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C:\Users\hmarzolf6475\Desktop\StrongMind\Arizona\Valor\SY 23\Annual Financial Report\"/>
    </mc:Choice>
  </mc:AlternateContent>
  <xr:revisionPtr revIDLastSave="0" documentId="13_ncr:1_{52A02FE7-3693-44C9-88E0-61F8BBF50720}" xr6:coauthVersionLast="47" xr6:coauthVersionMax="47" xr10:uidLastSave="{00000000-0000-0000-0000-000000000000}"/>
  <workbookProtection workbookAlgorithmName="SHA-512" workbookHashValue="dcCdbEk3rBlMgcYkuxuyJpo7KHjFxuF/cUYN62F+mQ7DdvNb0biRotckPfLLuoXq6787xyc6jsSb2AZYcYg7IA==" workbookSaltValue="MZtghfRJdw7Ut7uEHJxKaA==" workbookSpinCount="100000" lockStructure="1"/>
  <bookViews>
    <workbookView xWindow="-110" yWindow="-110" windowWidth="21820" windowHeight="13120" firstSheet="3" activeTab="12"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s>
  <definedNames>
    <definedName name="_xlnm._FilterDatabase" localSheetId="16" hidden="1">'Accounting data'!$A$1:$L$26</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1" i="7" l="1"/>
  <c r="E28" i="23" l="1"/>
  <c r="H17" i="24"/>
  <c r="F23" i="15"/>
  <c r="C1" i="25"/>
  <c r="C1" i="8"/>
  <c r="G36" i="6" l="1"/>
  <c r="E1538" i="18" l="1"/>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0" i="21"/>
  <c r="Y19" i="21"/>
  <c r="Y18" i="21"/>
  <c r="Y17" i="21"/>
  <c r="Y16" i="21"/>
  <c r="Y13" i="21"/>
  <c r="Y12" i="21"/>
  <c r="Y11" i="21"/>
  <c r="Y10" i="21"/>
  <c r="Y9" i="21"/>
  <c r="Y8" i="21"/>
  <c r="Y4" i="21"/>
  <c r="C7" i="20"/>
  <c r="B3" i="20"/>
  <c r="B2" i="20"/>
  <c r="B1" i="20"/>
  <c r="A11" i="17"/>
  <c r="B11" i="17" s="1"/>
  <c r="F42" i="25"/>
  <c r="L1" i="25"/>
  <c r="H1" i="25"/>
  <c r="N20" i="24"/>
  <c r="D19" i="24"/>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L19" i="23"/>
  <c r="AA12" i="23" a="1"/>
  <c r="AA12" i="23" s="1"/>
  <c r="I19" i="23"/>
  <c r="L1" i="23"/>
  <c r="H1" i="23"/>
  <c r="B1" i="23"/>
  <c r="AA13" i="15"/>
  <c r="K39" i="15"/>
  <c r="K23" i="15"/>
  <c r="F25" i="15"/>
  <c r="AA12" i="15"/>
  <c r="AA11" i="15"/>
  <c r="K1" i="15"/>
  <c r="F1" i="15"/>
  <c r="B1" i="15"/>
  <c r="L41" i="4"/>
  <c r="I23" i="24" s="1"/>
  <c r="K41" i="4"/>
  <c r="J23" i="24" s="1"/>
  <c r="H41" i="4"/>
  <c r="F23" i="24" s="1"/>
  <c r="L23" i="4"/>
  <c r="I22" i="24" s="1"/>
  <c r="K23" i="4"/>
  <c r="K43" i="4" s="1"/>
  <c r="H23" i="4"/>
  <c r="F22" i="24" s="1"/>
  <c r="M13" i="4"/>
  <c r="AB10" i="4"/>
  <c r="AB9" i="4"/>
  <c r="AB8" i="4"/>
  <c r="AB7" i="4"/>
  <c r="AB6" i="4"/>
  <c r="M1" i="4"/>
  <c r="G1" i="4"/>
  <c r="B1" i="4"/>
  <c r="S25" i="5"/>
  <c r="T23" i="5"/>
  <c r="S22" i="5"/>
  <c r="S21" i="5"/>
  <c r="S20" i="5"/>
  <c r="S19" i="5"/>
  <c r="D19" i="5"/>
  <c r="S18" i="5"/>
  <c r="S17" i="5"/>
  <c r="AA11" i="5"/>
  <c r="AA12" i="5" s="1"/>
  <c r="Q11" i="5"/>
  <c r="P11" i="5"/>
  <c r="O11" i="5"/>
  <c r="N11" i="5"/>
  <c r="M11" i="5"/>
  <c r="L11" i="5"/>
  <c r="K11" i="5"/>
  <c r="J11" i="5"/>
  <c r="I11" i="5"/>
  <c r="H11" i="5"/>
  <c r="G11" i="5"/>
  <c r="F11" i="5"/>
  <c r="E11" i="5"/>
  <c r="R10" i="5"/>
  <c r="AA9" i="5"/>
  <c r="R9" i="5"/>
  <c r="AA8" i="5"/>
  <c r="R8" i="5"/>
  <c r="V1" i="5"/>
  <c r="L1" i="5"/>
  <c r="D1" i="5"/>
  <c r="G39" i="6"/>
  <c r="G41" i="6" s="1"/>
  <c r="F29" i="6"/>
  <c r="G20" i="6"/>
  <c r="G11" i="6"/>
  <c r="F11" i="6"/>
  <c r="AA9" i="6"/>
  <c r="AA8" i="6"/>
  <c r="AA7" i="6"/>
  <c r="U1" i="6"/>
  <c r="L1" i="6"/>
  <c r="C1" i="6"/>
  <c r="F48" i="14"/>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15" i="12"/>
  <c r="B19" i="24" s="1"/>
  <c r="G11" i="12"/>
  <c r="F11" i="12"/>
  <c r="I10" i="12"/>
  <c r="I9" i="12"/>
  <c r="I8" i="12"/>
  <c r="AA7" i="12"/>
  <c r="I6" i="12"/>
  <c r="M1" i="12"/>
  <c r="H1" i="12"/>
  <c r="C1" i="12"/>
  <c r="F27" i="22"/>
  <c r="AA18" i="22"/>
  <c r="K11" i="22"/>
  <c r="J1" i="22"/>
  <c r="G1" i="22"/>
  <c r="D1" i="22"/>
  <c r="L44" i="7"/>
  <c r="G16" i="24"/>
  <c r="G15" i="24"/>
  <c r="H15" i="24"/>
  <c r="G14" i="24"/>
  <c r="G13" i="24"/>
  <c r="J26" i="7"/>
  <c r="J12" i="7"/>
  <c r="J8" i="7"/>
  <c r="J6" i="7"/>
  <c r="L1" i="7"/>
  <c r="G1" i="7"/>
  <c r="B1" i="7"/>
  <c r="AA17" i="8"/>
  <c r="M1" i="8"/>
  <c r="H1" i="8"/>
  <c r="T20" i="2"/>
  <c r="E1214" i="18" l="1"/>
  <c r="E1247" i="18"/>
  <c r="E1479" i="18"/>
  <c r="G32" i="14"/>
  <c r="G48" i="14" s="1"/>
  <c r="D21" i="24" s="1"/>
  <c r="E1499" i="18"/>
  <c r="E1368" i="18"/>
  <c r="E1484" i="18"/>
  <c r="E1459" i="18"/>
  <c r="E1280" i="18"/>
  <c r="L11" i="7"/>
  <c r="N33" i="14"/>
  <c r="E650" i="18"/>
  <c r="E685" i="18"/>
  <c r="E965" i="18"/>
  <c r="E1000" i="18"/>
  <c r="E1082" i="18"/>
  <c r="E1172" i="18"/>
  <c r="E155" i="18"/>
  <c r="E197" i="18"/>
  <c r="N11" i="14"/>
  <c r="N18" i="14"/>
  <c r="J13" i="7"/>
  <c r="L13" i="7" s="1"/>
  <c r="J24" i="7"/>
  <c r="L24" i="7" s="1"/>
  <c r="E602" i="18"/>
  <c r="E1464" i="18"/>
  <c r="G10" i="14"/>
  <c r="G26" i="14" s="1"/>
  <c r="D20" i="24" s="1"/>
  <c r="M8" i="4"/>
  <c r="M16" i="4"/>
  <c r="M20" i="4"/>
  <c r="M32" i="4"/>
  <c r="M37" i="4"/>
  <c r="E1335" i="18"/>
  <c r="E1504" i="18"/>
  <c r="E1528" i="18"/>
  <c r="D19" i="23"/>
  <c r="E19" i="23"/>
  <c r="E15" i="18"/>
  <c r="E50" i="18"/>
  <c r="E92" i="18"/>
  <c r="E657" i="18"/>
  <c r="E692" i="18"/>
  <c r="E972" i="18"/>
  <c r="E1007" i="18"/>
  <c r="E1144" i="18"/>
  <c r="E1179" i="18"/>
  <c r="E1291" i="18"/>
  <c r="E1449" i="18"/>
  <c r="E1469" i="18"/>
  <c r="L29" i="7"/>
  <c r="M12" i="4"/>
  <c r="L32" i="7"/>
  <c r="M33" i="4"/>
  <c r="M38" i="4"/>
  <c r="N40" i="14"/>
  <c r="M9" i="4"/>
  <c r="M21" i="4"/>
  <c r="L17" i="7"/>
  <c r="J14" i="7"/>
  <c r="L14" i="7" s="1"/>
  <c r="E373" i="18"/>
  <c r="E1258" i="18"/>
  <c r="E23" i="7"/>
  <c r="L20" i="7"/>
  <c r="F23" i="7"/>
  <c r="F37" i="7"/>
  <c r="L35" i="7"/>
  <c r="M17" i="4"/>
  <c r="N16" i="23"/>
  <c r="E22" i="18"/>
  <c r="E57" i="18"/>
  <c r="E106" i="18"/>
  <c r="E127" i="18"/>
  <c r="E162" i="18"/>
  <c r="E400" i="18"/>
  <c r="E562" i="18"/>
  <c r="E664" i="18"/>
  <c r="E576" i="18"/>
  <c r="E1388" i="18"/>
  <c r="E176" i="18"/>
  <c r="H16" i="24"/>
  <c r="M6" i="4"/>
  <c r="E1165" i="18"/>
  <c r="E636" i="18"/>
  <c r="L30" i="7"/>
  <c r="N45" i="14"/>
  <c r="E8" i="18"/>
  <c r="L33" i="7"/>
  <c r="K12" i="22"/>
  <c r="K10" i="22"/>
  <c r="H14" i="24"/>
  <c r="N12" i="23"/>
  <c r="N11" i="23"/>
  <c r="E29" i="18"/>
  <c r="E134" i="18"/>
  <c r="E169" i="18"/>
  <c r="E265" i="18"/>
  <c r="E346" i="18"/>
  <c r="E699" i="18"/>
  <c r="E979" i="18"/>
  <c r="E1014" i="18"/>
  <c r="E1116" i="18"/>
  <c r="E1151" i="18"/>
  <c r="E1489" i="18"/>
  <c r="E64" i="18"/>
  <c r="E481" i="18"/>
  <c r="E1049" i="18"/>
  <c r="E1193" i="18"/>
  <c r="E1518" i="18"/>
  <c r="E1533" i="18"/>
  <c r="N17" i="23"/>
  <c r="E1357" i="18"/>
  <c r="D37" i="7"/>
  <c r="E1137" i="18"/>
  <c r="N43" i="14"/>
  <c r="E319" i="18"/>
  <c r="D23" i="7"/>
  <c r="L15" i="7"/>
  <c r="L36" i="7"/>
  <c r="N14" i="14"/>
  <c r="N19" i="14"/>
  <c r="N36" i="14"/>
  <c r="N41" i="14"/>
  <c r="J41" i="4"/>
  <c r="H23" i="24" s="1"/>
  <c r="H23" i="7"/>
  <c r="L28" i="7"/>
  <c r="G13" i="22"/>
  <c r="N16" i="14"/>
  <c r="N38" i="14"/>
  <c r="M30" i="4"/>
  <c r="M35" i="4"/>
  <c r="M40" i="4"/>
  <c r="E211" i="18"/>
  <c r="E1225" i="18"/>
  <c r="E1346" i="18"/>
  <c r="N21" i="14"/>
  <c r="E1109" i="18"/>
  <c r="F41" i="4"/>
  <c r="D23" i="24" s="1"/>
  <c r="N10" i="23"/>
  <c r="I22" i="14"/>
  <c r="I26" i="14" s="1"/>
  <c r="I44" i="14"/>
  <c r="I48" i="14" s="1"/>
  <c r="E671" i="18"/>
  <c r="H30" i="8"/>
  <c r="L16" i="7"/>
  <c r="L34" i="7"/>
  <c r="I13" i="22"/>
  <c r="G43" i="7" s="1"/>
  <c r="J22" i="14"/>
  <c r="J26" i="14" s="1"/>
  <c r="J44" i="14"/>
  <c r="J48" i="14" s="1"/>
  <c r="M7" i="4"/>
  <c r="N13" i="23"/>
  <c r="E71" i="18"/>
  <c r="E141" i="18"/>
  <c r="E292" i="18"/>
  <c r="E713" i="18"/>
  <c r="E951" i="18"/>
  <c r="E986" i="18"/>
  <c r="E1028" i="18"/>
  <c r="E1056" i="18"/>
  <c r="E1123" i="18"/>
  <c r="E1158" i="18"/>
  <c r="E1302" i="18"/>
  <c r="E1474" i="18"/>
  <c r="E535" i="18"/>
  <c r="E734" i="18"/>
  <c r="H37" i="7"/>
  <c r="H13" i="22"/>
  <c r="H38" i="8"/>
  <c r="J19" i="7"/>
  <c r="L19" i="7" s="1"/>
  <c r="J22" i="7"/>
  <c r="L21" i="7" s="1"/>
  <c r="H13" i="24"/>
  <c r="K22" i="14"/>
  <c r="K26" i="14" s="1"/>
  <c r="K44" i="14"/>
  <c r="K48" i="14" s="1"/>
  <c r="F23" i="4"/>
  <c r="M15" i="4"/>
  <c r="M19" i="4"/>
  <c r="E36" i="18"/>
  <c r="E427" i="18"/>
  <c r="E1200" i="18"/>
  <c r="E1269" i="18"/>
  <c r="E1494" i="18"/>
  <c r="E1539" i="18"/>
  <c r="E1454" i="18"/>
  <c r="E120" i="18"/>
  <c r="G37" i="7"/>
  <c r="E1313" i="18"/>
  <c r="N14" i="23"/>
  <c r="L31" i="7"/>
  <c r="F13" i="22"/>
  <c r="D43" i="7" s="1"/>
  <c r="E643" i="18"/>
  <c r="N20" i="14"/>
  <c r="N42" i="14"/>
  <c r="E678" i="18"/>
  <c r="E1236" i="18"/>
  <c r="E148" i="18"/>
  <c r="E37" i="7"/>
  <c r="N15" i="23"/>
  <c r="E454" i="18"/>
  <c r="E1523" i="18"/>
  <c r="G23" i="4"/>
  <c r="E22" i="24" s="1"/>
  <c r="M31" i="4"/>
  <c r="M36" i="4"/>
  <c r="N17" i="14"/>
  <c r="N39" i="14"/>
  <c r="J23" i="4"/>
  <c r="H22" i="24" s="1"/>
  <c r="M11" i="4"/>
  <c r="M25" i="4"/>
  <c r="E43" i="18"/>
  <c r="E85" i="18"/>
  <c r="E113" i="18"/>
  <c r="E190" i="18"/>
  <c r="E238" i="18"/>
  <c r="E589" i="18"/>
  <c r="E720" i="18"/>
  <c r="E958" i="18"/>
  <c r="E993" i="18"/>
  <c r="E1035" i="18"/>
  <c r="E1061" i="18"/>
  <c r="E1130" i="18"/>
  <c r="F28" i="22"/>
  <c r="D18" i="24"/>
  <c r="L22" i="14"/>
  <c r="L26" i="14" s="1"/>
  <c r="K8" i="22"/>
  <c r="H19" i="23"/>
  <c r="J10" i="7"/>
  <c r="L10" i="7" s="1"/>
  <c r="G23" i="7"/>
  <c r="H22" i="14"/>
  <c r="H26" i="14" s="1"/>
  <c r="H44" i="14"/>
  <c r="H48" i="14" s="1"/>
  <c r="L44" i="14"/>
  <c r="L48" i="14" s="1"/>
  <c r="G19" i="23"/>
  <c r="H18" i="8"/>
  <c r="L18" i="7"/>
  <c r="M14" i="4"/>
  <c r="M18" i="4"/>
  <c r="K9" i="22"/>
  <c r="M22" i="4"/>
  <c r="L40" i="7"/>
  <c r="M10" i="4"/>
  <c r="M29" i="4"/>
  <c r="M34" i="4"/>
  <c r="M39" i="4"/>
  <c r="H43" i="23"/>
  <c r="H45" i="23" s="1"/>
  <c r="AA10" i="6"/>
  <c r="AA14" i="15"/>
  <c r="R11" i="5"/>
  <c r="L26" i="7"/>
  <c r="L12" i="7"/>
  <c r="L8" i="7"/>
  <c r="L6" i="7"/>
  <c r="J22" i="24"/>
  <c r="L43" i="4"/>
  <c r="AB11" i="4"/>
  <c r="H43" i="4"/>
  <c r="I11" i="12"/>
  <c r="F18" i="12" s="1"/>
  <c r="I37" i="7"/>
  <c r="G12" i="24" s="1"/>
  <c r="I23" i="7"/>
  <c r="G11" i="24" s="1"/>
  <c r="M44" i="14"/>
  <c r="M48" i="14" s="1"/>
  <c r="G21" i="24" s="1"/>
  <c r="I41" i="4"/>
  <c r="G23" i="24" s="1"/>
  <c r="J13" i="22"/>
  <c r="F20" i="6"/>
  <c r="M22" i="14"/>
  <c r="M26" i="14" s="1"/>
  <c r="G20" i="24" s="1"/>
  <c r="H11" i="12"/>
  <c r="S23" i="5"/>
  <c r="I23" i="4"/>
  <c r="G22" i="24" s="1"/>
  <c r="B18" i="24"/>
  <c r="E23" i="4"/>
  <c r="B22" i="24" s="1"/>
  <c r="B21" i="24"/>
  <c r="E41" i="4"/>
  <c r="T31" i="6"/>
  <c r="T32" i="6" s="1"/>
  <c r="K37" i="7"/>
  <c r="F17" i="12"/>
  <c r="M28" i="4"/>
  <c r="K23" i="7"/>
  <c r="L10" i="8"/>
  <c r="J19" i="23"/>
  <c r="K19" i="23"/>
  <c r="F19" i="23"/>
  <c r="M19" i="23"/>
  <c r="G45" i="7" l="1"/>
  <c r="G46" i="7"/>
  <c r="H46" i="7"/>
  <c r="H45" i="7"/>
  <c r="F42" i="7"/>
  <c r="H42" i="7"/>
  <c r="E42" i="7"/>
  <c r="E629" i="18"/>
  <c r="E1534" i="18"/>
  <c r="L41" i="7"/>
  <c r="E23" i="15"/>
  <c r="D42" i="7"/>
  <c r="L38" i="7"/>
  <c r="E1505" i="18"/>
  <c r="N22" i="14"/>
  <c r="N26" i="14" s="1"/>
  <c r="H20" i="24" s="1"/>
  <c r="K20" i="24" s="1"/>
  <c r="E563" i="18"/>
  <c r="G43" i="4"/>
  <c r="G42" i="7"/>
  <c r="D23" i="15"/>
  <c r="E1036" i="18"/>
  <c r="E93" i="18"/>
  <c r="F43" i="4"/>
  <c r="L45" i="7"/>
  <c r="E1369" i="18"/>
  <c r="E198" i="18"/>
  <c r="G23" i="15"/>
  <c r="D22" i="24"/>
  <c r="K22" i="24" s="1"/>
  <c r="L39" i="7"/>
  <c r="E1201" i="18"/>
  <c r="H40" i="8"/>
  <c r="I23" i="15"/>
  <c r="J37" i="7"/>
  <c r="H12" i="24" s="1"/>
  <c r="N44" i="14"/>
  <c r="N48" i="14" s="1"/>
  <c r="O48" i="14" s="1"/>
  <c r="J23" i="7"/>
  <c r="H11" i="24" s="1"/>
  <c r="M41" i="4"/>
  <c r="E721" i="18"/>
  <c r="K13" i="22"/>
  <c r="J43" i="7"/>
  <c r="L43" i="7" s="1"/>
  <c r="L46" i="7"/>
  <c r="J43" i="4"/>
  <c r="J47" i="7" s="1"/>
  <c r="L47" i="7" s="1"/>
  <c r="N19" i="23"/>
  <c r="F45" i="23" s="1"/>
  <c r="F46" i="23" s="1"/>
  <c r="N18" i="23"/>
  <c r="F19" i="12"/>
  <c r="H19" i="24"/>
  <c r="K19" i="24" s="1"/>
  <c r="I42" i="7"/>
  <c r="I48" i="7" s="1"/>
  <c r="B23" i="24"/>
  <c r="K23" i="24" s="1"/>
  <c r="M23" i="4"/>
  <c r="I43" i="4"/>
  <c r="E43" i="4"/>
  <c r="K42" i="7"/>
  <c r="O26" i="14" l="1"/>
  <c r="L23" i="7"/>
  <c r="H21" i="24"/>
  <c r="K21" i="24" s="1"/>
  <c r="J42" i="7"/>
  <c r="Q33" i="2" s="1"/>
  <c r="H23" i="15"/>
  <c r="D17" i="24"/>
  <c r="K17" i="24" s="1"/>
  <c r="L37" i="7"/>
  <c r="M43" i="4"/>
  <c r="J23" i="15"/>
  <c r="N30" i="23"/>
  <c r="O30" i="23"/>
  <c r="Q34" i="2"/>
  <c r="L30" i="23"/>
  <c r="H18" i="24"/>
  <c r="K18" i="24" s="1"/>
  <c r="F29" i="22"/>
  <c r="F30" i="22" s="1"/>
  <c r="P30" i="23"/>
  <c r="M30" i="23"/>
  <c r="K48" i="7"/>
  <c r="L42" i="7" l="1"/>
  <c r="J48" i="7"/>
  <c r="A13" i="17" s="1"/>
  <c r="B13" i="17" s="1"/>
  <c r="C11" i="25"/>
  <c r="C21" i="25" s="1"/>
  <c r="A6" i="17" l="1"/>
  <c r="B6" i="17" s="1"/>
  <c r="A5" i="17"/>
  <c r="B5" i="17" s="1"/>
  <c r="A3" i="17"/>
  <c r="B3" i="17" s="1"/>
  <c r="L48" i="7"/>
  <c r="K11" i="12"/>
  <c r="A7" i="17"/>
  <c r="B7" i="17" s="1"/>
  <c r="A10" i="17"/>
  <c r="B10" i="17" s="1"/>
  <c r="K10" i="12"/>
  <c r="B18" i="2" s="1"/>
  <c r="M12" i="22"/>
  <c r="B14" i="2" s="1"/>
  <c r="A16" i="17"/>
  <c r="B16" i="17" s="1"/>
  <c r="A14" i="17"/>
  <c r="B14" i="17" s="1"/>
  <c r="H33" i="6"/>
  <c r="B16" i="2" s="1"/>
  <c r="A12" i="17"/>
  <c r="B12" i="17" s="1"/>
  <c r="A15" i="17"/>
  <c r="B15" i="17" s="1"/>
  <c r="N10" i="7"/>
  <c r="B12" i="2" s="1"/>
  <c r="N9" i="7"/>
  <c r="B10" i="2" s="1"/>
  <c r="A9" i="17"/>
  <c r="B9" i="17" s="1"/>
  <c r="A4" i="17"/>
  <c r="B4" i="17" s="1"/>
  <c r="A8" i="17"/>
  <c r="B8" i="17" s="1"/>
  <c r="A1" i="17" l="1"/>
  <c r="L2" i="2"/>
  <c r="L4" i="2" s="1"/>
</calcChain>
</file>

<file path=xl/sharedStrings.xml><?xml version="1.0" encoding="utf-8"?>
<sst xmlns="http://schemas.openxmlformats.org/spreadsheetml/2006/main" count="3189" uniqueCount="1314">
  <si>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</si>
  <si>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</si>
  <si>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</si>
  <si>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</si>
  <si>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</si>
  <si>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</si>
  <si>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</si>
  <si>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</si>
  <si>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</si>
  <si>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</si>
  <si>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</si>
  <si>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</si>
  <si>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</si>
  <si>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</si>
  <si>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</si>
  <si>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</si>
  <si>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</si>
  <si>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</si>
  <si>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</si>
  <si>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</si>
  <si>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</si>
  <si>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</si>
  <si>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</si>
  <si>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</si>
  <si>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</si>
  <si>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</si>
  <si>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</si>
  <si>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</si>
  <si>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</si>
  <si>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</si>
  <si>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</si>
  <si>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</si>
  <si>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</si>
  <si>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</si>
  <si>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</si>
  <si>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</si>
  <si>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</si>
  <si>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</si>
  <si>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</si>
  <si>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</si>
  <si>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</si>
  <si>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</si>
  <si>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</si>
  <si>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</si>
  <si>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</si>
  <si>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</si>
  <si>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</si>
  <si>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</si>
  <si>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</si>
  <si>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</si>
  <si>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</si>
  <si>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</si>
  <si>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</si>
  <si>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</si>
  <si>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</si>
  <si>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</si>
  <si>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</si>
  <si>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</si>
  <si>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</si>
  <si>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</si>
  <si>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</si>
  <si>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</si>
  <si>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</si>
  <si>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</si>
  <si>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</si>
  <si>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</si>
  <si>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</si>
  <si>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</si>
  <si>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</si>
  <si>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</si>
  <si>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</si>
  <si>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</si>
  <si>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</si>
  <si>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</si>
  <si>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</si>
  <si>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</si>
  <si>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</si>
  <si>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</si>
  <si>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</si>
  <si>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</si>
  <si>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</si>
  <si>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</si>
  <si>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</si>
  <si>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</si>
  <si>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</si>
  <si>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</si>
  <si>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</si>
  <si>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</si>
  <si>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</si>
  <si>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</si>
  <si>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</si>
  <si>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</si>
  <si>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</si>
  <si>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</si>
  <si>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</si>
  <si>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</si>
  <si>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</si>
  <si>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</si>
  <si>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</si>
  <si>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</si>
  <si>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</si>
  <si>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</si>
  <si>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</si>
  <si>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</si>
  <si>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</si>
  <si>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</si>
  <si>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</si>
  <si>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</si>
  <si>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</si>
  <si>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</si>
  <si>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</si>
  <si>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</si>
  <si>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</si>
  <si>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</si>
  <si>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</si>
  <si>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</si>
  <si>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</si>
  <si>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</si>
  <si>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</si>
  <si>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</si>
  <si>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</si>
  <si>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</si>
  <si>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</si>
  <si>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</si>
  <si>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</si>
  <si>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</si>
  <si>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</si>
  <si>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</si>
  <si>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</si>
  <si>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</si>
  <si>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</si>
  <si>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</si>
  <si>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</si>
  <si>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</si>
  <si>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</si>
  <si>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</si>
  <si>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</si>
  <si>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</si>
  <si>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</si>
  <si>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</si>
  <si>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</si>
  <si>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</si>
  <si>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</si>
  <si>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</si>
  <si>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</si>
  <si>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</si>
  <si>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</si>
  <si>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1</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</si>
  <si>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</si>
  <si>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</si>
  <si>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</si>
  <si>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</si>
  <si>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</si>
  <si>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</si>
  <si>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</si>
  <si>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</si>
  <si>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</si>
  <si>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</si>
  <si>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</si>
  <si>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</si>
  <si>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</si>
  <si>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</si>
  <si>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</si>
  <si>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</si>
  <si>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</si>
  <si>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</si>
  <si>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</si>
  <si>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</si>
  <si>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</si>
  <si>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</si>
  <si>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</si>
  <si>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</si>
  <si>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</si>
  <si>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</si>
  <si>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</si>
  <si>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</si>
  <si>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</si>
  <si>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</si>
  <si>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</si>
  <si>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</si>
  <si>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</si>
  <si>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1100-1130-ESEA Title I - Helping Disadvantaged Children</t>
  </si>
  <si>
    <t>400-Pupil Transportation</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</si>
  <si>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</si>
  <si>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</si>
  <si>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</si>
  <si>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</si>
  <si>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</si>
  <si>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</si>
  <si>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</si>
  <si>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6830-6840-6860-6870 Other Expenses and Losses</t>
  </si>
  <si>
    <t>1190-ESEA  Title III - Limited Eng. &amp; Immigrant Students</t>
  </si>
  <si>
    <t>6900-Other Objects (Indirect Costs)</t>
  </si>
  <si>
    <t>3300-Community Service Operations</t>
  </si>
  <si>
    <t>1310-Tuition from Individuals</t>
  </si>
  <si>
    <t>610-School-Sponsored Cocurricular Activities</t>
  </si>
  <si>
    <t>1220-IDEA, Part B</t>
  </si>
  <si>
    <t>620-School-Sponsored Athletics</t>
  </si>
  <si>
    <t>1230-Johnson-O'Malley</t>
  </si>
  <si>
    <t>630-Other Instructional Programs</t>
  </si>
  <si>
    <t>1420-Transportation Fees from Other Arizona Schools or Districts</t>
  </si>
  <si>
    <t>1240-Workforce Investment Act</t>
  </si>
  <si>
    <t>1500-Earnings on Investments</t>
  </si>
  <si>
    <t>1600-Food Service</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</si>
  <si>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</si>
  <si>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</si>
  <si>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</si>
  <si>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</si>
  <si>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</si>
  <si>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</si>
  <si>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13XX-Impact Aid</t>
  </si>
  <si>
    <t>1310-1399-Other Federal Projects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</si>
  <si>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</si>
  <si>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</si>
  <si>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</si>
  <si>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</si>
  <si>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</si>
  <si>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</si>
  <si>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</si>
  <si>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</si>
  <si>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</si>
  <si>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</si>
  <si>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</si>
  <si>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</si>
  <si>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</si>
  <si>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</si>
  <si>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</si>
  <si>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</si>
  <si>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</si>
  <si>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</si>
  <si>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</si>
  <si>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</si>
  <si>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</si>
  <si>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</si>
  <si>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</si>
  <si>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</si>
  <si>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</si>
  <si>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</si>
  <si>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</si>
  <si>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</si>
  <si>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</si>
  <si>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</si>
  <si>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</si>
  <si>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</si>
  <si>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</si>
  <si>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</si>
  <si>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</si>
  <si>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</si>
  <si>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</si>
  <si>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</si>
  <si>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</si>
  <si>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</si>
  <si>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</si>
  <si>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</si>
  <si>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</si>
  <si>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</si>
  <si>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</si>
  <si>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</si>
  <si>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</si>
  <si>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</si>
  <si>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</si>
  <si>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</si>
  <si>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</si>
  <si>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</si>
  <si>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</si>
  <si>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</si>
  <si>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</si>
  <si>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</si>
  <si>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</si>
  <si>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</si>
  <si>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</si>
  <si>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</si>
  <si>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</si>
  <si>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</si>
  <si>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</si>
  <si>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</si>
  <si>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</si>
  <si>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</si>
  <si>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</si>
  <si>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</si>
  <si>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</si>
  <si>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</si>
  <si>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</si>
  <si>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</si>
  <si>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</si>
  <si>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</si>
  <si>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</si>
  <si>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</si>
  <si>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</si>
  <si>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</si>
  <si>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</si>
  <si>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</si>
  <si>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</si>
  <si>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</si>
  <si>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</si>
  <si>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</si>
  <si>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</si>
  <si>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</si>
  <si>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</si>
  <si>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</si>
  <si>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</si>
  <si>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</si>
  <si>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</si>
  <si>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</si>
  <si>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</si>
  <si>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</si>
  <si>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</si>
  <si>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</si>
  <si>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</si>
  <si>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</si>
  <si>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</si>
  <si>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</si>
  <si>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</si>
  <si>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</si>
  <si>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</si>
  <si>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</si>
  <si>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</si>
  <si>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</si>
  <si>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</si>
  <si>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</si>
  <si>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</si>
  <si>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</si>
  <si>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</si>
  <si>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</si>
  <si>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</si>
  <si>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</si>
  <si>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</si>
  <si>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</si>
  <si>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</si>
  <si>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</si>
  <si>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</si>
  <si>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</si>
  <si>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</si>
  <si>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</si>
  <si>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</si>
  <si>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</si>
  <si>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</si>
  <si>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</si>
  <si>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</si>
  <si>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</si>
  <si>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</si>
  <si>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</si>
  <si>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</si>
  <si>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</si>
  <si>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</si>
  <si>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</si>
  <si>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</si>
  <si>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</si>
  <si>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</si>
  <si>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</si>
  <si>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</si>
  <si>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</si>
  <si>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</si>
  <si>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</si>
  <si>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</si>
  <si>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</si>
  <si>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</si>
  <si>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</si>
  <si>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</si>
  <si>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</si>
  <si>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</si>
  <si>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</si>
  <si>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</si>
  <si>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</si>
  <si>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</si>
  <si>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</si>
  <si>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</si>
  <si>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</si>
  <si>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</si>
  <si>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</si>
  <si>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</si>
  <si>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</si>
  <si>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</si>
  <si>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</si>
  <si>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</si>
  <si>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</si>
  <si>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</si>
  <si>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</si>
  <si>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</si>
  <si>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</si>
  <si>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</si>
  <si>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</si>
  <si>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</si>
  <si>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</si>
  <si>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</si>
  <si>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</si>
  <si>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</si>
  <si>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</si>
  <si>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</si>
  <si>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</si>
  <si>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</si>
  <si>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</si>
  <si>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</si>
  <si>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</si>
  <si>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</si>
  <si>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</si>
  <si>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</si>
  <si>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</si>
  <si>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</si>
  <si>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</si>
  <si>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</si>
  <si>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</si>
  <si>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</si>
  <si>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</si>
  <si>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</si>
  <si>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</si>
  <si>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</si>
  <si>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</si>
  <si>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</si>
  <si>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</si>
  <si>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</si>
  <si>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</si>
  <si>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</si>
  <si>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</si>
  <si>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</si>
  <si>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</si>
  <si>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</si>
  <si>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</si>
  <si>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</si>
  <si>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</si>
  <si>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</si>
  <si>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</si>
  <si>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</si>
  <si>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</si>
  <si>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</si>
  <si>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</si>
  <si>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</si>
  <si>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</si>
  <si>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</si>
  <si>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</si>
  <si>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</si>
  <si>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</si>
  <si>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</si>
  <si>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</si>
  <si>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</si>
  <si>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</si>
  <si>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</si>
  <si>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</si>
  <si>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</si>
  <si>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</si>
  <si>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</si>
  <si>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</si>
  <si>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</si>
  <si>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</si>
  <si>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</si>
  <si>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</si>
  <si>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</si>
  <si>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</si>
  <si>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</si>
  <si>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</si>
  <si>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</si>
  <si>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</si>
  <si>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</si>
  <si>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</si>
  <si>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</si>
  <si>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</si>
  <si>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</si>
  <si>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</si>
  <si>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</si>
  <si>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</si>
  <si>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</si>
  <si>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</si>
  <si>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</si>
  <si>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</si>
  <si>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</si>
  <si>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</si>
  <si>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</si>
  <si>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</si>
  <si>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</si>
  <si>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</si>
  <si>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</si>
  <si>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</si>
  <si>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</si>
  <si>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</si>
  <si>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</si>
  <si>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</si>
  <si>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</si>
  <si>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</si>
  <si>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</si>
  <si>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</si>
  <si>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</si>
  <si>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</si>
  <si>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</si>
  <si>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</si>
  <si>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</si>
  <si>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</si>
  <si>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</si>
  <si>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</si>
  <si>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</si>
  <si>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</si>
  <si>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</si>
  <si>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</si>
  <si>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</si>
  <si>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</si>
  <si>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</si>
  <si>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</si>
  <si>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</si>
  <si>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</si>
  <si>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</si>
  <si>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</si>
  <si>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</si>
  <si>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</si>
  <si>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</si>
  <si>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</si>
  <si>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</si>
  <si>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</si>
  <si>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</si>
  <si>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</si>
  <si>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</si>
  <si>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</si>
  <si>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</si>
  <si>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</si>
  <si>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</si>
  <si>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</si>
  <si>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</si>
  <si>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</si>
  <si>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</si>
  <si>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</si>
  <si>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</si>
  <si>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</si>
  <si>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</si>
  <si>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</si>
  <si>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</si>
  <si>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</si>
  <si>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</si>
  <si>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</si>
  <si>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</si>
  <si>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</si>
  <si>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</si>
  <si>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</si>
  <si>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</si>
  <si>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</si>
  <si>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</si>
  <si>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</si>
  <si>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</si>
  <si>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</si>
  <si>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</si>
  <si>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</si>
  <si>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</si>
  <si>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</si>
  <si>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</si>
  <si>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</si>
  <si>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</si>
  <si>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</si>
  <si>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</si>
  <si>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</si>
  <si>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</si>
  <si>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</si>
  <si>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</si>
  <si>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</si>
  <si>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</si>
  <si>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</si>
  <si>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</si>
  <si>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</si>
  <si>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</si>
  <si>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</si>
  <si>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</si>
  <si>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</si>
  <si>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</si>
  <si>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</si>
  <si>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</si>
  <si>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</si>
  <si>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</si>
  <si>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</si>
  <si>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</si>
  <si>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</si>
  <si>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</si>
  <si>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</si>
  <si>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</si>
  <si>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</si>
  <si>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</si>
  <si>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</si>
  <si>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</si>
  <si>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</si>
  <si>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</si>
  <si>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</si>
  <si>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</si>
  <si>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</si>
  <si>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</si>
  <si>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</si>
  <si>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</si>
  <si>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</si>
  <si>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</si>
  <si>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</si>
  <si>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</si>
  <si>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</si>
  <si>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</si>
  <si>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</si>
  <si>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</si>
  <si>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</si>
  <si>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</si>
  <si>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</si>
  <si>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</si>
  <si>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</si>
  <si>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</si>
  <si>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</si>
  <si>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</si>
  <si>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</si>
  <si>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</si>
  <si>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</si>
  <si>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</si>
  <si>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</si>
  <si>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</si>
  <si>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</si>
  <si>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</si>
  <si>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</si>
  <si>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</si>
  <si>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</si>
  <si>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</si>
  <si>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</si>
  <si>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</si>
  <si>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</si>
  <si>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</si>
  <si>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</si>
  <si>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</si>
  <si>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</si>
  <si>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</si>
  <si>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</si>
  <si>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</si>
  <si>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</si>
  <si>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</si>
  <si>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</si>
  <si>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</si>
  <si>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</si>
  <si>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</si>
  <si>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</si>
  <si>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</si>
  <si>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</si>
  <si>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</si>
  <si>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</si>
  <si>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</si>
  <si>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</si>
  <si>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</si>
  <si>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</si>
  <si>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</si>
  <si>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</si>
  <si>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</si>
  <si>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</si>
  <si>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</si>
  <si>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</si>
  <si>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</si>
  <si>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</si>
  <si>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</si>
  <si>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</si>
  <si>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</si>
  <si>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</si>
  <si>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</si>
  <si>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</si>
  <si>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</si>
  <si>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</si>
  <si>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</si>
  <si>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</si>
  <si>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</si>
  <si>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</si>
  <si>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</si>
  <si>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</si>
  <si>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</si>
  <si>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</si>
  <si>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</si>
  <si>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</si>
  <si>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</si>
  <si>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</si>
  <si>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</si>
  <si>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</si>
  <si>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</si>
  <si>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</si>
  <si>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</si>
  <si>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</si>
  <si>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</si>
  <si>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</si>
  <si>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</si>
  <si>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</si>
  <si>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</si>
  <si>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</si>
  <si>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</si>
  <si>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</si>
  <si>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</si>
  <si>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</si>
  <si>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</si>
  <si>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</si>
  <si>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</si>
  <si>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</si>
  <si>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</si>
  <si>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</si>
  <si>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</si>
  <si>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</si>
  <si>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</si>
  <si>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</si>
  <si>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</si>
  <si>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</si>
  <si>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</si>
  <si>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</si>
  <si>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</si>
  <si>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</si>
  <si>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</si>
  <si>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</si>
  <si>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</si>
  <si>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</si>
  <si>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</si>
  <si>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</si>
  <si>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</si>
  <si>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</si>
  <si>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</si>
  <si>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</si>
  <si>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</si>
  <si>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</si>
  <si>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</si>
  <si>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</si>
  <si>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</si>
  <si>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</si>
  <si>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</si>
  <si>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</si>
  <si>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</si>
  <si>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</si>
  <si>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</si>
  <si>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</si>
  <si>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</si>
  <si>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</si>
  <si>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</si>
  <si>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</si>
  <si>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</si>
  <si>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</si>
  <si>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</si>
  <si>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</si>
  <si>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</si>
  <si>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</si>
  <si>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</si>
  <si>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</si>
  <si>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</si>
  <si>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</si>
  <si>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</si>
  <si>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</si>
  <si>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</si>
  <si>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</si>
  <si>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</si>
  <si>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</si>
  <si>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</si>
  <si>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</si>
  <si>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</si>
  <si>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</si>
  <si>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</si>
  <si>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</si>
  <si>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</si>
  <si>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</si>
  <si>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</si>
  <si>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</si>
  <si>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</si>
  <si>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</si>
  <si>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</si>
  <si>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</si>
  <si>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</si>
  <si>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</si>
  <si>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</si>
  <si>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</si>
  <si>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</si>
  <si>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</si>
  <si>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</si>
  <si>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</si>
  <si>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</si>
  <si>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</si>
  <si>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</si>
  <si>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</si>
  <si>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</si>
  <si>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</si>
  <si>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</si>
  <si>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</si>
  <si>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</si>
  <si>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</si>
  <si>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</si>
  <si>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</si>
  <si>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</si>
  <si>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</si>
  <si>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</si>
  <si>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</si>
  <si>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</si>
  <si>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</si>
  <si>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</si>
  <si>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</si>
  <si>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</si>
  <si>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</si>
  <si>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</si>
  <si>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</si>
  <si>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</si>
  <si>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</si>
  <si>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</si>
  <si>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</si>
  <si>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</si>
  <si>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</si>
  <si>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</si>
  <si>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</si>
  <si>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</si>
  <si>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</si>
  <si>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</si>
  <si>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</si>
  <si>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</si>
  <si>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</si>
  <si>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</si>
  <si>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</si>
  <si>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</si>
  <si>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</si>
  <si>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</si>
  <si>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</si>
  <si>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</si>
  <si>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</si>
  <si>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</si>
  <si>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</si>
  <si>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</si>
  <si>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</si>
  <si>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</si>
  <si>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</si>
  <si>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</si>
  <si>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</si>
  <si>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</si>
  <si>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</si>
  <si>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</si>
  <si>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</si>
  <si>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</si>
  <si>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</si>
  <si>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</si>
  <si>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</si>
  <si>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</si>
  <si>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</si>
  <si>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</si>
  <si>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</si>
  <si>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</si>
  <si>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</si>
  <si>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</si>
  <si>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</si>
  <si>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</si>
  <si>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</si>
  <si>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</si>
  <si>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</si>
  <si>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</si>
  <si>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</si>
  <si>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</si>
  <si>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</si>
  <si>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</si>
  <si>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</si>
  <si>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</si>
  <si>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</si>
  <si>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</si>
  <si>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</si>
  <si>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</si>
  <si>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</si>
  <si>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</si>
  <si>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</si>
  <si>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</si>
  <si>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</si>
  <si>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</si>
  <si>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</si>
  <si>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</si>
  <si>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</si>
  <si>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</si>
  <si>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</si>
  <si>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</si>
  <si>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</si>
  <si>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</si>
  <si>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</si>
  <si>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</si>
  <si>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</si>
  <si>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</si>
  <si>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</si>
  <si>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</si>
  <si>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</si>
  <si>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</si>
  <si>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</si>
  <si>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</si>
  <si>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</si>
  <si>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</si>
  <si>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</si>
  <si>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</si>
  <si>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</si>
  <si>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</si>
  <si>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</si>
  <si>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</si>
  <si>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</si>
  <si>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</si>
  <si>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</si>
  <si>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</si>
  <si>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</si>
  <si>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</si>
  <si>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</si>
  <si>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</si>
  <si>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</si>
  <si>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</si>
  <si>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</si>
  <si>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</si>
  <si>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</si>
  <si>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</si>
  <si>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</si>
  <si>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</si>
  <si>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</si>
  <si>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</si>
  <si>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</si>
  <si>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</si>
  <si>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</si>
  <si>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</si>
  <si>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</si>
  <si>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</si>
  <si>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</si>
  <si>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</si>
  <si>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</si>
  <si>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</si>
  <si>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</si>
  <si>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</si>
  <si>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</si>
  <si>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</si>
  <si>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</si>
  <si>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</si>
  <si>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</si>
  <si>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</si>
  <si>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</si>
  <si>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</si>
  <si>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</si>
  <si>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</si>
  <si>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</si>
  <si>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</si>
  <si>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</si>
  <si>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</si>
  <si>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</si>
  <si>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</si>
  <si>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</si>
  <si>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</si>
  <si>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</si>
  <si>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</si>
  <si>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</si>
  <si>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</si>
  <si>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</si>
  <si>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</si>
  <si>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</si>
  <si>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</si>
  <si>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</si>
  <si>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</si>
  <si>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</si>
  <si>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</si>
  <si>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</si>
  <si>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</si>
  <si>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</si>
  <si>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</si>
  <si>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</si>
  <si>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</si>
  <si>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</si>
  <si>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</si>
  <si>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</si>
  <si>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</si>
  <si>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</si>
  <si>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</si>
  <si>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</si>
  <si>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</si>
  <si>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</si>
  <si>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</si>
  <si>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</si>
  <si>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</si>
  <si>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</si>
  <si>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</si>
  <si>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</si>
  <si>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</si>
  <si>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</si>
  <si>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</si>
  <si>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</si>
  <si>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</si>
  <si>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</si>
  <si>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</si>
  <si>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</si>
  <si>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</si>
  <si>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</si>
  <si>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</si>
  <si>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</si>
  <si>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</si>
  <si>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</si>
  <si>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</si>
  <si>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</si>
  <si>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</si>
  <si>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</si>
  <si>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</si>
  <si>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</si>
  <si>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</si>
  <si>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</si>
  <si>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</si>
  <si>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</si>
  <si>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</si>
  <si>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</si>
  <si>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</si>
  <si>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</si>
  <si>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</si>
  <si>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</si>
  <si>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</si>
  <si>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</si>
  <si>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</si>
  <si>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</si>
  <si>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</si>
  <si>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</si>
  <si>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</si>
  <si>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</si>
  <si>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</si>
  <si>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</si>
  <si>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</si>
  <si>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</si>
  <si>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</si>
  <si>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</si>
  <si>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</si>
  <si>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</si>
  <si>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</si>
  <si>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</si>
  <si>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</si>
  <si>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</si>
  <si>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</si>
  <si>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</si>
  <si>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</si>
  <si>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</si>
  <si>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</si>
  <si>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</si>
  <si>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</si>
  <si>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</si>
  <si>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</si>
  <si>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</si>
  <si>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</si>
  <si>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</si>
  <si>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</si>
  <si>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</si>
  <si>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</si>
  <si>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</si>
  <si>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</si>
  <si>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</si>
  <si>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</si>
  <si>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</si>
  <si>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</si>
  <si>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</si>
  <si>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</si>
  <si>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</si>
  <si>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</si>
  <si>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</si>
  <si>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</si>
  <si>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</si>
  <si>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</si>
  <si>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</si>
  <si>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</si>
  <si>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</si>
  <si>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</si>
  <si>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</si>
  <si>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</si>
  <si>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</si>
  <si>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</si>
  <si>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</si>
  <si>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</si>
  <si>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</si>
  <si>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</si>
  <si>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</si>
  <si>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</si>
  <si>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</si>
  <si>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</si>
  <si>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</si>
  <si>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</si>
  <si>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6531-Telecommunications</t>
  </si>
  <si>
    <t>2220-Improvement of Instruction</t>
  </si>
  <si>
    <t>2230-Library/Media Services</t>
  </si>
  <si>
    <t>6432-Technology-Related Repairs and Maintenance</t>
  </si>
  <si>
    <t>6441-Rental of Computers and Related Equipment</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</si>
  <si>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</si>
  <si>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</si>
  <si>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</si>
  <si>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</si>
  <si>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</si>
  <si>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</si>
  <si>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</si>
  <si>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</si>
  <si>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</si>
  <si>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</si>
  <si>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</si>
  <si>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</si>
  <si>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</si>
  <si>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</si>
  <si>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</si>
  <si>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</si>
  <si>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</si>
  <si>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</si>
  <si>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</si>
  <si>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</si>
  <si>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</si>
  <si>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</si>
  <si>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</si>
  <si>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</si>
  <si>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</si>
  <si>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</si>
  <si>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</si>
  <si>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</si>
  <si>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</si>
  <si>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</si>
  <si>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</si>
  <si>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</si>
  <si>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</si>
  <si>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</si>
  <si>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</si>
  <si>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</si>
  <si>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</si>
  <si>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</si>
  <si>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</si>
  <si>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</si>
  <si>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</si>
  <si>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</si>
  <si>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</si>
  <si>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</si>
  <si>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</si>
  <si>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</si>
  <si>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</si>
  <si>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</si>
  <si>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t>6650-Supplies-Technology-Related</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</si>
  <si>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</si>
  <si>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</si>
  <si>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</si>
  <si>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</si>
  <si>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</si>
  <si>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</si>
  <si>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</si>
  <si>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</si>
  <si>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</si>
  <si>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</si>
  <si>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</si>
  <si>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</si>
  <si>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</si>
  <si>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</si>
  <si>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</si>
  <si>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</si>
  <si>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</si>
  <si>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</si>
  <si>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</si>
  <si>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</si>
  <si>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</si>
  <si>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</si>
  <si>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</si>
  <si>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</si>
  <si>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</si>
  <si>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</si>
  <si>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</si>
  <si>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</si>
  <si>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</si>
  <si>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</si>
  <si>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</si>
  <si>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</si>
  <si>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</si>
  <si>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</si>
  <si>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</si>
  <si>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</si>
  <si>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</si>
  <si>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</si>
  <si>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</si>
  <si>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</si>
  <si>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</si>
  <si>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</si>
  <si>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</si>
  <si>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</si>
  <si>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</si>
  <si>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</si>
  <si>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</si>
  <si>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</si>
  <si>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</si>
  <si>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</si>
  <si>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</si>
  <si>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</si>
  <si>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</si>
  <si>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</si>
  <si>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</si>
  <si>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</si>
  <si>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</si>
  <si>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</si>
  <si>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</si>
  <si>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</si>
  <si>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</si>
  <si>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</si>
  <si>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</si>
  <si>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</si>
  <si>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</si>
  <si>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</si>
  <si>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</si>
  <si>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</si>
  <si>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</si>
  <si>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</si>
  <si>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</si>
  <si>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</si>
  <si>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</si>
  <si>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</si>
  <si>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</si>
  <si>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</si>
  <si>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</si>
  <si>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</si>
  <si>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</si>
  <si>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</si>
  <si>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</si>
  <si>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</si>
  <si>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</si>
  <si>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</si>
  <si>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</si>
  <si>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</si>
  <si>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</si>
  <si>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</si>
  <si>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</si>
  <si>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</si>
  <si>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</si>
  <si>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</si>
  <si>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</si>
  <si>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</si>
  <si>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</si>
  <si>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</si>
  <si>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</si>
  <si>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</si>
  <si>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</si>
  <si>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</si>
  <si>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</si>
  <si>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</si>
  <si>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</si>
  <si>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</si>
  <si>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</si>
  <si>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</si>
  <si>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</si>
  <si>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</si>
  <si>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</si>
  <si>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</si>
  <si>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</si>
  <si>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</si>
  <si>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</si>
  <si>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</si>
  <si>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</si>
  <si>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</si>
  <si>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</si>
  <si>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</si>
  <si>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</si>
  <si>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</si>
  <si>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</si>
  <si>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</si>
  <si>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</si>
  <si>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</si>
  <si>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</si>
  <si>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</si>
  <si>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</si>
  <si>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</si>
  <si>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</si>
  <si>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</si>
  <si>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</si>
  <si>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</si>
  <si>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</si>
  <si>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</si>
  <si>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</si>
  <si>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Valor Preparatory Academy, LLC</t>
  </si>
  <si>
    <t>Maricopa</t>
  </si>
  <si>
    <t>078104000</t>
  </si>
  <si>
    <t>-</t>
  </si>
  <si>
    <t>Governing Board Member</t>
  </si>
  <si>
    <t>X</t>
  </si>
  <si>
    <t>Howard Marzolf</t>
  </si>
  <si>
    <t>Amy Spencer</t>
  </si>
  <si>
    <t>howard.marzolf@strongmind.com</t>
  </si>
  <si>
    <t>amy.spencer@valoraz.org</t>
  </si>
  <si>
    <t>Prop 123</t>
  </si>
  <si>
    <t>071804000</t>
  </si>
  <si>
    <t>StrongMind</t>
  </si>
  <si>
    <t>2501 North Arizona Avenue</t>
  </si>
  <si>
    <t>Chandler</t>
  </si>
  <si>
    <t>Arizona</t>
  </si>
  <si>
    <t>85225</t>
  </si>
  <si>
    <t>47-4746942</t>
  </si>
  <si>
    <t>N/A</t>
  </si>
  <si>
    <t>Any fund balance will be maintained for future financial stability</t>
  </si>
  <si>
    <t>1920-Contributions and Donations from Private Sources</t>
  </si>
  <si>
    <t>3110-State Equalization Assistance</t>
  </si>
  <si>
    <t>3200-Restricted Revenue from State Sources</t>
  </si>
  <si>
    <t>Other Revenue from State Sources</t>
  </si>
  <si>
    <t>4100, 4300-Unrestricted/Restricted Received Directly from the Federal Government</t>
  </si>
  <si>
    <t>610-School-sponsored cocurricular activities</t>
  </si>
  <si>
    <t>6700-Property</t>
  </si>
  <si>
    <t>4000-Facilities acquisition &amp; construction</t>
  </si>
  <si>
    <t>1071-English Language Learner</t>
  </si>
  <si>
    <t>1900-Other Instructional Staff</t>
  </si>
  <si>
    <t>1200-ESEA Title VII - Indian Education</t>
  </si>
  <si>
    <t>530-Dropout Prevention Programs</t>
  </si>
  <si>
    <t>6810-Dues &amp; Fees</t>
  </si>
  <si>
    <t>1210-ESEA Title VI - Flexibility and Accountability</t>
  </si>
  <si>
    <t>540-Joint Career &amp; Technical Ed. &amp; Vocational Ed. Center</t>
  </si>
  <si>
    <t>6820-Judgments Against a Charter</t>
  </si>
  <si>
    <t>1250-AEA - Adult Education</t>
  </si>
  <si>
    <t>800-Community College Education Programs</t>
  </si>
  <si>
    <t>4000-Facilities Acquisition &amp; Construction</t>
  </si>
  <si>
    <t>1320-Tuition from Other Arizona Schools or Districts</t>
  </si>
  <si>
    <t>1260-1270-Vocational Education - Basic Grants</t>
  </si>
  <si>
    <t>900-Community Services Programs</t>
  </si>
  <si>
    <t>5000-Debt Service</t>
  </si>
  <si>
    <t>1410-Transportation Fees from Individuals</t>
  </si>
  <si>
    <t>1400-Vocational Education</t>
  </si>
  <si>
    <t>1800-Revenue from Community Services Activities</t>
  </si>
  <si>
    <t>1410-Early Childhood Block Grant</t>
  </si>
  <si>
    <t>1900-Other Revenues and Gains from Local Sources</t>
  </si>
  <si>
    <t>1420-Extended School Year - Pupils with Disabilities</t>
  </si>
  <si>
    <t>1425-Adult Basic Education</t>
  </si>
  <si>
    <t>Other Revenue from Local Sources</t>
  </si>
  <si>
    <t>1430-Chemical Abuse Prevention Programs</t>
  </si>
  <si>
    <t>2100-Unrestricted Revenue from Intermediate Sources</t>
  </si>
  <si>
    <t>1435-Academic Contests</t>
  </si>
  <si>
    <t>2200-Restricted Revenue from Intermediate Sources</t>
  </si>
  <si>
    <t>1450-Gifted Education</t>
  </si>
  <si>
    <t>Other Revenue from Intermediate Sources</t>
  </si>
  <si>
    <t>1456-College Credit Exam Incentives</t>
  </si>
  <si>
    <t>1457-Results-Based Funding</t>
  </si>
  <si>
    <t>3130-3150-Other Unrestricted Revenue from State Sources</t>
  </si>
  <si>
    <t>1460-Environmental Special Plate</t>
  </si>
  <si>
    <t>1465-Charter School Stimulus Fund</t>
  </si>
  <si>
    <t>3900-Revenue for/on Behalf of the School</t>
  </si>
  <si>
    <t>14XX-Arizona Industry Credentials Incentive</t>
  </si>
  <si>
    <t>1470-1499-Other State Projects</t>
  </si>
  <si>
    <t>1500-1999-Other Special Projects</t>
  </si>
  <si>
    <t>4200, 4500-Unrestricted/Restricted Received from the Federal Government through the State</t>
  </si>
  <si>
    <t>9999-Other Non PSD-12 Projects</t>
  </si>
  <si>
    <t>4700-Revenue Received from the Federal Government through Other Intermediate Agencies</t>
  </si>
  <si>
    <t>4800-Federal Impact Aid</t>
  </si>
  <si>
    <t>4900-Revenue for/on Behalf of the School</t>
  </si>
  <si>
    <t>Other Revenue from Federal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</si>
</sst>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73" x14ac:knownFonts="1">
    <font>
      <sz val="10"/>
      <name val="Times New Roman"/>
      <family val="2"/>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sz val="8"/>
      <color rgb="FF000000"/>
      <name val="Arial"/>
      <family val="2"/>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s>
  <fills count="24">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
      <patternFill patternType="solid">
        <fgColor rgb="FFFF0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72"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8" fillId="0" borderId="0" applyNumberFormat="0" applyFill="0" applyBorder="0">
      <protection locked="0"/>
    </xf>
    <xf numFmtId="0" fontId="4" fillId="0" borderId="0"/>
    <xf numFmtId="0" fontId="15" fillId="0" borderId="0" applyFont="0" applyBorder="0"/>
    <xf numFmtId="0" fontId="3" fillId="0" borderId="0"/>
    <xf numFmtId="0" fontId="3" fillId="0" borderId="0"/>
    <xf numFmtId="0" fontId="4" fillId="0" borderId="0"/>
    <xf numFmtId="0" fontId="53" fillId="0" borderId="0" applyNumberFormat="0" applyFill="0" applyBorder="0">
      <protection locked="0"/>
    </xf>
    <xf numFmtId="0" fontId="72" fillId="0" borderId="0"/>
    <xf numFmtId="0" fontId="8" fillId="0" borderId="0" applyNumberFormat="0" applyFill="0" applyBorder="0">
      <protection locked="0"/>
    </xf>
  </cellStyleXfs>
  <cellXfs count="940">
    <xf numFmtId="0" fontId="0" fillId="0" borderId="0" xfId="0"/>
    <xf numFmtId="0" fontId="32"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40" fillId="0" borderId="1" xfId="7" applyFont="1" applyBorder="1" applyProtection="1">
      <protection locked="0"/>
    </xf>
    <xf numFmtId="49" fontId="40" fillId="0" borderId="1" xfId="7" applyNumberFormat="1" applyFont="1" applyBorder="1" applyProtection="1">
      <protection locked="0"/>
    </xf>
    <xf numFmtId="169" fontId="40" fillId="0" borderId="1" xfId="7" applyNumberFormat="1" applyFont="1" applyBorder="1" applyProtection="1">
      <protection locked="0"/>
    </xf>
    <xf numFmtId="0" fontId="40" fillId="0" borderId="1" xfId="7" applyFont="1" applyBorder="1" applyAlignment="1" applyProtection="1">
      <alignment horizontal="right"/>
      <protection locked="0"/>
    </xf>
    <xf numFmtId="0" fontId="40" fillId="0" borderId="1" xfId="7" applyFont="1" applyBorder="1" applyAlignment="1" applyProtection="1">
      <alignment wrapText="1"/>
      <protection locked="0"/>
    </xf>
    <xf numFmtId="0" fontId="42" fillId="2" borderId="1" xfId="7" applyFont="1" applyFill="1" applyBorder="1" applyAlignment="1" applyProtection="1">
      <alignment horizontal="center"/>
      <protection locked="0"/>
    </xf>
    <xf numFmtId="0" fontId="4" fillId="0" borderId="0" xfId="7" applyProtection="1">
      <protection locked="0"/>
    </xf>
    <xf numFmtId="0" fontId="4" fillId="0" borderId="0" xfId="7" applyAlignment="1" applyProtection="1">
      <alignment horizontal="left" vertical="top"/>
      <protection locked="0"/>
    </xf>
    <xf numFmtId="0" fontId="4" fillId="0" borderId="0" xfId="7" applyAlignment="1" applyProtection="1">
      <alignment horizontal="left" vertical="top" wrapText="1"/>
      <protection locked="0"/>
    </xf>
    <xf numFmtId="0" fontId="4" fillId="0" borderId="0" xfId="7"/>
    <xf numFmtId="0" fontId="4" fillId="3" borderId="2" xfId="7" applyFill="1" applyBorder="1" applyAlignment="1" applyProtection="1">
      <alignment horizontal="left" vertical="top"/>
      <protection locked="0"/>
    </xf>
    <xf numFmtId="49" fontId="43" fillId="0" borderId="0" xfId="7" applyNumberFormat="1" applyFont="1" applyProtection="1">
      <protection locked="0"/>
    </xf>
    <xf numFmtId="0" fontId="4" fillId="0" borderId="0" xfId="7" applyAlignment="1" applyProtection="1">
      <alignment horizontal="left" indent="1"/>
      <protection locked="0"/>
    </xf>
    <xf numFmtId="0" fontId="40" fillId="0" borderId="0" xfId="7" applyFont="1" applyAlignment="1" applyProtection="1">
      <alignment horizontal="left" vertical="top"/>
      <protection locked="0"/>
    </xf>
    <xf numFmtId="0" fontId="38" fillId="0" borderId="0" xfId="7" applyFont="1" applyAlignment="1" applyProtection="1">
      <alignment horizontal="left" vertical="top"/>
      <protection locked="0"/>
    </xf>
    <xf numFmtId="40" fontId="42" fillId="2" borderId="1" xfId="7" applyNumberFormat="1" applyFont="1" applyFill="1" applyBorder="1" applyAlignment="1" applyProtection="1">
      <alignment horizontal="center"/>
      <protection locked="0"/>
    </xf>
    <xf numFmtId="40" fontId="4" fillId="0" borderId="0" xfId="7" applyNumberFormat="1" applyProtection="1">
      <protection locked="0"/>
    </xf>
    <xf numFmtId="0" fontId="42" fillId="2" borderId="2" xfId="7" applyFont="1" applyFill="1" applyBorder="1" applyAlignment="1" applyProtection="1">
      <alignment horizontal="center"/>
      <protection locked="0"/>
    </xf>
    <xf numFmtId="0" fontId="4" fillId="3" borderId="0" xfId="7" applyFill="1" applyProtection="1">
      <protection locked="0"/>
    </xf>
    <xf numFmtId="0" fontId="4" fillId="3" borderId="0" xfId="7" applyFill="1" applyAlignment="1" applyProtection="1">
      <alignment horizontal="left" vertical="top"/>
      <protection locked="0"/>
    </xf>
    <xf numFmtId="0" fontId="4" fillId="3" borderId="0" xfId="7" applyFill="1" applyAlignment="1" applyProtection="1">
      <alignment horizontal="left"/>
      <protection locked="0"/>
    </xf>
    <xf numFmtId="0" fontId="51"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51" fillId="4" borderId="6" xfId="0" applyFont="1" applyFill="1" applyBorder="1" applyProtection="1">
      <protection locked="0"/>
    </xf>
    <xf numFmtId="168" fontId="62" fillId="0" borderId="7" xfId="12" applyNumberFormat="1" applyFont="1" applyFill="1" applyBorder="1" applyProtection="1"/>
    <xf numFmtId="37" fontId="32" fillId="0" borderId="1" xfId="10" applyNumberFormat="1" applyFont="1" applyBorder="1" applyAlignment="1" applyProtection="1">
      <alignment horizontal="right" vertical="center"/>
      <protection locked="0"/>
    </xf>
    <xf numFmtId="168" fontId="5" fillId="0" borderId="8" xfId="12" applyNumberFormat="1" applyFont="1" applyFill="1" applyBorder="1" applyAlignment="1" applyProtection="1">
      <alignment horizontal="center" wrapText="1"/>
    </xf>
    <xf numFmtId="168" fontId="5" fillId="0" borderId="1" xfId="12" applyNumberFormat="1" applyFont="1" applyFill="1" applyBorder="1" applyAlignment="1" applyProtection="1">
      <alignment horizontal="center" wrapText="1"/>
    </xf>
    <xf numFmtId="37" fontId="32" fillId="0" borderId="1" xfId="4" applyNumberFormat="1" applyFont="1" applyFill="1" applyBorder="1" applyProtection="1">
      <protection locked="0"/>
    </xf>
    <xf numFmtId="37" fontId="32" fillId="6" borderId="1" xfId="10" quotePrefix="1" applyNumberFormat="1" applyFont="1" applyFill="1" applyBorder="1" applyProtection="1">
      <protection locked="0"/>
    </xf>
    <xf numFmtId="37" fontId="32" fillId="0" borderId="1" xfId="4" applyNumberFormat="1" applyFont="1" applyFill="1" applyBorder="1" applyAlignment="1" applyProtection="1">
      <alignment wrapText="1"/>
    </xf>
    <xf numFmtId="37" fontId="32" fillId="0" borderId="8" xfId="4" applyNumberFormat="1" applyFont="1" applyFill="1" applyBorder="1" applyProtection="1">
      <protection locked="0"/>
    </xf>
    <xf numFmtId="37" fontId="32" fillId="0" borderId="0" xfId="4" applyNumberFormat="1" applyFont="1" applyFill="1" applyBorder="1" applyProtection="1"/>
    <xf numFmtId="0" fontId="16" fillId="0" borderId="0" xfId="12" applyFont="1" applyFill="1" applyBorder="1" applyProtection="1"/>
    <xf numFmtId="0" fontId="35" fillId="0" borderId="0" xfId="12" applyFont="1" applyFill="1" applyBorder="1" applyProtection="1"/>
    <xf numFmtId="165" fontId="32" fillId="0" borderId="0" xfId="12" applyNumberFormat="1" applyFont="1" applyFill="1" applyBorder="1" applyAlignment="1" applyProtection="1">
      <alignment vertical="center" wrapText="1"/>
    </xf>
    <xf numFmtId="165" fontId="36" fillId="0" borderId="0" xfId="12" applyNumberFormat="1" applyFont="1" applyFill="1" applyBorder="1" applyAlignment="1" applyProtection="1">
      <alignment horizontal="center" vertical="center" wrapText="1"/>
    </xf>
    <xf numFmtId="168" fontId="12" fillId="7" borderId="9" xfId="12" applyNumberFormat="1" applyFont="1" applyFill="1" applyBorder="1" applyAlignment="1" applyProtection="1">
      <alignment horizontal="left"/>
    </xf>
    <xf numFmtId="165" fontId="32" fillId="7" borderId="4" xfId="12" applyNumberFormat="1" applyFont="1" applyFill="1" applyBorder="1" applyAlignment="1" applyProtection="1">
      <alignment horizontal="left"/>
    </xf>
    <xf numFmtId="37" fontId="32" fillId="0" borderId="1" xfId="10" applyNumberFormat="1" applyFont="1" applyBorder="1" applyProtection="1">
      <protection locked="0"/>
    </xf>
    <xf numFmtId="168" fontId="12" fillId="8" borderId="9" xfId="12" applyNumberFormat="1" applyFont="1" applyFill="1" applyBorder="1" applyAlignment="1" applyProtection="1">
      <alignment horizontal="left"/>
    </xf>
    <xf numFmtId="168" fontId="12" fillId="8" borderId="4" xfId="12" applyNumberFormat="1" applyFont="1" applyFill="1" applyBorder="1" applyAlignment="1" applyProtection="1">
      <alignment horizontal="left"/>
    </xf>
    <xf numFmtId="37" fontId="61" fillId="0" borderId="1" xfId="4" applyNumberFormat="1" applyFont="1" applyFill="1" applyBorder="1" applyAlignment="1" applyProtection="1">
      <alignment horizontal="right"/>
    </xf>
    <xf numFmtId="0" fontId="46" fillId="0" borderId="0" xfId="0" applyFont="1"/>
    <xf numFmtId="37" fontId="56" fillId="4" borderId="1" xfId="0" applyNumberFormat="1" applyFont="1" applyFill="1" applyBorder="1" applyProtection="1">
      <protection locked="0"/>
    </xf>
    <xf numFmtId="37" fontId="56" fillId="4" borderId="5" xfId="0" applyNumberFormat="1" applyFont="1" applyFill="1" applyBorder="1" applyProtection="1">
      <protection locked="0"/>
    </xf>
    <xf numFmtId="37" fontId="56" fillId="5" borderId="1" xfId="0" applyNumberFormat="1" applyFont="1" applyFill="1" applyBorder="1" applyProtection="1">
      <protection locked="0"/>
    </xf>
    <xf numFmtId="37" fontId="56" fillId="0" borderId="1" xfId="0" applyNumberFormat="1" applyFont="1" applyBorder="1" applyProtection="1">
      <protection locked="0"/>
    </xf>
    <xf numFmtId="37" fontId="56" fillId="4" borderId="10" xfId="0" applyNumberFormat="1" applyFont="1" applyFill="1" applyBorder="1" applyProtection="1">
      <protection locked="0"/>
    </xf>
    <xf numFmtId="37" fontId="56" fillId="4" borderId="11" xfId="0" applyNumberFormat="1" applyFont="1" applyFill="1" applyBorder="1" applyProtection="1">
      <protection locked="0"/>
    </xf>
    <xf numFmtId="37" fontId="56" fillId="0" borderId="11" xfId="0" applyNumberFormat="1" applyFont="1" applyBorder="1" applyProtection="1">
      <protection locked="0"/>
    </xf>
    <xf numFmtId="37" fontId="56" fillId="0" borderId="3" xfId="0" applyNumberFormat="1" applyFont="1" applyBorder="1" applyProtection="1">
      <protection locked="0"/>
    </xf>
    <xf numFmtId="3" fontId="56" fillId="0" borderId="3" xfId="0" applyNumberFormat="1" applyFont="1" applyBorder="1" applyProtection="1">
      <protection locked="0"/>
    </xf>
    <xf numFmtId="0" fontId="69" fillId="7" borderId="4" xfId="12" applyFont="1" applyFill="1" applyBorder="1" applyProtection="1"/>
    <xf numFmtId="0" fontId="69" fillId="7" borderId="8" xfId="12" applyFont="1" applyFill="1" applyBorder="1" applyProtection="1"/>
    <xf numFmtId="0" fontId="5" fillId="0" borderId="0" xfId="0" applyFont="1" applyAlignment="1">
      <alignment horizontal="left"/>
    </xf>
    <xf numFmtId="0" fontId="0" fillId="0" borderId="3" xfId="0" applyBorder="1" applyAlignment="1">
      <alignment horizontal="center"/>
    </xf>
    <xf numFmtId="0" fontId="5"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5" fillId="0" borderId="0" xfId="0" applyFont="1"/>
    <xf numFmtId="0" fontId="5" fillId="0" borderId="1" xfId="0" applyFont="1" applyBorder="1" applyAlignment="1">
      <alignment horizontal="center"/>
    </xf>
    <xf numFmtId="0" fontId="6" fillId="0" borderId="0" xfId="0" applyFont="1"/>
    <xf numFmtId="0" fontId="0" fillId="0" borderId="0" xfId="0" applyAlignment="1">
      <alignment horizontal="left"/>
    </xf>
    <xf numFmtId="37" fontId="56"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7" fillId="0" borderId="0" xfId="0" applyFont="1"/>
    <xf numFmtId="0" fontId="6"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6"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5"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5"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5" fillId="0" borderId="12" xfId="0" applyFont="1" applyBorder="1"/>
    <xf numFmtId="37" fontId="0" fillId="0" borderId="10" xfId="0" applyNumberFormat="1" applyBorder="1"/>
    <xf numFmtId="0" fontId="36" fillId="0" borderId="0" xfId="0" applyFont="1"/>
    <xf numFmtId="0" fontId="0" fillId="0" borderId="2" xfId="0" applyBorder="1"/>
    <xf numFmtId="49" fontId="0" fillId="0" borderId="14" xfId="0" applyNumberFormat="1" applyBorder="1" applyAlignment="1">
      <alignment horizontal="right"/>
    </xf>
    <xf numFmtId="49" fontId="0" fillId="0" borderId="0" xfId="0" applyNumberFormat="1" applyAlignment="1">
      <alignment horizontal="left"/>
    </xf>
    <xf numFmtId="37" fontId="56" fillId="0" borderId="1" xfId="0" applyNumberFormat="1" applyFont="1" applyBorder="1"/>
    <xf numFmtId="10" fontId="56"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5" fillId="0" borderId="2" xfId="0" applyFont="1" applyBorder="1"/>
    <xf numFmtId="49" fontId="0" fillId="0" borderId="17" xfId="0" applyNumberFormat="1" applyBorder="1" applyAlignment="1">
      <alignment horizontal="right"/>
    </xf>
    <xf numFmtId="10" fontId="56"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8"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6" fillId="7" borderId="12" xfId="6" applyFont="1" applyFill="1" applyBorder="1" applyProtection="1"/>
    <xf numFmtId="0" fontId="16"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6" fillId="5" borderId="10" xfId="0" applyNumberFormat="1" applyFont="1" applyFill="1" applyBorder="1" applyProtection="1">
      <protection locked="0"/>
    </xf>
    <xf numFmtId="0" fontId="70" fillId="11" borderId="9" xfId="6" applyFont="1" applyFill="1" applyBorder="1" applyAlignment="1" applyProtection="1">
      <alignment horizontal="left"/>
    </xf>
    <xf numFmtId="37" fontId="56" fillId="0" borderId="15" xfId="0" applyNumberFormat="1" applyFont="1" applyBorder="1"/>
    <xf numFmtId="0" fontId="5" fillId="0" borderId="0" xfId="0" applyFont="1" applyAlignment="1">
      <alignment horizontal="center"/>
    </xf>
    <xf numFmtId="14" fontId="5" fillId="0" borderId="3" xfId="0" applyNumberFormat="1" applyFont="1" applyBorder="1"/>
    <xf numFmtId="0" fontId="7" fillId="0" borderId="0" xfId="0" applyFont="1" applyAlignment="1">
      <alignment horizontal="left"/>
    </xf>
    <xf numFmtId="0" fontId="36" fillId="0" borderId="0" xfId="0" applyFont="1" applyAlignment="1">
      <alignment vertical="center" wrapText="1"/>
    </xf>
    <xf numFmtId="0" fontId="36"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6" fillId="0" borderId="7" xfId="9" applyFont="1" applyBorder="1" applyAlignment="1">
      <alignment horizontal="centerContinuous"/>
    </xf>
    <xf numFmtId="0" fontId="36" fillId="0" borderId="13" xfId="9" applyFont="1" applyBorder="1" applyAlignment="1">
      <alignment horizontal="centerContinuous"/>
    </xf>
    <xf numFmtId="0" fontId="36" fillId="0" borderId="2" xfId="0" applyFont="1" applyBorder="1" applyAlignment="1">
      <alignment horizontal="center"/>
    </xf>
    <xf numFmtId="0" fontId="5" fillId="0" borderId="2" xfId="9" applyFont="1" applyBorder="1"/>
    <xf numFmtId="0" fontId="36" fillId="0" borderId="0" xfId="9" applyFont="1"/>
    <xf numFmtId="0" fontId="36" fillId="0" borderId="14" xfId="9" applyFont="1" applyBorder="1"/>
    <xf numFmtId="0" fontId="0" fillId="0" borderId="15" xfId="9" applyFont="1" applyBorder="1" applyAlignment="1">
      <alignment horizontal="center"/>
    </xf>
    <xf numFmtId="0" fontId="36" fillId="0" borderId="2" xfId="9" applyFont="1" applyBorder="1" applyAlignment="1">
      <alignment horizontal="center"/>
    </xf>
    <xf numFmtId="0" fontId="36" fillId="0" borderId="3" xfId="9" applyFont="1" applyBorder="1"/>
    <xf numFmtId="0" fontId="36" fillId="0" borderId="17" xfId="9" applyFont="1" applyBorder="1"/>
    <xf numFmtId="0" fontId="36" fillId="0" borderId="13" xfId="0" applyFont="1" applyBorder="1"/>
    <xf numFmtId="0" fontId="36" fillId="0" borderId="2" xfId="9" applyFont="1" applyBorder="1"/>
    <xf numFmtId="0" fontId="0" fillId="0" borderId="14" xfId="0" quotePrefix="1" applyBorder="1" applyAlignment="1">
      <alignment horizontal="right"/>
    </xf>
    <xf numFmtId="37" fontId="56" fillId="4" borderId="5" xfId="0" applyNumberFormat="1" applyFont="1" applyFill="1" applyBorder="1"/>
    <xf numFmtId="37" fontId="56" fillId="0" borderId="5" xfId="0" applyNumberFormat="1" applyFont="1" applyBorder="1"/>
    <xf numFmtId="0" fontId="36" fillId="7" borderId="0" xfId="0" applyFont="1" applyFill="1"/>
    <xf numFmtId="0" fontId="36" fillId="0" borderId="16" xfId="9" applyFont="1" applyBorder="1"/>
    <xf numFmtId="0" fontId="36"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6" fillId="0" borderId="7" xfId="0" applyFont="1" applyBorder="1"/>
    <xf numFmtId="0" fontId="0" fillId="0" borderId="7" xfId="0" quotePrefix="1" applyBorder="1" applyAlignment="1">
      <alignment horizontal="right"/>
    </xf>
    <xf numFmtId="0" fontId="48" fillId="4" borderId="0" xfId="0" applyFont="1" applyFill="1" applyAlignment="1">
      <alignment vertical="center"/>
    </xf>
    <xf numFmtId="0" fontId="36" fillId="0" borderId="3" xfId="0" applyFont="1" applyBorder="1"/>
    <xf numFmtId="0" fontId="0" fillId="0" borderId="3" xfId="0" quotePrefix="1" applyBorder="1" applyAlignment="1">
      <alignment horizontal="right"/>
    </xf>
    <xf numFmtId="0" fontId="5" fillId="0" borderId="3" xfId="0" applyFont="1" applyBorder="1" applyAlignment="1">
      <alignment vertical="center"/>
    </xf>
    <xf numFmtId="0" fontId="5" fillId="0" borderId="12" xfId="0" applyFont="1" applyBorder="1" applyAlignment="1">
      <alignment vertical="center"/>
    </xf>
    <xf numFmtId="0" fontId="5" fillId="0" borderId="7" xfId="0" applyFont="1" applyBorder="1" applyAlignment="1">
      <alignment vertical="center"/>
    </xf>
    <xf numFmtId="0" fontId="5" fillId="0" borderId="2" xfId="0" applyFont="1" applyBorder="1" applyAlignment="1">
      <alignment vertical="center"/>
    </xf>
    <xf numFmtId="0" fontId="5" fillId="0" borderId="0" xfId="0" applyFont="1" applyAlignment="1">
      <alignment vertical="center"/>
    </xf>
    <xf numFmtId="0" fontId="49"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10" borderId="5" xfId="9" applyNumberFormat="1" applyFont="1" applyFill="1" applyBorder="1"/>
    <xf numFmtId="167" fontId="0" fillId="0" borderId="17" xfId="9" applyNumberFormat="1" applyFont="1" applyBorder="1"/>
    <xf numFmtId="168" fontId="0" fillId="12" borderId="15" xfId="0" applyNumberFormat="1" applyFill="1" applyBorder="1" applyAlignment="1">
      <alignment horizontal="center"/>
    </xf>
    <xf numFmtId="168" fontId="0" fillId="12" borderId="0" xfId="0" applyNumberFormat="1" applyFill="1"/>
    <xf numFmtId="167" fontId="0" fillId="0" borderId="0" xfId="9" applyNumberFormat="1" applyFont="1" applyAlignment="1">
      <alignment horizontal="right"/>
    </xf>
    <xf numFmtId="168" fontId="0" fillId="12" borderId="2" xfId="0" applyNumberFormat="1" applyFill="1" applyBorder="1"/>
    <xf numFmtId="168" fontId="0" fillId="0" borderId="0" xfId="0" applyNumberFormat="1"/>
    <xf numFmtId="168" fontId="0" fillId="12"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12" borderId="0" xfId="0" applyNumberFormat="1" applyFill="1"/>
    <xf numFmtId="168" fontId="0" fillId="12" borderId="7" xfId="0" applyNumberFormat="1" applyFill="1" applyBorder="1"/>
    <xf numFmtId="167" fontId="0" fillId="0" borderId="7" xfId="9" applyNumberFormat="1" applyFont="1" applyBorder="1" applyAlignment="1">
      <alignment horizontal="right"/>
    </xf>
    <xf numFmtId="38" fontId="0" fillId="12" borderId="10" xfId="0" applyNumberFormat="1" applyFill="1" applyBorder="1" applyAlignment="1">
      <alignment horizontal="right"/>
    </xf>
    <xf numFmtId="167" fontId="36" fillId="0" borderId="3" xfId="9" applyNumberFormat="1" applyFont="1" applyBorder="1" applyAlignment="1">
      <alignment horizontal="right"/>
    </xf>
    <xf numFmtId="38" fontId="0" fillId="12" borderId="5" xfId="0" applyNumberFormat="1" applyFill="1" applyBorder="1" applyAlignment="1">
      <alignment horizontal="center"/>
    </xf>
    <xf numFmtId="167" fontId="36" fillId="0" borderId="0" xfId="9" applyNumberFormat="1" applyFont="1" applyAlignment="1">
      <alignment horizontal="left"/>
    </xf>
    <xf numFmtId="168" fontId="36" fillId="12"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13" borderId="5" xfId="9" applyNumberFormat="1" applyFont="1" applyFill="1" applyBorder="1"/>
    <xf numFmtId="167" fontId="0" fillId="0" borderId="2" xfId="9" applyNumberFormat="1" applyFont="1" applyBorder="1" applyAlignment="1">
      <alignment horizontal="left"/>
    </xf>
    <xf numFmtId="168" fontId="36" fillId="12"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2"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67"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67"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6" fillId="4" borderId="10" xfId="0" applyNumberFormat="1" applyFont="1" applyFill="1" applyBorder="1"/>
    <xf numFmtId="49" fontId="0" fillId="0" borderId="3" xfId="0" applyNumberFormat="1" applyBorder="1" applyAlignment="1">
      <alignment horizontal="centerContinuous"/>
    </xf>
    <xf numFmtId="0" fontId="5" fillId="0" borderId="0" xfId="0" applyFont="1" applyAlignment="1">
      <alignment horizontal="centerContinuous"/>
    </xf>
    <xf numFmtId="49" fontId="32" fillId="0" borderId="0" xfId="0" applyNumberFormat="1" applyFont="1" applyAlignment="1">
      <alignment horizontal="center"/>
    </xf>
    <xf numFmtId="37" fontId="56" fillId="0" borderId="3" xfId="0" applyNumberFormat="1" applyFont="1" applyBorder="1"/>
    <xf numFmtId="49" fontId="34" fillId="7" borderId="0" xfId="6" applyNumberFormat="1" applyFont="1" applyFill="1" applyProtection="1"/>
    <xf numFmtId="0" fontId="34"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4" fontId="0" fillId="0" borderId="0" xfId="0" applyNumberFormat="1" applyAlignment="1">
      <alignment horizontal="center"/>
    </xf>
    <xf numFmtId="0" fontId="46" fillId="4" borderId="0" xfId="0" applyFont="1" applyFill="1"/>
    <xf numFmtId="0" fontId="0" fillId="0" borderId="0" xfId="0" quotePrefix="1"/>
    <xf numFmtId="37" fontId="56" fillId="0" borderId="11" xfId="0" applyNumberFormat="1" applyFont="1" applyBorder="1"/>
    <xf numFmtId="37" fontId="56" fillId="4" borderId="18" xfId="0" applyNumberFormat="1" applyFont="1" applyFill="1" applyBorder="1"/>
    <xf numFmtId="37" fontId="0" fillId="0" borderId="0" xfId="0" applyNumberFormat="1" applyAlignment="1">
      <alignment horizontal="right"/>
    </xf>
    <xf numFmtId="0" fontId="6" fillId="0" borderId="10" xfId="0" applyFont="1" applyBorder="1" applyAlignment="1">
      <alignment horizontal="center" wrapText="1"/>
    </xf>
    <xf numFmtId="0" fontId="6" fillId="0" borderId="15" xfId="0" applyFont="1" applyBorder="1" applyAlignment="1">
      <alignment horizontal="center" wrapText="1"/>
    </xf>
    <xf numFmtId="0" fontId="6" fillId="0" borderId="5" xfId="0" applyFont="1" applyBorder="1" applyAlignment="1">
      <alignment horizontal="center" wrapText="1"/>
    </xf>
    <xf numFmtId="37" fontId="56" fillId="4" borderId="11" xfId="0" applyNumberFormat="1" applyFont="1" applyFill="1" applyBorder="1"/>
    <xf numFmtId="0" fontId="68"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4" fillId="0" borderId="0" xfId="6" applyFont="1" applyProtection="1"/>
    <xf numFmtId="0" fontId="8" fillId="7" borderId="0" xfId="6" applyFill="1" applyProtection="1"/>
    <xf numFmtId="0" fontId="7" fillId="0" borderId="0" xfId="0" applyFont="1"/>
    <xf numFmtId="37" fontId="0" fillId="0" borderId="19" xfId="0" applyNumberFormat="1" applyBorder="1"/>
    <xf numFmtId="49" fontId="17" fillId="0" borderId="0" xfId="0" applyNumberFormat="1" applyFont="1" applyAlignment="1">
      <alignment horizontal="right"/>
    </xf>
    <xf numFmtId="3" fontId="56" fillId="0" borderId="4" xfId="0" applyNumberFormat="1" applyFont="1" applyBorder="1"/>
    <xf numFmtId="0" fontId="34" fillId="0" borderId="0" xfId="0" applyFont="1"/>
    <xf numFmtId="3" fontId="56"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6" fillId="4" borderId="19" xfId="0" applyNumberFormat="1" applyFont="1" applyFill="1" applyBorder="1"/>
    <xf numFmtId="0" fontId="14" fillId="0" borderId="0" xfId="0" applyFont="1"/>
    <xf numFmtId="0" fontId="56" fillId="0" borderId="7" xfId="0" applyFont="1" applyBorder="1"/>
    <xf numFmtId="0" fontId="47" fillId="0" borderId="0" xfId="0" applyFont="1"/>
    <xf numFmtId="0" fontId="58" fillId="0" borderId="0" xfId="0" applyFont="1"/>
    <xf numFmtId="0" fontId="60" fillId="0" borderId="0" xfId="0" applyFont="1" applyAlignment="1">
      <alignment shrinkToFit="1"/>
    </xf>
    <xf numFmtId="0" fontId="46" fillId="0" borderId="0" xfId="0" applyFont="1" applyAlignment="1">
      <alignment shrinkToFit="1"/>
    </xf>
    <xf numFmtId="49" fontId="0" fillId="0" borderId="0" xfId="0" applyNumberFormat="1"/>
    <xf numFmtId="37" fontId="0" fillId="4" borderId="20" xfId="0" applyNumberFormat="1" applyFill="1" applyBorder="1"/>
    <xf numFmtId="0" fontId="34" fillId="0" borderId="0" xfId="6" applyFont="1" applyFill="1" applyProtection="1"/>
    <xf numFmtId="0" fontId="36" fillId="0" borderId="0" xfId="6" applyFont="1" applyFill="1" applyProtection="1"/>
    <xf numFmtId="0" fontId="12" fillId="7" borderId="1" xfId="6" applyFont="1" applyFill="1" applyBorder="1" applyAlignment="1" applyProtection="1">
      <alignment horizontal="center" wrapText="1"/>
    </xf>
    <xf numFmtId="0" fontId="12"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6" fillId="10" borderId="1" xfId="0" applyNumberFormat="1" applyFont="1" applyFill="1" applyBorder="1"/>
    <xf numFmtId="0" fontId="45" fillId="7" borderId="0" xfId="6" applyFont="1" applyFill="1" applyProtection="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6" fillId="0" borderId="0" xfId="0" applyNumberFormat="1" applyFont="1" applyAlignment="1">
      <alignment horizontal="right"/>
    </xf>
    <xf numFmtId="49" fontId="36" fillId="0" borderId="0" xfId="0" applyNumberFormat="1" applyFont="1"/>
    <xf numFmtId="37" fontId="56" fillId="4" borderId="20" xfId="0" applyNumberFormat="1" applyFont="1" applyFill="1" applyBorder="1"/>
    <xf numFmtId="49" fontId="0" fillId="0" borderId="3" xfId="0" applyNumberFormat="1" applyBorder="1"/>
    <xf numFmtId="168" fontId="5" fillId="12" borderId="0" xfId="0" applyNumberFormat="1" applyFont="1" applyFill="1" applyAlignment="1">
      <alignment horizontal="center"/>
    </xf>
    <xf numFmtId="168" fontId="5" fillId="12" borderId="0" xfId="0" applyNumberFormat="1" applyFont="1" applyFill="1"/>
    <xf numFmtId="168" fontId="33" fillId="0" borderId="0" xfId="6" applyNumberFormat="1" applyFont="1" applyFill="1" applyProtection="1"/>
    <xf numFmtId="168" fontId="16" fillId="0" borderId="2" xfId="6" applyNumberFormat="1" applyFont="1" applyFill="1" applyBorder="1" applyProtection="1"/>
    <xf numFmtId="168" fontId="36" fillId="12"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4" fillId="7"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6"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4" fillId="7" borderId="0" xfId="6" applyNumberFormat="1" applyFont="1" applyFill="1" applyBorder="1" applyAlignment="1" applyProtection="1">
      <alignment horizontal="center"/>
    </xf>
    <xf numFmtId="168" fontId="5" fillId="0" borderId="0" xfId="0" applyNumberFormat="1" applyFont="1" applyAlignment="1">
      <alignment horizontal="left"/>
    </xf>
    <xf numFmtId="1" fontId="34" fillId="7" borderId="0" xfId="6" applyNumberFormat="1" applyFont="1" applyFill="1" applyBorder="1" applyAlignment="1" applyProtection="1">
      <alignment horizontal="center"/>
    </xf>
    <xf numFmtId="168" fontId="0" fillId="12" borderId="0" xfId="0" applyNumberFormat="1" applyFill="1" applyAlignment="1">
      <alignment horizontal="left"/>
    </xf>
    <xf numFmtId="168" fontId="0" fillId="12" borderId="0" xfId="0" quotePrefix="1" applyNumberFormat="1" applyFill="1" applyAlignment="1">
      <alignment horizontal="right"/>
    </xf>
    <xf numFmtId="168" fontId="0" fillId="12" borderId="0" xfId="0" quotePrefix="1" applyNumberFormat="1" applyFill="1" applyAlignment="1">
      <alignment horizontal="left"/>
    </xf>
    <xf numFmtId="168" fontId="46" fillId="0" borderId="0" xfId="0" applyNumberFormat="1" applyFont="1"/>
    <xf numFmtId="37" fontId="0" fillId="0" borderId="10" xfId="9" applyNumberFormat="1" applyFont="1" applyBorder="1"/>
    <xf numFmtId="168"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66" fontId="0" fillId="12" borderId="0" xfId="0" applyNumberFormat="1" applyFill="1" applyAlignment="1">
      <alignment horizontal="left"/>
    </xf>
    <xf numFmtId="168"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68" fontId="36" fillId="0" borderId="0" xfId="0" applyNumberFormat="1" applyFont="1" applyAlignment="1">
      <alignment horizontal="left"/>
    </xf>
    <xf numFmtId="168" fontId="18" fillId="12" borderId="0" xfId="0" applyNumberFormat="1" applyFont="1" applyFill="1"/>
    <xf numFmtId="168" fontId="0" fillId="12" borderId="10" xfId="0" applyNumberFormat="1" applyFill="1" applyBorder="1" applyAlignment="1">
      <alignment horizontal="center"/>
    </xf>
    <xf numFmtId="168" fontId="34" fillId="7" borderId="10" xfId="0" applyNumberFormat="1" applyFont="1" applyFill="1" applyBorder="1"/>
    <xf numFmtId="168" fontId="37" fillId="12" borderId="0" xfId="0" applyNumberFormat="1" applyFont="1" applyFill="1"/>
    <xf numFmtId="168" fontId="59" fillId="7" borderId="0" xfId="6" applyNumberFormat="1" applyFont="1" applyFill="1" applyBorder="1" applyProtection="1"/>
    <xf numFmtId="168" fontId="34" fillId="7" borderId="0" xfId="6" applyNumberFormat="1" applyFont="1" applyFill="1" applyBorder="1" applyProtection="1"/>
    <xf numFmtId="49" fontId="18" fillId="12" borderId="0" xfId="0" applyNumberFormat="1" applyFont="1" applyFill="1" applyAlignment="1">
      <alignment horizontal="right"/>
    </xf>
    <xf numFmtId="168" fontId="34" fillId="7" borderId="15" xfId="0" applyNumberFormat="1" applyFont="1" applyFill="1" applyBorder="1"/>
    <xf numFmtId="49" fontId="0" fillId="12" borderId="0" xfId="0" applyNumberFormat="1" applyFill="1" applyAlignment="1">
      <alignment horizontal="right"/>
    </xf>
    <xf numFmtId="168" fontId="34" fillId="7" borderId="15" xfId="6" applyNumberFormat="1" applyFont="1" applyFill="1" applyBorder="1" applyAlignment="1" applyProtection="1">
      <alignment horizontal="center"/>
    </xf>
    <xf numFmtId="168" fontId="0" fillId="12" borderId="5" xfId="0" applyNumberFormat="1" applyFill="1" applyBorder="1" applyAlignment="1">
      <alignment horizontal="center"/>
    </xf>
    <xf numFmtId="168" fontId="34" fillId="7" borderId="5" xfId="6" applyNumberFormat="1" applyFont="1" applyFill="1" applyBorder="1" applyAlignment="1" applyProtection="1">
      <alignment horizontal="center"/>
    </xf>
    <xf numFmtId="168"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68" fontId="0" fillId="12" borderId="14" xfId="0" applyNumberFormat="1" applyFill="1" applyBorder="1" applyAlignment="1">
      <alignment horizontal="left"/>
    </xf>
    <xf numFmtId="168" fontId="0" fillId="0" borderId="1" xfId="0" applyNumberFormat="1" applyBorder="1" applyAlignment="1">
      <alignment horizontal="center"/>
    </xf>
    <xf numFmtId="168" fontId="32" fillId="0" borderId="0" xfId="0" applyNumberFormat="1" applyFont="1"/>
    <xf numFmtId="0" fontId="36"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4" fillId="7" borderId="0" xfId="6" applyNumberFormat="1" applyFont="1" applyFill="1" applyProtection="1"/>
    <xf numFmtId="168" fontId="37" fillId="7" borderId="0" xfId="0" applyNumberFormat="1" applyFont="1" applyFill="1"/>
    <xf numFmtId="168" fontId="0" fillId="0" borderId="5" xfId="0" applyNumberFormat="1" applyBorder="1" applyAlignment="1">
      <alignment horizontal="center"/>
    </xf>
    <xf numFmtId="168" fontId="36" fillId="12" borderId="0" xfId="0" quotePrefix="1" applyNumberFormat="1" applyFont="1" applyFill="1" applyAlignment="1">
      <alignment horizontal="right"/>
    </xf>
    <xf numFmtId="49" fontId="32" fillId="12" borderId="0" xfId="0" applyNumberFormat="1" applyFont="1" applyFill="1" applyAlignment="1">
      <alignment horizontal="left"/>
    </xf>
    <xf numFmtId="168" fontId="37" fillId="0" borderId="0" xfId="0" applyNumberFormat="1" applyFont="1" applyAlignment="1">
      <alignment vertical="top" wrapText="1"/>
    </xf>
    <xf numFmtId="168" fontId="44" fillId="7" borderId="0" xfId="6" applyNumberFormat="1" applyFont="1" applyFill="1" applyProtection="1"/>
    <xf numFmtId="168" fontId="36" fillId="0" borderId="0" xfId="0" applyNumberFormat="1" applyFont="1"/>
    <xf numFmtId="168" fontId="0" fillId="4" borderId="0" xfId="0" applyNumberFormat="1" applyFill="1"/>
    <xf numFmtId="168" fontId="0" fillId="12" borderId="0" xfId="0" quotePrefix="1" applyNumberFormat="1" applyFill="1"/>
    <xf numFmtId="168" fontId="0" fillId="12" borderId="0" xfId="0" applyNumberFormat="1" applyFill="1" applyAlignment="1">
      <alignment horizontal="right"/>
    </xf>
    <xf numFmtId="0" fontId="61" fillId="0" borderId="0" xfId="10" applyFont="1" applyAlignment="1">
      <alignment horizontal="right"/>
    </xf>
    <xf numFmtId="0" fontId="32" fillId="0" borderId="3" xfId="10" applyFont="1" applyBorder="1" applyAlignment="1">
      <alignment horizontal="center"/>
    </xf>
    <xf numFmtId="168" fontId="32" fillId="6" borderId="0" xfId="10" applyNumberFormat="1" applyFont="1" applyFill="1"/>
    <xf numFmtId="168" fontId="32" fillId="0" borderId="0" xfId="10" applyNumberFormat="1" applyFont="1"/>
    <xf numFmtId="0" fontId="0" fillId="0" borderId="3" xfId="11" applyFont="1" applyBorder="1" applyAlignment="1">
      <alignment horizontal="center"/>
    </xf>
    <xf numFmtId="0" fontId="32" fillId="0" borderId="0" xfId="10" applyFont="1" applyAlignment="1">
      <alignment horizontal="center"/>
    </xf>
    <xf numFmtId="168" fontId="61" fillId="6" borderId="0" xfId="10" applyNumberFormat="1" applyFont="1" applyFill="1" applyAlignment="1">
      <alignment horizontal="center"/>
    </xf>
    <xf numFmtId="168" fontId="5" fillId="6" borderId="0" xfId="10" applyNumberFormat="1" applyFont="1" applyFill="1" applyAlignment="1">
      <alignment horizontal="center"/>
    </xf>
    <xf numFmtId="168" fontId="36" fillId="6" borderId="0" xfId="10" applyNumberFormat="1" applyFont="1" applyFill="1"/>
    <xf numFmtId="168" fontId="36" fillId="0" borderId="0" xfId="10" applyNumberFormat="1" applyFont="1"/>
    <xf numFmtId="0" fontId="36" fillId="0" borderId="0" xfId="10" applyFont="1"/>
    <xf numFmtId="0" fontId="61" fillId="0" borderId="0" xfId="10" applyFont="1" applyAlignment="1">
      <alignment horizontal="left"/>
    </xf>
    <xf numFmtId="0" fontId="32" fillId="0" borderId="0" xfId="10" applyFont="1"/>
    <xf numFmtId="14" fontId="32" fillId="6" borderId="0" xfId="10" applyNumberFormat="1" applyFont="1" applyFill="1" applyAlignment="1">
      <alignment horizontal="left"/>
    </xf>
    <xf numFmtId="168" fontId="61" fillId="6" borderId="0" xfId="10" applyNumberFormat="1" applyFont="1" applyFill="1"/>
    <xf numFmtId="168" fontId="32" fillId="6" borderId="13" xfId="10" applyNumberFormat="1" applyFont="1" applyFill="1" applyBorder="1"/>
    <xf numFmtId="168" fontId="61" fillId="6" borderId="1" xfId="10" applyNumberFormat="1" applyFont="1" applyFill="1" applyBorder="1" applyAlignment="1">
      <alignment horizontal="center"/>
    </xf>
    <xf numFmtId="168" fontId="32" fillId="0" borderId="10" xfId="10" applyNumberFormat="1" applyFont="1" applyBorder="1" applyAlignment="1">
      <alignment horizontal="center"/>
    </xf>
    <xf numFmtId="2" fontId="32" fillId="0" borderId="10" xfId="10" applyNumberFormat="1" applyFont="1" applyBorder="1" applyAlignment="1">
      <alignment horizontal="center"/>
    </xf>
    <xf numFmtId="49" fontId="61" fillId="7" borderId="10" xfId="10" applyNumberFormat="1" applyFont="1" applyFill="1" applyBorder="1" applyAlignment="1">
      <alignment horizontal="center" wrapText="1"/>
    </xf>
    <xf numFmtId="168" fontId="32" fillId="0" borderId="15" xfId="10" applyNumberFormat="1" applyFont="1" applyBorder="1" applyAlignment="1">
      <alignment horizontal="center"/>
    </xf>
    <xf numFmtId="2" fontId="32" fillId="0" borderId="15" xfId="10" applyNumberFormat="1" applyFont="1" applyBorder="1" applyAlignment="1">
      <alignment horizontal="center"/>
    </xf>
    <xf numFmtId="49" fontId="32" fillId="0" borderId="15" xfId="10" applyNumberFormat="1" applyFont="1" applyBorder="1" applyAlignment="1">
      <alignment horizontal="center" wrapText="1"/>
    </xf>
    <xf numFmtId="49" fontId="61" fillId="7" borderId="15" xfId="10" applyNumberFormat="1" applyFont="1" applyFill="1" applyBorder="1" applyAlignment="1">
      <alignment horizontal="center" wrapText="1"/>
    </xf>
    <xf numFmtId="165" fontId="0" fillId="6" borderId="15" xfId="10" applyNumberFormat="1" applyFont="1" applyFill="1" applyBorder="1" applyAlignment="1">
      <alignment horizontal="center"/>
    </xf>
    <xf numFmtId="1" fontId="32" fillId="0" borderId="15" xfId="10" applyNumberFormat="1" applyFont="1" applyBorder="1" applyAlignment="1">
      <alignment horizontal="center"/>
    </xf>
    <xf numFmtId="0" fontId="12" fillId="7" borderId="0" xfId="6" applyFont="1" applyFill="1" applyAlignment="1" applyProtection="1">
      <alignment horizontal="center" vertical="center"/>
    </xf>
    <xf numFmtId="1" fontId="32" fillId="0" borderId="5" xfId="10" applyNumberFormat="1" applyFont="1" applyBorder="1" applyAlignment="1">
      <alignment horizontal="center"/>
    </xf>
    <xf numFmtId="165" fontId="0" fillId="6" borderId="5" xfId="10" applyNumberFormat="1" applyFont="1" applyFill="1" applyBorder="1" applyAlignment="1">
      <alignment horizontal="center"/>
    </xf>
    <xf numFmtId="168" fontId="32" fillId="6" borderId="12" xfId="10" applyNumberFormat="1" applyFont="1" applyFill="1" applyBorder="1" applyAlignment="1">
      <alignment horizontal="left"/>
    </xf>
    <xf numFmtId="168" fontId="32" fillId="6" borderId="7" xfId="10" applyNumberFormat="1" applyFont="1" applyFill="1" applyBorder="1" applyAlignment="1">
      <alignment horizontal="left"/>
    </xf>
    <xf numFmtId="168" fontId="32" fillId="6" borderId="13" xfId="10" quotePrefix="1" applyNumberFormat="1" applyFont="1" applyFill="1" applyBorder="1" applyAlignment="1">
      <alignment horizontal="right"/>
    </xf>
    <xf numFmtId="37" fontId="32" fillId="0" borderId="1" xfId="10" applyNumberFormat="1" applyFont="1" applyBorder="1" applyAlignment="1">
      <alignment horizontal="right" vertical="center"/>
    </xf>
    <xf numFmtId="37" fontId="32" fillId="10" borderId="1" xfId="10" applyNumberFormat="1" applyFont="1" applyFill="1" applyBorder="1" applyAlignment="1">
      <alignment horizontal="right" vertical="center"/>
    </xf>
    <xf numFmtId="37" fontId="61" fillId="0" borderId="1" xfId="10" applyNumberFormat="1" applyFont="1" applyBorder="1" applyAlignment="1">
      <alignment horizontal="right" vertical="center"/>
    </xf>
    <xf numFmtId="168" fontId="32" fillId="6" borderId="0" xfId="10" quotePrefix="1" applyNumberFormat="1" applyFont="1" applyFill="1" applyAlignment="1">
      <alignment horizontal="left"/>
    </xf>
    <xf numFmtId="168" fontId="32" fillId="6" borderId="2" xfId="10" applyNumberFormat="1" applyFont="1" applyFill="1" applyBorder="1" applyAlignment="1">
      <alignment horizontal="left"/>
    </xf>
    <xf numFmtId="168" fontId="32" fillId="6" borderId="0" xfId="10" applyNumberFormat="1" applyFont="1" applyFill="1" applyAlignment="1">
      <alignment horizontal="left"/>
    </xf>
    <xf numFmtId="168" fontId="32" fillId="6" borderId="14" xfId="10" quotePrefix="1" applyNumberFormat="1" applyFont="1" applyFill="1" applyBorder="1" applyAlignment="1">
      <alignment horizontal="right"/>
    </xf>
    <xf numFmtId="168" fontId="36" fillId="5" borderId="0" xfId="10" applyNumberFormat="1" applyFont="1" applyFill="1"/>
    <xf numFmtId="1" fontId="32" fillId="6" borderId="2" xfId="10" applyNumberFormat="1" applyFont="1" applyFill="1" applyBorder="1" applyAlignment="1">
      <alignment horizontal="left"/>
    </xf>
    <xf numFmtId="1" fontId="32" fillId="6" borderId="0" xfId="10" applyNumberFormat="1" applyFont="1" applyFill="1" applyAlignment="1">
      <alignment horizontal="left"/>
    </xf>
    <xf numFmtId="49" fontId="32" fillId="6" borderId="14" xfId="10" quotePrefix="1" applyNumberFormat="1" applyFont="1" applyFill="1" applyBorder="1" applyAlignment="1">
      <alignment horizontal="right"/>
    </xf>
    <xf numFmtId="49" fontId="32" fillId="6" borderId="0" xfId="10" quotePrefix="1" applyNumberFormat="1" applyFont="1" applyFill="1" applyAlignment="1">
      <alignment horizontal="left"/>
    </xf>
    <xf numFmtId="168" fontId="32" fillId="0" borderId="2" xfId="10" applyNumberFormat="1" applyFont="1" applyBorder="1" applyAlignment="1">
      <alignment horizontal="left"/>
    </xf>
    <xf numFmtId="168" fontId="32" fillId="0" borderId="0" xfId="10" applyNumberFormat="1" applyFont="1" applyAlignment="1">
      <alignment horizontal="left"/>
    </xf>
    <xf numFmtId="0" fontId="59" fillId="7" borderId="2" xfId="6" applyFont="1" applyFill="1" applyBorder="1" applyProtection="1"/>
    <xf numFmtId="168" fontId="32" fillId="7" borderId="0" xfId="10" applyNumberFormat="1" applyFont="1" applyFill="1" applyAlignment="1">
      <alignment horizontal="left"/>
    </xf>
    <xf numFmtId="49" fontId="32" fillId="8" borderId="14" xfId="10" quotePrefix="1" applyNumberFormat="1" applyFont="1" applyFill="1" applyBorder="1" applyAlignment="1">
      <alignment horizontal="right"/>
    </xf>
    <xf numFmtId="168" fontId="32" fillId="0" borderId="16" xfId="10" applyNumberFormat="1" applyFont="1" applyBorder="1" applyAlignment="1">
      <alignment horizontal="left"/>
    </xf>
    <xf numFmtId="168" fontId="32" fillId="0" borderId="3" xfId="10" applyNumberFormat="1" applyFont="1" applyBorder="1" applyAlignment="1">
      <alignment horizontal="left"/>
    </xf>
    <xf numFmtId="49" fontId="32" fillId="6" borderId="17" xfId="10" quotePrefix="1" applyNumberFormat="1" applyFont="1" applyFill="1" applyBorder="1" applyAlignment="1">
      <alignment horizontal="right"/>
    </xf>
    <xf numFmtId="37" fontId="61" fillId="0" borderId="1" xfId="10" applyNumberFormat="1" applyFont="1" applyBorder="1"/>
    <xf numFmtId="49" fontId="32" fillId="6" borderId="0" xfId="10" quotePrefix="1" applyNumberFormat="1" applyFont="1" applyFill="1" applyAlignment="1">
      <alignment horizontal="right"/>
    </xf>
    <xf numFmtId="0" fontId="63" fillId="7" borderId="9" xfId="6" applyFont="1" applyFill="1" applyBorder="1" applyProtection="1"/>
    <xf numFmtId="0" fontId="5" fillId="7" borderId="4" xfId="10" applyFont="1" applyFill="1" applyBorder="1"/>
    <xf numFmtId="0" fontId="5" fillId="7" borderId="8" xfId="10" applyFont="1" applyFill="1" applyBorder="1"/>
    <xf numFmtId="168" fontId="61" fillId="6" borderId="9" xfId="10" applyNumberFormat="1" applyFont="1" applyFill="1" applyBorder="1"/>
    <xf numFmtId="168" fontId="61" fillId="6" borderId="4" xfId="10" applyNumberFormat="1" applyFont="1" applyFill="1" applyBorder="1"/>
    <xf numFmtId="168" fontId="32" fillId="6" borderId="8" xfId="10" applyNumberFormat="1" applyFont="1" applyFill="1" applyBorder="1" applyAlignment="1">
      <alignment horizontal="center"/>
    </xf>
    <xf numFmtId="168" fontId="32" fillId="6" borderId="16" xfId="10" applyNumberFormat="1" applyFont="1" applyFill="1" applyBorder="1"/>
    <xf numFmtId="168" fontId="32" fillId="6" borderId="3" xfId="10" applyNumberFormat="1" applyFont="1" applyFill="1" applyBorder="1"/>
    <xf numFmtId="168" fontId="32" fillId="6" borderId="17" xfId="10" applyNumberFormat="1" applyFont="1" applyFill="1" applyBorder="1"/>
    <xf numFmtId="37" fontId="32" fillId="0" borderId="1" xfId="4" applyNumberFormat="1" applyFont="1" applyFill="1" applyBorder="1" applyProtection="1"/>
    <xf numFmtId="168" fontId="32" fillId="6" borderId="9" xfId="10" applyNumberFormat="1" applyFont="1" applyFill="1" applyBorder="1"/>
    <xf numFmtId="168" fontId="32" fillId="6" borderId="4" xfId="10" applyNumberFormat="1" applyFont="1" applyFill="1" applyBorder="1"/>
    <xf numFmtId="168" fontId="32" fillId="6" borderId="8" xfId="10" applyNumberFormat="1" applyFont="1" applyFill="1" applyBorder="1"/>
    <xf numFmtId="37" fontId="32" fillId="0" borderId="1" xfId="10" applyNumberFormat="1" applyFont="1" applyBorder="1"/>
    <xf numFmtId="0" fontId="32" fillId="0" borderId="9" xfId="10" applyFont="1" applyBorder="1"/>
    <xf numFmtId="0" fontId="32" fillId="0" borderId="4" xfId="10" applyFont="1" applyBorder="1"/>
    <xf numFmtId="168" fontId="32" fillId="0" borderId="8" xfId="10" applyNumberFormat="1" applyFont="1" applyBorder="1"/>
    <xf numFmtId="37" fontId="32" fillId="6" borderId="1" xfId="10" applyNumberFormat="1" applyFont="1" applyFill="1" applyBorder="1"/>
    <xf numFmtId="0" fontId="32" fillId="0" borderId="9" xfId="10" applyFont="1" applyBorder="1" applyAlignment="1">
      <alignment horizontal="left"/>
    </xf>
    <xf numFmtId="0" fontId="32" fillId="0" borderId="4" xfId="10" applyFont="1" applyBorder="1" applyAlignment="1">
      <alignment horizontal="left"/>
    </xf>
    <xf numFmtId="168" fontId="32" fillId="0" borderId="9" xfId="10" applyNumberFormat="1" applyFont="1" applyBorder="1"/>
    <xf numFmtId="168" fontId="32" fillId="0" borderId="4" xfId="10" applyNumberFormat="1" applyFont="1" applyBorder="1"/>
    <xf numFmtId="168" fontId="32" fillId="6" borderId="12" xfId="10" applyNumberFormat="1" applyFont="1" applyFill="1" applyBorder="1"/>
    <xf numFmtId="168" fontId="32" fillId="6" borderId="7" xfId="10" applyNumberFormat="1" applyFont="1" applyFill="1" applyBorder="1"/>
    <xf numFmtId="168" fontId="32" fillId="0" borderId="13" xfId="10" applyNumberFormat="1" applyFont="1" applyBorder="1"/>
    <xf numFmtId="0" fontId="59" fillId="7" borderId="9" xfId="6" applyFont="1" applyFill="1" applyBorder="1" applyProtection="1"/>
    <xf numFmtId="168" fontId="32" fillId="8" borderId="4" xfId="10" applyNumberFormat="1" applyFont="1" applyFill="1" applyBorder="1"/>
    <xf numFmtId="168" fontId="32" fillId="7" borderId="8" xfId="10" applyNumberFormat="1" applyFont="1" applyFill="1" applyBorder="1"/>
    <xf numFmtId="38" fontId="32" fillId="0" borderId="0" xfId="10" applyNumberFormat="1" applyFont="1" applyAlignment="1">
      <alignment horizontal="right" vertical="center"/>
    </xf>
    <xf numFmtId="168" fontId="32" fillId="6" borderId="0" xfId="10" quotePrefix="1" applyNumberFormat="1" applyFont="1" applyFill="1"/>
    <xf numFmtId="168" fontId="32" fillId="6" borderId="9" xfId="10" quotePrefix="1" applyNumberFormat="1" applyFont="1" applyFill="1" applyBorder="1"/>
    <xf numFmtId="37" fontId="32" fillId="0" borderId="1" xfId="10" applyNumberFormat="1" applyFont="1" applyBorder="1" applyAlignment="1">
      <alignment horizontal="right"/>
    </xf>
    <xf numFmtId="0" fontId="32" fillId="0" borderId="0" xfId="4" quotePrefix="1" applyNumberFormat="1" applyFont="1" applyFill="1" applyBorder="1" applyAlignment="1" applyProtection="1">
      <alignment horizontal="left"/>
    </xf>
    <xf numFmtId="168" fontId="32" fillId="0" borderId="0" xfId="10" applyNumberFormat="1" applyFont="1" applyAlignment="1">
      <alignment wrapText="1"/>
    </xf>
    <xf numFmtId="0" fontId="49" fillId="0" borderId="0" xfId="4" quotePrefix="1" applyNumberFormat="1" applyFont="1" applyFill="1" applyBorder="1" applyAlignment="1" applyProtection="1">
      <alignment vertical="center" wrapText="1"/>
    </xf>
    <xf numFmtId="168" fontId="49" fillId="4" borderId="0" xfId="10" applyNumberFormat="1" applyFont="1" applyFill="1" applyAlignment="1">
      <alignment vertical="center" wrapText="1"/>
    </xf>
    <xf numFmtId="168" fontId="49" fillId="0" borderId="0" xfId="10" applyNumberFormat="1" applyFont="1" applyAlignment="1">
      <alignment wrapText="1"/>
    </xf>
    <xf numFmtId="37" fontId="61" fillId="0" borderId="1" xfId="10" applyNumberFormat="1" applyFont="1" applyBorder="1" applyAlignment="1">
      <alignment horizontal="right"/>
    </xf>
    <xf numFmtId="168" fontId="32" fillId="0" borderId="0" xfId="10" applyNumberFormat="1" applyFont="1" applyAlignment="1">
      <alignment horizontal="right"/>
    </xf>
    <xf numFmtId="168" fontId="32" fillId="6" borderId="0" xfId="10" applyNumberFormat="1" applyFont="1" applyFill="1" applyAlignment="1">
      <alignment horizontal="right"/>
    </xf>
    <xf numFmtId="0" fontId="0" fillId="0" borderId="0" xfId="10" applyFont="1" applyAlignment="1">
      <alignment vertical="top"/>
    </xf>
    <xf numFmtId="0" fontId="36" fillId="0" borderId="0" xfId="10" applyFont="1" applyAlignment="1">
      <alignment vertical="top"/>
    </xf>
    <xf numFmtId="37" fontId="32" fillId="0" borderId="1" xfId="4" applyNumberFormat="1" applyFont="1" applyBorder="1" applyProtection="1">
      <protection locked="0"/>
    </xf>
    <xf numFmtId="172" fontId="32" fillId="0" borderId="1" xfId="4" applyNumberFormat="1" applyFont="1" applyBorder="1" applyProtection="1">
      <protection locked="0"/>
    </xf>
    <xf numFmtId="37" fontId="32" fillId="0" borderId="1" xfId="4" applyNumberFormat="1" applyFont="1" applyBorder="1" applyProtection="1"/>
    <xf numFmtId="0" fontId="5" fillId="0" borderId="0" xfId="13" applyFont="1"/>
    <xf numFmtId="0" fontId="72" fillId="0" borderId="3" xfId="13" applyBorder="1" applyAlignment="1">
      <alignment horizontal="center"/>
    </xf>
    <xf numFmtId="0" fontId="72" fillId="0" borderId="0" xfId="13"/>
    <xf numFmtId="168" fontId="5" fillId="6" borderId="0" xfId="13" applyNumberFormat="1" applyFont="1" applyFill="1" applyAlignment="1">
      <alignment horizontal="left"/>
    </xf>
    <xf numFmtId="0" fontId="12" fillId="7" borderId="0" xfId="6" applyFont="1" applyFill="1" applyAlignment="1" applyProtection="1">
      <alignment horizontal="right"/>
    </xf>
    <xf numFmtId="49" fontId="0" fillId="0" borderId="0" xfId="0" applyNumberFormat="1" applyAlignment="1">
      <alignment horizontal="center"/>
    </xf>
    <xf numFmtId="0" fontId="72" fillId="0" borderId="0" xfId="13" applyAlignment="1">
      <alignment horizontal="right" vertical="center"/>
    </xf>
    <xf numFmtId="37" fontId="30" fillId="6" borderId="0" xfId="13" applyNumberFormat="1" applyFont="1" applyFill="1" applyAlignment="1">
      <alignment horizontal="left" vertical="center"/>
    </xf>
    <xf numFmtId="168" fontId="72" fillId="6" borderId="22" xfId="13" applyNumberFormat="1" applyFill="1" applyBorder="1"/>
    <xf numFmtId="168" fontId="72" fillId="8" borderId="22" xfId="13" applyNumberFormat="1" applyFill="1" applyBorder="1"/>
    <xf numFmtId="168" fontId="59" fillId="8" borderId="22" xfId="6" applyNumberFormat="1" applyFont="1" applyFill="1" applyBorder="1" applyAlignment="1" applyProtection="1">
      <alignment horizontal="center"/>
    </xf>
    <xf numFmtId="37" fontId="54" fillId="0" borderId="23" xfId="13" applyNumberFormat="1" applyFont="1" applyBorder="1" applyAlignment="1">
      <alignment horizontal="center"/>
    </xf>
    <xf numFmtId="37" fontId="54" fillId="0" borderId="10" xfId="13" applyNumberFormat="1" applyFont="1" applyBorder="1" applyAlignment="1">
      <alignment horizontal="center"/>
    </xf>
    <xf numFmtId="37" fontId="54" fillId="6" borderId="24" xfId="13" applyNumberFormat="1" applyFont="1" applyFill="1" applyBorder="1" applyAlignment="1">
      <alignment horizontal="center"/>
    </xf>
    <xf numFmtId="37" fontId="54" fillId="6" borderId="25" xfId="13" applyNumberFormat="1" applyFont="1" applyFill="1" applyBorder="1" applyAlignment="1">
      <alignment horizontal="left"/>
    </xf>
    <xf numFmtId="37" fontId="59" fillId="8" borderId="25" xfId="6" applyNumberFormat="1" applyFont="1" applyFill="1" applyBorder="1" applyAlignment="1" applyProtection="1">
      <alignment horizontal="center" vertical="center"/>
    </xf>
    <xf numFmtId="37" fontId="59" fillId="8" borderId="25" xfId="6" applyNumberFormat="1" applyFont="1" applyFill="1" applyBorder="1" applyAlignment="1" applyProtection="1">
      <alignment horizontal="center"/>
    </xf>
    <xf numFmtId="38" fontId="54" fillId="0" borderId="26" xfId="13" applyNumberFormat="1" applyFont="1" applyBorder="1" applyAlignment="1">
      <alignment horizontal="center"/>
    </xf>
    <xf numFmtId="37" fontId="54" fillId="0" borderId="15" xfId="13" applyNumberFormat="1" applyFont="1" applyBorder="1" applyAlignment="1">
      <alignment horizontal="center"/>
    </xf>
    <xf numFmtId="37" fontId="54" fillId="6" borderId="15" xfId="13" applyNumberFormat="1" applyFont="1" applyFill="1" applyBorder="1" applyAlignment="1">
      <alignment horizontal="center"/>
    </xf>
    <xf numFmtId="37" fontId="54" fillId="6" borderId="27" xfId="13" applyNumberFormat="1" applyFont="1" applyFill="1" applyBorder="1" applyAlignment="1">
      <alignment horizontal="center"/>
    </xf>
    <xf numFmtId="38" fontId="59" fillId="8" borderId="28" xfId="6" applyNumberFormat="1" applyFont="1" applyFill="1" applyBorder="1" applyAlignment="1" applyProtection="1">
      <alignment horizontal="center" vertical="center"/>
    </xf>
    <xf numFmtId="38" fontId="59" fillId="8" borderId="28" xfId="6" applyNumberFormat="1" applyFont="1" applyFill="1" applyBorder="1" applyAlignment="1" applyProtection="1">
      <alignment horizontal="center"/>
    </xf>
    <xf numFmtId="38" fontId="54" fillId="0" borderId="29" xfId="13" applyNumberFormat="1" applyFont="1" applyBorder="1" applyAlignment="1">
      <alignment horizontal="center"/>
    </xf>
    <xf numFmtId="37" fontId="54" fillId="0" borderId="5" xfId="13" applyNumberFormat="1" applyFont="1" applyBorder="1" applyAlignment="1">
      <alignment horizontal="center"/>
    </xf>
    <xf numFmtId="38" fontId="54" fillId="6" borderId="5" xfId="13" applyNumberFormat="1" applyFont="1" applyFill="1" applyBorder="1" applyAlignment="1">
      <alignment horizontal="center"/>
    </xf>
    <xf numFmtId="37" fontId="54" fillId="6" borderId="29" xfId="13" applyNumberFormat="1" applyFont="1" applyFill="1" applyBorder="1" applyAlignment="1">
      <alignment horizontal="left"/>
    </xf>
    <xf numFmtId="37" fontId="54" fillId="9" borderId="1" xfId="13" applyNumberFormat="1" applyFont="1" applyFill="1" applyBorder="1"/>
    <xf numFmtId="37" fontId="54" fillId="9" borderId="5" xfId="13" applyNumberFormat="1" applyFont="1" applyFill="1" applyBorder="1"/>
    <xf numFmtId="37" fontId="54" fillId="9" borderId="16" xfId="13" applyNumberFormat="1" applyFont="1" applyFill="1" applyBorder="1"/>
    <xf numFmtId="37" fontId="55" fillId="10" borderId="9" xfId="13" applyNumberFormat="1" applyFont="1" applyFill="1" applyBorder="1" applyAlignment="1">
      <alignment horizontal="center"/>
    </xf>
    <xf numFmtId="37" fontId="54" fillId="6" borderId="24" xfId="13" applyNumberFormat="1" applyFont="1" applyFill="1" applyBorder="1"/>
    <xf numFmtId="37" fontId="54" fillId="6" borderId="13" xfId="13" applyNumberFormat="1" applyFont="1" applyFill="1" applyBorder="1"/>
    <xf numFmtId="37" fontId="55" fillId="10" borderId="8" xfId="13" applyNumberFormat="1" applyFont="1" applyFill="1" applyBorder="1" applyAlignment="1">
      <alignment horizontal="center"/>
    </xf>
    <xf numFmtId="37" fontId="54" fillId="9" borderId="9" xfId="13" applyNumberFormat="1" applyFont="1" applyFill="1" applyBorder="1"/>
    <xf numFmtId="37" fontId="54" fillId="6" borderId="30" xfId="13" applyNumberFormat="1" applyFont="1" applyFill="1" applyBorder="1"/>
    <xf numFmtId="165" fontId="72" fillId="0" borderId="0" xfId="13" applyNumberFormat="1"/>
    <xf numFmtId="37" fontId="54" fillId="0" borderId="24" xfId="13" applyNumberFormat="1" applyFont="1" applyBorder="1"/>
    <xf numFmtId="37" fontId="54" fillId="6" borderId="26" xfId="13" applyNumberFormat="1" applyFont="1" applyFill="1" applyBorder="1" applyAlignment="1">
      <alignment horizontal="left"/>
    </xf>
    <xf numFmtId="37" fontId="54" fillId="9" borderId="10" xfId="13" applyNumberFormat="1" applyFont="1" applyFill="1" applyBorder="1"/>
    <xf numFmtId="37" fontId="54" fillId="9" borderId="12" xfId="13" applyNumberFormat="1" applyFont="1" applyFill="1" applyBorder="1"/>
    <xf numFmtId="37" fontId="54" fillId="0" borderId="31" xfId="13" applyNumberFormat="1" applyFont="1" applyBorder="1"/>
    <xf numFmtId="37" fontId="54" fillId="6" borderId="32" xfId="13" applyNumberFormat="1" applyFont="1" applyFill="1" applyBorder="1"/>
    <xf numFmtId="42" fontId="72" fillId="6" borderId="3" xfId="13" applyNumberFormat="1" applyFill="1" applyBorder="1"/>
    <xf numFmtId="37" fontId="54" fillId="0" borderId="1" xfId="13" applyNumberFormat="1" applyFont="1" applyBorder="1" applyAlignment="1">
      <alignment horizontal="left"/>
    </xf>
    <xf numFmtId="37" fontId="55" fillId="10" borderId="1" xfId="13" applyNumberFormat="1" applyFont="1" applyFill="1" applyBorder="1" applyAlignment="1">
      <alignment horizontal="center"/>
    </xf>
    <xf numFmtId="37" fontId="54" fillId="0" borderId="17" xfId="13" applyNumberFormat="1" applyFont="1" applyBorder="1"/>
    <xf numFmtId="37" fontId="54" fillId="6" borderId="16" xfId="13" applyNumberFormat="1" applyFont="1" applyFill="1" applyBorder="1"/>
    <xf numFmtId="37" fontId="54" fillId="9" borderId="1" xfId="13" applyNumberFormat="1" applyFont="1" applyFill="1" applyBorder="1" applyAlignment="1">
      <alignment horizontal="center"/>
    </xf>
    <xf numFmtId="37" fontId="54" fillId="0" borderId="9" xfId="13" applyNumberFormat="1" applyFont="1" applyBorder="1" applyAlignment="1">
      <alignment horizontal="left"/>
    </xf>
    <xf numFmtId="37" fontId="54" fillId="0" borderId="1" xfId="13" applyNumberFormat="1" applyFont="1" applyBorder="1"/>
    <xf numFmtId="37" fontId="54" fillId="6" borderId="1" xfId="13" applyNumberFormat="1" applyFont="1" applyFill="1" applyBorder="1"/>
    <xf numFmtId="37" fontId="54" fillId="0" borderId="8" xfId="13" applyNumberFormat="1" applyFont="1" applyBorder="1"/>
    <xf numFmtId="37" fontId="54" fillId="6" borderId="9" xfId="13" applyNumberFormat="1" applyFont="1" applyFill="1" applyBorder="1"/>
    <xf numFmtId="37" fontId="54" fillId="6" borderId="8" xfId="13" applyNumberFormat="1" applyFont="1" applyFill="1" applyBorder="1"/>
    <xf numFmtId="0" fontId="36" fillId="0" borderId="0" xfId="13" applyFont="1"/>
    <xf numFmtId="37" fontId="54" fillId="0" borderId="1" xfId="13" applyNumberFormat="1" applyFont="1" applyBorder="1" applyProtection="1">
      <protection locked="0"/>
    </xf>
    <xf numFmtId="0" fontId="0" fillId="0" borderId="0" xfId="11" applyFont="1" applyAlignment="1">
      <alignment horizontal="center"/>
    </xf>
    <xf numFmtId="0" fontId="32" fillId="0" borderId="0" xfId="8" applyFont="1"/>
    <xf numFmtId="37" fontId="32" fillId="0" borderId="0" xfId="8" applyNumberFormat="1" applyFont="1"/>
    <xf numFmtId="0" fontId="61" fillId="0" borderId="0" xfId="8" applyFont="1" applyAlignment="1">
      <alignment horizontal="right"/>
    </xf>
    <xf numFmtId="0" fontId="0" fillId="0" borderId="0" xfId="4" applyNumberFormat="1" applyFont="1" applyBorder="1" applyAlignment="1" applyProtection="1">
      <alignment horizontal="left" vertical="top"/>
    </xf>
    <xf numFmtId="37" fontId="32" fillId="0" borderId="0" xfId="8" applyNumberFormat="1" applyFont="1" applyAlignment="1">
      <alignment horizontal="left"/>
    </xf>
    <xf numFmtId="0" fontId="36" fillId="0" borderId="0" xfId="8" applyFont="1"/>
    <xf numFmtId="0" fontId="36" fillId="15" borderId="0" xfId="8" applyFont="1" applyFill="1"/>
    <xf numFmtId="37" fontId="61" fillId="0" borderId="0" xfId="8" applyNumberFormat="1" applyFont="1" applyAlignment="1">
      <alignment horizontal="left"/>
    </xf>
    <xf numFmtId="0" fontId="61" fillId="16" borderId="1" xfId="0" applyFont="1" applyFill="1" applyBorder="1" applyAlignment="1">
      <alignment horizontal="center" wrapText="1"/>
    </xf>
    <xf numFmtId="0" fontId="61" fillId="0" borderId="0" xfId="0" applyFont="1" applyAlignment="1">
      <alignment horizontal="left" vertical="top"/>
    </xf>
    <xf numFmtId="0" fontId="61" fillId="0" borderId="0" xfId="0" applyFont="1" applyAlignment="1">
      <alignment wrapText="1"/>
    </xf>
    <xf numFmtId="168" fontId="12" fillId="7" borderId="0" xfId="6" quotePrefix="1" applyNumberFormat="1" applyFont="1" applyFill="1" applyAlignment="1" applyProtection="1">
      <alignment horizontal="right"/>
    </xf>
    <xf numFmtId="0" fontId="0" fillId="0" borderId="0" xfId="0" applyAlignment="1">
      <alignment horizontal="left" vertical="top"/>
    </xf>
    <xf numFmtId="37" fontId="32" fillId="0" borderId="1" xfId="0" applyNumberFormat="1" applyFont="1" applyBorder="1" applyAlignment="1">
      <alignment wrapText="1"/>
    </xf>
    <xf numFmtId="0" fontId="5" fillId="0" borderId="0" xfId="0" quotePrefix="1" applyFont="1" applyAlignment="1">
      <alignment horizontal="left"/>
    </xf>
    <xf numFmtId="0" fontId="0" fillId="0" borderId="0" xfId="0" quotePrefix="1" applyAlignment="1">
      <alignment horizontal="left" vertical="top"/>
    </xf>
    <xf numFmtId="0" fontId="65" fillId="0" borderId="0" xfId="0" applyFont="1"/>
    <xf numFmtId="0" fontId="0" fillId="0" borderId="1" xfId="0" applyBorder="1"/>
    <xf numFmtId="49" fontId="32" fillId="0" borderId="0" xfId="6" applyNumberFormat="1" applyFont="1" applyFill="1" applyAlignment="1" applyProtection="1">
      <alignment horizontal="center" vertical="top"/>
    </xf>
    <xf numFmtId="0" fontId="0" fillId="0" borderId="0" xfId="0" applyAlignment="1">
      <alignment horizontal="left" wrapText="1"/>
    </xf>
    <xf numFmtId="0" fontId="61" fillId="0" borderId="0" xfId="0" applyFont="1" applyAlignment="1">
      <alignment horizontal="center" wrapText="1"/>
    </xf>
    <xf numFmtId="49" fontId="32" fillId="0" borderId="0" xfId="6" applyNumberFormat="1" applyFont="1" applyAlignment="1" applyProtection="1">
      <alignment horizontal="center" vertical="top"/>
    </xf>
    <xf numFmtId="168" fontId="12"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61" fillId="0" borderId="0" xfId="0" quotePrefix="1" applyNumberFormat="1" applyFont="1" applyAlignment="1">
      <alignment vertical="top" wrapText="1"/>
    </xf>
    <xf numFmtId="49" fontId="12" fillId="0" borderId="0" xfId="6" applyNumberFormat="1" applyFont="1" applyFill="1" applyAlignment="1" applyProtection="1">
      <alignment horizontal="center" vertical="top"/>
    </xf>
    <xf numFmtId="168" fontId="5"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6" fillId="0" borderId="0" xfId="0" applyFont="1" applyAlignment="1">
      <alignment horizontal="left" vertical="top" wrapText="1"/>
    </xf>
    <xf numFmtId="0" fontId="61" fillId="0" borderId="0" xfId="0" quotePrefix="1" applyFont="1" applyAlignment="1">
      <alignment horizontal="center" vertical="top"/>
    </xf>
    <xf numFmtId="0" fontId="61" fillId="0" borderId="3" xfId="0" applyFont="1" applyBorder="1" applyAlignment="1">
      <alignment horizontal="center"/>
    </xf>
    <xf numFmtId="49" fontId="12" fillId="7" borderId="0" xfId="6" quotePrefix="1" applyNumberFormat="1" applyFont="1" applyFill="1" applyAlignment="1" applyProtection="1">
      <alignment horizontal="right"/>
    </xf>
    <xf numFmtId="1" fontId="34"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6" fillId="0" borderId="0" xfId="0" applyFont="1" applyAlignment="1">
      <alignment horizontal="center" vertical="center" wrapText="1"/>
    </xf>
    <xf numFmtId="0" fontId="0" fillId="0" borderId="0" xfId="0" applyAlignment="1">
      <alignment horizontal="left" vertical="center" wrapText="1"/>
    </xf>
    <xf numFmtId="49" fontId="12" fillId="7" borderId="0" xfId="6" quotePrefix="1" applyNumberFormat="1" applyFont="1" applyFill="1" applyAlignment="1" applyProtection="1">
      <alignment horizontal="right" vertical="top"/>
    </xf>
    <xf numFmtId="49" fontId="12" fillId="0" borderId="0" xfId="6" quotePrefix="1" applyNumberFormat="1" applyFont="1" applyAlignment="1" applyProtection="1">
      <alignment horizontal="center" vertical="top"/>
    </xf>
    <xf numFmtId="170" fontId="0" fillId="0" borderId="0" xfId="2" applyNumberFormat="1" applyFont="1" applyFill="1" applyBorder="1" applyAlignment="1" applyProtection="1">
      <alignment vertical="top"/>
    </xf>
    <xf numFmtId="0" fontId="0" fillId="0" borderId="0" xfId="0" quotePrefix="1" applyAlignment="1">
      <alignment horizontal="center"/>
    </xf>
    <xf numFmtId="170"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10" fillId="0" borderId="0" xfId="0" applyFont="1" applyAlignment="1">
      <alignment vertical="top"/>
    </xf>
    <xf numFmtId="0" fontId="50" fillId="0" borderId="0" xfId="0" applyFont="1" applyAlignment="1">
      <alignment vertical="top" wrapText="1"/>
    </xf>
    <xf numFmtId="0" fontId="0" fillId="0" borderId="0" xfId="0" applyAlignment="1">
      <alignment vertical="center" wrapText="1"/>
    </xf>
    <xf numFmtId="0" fontId="19" fillId="0" borderId="1" xfId="6" applyFont="1" applyBorder="1" applyProtection="1"/>
    <xf numFmtId="0" fontId="40" fillId="0" borderId="1" xfId="7" applyFont="1" applyBorder="1" applyAlignment="1">
      <alignment horizontal="left"/>
    </xf>
    <xf numFmtId="0" fontId="40" fillId="0" borderId="0" xfId="7" applyFont="1"/>
    <xf numFmtId="0" fontId="39" fillId="0" borderId="1" xfId="7" applyFont="1" applyBorder="1"/>
    <xf numFmtId="49" fontId="40" fillId="0" borderId="1" xfId="7" applyNumberFormat="1" applyFont="1" applyBorder="1" applyAlignment="1">
      <alignment horizontal="left"/>
    </xf>
    <xf numFmtId="0" fontId="39" fillId="0" borderId="1" xfId="7" applyFont="1" applyBorder="1" applyAlignment="1">
      <alignment horizontal="center"/>
    </xf>
    <xf numFmtId="0" fontId="19" fillId="0" borderId="1" xfId="7" applyFont="1" applyBorder="1" applyAlignment="1">
      <alignment horizontal="center"/>
    </xf>
    <xf numFmtId="0" fontId="19" fillId="0" borderId="1" xfId="7" applyFont="1" applyBorder="1" applyAlignment="1">
      <alignment horizontal="center" wrapText="1"/>
    </xf>
    <xf numFmtId="0" fontId="40" fillId="0" borderId="1" xfId="7" applyFont="1" applyBorder="1"/>
    <xf numFmtId="0" fontId="41" fillId="13" borderId="1" xfId="7" applyFont="1" applyFill="1" applyBorder="1"/>
    <xf numFmtId="49" fontId="40" fillId="0" borderId="1" xfId="7" applyNumberFormat="1" applyFont="1" applyBorder="1"/>
    <xf numFmtId="169" fontId="40" fillId="0" borderId="1" xfId="7" applyNumberFormat="1" applyFont="1" applyBorder="1"/>
    <xf numFmtId="0" fontId="40" fillId="0" borderId="1" xfId="7" applyFont="1" applyBorder="1" applyAlignment="1">
      <alignment horizontal="right"/>
    </xf>
    <xf numFmtId="0" fontId="40" fillId="0" borderId="1" xfId="7" applyFont="1" applyBorder="1" applyAlignment="1">
      <alignment wrapText="1"/>
    </xf>
    <xf numFmtId="0" fontId="14" fillId="0" borderId="1" xfId="7" applyFont="1" applyBorder="1"/>
    <xf numFmtId="0" fontId="40" fillId="13" borderId="1" xfId="7" applyFont="1" applyFill="1" applyBorder="1"/>
    <xf numFmtId="0" fontId="5" fillId="0" borderId="1" xfId="0" applyFont="1" applyBorder="1" applyAlignment="1">
      <alignment horizontal="center" vertical="center" wrapText="1"/>
    </xf>
    <xf numFmtId="168" fontId="0" fillId="12" borderId="1" xfId="0" applyNumberFormat="1" applyFill="1" applyBorder="1" applyAlignment="1">
      <alignment horizontal="justify" vertical="top" wrapText="1"/>
    </xf>
    <xf numFmtId="0" fontId="0" fillId="12" borderId="1" xfId="0" applyFill="1" applyBorder="1"/>
    <xf numFmtId="168" fontId="0" fillId="12" borderId="10" xfId="0" applyNumberFormat="1" applyFill="1" applyBorder="1" applyAlignment="1">
      <alignment horizontal="justify" vertical="top" wrapText="1"/>
    </xf>
    <xf numFmtId="168" fontId="35" fillId="0" borderId="0" xfId="6" applyNumberFormat="1" applyFont="1" applyFill="1" applyBorder="1" applyProtection="1"/>
    <xf numFmtId="168" fontId="0" fillId="12" borderId="1" xfId="0" applyNumberFormat="1" applyFill="1" applyBorder="1" applyAlignment="1">
      <alignment horizontal="justify" vertical="top"/>
    </xf>
    <xf numFmtId="168" fontId="34" fillId="12" borderId="1" xfId="6" applyNumberFormat="1" applyFont="1" applyFill="1" applyBorder="1" applyAlignment="1" applyProtection="1">
      <alignment horizontal="center" vertical="top"/>
    </xf>
    <xf numFmtId="168" fontId="0" fillId="12" borderId="1" xfId="0" applyNumberFormat="1" applyFill="1" applyBorder="1" applyAlignment="1">
      <alignment horizontal="center" vertical="top" wrapText="1"/>
    </xf>
    <xf numFmtId="168" fontId="34" fillId="12" borderId="1" xfId="6" applyNumberFormat="1" applyFont="1" applyFill="1" applyBorder="1" applyAlignment="1" applyProtection="1">
      <alignment horizontal="center" vertical="top" wrapText="1"/>
    </xf>
    <xf numFmtId="168" fontId="0" fillId="12" borderId="5" xfId="0" applyNumberFormat="1" applyFill="1" applyBorder="1" applyAlignment="1">
      <alignment horizontal="justify" vertical="top" wrapText="1"/>
    </xf>
    <xf numFmtId="165" fontId="34" fillId="12"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4"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26" fillId="0" borderId="8" xfId="6" applyFont="1" applyFill="1" applyBorder="1" applyAlignment="1" applyProtection="1">
      <alignment horizontal="center" vertical="top"/>
    </xf>
    <xf numFmtId="0" fontId="37" fillId="0" borderId="1" xfId="0" applyFont="1" applyBorder="1" applyAlignment="1">
      <alignment vertical="top" wrapText="1"/>
    </xf>
    <xf numFmtId="0" fontId="26" fillId="0" borderId="0" xfId="6" applyFont="1" applyFill="1" applyAlignment="1" applyProtection="1">
      <alignment horizontal="center" vertical="top"/>
    </xf>
    <xf numFmtId="0" fontId="0" fillId="12" borderId="1" xfId="0" applyFill="1" applyBorder="1" applyAlignment="1">
      <alignment horizontal="left" vertical="top" wrapText="1"/>
    </xf>
    <xf numFmtId="168" fontId="0" fillId="0" borderId="10" xfId="0" applyNumberFormat="1" applyBorder="1" applyAlignment="1">
      <alignment horizontal="center" vertical="top" wrapText="1"/>
    </xf>
    <xf numFmtId="0" fontId="36" fillId="0" borderId="1" xfId="0" applyFont="1" applyBorder="1"/>
    <xf numFmtId="0" fontId="26" fillId="11" borderId="8"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68" fontId="24" fillId="12" borderId="1" xfId="6" applyNumberFormat="1" applyFont="1" applyFill="1" applyBorder="1" applyAlignment="1" applyProtection="1">
      <alignment horizontal="justify" vertical="top" wrapText="1"/>
    </xf>
    <xf numFmtId="168" fontId="0" fillId="12" borderId="8" xfId="0" applyNumberFormat="1" applyFill="1" applyBorder="1" applyAlignment="1">
      <alignment horizontal="justify" vertical="top"/>
    </xf>
    <xf numFmtId="0" fontId="26" fillId="0" borderId="13" xfId="6" applyFont="1" applyFill="1" applyBorder="1" applyAlignment="1" applyProtection="1">
      <alignment horizontal="center" vertical="top"/>
    </xf>
    <xf numFmtId="0" fontId="0" fillId="0" borderId="8" xfId="0" applyBorder="1" applyAlignment="1">
      <alignment vertical="top" wrapText="1"/>
    </xf>
    <xf numFmtId="0" fontId="26" fillId="0" borderId="14" xfId="6" applyFont="1" applyFill="1" applyBorder="1" applyAlignment="1" applyProtection="1">
      <alignment horizontal="center" vertical="top"/>
    </xf>
    <xf numFmtId="168" fontId="0" fillId="0" borderId="15" xfId="0" applyNumberFormat="1" applyBorder="1" applyAlignment="1">
      <alignment horizontal="center" vertical="top" wrapText="1"/>
    </xf>
    <xf numFmtId="168" fontId="20" fillId="0" borderId="8" xfId="6" applyNumberFormat="1" applyFont="1" applyBorder="1" applyAlignment="1" applyProtection="1">
      <alignment horizontal="justify" vertical="top" wrapText="1"/>
    </xf>
    <xf numFmtId="0" fontId="26" fillId="0" borderId="15" xfId="6" applyFont="1" applyFill="1" applyBorder="1" applyAlignment="1" applyProtection="1">
      <alignment horizontal="center" vertical="top"/>
    </xf>
    <xf numFmtId="0" fontId="26" fillId="0" borderId="17" xfId="6" applyFont="1" applyFill="1" applyBorder="1" applyAlignment="1" applyProtection="1">
      <alignment horizontal="center" vertical="top"/>
    </xf>
    <xf numFmtId="0" fontId="37"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8" fillId="0" borderId="1" xfId="0" applyFont="1" applyBorder="1" applyAlignment="1">
      <alignment vertical="top" wrapText="1"/>
    </xf>
    <xf numFmtId="0" fontId="26" fillId="11" borderId="13" xfId="6" applyFont="1" applyFill="1" applyBorder="1" applyAlignment="1" applyProtection="1">
      <alignment horizontal="center" vertical="top"/>
    </xf>
    <xf numFmtId="168" fontId="0" fillId="11" borderId="1" xfId="0" applyNumberFormat="1" applyFill="1" applyBorder="1" applyAlignment="1">
      <alignment horizontal="center" vertical="top" wrapText="1"/>
    </xf>
    <xf numFmtId="168" fontId="32" fillId="11" borderId="1" xfId="0" applyNumberFormat="1" applyFont="1" applyFill="1" applyBorder="1" applyAlignment="1">
      <alignment horizontal="left" vertical="top" wrapText="1"/>
    </xf>
    <xf numFmtId="168" fontId="0" fillId="11" borderId="1" xfId="0" applyNumberFormat="1" applyFill="1" applyBorder="1" applyAlignment="1">
      <alignment horizontal="justify" vertical="top"/>
    </xf>
    <xf numFmtId="0" fontId="18" fillId="11" borderId="1" xfId="0" applyFont="1" applyFill="1" applyBorder="1" applyAlignment="1">
      <alignment vertical="top" wrapText="1"/>
    </xf>
    <xf numFmtId="168" fontId="0" fillId="11" borderId="10" xfId="0" applyNumberFormat="1" applyFill="1" applyBorder="1" applyAlignment="1">
      <alignment horizontal="justify" vertical="top"/>
    </xf>
    <xf numFmtId="0" fontId="18" fillId="11" borderId="10" xfId="0" applyFont="1" applyFill="1" applyBorder="1" applyAlignment="1">
      <alignment vertical="top" wrapText="1"/>
    </xf>
    <xf numFmtId="0" fontId="0" fillId="11" borderId="1" xfId="0" applyFill="1" applyBorder="1"/>
    <xf numFmtId="168" fontId="0" fillId="11" borderId="5" xfId="0" applyNumberFormat="1" applyFill="1" applyBorder="1" applyAlignment="1">
      <alignment horizontal="justify" vertical="top"/>
    </xf>
    <xf numFmtId="0" fontId="18" fillId="11" borderId="5" xfId="0" applyFont="1" applyFill="1" applyBorder="1" applyAlignment="1">
      <alignment vertical="top" wrapText="1"/>
    </xf>
    <xf numFmtId="168"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9" fillId="11" borderId="1" xfId="0" applyFont="1" applyFill="1" applyBorder="1" applyAlignment="1">
      <alignment horizontal="center" vertical="top" wrapText="1"/>
    </xf>
    <xf numFmtId="0" fontId="0" fillId="11" borderId="1" xfId="0" applyFill="1" applyBorder="1" applyAlignment="1">
      <alignment horizontal="left" vertical="top" wrapText="1"/>
    </xf>
    <xf numFmtId="168" fontId="0" fillId="12" borderId="0" xfId="0" applyNumberFormat="1" applyFill="1" applyAlignment="1">
      <alignment wrapText="1"/>
    </xf>
    <xf numFmtId="0" fontId="67" fillId="11" borderId="1" xfId="0" applyFont="1" applyFill="1" applyBorder="1"/>
    <xf numFmtId="0" fontId="0" fillId="11" borderId="9" xfId="0" applyFill="1" applyBorder="1" applyAlignment="1">
      <alignment horizontal="center" vertical="top" wrapText="1"/>
    </xf>
    <xf numFmtId="0" fontId="67" fillId="11" borderId="8" xfId="0" applyFont="1" applyFill="1" applyBorder="1"/>
    <xf numFmtId="0" fontId="0" fillId="11" borderId="1" xfId="0" applyFill="1" applyBorder="1" applyAlignment="1">
      <alignment horizontal="left" vertical="top"/>
    </xf>
    <xf numFmtId="168" fontId="0" fillId="11" borderId="1" xfId="0" applyNumberFormat="1" applyFill="1" applyBorder="1" applyAlignment="1">
      <alignment vertical="top" wrapText="1"/>
    </xf>
    <xf numFmtId="0" fontId="0" fillId="11" borderId="1" xfId="0" applyFill="1" applyBorder="1" applyAlignment="1">
      <alignment horizontal="left"/>
    </xf>
    <xf numFmtId="168" fontId="0" fillId="11" borderId="0" xfId="0" applyNumberFormat="1" applyFill="1" applyAlignment="1">
      <alignment vertical="top" wrapText="1"/>
    </xf>
    <xf numFmtId="168"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4" fillId="0" borderId="8" xfId="13" applyNumberFormat="1" applyFont="1" applyBorder="1" applyProtection="1">
      <protection locked="0"/>
    </xf>
    <xf numFmtId="37" fontId="54" fillId="6" borderId="4" xfId="13" applyNumberFormat="1" applyFont="1" applyFill="1" applyBorder="1"/>
    <xf numFmtId="37" fontId="54" fillId="6" borderId="12" xfId="13" applyNumberFormat="1" applyFont="1" applyFill="1" applyBorder="1"/>
    <xf numFmtId="37" fontId="54" fillId="0" borderId="9" xfId="13" applyNumberFormat="1" applyFont="1" applyBorder="1" applyAlignment="1" applyProtection="1">
      <alignment horizontal="right"/>
      <protection locked="0"/>
    </xf>
    <xf numFmtId="173" fontId="72" fillId="0" borderId="1" xfId="13" applyNumberFormat="1" applyBorder="1" applyProtection="1">
      <protection locked="0"/>
    </xf>
    <xf numFmtId="0" fontId="71" fillId="11" borderId="13" xfId="6" applyFont="1" applyFill="1" applyBorder="1" applyAlignment="1" applyProtection="1">
      <alignment horizontal="center" vertical="top"/>
    </xf>
    <xf numFmtId="0" fontId="31" fillId="0" borderId="0" xfId="0" applyFont="1"/>
    <xf numFmtId="0" fontId="31"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31" fillId="2" borderId="0" xfId="0" applyNumberFormat="1" applyFont="1" applyFill="1"/>
    <xf numFmtId="37" fontId="0" fillId="2" borderId="0" xfId="0" applyNumberFormat="1" applyFill="1"/>
    <xf numFmtId="0" fontId="0" fillId="18" borderId="0" xfId="0" applyFill="1"/>
    <xf numFmtId="37" fontId="31" fillId="18" borderId="0" xfId="0" applyNumberFormat="1" applyFont="1" applyFill="1"/>
    <xf numFmtId="37" fontId="38"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5" fillId="2" borderId="0" xfId="0" applyNumberFormat="1" applyFont="1" applyFill="1"/>
    <xf numFmtId="0" fontId="32" fillId="17" borderId="0" xfId="0" applyFont="1" applyFill="1"/>
    <xf numFmtId="37" fontId="32" fillId="17" borderId="0" xfId="0" applyNumberFormat="1" applyFont="1" applyFill="1"/>
    <xf numFmtId="0" fontId="32" fillId="17" borderId="0" xfId="0" applyFont="1" applyFill="1" applyAlignment="1">
      <alignment horizontal="left"/>
    </xf>
    <xf numFmtId="0" fontId="32" fillId="2" borderId="0" xfId="0" applyFont="1" applyFill="1"/>
    <xf numFmtId="37" fontId="56" fillId="0" borderId="18" xfId="0" applyNumberFormat="1" applyFont="1" applyBorder="1"/>
    <xf numFmtId="0" fontId="12" fillId="7" borderId="0" xfId="6" applyFont="1" applyFill="1" applyProtection="1"/>
    <xf numFmtId="37" fontId="54" fillId="0" borderId="9" xfId="13" applyNumberFormat="1" applyFont="1" applyBorder="1"/>
    <xf numFmtId="49" fontId="27" fillId="5" borderId="3" xfId="0" applyNumberFormat="1" applyFont="1" applyFill="1" applyBorder="1" applyAlignment="1" applyProtection="1">
      <alignment horizontal="center"/>
      <protection locked="0"/>
    </xf>
    <xf numFmtId="164" fontId="27" fillId="5" borderId="3" xfId="0" applyNumberFormat="1" applyFont="1" applyFill="1" applyBorder="1" applyAlignment="1" applyProtection="1">
      <alignment horizontal="center"/>
      <protection locked="0"/>
    </xf>
    <xf numFmtId="37" fontId="0" fillId="0" borderId="5" xfId="0" applyNumberFormat="1" applyBorder="1"/>
    <xf numFmtId="37" fontId="0" fillId="0" borderId="12" xfId="0" applyNumberFormat="1" applyBorder="1"/>
    <xf numFmtId="172" fontId="0" fillId="0" borderId="1" xfId="4" applyNumberFormat="1" applyFont="1" applyBorder="1"/>
    <xf numFmtId="2" fontId="4" fillId="0" borderId="0" xfId="7" applyNumberFormat="1" applyAlignment="1" applyProtection="1">
      <alignment horizontal="left" vertical="top"/>
      <protection locked="0"/>
    </xf>
    <xf numFmtId="0" fontId="4" fillId="23" borderId="0" xfId="7" applyFill="1" applyProtection="1">
      <protection locked="0"/>
    </xf>
    <xf numFmtId="0" fontId="32" fillId="0" borderId="3" xfId="10" applyFont="1" applyBorder="1" applyAlignment="1">
      <alignment horizontal="left"/>
    </xf>
    <xf numFmtId="37" fontId="72" fillId="0" borderId="0" xfId="13" applyNumberFormat="1"/>
    <xf numFmtId="2" fontId="4" fillId="0" borderId="0" xfId="7" applyNumberFormat="1" applyAlignment="1" applyProtection="1">
      <alignment horizontal="left"/>
      <protection locked="0"/>
    </xf>
    <xf numFmtId="0" fontId="2" fillId="0" borderId="0" xfId="7" applyFont="1" applyAlignment="1" applyProtection="1">
      <alignment horizontal="left" vertical="top"/>
      <protection locked="0"/>
    </xf>
    <xf numFmtId="0" fontId="1" fillId="0" borderId="0" xfId="7" applyFont="1" applyProtection="1">
      <protection locked="0"/>
    </xf>
    <xf numFmtId="0" fontId="36" fillId="0" borderId="0" xfId="0" applyFont="1" applyAlignment="1">
      <alignment horizontal="center" wrapText="1"/>
    </xf>
    <xf numFmtId="0" fontId="0" fillId="0" borderId="3" xfId="0" applyBorder="1"/>
    <xf numFmtId="0" fontId="0" fillId="0" borderId="7" xfId="0" applyBorder="1" applyAlignment="1">
      <alignment horizontal="center" vertical="top"/>
    </xf>
    <xf numFmtId="0" fontId="51" fillId="5" borderId="0" xfId="0" applyFont="1" applyFill="1" applyProtection="1">
      <protection locked="0"/>
    </xf>
    <xf numFmtId="0" fontId="0" fillId="0" borderId="3" xfId="0" applyBorder="1" applyAlignment="1" applyProtection="1">
      <alignment horizontal="center"/>
      <protection locked="0"/>
    </xf>
    <xf numFmtId="0" fontId="0" fillId="0" borderId="0" xfId="0" applyAlignment="1">
      <alignment horizontal="center" vertical="top"/>
    </xf>
    <xf numFmtId="170" fontId="51" fillId="4" borderId="3" xfId="2" applyNumberFormat="1" applyFont="1" applyFill="1" applyBorder="1"/>
    <xf numFmtId="170" fontId="0" fillId="4" borderId="3" xfId="2" applyNumberFormat="1" applyFont="1" applyFill="1" applyBorder="1" applyAlignment="1">
      <alignment horizontal="right"/>
    </xf>
    <xf numFmtId="0" fontId="32" fillId="0" borderId="0" xfId="0" applyFont="1"/>
    <xf numFmtId="0" fontId="0" fillId="0" borderId="0" xfId="0"/>
    <xf numFmtId="0" fontId="0" fillId="0" borderId="0" xfId="0" applyAlignment="1">
      <alignment horizontal="justify" wrapText="1"/>
    </xf>
    <xf numFmtId="0" fontId="0" fillId="0" borderId="3" xfId="0" applyBorder="1" applyProtection="1">
      <protection locked="0"/>
    </xf>
    <xf numFmtId="0" fontId="27" fillId="5" borderId="3" xfId="0" applyFont="1" applyFill="1" applyBorder="1" applyAlignment="1" applyProtection="1">
      <alignment horizontal="center"/>
      <protection locked="0"/>
    </xf>
    <xf numFmtId="0" fontId="0" fillId="0" borderId="7" xfId="0" applyBorder="1" applyAlignment="1">
      <alignment horizontal="center"/>
    </xf>
    <xf numFmtId="0" fontId="0" fillId="0" borderId="0" xfId="0" applyAlignment="1">
      <alignment horizontal="center" wrapText="1"/>
    </xf>
    <xf numFmtId="0" fontId="0" fillId="0" borderId="0" xfId="0" applyAlignment="1">
      <alignment horizontal="center"/>
    </xf>
    <xf numFmtId="0" fontId="36" fillId="4" borderId="0" xfId="0" applyFont="1" applyFill="1" applyAlignment="1">
      <alignment horizontal="left" vertical="center" wrapText="1"/>
    </xf>
    <xf numFmtId="0" fontId="36" fillId="4" borderId="14" xfId="0" applyFont="1" applyFill="1" applyBorder="1" applyAlignment="1">
      <alignment horizontal="left" vertical="center" wrapText="1"/>
    </xf>
    <xf numFmtId="0" fontId="51" fillId="5" borderId="3" xfId="0" applyFont="1" applyFill="1" applyBorder="1" applyProtection="1">
      <protection locked="0"/>
    </xf>
    <xf numFmtId="0" fontId="5" fillId="0" borderId="0" xfId="0" applyFont="1" applyAlignment="1">
      <alignment horizontal="left"/>
    </xf>
    <xf numFmtId="0" fontId="36" fillId="0" borderId="0" xfId="0" applyFont="1" applyAlignment="1">
      <alignment horizontal="left" vertical="center" wrapText="1"/>
    </xf>
    <xf numFmtId="0" fontId="36" fillId="0" borderId="14" xfId="0" applyFont="1" applyBorder="1" applyAlignment="1">
      <alignment horizontal="left" vertical="center" wrapText="1"/>
    </xf>
    <xf numFmtId="0" fontId="51" fillId="4" borderId="0" xfId="0" applyFont="1" applyFill="1"/>
    <xf numFmtId="0" fontId="36" fillId="4" borderId="0" xfId="0" applyFont="1" applyFill="1" applyAlignment="1">
      <alignment horizontal="left" vertical="top" wrapText="1"/>
    </xf>
    <xf numFmtId="0" fontId="21" fillId="4" borderId="0" xfId="0" applyFont="1" applyFill="1" applyAlignment="1">
      <alignment vertical="top" wrapText="1"/>
    </xf>
    <xf numFmtId="0" fontId="52" fillId="0" borderId="0" xfId="0" applyFont="1" applyAlignment="1">
      <alignment horizontal="center"/>
    </xf>
    <xf numFmtId="0" fontId="10" fillId="0" borderId="0" xfId="0" applyFont="1" applyAlignment="1">
      <alignment horizontal="center"/>
    </xf>
    <xf numFmtId="0" fontId="9" fillId="0" borderId="0" xfId="0" applyFont="1" applyAlignment="1">
      <alignment horizontal="center"/>
    </xf>
    <xf numFmtId="0" fontId="0" fillId="0" borderId="0" xfId="0" applyAlignment="1">
      <alignment horizontal="left"/>
    </xf>
    <xf numFmtId="0" fontId="5" fillId="0" borderId="0" xfId="0" applyFont="1"/>
    <xf numFmtId="49" fontId="51"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2" fillId="0" borderId="1" xfId="0" applyFont="1" applyBorder="1" applyAlignment="1">
      <alignment horizontal="center" wrapText="1"/>
    </xf>
    <xf numFmtId="6" fontId="22" fillId="0" borderId="1" xfId="0" applyNumberFormat="1" applyFont="1" applyBorder="1" applyAlignment="1">
      <alignment horizontal="center"/>
    </xf>
    <xf numFmtId="37" fontId="56" fillId="0" borderId="1" xfId="0" applyNumberFormat="1" applyFont="1" applyBorder="1"/>
    <xf numFmtId="37" fontId="0" fillId="0" borderId="1" xfId="0" applyNumberFormat="1" applyBorder="1"/>
    <xf numFmtId="37" fontId="56" fillId="0" borderId="15" xfId="0" applyNumberFormat="1" applyFont="1" applyBorder="1"/>
    <xf numFmtId="37" fontId="0" fillId="0" borderId="5" xfId="0" applyNumberFormat="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0" fontId="0" fillId="0" borderId="0" xfId="0" applyAlignment="1">
      <alignment horizontal="left" wrapText="1"/>
    </xf>
    <xf numFmtId="10" fontId="56" fillId="4" borderId="15" xfId="0" applyNumberFormat="1" applyFont="1" applyFill="1" applyBorder="1"/>
    <xf numFmtId="10" fontId="0" fillId="4" borderId="5" xfId="0" applyNumberFormat="1" applyFill="1" applyBorder="1"/>
    <xf numFmtId="10" fontId="56" fillId="4" borderId="1" xfId="0" applyNumberFormat="1" applyFont="1" applyFill="1" applyBorder="1"/>
    <xf numFmtId="10" fontId="0" fillId="4" borderId="1" xfId="0" applyNumberFormat="1" applyFill="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7" fillId="0" borderId="0" xfId="0" applyFont="1" applyAlignment="1">
      <alignment horizontal="left" vertical="center" wrapText="1"/>
    </xf>
    <xf numFmtId="0" fontId="25" fillId="7" borderId="3" xfId="6" applyFont="1" applyFill="1" applyBorder="1" applyProtection="1"/>
    <xf numFmtId="37" fontId="56" fillId="0" borderId="8" xfId="0" applyNumberFormat="1" applyFont="1" applyBorder="1"/>
    <xf numFmtId="37" fontId="0" fillId="0" borderId="8" xfId="9" applyNumberFormat="1" applyFont="1" applyBorder="1" applyAlignment="1">
      <alignment horizontal="right"/>
    </xf>
    <xf numFmtId="37" fontId="56" fillId="4" borderId="1" xfId="0" applyNumberFormat="1" applyFont="1" applyFill="1" applyBorder="1"/>
    <xf numFmtId="37" fontId="0" fillId="4" borderId="1" xfId="9" applyNumberFormat="1" applyFont="1" applyFill="1" applyBorder="1" applyAlignment="1">
      <alignment horizontal="right"/>
    </xf>
    <xf numFmtId="0" fontId="5" fillId="0" borderId="3" xfId="0" applyFont="1" applyBorder="1" applyAlignment="1">
      <alignment horizontal="center"/>
    </xf>
    <xf numFmtId="0" fontId="5"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37" fontId="0" fillId="0" borderId="1" xfId="9" applyNumberFormat="1" applyFont="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4" borderId="1" xfId="0" applyNumberFormat="1" applyFill="1" applyBorder="1"/>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0" fontId="0" fillId="0" borderId="4" xfId="0" applyBorder="1" applyAlignment="1">
      <alignment horizontal="center"/>
    </xf>
    <xf numFmtId="37" fontId="56" fillId="0" borderId="5" xfId="0" applyNumberFormat="1" applyFont="1" applyBorder="1"/>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56" fillId="4" borderId="1" xfId="0" applyNumberFormat="1" applyFont="1" applyFill="1" applyBorder="1" applyAlignment="1">
      <alignment horizontal="right"/>
    </xf>
    <xf numFmtId="37" fontId="0" fillId="13" borderId="1" xfId="0" applyNumberFormat="1" applyFill="1" applyBorder="1" applyAlignment="1">
      <alignment horizontal="center"/>
    </xf>
    <xf numFmtId="37" fontId="0" fillId="13" borderId="15" xfId="0" applyNumberFormat="1" applyFill="1" applyBorder="1" applyAlignment="1">
      <alignment horizontal="center"/>
    </xf>
    <xf numFmtId="37" fontId="56" fillId="4" borderId="10" xfId="0" applyNumberFormat="1" applyFont="1" applyFill="1" applyBorder="1" applyAlignment="1">
      <alignment horizontal="right"/>
    </xf>
    <xf numFmtId="37" fontId="56" fillId="4" borderId="15" xfId="0" applyNumberFormat="1" applyFont="1" applyFill="1" applyBorder="1" applyAlignment="1">
      <alignment horizontal="right"/>
    </xf>
    <xf numFmtId="37" fontId="56" fillId="4" borderId="5" xfId="0" applyNumberFormat="1" applyFont="1" applyFill="1" applyBorder="1" applyAlignment="1">
      <alignment horizontal="right"/>
    </xf>
    <xf numFmtId="0" fontId="34" fillId="7" borderId="0" xfId="6" applyFont="1" applyFill="1" applyBorder="1" applyAlignment="1" applyProtection="1">
      <alignment horizontal="left"/>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6" fillId="0" borderId="16" xfId="0" applyFont="1" applyBorder="1" applyAlignment="1">
      <alignment horizontal="center" wrapText="1"/>
    </xf>
    <xf numFmtId="0" fontId="6" fillId="0" borderId="17"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6" fillId="0" borderId="12" xfId="0" applyFont="1" applyBorder="1" applyAlignment="1">
      <alignment horizontal="center" wrapText="1"/>
    </xf>
    <xf numFmtId="0" fontId="6" fillId="0" borderId="13"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6" fillId="0" borderId="2" xfId="0" applyFont="1" applyBorder="1" applyAlignment="1">
      <alignment horizontal="center" wrapText="1"/>
    </xf>
    <xf numFmtId="0" fontId="6" fillId="0" borderId="0" xfId="0" applyFont="1" applyAlignment="1">
      <alignment horizontal="center" wrapText="1"/>
    </xf>
    <xf numFmtId="0" fontId="6" fillId="0" borderId="14" xfId="0" applyFont="1" applyBorder="1" applyAlignment="1">
      <alignment horizontal="center" wrapText="1"/>
    </xf>
    <xf numFmtId="0" fontId="6" fillId="0" borderId="3" xfId="0" applyFont="1" applyBorder="1" applyAlignment="1">
      <alignment horizontal="center" wrapText="1"/>
    </xf>
    <xf numFmtId="49" fontId="32" fillId="0" borderId="4" xfId="0" applyNumberFormat="1" applyFont="1" applyBorder="1" applyAlignment="1" applyProtection="1">
      <alignment horizontal="left"/>
      <protection locked="0"/>
    </xf>
    <xf numFmtId="49" fontId="34" fillId="7" borderId="0" xfId="6" applyNumberFormat="1" applyFont="1" applyFill="1" applyBorder="1" applyAlignment="1" applyProtection="1">
      <alignment horizontal="left" vertical="top" wrapText="1"/>
    </xf>
    <xf numFmtId="0" fontId="6" fillId="0" borderId="7" xfId="0" applyFont="1" applyBorder="1" applyAlignment="1">
      <alignment horizontal="center" wrapText="1"/>
    </xf>
    <xf numFmtId="0" fontId="34" fillId="7" borderId="0" xfId="6" applyFont="1" applyFill="1" applyAlignment="1" applyProtection="1">
      <alignment wrapText="1"/>
    </xf>
    <xf numFmtId="0" fontId="34" fillId="7" borderId="0" xfId="6" applyFont="1" applyFill="1" applyBorder="1" applyAlignment="1" applyProtection="1">
      <alignment wrapText="1"/>
    </xf>
    <xf numFmtId="0" fontId="34" fillId="7" borderId="0" xfId="6" applyFont="1" applyFill="1" applyAlignment="1" applyProtection="1">
      <alignment horizontal="left" vertical="top" wrapText="1"/>
    </xf>
    <xf numFmtId="49" fontId="56"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0" fontId="32" fillId="22" borderId="3" xfId="0" applyFont="1" applyFill="1" applyBorder="1" applyAlignment="1" applyProtection="1">
      <alignment horizontal="left"/>
      <protection locked="0"/>
    </xf>
    <xf numFmtId="49" fontId="32" fillId="0" borderId="3" xfId="0" applyNumberFormat="1" applyFont="1" applyBorder="1" applyAlignment="1" applyProtection="1">
      <alignment horizontal="left"/>
      <protection locked="0"/>
    </xf>
    <xf numFmtId="37" fontId="56" fillId="4" borderId="5" xfId="0" applyNumberFormat="1" applyFont="1" applyFill="1" applyBorder="1"/>
    <xf numFmtId="37" fontId="0" fillId="4" borderId="20" xfId="0" applyNumberFormat="1" applyFill="1" applyBorder="1"/>
    <xf numFmtId="0" fontId="34" fillId="7" borderId="0" xfId="6" applyFont="1" applyFill="1" applyAlignment="1" applyProtection="1">
      <alignment horizontal="left"/>
    </xf>
    <xf numFmtId="0" fontId="0" fillId="0" borderId="0" xfId="6" applyFont="1" applyFill="1" applyBorder="1" applyAlignment="1" applyProtection="1">
      <alignment horizontal="left" wrapText="1"/>
    </xf>
    <xf numFmtId="0" fontId="34" fillId="7" borderId="0" xfId="6" applyFont="1" applyFill="1" applyAlignment="1" applyProtection="1">
      <alignment vertical="top" wrapText="1"/>
    </xf>
    <xf numFmtId="37" fontId="56" fillId="0" borderId="10" xfId="0" applyNumberFormat="1" applyFont="1" applyBorder="1" applyAlignment="1">
      <alignment vertical="center"/>
    </xf>
    <xf numFmtId="37" fontId="0" fillId="0" borderId="33" xfId="0" applyNumberFormat="1" applyBorder="1" applyAlignment="1">
      <alignment horizontal="right" vertical="center"/>
    </xf>
    <xf numFmtId="0" fontId="12" fillId="7" borderId="0" xfId="6" applyFont="1" applyFill="1" applyAlignment="1" applyProtection="1">
      <alignment horizontal="left" vertical="center" wrapText="1"/>
    </xf>
    <xf numFmtId="0" fontId="12" fillId="7" borderId="0" xfId="6" applyFont="1" applyFill="1" applyBorder="1" applyAlignment="1" applyProtection="1">
      <alignment horizontal="left" vertical="center" wrapText="1"/>
    </xf>
    <xf numFmtId="37" fontId="56"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4" fillId="7" borderId="0" xfId="6" applyFont="1" applyFill="1" applyAlignment="1" applyProtection="1">
      <alignment horizontal="center"/>
    </xf>
    <xf numFmtId="0" fontId="34"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5" fillId="12" borderId="0" xfId="0" applyNumberFormat="1" applyFont="1" applyFill="1" applyAlignment="1">
      <alignment horizontal="center"/>
    </xf>
    <xf numFmtId="0" fontId="0" fillId="0" borderId="1" xfId="0" applyBorder="1" applyAlignment="1">
      <alignment horizontal="center"/>
    </xf>
    <xf numFmtId="168" fontId="32" fillId="12" borderId="0" xfId="0" applyNumberFormat="1" applyFont="1" applyFill="1" applyAlignment="1">
      <alignment horizontal="left"/>
    </xf>
    <xf numFmtId="168" fontId="32" fillId="12" borderId="14" xfId="0" applyNumberFormat="1" applyFont="1" applyFill="1" applyBorder="1" applyAlignment="1">
      <alignment horizontal="left"/>
    </xf>
    <xf numFmtId="168" fontId="0" fillId="12" borderId="0" xfId="0" applyNumberFormat="1" applyFill="1" applyAlignment="1">
      <alignment horizontal="left"/>
    </xf>
    <xf numFmtId="0" fontId="0" fillId="0" borderId="0" xfId="0" quotePrefix="1" applyAlignment="1">
      <alignment horizontal="left"/>
    </xf>
    <xf numFmtId="168" fontId="0" fillId="12" borderId="14" xfId="0" applyNumberFormat="1" applyFill="1" applyBorder="1" applyAlignment="1">
      <alignment horizontal="left"/>
    </xf>
    <xf numFmtId="0" fontId="32" fillId="0" borderId="3" xfId="10" applyFont="1" applyBorder="1" applyAlignment="1">
      <alignment horizontal="center"/>
    </xf>
    <xf numFmtId="168" fontId="16" fillId="8" borderId="10" xfId="12" applyNumberFormat="1" applyFont="1" applyFill="1" applyBorder="1" applyAlignment="1" applyProtection="1">
      <alignment horizontal="center" wrapText="1"/>
    </xf>
    <xf numFmtId="168" fontId="16" fillId="8" borderId="5" xfId="12" applyNumberFormat="1" applyFont="1" applyFill="1" applyBorder="1" applyAlignment="1" applyProtection="1">
      <alignment horizontal="center" wrapText="1"/>
    </xf>
    <xf numFmtId="168" fontId="49" fillId="0" borderId="7" xfId="12" applyNumberFormat="1" applyFont="1" applyFill="1" applyBorder="1" applyAlignment="1" applyProtection="1">
      <alignment horizontal="left" vertical="top"/>
    </xf>
    <xf numFmtId="168" fontId="49" fillId="0" borderId="0" xfId="12" applyNumberFormat="1" applyFont="1" applyFill="1" applyBorder="1" applyAlignment="1" applyProtection="1">
      <alignment horizontal="left" vertical="top"/>
    </xf>
    <xf numFmtId="0" fontId="61" fillId="0" borderId="9" xfId="10" applyFont="1" applyBorder="1" applyAlignment="1">
      <alignment horizontal="center"/>
    </xf>
    <xf numFmtId="0" fontId="61" fillId="0" borderId="4" xfId="10" applyFont="1" applyBorder="1" applyAlignment="1">
      <alignment horizontal="center"/>
    </xf>
    <xf numFmtId="0" fontId="61" fillId="0" borderId="8" xfId="10" applyFont="1" applyBorder="1" applyAlignment="1">
      <alignment horizontal="center"/>
    </xf>
    <xf numFmtId="168" fontId="32" fillId="6" borderId="10" xfId="10" applyNumberFormat="1" applyFont="1" applyFill="1" applyBorder="1" applyAlignment="1">
      <alignment horizontal="center" vertical="center"/>
    </xf>
    <xf numFmtId="168" fontId="32" fillId="6" borderId="15" xfId="10" applyNumberFormat="1" applyFont="1" applyFill="1" applyBorder="1" applyAlignment="1">
      <alignment horizontal="center" vertical="center"/>
    </xf>
    <xf numFmtId="168" fontId="32" fillId="6" borderId="5" xfId="10" applyNumberFormat="1" applyFont="1" applyFill="1" applyBorder="1" applyAlignment="1">
      <alignment horizontal="center" vertical="center"/>
    </xf>
    <xf numFmtId="168" fontId="61" fillId="6" borderId="0" xfId="10" applyNumberFormat="1" applyFont="1" applyFill="1"/>
    <xf numFmtId="168" fontId="61" fillId="6" borderId="14" xfId="10" applyNumberFormat="1" applyFont="1" applyFill="1" applyBorder="1"/>
    <xf numFmtId="168" fontId="61" fillId="6" borderId="3" xfId="10" applyNumberFormat="1" applyFont="1" applyFill="1" applyBorder="1"/>
    <xf numFmtId="168" fontId="61" fillId="6" borderId="17" xfId="10" applyNumberFormat="1" applyFont="1" applyFill="1" applyBorder="1"/>
    <xf numFmtId="168" fontId="36" fillId="0" borderId="0" xfId="10" applyNumberFormat="1" applyFont="1" applyAlignment="1">
      <alignment horizontal="center" wrapText="1"/>
    </xf>
    <xf numFmtId="0" fontId="32" fillId="0" borderId="9" xfId="10" applyFont="1" applyBorder="1" applyAlignment="1">
      <alignment horizontal="left"/>
    </xf>
    <xf numFmtId="0" fontId="32" fillId="0" borderId="4" xfId="10" applyFont="1" applyBorder="1" applyAlignment="1">
      <alignment horizontal="left"/>
    </xf>
    <xf numFmtId="0" fontId="32" fillId="0" borderId="8" xfId="10" applyFont="1" applyBorder="1" applyAlignment="1">
      <alignment horizontal="left"/>
    </xf>
    <xf numFmtId="168" fontId="36" fillId="0" borderId="0" xfId="10" applyNumberFormat="1" applyFont="1" applyAlignment="1">
      <alignment horizontal="center" vertical="center" wrapText="1"/>
    </xf>
    <xf numFmtId="168" fontId="36" fillId="0" borderId="0" xfId="10" quotePrefix="1" applyNumberFormat="1" applyFont="1" applyAlignment="1">
      <alignment horizontal="center" vertical="center" wrapText="1"/>
    </xf>
    <xf numFmtId="0" fontId="16" fillId="7" borderId="9" xfId="6" applyFont="1" applyFill="1" applyBorder="1" applyProtection="1"/>
    <xf numFmtId="0" fontId="16" fillId="7" borderId="4" xfId="6" applyFont="1" applyFill="1" applyBorder="1" applyProtection="1"/>
    <xf numFmtId="0" fontId="16" fillId="7" borderId="8" xfId="6" applyFont="1" applyFill="1" applyBorder="1" applyProtection="1"/>
    <xf numFmtId="168" fontId="32"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6" fillId="7" borderId="12" xfId="6" applyFont="1" applyFill="1" applyBorder="1" applyProtection="1"/>
    <xf numFmtId="0" fontId="16" fillId="7" borderId="7" xfId="6" applyFont="1" applyFill="1" applyBorder="1" applyProtection="1"/>
    <xf numFmtId="0" fontId="16" fillId="7" borderId="13" xfId="6" applyFont="1" applyFill="1" applyBorder="1" applyProtection="1"/>
    <xf numFmtId="0" fontId="16" fillId="7" borderId="16" xfId="6" applyFont="1" applyFill="1" applyBorder="1" applyProtection="1"/>
    <xf numFmtId="0" fontId="16" fillId="7" borderId="3" xfId="6" applyFont="1" applyFill="1" applyBorder="1" applyProtection="1"/>
    <xf numFmtId="0" fontId="16" fillId="7" borderId="17" xfId="6" applyFont="1" applyFill="1" applyBorder="1" applyProtection="1"/>
    <xf numFmtId="0" fontId="32" fillId="0" borderId="9" xfId="0" applyFont="1" applyBorder="1"/>
    <xf numFmtId="0" fontId="32" fillId="0" borderId="4" xfId="0" applyFont="1" applyBorder="1"/>
    <xf numFmtId="0" fontId="32" fillId="0" borderId="8" xfId="0" applyFont="1" applyBorder="1"/>
    <xf numFmtId="38" fontId="54" fillId="0" borderId="24" xfId="13" applyNumberFormat="1" applyFont="1" applyBorder="1" applyAlignment="1">
      <alignment horizontal="center" wrapText="1"/>
    </xf>
    <xf numFmtId="38" fontId="54" fillId="0" borderId="15" xfId="13" applyNumberFormat="1" applyFont="1" applyBorder="1" applyAlignment="1">
      <alignment horizontal="center" wrapText="1"/>
    </xf>
    <xf numFmtId="38" fontId="54" fillId="0" borderId="10" xfId="13" applyNumberFormat="1" applyFont="1" applyBorder="1" applyAlignment="1">
      <alignment horizontal="center" wrapText="1"/>
    </xf>
    <xf numFmtId="0" fontId="72" fillId="0" borderId="3" xfId="13" applyBorder="1" applyAlignment="1">
      <alignment horizontal="center"/>
    </xf>
    <xf numFmtId="37" fontId="54" fillId="0" borderId="22" xfId="13" applyNumberFormat="1" applyFont="1" applyBorder="1" applyAlignment="1">
      <alignment horizontal="center" wrapText="1"/>
    </xf>
    <xf numFmtId="37" fontId="54" fillId="0" borderId="25" xfId="13" applyNumberFormat="1" applyFont="1" applyBorder="1" applyAlignment="1">
      <alignment horizontal="center" wrapText="1"/>
    </xf>
    <xf numFmtId="37" fontId="54" fillId="0" borderId="27" xfId="13" applyNumberFormat="1" applyFont="1" applyBorder="1" applyAlignment="1">
      <alignment horizontal="center" wrapText="1"/>
    </xf>
    <xf numFmtId="49" fontId="32" fillId="0" borderId="12" xfId="0" applyNumberFormat="1" applyFont="1" applyBorder="1" applyAlignment="1" applyProtection="1">
      <alignment vertical="top" wrapText="1"/>
      <protection locked="0"/>
    </xf>
    <xf numFmtId="49" fontId="32" fillId="0" borderId="7" xfId="0" applyNumberFormat="1" applyFont="1" applyBorder="1" applyAlignment="1" applyProtection="1">
      <alignment vertical="top" wrapText="1"/>
      <protection locked="0"/>
    </xf>
    <xf numFmtId="49" fontId="32" fillId="0" borderId="13" xfId="0" applyNumberFormat="1" applyFont="1" applyBorder="1" applyAlignment="1" applyProtection="1">
      <alignment vertical="top" wrapText="1"/>
      <protection locked="0"/>
    </xf>
    <xf numFmtId="49" fontId="32" fillId="0" borderId="2" xfId="0" applyNumberFormat="1" applyFont="1" applyBorder="1" applyAlignment="1" applyProtection="1">
      <alignment vertical="top" wrapText="1"/>
      <protection locked="0"/>
    </xf>
    <xf numFmtId="49" fontId="32" fillId="0" borderId="0" xfId="0" applyNumberFormat="1" applyFont="1" applyAlignment="1" applyProtection="1">
      <alignment vertical="top" wrapText="1"/>
      <protection locked="0"/>
    </xf>
    <xf numFmtId="49" fontId="32" fillId="0" borderId="14" xfId="0" applyNumberFormat="1" applyFont="1" applyBorder="1" applyAlignment="1" applyProtection="1">
      <alignment vertical="top" wrapText="1"/>
      <protection locked="0"/>
    </xf>
    <xf numFmtId="49" fontId="32" fillId="0" borderId="16" xfId="0" applyNumberFormat="1" applyFont="1" applyBorder="1" applyAlignment="1" applyProtection="1">
      <alignment vertical="top" wrapText="1"/>
      <protection locked="0"/>
    </xf>
    <xf numFmtId="49" fontId="32" fillId="0" borderId="3" xfId="0" applyNumberFormat="1" applyFont="1" applyBorder="1" applyAlignment="1" applyProtection="1">
      <alignment vertical="top" wrapText="1"/>
      <protection locked="0"/>
    </xf>
    <xf numFmtId="49" fontId="32" fillId="0" borderId="17" xfId="0" applyNumberFormat="1" applyFont="1" applyBorder="1" applyAlignment="1" applyProtection="1">
      <alignment vertical="top" wrapText="1"/>
      <protection locked="0"/>
    </xf>
    <xf numFmtId="0" fontId="61" fillId="0" borderId="0" xfId="0" applyFont="1" applyAlignment="1">
      <alignment horizontal="center" vertical="top"/>
    </xf>
    <xf numFmtId="49" fontId="0" fillId="0" borderId="9" xfId="0" applyNumberFormat="1" applyBorder="1" applyAlignment="1" applyProtection="1">
      <alignment horizontal="right"/>
      <protection locked="0"/>
    </xf>
    <xf numFmtId="49" fontId="0" fillId="0" borderId="4"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168" fontId="35" fillId="7" borderId="0" xfId="6" applyNumberFormat="1" applyFont="1" applyFill="1" applyAlignment="1" applyProtection="1">
      <alignment horizontal="left"/>
    </xf>
    <xf numFmtId="49" fontId="32" fillId="0" borderId="9" xfId="0" applyNumberFormat="1" applyFont="1" applyBorder="1" applyAlignment="1" applyProtection="1">
      <alignment horizontal="left" vertical="top" wrapText="1"/>
      <protection locked="0"/>
    </xf>
    <xf numFmtId="49" fontId="32" fillId="0" borderId="4" xfId="0" applyNumberFormat="1" applyFont="1" applyBorder="1" applyAlignment="1" applyProtection="1">
      <alignment horizontal="left" vertical="top" wrapText="1"/>
      <protection locked="0"/>
    </xf>
    <xf numFmtId="49" fontId="32" fillId="0" borderId="8" xfId="0" applyNumberFormat="1" applyFont="1" applyBorder="1" applyAlignment="1" applyProtection="1">
      <alignment horizontal="left" vertical="top" wrapText="1"/>
      <protection locked="0"/>
    </xf>
    <xf numFmtId="0" fontId="0" fillId="0" borderId="0" xfId="0" applyAlignment="1">
      <alignment horizontal="left" vertical="top" wrapText="1"/>
    </xf>
    <xf numFmtId="168" fontId="5" fillId="0" borderId="0" xfId="6" quotePrefix="1" applyNumberFormat="1" applyFont="1" applyFill="1" applyAlignment="1" applyProtection="1">
      <alignment horizontal="left" vertical="top"/>
    </xf>
    <xf numFmtId="168" fontId="5" fillId="0" borderId="0" xfId="6" applyNumberFormat="1" applyFont="1" applyFill="1" applyAlignment="1" applyProtection="1">
      <alignment horizontal="left" vertical="top"/>
    </xf>
    <xf numFmtId="37" fontId="61" fillId="0" borderId="0" xfId="8" applyNumberFormat="1" applyFont="1" applyAlignment="1">
      <alignment horizontal="left" wrapText="1"/>
    </xf>
    <xf numFmtId="0" fontId="63" fillId="7" borderId="0" xfId="6" applyFont="1" applyFill="1" applyAlignment="1" applyProtection="1">
      <alignment horizontal="left"/>
    </xf>
    <xf numFmtId="0" fontId="61" fillId="0" borderId="4" xfId="0" applyFont="1" applyBorder="1" applyAlignment="1">
      <alignment horizontal="center"/>
    </xf>
    <xf numFmtId="0" fontId="0" fillId="0" borderId="14" xfId="0" applyBorder="1" applyAlignment="1">
      <alignment horizontal="left" vertical="top" wrapText="1"/>
    </xf>
    <xf numFmtId="0" fontId="66" fillId="0" borderId="9" xfId="7" applyFont="1" applyBorder="1" applyAlignment="1">
      <alignment horizontal="center"/>
    </xf>
    <xf numFmtId="0" fontId="66" fillId="0" borderId="4" xfId="7" applyFont="1" applyBorder="1" applyAlignment="1">
      <alignment horizontal="center"/>
    </xf>
    <xf numFmtId="0" fontId="66" fillId="0" borderId="8" xfId="7" applyFont="1" applyBorder="1" applyAlignment="1">
      <alignment horizontal="center"/>
    </xf>
    <xf numFmtId="168" fontId="12" fillId="12" borderId="12" xfId="6" applyNumberFormat="1" applyFont="1" applyFill="1" applyBorder="1" applyAlignment="1" applyProtection="1">
      <alignment horizontal="center" vertical="center"/>
    </xf>
    <xf numFmtId="168" fontId="12" fillId="12" borderId="13" xfId="6" applyNumberFormat="1" applyFont="1" applyFill="1" applyBorder="1" applyAlignment="1" applyProtection="1">
      <alignment horizontal="center" vertical="center"/>
    </xf>
    <xf numFmtId="168" fontId="12" fillId="12" borderId="2" xfId="6" applyNumberFormat="1" applyFont="1" applyFill="1" applyBorder="1" applyAlignment="1" applyProtection="1">
      <alignment horizontal="center" vertical="center"/>
    </xf>
    <xf numFmtId="168" fontId="12" fillId="12" borderId="14" xfId="6" applyNumberFormat="1" applyFont="1" applyFill="1" applyBorder="1" applyAlignment="1" applyProtection="1">
      <alignment horizontal="center" vertical="center"/>
    </xf>
    <xf numFmtId="168" fontId="12" fillId="12" borderId="16" xfId="6" applyNumberFormat="1" applyFont="1" applyFill="1" applyBorder="1" applyAlignment="1" applyProtection="1">
      <alignment horizontal="center" vertical="center"/>
    </xf>
    <xf numFmtId="168" fontId="12" fillId="12" borderId="17" xfId="6" applyNumberFormat="1" applyFont="1" applyFill="1" applyBorder="1" applyAlignment="1" applyProtection="1">
      <alignment horizontal="center" vertical="center"/>
    </xf>
    <xf numFmtId="168" fontId="0" fillId="0" borderId="10" xfId="0" applyNumberFormat="1" applyBorder="1" applyAlignment="1">
      <alignment horizontal="center" vertical="top" wrapText="1"/>
    </xf>
    <xf numFmtId="168" fontId="0" fillId="0" borderId="5" xfId="0" applyNumberFormat="1" applyBorder="1" applyAlignment="1">
      <alignment horizontal="center" vertical="top" wrapText="1"/>
    </xf>
    <xf numFmtId="168" fontId="34" fillId="12" borderId="10" xfId="6" applyNumberFormat="1" applyFont="1" applyFill="1" applyBorder="1" applyAlignment="1" applyProtection="1">
      <alignment horizontal="center" vertical="top" wrapText="1"/>
    </xf>
    <xf numFmtId="168" fontId="34" fillId="12"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26" fillId="11" borderId="13" xfId="6" applyFont="1" applyFill="1" applyBorder="1" applyAlignment="1" applyProtection="1">
      <alignment horizontal="center" vertical="top"/>
    </xf>
    <xf numFmtId="0" fontId="26" fillId="11" borderId="17"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6" xfId="0" applyNumberFormat="1" applyFill="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7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twoCellAnchor editAs="oneCell">
    <xdr:from>
      <xdr:col>11</xdr:col>
      <xdr:colOff>215900</xdr:colOff>
      <xdr:row>26</xdr:row>
      <xdr:rowOff>6350</xdr:rowOff>
    </xdr:from>
    <xdr:to>
      <xdr:col>13</xdr:col>
      <xdr:colOff>882650</xdr:colOff>
      <xdr:row>27</xdr:row>
      <xdr:rowOff>142875</xdr:rowOff>
    </xdr:to>
    <xdr:pic>
      <xdr:nvPicPr>
        <xdr:cNvPr id="3" name="Picture 1">
          <a:extLst>
            <a:ext uri="{FF2B5EF4-FFF2-40B4-BE49-F238E27FC236}">
              <a16:creationId xmlns:a16="http://schemas.microsoft.com/office/drawing/2014/main" id="{B846F4B4-70CE-461A-A41A-85D7BB9C12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89750" y="5873750"/>
          <a:ext cx="1962150" cy="28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SFORMS/afr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SFORMS/budget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IP1072EndBal" refersTo="='Page 5'!$O$48"/>
      <definedName name="SEIP1071EndBal" refersTo="='Page 5'!$O$26"/>
    </definedNames>
    <sheetDataSet>
      <sheetData sheetId="0" refreshError="1"/>
      <sheetData sheetId="1" refreshError="1"/>
      <sheetData sheetId="2" refreshError="1">
        <row r="6">
          <cell r="J6">
            <v>0</v>
          </cell>
        </row>
        <row r="22">
          <cell r="J22">
            <v>0</v>
          </cell>
        </row>
        <row r="34">
          <cell r="I34">
            <v>0</v>
          </cell>
          <cell r="J34">
            <v>0</v>
          </cell>
        </row>
        <row r="35">
          <cell r="I35">
            <v>0</v>
          </cell>
          <cell r="J35">
            <v>0</v>
          </cell>
        </row>
        <row r="37">
          <cell r="I37">
            <v>0</v>
          </cell>
          <cell r="J37">
            <v>0</v>
          </cell>
        </row>
        <row r="42">
          <cell r="I42">
            <v>0</v>
          </cell>
          <cell r="J42">
            <v>0</v>
          </cell>
        </row>
        <row r="43">
          <cell r="I43">
            <v>0</v>
          </cell>
          <cell r="J43">
            <v>0</v>
          </cell>
        </row>
        <row r="45">
          <cell r="I45">
            <v>0</v>
          </cell>
          <cell r="J45">
            <v>0</v>
          </cell>
        </row>
      </sheetData>
      <sheetData sheetId="3" refreshError="1"/>
      <sheetData sheetId="4" refreshError="1">
        <row r="19">
          <cell r="F19">
            <v>0</v>
          </cell>
        </row>
      </sheetData>
      <sheetData sheetId="5" refreshError="1">
        <row r="26">
          <cell r="O26">
            <v>0</v>
          </cell>
        </row>
        <row r="48">
          <cell r="O48">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s>
    <sheetDataSet>
      <sheetData sheetId="0" refreshError="1"/>
      <sheetData sheetId="1" refreshError="1"/>
      <sheetData sheetId="2" refreshError="1"/>
      <sheetData sheetId="3" refreshError="1"/>
      <sheetData sheetId="4" refreshError="1"/>
      <sheetData sheetId="5" refreshError="1">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Program_200_Budget_and_Program_200_Actual_column_totals_should_equal_line_27_on_page_2." TargetMode="External"/><Relationship Id="rId1" Type="http://schemas.openxmlformats.org/officeDocument/2006/relationships/hyperlink" Target="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topLeftCell="A12" workbookViewId="0">
      <selection activeCell="Q33" sqref="Q33:R34"/>
    </sheetView>
  </sheetViews>
  <sheetFormatPr defaultColWidth="9.296875" defaultRowHeight="13" x14ac:dyDescent="0.3"/>
  <cols>
    <col min="1" max="1" width="22.19921875" customWidth="1"/>
    <col min="2" max="2" width="6.296875" customWidth="1"/>
    <col min="3" max="3" width="5.296875" customWidth="1"/>
    <col min="4" max="4" width="9.296875" customWidth="1"/>
    <col min="5" max="5" width="6.296875" customWidth="1"/>
    <col min="6" max="6" width="13" customWidth="1"/>
    <col min="7" max="7" width="7.796875" customWidth="1"/>
    <col min="8" max="8" width="3.296875" customWidth="1"/>
    <col min="9" max="9" width="13" customWidth="1"/>
    <col min="10" max="12" width="9.296875" customWidth="1"/>
    <col min="13" max="13" width="11" customWidth="1"/>
    <col min="14" max="14" width="20" customWidth="1"/>
    <col min="15" max="15" width="17.296875" customWidth="1"/>
    <col min="16" max="16" width="7" customWidth="1"/>
    <col min="17" max="17" width="3.296875" customWidth="1"/>
    <col min="18" max="18" width="16" customWidth="1"/>
    <col min="19" max="26" width="9.296875" customWidth="1"/>
    <col min="27" max="27" width="18" customWidth="1"/>
    <col min="28" max="28" width="11.796875" customWidth="1"/>
    <col min="29" max="29" width="9.296875" customWidth="1"/>
  </cols>
  <sheetData>
    <row r="1" spans="1:28" ht="12.75" customHeight="1" x14ac:dyDescent="0.35">
      <c r="A1" s="736" t="s">
        <v>336</v>
      </c>
      <c r="B1" s="736"/>
      <c r="C1" s="736"/>
      <c r="D1" s="729" t="s">
        <v>1242</v>
      </c>
      <c r="E1" s="729"/>
      <c r="F1" s="729"/>
      <c r="G1" s="729"/>
      <c r="H1" s="729"/>
      <c r="I1" s="729"/>
      <c r="L1" s="135" t="s">
        <v>331</v>
      </c>
      <c r="M1" s="729" t="s">
        <v>1243</v>
      </c>
      <c r="N1" s="729"/>
      <c r="Q1" s="68" t="s">
        <v>592</v>
      </c>
      <c r="R1" s="705" t="s">
        <v>1244</v>
      </c>
      <c r="AA1" s="71" t="s">
        <v>898</v>
      </c>
      <c r="AB1" s="136">
        <v>45181</v>
      </c>
    </row>
    <row r="2" spans="1:28" ht="12.75" customHeight="1" x14ac:dyDescent="0.3">
      <c r="A2" s="137"/>
      <c r="B2" s="137"/>
      <c r="C2" s="137"/>
      <c r="D2" s="730" t="s">
        <v>770</v>
      </c>
      <c r="E2" s="730"/>
      <c r="F2" s="730"/>
      <c r="G2" s="730"/>
      <c r="H2" s="730"/>
      <c r="I2" s="730"/>
      <c r="L2" s="739"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41"/>
      <c r="N2" s="741"/>
      <c r="O2" s="741"/>
      <c r="P2" s="741"/>
      <c r="Q2" s="741"/>
      <c r="R2" s="741"/>
    </row>
    <row r="3" spans="1:28" ht="12.75" customHeight="1" x14ac:dyDescent="0.35">
      <c r="A3" s="137"/>
      <c r="B3" s="137"/>
      <c r="C3" s="137"/>
      <c r="D3" s="720" t="s">
        <v>1245</v>
      </c>
      <c r="E3" s="721"/>
      <c r="F3" s="721"/>
      <c r="G3" s="721"/>
      <c r="H3" s="721"/>
      <c r="I3" s="721"/>
      <c r="L3" s="741"/>
      <c r="M3" s="741"/>
      <c r="N3" s="741"/>
      <c r="O3" s="741"/>
      <c r="P3" s="741"/>
      <c r="Q3" s="741"/>
      <c r="R3" s="741"/>
    </row>
    <row r="4" spans="1:28" ht="12.75" customHeight="1" x14ac:dyDescent="0.3">
      <c r="A4" s="137"/>
      <c r="B4" s="137"/>
      <c r="C4" s="137"/>
      <c r="D4" s="730" t="s">
        <v>65</v>
      </c>
      <c r="E4" s="730"/>
      <c r="F4" s="730"/>
      <c r="G4" s="730"/>
      <c r="H4" s="730"/>
      <c r="I4" s="730"/>
      <c r="L4" s="739" t="str">
        <f>IF(L2="","",CONCATENATE(Alerts!B3,CHAR(10),Alerts!B4,CHAR(10),Alerts!B5,CHAR(10),Alerts!B6,CHAR(10),Alerts!B7,CHAR(10),Alerts!B8,CHAR(10),Alerts!B9,CHAR(10),Alerts!B10,CHAR(10),Alerts!B11,CHAR(10),Alerts!B12,CHAR(10),Alerts!B13,CHAR(10),Alerts!B14,CHAR(10),Alerts!B15,CHAR(10),Alerts!B16))</f>
        <v/>
      </c>
      <c r="M4" s="740"/>
      <c r="N4" s="740"/>
      <c r="O4" s="740"/>
      <c r="P4" s="740"/>
      <c r="Q4" s="740"/>
      <c r="R4" s="740"/>
    </row>
    <row r="5" spans="1:28" ht="12.75" customHeight="1" x14ac:dyDescent="0.3">
      <c r="A5" s="137"/>
      <c r="B5" s="137"/>
      <c r="C5" s="137"/>
      <c r="L5" s="740"/>
      <c r="M5" s="740"/>
      <c r="N5" s="740"/>
      <c r="O5" s="740"/>
      <c r="P5" s="740"/>
      <c r="Q5" s="740"/>
      <c r="R5" s="740"/>
    </row>
    <row r="6" spans="1:28" ht="17.5" x14ac:dyDescent="0.35">
      <c r="A6" s="82"/>
      <c r="B6" s="742" t="s">
        <v>1149</v>
      </c>
      <c r="C6" s="742"/>
      <c r="D6" s="742"/>
      <c r="E6" s="742"/>
      <c r="F6" s="742"/>
      <c r="G6" s="742"/>
      <c r="H6" s="742"/>
      <c r="I6" s="742"/>
      <c r="J6" s="97"/>
      <c r="L6" s="740"/>
      <c r="M6" s="740"/>
      <c r="N6" s="740"/>
      <c r="O6" s="740"/>
      <c r="P6" s="740"/>
      <c r="Q6" s="740"/>
      <c r="R6" s="740"/>
    </row>
    <row r="7" spans="1:28" ht="18" customHeight="1" x14ac:dyDescent="0.35">
      <c r="A7" s="82"/>
      <c r="B7" s="744" t="s">
        <v>332</v>
      </c>
      <c r="C7" s="744"/>
      <c r="D7" s="744"/>
      <c r="E7" s="744"/>
      <c r="F7" s="744"/>
      <c r="G7" s="744"/>
      <c r="H7" s="744"/>
      <c r="I7" s="744"/>
      <c r="J7" s="93"/>
      <c r="L7" s="740"/>
      <c r="M7" s="740"/>
      <c r="N7" s="740"/>
      <c r="O7" s="740"/>
      <c r="P7" s="740"/>
      <c r="Q7" s="740"/>
      <c r="R7" s="740"/>
    </row>
    <row r="8" spans="1:28" ht="18" customHeight="1" x14ac:dyDescent="0.3">
      <c r="A8" s="82"/>
      <c r="B8" s="743" t="s">
        <v>333</v>
      </c>
      <c r="C8" s="743"/>
      <c r="D8" s="743"/>
      <c r="E8" s="743"/>
      <c r="F8" s="743"/>
      <c r="G8" s="743"/>
      <c r="H8" s="743"/>
      <c r="I8" s="743"/>
      <c r="J8" s="97"/>
      <c r="L8" s="740"/>
      <c r="M8" s="740"/>
      <c r="N8" s="740"/>
      <c r="O8" s="740"/>
      <c r="P8" s="740"/>
      <c r="Q8" s="740"/>
      <c r="R8" s="740"/>
    </row>
    <row r="9" spans="1:28" ht="12.75" customHeight="1" x14ac:dyDescent="0.3">
      <c r="C9" s="138"/>
      <c r="D9" s="138"/>
      <c r="E9" s="138"/>
      <c r="F9" s="138"/>
      <c r="G9" s="138"/>
      <c r="H9" s="138"/>
      <c r="I9" s="138"/>
      <c r="J9" s="139"/>
      <c r="L9" s="740"/>
      <c r="M9" s="740"/>
      <c r="N9" s="740"/>
      <c r="O9" s="740"/>
      <c r="P9" s="739"/>
      <c r="Q9" s="740"/>
      <c r="R9" s="740"/>
    </row>
    <row r="10" spans="1:28" ht="26.25" customHeight="1" x14ac:dyDescent="0.35">
      <c r="A10" s="26"/>
      <c r="B10" s="737" t="str">
        <f>IF('Page 2'!N9="","","Checking the box to the left certifies the Charter did not incur any expenses for student support services, as defined in the USFRCS and reported on Page 2, Line 2, during the fiscal year.")</f>
        <v/>
      </c>
      <c r="C10" s="737"/>
      <c r="D10" s="737"/>
      <c r="E10" s="737"/>
      <c r="F10" s="737"/>
      <c r="G10" s="737"/>
      <c r="H10" s="737"/>
      <c r="I10" s="737"/>
      <c r="J10" s="738"/>
      <c r="L10" s="740"/>
      <c r="M10" s="740"/>
      <c r="N10" s="740"/>
      <c r="O10" s="740"/>
      <c r="P10" s="740"/>
      <c r="Q10" s="740"/>
      <c r="R10" s="740"/>
    </row>
    <row r="11" spans="1:28" x14ac:dyDescent="0.3">
      <c r="A11" s="140"/>
      <c r="B11" s="138"/>
      <c r="C11" s="138"/>
      <c r="D11" s="138"/>
      <c r="E11" s="138"/>
      <c r="F11" s="138"/>
      <c r="G11" s="138"/>
      <c r="H11" s="138"/>
      <c r="I11" s="138"/>
      <c r="J11" s="139"/>
      <c r="L11" s="740"/>
      <c r="M11" s="740"/>
      <c r="N11" s="740"/>
      <c r="O11" s="740"/>
      <c r="P11" s="740"/>
      <c r="Q11" s="740"/>
      <c r="R11" s="740"/>
    </row>
    <row r="12" spans="1:28" ht="25.5" customHeight="1" x14ac:dyDescent="0.35">
      <c r="A12" s="26"/>
      <c r="B12" s="737" t="str">
        <f>IF('Page 2'!N10="","","Checking the box to the left certifies the Charter did not incur any expenses for instructional support services, as defined in the USFRCS and reported on Page 2, Line 3, during the fiscal year.")</f>
        <v/>
      </c>
      <c r="C12" s="737"/>
      <c r="D12" s="737"/>
      <c r="E12" s="737"/>
      <c r="F12" s="737"/>
      <c r="G12" s="737"/>
      <c r="H12" s="737"/>
      <c r="I12" s="737"/>
      <c r="J12" s="738"/>
      <c r="K12" s="79"/>
      <c r="L12" s="740"/>
      <c r="M12" s="740"/>
      <c r="N12" s="740"/>
      <c r="O12" s="740"/>
      <c r="P12" s="740"/>
      <c r="Q12" s="740"/>
      <c r="R12" s="740"/>
    </row>
    <row r="13" spans="1:28" x14ac:dyDescent="0.3">
      <c r="A13" s="140"/>
      <c r="C13" s="138"/>
      <c r="D13" s="138"/>
      <c r="E13" s="138"/>
      <c r="F13" s="138"/>
      <c r="G13" s="138"/>
      <c r="H13" s="138"/>
      <c r="I13" s="138"/>
      <c r="J13" s="139"/>
      <c r="L13" s="740"/>
      <c r="M13" s="740"/>
      <c r="N13" s="740"/>
      <c r="O13" s="740"/>
      <c r="P13" s="740"/>
      <c r="Q13" s="740"/>
      <c r="R13" s="740"/>
    </row>
    <row r="14" spans="1:28" ht="25.5" customHeight="1" x14ac:dyDescent="0.35">
      <c r="A14" s="26"/>
      <c r="B14" s="733" t="str">
        <f>IF('Page 3'!M12="","","Checking the box to the left certifies the Charter did not incur any expenses for Classroom Site Project, as reported on Page 3, during the fiscal year.")</f>
        <v/>
      </c>
      <c r="C14" s="733"/>
      <c r="D14" s="733"/>
      <c r="E14" s="733"/>
      <c r="F14" s="733"/>
      <c r="G14" s="733"/>
      <c r="H14" s="733"/>
      <c r="I14" s="733"/>
      <c r="J14" s="734"/>
      <c r="L14" s="740"/>
      <c r="M14" s="740"/>
      <c r="N14" s="740"/>
      <c r="O14" s="740"/>
      <c r="P14" s="740"/>
      <c r="Q14" s="740"/>
      <c r="R14" s="740"/>
    </row>
    <row r="15" spans="1:28" x14ac:dyDescent="0.3">
      <c r="A15" s="140"/>
      <c r="C15" s="138"/>
      <c r="D15" s="138"/>
      <c r="E15" s="138"/>
      <c r="F15" s="138"/>
      <c r="G15" s="138"/>
      <c r="H15" s="138"/>
      <c r="I15" s="138"/>
      <c r="J15" s="139"/>
      <c r="L15" s="740"/>
      <c r="M15" s="740"/>
      <c r="N15" s="740"/>
      <c r="O15" s="740"/>
      <c r="P15" s="740"/>
      <c r="Q15" s="740"/>
      <c r="R15" s="740"/>
    </row>
    <row r="16" spans="1:28" ht="39.75" customHeight="1" x14ac:dyDescent="0.35">
      <c r="A16" s="26" t="s">
        <v>1247</v>
      </c>
      <c r="B16" s="737" t="str">
        <f>IF('Page 6'!H33="","","Checking the box to the left certifies the Charter did not incur any current expenses for student support services, as defined in the USFRCS and reported on Page 6-Section E-Line 4, during the fiscal year.")</f>
        <v/>
      </c>
      <c r="C16" s="737"/>
      <c r="D16" s="737"/>
      <c r="E16" s="737"/>
      <c r="F16" s="737"/>
      <c r="G16" s="737"/>
      <c r="H16" s="737"/>
      <c r="I16" s="737"/>
      <c r="J16" s="738"/>
      <c r="L16" s="740"/>
      <c r="M16" s="740"/>
      <c r="N16" s="740"/>
      <c r="O16" s="740"/>
      <c r="P16" s="740"/>
      <c r="Q16" s="740"/>
      <c r="R16" s="740"/>
    </row>
    <row r="17" spans="1:26" x14ac:dyDescent="0.3">
      <c r="A17" s="140"/>
      <c r="C17" s="138"/>
      <c r="D17" s="138"/>
      <c r="E17" s="138"/>
      <c r="F17" s="138"/>
      <c r="G17" s="138"/>
      <c r="H17" s="138"/>
      <c r="I17" s="138"/>
      <c r="J17" s="139"/>
      <c r="L17" s="740"/>
      <c r="M17" s="740"/>
      <c r="N17" s="740"/>
      <c r="O17" s="740"/>
      <c r="P17" s="740"/>
      <c r="Q17" s="740"/>
      <c r="R17" s="740"/>
    </row>
    <row r="18" spans="1:26" ht="48" customHeight="1" x14ac:dyDescent="0.35">
      <c r="A18" s="26"/>
      <c r="B18" s="737" t="str">
        <f>IF('Page 4'!K10="","","Checking the box to the left certifies the Charter did not incur any expenses for Instructional Improvement Project, as defined in the USFRCS and reported on Page 4, Line 5, during the fiscal year.")</f>
        <v/>
      </c>
      <c r="C18" s="737"/>
      <c r="D18" s="737"/>
      <c r="E18" s="737"/>
      <c r="F18" s="737"/>
      <c r="G18" s="737"/>
      <c r="H18" s="737"/>
      <c r="I18" s="737"/>
      <c r="J18" s="738"/>
      <c r="L18" s="740"/>
      <c r="M18" s="740"/>
      <c r="N18" s="740"/>
      <c r="O18" s="740"/>
      <c r="P18" s="740"/>
      <c r="Q18" s="740"/>
      <c r="R18" s="740"/>
      <c r="S18" s="70"/>
      <c r="T18" s="70"/>
    </row>
    <row r="19" spans="1:26" ht="12.75" customHeight="1" thickBot="1" x14ac:dyDescent="0.35">
      <c r="B19" s="731" t="s">
        <v>1196</v>
      </c>
      <c r="C19" s="731"/>
      <c r="D19" s="731"/>
      <c r="E19" s="731"/>
      <c r="F19" s="731"/>
      <c r="G19" s="731"/>
      <c r="H19" s="731"/>
      <c r="I19" s="731"/>
      <c r="J19" s="97"/>
      <c r="L19" s="725" t="s">
        <v>1207</v>
      </c>
      <c r="M19" s="725"/>
      <c r="N19" s="725"/>
      <c r="O19" s="725"/>
      <c r="P19" s="725"/>
      <c r="Q19" s="725"/>
      <c r="R19" s="725"/>
      <c r="S19" s="70"/>
      <c r="T19" s="70"/>
    </row>
    <row r="20" spans="1:26" ht="25.5" customHeight="1" thickBot="1" x14ac:dyDescent="0.4">
      <c r="B20" s="731"/>
      <c r="C20" s="731"/>
      <c r="D20" s="731"/>
      <c r="E20" s="731"/>
      <c r="F20" s="731"/>
      <c r="G20" s="731"/>
      <c r="H20" s="731"/>
      <c r="I20" s="731"/>
      <c r="J20" s="97"/>
      <c r="L20" t="s">
        <v>129</v>
      </c>
      <c r="N20" s="706">
        <v>45214</v>
      </c>
      <c r="O20" s="727" t="s">
        <v>61</v>
      </c>
      <c r="P20" s="727"/>
      <c r="Q20" s="727"/>
      <c r="R20" s="727"/>
      <c r="T20" s="717" t="str">
        <f>IF(Z20="X","","Charters schools must review the FY 2023 AFR Formula Corrections file and make any required formula corrections before finalizing and submitting the AFR. Select the X in the dropdown box in cell Z20 once this step is complete.")</f>
        <v/>
      </c>
      <c r="U20" s="717"/>
      <c r="V20" s="717"/>
      <c r="W20" s="717"/>
      <c r="X20" s="717"/>
      <c r="Z20" s="34" t="s">
        <v>1247</v>
      </c>
    </row>
    <row r="21" spans="1:26" ht="12.75" customHeight="1" x14ac:dyDescent="0.3">
      <c r="A21" s="726"/>
      <c r="B21" s="726"/>
      <c r="C21" s="726"/>
      <c r="D21" s="726"/>
      <c r="E21" s="726"/>
      <c r="F21" s="70"/>
      <c r="G21" s="732"/>
      <c r="H21" s="732"/>
      <c r="I21" s="732"/>
      <c r="J21" s="97"/>
      <c r="L21" s="726" t="s">
        <v>62</v>
      </c>
      <c r="M21" s="726"/>
      <c r="N21" s="726"/>
      <c r="O21" s="142"/>
      <c r="P21" s="142"/>
      <c r="Q21" s="142"/>
      <c r="R21" s="142"/>
      <c r="T21" s="717"/>
      <c r="U21" s="717"/>
      <c r="V21" s="717"/>
      <c r="W21" s="717"/>
      <c r="X21" s="717"/>
    </row>
    <row r="22" spans="1:26" ht="13.5" customHeight="1" x14ac:dyDescent="0.35">
      <c r="A22" s="718"/>
      <c r="B22" s="718"/>
      <c r="C22" s="718"/>
      <c r="D22" s="718"/>
      <c r="E22" s="718"/>
      <c r="F22" s="70"/>
      <c r="G22" s="735" t="s">
        <v>1245</v>
      </c>
      <c r="H22" s="721"/>
      <c r="I22" s="721"/>
      <c r="J22" s="97"/>
      <c r="M22" s="142"/>
      <c r="N22" s="142"/>
      <c r="O22" s="142"/>
      <c r="P22" s="142"/>
      <c r="Q22" s="142"/>
      <c r="R22" s="142"/>
      <c r="T22" s="717"/>
      <c r="U22" s="717"/>
      <c r="V22" s="717"/>
      <c r="W22" s="717"/>
      <c r="X22" s="717"/>
    </row>
    <row r="23" spans="1:26" ht="12.75" customHeight="1" x14ac:dyDescent="0.35">
      <c r="H23" s="70"/>
      <c r="I23" s="70"/>
      <c r="J23" s="93"/>
      <c r="L23" s="718"/>
      <c r="M23" s="718"/>
      <c r="N23" s="718"/>
      <c r="P23" s="720" t="s">
        <v>1251</v>
      </c>
      <c r="Q23" s="721"/>
      <c r="R23" s="721"/>
      <c r="T23" s="717"/>
      <c r="U23" s="717"/>
      <c r="V23" s="717"/>
      <c r="W23" s="717"/>
      <c r="X23" s="717"/>
    </row>
    <row r="24" spans="1:26" ht="14.25" customHeight="1" x14ac:dyDescent="0.35">
      <c r="A24" s="718"/>
      <c r="B24" s="718"/>
      <c r="C24" s="718"/>
      <c r="D24" s="718"/>
      <c r="E24" s="718"/>
      <c r="F24" s="70"/>
      <c r="G24" s="735" t="s">
        <v>1245</v>
      </c>
      <c r="H24" s="721"/>
      <c r="I24" s="721"/>
      <c r="J24" s="93"/>
      <c r="L24" s="719" t="s">
        <v>771</v>
      </c>
      <c r="M24" s="719"/>
      <c r="N24" s="719"/>
      <c r="P24" s="719" t="s">
        <v>773</v>
      </c>
      <c r="Q24" s="719"/>
      <c r="R24" s="719"/>
    </row>
    <row r="25" spans="1:26" ht="12.75" customHeight="1" x14ac:dyDescent="0.35">
      <c r="J25" s="93"/>
      <c r="L25" s="720" t="s">
        <v>1249</v>
      </c>
      <c r="M25" s="728"/>
      <c r="N25" s="728"/>
    </row>
    <row r="26" spans="1:26" ht="14.25" customHeight="1" x14ac:dyDescent="0.35">
      <c r="A26" s="718"/>
      <c r="B26" s="718"/>
      <c r="C26" s="718"/>
      <c r="D26" s="718"/>
      <c r="E26" s="718"/>
      <c r="F26" s="70"/>
      <c r="G26" s="735" t="s">
        <v>1245</v>
      </c>
      <c r="H26" s="721"/>
      <c r="I26" s="721"/>
      <c r="J26" s="93"/>
      <c r="L26" s="719" t="s">
        <v>772</v>
      </c>
      <c r="M26" s="719"/>
      <c r="N26" s="719"/>
    </row>
    <row r="27" spans="1:26" ht="12.75" customHeight="1" x14ac:dyDescent="0.3">
      <c r="J27" s="93"/>
      <c r="L27" s="726"/>
      <c r="M27" s="726"/>
      <c r="N27" s="726"/>
      <c r="O27" s="143"/>
      <c r="P27" s="722"/>
      <c r="Q27" s="722"/>
      <c r="R27" s="722"/>
    </row>
    <row r="28" spans="1:26" ht="12.75" customHeight="1" x14ac:dyDescent="0.35">
      <c r="A28" s="718"/>
      <c r="B28" s="718"/>
      <c r="C28" s="718"/>
      <c r="D28" s="718"/>
      <c r="E28" s="718"/>
      <c r="F28" s="70"/>
      <c r="G28" s="735" t="s">
        <v>1245</v>
      </c>
      <c r="H28" s="721"/>
      <c r="I28" s="721"/>
      <c r="J28" s="93"/>
      <c r="L28" s="718"/>
      <c r="M28" s="718"/>
      <c r="N28" s="718"/>
      <c r="P28" s="720" t="s">
        <v>1250</v>
      </c>
      <c r="Q28" s="721"/>
      <c r="R28" s="721"/>
    </row>
    <row r="29" spans="1:26" ht="14.25" customHeight="1" x14ac:dyDescent="0.3">
      <c r="D29" s="70"/>
      <c r="E29" s="70"/>
      <c r="F29" s="70"/>
      <c r="G29" s="70"/>
      <c r="J29" s="93"/>
      <c r="L29" s="719" t="s">
        <v>771</v>
      </c>
      <c r="M29" s="719"/>
      <c r="N29" s="719"/>
      <c r="P29" s="719" t="s">
        <v>773</v>
      </c>
      <c r="Q29" s="719"/>
      <c r="R29" s="719"/>
    </row>
    <row r="30" spans="1:26" ht="12.75" customHeight="1" x14ac:dyDescent="0.35">
      <c r="A30" s="718"/>
      <c r="B30" s="718"/>
      <c r="C30" s="718"/>
      <c r="D30" s="718"/>
      <c r="E30" s="718"/>
      <c r="F30" s="70"/>
      <c r="G30" s="735" t="s">
        <v>1245</v>
      </c>
      <c r="H30" s="721"/>
      <c r="I30" s="721"/>
      <c r="K30" s="108"/>
      <c r="L30" s="720" t="s">
        <v>1248</v>
      </c>
      <c r="M30" s="728"/>
      <c r="N30" s="728"/>
    </row>
    <row r="31" spans="1:26" ht="30.75" customHeight="1" x14ac:dyDescent="0.35">
      <c r="A31" s="718"/>
      <c r="B31" s="718"/>
      <c r="C31" s="718"/>
      <c r="D31" s="718"/>
      <c r="E31" s="718"/>
      <c r="F31" s="70"/>
      <c r="G31" s="735" t="s">
        <v>1245</v>
      </c>
      <c r="H31" s="721"/>
      <c r="I31" s="721"/>
      <c r="J31" s="93"/>
      <c r="K31" s="108"/>
      <c r="L31" s="719" t="s">
        <v>772</v>
      </c>
      <c r="M31" s="719"/>
      <c r="N31" s="719"/>
    </row>
    <row r="32" spans="1:26" ht="12.75" customHeight="1" x14ac:dyDescent="0.3">
      <c r="J32" s="93"/>
      <c r="K32" s="85"/>
      <c r="L32" s="86" t="s">
        <v>335</v>
      </c>
      <c r="M32" s="86"/>
      <c r="N32" s="86"/>
      <c r="O32" s="86"/>
      <c r="P32" s="86"/>
      <c r="Q32" s="86"/>
      <c r="R32" s="86"/>
    </row>
    <row r="33" spans="1:18" ht="12.75" customHeight="1" x14ac:dyDescent="0.35">
      <c r="A33" s="718"/>
      <c r="B33" s="718"/>
      <c r="C33" s="718"/>
      <c r="D33" s="718"/>
      <c r="E33" s="718"/>
      <c r="F33" s="70"/>
      <c r="G33" s="720" t="s">
        <v>1246</v>
      </c>
      <c r="H33" s="721"/>
      <c r="I33" s="721"/>
      <c r="J33" s="93"/>
      <c r="L33" t="s">
        <v>785</v>
      </c>
      <c r="P33" s="3" t="s">
        <v>29</v>
      </c>
      <c r="Q33" s="723">
        <f>TotExpSchoolwide</f>
        <v>1990477</v>
      </c>
      <c r="R33" s="724"/>
    </row>
    <row r="34" spans="1:18" ht="12.75" customHeight="1" x14ac:dyDescent="0.35">
      <c r="A34" s="730" t="s">
        <v>378</v>
      </c>
      <c r="B34" s="730"/>
      <c r="C34" s="730"/>
      <c r="D34" s="730"/>
      <c r="E34" s="730"/>
      <c r="F34" s="70"/>
      <c r="G34" s="730" t="s">
        <v>334</v>
      </c>
      <c r="H34" s="730"/>
      <c r="I34" s="730"/>
      <c r="J34" s="93"/>
      <c r="L34" t="s">
        <v>379</v>
      </c>
      <c r="P34" s="3" t="s">
        <v>29</v>
      </c>
      <c r="Q34" s="723">
        <f>SP1000ClassSiteProj</f>
        <v>187931</v>
      </c>
      <c r="R34" s="724"/>
    </row>
    <row r="35" spans="1:18" ht="12.75" customHeight="1" x14ac:dyDescent="0.3">
      <c r="J35" s="93"/>
    </row>
    <row r="36" spans="1:18" ht="12.75" customHeight="1" x14ac:dyDescent="0.3"/>
  </sheetData>
  <sheetProtection sheet="1"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27" stopIfTrue="1">
      <formula>$A$16="X"</formula>
    </cfRule>
  </conditionalFormatting>
  <conditionalFormatting sqref="B10">
    <cfRule type="expression" dxfId="78" priority="32" stopIfTrue="1">
      <formula>$A$10="X"</formula>
    </cfRule>
  </conditionalFormatting>
  <conditionalFormatting sqref="B12 B14">
    <cfRule type="expression" priority="30" stopIfTrue="1">
      <formula>$A$14="X"</formula>
    </cfRule>
  </conditionalFormatting>
  <conditionalFormatting sqref="B12 B11:J11">
    <cfRule type="expression" priority="31" stopIfTrue="1">
      <formula>$A$12="X"</formula>
    </cfRule>
  </conditionalFormatting>
  <conditionalFormatting sqref="D1">
    <cfRule type="expression" dxfId="77" priority="2" stopIfTrue="1">
      <formula>D1=""</formula>
    </cfRule>
  </conditionalFormatting>
  <conditionalFormatting sqref="D3:I3">
    <cfRule type="expression" dxfId="76" priority="8" stopIfTrue="1">
      <formula>$D$3=""</formula>
    </cfRule>
  </conditionalFormatting>
  <conditionalFormatting sqref="G22 G24 G26 G28 G30:G31 G33">
    <cfRule type="expression" dxfId="75" priority="9" stopIfTrue="1">
      <formula>$G22=""</formula>
    </cfRule>
  </conditionalFormatting>
  <conditionalFormatting sqref="L2:R3">
    <cfRule type="expression" dxfId="74" priority="19" stopIfTrue="1">
      <formula>$L$4&lt;&gt;""</formula>
    </cfRule>
  </conditionalFormatting>
  <conditionalFormatting sqref="M1">
    <cfRule type="expression" dxfId="73" priority="3" stopIfTrue="1">
      <formula>M1=""</formula>
    </cfRule>
  </conditionalFormatting>
  <conditionalFormatting sqref="N20">
    <cfRule type="expression" dxfId="72" priority="1" stopIfTrue="1">
      <formula>N20=""</formula>
    </cfRule>
  </conditionalFormatting>
  <conditionalFormatting sqref="P23 L25 P28 L30">
    <cfRule type="expression" dxfId="71" priority="7" stopIfTrue="1">
      <formula>L23=""</formula>
    </cfRule>
  </conditionalFormatting>
  <conditionalFormatting sqref="R1">
    <cfRule type="expression" dxfId="70" priority="4" stopIfTrue="1">
      <formula>R1=""</formula>
    </cfRule>
  </conditionalFormatting>
  <conditionalFormatting sqref="T20">
    <cfRule type="expression" dxfId="69" priority="5"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topLeftCell="A16" workbookViewId="0">
      <selection activeCell="K61" sqref="K61"/>
    </sheetView>
  </sheetViews>
  <sheetFormatPr defaultColWidth="9.296875" defaultRowHeight="12.75" customHeight="1" x14ac:dyDescent="0.3"/>
  <cols>
    <col min="1" max="1" width="19.796875" style="191" customWidth="1"/>
    <col min="2" max="2" width="42.796875" style="191" customWidth="1"/>
    <col min="3" max="3" width="3" style="191" customWidth="1"/>
    <col min="4" max="6" width="16.796875" style="191" customWidth="1"/>
    <col min="7" max="7" width="18.69921875" style="191" customWidth="1"/>
    <col min="8" max="10" width="17.796875" style="194" customWidth="1"/>
    <col min="11" max="11" width="16.796875" style="194" customWidth="1"/>
    <col min="12" max="12" width="3" style="191" customWidth="1"/>
    <col min="13" max="13" width="10.796875" style="191" customWidth="1"/>
    <col min="14" max="14" width="9.296875" style="191" customWidth="1"/>
    <col min="15" max="15" width="2.296875" style="191" customWidth="1"/>
    <col min="16" max="16" width="9.296875" style="191" customWidth="1"/>
    <col min="17" max="25" width="9.296875" style="191" hidden="1" customWidth="1"/>
    <col min="26" max="27" width="9.296875" style="191" customWidth="1"/>
    <col min="28" max="16384" width="9.296875" style="191"/>
  </cols>
  <sheetData>
    <row r="1" spans="1:29" ht="12" customHeight="1" x14ac:dyDescent="0.3">
      <c r="A1" s="66" t="s">
        <v>336</v>
      </c>
      <c r="B1" s="67" t="str">
        <f>'Cover Page'!D1</f>
        <v>Valor Preparatory Academy, LLC</v>
      </c>
      <c r="C1" s="70"/>
      <c r="D1"/>
      <c r="E1" s="68" t="s">
        <v>331</v>
      </c>
      <c r="F1" s="750" t="str">
        <f>'Cover Page'!M1</f>
        <v>Maricopa</v>
      </c>
      <c r="G1" s="750"/>
      <c r="H1"/>
      <c r="I1" s="68"/>
      <c r="J1" s="68" t="s">
        <v>592</v>
      </c>
      <c r="K1" s="69" t="str">
        <f>'Cover Page'!R1</f>
        <v>078104000</v>
      </c>
      <c r="L1" s="312"/>
      <c r="M1" s="70"/>
      <c r="N1" s="313"/>
      <c r="O1" s="313"/>
    </row>
    <row r="2" spans="1:29" ht="12" customHeight="1" x14ac:dyDescent="0.3">
      <c r="A2" s="68"/>
      <c r="B2" s="68"/>
      <c r="C2" s="66"/>
      <c r="D2" s="70"/>
      <c r="E2"/>
      <c r="F2"/>
      <c r="G2"/>
      <c r="H2" s="68"/>
      <c r="I2" s="70"/>
      <c r="J2" s="70"/>
      <c r="K2" s="70"/>
      <c r="L2"/>
      <c r="M2" s="70"/>
      <c r="N2" s="313"/>
      <c r="O2" s="313"/>
    </row>
    <row r="3" spans="1:29" ht="12" customHeight="1" x14ac:dyDescent="0.3">
      <c r="A3" s="314"/>
      <c r="B3" s="314"/>
      <c r="C3" s="314"/>
      <c r="D3" s="314"/>
      <c r="E3" s="314"/>
      <c r="F3" s="314"/>
      <c r="G3" s="314"/>
      <c r="H3" s="314"/>
      <c r="I3" s="314"/>
      <c r="J3" s="314"/>
      <c r="K3" s="314"/>
      <c r="L3" s="314"/>
      <c r="M3" s="314"/>
    </row>
    <row r="4" spans="1:29" ht="12" customHeight="1" x14ac:dyDescent="0.3">
      <c r="A4" s="314"/>
      <c r="B4" s="314"/>
      <c r="C4" s="846" t="s">
        <v>382</v>
      </c>
      <c r="D4" s="846"/>
      <c r="E4" s="846"/>
      <c r="F4" s="846"/>
      <c r="G4" s="846"/>
      <c r="H4" s="846"/>
      <c r="I4" s="846"/>
      <c r="J4" s="846"/>
      <c r="K4" s="846"/>
      <c r="L4" s="846"/>
      <c r="M4" s="314"/>
    </row>
    <row r="5" spans="1:29" ht="12" customHeight="1" x14ac:dyDescent="0.3"/>
    <row r="6" spans="1:29" ht="12" customHeight="1" x14ac:dyDescent="0.3">
      <c r="A6" s="315"/>
      <c r="B6" s="315"/>
      <c r="D6" s="847" t="s">
        <v>377</v>
      </c>
      <c r="E6" s="847"/>
      <c r="F6" s="847"/>
      <c r="G6" s="847"/>
      <c r="H6" s="847"/>
      <c r="I6" s="847"/>
      <c r="J6" s="847"/>
      <c r="K6" s="847"/>
      <c r="L6" s="316"/>
      <c r="M6" s="194"/>
      <c r="N6" s="194"/>
      <c r="V6" s="317"/>
    </row>
    <row r="7" spans="1:29" ht="12" customHeight="1" x14ac:dyDescent="0.3">
      <c r="D7" s="318"/>
      <c r="E7" s="319"/>
      <c r="F7" s="319" t="s">
        <v>105</v>
      </c>
      <c r="G7" s="319"/>
      <c r="H7" s="319"/>
      <c r="I7" s="320"/>
      <c r="J7" s="320" t="s">
        <v>82</v>
      </c>
      <c r="K7" s="321"/>
      <c r="L7" s="322"/>
      <c r="M7" s="194"/>
      <c r="N7" s="194"/>
      <c r="T7" s="317"/>
      <c r="V7" s="317"/>
    </row>
    <row r="8" spans="1:29" ht="12" customHeight="1" x14ac:dyDescent="0.3">
      <c r="D8" s="323"/>
      <c r="E8" s="324" t="s">
        <v>88</v>
      </c>
      <c r="F8" s="324" t="s">
        <v>648</v>
      </c>
      <c r="G8" s="324"/>
      <c r="H8" s="325" t="s">
        <v>135</v>
      </c>
      <c r="I8" s="325"/>
      <c r="J8" s="325" t="s">
        <v>136</v>
      </c>
      <c r="K8" s="321"/>
      <c r="L8" s="326"/>
      <c r="N8" s="194"/>
      <c r="U8" s="317"/>
      <c r="AC8" s="317"/>
    </row>
    <row r="9" spans="1:29" ht="12" customHeight="1" x14ac:dyDescent="0.3">
      <c r="D9" s="324" t="s">
        <v>69</v>
      </c>
      <c r="E9" s="327" t="s">
        <v>647</v>
      </c>
      <c r="F9" s="327" t="s">
        <v>110</v>
      </c>
      <c r="G9" s="327" t="s">
        <v>70</v>
      </c>
      <c r="H9" s="325" t="s">
        <v>717</v>
      </c>
      <c r="I9" s="328" t="s">
        <v>109</v>
      </c>
      <c r="J9" s="328" t="s">
        <v>718</v>
      </c>
      <c r="K9" s="329" t="s">
        <v>111</v>
      </c>
      <c r="L9" s="326"/>
      <c r="N9" s="194"/>
      <c r="U9" s="317"/>
      <c r="AA9" s="317"/>
    </row>
    <row r="10" spans="1:29" ht="12" customHeight="1" x14ac:dyDescent="0.3">
      <c r="A10" s="330" t="s">
        <v>106</v>
      </c>
      <c r="B10" s="330"/>
      <c r="D10" s="327">
        <v>6100</v>
      </c>
      <c r="E10" s="327">
        <v>6200</v>
      </c>
      <c r="F10" s="327">
        <v>6500</v>
      </c>
      <c r="G10" s="327">
        <v>6600</v>
      </c>
      <c r="H10" s="327">
        <v>6810</v>
      </c>
      <c r="I10" s="328">
        <v>6890</v>
      </c>
      <c r="J10" s="328" t="s">
        <v>137</v>
      </c>
      <c r="K10" s="331" t="s">
        <v>719</v>
      </c>
      <c r="L10" s="326"/>
      <c r="N10" s="194"/>
      <c r="S10" s="317"/>
      <c r="AA10" s="194"/>
    </row>
    <row r="11" spans="1:29" ht="12" customHeight="1" x14ac:dyDescent="0.3">
      <c r="A11" s="332" t="s">
        <v>83</v>
      </c>
      <c r="B11" s="332"/>
      <c r="C11" s="333" t="s">
        <v>1</v>
      </c>
      <c r="D11" s="75">
        <v>308610</v>
      </c>
      <c r="E11" s="75">
        <v>74809</v>
      </c>
      <c r="F11" s="75">
        <v>777745</v>
      </c>
      <c r="G11" s="75">
        <v>0</v>
      </c>
      <c r="H11" s="75">
        <v>0</v>
      </c>
      <c r="I11" s="75">
        <v>0</v>
      </c>
      <c r="J11" s="75">
        <v>0</v>
      </c>
      <c r="K11" s="132">
        <v>0</v>
      </c>
      <c r="L11" s="334" t="s">
        <v>1</v>
      </c>
      <c r="N11" s="194"/>
      <c r="S11" s="317"/>
      <c r="AA11" s="335" t="str">
        <f>IF(OR(K11="",K14="",K13="",K15="",K16="",K17="",K18="",K19="",K21="",K22="",K24="",K25="",K26=""),"yes","")</f>
        <v/>
      </c>
    </row>
    <row r="12" spans="1:29" ht="12" customHeight="1" x14ac:dyDescent="0.3">
      <c r="A12" s="191" t="s">
        <v>659</v>
      </c>
      <c r="C12" s="333"/>
      <c r="D12" s="336"/>
      <c r="E12" s="336"/>
      <c r="F12" s="336"/>
      <c r="G12" s="336"/>
      <c r="H12" s="336"/>
      <c r="I12" s="336"/>
      <c r="J12" s="336"/>
      <c r="K12" s="106"/>
      <c r="L12" s="334"/>
      <c r="N12" s="194"/>
      <c r="S12" s="317"/>
      <c r="AA12" s="335" t="str">
        <f>IF(OR(E33="",E34="",E35="",E36="",E40="",E41="",E42="",E43="",E44="",E49="",E53="",E54="",E55="",E56=""),"yes","")</f>
        <v/>
      </c>
    </row>
    <row r="13" spans="1:29" ht="12" customHeight="1" x14ac:dyDescent="0.3">
      <c r="A13" s="332" t="s">
        <v>107</v>
      </c>
      <c r="B13" s="332"/>
      <c r="C13" s="333" t="s">
        <v>2</v>
      </c>
      <c r="D13" s="707">
        <v>123668</v>
      </c>
      <c r="E13" s="707">
        <v>13428</v>
      </c>
      <c r="F13" s="707">
        <v>52270</v>
      </c>
      <c r="G13" s="158">
        <v>0</v>
      </c>
      <c r="H13" s="158">
        <v>0</v>
      </c>
      <c r="I13" s="158">
        <v>0</v>
      </c>
      <c r="J13" s="158">
        <v>0</v>
      </c>
      <c r="K13" s="56">
        <v>0</v>
      </c>
      <c r="L13" s="334" t="s">
        <v>2</v>
      </c>
      <c r="W13" s="317"/>
      <c r="AA13" s="335" t="str">
        <f>IF(OR(K30="",K31="",K32="",K36="",K37="",K38="",K41="",K42="",K46="",K47="",K51="",K52="",K53="",K54="",K55="",K56="",K59="",K60=""),"yes","")</f>
        <v/>
      </c>
    </row>
    <row r="14" spans="1:29" ht="12" customHeight="1" x14ac:dyDescent="0.3">
      <c r="A14" s="332" t="s">
        <v>108</v>
      </c>
      <c r="B14" s="332"/>
      <c r="C14" s="333" t="s">
        <v>3</v>
      </c>
      <c r="D14" s="75">
        <v>0</v>
      </c>
      <c r="E14" s="75">
        <v>0</v>
      </c>
      <c r="F14" s="113">
        <v>4250</v>
      </c>
      <c r="G14" s="75">
        <v>0</v>
      </c>
      <c r="H14" s="75">
        <v>0</v>
      </c>
      <c r="I14" s="75">
        <v>0</v>
      </c>
      <c r="J14" s="75">
        <v>0</v>
      </c>
      <c r="K14" s="56">
        <v>0</v>
      </c>
      <c r="L14" s="337" t="s">
        <v>3</v>
      </c>
      <c r="N14" s="194"/>
      <c r="W14" s="317"/>
      <c r="AA14" s="335" t="str">
        <f>IF(AND(AA11="",AA12="",AA13=""),"","yes")</f>
        <v/>
      </c>
    </row>
    <row r="15" spans="1:29" ht="12" customHeight="1" x14ac:dyDescent="0.3">
      <c r="A15" s="332" t="s">
        <v>709</v>
      </c>
      <c r="B15" s="332"/>
      <c r="C15" s="333" t="s">
        <v>4</v>
      </c>
      <c r="D15" s="113">
        <v>54706</v>
      </c>
      <c r="E15" s="113">
        <v>5422</v>
      </c>
      <c r="F15" s="113">
        <v>8496</v>
      </c>
      <c r="G15" s="113">
        <v>97936</v>
      </c>
      <c r="H15" s="75">
        <v>0</v>
      </c>
      <c r="I15" s="75">
        <v>0</v>
      </c>
      <c r="J15" s="75">
        <v>0</v>
      </c>
      <c r="K15" s="55">
        <v>0</v>
      </c>
      <c r="L15" s="337" t="s">
        <v>4</v>
      </c>
    </row>
    <row r="16" spans="1:29" ht="12" customHeight="1" x14ac:dyDescent="0.3">
      <c r="A16" s="338" t="s">
        <v>710</v>
      </c>
      <c r="B16" s="338"/>
      <c r="C16" s="339" t="s">
        <v>5</v>
      </c>
      <c r="D16" s="113">
        <v>0</v>
      </c>
      <c r="E16" s="113">
        <v>0</v>
      </c>
      <c r="F16" s="113">
        <v>202274</v>
      </c>
      <c r="G16" s="113">
        <v>0</v>
      </c>
      <c r="H16" s="75">
        <v>0</v>
      </c>
      <c r="I16" s="75">
        <v>0</v>
      </c>
      <c r="J16" s="75">
        <v>0</v>
      </c>
      <c r="K16" s="55">
        <v>0</v>
      </c>
      <c r="L16" s="340" t="s">
        <v>5</v>
      </c>
    </row>
    <row r="17" spans="1:12" ht="12" customHeight="1" x14ac:dyDescent="0.3">
      <c r="A17" s="341" t="s">
        <v>711</v>
      </c>
      <c r="B17" s="341"/>
      <c r="C17" s="339" t="s">
        <v>6</v>
      </c>
      <c r="D17" s="113">
        <v>0</v>
      </c>
      <c r="E17" s="113">
        <v>0</v>
      </c>
      <c r="F17" s="113">
        <v>486538</v>
      </c>
      <c r="G17" s="113">
        <v>0</v>
      </c>
      <c r="H17" s="75">
        <v>0</v>
      </c>
      <c r="I17" s="75">
        <v>0</v>
      </c>
      <c r="J17" s="75">
        <v>0</v>
      </c>
      <c r="K17" s="55">
        <v>0</v>
      </c>
      <c r="L17" s="340" t="s">
        <v>6</v>
      </c>
    </row>
    <row r="18" spans="1:12" ht="12" customHeight="1" x14ac:dyDescent="0.3">
      <c r="A18" s="332" t="s">
        <v>712</v>
      </c>
      <c r="B18" s="332"/>
      <c r="C18" s="339" t="s">
        <v>7</v>
      </c>
      <c r="D18" s="75">
        <v>0</v>
      </c>
      <c r="E18" s="75">
        <v>0</v>
      </c>
      <c r="F18" s="75">
        <v>0</v>
      </c>
      <c r="G18" s="75">
        <v>0</v>
      </c>
      <c r="H18" s="75">
        <v>0</v>
      </c>
      <c r="I18" s="75">
        <v>0</v>
      </c>
      <c r="J18" s="75">
        <v>0</v>
      </c>
      <c r="K18" s="55">
        <v>0</v>
      </c>
      <c r="L18" s="340" t="s">
        <v>7</v>
      </c>
    </row>
    <row r="19" spans="1:12" ht="12" customHeight="1" x14ac:dyDescent="0.3">
      <c r="A19" s="342" t="s">
        <v>713</v>
      </c>
      <c r="B19" s="342"/>
      <c r="C19" s="339" t="s">
        <v>8</v>
      </c>
      <c r="D19" s="75">
        <v>0</v>
      </c>
      <c r="E19" s="75">
        <v>0</v>
      </c>
      <c r="F19" s="75">
        <v>0</v>
      </c>
      <c r="G19" s="75">
        <v>0</v>
      </c>
      <c r="H19" s="75">
        <v>0</v>
      </c>
      <c r="I19" s="75">
        <v>0</v>
      </c>
      <c r="J19" s="75">
        <v>0</v>
      </c>
      <c r="K19" s="59">
        <v>0</v>
      </c>
      <c r="L19" s="340" t="s">
        <v>8</v>
      </c>
    </row>
    <row r="20" spans="1:12" ht="12" customHeight="1" x14ac:dyDescent="0.3">
      <c r="A20" s="332" t="s">
        <v>714</v>
      </c>
      <c r="B20" s="332"/>
      <c r="C20" s="339"/>
      <c r="D20" s="336"/>
      <c r="E20" s="336"/>
      <c r="F20" s="336"/>
      <c r="G20" s="336"/>
      <c r="H20" s="336"/>
      <c r="I20" s="336"/>
      <c r="J20" s="336"/>
      <c r="K20" s="106"/>
      <c r="L20" s="343"/>
    </row>
    <row r="21" spans="1:12" ht="12" customHeight="1" x14ac:dyDescent="0.3">
      <c r="A21" s="342" t="s">
        <v>715</v>
      </c>
      <c r="B21" s="342"/>
      <c r="C21" s="339" t="s">
        <v>9</v>
      </c>
      <c r="D21" s="158">
        <v>0</v>
      </c>
      <c r="E21" s="158">
        <v>0</v>
      </c>
      <c r="F21" s="158">
        <v>0</v>
      </c>
      <c r="G21" s="158">
        <v>0</v>
      </c>
      <c r="H21" s="158">
        <v>0</v>
      </c>
      <c r="I21" s="158">
        <v>0</v>
      </c>
      <c r="J21" s="158">
        <v>0</v>
      </c>
      <c r="K21" s="56">
        <v>0</v>
      </c>
      <c r="L21" s="343" t="s">
        <v>9</v>
      </c>
    </row>
    <row r="22" spans="1:12" ht="12" customHeight="1" x14ac:dyDescent="0.3">
      <c r="A22" s="342" t="s">
        <v>716</v>
      </c>
      <c r="B22" s="342"/>
      <c r="C22" s="339" t="s">
        <v>10</v>
      </c>
      <c r="D22" s="75">
        <v>0</v>
      </c>
      <c r="E22" s="75">
        <v>0</v>
      </c>
      <c r="F22" s="75">
        <v>0</v>
      </c>
      <c r="G22" s="75">
        <v>0</v>
      </c>
      <c r="H22" s="75">
        <v>0</v>
      </c>
      <c r="I22" s="75">
        <v>0</v>
      </c>
      <c r="J22" s="75">
        <v>0</v>
      </c>
      <c r="K22" s="56">
        <v>0</v>
      </c>
      <c r="L22" s="340" t="s">
        <v>10</v>
      </c>
    </row>
    <row r="23" spans="1:12" ht="12" customHeight="1" x14ac:dyDescent="0.3">
      <c r="A23" s="342" t="s">
        <v>330</v>
      </c>
      <c r="B23" s="342"/>
      <c r="C23" s="339" t="s">
        <v>11</v>
      </c>
      <c r="D23" s="75">
        <f t="shared" ref="D23:K23" si="0">SUM(D11:D22)</f>
        <v>486984</v>
      </c>
      <c r="E23" s="75">
        <f t="shared" si="0"/>
        <v>93659</v>
      </c>
      <c r="F23" s="75">
        <f>SUM(F11:F22)</f>
        <v>1531573</v>
      </c>
      <c r="G23" s="75">
        <f t="shared" si="0"/>
        <v>97936</v>
      </c>
      <c r="H23" s="75">
        <f t="shared" si="0"/>
        <v>0</v>
      </c>
      <c r="I23" s="75">
        <f t="shared" si="0"/>
        <v>0</v>
      </c>
      <c r="J23" s="75">
        <f t="shared" si="0"/>
        <v>0</v>
      </c>
      <c r="K23" s="75">
        <f t="shared" si="0"/>
        <v>0</v>
      </c>
      <c r="L23" s="340" t="s">
        <v>11</v>
      </c>
    </row>
    <row r="24" spans="1:12" ht="12" customHeight="1" x14ac:dyDescent="0.3">
      <c r="A24" s="342" t="s">
        <v>838</v>
      </c>
      <c r="B24" s="342"/>
      <c r="C24" s="339" t="s">
        <v>12</v>
      </c>
      <c r="D24" s="75">
        <v>0</v>
      </c>
      <c r="E24" s="75">
        <v>0</v>
      </c>
      <c r="F24" s="75">
        <v>15635</v>
      </c>
      <c r="G24" s="111">
        <v>0</v>
      </c>
      <c r="H24" s="75">
        <v>0</v>
      </c>
      <c r="I24" s="75">
        <v>0</v>
      </c>
      <c r="J24" s="75">
        <v>0</v>
      </c>
      <c r="K24" s="55">
        <v>0</v>
      </c>
      <c r="L24" s="340" t="s">
        <v>12</v>
      </c>
    </row>
    <row r="25" spans="1:12" ht="12" customHeight="1" x14ac:dyDescent="0.3">
      <c r="A25" s="342" t="s">
        <v>833</v>
      </c>
      <c r="B25" s="342"/>
      <c r="C25" s="339" t="s">
        <v>13</v>
      </c>
      <c r="D25" s="75">
        <v>486984</v>
      </c>
      <c r="E25" s="75">
        <v>93659</v>
      </c>
      <c r="F25" s="75">
        <f>F23-F24</f>
        <v>1515938</v>
      </c>
      <c r="G25" s="111">
        <v>97936</v>
      </c>
      <c r="H25" s="75">
        <v>0</v>
      </c>
      <c r="I25" s="75">
        <v>0</v>
      </c>
      <c r="J25" s="75">
        <v>0</v>
      </c>
      <c r="K25" s="55">
        <v>0</v>
      </c>
      <c r="L25" s="340" t="s">
        <v>13</v>
      </c>
    </row>
    <row r="26" spans="1:12" ht="12" customHeight="1" x14ac:dyDescent="0.3">
      <c r="A26" s="342" t="s">
        <v>357</v>
      </c>
      <c r="B26" s="342"/>
      <c r="C26" s="339" t="s">
        <v>14</v>
      </c>
      <c r="D26" s="75">
        <v>0</v>
      </c>
      <c r="E26" s="75">
        <v>0</v>
      </c>
      <c r="F26" s="75">
        <v>0</v>
      </c>
      <c r="G26" s="75">
        <v>0</v>
      </c>
      <c r="H26" s="75">
        <v>0</v>
      </c>
      <c r="I26" s="75">
        <v>0</v>
      </c>
      <c r="J26" s="75">
        <v>0</v>
      </c>
      <c r="K26" s="55">
        <v>0</v>
      </c>
      <c r="L26" s="340" t="s">
        <v>14</v>
      </c>
    </row>
    <row r="27" spans="1:12" ht="12" customHeight="1" x14ac:dyDescent="0.3">
      <c r="B27" s="332"/>
      <c r="C27" s="339"/>
      <c r="D27" s="344"/>
      <c r="E27" s="344"/>
      <c r="F27" s="344"/>
      <c r="G27" s="344"/>
      <c r="H27" s="344"/>
      <c r="I27" s="344"/>
      <c r="J27" s="344"/>
      <c r="K27" s="345"/>
      <c r="L27" s="344"/>
    </row>
    <row r="28" spans="1:12" ht="13" hidden="1" x14ac:dyDescent="0.3">
      <c r="A28" s="346"/>
      <c r="B28" s="332"/>
      <c r="C28" s="339"/>
      <c r="D28" s="344"/>
      <c r="E28" s="344"/>
      <c r="F28" s="344"/>
      <c r="G28" s="344"/>
      <c r="H28" s="344"/>
      <c r="I28" s="344"/>
      <c r="J28" s="344"/>
      <c r="K28" s="345"/>
      <c r="L28" s="344"/>
    </row>
    <row r="29" spans="1:12" ht="12" customHeight="1" x14ac:dyDescent="0.3">
      <c r="A29" s="347"/>
      <c r="B29" s="347"/>
      <c r="C29" s="347"/>
      <c r="D29" s="348" t="s">
        <v>729</v>
      </c>
      <c r="E29" s="349"/>
      <c r="F29" s="350"/>
      <c r="H29" s="351" t="s">
        <v>1002</v>
      </c>
      <c r="I29" s="259"/>
      <c r="J29" s="352"/>
    </row>
    <row r="30" spans="1:12" ht="12" customHeight="1" x14ac:dyDescent="0.3">
      <c r="A30" s="347"/>
      <c r="B30" s="347"/>
      <c r="C30" s="353"/>
      <c r="D30" s="190" t="s">
        <v>730</v>
      </c>
      <c r="E30" s="354"/>
      <c r="F30" s="350"/>
      <c r="H30" s="848" t="s">
        <v>126</v>
      </c>
      <c r="I30" s="848"/>
      <c r="J30" s="849"/>
      <c r="K30" s="55">
        <v>0</v>
      </c>
      <c r="L30" s="355" t="s">
        <v>1</v>
      </c>
    </row>
    <row r="31" spans="1:12" ht="12" customHeight="1" x14ac:dyDescent="0.3">
      <c r="A31" s="347"/>
      <c r="B31" s="347"/>
      <c r="C31" s="353"/>
      <c r="D31" s="190" t="s">
        <v>731</v>
      </c>
      <c r="E31" s="356" t="s">
        <v>112</v>
      </c>
      <c r="F31" s="350"/>
      <c r="H31" s="848" t="s">
        <v>127</v>
      </c>
      <c r="I31" s="848"/>
      <c r="J31" s="849"/>
      <c r="K31" s="55">
        <v>0</v>
      </c>
      <c r="L31" s="355" t="s">
        <v>2</v>
      </c>
    </row>
    <row r="32" spans="1:12" ht="12" customHeight="1" x14ac:dyDescent="0.3">
      <c r="A32" s="347"/>
      <c r="B32" s="347"/>
      <c r="C32" s="353"/>
      <c r="D32" s="357" t="s">
        <v>113</v>
      </c>
      <c r="E32" s="358" t="s">
        <v>719</v>
      </c>
      <c r="F32" s="347"/>
      <c r="H32" s="848" t="s">
        <v>128</v>
      </c>
      <c r="I32" s="848"/>
      <c r="J32" s="849"/>
      <c r="K32" s="55">
        <v>417589</v>
      </c>
      <c r="L32" s="355" t="s">
        <v>3</v>
      </c>
    </row>
    <row r="33" spans="1:12" ht="12" customHeight="1" x14ac:dyDescent="0.3">
      <c r="A33" s="850" t="s">
        <v>732</v>
      </c>
      <c r="B33" s="850"/>
      <c r="C33" s="359"/>
      <c r="D33" s="75">
        <v>0</v>
      </c>
      <c r="E33" s="55">
        <v>0</v>
      </c>
      <c r="F33" s="360" t="s">
        <v>1</v>
      </c>
      <c r="H33" s="191"/>
      <c r="I33" s="191"/>
      <c r="J33" s="191"/>
      <c r="K33" s="361"/>
    </row>
    <row r="34" spans="1:12" ht="12" customHeight="1" x14ac:dyDescent="0.3">
      <c r="A34" s="848" t="s">
        <v>892</v>
      </c>
      <c r="B34" s="848"/>
      <c r="C34" s="362"/>
      <c r="D34" s="75">
        <v>0</v>
      </c>
      <c r="E34" s="55">
        <v>0</v>
      </c>
      <c r="F34" s="360" t="s">
        <v>2</v>
      </c>
      <c r="H34" s="191"/>
      <c r="I34" s="191"/>
      <c r="J34" s="191"/>
      <c r="K34" s="361"/>
    </row>
    <row r="35" spans="1:12" ht="12" customHeight="1" x14ac:dyDescent="0.3">
      <c r="A35" s="848" t="s">
        <v>893</v>
      </c>
      <c r="B35" s="848"/>
      <c r="C35" s="362"/>
      <c r="D35" s="75">
        <v>0</v>
      </c>
      <c r="E35" s="55">
        <v>0</v>
      </c>
      <c r="F35" s="360" t="s">
        <v>3</v>
      </c>
      <c r="H35" s="352" t="s">
        <v>720</v>
      </c>
      <c r="I35" s="259"/>
      <c r="J35" s="191"/>
      <c r="K35" s="361"/>
    </row>
    <row r="36" spans="1:12" ht="12" customHeight="1" x14ac:dyDescent="0.3">
      <c r="A36" s="848" t="s">
        <v>894</v>
      </c>
      <c r="B36" s="848"/>
      <c r="C36" s="359"/>
      <c r="D36" s="75">
        <v>0</v>
      </c>
      <c r="E36" s="55">
        <v>0</v>
      </c>
      <c r="F36" s="343" t="s">
        <v>4</v>
      </c>
      <c r="H36" s="848" t="s">
        <v>996</v>
      </c>
      <c r="I36" s="848"/>
      <c r="J36" s="849"/>
      <c r="K36" s="55">
        <v>0</v>
      </c>
      <c r="L36" s="355" t="s">
        <v>1</v>
      </c>
    </row>
    <row r="37" spans="1:12" ht="12" customHeight="1" x14ac:dyDescent="0.3">
      <c r="C37" s="355"/>
      <c r="E37" s="194"/>
      <c r="F37" s="360"/>
      <c r="H37" s="848" t="s">
        <v>997</v>
      </c>
      <c r="I37" s="848"/>
      <c r="J37" s="849"/>
      <c r="K37" s="55">
        <v>0</v>
      </c>
      <c r="L37" s="355" t="s">
        <v>2</v>
      </c>
    </row>
    <row r="38" spans="1:12" ht="12" customHeight="1" x14ac:dyDescent="0.3">
      <c r="C38" s="355"/>
      <c r="E38" s="194"/>
      <c r="F38" s="360"/>
      <c r="H38" s="848" t="s">
        <v>998</v>
      </c>
      <c r="I38" s="848"/>
      <c r="J38" s="849"/>
      <c r="K38" s="55">
        <v>0</v>
      </c>
      <c r="L38" s="355" t="s">
        <v>3</v>
      </c>
    </row>
    <row r="39" spans="1:12" ht="12" customHeight="1" x14ac:dyDescent="0.3">
      <c r="A39" s="352" t="s">
        <v>728</v>
      </c>
      <c r="B39" s="259"/>
      <c r="E39" s="363" t="s">
        <v>735</v>
      </c>
      <c r="F39"/>
      <c r="H39" s="848" t="s">
        <v>999</v>
      </c>
      <c r="I39" s="848"/>
      <c r="J39" s="849"/>
      <c r="K39" s="75">
        <f>K36+K37-K38</f>
        <v>0</v>
      </c>
      <c r="L39" s="355" t="s">
        <v>4</v>
      </c>
    </row>
    <row r="40" spans="1:12" ht="12" customHeight="1" x14ac:dyDescent="0.3">
      <c r="A40" s="851" t="s">
        <v>885</v>
      </c>
      <c r="B40" s="745"/>
      <c r="E40" s="58">
        <v>0</v>
      </c>
      <c r="F40" s="265" t="s">
        <v>1</v>
      </c>
      <c r="H40" s="364"/>
      <c r="I40" s="364"/>
      <c r="J40" s="364"/>
      <c r="K40" s="361"/>
    </row>
    <row r="41" spans="1:12" ht="12" customHeight="1" x14ac:dyDescent="0.3">
      <c r="A41" s="745" t="s">
        <v>886</v>
      </c>
      <c r="B41" s="745"/>
      <c r="C41" s="365"/>
      <c r="E41" s="58">
        <v>0</v>
      </c>
      <c r="F41" s="343" t="s">
        <v>2</v>
      </c>
      <c r="H41" s="848" t="s">
        <v>1000</v>
      </c>
      <c r="I41" s="848"/>
      <c r="J41" s="848"/>
      <c r="K41" s="58">
        <v>0</v>
      </c>
      <c r="L41" s="355" t="s">
        <v>5</v>
      </c>
    </row>
    <row r="42" spans="1:12" ht="12" customHeight="1" x14ac:dyDescent="0.3">
      <c r="A42" s="745" t="s">
        <v>887</v>
      </c>
      <c r="B42" s="745"/>
      <c r="C42" s="365"/>
      <c r="E42" s="58">
        <v>0</v>
      </c>
      <c r="F42" s="343" t="s">
        <v>3</v>
      </c>
      <c r="H42" s="848" t="s">
        <v>1001</v>
      </c>
      <c r="I42" s="848"/>
      <c r="J42" s="848"/>
      <c r="K42" s="58">
        <v>0</v>
      </c>
      <c r="L42" s="355" t="s">
        <v>6</v>
      </c>
    </row>
    <row r="43" spans="1:12" ht="12" customHeight="1" x14ac:dyDescent="0.3">
      <c r="A43" s="745" t="s">
        <v>888</v>
      </c>
      <c r="B43" s="745"/>
      <c r="C43" s="365"/>
      <c r="E43" s="58">
        <v>0</v>
      </c>
      <c r="F43" s="343" t="s">
        <v>4</v>
      </c>
      <c r="K43" s="361"/>
    </row>
    <row r="44" spans="1:12" ht="12" customHeight="1" x14ac:dyDescent="0.3">
      <c r="A44" s="745" t="s">
        <v>889</v>
      </c>
      <c r="B44" s="745"/>
      <c r="C44" s="365"/>
      <c r="E44" s="58">
        <v>0</v>
      </c>
      <c r="F44" s="343" t="s">
        <v>5</v>
      </c>
      <c r="H44" s="355"/>
      <c r="I44" s="366"/>
      <c r="J44" s="366"/>
      <c r="K44" s="367"/>
      <c r="L44" s="366"/>
    </row>
    <row r="45" spans="1:12" ht="12" customHeight="1" x14ac:dyDescent="0.3">
      <c r="A45"/>
      <c r="B45"/>
      <c r="C45" s="355"/>
      <c r="E45"/>
      <c r="F45"/>
      <c r="H45" s="352" t="s">
        <v>721</v>
      </c>
      <c r="I45" s="259"/>
      <c r="J45" s="352"/>
      <c r="K45" s="361"/>
    </row>
    <row r="46" spans="1:12" ht="12.75" customHeight="1" x14ac:dyDescent="0.3">
      <c r="E46" s="368"/>
      <c r="H46" s="850" t="s">
        <v>733</v>
      </c>
      <c r="I46" s="850"/>
      <c r="J46" s="852"/>
      <c r="K46" s="55">
        <v>4376</v>
      </c>
      <c r="L46" s="355" t="s">
        <v>1</v>
      </c>
    </row>
    <row r="47" spans="1:12" ht="12.75" customHeight="1" x14ac:dyDescent="0.3">
      <c r="A47" s="369" t="s">
        <v>723</v>
      </c>
      <c r="B47" s="370"/>
      <c r="C47" s="350"/>
      <c r="E47" s="371" t="s">
        <v>377</v>
      </c>
      <c r="H47" s="850" t="s">
        <v>121</v>
      </c>
      <c r="I47" s="850"/>
      <c r="J47" s="852"/>
      <c r="K47" s="55">
        <v>25990</v>
      </c>
      <c r="L47" s="355" t="s">
        <v>2</v>
      </c>
    </row>
    <row r="48" spans="1:12" ht="12.75" customHeight="1" x14ac:dyDescent="0.3">
      <c r="A48" s="332" t="s">
        <v>861</v>
      </c>
      <c r="B48" s="332"/>
      <c r="C48" s="372"/>
      <c r="E48" s="75">
        <v>0</v>
      </c>
      <c r="F48" s="360" t="s">
        <v>1</v>
      </c>
      <c r="G48" s="332"/>
      <c r="K48" s="361"/>
    </row>
    <row r="49" spans="1:15" ht="12.75" customHeight="1" x14ac:dyDescent="0.3">
      <c r="A49" s="850" t="s">
        <v>734</v>
      </c>
      <c r="B49" s="850"/>
      <c r="C49" s="372"/>
      <c r="E49" s="55">
        <v>0</v>
      </c>
      <c r="F49" s="360" t="s">
        <v>2</v>
      </c>
      <c r="K49" s="361"/>
    </row>
    <row r="50" spans="1:15" ht="12.75" customHeight="1" x14ac:dyDescent="0.3">
      <c r="A50" s="848" t="s">
        <v>896</v>
      </c>
      <c r="B50" s="848"/>
      <c r="E50" s="75">
        <v>0</v>
      </c>
      <c r="F50" s="373" t="s">
        <v>3</v>
      </c>
      <c r="H50" s="352" t="s">
        <v>722</v>
      </c>
      <c r="I50" s="352"/>
      <c r="K50" s="361"/>
    </row>
    <row r="51" spans="1:15" ht="12.75" customHeight="1" x14ac:dyDescent="0.3">
      <c r="E51" s="194"/>
      <c r="G51" s="374"/>
      <c r="H51" s="194" t="s">
        <v>849</v>
      </c>
      <c r="K51" s="58">
        <v>0</v>
      </c>
      <c r="L51" s="355" t="s">
        <v>1</v>
      </c>
    </row>
    <row r="52" spans="1:15" ht="12.75" customHeight="1" x14ac:dyDescent="0.3">
      <c r="A52" s="259" t="s">
        <v>576</v>
      </c>
      <c r="B52" s="375"/>
      <c r="C52" s="355"/>
      <c r="E52" s="194"/>
      <c r="G52" s="374"/>
      <c r="H52" s="194" t="s">
        <v>848</v>
      </c>
      <c r="K52" s="111">
        <v>0</v>
      </c>
      <c r="L52" s="355" t="s">
        <v>2</v>
      </c>
      <c r="M52" s="376"/>
      <c r="N52" s="194"/>
      <c r="O52" s="194"/>
    </row>
    <row r="53" spans="1:15" ht="12.75" customHeight="1" x14ac:dyDescent="0.3">
      <c r="A53" s="191" t="s">
        <v>791</v>
      </c>
      <c r="C53" s="333"/>
      <c r="D53" s="377"/>
      <c r="E53" s="57">
        <v>0</v>
      </c>
      <c r="F53" s="378" t="s">
        <v>1</v>
      </c>
      <c r="G53" s="374"/>
      <c r="H53" s="194" t="s">
        <v>847</v>
      </c>
      <c r="K53" s="111">
        <v>0</v>
      </c>
      <c r="L53" s="333" t="s">
        <v>3</v>
      </c>
    </row>
    <row r="54" spans="1:15" ht="12.75" customHeight="1" x14ac:dyDescent="0.3">
      <c r="A54" s="191" t="s">
        <v>792</v>
      </c>
      <c r="C54" s="333"/>
      <c r="D54" s="377"/>
      <c r="E54" s="57">
        <v>0</v>
      </c>
      <c r="F54" s="378" t="s">
        <v>2</v>
      </c>
      <c r="G54" s="374"/>
      <c r="H54" s="194" t="s">
        <v>936</v>
      </c>
      <c r="K54" s="111">
        <v>58643</v>
      </c>
      <c r="L54" s="333" t="s">
        <v>4</v>
      </c>
    </row>
    <row r="55" spans="1:15" ht="12.75" customHeight="1" x14ac:dyDescent="0.3">
      <c r="A55" s="191" t="s">
        <v>793</v>
      </c>
      <c r="C55" s="333"/>
      <c r="D55" s="377"/>
      <c r="E55" s="57">
        <v>0</v>
      </c>
      <c r="F55" s="378" t="s">
        <v>3</v>
      </c>
      <c r="G55" s="374"/>
      <c r="H55" s="332" t="s">
        <v>864</v>
      </c>
      <c r="I55" s="332"/>
      <c r="J55" s="332"/>
      <c r="K55" s="111">
        <v>0</v>
      </c>
      <c r="L55" s="333" t="s">
        <v>5</v>
      </c>
    </row>
    <row r="56" spans="1:15" ht="12.75" customHeight="1" x14ac:dyDescent="0.3">
      <c r="A56" s="191" t="s">
        <v>794</v>
      </c>
      <c r="C56" s="333"/>
      <c r="D56" s="377"/>
      <c r="E56" s="57">
        <v>0</v>
      </c>
      <c r="F56" s="378" t="s">
        <v>4</v>
      </c>
      <c r="H56" s="332" t="s">
        <v>863</v>
      </c>
      <c r="I56" s="332"/>
      <c r="J56" s="332"/>
      <c r="K56" s="58">
        <v>46969</v>
      </c>
      <c r="L56" s="333" t="s">
        <v>6</v>
      </c>
    </row>
    <row r="57" spans="1:15" ht="12.75" customHeight="1" x14ac:dyDescent="0.3">
      <c r="C57" s="379"/>
      <c r="D57" s="377"/>
      <c r="F57" s="317"/>
      <c r="G57" s="374"/>
      <c r="K57" s="361"/>
      <c r="L57" s="333"/>
    </row>
    <row r="58" spans="1:15" ht="12.75" customHeight="1" x14ac:dyDescent="0.3">
      <c r="G58" s="374"/>
      <c r="H58" s="352" t="s">
        <v>850</v>
      </c>
      <c r="I58" s="352"/>
      <c r="K58" s="361"/>
    </row>
    <row r="59" spans="1:15" ht="12.75" customHeight="1" x14ac:dyDescent="0.3">
      <c r="G59" s="374"/>
      <c r="H59" s="194" t="s">
        <v>852</v>
      </c>
      <c r="K59" s="111">
        <v>4250</v>
      </c>
      <c r="L59" s="333" t="s">
        <v>1</v>
      </c>
      <c r="M59" s="376"/>
      <c r="N59" s="194"/>
      <c r="O59" s="194"/>
    </row>
    <row r="60" spans="1:15" ht="12.75" customHeight="1" x14ac:dyDescent="0.3">
      <c r="G60" s="374"/>
      <c r="H60" s="194" t="s">
        <v>855</v>
      </c>
      <c r="K60" s="111">
        <v>0</v>
      </c>
      <c r="L60" s="333" t="s">
        <v>2</v>
      </c>
    </row>
    <row r="61" spans="1:15" ht="15" customHeight="1" x14ac:dyDescent="0.3">
      <c r="G61" s="374"/>
    </row>
    <row r="68" spans="8:8" ht="12.75" customHeight="1" x14ac:dyDescent="0.3">
      <c r="H68" s="194" t="s">
        <v>0</v>
      </c>
    </row>
  </sheetData>
  <sheetProtection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33" priority="6" stopIfTrue="1">
      <formula>$E33=""</formula>
    </cfRule>
  </conditionalFormatting>
  <conditionalFormatting sqref="E40:E44">
    <cfRule type="expression" dxfId="32" priority="2" stopIfTrue="1">
      <formula>$E40=""</formula>
    </cfRule>
  </conditionalFormatting>
  <conditionalFormatting sqref="K11 K13:K19 K21:K22 K24:K26 K30:K32 K36:K38 K41:K42 K46:K47 K51:K56">
    <cfRule type="expression" dxfId="31" priority="5" stopIfTrue="1">
      <formula>$K11=""</formula>
    </cfRule>
  </conditionalFormatting>
  <conditionalFormatting sqref="K59:K60">
    <cfRule type="expression" dxfId="30"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zoomScale="90" zoomScaleNormal="90" workbookViewId="0">
      <selection activeCell="E13" sqref="E13"/>
    </sheetView>
  </sheetViews>
  <sheetFormatPr defaultColWidth="9" defaultRowHeight="13" x14ac:dyDescent="0.3"/>
  <cols>
    <col min="1" max="1" width="48.296875" style="382" customWidth="1"/>
    <col min="2" max="2" width="2.796875" style="382" customWidth="1"/>
    <col min="3" max="3" width="35.296875" style="382" customWidth="1"/>
    <col min="4" max="4" width="13.796875" style="382" bestFit="1" customWidth="1"/>
    <col min="5" max="5" width="15.296875" style="382" customWidth="1"/>
    <col min="6" max="6" width="14.19921875" style="382" customWidth="1"/>
    <col min="7" max="7" width="15.19921875" style="382" customWidth="1"/>
    <col min="8" max="8" width="13.296875" style="383" customWidth="1"/>
    <col min="9" max="9" width="17.296875" style="383" customWidth="1"/>
    <col min="10" max="10" width="15.19921875" style="383" customWidth="1"/>
    <col min="11" max="11" width="20.296875" style="383" customWidth="1"/>
    <col min="12" max="12" width="16" style="382" customWidth="1"/>
    <col min="13" max="13" width="16.796875" style="382" customWidth="1"/>
    <col min="14" max="14" width="16" style="382" customWidth="1"/>
    <col min="15" max="15" width="14.796875" style="382" customWidth="1"/>
    <col min="16" max="16" width="17.296875" style="382" customWidth="1"/>
    <col min="17" max="17" width="14.796875" style="382" customWidth="1"/>
    <col min="18" max="21" width="9" style="388" customWidth="1"/>
    <col min="22" max="26" width="9" style="389" customWidth="1"/>
    <col min="27" max="27" width="8.19921875" style="389" bestFit="1" customWidth="1"/>
    <col min="28" max="29" width="9" style="389" customWidth="1"/>
    <col min="30" max="34" width="10.296875" style="390" customWidth="1"/>
    <col min="35" max="35" width="9" style="390" customWidth="1"/>
    <col min="36" max="48" width="9" style="388" customWidth="1"/>
    <col min="49" max="256" width="9" style="382" customWidth="1"/>
    <col min="257" max="257" width="60.296875" style="382" customWidth="1"/>
    <col min="258" max="258" width="2.796875" style="382" customWidth="1"/>
    <col min="259" max="259" width="14.796875" style="382" customWidth="1"/>
    <col min="260" max="260" width="13.796875" style="382" bestFit="1" customWidth="1"/>
    <col min="261" max="261" width="15.296875" style="382" customWidth="1"/>
    <col min="262" max="262" width="14.19921875" style="382" customWidth="1"/>
    <col min="263" max="263" width="15.19921875" style="382" customWidth="1"/>
    <col min="264" max="264" width="13.296875" style="382" customWidth="1"/>
    <col min="265" max="265" width="17.296875" style="382" customWidth="1"/>
    <col min="266" max="266" width="15.19921875" style="382" customWidth="1"/>
    <col min="267" max="267" width="19.69921875" style="382" customWidth="1"/>
    <col min="268" max="270" width="16" style="382" customWidth="1"/>
    <col min="271" max="271" width="14.796875" style="382" customWidth="1"/>
    <col min="272" max="272" width="17.296875" style="382" customWidth="1"/>
    <col min="273" max="273" width="14.796875" style="382" customWidth="1"/>
    <col min="274" max="282" width="9" style="382" customWidth="1"/>
    <col min="283" max="283" width="7.19921875" style="382" bestFit="1" customWidth="1"/>
    <col min="284" max="285" width="9" style="382" customWidth="1"/>
    <col min="286" max="290" width="10.296875" style="382" customWidth="1"/>
    <col min="291" max="512" width="9" style="382" customWidth="1"/>
    <col min="513" max="513" width="60.296875" style="382" customWidth="1"/>
    <col min="514" max="514" width="2.796875" style="382" customWidth="1"/>
    <col min="515" max="515" width="14.796875" style="382" customWidth="1"/>
    <col min="516" max="516" width="13.796875" style="382" bestFit="1" customWidth="1"/>
    <col min="517" max="517" width="15.296875" style="382" customWidth="1"/>
    <col min="518" max="518" width="14.19921875" style="382" customWidth="1"/>
    <col min="519" max="519" width="15.19921875" style="382" customWidth="1"/>
    <col min="520" max="520" width="13.296875" style="382" customWidth="1"/>
    <col min="521" max="521" width="17.296875" style="382" customWidth="1"/>
    <col min="522" max="522" width="15.19921875" style="382" customWidth="1"/>
    <col min="523" max="523" width="19.69921875" style="382" customWidth="1"/>
    <col min="524" max="526" width="16" style="382" customWidth="1"/>
    <col min="527" max="527" width="14.796875" style="382" customWidth="1"/>
    <col min="528" max="528" width="17.296875" style="382" customWidth="1"/>
    <col min="529" max="529" width="14.796875" style="382" customWidth="1"/>
    <col min="530" max="538" width="9" style="382" customWidth="1"/>
    <col min="539" max="539" width="7.19921875" style="382" bestFit="1" customWidth="1"/>
    <col min="540" max="541" width="9" style="382" customWidth="1"/>
    <col min="542" max="546" width="10.296875" style="382" customWidth="1"/>
    <col min="547" max="768" width="9" style="382" customWidth="1"/>
    <col min="769" max="769" width="60.296875" style="382" customWidth="1"/>
    <col min="770" max="770" width="2.796875" style="382" customWidth="1"/>
    <col min="771" max="771" width="14.796875" style="382" customWidth="1"/>
    <col min="772" max="772" width="13.796875" style="382" bestFit="1" customWidth="1"/>
    <col min="773" max="773" width="15.296875" style="382" customWidth="1"/>
    <col min="774" max="774" width="14.19921875" style="382" customWidth="1"/>
    <col min="775" max="775" width="15.19921875" style="382" customWidth="1"/>
    <col min="776" max="776" width="13.296875" style="382" customWidth="1"/>
    <col min="777" max="777" width="17.296875" style="382" customWidth="1"/>
    <col min="778" max="778" width="15.19921875" style="382" customWidth="1"/>
    <col min="779" max="779" width="19.69921875" style="382" customWidth="1"/>
    <col min="780" max="782" width="16" style="382" customWidth="1"/>
    <col min="783" max="783" width="14.796875" style="382" customWidth="1"/>
    <col min="784" max="784" width="17.296875" style="382" customWidth="1"/>
    <col min="785" max="785" width="14.796875" style="382" customWidth="1"/>
    <col min="786" max="794" width="9" style="382" customWidth="1"/>
    <col min="795" max="795" width="7.19921875" style="382" bestFit="1" customWidth="1"/>
    <col min="796" max="797" width="9" style="382" customWidth="1"/>
    <col min="798" max="802" width="10.296875" style="382" customWidth="1"/>
    <col min="803" max="1024" width="9" style="382" customWidth="1"/>
    <col min="1025" max="1025" width="60.296875" style="382" customWidth="1"/>
    <col min="1026" max="1026" width="2.796875" style="382" customWidth="1"/>
    <col min="1027" max="1027" width="14.796875" style="382" customWidth="1"/>
    <col min="1028" max="1028" width="13.796875" style="382" bestFit="1" customWidth="1"/>
    <col min="1029" max="1029" width="15.296875" style="382" customWidth="1"/>
    <col min="1030" max="1030" width="14.19921875" style="382" customWidth="1"/>
    <col min="1031" max="1031" width="15.19921875" style="382" customWidth="1"/>
    <col min="1032" max="1032" width="13.296875" style="382" customWidth="1"/>
    <col min="1033" max="1033" width="17.296875" style="382" customWidth="1"/>
    <col min="1034" max="1034" width="15.19921875" style="382" customWidth="1"/>
    <col min="1035" max="1035" width="19.69921875" style="382" customWidth="1"/>
    <col min="1036" max="1038" width="16" style="382" customWidth="1"/>
    <col min="1039" max="1039" width="14.796875" style="382" customWidth="1"/>
    <col min="1040" max="1040" width="17.296875" style="382" customWidth="1"/>
    <col min="1041" max="1041" width="14.796875" style="382" customWidth="1"/>
    <col min="1042" max="1050" width="9" style="382" customWidth="1"/>
    <col min="1051" max="1051" width="7.19921875" style="382" bestFit="1" customWidth="1"/>
    <col min="1052" max="1053" width="9" style="382" customWidth="1"/>
    <col min="1054" max="1058" width="10.296875" style="382" customWidth="1"/>
    <col min="1059" max="1280" width="9" style="382" customWidth="1"/>
    <col min="1281" max="1281" width="60.296875" style="382" customWidth="1"/>
    <col min="1282" max="1282" width="2.796875" style="382" customWidth="1"/>
    <col min="1283" max="1283" width="14.796875" style="382" customWidth="1"/>
    <col min="1284" max="1284" width="13.796875" style="382" bestFit="1" customWidth="1"/>
    <col min="1285" max="1285" width="15.296875" style="382" customWidth="1"/>
    <col min="1286" max="1286" width="14.19921875" style="382" customWidth="1"/>
    <col min="1287" max="1287" width="15.19921875" style="382" customWidth="1"/>
    <col min="1288" max="1288" width="13.296875" style="382" customWidth="1"/>
    <col min="1289" max="1289" width="17.296875" style="382" customWidth="1"/>
    <col min="1290" max="1290" width="15.19921875" style="382" customWidth="1"/>
    <col min="1291" max="1291" width="19.69921875" style="382" customWidth="1"/>
    <col min="1292" max="1294" width="16" style="382" customWidth="1"/>
    <col min="1295" max="1295" width="14.796875" style="382" customWidth="1"/>
    <col min="1296" max="1296" width="17.296875" style="382" customWidth="1"/>
    <col min="1297" max="1297" width="14.796875" style="382" customWidth="1"/>
    <col min="1298" max="1306" width="9" style="382" customWidth="1"/>
    <col min="1307" max="1307" width="7.19921875" style="382" bestFit="1" customWidth="1"/>
    <col min="1308" max="1309" width="9" style="382" customWidth="1"/>
    <col min="1310" max="1314" width="10.296875" style="382" customWidth="1"/>
    <col min="1315" max="1536" width="9" style="382" customWidth="1"/>
    <col min="1537" max="1537" width="60.296875" style="382" customWidth="1"/>
    <col min="1538" max="1538" width="2.796875" style="382" customWidth="1"/>
    <col min="1539" max="1539" width="14.796875" style="382" customWidth="1"/>
    <col min="1540" max="1540" width="13.796875" style="382" bestFit="1" customWidth="1"/>
    <col min="1541" max="1541" width="15.296875" style="382" customWidth="1"/>
    <col min="1542" max="1542" width="14.19921875" style="382" customWidth="1"/>
    <col min="1543" max="1543" width="15.19921875" style="382" customWidth="1"/>
    <col min="1544" max="1544" width="13.296875" style="382" customWidth="1"/>
    <col min="1545" max="1545" width="17.296875" style="382" customWidth="1"/>
    <col min="1546" max="1546" width="15.19921875" style="382" customWidth="1"/>
    <col min="1547" max="1547" width="19.69921875" style="382" customWidth="1"/>
    <col min="1548" max="1550" width="16" style="382" customWidth="1"/>
    <col min="1551" max="1551" width="14.796875" style="382" customWidth="1"/>
    <col min="1552" max="1552" width="17.296875" style="382" customWidth="1"/>
    <col min="1553" max="1553" width="14.796875" style="382" customWidth="1"/>
    <col min="1554" max="1562" width="9" style="382" customWidth="1"/>
    <col min="1563" max="1563" width="7.19921875" style="382" bestFit="1" customWidth="1"/>
    <col min="1564" max="1565" width="9" style="382" customWidth="1"/>
    <col min="1566" max="1570" width="10.296875" style="382" customWidth="1"/>
    <col min="1571" max="1792" width="9" style="382" customWidth="1"/>
    <col min="1793" max="1793" width="60.296875" style="382" customWidth="1"/>
    <col min="1794" max="1794" width="2.796875" style="382" customWidth="1"/>
    <col min="1795" max="1795" width="14.796875" style="382" customWidth="1"/>
    <col min="1796" max="1796" width="13.796875" style="382" bestFit="1" customWidth="1"/>
    <col min="1797" max="1797" width="15.296875" style="382" customWidth="1"/>
    <col min="1798" max="1798" width="14.19921875" style="382" customWidth="1"/>
    <col min="1799" max="1799" width="15.19921875" style="382" customWidth="1"/>
    <col min="1800" max="1800" width="13.296875" style="382" customWidth="1"/>
    <col min="1801" max="1801" width="17.296875" style="382" customWidth="1"/>
    <col min="1802" max="1802" width="15.19921875" style="382" customWidth="1"/>
    <col min="1803" max="1803" width="19.69921875" style="382" customWidth="1"/>
    <col min="1804" max="1806" width="16" style="382" customWidth="1"/>
    <col min="1807" max="1807" width="14.796875" style="382" customWidth="1"/>
    <col min="1808" max="1808" width="17.296875" style="382" customWidth="1"/>
    <col min="1809" max="1809" width="14.796875" style="382" customWidth="1"/>
    <col min="1810" max="1818" width="9" style="382" customWidth="1"/>
    <col min="1819" max="1819" width="7.19921875" style="382" bestFit="1" customWidth="1"/>
    <col min="1820" max="1821" width="9" style="382" customWidth="1"/>
    <col min="1822" max="1826" width="10.296875" style="382" customWidth="1"/>
    <col min="1827" max="2048" width="9" style="382" customWidth="1"/>
    <col min="2049" max="2049" width="60.296875" style="382" customWidth="1"/>
    <col min="2050" max="2050" width="2.796875" style="382" customWidth="1"/>
    <col min="2051" max="2051" width="14.796875" style="382" customWidth="1"/>
    <col min="2052" max="2052" width="13.796875" style="382" bestFit="1" customWidth="1"/>
    <col min="2053" max="2053" width="15.296875" style="382" customWidth="1"/>
    <col min="2054" max="2054" width="14.19921875" style="382" customWidth="1"/>
    <col min="2055" max="2055" width="15.19921875" style="382" customWidth="1"/>
    <col min="2056" max="2056" width="13.296875" style="382" customWidth="1"/>
    <col min="2057" max="2057" width="17.296875" style="382" customWidth="1"/>
    <col min="2058" max="2058" width="15.19921875" style="382" customWidth="1"/>
    <col min="2059" max="2059" width="19.69921875" style="382" customWidth="1"/>
    <col min="2060" max="2062" width="16" style="382" customWidth="1"/>
    <col min="2063" max="2063" width="14.796875" style="382" customWidth="1"/>
    <col min="2064" max="2064" width="17.296875" style="382" customWidth="1"/>
    <col min="2065" max="2065" width="14.796875" style="382" customWidth="1"/>
    <col min="2066" max="2074" width="9" style="382" customWidth="1"/>
    <col min="2075" max="2075" width="7.19921875" style="382" bestFit="1" customWidth="1"/>
    <col min="2076" max="2077" width="9" style="382" customWidth="1"/>
    <col min="2078" max="2082" width="10.296875" style="382" customWidth="1"/>
    <col min="2083" max="2304" width="9" style="382" customWidth="1"/>
    <col min="2305" max="2305" width="60.296875" style="382" customWidth="1"/>
    <col min="2306" max="2306" width="2.796875" style="382" customWidth="1"/>
    <col min="2307" max="2307" width="14.796875" style="382" customWidth="1"/>
    <col min="2308" max="2308" width="13.796875" style="382" bestFit="1" customWidth="1"/>
    <col min="2309" max="2309" width="15.296875" style="382" customWidth="1"/>
    <col min="2310" max="2310" width="14.19921875" style="382" customWidth="1"/>
    <col min="2311" max="2311" width="15.19921875" style="382" customWidth="1"/>
    <col min="2312" max="2312" width="13.296875" style="382" customWidth="1"/>
    <col min="2313" max="2313" width="17.296875" style="382" customWidth="1"/>
    <col min="2314" max="2314" width="15.19921875" style="382" customWidth="1"/>
    <col min="2315" max="2315" width="19.69921875" style="382" customWidth="1"/>
    <col min="2316" max="2318" width="16" style="382" customWidth="1"/>
    <col min="2319" max="2319" width="14.796875" style="382" customWidth="1"/>
    <col min="2320" max="2320" width="17.296875" style="382" customWidth="1"/>
    <col min="2321" max="2321" width="14.796875" style="382" customWidth="1"/>
    <col min="2322" max="2330" width="9" style="382" customWidth="1"/>
    <col min="2331" max="2331" width="7.19921875" style="382" bestFit="1" customWidth="1"/>
    <col min="2332" max="2333" width="9" style="382" customWidth="1"/>
    <col min="2334" max="2338" width="10.296875" style="382" customWidth="1"/>
    <col min="2339" max="2560" width="9" style="382" customWidth="1"/>
    <col min="2561" max="2561" width="60.296875" style="382" customWidth="1"/>
    <col min="2562" max="2562" width="2.796875" style="382" customWidth="1"/>
    <col min="2563" max="2563" width="14.796875" style="382" customWidth="1"/>
    <col min="2564" max="2564" width="13.796875" style="382" bestFit="1" customWidth="1"/>
    <col min="2565" max="2565" width="15.296875" style="382" customWidth="1"/>
    <col min="2566" max="2566" width="14.19921875" style="382" customWidth="1"/>
    <col min="2567" max="2567" width="15.19921875" style="382" customWidth="1"/>
    <col min="2568" max="2568" width="13.296875" style="382" customWidth="1"/>
    <col min="2569" max="2569" width="17.296875" style="382" customWidth="1"/>
    <col min="2570" max="2570" width="15.19921875" style="382" customWidth="1"/>
    <col min="2571" max="2571" width="19.69921875" style="382" customWidth="1"/>
    <col min="2572" max="2574" width="16" style="382" customWidth="1"/>
    <col min="2575" max="2575" width="14.796875" style="382" customWidth="1"/>
    <col min="2576" max="2576" width="17.296875" style="382" customWidth="1"/>
    <col min="2577" max="2577" width="14.796875" style="382" customWidth="1"/>
    <col min="2578" max="2586" width="9" style="382" customWidth="1"/>
    <col min="2587" max="2587" width="7.19921875" style="382" bestFit="1" customWidth="1"/>
    <col min="2588" max="2589" width="9" style="382" customWidth="1"/>
    <col min="2590" max="2594" width="10.296875" style="382" customWidth="1"/>
    <col min="2595" max="2816" width="9" style="382" customWidth="1"/>
    <col min="2817" max="2817" width="60.296875" style="382" customWidth="1"/>
    <col min="2818" max="2818" width="2.796875" style="382" customWidth="1"/>
    <col min="2819" max="2819" width="14.796875" style="382" customWidth="1"/>
    <col min="2820" max="2820" width="13.796875" style="382" bestFit="1" customWidth="1"/>
    <col min="2821" max="2821" width="15.296875" style="382" customWidth="1"/>
    <col min="2822" max="2822" width="14.19921875" style="382" customWidth="1"/>
    <col min="2823" max="2823" width="15.19921875" style="382" customWidth="1"/>
    <col min="2824" max="2824" width="13.296875" style="382" customWidth="1"/>
    <col min="2825" max="2825" width="17.296875" style="382" customWidth="1"/>
    <col min="2826" max="2826" width="15.19921875" style="382" customWidth="1"/>
    <col min="2827" max="2827" width="19.69921875" style="382" customWidth="1"/>
    <col min="2828" max="2830" width="16" style="382" customWidth="1"/>
    <col min="2831" max="2831" width="14.796875" style="382" customWidth="1"/>
    <col min="2832" max="2832" width="17.296875" style="382" customWidth="1"/>
    <col min="2833" max="2833" width="14.796875" style="382" customWidth="1"/>
    <col min="2834" max="2842" width="9" style="382" customWidth="1"/>
    <col min="2843" max="2843" width="7.19921875" style="382" bestFit="1" customWidth="1"/>
    <col min="2844" max="2845" width="9" style="382" customWidth="1"/>
    <col min="2846" max="2850" width="10.296875" style="382" customWidth="1"/>
    <col min="2851" max="3072" width="9" style="382" customWidth="1"/>
    <col min="3073" max="3073" width="60.296875" style="382" customWidth="1"/>
    <col min="3074" max="3074" width="2.796875" style="382" customWidth="1"/>
    <col min="3075" max="3075" width="14.796875" style="382" customWidth="1"/>
    <col min="3076" max="3076" width="13.796875" style="382" bestFit="1" customWidth="1"/>
    <col min="3077" max="3077" width="15.296875" style="382" customWidth="1"/>
    <col min="3078" max="3078" width="14.19921875" style="382" customWidth="1"/>
    <col min="3079" max="3079" width="15.19921875" style="382" customWidth="1"/>
    <col min="3080" max="3080" width="13.296875" style="382" customWidth="1"/>
    <col min="3081" max="3081" width="17.296875" style="382" customWidth="1"/>
    <col min="3082" max="3082" width="15.19921875" style="382" customWidth="1"/>
    <col min="3083" max="3083" width="19.69921875" style="382" customWidth="1"/>
    <col min="3084" max="3086" width="16" style="382" customWidth="1"/>
    <col min="3087" max="3087" width="14.796875" style="382" customWidth="1"/>
    <col min="3088" max="3088" width="17.296875" style="382" customWidth="1"/>
    <col min="3089" max="3089" width="14.796875" style="382" customWidth="1"/>
    <col min="3090" max="3098" width="9" style="382" customWidth="1"/>
    <col min="3099" max="3099" width="7.19921875" style="382" bestFit="1" customWidth="1"/>
    <col min="3100" max="3101" width="9" style="382" customWidth="1"/>
    <col min="3102" max="3106" width="10.296875" style="382" customWidth="1"/>
    <col min="3107" max="3328" width="9" style="382" customWidth="1"/>
    <col min="3329" max="3329" width="60.296875" style="382" customWidth="1"/>
    <col min="3330" max="3330" width="2.796875" style="382" customWidth="1"/>
    <col min="3331" max="3331" width="14.796875" style="382" customWidth="1"/>
    <col min="3332" max="3332" width="13.796875" style="382" bestFit="1" customWidth="1"/>
    <col min="3333" max="3333" width="15.296875" style="382" customWidth="1"/>
    <col min="3334" max="3334" width="14.19921875" style="382" customWidth="1"/>
    <col min="3335" max="3335" width="15.19921875" style="382" customWidth="1"/>
    <col min="3336" max="3336" width="13.296875" style="382" customWidth="1"/>
    <col min="3337" max="3337" width="17.296875" style="382" customWidth="1"/>
    <col min="3338" max="3338" width="15.19921875" style="382" customWidth="1"/>
    <col min="3339" max="3339" width="19.69921875" style="382" customWidth="1"/>
    <col min="3340" max="3342" width="16" style="382" customWidth="1"/>
    <col min="3343" max="3343" width="14.796875" style="382" customWidth="1"/>
    <col min="3344" max="3344" width="17.296875" style="382" customWidth="1"/>
    <col min="3345" max="3345" width="14.796875" style="382" customWidth="1"/>
    <col min="3346" max="3354" width="9" style="382" customWidth="1"/>
    <col min="3355" max="3355" width="7.19921875" style="382" bestFit="1" customWidth="1"/>
    <col min="3356" max="3357" width="9" style="382" customWidth="1"/>
    <col min="3358" max="3362" width="10.296875" style="382" customWidth="1"/>
    <col min="3363" max="3584" width="9" style="382" customWidth="1"/>
    <col min="3585" max="3585" width="60.296875" style="382" customWidth="1"/>
    <col min="3586" max="3586" width="2.796875" style="382" customWidth="1"/>
    <col min="3587" max="3587" width="14.796875" style="382" customWidth="1"/>
    <col min="3588" max="3588" width="13.796875" style="382" bestFit="1" customWidth="1"/>
    <col min="3589" max="3589" width="15.296875" style="382" customWidth="1"/>
    <col min="3590" max="3590" width="14.19921875" style="382" customWidth="1"/>
    <col min="3591" max="3591" width="15.19921875" style="382" customWidth="1"/>
    <col min="3592" max="3592" width="13.296875" style="382" customWidth="1"/>
    <col min="3593" max="3593" width="17.296875" style="382" customWidth="1"/>
    <col min="3594" max="3594" width="15.19921875" style="382" customWidth="1"/>
    <col min="3595" max="3595" width="19.69921875" style="382" customWidth="1"/>
    <col min="3596" max="3598" width="16" style="382" customWidth="1"/>
    <col min="3599" max="3599" width="14.796875" style="382" customWidth="1"/>
    <col min="3600" max="3600" width="17.296875" style="382" customWidth="1"/>
    <col min="3601" max="3601" width="14.796875" style="382" customWidth="1"/>
    <col min="3602" max="3610" width="9" style="382" customWidth="1"/>
    <col min="3611" max="3611" width="7.19921875" style="382" bestFit="1" customWidth="1"/>
    <col min="3612" max="3613" width="9" style="382" customWidth="1"/>
    <col min="3614" max="3618" width="10.296875" style="382" customWidth="1"/>
    <col min="3619" max="3840" width="9" style="382" customWidth="1"/>
    <col min="3841" max="3841" width="60.296875" style="382" customWidth="1"/>
    <col min="3842" max="3842" width="2.796875" style="382" customWidth="1"/>
    <col min="3843" max="3843" width="14.796875" style="382" customWidth="1"/>
    <col min="3844" max="3844" width="13.796875" style="382" bestFit="1" customWidth="1"/>
    <col min="3845" max="3845" width="15.296875" style="382" customWidth="1"/>
    <col min="3846" max="3846" width="14.19921875" style="382" customWidth="1"/>
    <col min="3847" max="3847" width="15.19921875" style="382" customWidth="1"/>
    <col min="3848" max="3848" width="13.296875" style="382" customWidth="1"/>
    <col min="3849" max="3849" width="17.296875" style="382" customWidth="1"/>
    <col min="3850" max="3850" width="15.19921875" style="382" customWidth="1"/>
    <col min="3851" max="3851" width="19.69921875" style="382" customWidth="1"/>
    <col min="3852" max="3854" width="16" style="382" customWidth="1"/>
    <col min="3855" max="3855" width="14.796875" style="382" customWidth="1"/>
    <col min="3856" max="3856" width="17.296875" style="382" customWidth="1"/>
    <col min="3857" max="3857" width="14.796875" style="382" customWidth="1"/>
    <col min="3858" max="3866" width="9" style="382" customWidth="1"/>
    <col min="3867" max="3867" width="7.19921875" style="382" bestFit="1" customWidth="1"/>
    <col min="3868" max="3869" width="9" style="382" customWidth="1"/>
    <col min="3870" max="3874" width="10.296875" style="382" customWidth="1"/>
    <col min="3875" max="4096" width="9" style="382" customWidth="1"/>
    <col min="4097" max="4097" width="60.296875" style="382" customWidth="1"/>
    <col min="4098" max="4098" width="2.796875" style="382" customWidth="1"/>
    <col min="4099" max="4099" width="14.796875" style="382" customWidth="1"/>
    <col min="4100" max="4100" width="13.796875" style="382" bestFit="1" customWidth="1"/>
    <col min="4101" max="4101" width="15.296875" style="382" customWidth="1"/>
    <col min="4102" max="4102" width="14.19921875" style="382" customWidth="1"/>
    <col min="4103" max="4103" width="15.19921875" style="382" customWidth="1"/>
    <col min="4104" max="4104" width="13.296875" style="382" customWidth="1"/>
    <col min="4105" max="4105" width="17.296875" style="382" customWidth="1"/>
    <col min="4106" max="4106" width="15.19921875" style="382" customWidth="1"/>
    <col min="4107" max="4107" width="19.69921875" style="382" customWidth="1"/>
    <col min="4108" max="4110" width="16" style="382" customWidth="1"/>
    <col min="4111" max="4111" width="14.796875" style="382" customWidth="1"/>
    <col min="4112" max="4112" width="17.296875" style="382" customWidth="1"/>
    <col min="4113" max="4113" width="14.796875" style="382" customWidth="1"/>
    <col min="4114" max="4122" width="9" style="382" customWidth="1"/>
    <col min="4123" max="4123" width="7.19921875" style="382" bestFit="1" customWidth="1"/>
    <col min="4124" max="4125" width="9" style="382" customWidth="1"/>
    <col min="4126" max="4130" width="10.296875" style="382" customWidth="1"/>
    <col min="4131" max="4352" width="9" style="382" customWidth="1"/>
    <col min="4353" max="4353" width="60.296875" style="382" customWidth="1"/>
    <col min="4354" max="4354" width="2.796875" style="382" customWidth="1"/>
    <col min="4355" max="4355" width="14.796875" style="382" customWidth="1"/>
    <col min="4356" max="4356" width="13.796875" style="382" bestFit="1" customWidth="1"/>
    <col min="4357" max="4357" width="15.296875" style="382" customWidth="1"/>
    <col min="4358" max="4358" width="14.19921875" style="382" customWidth="1"/>
    <col min="4359" max="4359" width="15.19921875" style="382" customWidth="1"/>
    <col min="4360" max="4360" width="13.296875" style="382" customWidth="1"/>
    <col min="4361" max="4361" width="17.296875" style="382" customWidth="1"/>
    <col min="4362" max="4362" width="15.19921875" style="382" customWidth="1"/>
    <col min="4363" max="4363" width="19.69921875" style="382" customWidth="1"/>
    <col min="4364" max="4366" width="16" style="382" customWidth="1"/>
    <col min="4367" max="4367" width="14.796875" style="382" customWidth="1"/>
    <col min="4368" max="4368" width="17.296875" style="382" customWidth="1"/>
    <col min="4369" max="4369" width="14.796875" style="382" customWidth="1"/>
    <col min="4370" max="4378" width="9" style="382" customWidth="1"/>
    <col min="4379" max="4379" width="7.19921875" style="382" bestFit="1" customWidth="1"/>
    <col min="4380" max="4381" width="9" style="382" customWidth="1"/>
    <col min="4382" max="4386" width="10.296875" style="382" customWidth="1"/>
    <col min="4387" max="4608" width="9" style="382" customWidth="1"/>
    <col min="4609" max="4609" width="60.296875" style="382" customWidth="1"/>
    <col min="4610" max="4610" width="2.796875" style="382" customWidth="1"/>
    <col min="4611" max="4611" width="14.796875" style="382" customWidth="1"/>
    <col min="4612" max="4612" width="13.796875" style="382" bestFit="1" customWidth="1"/>
    <col min="4613" max="4613" width="15.296875" style="382" customWidth="1"/>
    <col min="4614" max="4614" width="14.19921875" style="382" customWidth="1"/>
    <col min="4615" max="4615" width="15.19921875" style="382" customWidth="1"/>
    <col min="4616" max="4616" width="13.296875" style="382" customWidth="1"/>
    <col min="4617" max="4617" width="17.296875" style="382" customWidth="1"/>
    <col min="4618" max="4618" width="15.19921875" style="382" customWidth="1"/>
    <col min="4619" max="4619" width="19.69921875" style="382" customWidth="1"/>
    <col min="4620" max="4622" width="16" style="382" customWidth="1"/>
    <col min="4623" max="4623" width="14.796875" style="382" customWidth="1"/>
    <col min="4624" max="4624" width="17.296875" style="382" customWidth="1"/>
    <col min="4625" max="4625" width="14.796875" style="382" customWidth="1"/>
    <col min="4626" max="4634" width="9" style="382" customWidth="1"/>
    <col min="4635" max="4635" width="7.19921875" style="382" bestFit="1" customWidth="1"/>
    <col min="4636" max="4637" width="9" style="382" customWidth="1"/>
    <col min="4638" max="4642" width="10.296875" style="382" customWidth="1"/>
    <col min="4643" max="4864" width="9" style="382" customWidth="1"/>
    <col min="4865" max="4865" width="60.296875" style="382" customWidth="1"/>
    <col min="4866" max="4866" width="2.796875" style="382" customWidth="1"/>
    <col min="4867" max="4867" width="14.796875" style="382" customWidth="1"/>
    <col min="4868" max="4868" width="13.796875" style="382" bestFit="1" customWidth="1"/>
    <col min="4869" max="4869" width="15.296875" style="382" customWidth="1"/>
    <col min="4870" max="4870" width="14.19921875" style="382" customWidth="1"/>
    <col min="4871" max="4871" width="15.19921875" style="382" customWidth="1"/>
    <col min="4872" max="4872" width="13.296875" style="382" customWidth="1"/>
    <col min="4873" max="4873" width="17.296875" style="382" customWidth="1"/>
    <col min="4874" max="4874" width="15.19921875" style="382" customWidth="1"/>
    <col min="4875" max="4875" width="19.69921875" style="382" customWidth="1"/>
    <col min="4876" max="4878" width="16" style="382" customWidth="1"/>
    <col min="4879" max="4879" width="14.796875" style="382" customWidth="1"/>
    <col min="4880" max="4880" width="17.296875" style="382" customWidth="1"/>
    <col min="4881" max="4881" width="14.796875" style="382" customWidth="1"/>
    <col min="4882" max="4890" width="9" style="382" customWidth="1"/>
    <col min="4891" max="4891" width="7.19921875" style="382" bestFit="1" customWidth="1"/>
    <col min="4892" max="4893" width="9" style="382" customWidth="1"/>
    <col min="4894" max="4898" width="10.296875" style="382" customWidth="1"/>
    <col min="4899" max="5120" width="9" style="382" customWidth="1"/>
    <col min="5121" max="5121" width="60.296875" style="382" customWidth="1"/>
    <col min="5122" max="5122" width="2.796875" style="382" customWidth="1"/>
    <col min="5123" max="5123" width="14.796875" style="382" customWidth="1"/>
    <col min="5124" max="5124" width="13.796875" style="382" bestFit="1" customWidth="1"/>
    <col min="5125" max="5125" width="15.296875" style="382" customWidth="1"/>
    <col min="5126" max="5126" width="14.19921875" style="382" customWidth="1"/>
    <col min="5127" max="5127" width="15.19921875" style="382" customWidth="1"/>
    <col min="5128" max="5128" width="13.296875" style="382" customWidth="1"/>
    <col min="5129" max="5129" width="17.296875" style="382" customWidth="1"/>
    <col min="5130" max="5130" width="15.19921875" style="382" customWidth="1"/>
    <col min="5131" max="5131" width="19.69921875" style="382" customWidth="1"/>
    <col min="5132" max="5134" width="16" style="382" customWidth="1"/>
    <col min="5135" max="5135" width="14.796875" style="382" customWidth="1"/>
    <col min="5136" max="5136" width="17.296875" style="382" customWidth="1"/>
    <col min="5137" max="5137" width="14.796875" style="382" customWidth="1"/>
    <col min="5138" max="5146" width="9" style="382" customWidth="1"/>
    <col min="5147" max="5147" width="7.19921875" style="382" bestFit="1" customWidth="1"/>
    <col min="5148" max="5149" width="9" style="382" customWidth="1"/>
    <col min="5150" max="5154" width="10.296875" style="382" customWidth="1"/>
    <col min="5155" max="5376" width="9" style="382" customWidth="1"/>
    <col min="5377" max="5377" width="60.296875" style="382" customWidth="1"/>
    <col min="5378" max="5378" width="2.796875" style="382" customWidth="1"/>
    <col min="5379" max="5379" width="14.796875" style="382" customWidth="1"/>
    <col min="5380" max="5380" width="13.796875" style="382" bestFit="1" customWidth="1"/>
    <col min="5381" max="5381" width="15.296875" style="382" customWidth="1"/>
    <col min="5382" max="5382" width="14.19921875" style="382" customWidth="1"/>
    <col min="5383" max="5383" width="15.19921875" style="382" customWidth="1"/>
    <col min="5384" max="5384" width="13.296875" style="382" customWidth="1"/>
    <col min="5385" max="5385" width="17.296875" style="382" customWidth="1"/>
    <col min="5386" max="5386" width="15.19921875" style="382" customWidth="1"/>
    <col min="5387" max="5387" width="19.69921875" style="382" customWidth="1"/>
    <col min="5388" max="5390" width="16" style="382" customWidth="1"/>
    <col min="5391" max="5391" width="14.796875" style="382" customWidth="1"/>
    <col min="5392" max="5392" width="17.296875" style="382" customWidth="1"/>
    <col min="5393" max="5393" width="14.796875" style="382" customWidth="1"/>
    <col min="5394" max="5402" width="9" style="382" customWidth="1"/>
    <col min="5403" max="5403" width="7.19921875" style="382" bestFit="1" customWidth="1"/>
    <col min="5404" max="5405" width="9" style="382" customWidth="1"/>
    <col min="5406" max="5410" width="10.296875" style="382" customWidth="1"/>
    <col min="5411" max="5632" width="9" style="382" customWidth="1"/>
    <col min="5633" max="5633" width="60.296875" style="382" customWidth="1"/>
    <col min="5634" max="5634" width="2.796875" style="382" customWidth="1"/>
    <col min="5635" max="5635" width="14.796875" style="382" customWidth="1"/>
    <col min="5636" max="5636" width="13.796875" style="382" bestFit="1" customWidth="1"/>
    <col min="5637" max="5637" width="15.296875" style="382" customWidth="1"/>
    <col min="5638" max="5638" width="14.19921875" style="382" customWidth="1"/>
    <col min="5639" max="5639" width="15.19921875" style="382" customWidth="1"/>
    <col min="5640" max="5640" width="13.296875" style="382" customWidth="1"/>
    <col min="5641" max="5641" width="17.296875" style="382" customWidth="1"/>
    <col min="5642" max="5642" width="15.19921875" style="382" customWidth="1"/>
    <col min="5643" max="5643" width="19.69921875" style="382" customWidth="1"/>
    <col min="5644" max="5646" width="16" style="382" customWidth="1"/>
    <col min="5647" max="5647" width="14.796875" style="382" customWidth="1"/>
    <col min="5648" max="5648" width="17.296875" style="382" customWidth="1"/>
    <col min="5649" max="5649" width="14.796875" style="382" customWidth="1"/>
    <col min="5650" max="5658" width="9" style="382" customWidth="1"/>
    <col min="5659" max="5659" width="7.19921875" style="382" bestFit="1" customWidth="1"/>
    <col min="5660" max="5661" width="9" style="382" customWidth="1"/>
    <col min="5662" max="5666" width="10.296875" style="382" customWidth="1"/>
    <col min="5667" max="5888" width="9" style="382" customWidth="1"/>
    <col min="5889" max="5889" width="60.296875" style="382" customWidth="1"/>
    <col min="5890" max="5890" width="2.796875" style="382" customWidth="1"/>
    <col min="5891" max="5891" width="14.796875" style="382" customWidth="1"/>
    <col min="5892" max="5892" width="13.796875" style="382" bestFit="1" customWidth="1"/>
    <col min="5893" max="5893" width="15.296875" style="382" customWidth="1"/>
    <col min="5894" max="5894" width="14.19921875" style="382" customWidth="1"/>
    <col min="5895" max="5895" width="15.19921875" style="382" customWidth="1"/>
    <col min="5896" max="5896" width="13.296875" style="382" customWidth="1"/>
    <col min="5897" max="5897" width="17.296875" style="382" customWidth="1"/>
    <col min="5898" max="5898" width="15.19921875" style="382" customWidth="1"/>
    <col min="5899" max="5899" width="19.69921875" style="382" customWidth="1"/>
    <col min="5900" max="5902" width="16" style="382" customWidth="1"/>
    <col min="5903" max="5903" width="14.796875" style="382" customWidth="1"/>
    <col min="5904" max="5904" width="17.296875" style="382" customWidth="1"/>
    <col min="5905" max="5905" width="14.796875" style="382" customWidth="1"/>
    <col min="5906" max="5914" width="9" style="382" customWidth="1"/>
    <col min="5915" max="5915" width="7.19921875" style="382" bestFit="1" customWidth="1"/>
    <col min="5916" max="5917" width="9" style="382" customWidth="1"/>
    <col min="5918" max="5922" width="10.296875" style="382" customWidth="1"/>
    <col min="5923" max="6144" width="9" style="382" customWidth="1"/>
    <col min="6145" max="6145" width="60.296875" style="382" customWidth="1"/>
    <col min="6146" max="6146" width="2.796875" style="382" customWidth="1"/>
    <col min="6147" max="6147" width="14.796875" style="382" customWidth="1"/>
    <col min="6148" max="6148" width="13.796875" style="382" bestFit="1" customWidth="1"/>
    <col min="6149" max="6149" width="15.296875" style="382" customWidth="1"/>
    <col min="6150" max="6150" width="14.19921875" style="382" customWidth="1"/>
    <col min="6151" max="6151" width="15.19921875" style="382" customWidth="1"/>
    <col min="6152" max="6152" width="13.296875" style="382" customWidth="1"/>
    <col min="6153" max="6153" width="17.296875" style="382" customWidth="1"/>
    <col min="6154" max="6154" width="15.19921875" style="382" customWidth="1"/>
    <col min="6155" max="6155" width="19.69921875" style="382" customWidth="1"/>
    <col min="6156" max="6158" width="16" style="382" customWidth="1"/>
    <col min="6159" max="6159" width="14.796875" style="382" customWidth="1"/>
    <col min="6160" max="6160" width="17.296875" style="382" customWidth="1"/>
    <col min="6161" max="6161" width="14.796875" style="382" customWidth="1"/>
    <col min="6162" max="6170" width="9" style="382" customWidth="1"/>
    <col min="6171" max="6171" width="7.19921875" style="382" bestFit="1" customWidth="1"/>
    <col min="6172" max="6173" width="9" style="382" customWidth="1"/>
    <col min="6174" max="6178" width="10.296875" style="382" customWidth="1"/>
    <col min="6179" max="6400" width="9" style="382" customWidth="1"/>
    <col min="6401" max="6401" width="60.296875" style="382" customWidth="1"/>
    <col min="6402" max="6402" width="2.796875" style="382" customWidth="1"/>
    <col min="6403" max="6403" width="14.796875" style="382" customWidth="1"/>
    <col min="6404" max="6404" width="13.796875" style="382" bestFit="1" customWidth="1"/>
    <col min="6405" max="6405" width="15.296875" style="382" customWidth="1"/>
    <col min="6406" max="6406" width="14.19921875" style="382" customWidth="1"/>
    <col min="6407" max="6407" width="15.19921875" style="382" customWidth="1"/>
    <col min="6408" max="6408" width="13.296875" style="382" customWidth="1"/>
    <col min="6409" max="6409" width="17.296875" style="382" customWidth="1"/>
    <col min="6410" max="6410" width="15.19921875" style="382" customWidth="1"/>
    <col min="6411" max="6411" width="19.69921875" style="382" customWidth="1"/>
    <col min="6412" max="6414" width="16" style="382" customWidth="1"/>
    <col min="6415" max="6415" width="14.796875" style="382" customWidth="1"/>
    <col min="6416" max="6416" width="17.296875" style="382" customWidth="1"/>
    <col min="6417" max="6417" width="14.796875" style="382" customWidth="1"/>
    <col min="6418" max="6426" width="9" style="382" customWidth="1"/>
    <col min="6427" max="6427" width="7.19921875" style="382" bestFit="1" customWidth="1"/>
    <col min="6428" max="6429" width="9" style="382" customWidth="1"/>
    <col min="6430" max="6434" width="10.296875" style="382" customWidth="1"/>
    <col min="6435" max="6656" width="9" style="382" customWidth="1"/>
    <col min="6657" max="6657" width="60.296875" style="382" customWidth="1"/>
    <col min="6658" max="6658" width="2.796875" style="382" customWidth="1"/>
    <col min="6659" max="6659" width="14.796875" style="382" customWidth="1"/>
    <col min="6660" max="6660" width="13.796875" style="382" bestFit="1" customWidth="1"/>
    <col min="6661" max="6661" width="15.296875" style="382" customWidth="1"/>
    <col min="6662" max="6662" width="14.19921875" style="382" customWidth="1"/>
    <col min="6663" max="6663" width="15.19921875" style="382" customWidth="1"/>
    <col min="6664" max="6664" width="13.296875" style="382" customWidth="1"/>
    <col min="6665" max="6665" width="17.296875" style="382" customWidth="1"/>
    <col min="6666" max="6666" width="15.19921875" style="382" customWidth="1"/>
    <col min="6667" max="6667" width="19.69921875" style="382" customWidth="1"/>
    <col min="6668" max="6670" width="16" style="382" customWidth="1"/>
    <col min="6671" max="6671" width="14.796875" style="382" customWidth="1"/>
    <col min="6672" max="6672" width="17.296875" style="382" customWidth="1"/>
    <col min="6673" max="6673" width="14.796875" style="382" customWidth="1"/>
    <col min="6674" max="6682" width="9" style="382" customWidth="1"/>
    <col min="6683" max="6683" width="7.19921875" style="382" bestFit="1" customWidth="1"/>
    <col min="6684" max="6685" width="9" style="382" customWidth="1"/>
    <col min="6686" max="6690" width="10.296875" style="382" customWidth="1"/>
    <col min="6691" max="6912" width="9" style="382" customWidth="1"/>
    <col min="6913" max="6913" width="60.296875" style="382" customWidth="1"/>
    <col min="6914" max="6914" width="2.796875" style="382" customWidth="1"/>
    <col min="6915" max="6915" width="14.796875" style="382" customWidth="1"/>
    <col min="6916" max="6916" width="13.796875" style="382" bestFit="1" customWidth="1"/>
    <col min="6917" max="6917" width="15.296875" style="382" customWidth="1"/>
    <col min="6918" max="6918" width="14.19921875" style="382" customWidth="1"/>
    <col min="6919" max="6919" width="15.19921875" style="382" customWidth="1"/>
    <col min="6920" max="6920" width="13.296875" style="382" customWidth="1"/>
    <col min="6921" max="6921" width="17.296875" style="382" customWidth="1"/>
    <col min="6922" max="6922" width="15.19921875" style="382" customWidth="1"/>
    <col min="6923" max="6923" width="19.69921875" style="382" customWidth="1"/>
    <col min="6924" max="6926" width="16" style="382" customWidth="1"/>
    <col min="6927" max="6927" width="14.796875" style="382" customWidth="1"/>
    <col min="6928" max="6928" width="17.296875" style="382" customWidth="1"/>
    <col min="6929" max="6929" width="14.796875" style="382" customWidth="1"/>
    <col min="6930" max="6938" width="9" style="382" customWidth="1"/>
    <col min="6939" max="6939" width="7.19921875" style="382" bestFit="1" customWidth="1"/>
    <col min="6940" max="6941" width="9" style="382" customWidth="1"/>
    <col min="6942" max="6946" width="10.296875" style="382" customWidth="1"/>
    <col min="6947" max="7168" width="9" style="382" customWidth="1"/>
    <col min="7169" max="7169" width="60.296875" style="382" customWidth="1"/>
    <col min="7170" max="7170" width="2.796875" style="382" customWidth="1"/>
    <col min="7171" max="7171" width="14.796875" style="382" customWidth="1"/>
    <col min="7172" max="7172" width="13.796875" style="382" bestFit="1" customWidth="1"/>
    <col min="7173" max="7173" width="15.296875" style="382" customWidth="1"/>
    <col min="7174" max="7174" width="14.19921875" style="382" customWidth="1"/>
    <col min="7175" max="7175" width="15.19921875" style="382" customWidth="1"/>
    <col min="7176" max="7176" width="13.296875" style="382" customWidth="1"/>
    <col min="7177" max="7177" width="17.296875" style="382" customWidth="1"/>
    <col min="7178" max="7178" width="15.19921875" style="382" customWidth="1"/>
    <col min="7179" max="7179" width="19.69921875" style="382" customWidth="1"/>
    <col min="7180" max="7182" width="16" style="382" customWidth="1"/>
    <col min="7183" max="7183" width="14.796875" style="382" customWidth="1"/>
    <col min="7184" max="7184" width="17.296875" style="382" customWidth="1"/>
    <col min="7185" max="7185" width="14.796875" style="382" customWidth="1"/>
    <col min="7186" max="7194" width="9" style="382" customWidth="1"/>
    <col min="7195" max="7195" width="7.19921875" style="382" bestFit="1" customWidth="1"/>
    <col min="7196" max="7197" width="9" style="382" customWidth="1"/>
    <col min="7198" max="7202" width="10.296875" style="382" customWidth="1"/>
    <col min="7203" max="7424" width="9" style="382" customWidth="1"/>
    <col min="7425" max="7425" width="60.296875" style="382" customWidth="1"/>
    <col min="7426" max="7426" width="2.796875" style="382" customWidth="1"/>
    <col min="7427" max="7427" width="14.796875" style="382" customWidth="1"/>
    <col min="7428" max="7428" width="13.796875" style="382" bestFit="1" customWidth="1"/>
    <col min="7429" max="7429" width="15.296875" style="382" customWidth="1"/>
    <col min="7430" max="7430" width="14.19921875" style="382" customWidth="1"/>
    <col min="7431" max="7431" width="15.19921875" style="382" customWidth="1"/>
    <col min="7432" max="7432" width="13.296875" style="382" customWidth="1"/>
    <col min="7433" max="7433" width="17.296875" style="382" customWidth="1"/>
    <col min="7434" max="7434" width="15.19921875" style="382" customWidth="1"/>
    <col min="7435" max="7435" width="19.69921875" style="382" customWidth="1"/>
    <col min="7436" max="7438" width="16" style="382" customWidth="1"/>
    <col min="7439" max="7439" width="14.796875" style="382" customWidth="1"/>
    <col min="7440" max="7440" width="17.296875" style="382" customWidth="1"/>
    <col min="7441" max="7441" width="14.796875" style="382" customWidth="1"/>
    <col min="7442" max="7450" width="9" style="382" customWidth="1"/>
    <col min="7451" max="7451" width="7.19921875" style="382" bestFit="1" customWidth="1"/>
    <col min="7452" max="7453" width="9" style="382" customWidth="1"/>
    <col min="7454" max="7458" width="10.296875" style="382" customWidth="1"/>
    <col min="7459" max="7680" width="9" style="382" customWidth="1"/>
    <col min="7681" max="7681" width="60.296875" style="382" customWidth="1"/>
    <col min="7682" max="7682" width="2.796875" style="382" customWidth="1"/>
    <col min="7683" max="7683" width="14.796875" style="382" customWidth="1"/>
    <col min="7684" max="7684" width="13.796875" style="382" bestFit="1" customWidth="1"/>
    <col min="7685" max="7685" width="15.296875" style="382" customWidth="1"/>
    <col min="7686" max="7686" width="14.19921875" style="382" customWidth="1"/>
    <col min="7687" max="7687" width="15.19921875" style="382" customWidth="1"/>
    <col min="7688" max="7688" width="13.296875" style="382" customWidth="1"/>
    <col min="7689" max="7689" width="17.296875" style="382" customWidth="1"/>
    <col min="7690" max="7690" width="15.19921875" style="382" customWidth="1"/>
    <col min="7691" max="7691" width="19.69921875" style="382" customWidth="1"/>
    <col min="7692" max="7694" width="16" style="382" customWidth="1"/>
    <col min="7695" max="7695" width="14.796875" style="382" customWidth="1"/>
    <col min="7696" max="7696" width="17.296875" style="382" customWidth="1"/>
    <col min="7697" max="7697" width="14.796875" style="382" customWidth="1"/>
    <col min="7698" max="7706" width="9" style="382" customWidth="1"/>
    <col min="7707" max="7707" width="7.19921875" style="382" bestFit="1" customWidth="1"/>
    <col min="7708" max="7709" width="9" style="382" customWidth="1"/>
    <col min="7710" max="7714" width="10.296875" style="382" customWidth="1"/>
    <col min="7715" max="7936" width="9" style="382" customWidth="1"/>
    <col min="7937" max="7937" width="60.296875" style="382" customWidth="1"/>
    <col min="7938" max="7938" width="2.796875" style="382" customWidth="1"/>
    <col min="7939" max="7939" width="14.796875" style="382" customWidth="1"/>
    <col min="7940" max="7940" width="13.796875" style="382" bestFit="1" customWidth="1"/>
    <col min="7941" max="7941" width="15.296875" style="382" customWidth="1"/>
    <col min="7942" max="7942" width="14.19921875" style="382" customWidth="1"/>
    <col min="7943" max="7943" width="15.19921875" style="382" customWidth="1"/>
    <col min="7944" max="7944" width="13.296875" style="382" customWidth="1"/>
    <col min="7945" max="7945" width="17.296875" style="382" customWidth="1"/>
    <col min="7946" max="7946" width="15.19921875" style="382" customWidth="1"/>
    <col min="7947" max="7947" width="19.69921875" style="382" customWidth="1"/>
    <col min="7948" max="7950" width="16" style="382" customWidth="1"/>
    <col min="7951" max="7951" width="14.796875" style="382" customWidth="1"/>
    <col min="7952" max="7952" width="17.296875" style="382" customWidth="1"/>
    <col min="7953" max="7953" width="14.796875" style="382" customWidth="1"/>
    <col min="7954" max="7962" width="9" style="382" customWidth="1"/>
    <col min="7963" max="7963" width="7.19921875" style="382" bestFit="1" customWidth="1"/>
    <col min="7964" max="7965" width="9" style="382" customWidth="1"/>
    <col min="7966" max="7970" width="10.296875" style="382" customWidth="1"/>
    <col min="7971" max="8192" width="9" style="382" customWidth="1"/>
    <col min="8193" max="8193" width="60.296875" style="382" customWidth="1"/>
    <col min="8194" max="8194" width="2.796875" style="382" customWidth="1"/>
    <col min="8195" max="8195" width="14.796875" style="382" customWidth="1"/>
    <col min="8196" max="8196" width="13.796875" style="382" bestFit="1" customWidth="1"/>
    <col min="8197" max="8197" width="15.296875" style="382" customWidth="1"/>
    <col min="8198" max="8198" width="14.19921875" style="382" customWidth="1"/>
    <col min="8199" max="8199" width="15.19921875" style="382" customWidth="1"/>
    <col min="8200" max="8200" width="13.296875" style="382" customWidth="1"/>
    <col min="8201" max="8201" width="17.296875" style="382" customWidth="1"/>
    <col min="8202" max="8202" width="15.19921875" style="382" customWidth="1"/>
    <col min="8203" max="8203" width="19.69921875" style="382" customWidth="1"/>
    <col min="8204" max="8206" width="16" style="382" customWidth="1"/>
    <col min="8207" max="8207" width="14.796875" style="382" customWidth="1"/>
    <col min="8208" max="8208" width="17.296875" style="382" customWidth="1"/>
    <col min="8209" max="8209" width="14.796875" style="382" customWidth="1"/>
    <col min="8210" max="8218" width="9" style="382" customWidth="1"/>
    <col min="8219" max="8219" width="7.19921875" style="382" bestFit="1" customWidth="1"/>
    <col min="8220" max="8221" width="9" style="382" customWidth="1"/>
    <col min="8222" max="8226" width="10.296875" style="382" customWidth="1"/>
    <col min="8227" max="8448" width="9" style="382" customWidth="1"/>
    <col min="8449" max="8449" width="60.296875" style="382" customWidth="1"/>
    <col min="8450" max="8450" width="2.796875" style="382" customWidth="1"/>
    <col min="8451" max="8451" width="14.796875" style="382" customWidth="1"/>
    <col min="8452" max="8452" width="13.796875" style="382" bestFit="1" customWidth="1"/>
    <col min="8453" max="8453" width="15.296875" style="382" customWidth="1"/>
    <col min="8454" max="8454" width="14.19921875" style="382" customWidth="1"/>
    <col min="8455" max="8455" width="15.19921875" style="382" customWidth="1"/>
    <col min="8456" max="8456" width="13.296875" style="382" customWidth="1"/>
    <col min="8457" max="8457" width="17.296875" style="382" customWidth="1"/>
    <col min="8458" max="8458" width="15.19921875" style="382" customWidth="1"/>
    <col min="8459" max="8459" width="19.69921875" style="382" customWidth="1"/>
    <col min="8460" max="8462" width="16" style="382" customWidth="1"/>
    <col min="8463" max="8463" width="14.796875" style="382" customWidth="1"/>
    <col min="8464" max="8464" width="17.296875" style="382" customWidth="1"/>
    <col min="8465" max="8465" width="14.796875" style="382" customWidth="1"/>
    <col min="8466" max="8474" width="9" style="382" customWidth="1"/>
    <col min="8475" max="8475" width="7.19921875" style="382" bestFit="1" customWidth="1"/>
    <col min="8476" max="8477" width="9" style="382" customWidth="1"/>
    <col min="8478" max="8482" width="10.296875" style="382" customWidth="1"/>
    <col min="8483" max="8704" width="9" style="382" customWidth="1"/>
    <col min="8705" max="8705" width="60.296875" style="382" customWidth="1"/>
    <col min="8706" max="8706" width="2.796875" style="382" customWidth="1"/>
    <col min="8707" max="8707" width="14.796875" style="382" customWidth="1"/>
    <col min="8708" max="8708" width="13.796875" style="382" bestFit="1" customWidth="1"/>
    <col min="8709" max="8709" width="15.296875" style="382" customWidth="1"/>
    <col min="8710" max="8710" width="14.19921875" style="382" customWidth="1"/>
    <col min="8711" max="8711" width="15.19921875" style="382" customWidth="1"/>
    <col min="8712" max="8712" width="13.296875" style="382" customWidth="1"/>
    <col min="8713" max="8713" width="17.296875" style="382" customWidth="1"/>
    <col min="8714" max="8714" width="15.19921875" style="382" customWidth="1"/>
    <col min="8715" max="8715" width="19.69921875" style="382" customWidth="1"/>
    <col min="8716" max="8718" width="16" style="382" customWidth="1"/>
    <col min="8719" max="8719" width="14.796875" style="382" customWidth="1"/>
    <col min="8720" max="8720" width="17.296875" style="382" customWidth="1"/>
    <col min="8721" max="8721" width="14.796875" style="382" customWidth="1"/>
    <col min="8722" max="8730" width="9" style="382" customWidth="1"/>
    <col min="8731" max="8731" width="7.19921875" style="382" bestFit="1" customWidth="1"/>
    <col min="8732" max="8733" width="9" style="382" customWidth="1"/>
    <col min="8734" max="8738" width="10.296875" style="382" customWidth="1"/>
    <col min="8739" max="8960" width="9" style="382" customWidth="1"/>
    <col min="8961" max="8961" width="60.296875" style="382" customWidth="1"/>
    <col min="8962" max="8962" width="2.796875" style="382" customWidth="1"/>
    <col min="8963" max="8963" width="14.796875" style="382" customWidth="1"/>
    <col min="8964" max="8964" width="13.796875" style="382" bestFit="1" customWidth="1"/>
    <col min="8965" max="8965" width="15.296875" style="382" customWidth="1"/>
    <col min="8966" max="8966" width="14.19921875" style="382" customWidth="1"/>
    <col min="8967" max="8967" width="15.19921875" style="382" customWidth="1"/>
    <col min="8968" max="8968" width="13.296875" style="382" customWidth="1"/>
    <col min="8969" max="8969" width="17.296875" style="382" customWidth="1"/>
    <col min="8970" max="8970" width="15.19921875" style="382" customWidth="1"/>
    <col min="8971" max="8971" width="19.69921875" style="382" customWidth="1"/>
    <col min="8972" max="8974" width="16" style="382" customWidth="1"/>
    <col min="8975" max="8975" width="14.796875" style="382" customWidth="1"/>
    <col min="8976" max="8976" width="17.296875" style="382" customWidth="1"/>
    <col min="8977" max="8977" width="14.796875" style="382" customWidth="1"/>
    <col min="8978" max="8986" width="9" style="382" customWidth="1"/>
    <col min="8987" max="8987" width="7.19921875" style="382" bestFit="1" customWidth="1"/>
    <col min="8988" max="8989" width="9" style="382" customWidth="1"/>
    <col min="8990" max="8994" width="10.296875" style="382" customWidth="1"/>
    <col min="8995" max="9216" width="9" style="382" customWidth="1"/>
    <col min="9217" max="9217" width="60.296875" style="382" customWidth="1"/>
    <col min="9218" max="9218" width="2.796875" style="382" customWidth="1"/>
    <col min="9219" max="9219" width="14.796875" style="382" customWidth="1"/>
    <col min="9220" max="9220" width="13.796875" style="382" bestFit="1" customWidth="1"/>
    <col min="9221" max="9221" width="15.296875" style="382" customWidth="1"/>
    <col min="9222" max="9222" width="14.19921875" style="382" customWidth="1"/>
    <col min="9223" max="9223" width="15.19921875" style="382" customWidth="1"/>
    <col min="9224" max="9224" width="13.296875" style="382" customWidth="1"/>
    <col min="9225" max="9225" width="17.296875" style="382" customWidth="1"/>
    <col min="9226" max="9226" width="15.19921875" style="382" customWidth="1"/>
    <col min="9227" max="9227" width="19.69921875" style="382" customWidth="1"/>
    <col min="9228" max="9230" width="16" style="382" customWidth="1"/>
    <col min="9231" max="9231" width="14.796875" style="382" customWidth="1"/>
    <col min="9232" max="9232" width="17.296875" style="382" customWidth="1"/>
    <col min="9233" max="9233" width="14.796875" style="382" customWidth="1"/>
    <col min="9234" max="9242" width="9" style="382" customWidth="1"/>
    <col min="9243" max="9243" width="7.19921875" style="382" bestFit="1" customWidth="1"/>
    <col min="9244" max="9245" width="9" style="382" customWidth="1"/>
    <col min="9246" max="9250" width="10.296875" style="382" customWidth="1"/>
    <col min="9251" max="9472" width="9" style="382" customWidth="1"/>
    <col min="9473" max="9473" width="60.296875" style="382" customWidth="1"/>
    <col min="9474" max="9474" width="2.796875" style="382" customWidth="1"/>
    <col min="9475" max="9475" width="14.796875" style="382" customWidth="1"/>
    <col min="9476" max="9476" width="13.796875" style="382" bestFit="1" customWidth="1"/>
    <col min="9477" max="9477" width="15.296875" style="382" customWidth="1"/>
    <col min="9478" max="9478" width="14.19921875" style="382" customWidth="1"/>
    <col min="9479" max="9479" width="15.19921875" style="382" customWidth="1"/>
    <col min="9480" max="9480" width="13.296875" style="382" customWidth="1"/>
    <col min="9481" max="9481" width="17.296875" style="382" customWidth="1"/>
    <col min="9482" max="9482" width="15.19921875" style="382" customWidth="1"/>
    <col min="9483" max="9483" width="19.69921875" style="382" customWidth="1"/>
    <col min="9484" max="9486" width="16" style="382" customWidth="1"/>
    <col min="9487" max="9487" width="14.796875" style="382" customWidth="1"/>
    <col min="9488" max="9488" width="17.296875" style="382" customWidth="1"/>
    <col min="9489" max="9489" width="14.796875" style="382" customWidth="1"/>
    <col min="9490" max="9498" width="9" style="382" customWidth="1"/>
    <col min="9499" max="9499" width="7.19921875" style="382" bestFit="1" customWidth="1"/>
    <col min="9500" max="9501" width="9" style="382" customWidth="1"/>
    <col min="9502" max="9506" width="10.296875" style="382" customWidth="1"/>
    <col min="9507" max="9728" width="9" style="382" customWidth="1"/>
    <col min="9729" max="9729" width="60.296875" style="382" customWidth="1"/>
    <col min="9730" max="9730" width="2.796875" style="382" customWidth="1"/>
    <col min="9731" max="9731" width="14.796875" style="382" customWidth="1"/>
    <col min="9732" max="9732" width="13.796875" style="382" bestFit="1" customWidth="1"/>
    <col min="9733" max="9733" width="15.296875" style="382" customWidth="1"/>
    <col min="9734" max="9734" width="14.19921875" style="382" customWidth="1"/>
    <col min="9735" max="9735" width="15.19921875" style="382" customWidth="1"/>
    <col min="9736" max="9736" width="13.296875" style="382" customWidth="1"/>
    <col min="9737" max="9737" width="17.296875" style="382" customWidth="1"/>
    <col min="9738" max="9738" width="15.19921875" style="382" customWidth="1"/>
    <col min="9739" max="9739" width="19.69921875" style="382" customWidth="1"/>
    <col min="9740" max="9742" width="16" style="382" customWidth="1"/>
    <col min="9743" max="9743" width="14.796875" style="382" customWidth="1"/>
    <col min="9744" max="9744" width="17.296875" style="382" customWidth="1"/>
    <col min="9745" max="9745" width="14.796875" style="382" customWidth="1"/>
    <col min="9746" max="9754" width="9" style="382" customWidth="1"/>
    <col min="9755" max="9755" width="7.19921875" style="382" bestFit="1" customWidth="1"/>
    <col min="9756" max="9757" width="9" style="382" customWidth="1"/>
    <col min="9758" max="9762" width="10.296875" style="382" customWidth="1"/>
    <col min="9763" max="9984" width="9" style="382" customWidth="1"/>
    <col min="9985" max="9985" width="60.296875" style="382" customWidth="1"/>
    <col min="9986" max="9986" width="2.796875" style="382" customWidth="1"/>
    <col min="9987" max="9987" width="14.796875" style="382" customWidth="1"/>
    <col min="9988" max="9988" width="13.796875" style="382" bestFit="1" customWidth="1"/>
    <col min="9989" max="9989" width="15.296875" style="382" customWidth="1"/>
    <col min="9990" max="9990" width="14.19921875" style="382" customWidth="1"/>
    <col min="9991" max="9991" width="15.19921875" style="382" customWidth="1"/>
    <col min="9992" max="9992" width="13.296875" style="382" customWidth="1"/>
    <col min="9993" max="9993" width="17.296875" style="382" customWidth="1"/>
    <col min="9994" max="9994" width="15.19921875" style="382" customWidth="1"/>
    <col min="9995" max="9995" width="19.69921875" style="382" customWidth="1"/>
    <col min="9996" max="9998" width="16" style="382" customWidth="1"/>
    <col min="9999" max="9999" width="14.796875" style="382" customWidth="1"/>
    <col min="10000" max="10000" width="17.296875" style="382" customWidth="1"/>
    <col min="10001" max="10001" width="14.796875" style="382" customWidth="1"/>
    <col min="10002" max="10010" width="9" style="382" customWidth="1"/>
    <col min="10011" max="10011" width="7.19921875" style="382" bestFit="1" customWidth="1"/>
    <col min="10012" max="10013" width="9" style="382" customWidth="1"/>
    <col min="10014" max="10018" width="10.296875" style="382" customWidth="1"/>
    <col min="10019" max="10240" width="9" style="382" customWidth="1"/>
    <col min="10241" max="10241" width="60.296875" style="382" customWidth="1"/>
    <col min="10242" max="10242" width="2.796875" style="382" customWidth="1"/>
    <col min="10243" max="10243" width="14.796875" style="382" customWidth="1"/>
    <col min="10244" max="10244" width="13.796875" style="382" bestFit="1" customWidth="1"/>
    <col min="10245" max="10245" width="15.296875" style="382" customWidth="1"/>
    <col min="10246" max="10246" width="14.19921875" style="382" customWidth="1"/>
    <col min="10247" max="10247" width="15.19921875" style="382" customWidth="1"/>
    <col min="10248" max="10248" width="13.296875" style="382" customWidth="1"/>
    <col min="10249" max="10249" width="17.296875" style="382" customWidth="1"/>
    <col min="10250" max="10250" width="15.19921875" style="382" customWidth="1"/>
    <col min="10251" max="10251" width="19.69921875" style="382" customWidth="1"/>
    <col min="10252" max="10254" width="16" style="382" customWidth="1"/>
    <col min="10255" max="10255" width="14.796875" style="382" customWidth="1"/>
    <col min="10256" max="10256" width="17.296875" style="382" customWidth="1"/>
    <col min="10257" max="10257" width="14.796875" style="382" customWidth="1"/>
    <col min="10258" max="10266" width="9" style="382" customWidth="1"/>
    <col min="10267" max="10267" width="7.19921875" style="382" bestFit="1" customWidth="1"/>
    <col min="10268" max="10269" width="9" style="382" customWidth="1"/>
    <col min="10270" max="10274" width="10.296875" style="382" customWidth="1"/>
    <col min="10275" max="10496" width="9" style="382" customWidth="1"/>
    <col min="10497" max="10497" width="60.296875" style="382" customWidth="1"/>
    <col min="10498" max="10498" width="2.796875" style="382" customWidth="1"/>
    <col min="10499" max="10499" width="14.796875" style="382" customWidth="1"/>
    <col min="10500" max="10500" width="13.796875" style="382" bestFit="1" customWidth="1"/>
    <col min="10501" max="10501" width="15.296875" style="382" customWidth="1"/>
    <col min="10502" max="10502" width="14.19921875" style="382" customWidth="1"/>
    <col min="10503" max="10503" width="15.19921875" style="382" customWidth="1"/>
    <col min="10504" max="10504" width="13.296875" style="382" customWidth="1"/>
    <col min="10505" max="10505" width="17.296875" style="382" customWidth="1"/>
    <col min="10506" max="10506" width="15.19921875" style="382" customWidth="1"/>
    <col min="10507" max="10507" width="19.69921875" style="382" customWidth="1"/>
    <col min="10508" max="10510" width="16" style="382" customWidth="1"/>
    <col min="10511" max="10511" width="14.796875" style="382" customWidth="1"/>
    <col min="10512" max="10512" width="17.296875" style="382" customWidth="1"/>
    <col min="10513" max="10513" width="14.796875" style="382" customWidth="1"/>
    <col min="10514" max="10522" width="9" style="382" customWidth="1"/>
    <col min="10523" max="10523" width="7.19921875" style="382" bestFit="1" customWidth="1"/>
    <col min="10524" max="10525" width="9" style="382" customWidth="1"/>
    <col min="10526" max="10530" width="10.296875" style="382" customWidth="1"/>
    <col min="10531" max="10752" width="9" style="382" customWidth="1"/>
    <col min="10753" max="10753" width="60.296875" style="382" customWidth="1"/>
    <col min="10754" max="10754" width="2.796875" style="382" customWidth="1"/>
    <col min="10755" max="10755" width="14.796875" style="382" customWidth="1"/>
    <col min="10756" max="10756" width="13.796875" style="382" bestFit="1" customWidth="1"/>
    <col min="10757" max="10757" width="15.296875" style="382" customWidth="1"/>
    <col min="10758" max="10758" width="14.19921875" style="382" customWidth="1"/>
    <col min="10759" max="10759" width="15.19921875" style="382" customWidth="1"/>
    <col min="10760" max="10760" width="13.296875" style="382" customWidth="1"/>
    <col min="10761" max="10761" width="17.296875" style="382" customWidth="1"/>
    <col min="10762" max="10762" width="15.19921875" style="382" customWidth="1"/>
    <col min="10763" max="10763" width="19.69921875" style="382" customWidth="1"/>
    <col min="10764" max="10766" width="16" style="382" customWidth="1"/>
    <col min="10767" max="10767" width="14.796875" style="382" customWidth="1"/>
    <col min="10768" max="10768" width="17.296875" style="382" customWidth="1"/>
    <col min="10769" max="10769" width="14.796875" style="382" customWidth="1"/>
    <col min="10770" max="10778" width="9" style="382" customWidth="1"/>
    <col min="10779" max="10779" width="7.19921875" style="382" bestFit="1" customWidth="1"/>
    <col min="10780" max="10781" width="9" style="382" customWidth="1"/>
    <col min="10782" max="10786" width="10.296875" style="382" customWidth="1"/>
    <col min="10787" max="11008" width="9" style="382" customWidth="1"/>
    <col min="11009" max="11009" width="60.296875" style="382" customWidth="1"/>
    <col min="11010" max="11010" width="2.796875" style="382" customWidth="1"/>
    <col min="11011" max="11011" width="14.796875" style="382" customWidth="1"/>
    <col min="11012" max="11012" width="13.796875" style="382" bestFit="1" customWidth="1"/>
    <col min="11013" max="11013" width="15.296875" style="382" customWidth="1"/>
    <col min="11014" max="11014" width="14.19921875" style="382" customWidth="1"/>
    <col min="11015" max="11015" width="15.19921875" style="382" customWidth="1"/>
    <col min="11016" max="11016" width="13.296875" style="382" customWidth="1"/>
    <col min="11017" max="11017" width="17.296875" style="382" customWidth="1"/>
    <col min="11018" max="11018" width="15.19921875" style="382" customWidth="1"/>
    <col min="11019" max="11019" width="19.69921875" style="382" customWidth="1"/>
    <col min="11020" max="11022" width="16" style="382" customWidth="1"/>
    <col min="11023" max="11023" width="14.796875" style="382" customWidth="1"/>
    <col min="11024" max="11024" width="17.296875" style="382" customWidth="1"/>
    <col min="11025" max="11025" width="14.796875" style="382" customWidth="1"/>
    <col min="11026" max="11034" width="9" style="382" customWidth="1"/>
    <col min="11035" max="11035" width="7.19921875" style="382" bestFit="1" customWidth="1"/>
    <col min="11036" max="11037" width="9" style="382" customWidth="1"/>
    <col min="11038" max="11042" width="10.296875" style="382" customWidth="1"/>
    <col min="11043" max="11264" width="9" style="382" customWidth="1"/>
    <col min="11265" max="11265" width="60.296875" style="382" customWidth="1"/>
    <col min="11266" max="11266" width="2.796875" style="382" customWidth="1"/>
    <col min="11267" max="11267" width="14.796875" style="382" customWidth="1"/>
    <col min="11268" max="11268" width="13.796875" style="382" bestFit="1" customWidth="1"/>
    <col min="11269" max="11269" width="15.296875" style="382" customWidth="1"/>
    <col min="11270" max="11270" width="14.19921875" style="382" customWidth="1"/>
    <col min="11271" max="11271" width="15.19921875" style="382" customWidth="1"/>
    <col min="11272" max="11272" width="13.296875" style="382" customWidth="1"/>
    <col min="11273" max="11273" width="17.296875" style="382" customWidth="1"/>
    <col min="11274" max="11274" width="15.19921875" style="382" customWidth="1"/>
    <col min="11275" max="11275" width="19.69921875" style="382" customWidth="1"/>
    <col min="11276" max="11278" width="16" style="382" customWidth="1"/>
    <col min="11279" max="11279" width="14.796875" style="382" customWidth="1"/>
    <col min="11280" max="11280" width="17.296875" style="382" customWidth="1"/>
    <col min="11281" max="11281" width="14.796875" style="382" customWidth="1"/>
    <col min="11282" max="11290" width="9" style="382" customWidth="1"/>
    <col min="11291" max="11291" width="7.19921875" style="382" bestFit="1" customWidth="1"/>
    <col min="11292" max="11293" width="9" style="382" customWidth="1"/>
    <col min="11294" max="11298" width="10.296875" style="382" customWidth="1"/>
    <col min="11299" max="11520" width="9" style="382" customWidth="1"/>
    <col min="11521" max="11521" width="60.296875" style="382" customWidth="1"/>
    <col min="11522" max="11522" width="2.796875" style="382" customWidth="1"/>
    <col min="11523" max="11523" width="14.796875" style="382" customWidth="1"/>
    <col min="11524" max="11524" width="13.796875" style="382" bestFit="1" customWidth="1"/>
    <col min="11525" max="11525" width="15.296875" style="382" customWidth="1"/>
    <col min="11526" max="11526" width="14.19921875" style="382" customWidth="1"/>
    <col min="11527" max="11527" width="15.19921875" style="382" customWidth="1"/>
    <col min="11528" max="11528" width="13.296875" style="382" customWidth="1"/>
    <col min="11529" max="11529" width="17.296875" style="382" customWidth="1"/>
    <col min="11530" max="11530" width="15.19921875" style="382" customWidth="1"/>
    <col min="11531" max="11531" width="19.69921875" style="382" customWidth="1"/>
    <col min="11532" max="11534" width="16" style="382" customWidth="1"/>
    <col min="11535" max="11535" width="14.796875" style="382" customWidth="1"/>
    <col min="11536" max="11536" width="17.296875" style="382" customWidth="1"/>
    <col min="11537" max="11537" width="14.796875" style="382" customWidth="1"/>
    <col min="11538" max="11546" width="9" style="382" customWidth="1"/>
    <col min="11547" max="11547" width="7.19921875" style="382" bestFit="1" customWidth="1"/>
    <col min="11548" max="11549" width="9" style="382" customWidth="1"/>
    <col min="11550" max="11554" width="10.296875" style="382" customWidth="1"/>
    <col min="11555" max="11776" width="9" style="382" customWidth="1"/>
    <col min="11777" max="11777" width="60.296875" style="382" customWidth="1"/>
    <col min="11778" max="11778" width="2.796875" style="382" customWidth="1"/>
    <col min="11779" max="11779" width="14.796875" style="382" customWidth="1"/>
    <col min="11780" max="11780" width="13.796875" style="382" bestFit="1" customWidth="1"/>
    <col min="11781" max="11781" width="15.296875" style="382" customWidth="1"/>
    <col min="11782" max="11782" width="14.19921875" style="382" customWidth="1"/>
    <col min="11783" max="11783" width="15.19921875" style="382" customWidth="1"/>
    <col min="11784" max="11784" width="13.296875" style="382" customWidth="1"/>
    <col min="11785" max="11785" width="17.296875" style="382" customWidth="1"/>
    <col min="11786" max="11786" width="15.19921875" style="382" customWidth="1"/>
    <col min="11787" max="11787" width="19.69921875" style="382" customWidth="1"/>
    <col min="11788" max="11790" width="16" style="382" customWidth="1"/>
    <col min="11791" max="11791" width="14.796875" style="382" customWidth="1"/>
    <col min="11792" max="11792" width="17.296875" style="382" customWidth="1"/>
    <col min="11793" max="11793" width="14.796875" style="382" customWidth="1"/>
    <col min="11794" max="11802" width="9" style="382" customWidth="1"/>
    <col min="11803" max="11803" width="7.19921875" style="382" bestFit="1" customWidth="1"/>
    <col min="11804" max="11805" width="9" style="382" customWidth="1"/>
    <col min="11806" max="11810" width="10.296875" style="382" customWidth="1"/>
    <col min="11811" max="12032" width="9" style="382" customWidth="1"/>
    <col min="12033" max="12033" width="60.296875" style="382" customWidth="1"/>
    <col min="12034" max="12034" width="2.796875" style="382" customWidth="1"/>
    <col min="12035" max="12035" width="14.796875" style="382" customWidth="1"/>
    <col min="12036" max="12036" width="13.796875" style="382" bestFit="1" customWidth="1"/>
    <col min="12037" max="12037" width="15.296875" style="382" customWidth="1"/>
    <col min="12038" max="12038" width="14.19921875" style="382" customWidth="1"/>
    <col min="12039" max="12039" width="15.19921875" style="382" customWidth="1"/>
    <col min="12040" max="12040" width="13.296875" style="382" customWidth="1"/>
    <col min="12041" max="12041" width="17.296875" style="382" customWidth="1"/>
    <col min="12042" max="12042" width="15.19921875" style="382" customWidth="1"/>
    <col min="12043" max="12043" width="19.69921875" style="382" customWidth="1"/>
    <col min="12044" max="12046" width="16" style="382" customWidth="1"/>
    <col min="12047" max="12047" width="14.796875" style="382" customWidth="1"/>
    <col min="12048" max="12048" width="17.296875" style="382" customWidth="1"/>
    <col min="12049" max="12049" width="14.796875" style="382" customWidth="1"/>
    <col min="12050" max="12058" width="9" style="382" customWidth="1"/>
    <col min="12059" max="12059" width="7.19921875" style="382" bestFit="1" customWidth="1"/>
    <col min="12060" max="12061" width="9" style="382" customWidth="1"/>
    <col min="12062" max="12066" width="10.296875" style="382" customWidth="1"/>
    <col min="12067" max="12288" width="9" style="382" customWidth="1"/>
    <col min="12289" max="12289" width="60.296875" style="382" customWidth="1"/>
    <col min="12290" max="12290" width="2.796875" style="382" customWidth="1"/>
    <col min="12291" max="12291" width="14.796875" style="382" customWidth="1"/>
    <col min="12292" max="12292" width="13.796875" style="382" bestFit="1" customWidth="1"/>
    <col min="12293" max="12293" width="15.296875" style="382" customWidth="1"/>
    <col min="12294" max="12294" width="14.19921875" style="382" customWidth="1"/>
    <col min="12295" max="12295" width="15.19921875" style="382" customWidth="1"/>
    <col min="12296" max="12296" width="13.296875" style="382" customWidth="1"/>
    <col min="12297" max="12297" width="17.296875" style="382" customWidth="1"/>
    <col min="12298" max="12298" width="15.19921875" style="382" customWidth="1"/>
    <col min="12299" max="12299" width="19.69921875" style="382" customWidth="1"/>
    <col min="12300" max="12302" width="16" style="382" customWidth="1"/>
    <col min="12303" max="12303" width="14.796875" style="382" customWidth="1"/>
    <col min="12304" max="12304" width="17.296875" style="382" customWidth="1"/>
    <col min="12305" max="12305" width="14.796875" style="382" customWidth="1"/>
    <col min="12306" max="12314" width="9" style="382" customWidth="1"/>
    <col min="12315" max="12315" width="7.19921875" style="382" bestFit="1" customWidth="1"/>
    <col min="12316" max="12317" width="9" style="382" customWidth="1"/>
    <col min="12318" max="12322" width="10.296875" style="382" customWidth="1"/>
    <col min="12323" max="12544" width="9" style="382" customWidth="1"/>
    <col min="12545" max="12545" width="60.296875" style="382" customWidth="1"/>
    <col min="12546" max="12546" width="2.796875" style="382" customWidth="1"/>
    <col min="12547" max="12547" width="14.796875" style="382" customWidth="1"/>
    <col min="12548" max="12548" width="13.796875" style="382" bestFit="1" customWidth="1"/>
    <col min="12549" max="12549" width="15.296875" style="382" customWidth="1"/>
    <col min="12550" max="12550" width="14.19921875" style="382" customWidth="1"/>
    <col min="12551" max="12551" width="15.19921875" style="382" customWidth="1"/>
    <col min="12552" max="12552" width="13.296875" style="382" customWidth="1"/>
    <col min="12553" max="12553" width="17.296875" style="382" customWidth="1"/>
    <col min="12554" max="12554" width="15.19921875" style="382" customWidth="1"/>
    <col min="12555" max="12555" width="19.69921875" style="382" customWidth="1"/>
    <col min="12556" max="12558" width="16" style="382" customWidth="1"/>
    <col min="12559" max="12559" width="14.796875" style="382" customWidth="1"/>
    <col min="12560" max="12560" width="17.296875" style="382" customWidth="1"/>
    <col min="12561" max="12561" width="14.796875" style="382" customWidth="1"/>
    <col min="12562" max="12570" width="9" style="382" customWidth="1"/>
    <col min="12571" max="12571" width="7.19921875" style="382" bestFit="1" customWidth="1"/>
    <col min="12572" max="12573" width="9" style="382" customWidth="1"/>
    <col min="12574" max="12578" width="10.296875" style="382" customWidth="1"/>
    <col min="12579" max="12800" width="9" style="382" customWidth="1"/>
    <col min="12801" max="12801" width="60.296875" style="382" customWidth="1"/>
    <col min="12802" max="12802" width="2.796875" style="382" customWidth="1"/>
    <col min="12803" max="12803" width="14.796875" style="382" customWidth="1"/>
    <col min="12804" max="12804" width="13.796875" style="382" bestFit="1" customWidth="1"/>
    <col min="12805" max="12805" width="15.296875" style="382" customWidth="1"/>
    <col min="12806" max="12806" width="14.19921875" style="382" customWidth="1"/>
    <col min="12807" max="12807" width="15.19921875" style="382" customWidth="1"/>
    <col min="12808" max="12808" width="13.296875" style="382" customWidth="1"/>
    <col min="12809" max="12809" width="17.296875" style="382" customWidth="1"/>
    <col min="12810" max="12810" width="15.19921875" style="382" customWidth="1"/>
    <col min="12811" max="12811" width="19.69921875" style="382" customWidth="1"/>
    <col min="12812" max="12814" width="16" style="382" customWidth="1"/>
    <col min="12815" max="12815" width="14.796875" style="382" customWidth="1"/>
    <col min="12816" max="12816" width="17.296875" style="382" customWidth="1"/>
    <col min="12817" max="12817" width="14.796875" style="382" customWidth="1"/>
    <col min="12818" max="12826" width="9" style="382" customWidth="1"/>
    <col min="12827" max="12827" width="7.19921875" style="382" bestFit="1" customWidth="1"/>
    <col min="12828" max="12829" width="9" style="382" customWidth="1"/>
    <col min="12830" max="12834" width="10.296875" style="382" customWidth="1"/>
    <col min="12835" max="13056" width="9" style="382" customWidth="1"/>
    <col min="13057" max="13057" width="60.296875" style="382" customWidth="1"/>
    <col min="13058" max="13058" width="2.796875" style="382" customWidth="1"/>
    <col min="13059" max="13059" width="14.796875" style="382" customWidth="1"/>
    <col min="13060" max="13060" width="13.796875" style="382" bestFit="1" customWidth="1"/>
    <col min="13061" max="13061" width="15.296875" style="382" customWidth="1"/>
    <col min="13062" max="13062" width="14.19921875" style="382" customWidth="1"/>
    <col min="13063" max="13063" width="15.19921875" style="382" customWidth="1"/>
    <col min="13064" max="13064" width="13.296875" style="382" customWidth="1"/>
    <col min="13065" max="13065" width="17.296875" style="382" customWidth="1"/>
    <col min="13066" max="13066" width="15.19921875" style="382" customWidth="1"/>
    <col min="13067" max="13067" width="19.69921875" style="382" customWidth="1"/>
    <col min="13068" max="13070" width="16" style="382" customWidth="1"/>
    <col min="13071" max="13071" width="14.796875" style="382" customWidth="1"/>
    <col min="13072" max="13072" width="17.296875" style="382" customWidth="1"/>
    <col min="13073" max="13073" width="14.796875" style="382" customWidth="1"/>
    <col min="13074" max="13082" width="9" style="382" customWidth="1"/>
    <col min="13083" max="13083" width="7.19921875" style="382" bestFit="1" customWidth="1"/>
    <col min="13084" max="13085" width="9" style="382" customWidth="1"/>
    <col min="13086" max="13090" width="10.296875" style="382" customWidth="1"/>
    <col min="13091" max="13312" width="9" style="382" customWidth="1"/>
    <col min="13313" max="13313" width="60.296875" style="382" customWidth="1"/>
    <col min="13314" max="13314" width="2.796875" style="382" customWidth="1"/>
    <col min="13315" max="13315" width="14.796875" style="382" customWidth="1"/>
    <col min="13316" max="13316" width="13.796875" style="382" bestFit="1" customWidth="1"/>
    <col min="13317" max="13317" width="15.296875" style="382" customWidth="1"/>
    <col min="13318" max="13318" width="14.19921875" style="382" customWidth="1"/>
    <col min="13319" max="13319" width="15.19921875" style="382" customWidth="1"/>
    <col min="13320" max="13320" width="13.296875" style="382" customWidth="1"/>
    <col min="13321" max="13321" width="17.296875" style="382" customWidth="1"/>
    <col min="13322" max="13322" width="15.19921875" style="382" customWidth="1"/>
    <col min="13323" max="13323" width="19.69921875" style="382" customWidth="1"/>
    <col min="13324" max="13326" width="16" style="382" customWidth="1"/>
    <col min="13327" max="13327" width="14.796875" style="382" customWidth="1"/>
    <col min="13328" max="13328" width="17.296875" style="382" customWidth="1"/>
    <col min="13329" max="13329" width="14.796875" style="382" customWidth="1"/>
    <col min="13330" max="13338" width="9" style="382" customWidth="1"/>
    <col min="13339" max="13339" width="7.19921875" style="382" bestFit="1" customWidth="1"/>
    <col min="13340" max="13341" width="9" style="382" customWidth="1"/>
    <col min="13342" max="13346" width="10.296875" style="382" customWidth="1"/>
    <col min="13347" max="13568" width="9" style="382" customWidth="1"/>
    <col min="13569" max="13569" width="60.296875" style="382" customWidth="1"/>
    <col min="13570" max="13570" width="2.796875" style="382" customWidth="1"/>
    <col min="13571" max="13571" width="14.796875" style="382" customWidth="1"/>
    <col min="13572" max="13572" width="13.796875" style="382" bestFit="1" customWidth="1"/>
    <col min="13573" max="13573" width="15.296875" style="382" customWidth="1"/>
    <col min="13574" max="13574" width="14.19921875" style="382" customWidth="1"/>
    <col min="13575" max="13575" width="15.19921875" style="382" customWidth="1"/>
    <col min="13576" max="13576" width="13.296875" style="382" customWidth="1"/>
    <col min="13577" max="13577" width="17.296875" style="382" customWidth="1"/>
    <col min="13578" max="13578" width="15.19921875" style="382" customWidth="1"/>
    <col min="13579" max="13579" width="19.69921875" style="382" customWidth="1"/>
    <col min="13580" max="13582" width="16" style="382" customWidth="1"/>
    <col min="13583" max="13583" width="14.796875" style="382" customWidth="1"/>
    <col min="13584" max="13584" width="17.296875" style="382" customWidth="1"/>
    <col min="13585" max="13585" width="14.796875" style="382" customWidth="1"/>
    <col min="13586" max="13594" width="9" style="382" customWidth="1"/>
    <col min="13595" max="13595" width="7.19921875" style="382" bestFit="1" customWidth="1"/>
    <col min="13596" max="13597" width="9" style="382" customWidth="1"/>
    <col min="13598" max="13602" width="10.296875" style="382" customWidth="1"/>
    <col min="13603" max="13824" width="9" style="382" customWidth="1"/>
    <col min="13825" max="13825" width="60.296875" style="382" customWidth="1"/>
    <col min="13826" max="13826" width="2.796875" style="382" customWidth="1"/>
    <col min="13827" max="13827" width="14.796875" style="382" customWidth="1"/>
    <col min="13828" max="13828" width="13.796875" style="382" bestFit="1" customWidth="1"/>
    <col min="13829" max="13829" width="15.296875" style="382" customWidth="1"/>
    <col min="13830" max="13830" width="14.19921875" style="382" customWidth="1"/>
    <col min="13831" max="13831" width="15.19921875" style="382" customWidth="1"/>
    <col min="13832" max="13832" width="13.296875" style="382" customWidth="1"/>
    <col min="13833" max="13833" width="17.296875" style="382" customWidth="1"/>
    <col min="13834" max="13834" width="15.19921875" style="382" customWidth="1"/>
    <col min="13835" max="13835" width="19.69921875" style="382" customWidth="1"/>
    <col min="13836" max="13838" width="16" style="382" customWidth="1"/>
    <col min="13839" max="13839" width="14.796875" style="382" customWidth="1"/>
    <col min="13840" max="13840" width="17.296875" style="382" customWidth="1"/>
    <col min="13841" max="13841" width="14.796875" style="382" customWidth="1"/>
    <col min="13842" max="13850" width="9" style="382" customWidth="1"/>
    <col min="13851" max="13851" width="7.19921875" style="382" bestFit="1" customWidth="1"/>
    <col min="13852" max="13853" width="9" style="382" customWidth="1"/>
    <col min="13854" max="13858" width="10.296875" style="382" customWidth="1"/>
    <col min="13859" max="14080" width="9" style="382" customWidth="1"/>
    <col min="14081" max="14081" width="60.296875" style="382" customWidth="1"/>
    <col min="14082" max="14082" width="2.796875" style="382" customWidth="1"/>
    <col min="14083" max="14083" width="14.796875" style="382" customWidth="1"/>
    <col min="14084" max="14084" width="13.796875" style="382" bestFit="1" customWidth="1"/>
    <col min="14085" max="14085" width="15.296875" style="382" customWidth="1"/>
    <col min="14086" max="14086" width="14.19921875" style="382" customWidth="1"/>
    <col min="14087" max="14087" width="15.19921875" style="382" customWidth="1"/>
    <col min="14088" max="14088" width="13.296875" style="382" customWidth="1"/>
    <col min="14089" max="14089" width="17.296875" style="382" customWidth="1"/>
    <col min="14090" max="14090" width="15.19921875" style="382" customWidth="1"/>
    <col min="14091" max="14091" width="19.69921875" style="382" customWidth="1"/>
    <col min="14092" max="14094" width="16" style="382" customWidth="1"/>
    <col min="14095" max="14095" width="14.796875" style="382" customWidth="1"/>
    <col min="14096" max="14096" width="17.296875" style="382" customWidth="1"/>
    <col min="14097" max="14097" width="14.796875" style="382" customWidth="1"/>
    <col min="14098" max="14106" width="9" style="382" customWidth="1"/>
    <col min="14107" max="14107" width="7.19921875" style="382" bestFit="1" customWidth="1"/>
    <col min="14108" max="14109" width="9" style="382" customWidth="1"/>
    <col min="14110" max="14114" width="10.296875" style="382" customWidth="1"/>
    <col min="14115" max="14336" width="9" style="382" customWidth="1"/>
    <col min="14337" max="14337" width="60.296875" style="382" customWidth="1"/>
    <col min="14338" max="14338" width="2.796875" style="382" customWidth="1"/>
    <col min="14339" max="14339" width="14.796875" style="382" customWidth="1"/>
    <col min="14340" max="14340" width="13.796875" style="382" bestFit="1" customWidth="1"/>
    <col min="14341" max="14341" width="15.296875" style="382" customWidth="1"/>
    <col min="14342" max="14342" width="14.19921875" style="382" customWidth="1"/>
    <col min="14343" max="14343" width="15.19921875" style="382" customWidth="1"/>
    <col min="14344" max="14344" width="13.296875" style="382" customWidth="1"/>
    <col min="14345" max="14345" width="17.296875" style="382" customWidth="1"/>
    <col min="14346" max="14346" width="15.19921875" style="382" customWidth="1"/>
    <col min="14347" max="14347" width="19.69921875" style="382" customWidth="1"/>
    <col min="14348" max="14350" width="16" style="382" customWidth="1"/>
    <col min="14351" max="14351" width="14.796875" style="382" customWidth="1"/>
    <col min="14352" max="14352" width="17.296875" style="382" customWidth="1"/>
    <col min="14353" max="14353" width="14.796875" style="382" customWidth="1"/>
    <col min="14354" max="14362" width="9" style="382" customWidth="1"/>
    <col min="14363" max="14363" width="7.19921875" style="382" bestFit="1" customWidth="1"/>
    <col min="14364" max="14365" width="9" style="382" customWidth="1"/>
    <col min="14366" max="14370" width="10.296875" style="382" customWidth="1"/>
    <col min="14371" max="14592" width="9" style="382" customWidth="1"/>
    <col min="14593" max="14593" width="60.296875" style="382" customWidth="1"/>
    <col min="14594" max="14594" width="2.796875" style="382" customWidth="1"/>
    <col min="14595" max="14595" width="14.796875" style="382" customWidth="1"/>
    <col min="14596" max="14596" width="13.796875" style="382" bestFit="1" customWidth="1"/>
    <col min="14597" max="14597" width="15.296875" style="382" customWidth="1"/>
    <col min="14598" max="14598" width="14.19921875" style="382" customWidth="1"/>
    <col min="14599" max="14599" width="15.19921875" style="382" customWidth="1"/>
    <col min="14600" max="14600" width="13.296875" style="382" customWidth="1"/>
    <col min="14601" max="14601" width="17.296875" style="382" customWidth="1"/>
    <col min="14602" max="14602" width="15.19921875" style="382" customWidth="1"/>
    <col min="14603" max="14603" width="19.69921875" style="382" customWidth="1"/>
    <col min="14604" max="14606" width="16" style="382" customWidth="1"/>
    <col min="14607" max="14607" width="14.796875" style="382" customWidth="1"/>
    <col min="14608" max="14608" width="17.296875" style="382" customWidth="1"/>
    <col min="14609" max="14609" width="14.796875" style="382" customWidth="1"/>
    <col min="14610" max="14618" width="9" style="382" customWidth="1"/>
    <col min="14619" max="14619" width="7.19921875" style="382" bestFit="1" customWidth="1"/>
    <col min="14620" max="14621" width="9" style="382" customWidth="1"/>
    <col min="14622" max="14626" width="10.296875" style="382" customWidth="1"/>
    <col min="14627" max="14848" width="9" style="382" customWidth="1"/>
    <col min="14849" max="14849" width="60.296875" style="382" customWidth="1"/>
    <col min="14850" max="14850" width="2.796875" style="382" customWidth="1"/>
    <col min="14851" max="14851" width="14.796875" style="382" customWidth="1"/>
    <col min="14852" max="14852" width="13.796875" style="382" bestFit="1" customWidth="1"/>
    <col min="14853" max="14853" width="15.296875" style="382" customWidth="1"/>
    <col min="14854" max="14854" width="14.19921875" style="382" customWidth="1"/>
    <col min="14855" max="14855" width="15.19921875" style="382" customWidth="1"/>
    <col min="14856" max="14856" width="13.296875" style="382" customWidth="1"/>
    <col min="14857" max="14857" width="17.296875" style="382" customWidth="1"/>
    <col min="14858" max="14858" width="15.19921875" style="382" customWidth="1"/>
    <col min="14859" max="14859" width="19.69921875" style="382" customWidth="1"/>
    <col min="14860" max="14862" width="16" style="382" customWidth="1"/>
    <col min="14863" max="14863" width="14.796875" style="382" customWidth="1"/>
    <col min="14864" max="14864" width="17.296875" style="382" customWidth="1"/>
    <col min="14865" max="14865" width="14.796875" style="382" customWidth="1"/>
    <col min="14866" max="14874" width="9" style="382" customWidth="1"/>
    <col min="14875" max="14875" width="7.19921875" style="382" bestFit="1" customWidth="1"/>
    <col min="14876" max="14877" width="9" style="382" customWidth="1"/>
    <col min="14878" max="14882" width="10.296875" style="382" customWidth="1"/>
    <col min="14883" max="15104" width="9" style="382" customWidth="1"/>
    <col min="15105" max="15105" width="60.296875" style="382" customWidth="1"/>
    <col min="15106" max="15106" width="2.796875" style="382" customWidth="1"/>
    <col min="15107" max="15107" width="14.796875" style="382" customWidth="1"/>
    <col min="15108" max="15108" width="13.796875" style="382" bestFit="1" customWidth="1"/>
    <col min="15109" max="15109" width="15.296875" style="382" customWidth="1"/>
    <col min="15110" max="15110" width="14.19921875" style="382" customWidth="1"/>
    <col min="15111" max="15111" width="15.19921875" style="382" customWidth="1"/>
    <col min="15112" max="15112" width="13.296875" style="382" customWidth="1"/>
    <col min="15113" max="15113" width="17.296875" style="382" customWidth="1"/>
    <col min="15114" max="15114" width="15.19921875" style="382" customWidth="1"/>
    <col min="15115" max="15115" width="19.69921875" style="382" customWidth="1"/>
    <col min="15116" max="15118" width="16" style="382" customWidth="1"/>
    <col min="15119" max="15119" width="14.796875" style="382" customWidth="1"/>
    <col min="15120" max="15120" width="17.296875" style="382" customWidth="1"/>
    <col min="15121" max="15121" width="14.796875" style="382" customWidth="1"/>
    <col min="15122" max="15130" width="9" style="382" customWidth="1"/>
    <col min="15131" max="15131" width="7.19921875" style="382" bestFit="1" customWidth="1"/>
    <col min="15132" max="15133" width="9" style="382" customWidth="1"/>
    <col min="15134" max="15138" width="10.296875" style="382" customWidth="1"/>
    <col min="15139" max="15360" width="9" style="382" customWidth="1"/>
    <col min="15361" max="15361" width="60.296875" style="382" customWidth="1"/>
    <col min="15362" max="15362" width="2.796875" style="382" customWidth="1"/>
    <col min="15363" max="15363" width="14.796875" style="382" customWidth="1"/>
    <col min="15364" max="15364" width="13.796875" style="382" bestFit="1" customWidth="1"/>
    <col min="15365" max="15365" width="15.296875" style="382" customWidth="1"/>
    <col min="15366" max="15366" width="14.19921875" style="382" customWidth="1"/>
    <col min="15367" max="15367" width="15.19921875" style="382" customWidth="1"/>
    <col min="15368" max="15368" width="13.296875" style="382" customWidth="1"/>
    <col min="15369" max="15369" width="17.296875" style="382" customWidth="1"/>
    <col min="15370" max="15370" width="15.19921875" style="382" customWidth="1"/>
    <col min="15371" max="15371" width="19.69921875" style="382" customWidth="1"/>
    <col min="15372" max="15374" width="16" style="382" customWidth="1"/>
    <col min="15375" max="15375" width="14.796875" style="382" customWidth="1"/>
    <col min="15376" max="15376" width="17.296875" style="382" customWidth="1"/>
    <col min="15377" max="15377" width="14.796875" style="382" customWidth="1"/>
    <col min="15378" max="15386" width="9" style="382" customWidth="1"/>
    <col min="15387" max="15387" width="7.19921875" style="382" bestFit="1" customWidth="1"/>
    <col min="15388" max="15389" width="9" style="382" customWidth="1"/>
    <col min="15390" max="15394" width="10.296875" style="382" customWidth="1"/>
    <col min="15395" max="15616" width="9" style="382" customWidth="1"/>
    <col min="15617" max="15617" width="60.296875" style="382" customWidth="1"/>
    <col min="15618" max="15618" width="2.796875" style="382" customWidth="1"/>
    <col min="15619" max="15619" width="14.796875" style="382" customWidth="1"/>
    <col min="15620" max="15620" width="13.796875" style="382" bestFit="1" customWidth="1"/>
    <col min="15621" max="15621" width="15.296875" style="382" customWidth="1"/>
    <col min="15622" max="15622" width="14.19921875" style="382" customWidth="1"/>
    <col min="15623" max="15623" width="15.19921875" style="382" customWidth="1"/>
    <col min="15624" max="15624" width="13.296875" style="382" customWidth="1"/>
    <col min="15625" max="15625" width="17.296875" style="382" customWidth="1"/>
    <col min="15626" max="15626" width="15.19921875" style="382" customWidth="1"/>
    <col min="15627" max="15627" width="19.69921875" style="382" customWidth="1"/>
    <col min="15628" max="15630" width="16" style="382" customWidth="1"/>
    <col min="15631" max="15631" width="14.796875" style="382" customWidth="1"/>
    <col min="15632" max="15632" width="17.296875" style="382" customWidth="1"/>
    <col min="15633" max="15633" width="14.796875" style="382" customWidth="1"/>
    <col min="15634" max="15642" width="9" style="382" customWidth="1"/>
    <col min="15643" max="15643" width="7.19921875" style="382" bestFit="1" customWidth="1"/>
    <col min="15644" max="15645" width="9" style="382" customWidth="1"/>
    <col min="15646" max="15650" width="10.296875" style="382" customWidth="1"/>
    <col min="15651" max="15872" width="9" style="382" customWidth="1"/>
    <col min="15873" max="15873" width="60.296875" style="382" customWidth="1"/>
    <col min="15874" max="15874" width="2.796875" style="382" customWidth="1"/>
    <col min="15875" max="15875" width="14.796875" style="382" customWidth="1"/>
    <col min="15876" max="15876" width="13.796875" style="382" bestFit="1" customWidth="1"/>
    <col min="15877" max="15877" width="15.296875" style="382" customWidth="1"/>
    <col min="15878" max="15878" width="14.19921875" style="382" customWidth="1"/>
    <col min="15879" max="15879" width="15.19921875" style="382" customWidth="1"/>
    <col min="15880" max="15880" width="13.296875" style="382" customWidth="1"/>
    <col min="15881" max="15881" width="17.296875" style="382" customWidth="1"/>
    <col min="15882" max="15882" width="15.19921875" style="382" customWidth="1"/>
    <col min="15883" max="15883" width="19.69921875" style="382" customWidth="1"/>
    <col min="15884" max="15886" width="16" style="382" customWidth="1"/>
    <col min="15887" max="15887" width="14.796875" style="382" customWidth="1"/>
    <col min="15888" max="15888" width="17.296875" style="382" customWidth="1"/>
    <col min="15889" max="15889" width="14.796875" style="382" customWidth="1"/>
    <col min="15890" max="15898" width="9" style="382" customWidth="1"/>
    <col min="15899" max="15899" width="7.19921875" style="382" bestFit="1" customWidth="1"/>
    <col min="15900" max="15901" width="9" style="382" customWidth="1"/>
    <col min="15902" max="15906" width="10.296875" style="382" customWidth="1"/>
    <col min="15907" max="16128" width="9" style="382" customWidth="1"/>
    <col min="16129" max="16129" width="60.296875" style="382" customWidth="1"/>
    <col min="16130" max="16130" width="2.796875" style="382" customWidth="1"/>
    <col min="16131" max="16131" width="14.796875" style="382" customWidth="1"/>
    <col min="16132" max="16132" width="13.796875" style="382" bestFit="1" customWidth="1"/>
    <col min="16133" max="16133" width="15.296875" style="382" customWidth="1"/>
    <col min="16134" max="16134" width="14.19921875" style="382" customWidth="1"/>
    <col min="16135" max="16135" width="15.19921875" style="382" customWidth="1"/>
    <col min="16136" max="16136" width="13.296875" style="382" customWidth="1"/>
    <col min="16137" max="16137" width="17.296875" style="382" customWidth="1"/>
    <col min="16138" max="16138" width="15.19921875" style="382" customWidth="1"/>
    <col min="16139" max="16139" width="19.69921875" style="382" customWidth="1"/>
    <col min="16140" max="16142" width="16" style="382" customWidth="1"/>
    <col min="16143" max="16143" width="14.796875" style="382" customWidth="1"/>
    <col min="16144" max="16144" width="17.296875" style="382" customWidth="1"/>
    <col min="16145" max="16145" width="14.796875" style="382" customWidth="1"/>
    <col min="16146" max="16154" width="9" style="382" customWidth="1"/>
    <col min="16155" max="16155" width="7.19921875" style="382" bestFit="1" customWidth="1"/>
    <col min="16156" max="16157" width="9" style="382" customWidth="1"/>
    <col min="16158" max="16162" width="10.296875" style="382" customWidth="1"/>
    <col min="16163" max="16384" width="9" style="382" customWidth="1"/>
  </cols>
  <sheetData>
    <row r="1" spans="1:27" x14ac:dyDescent="0.3">
      <c r="A1" s="380" t="s">
        <v>336</v>
      </c>
      <c r="B1" s="853" t="str">
        <f>'Cover Page'!D1</f>
        <v>Valor Preparatory Academy, LLC</v>
      </c>
      <c r="C1" s="853"/>
      <c r="D1" s="853"/>
      <c r="E1" s="853"/>
      <c r="G1" s="380" t="s">
        <v>331</v>
      </c>
      <c r="H1" s="853" t="str">
        <f>'Cover Page'!M1</f>
        <v>Maricopa</v>
      </c>
      <c r="I1" s="853"/>
      <c r="K1" s="380" t="s">
        <v>592</v>
      </c>
      <c r="L1" s="384" t="str">
        <f>'Cover Page'!R1</f>
        <v>078104000</v>
      </c>
      <c r="M1" s="385"/>
      <c r="N1" s="385"/>
      <c r="O1" s="386"/>
      <c r="P1" s="387"/>
    </row>
    <row r="2" spans="1:27" x14ac:dyDescent="0.3">
      <c r="A2" s="380"/>
      <c r="B2" s="380"/>
      <c r="C2" s="391"/>
      <c r="D2" s="385"/>
      <c r="E2" s="392"/>
      <c r="F2" s="392"/>
      <c r="G2" s="392"/>
      <c r="H2" s="380"/>
      <c r="I2" s="385"/>
      <c r="J2" s="385"/>
      <c r="K2" s="385"/>
      <c r="L2" s="392"/>
      <c r="M2" s="385"/>
      <c r="N2" s="385"/>
      <c r="O2" s="386"/>
      <c r="P2" s="386"/>
      <c r="Q2" s="393"/>
    </row>
    <row r="3" spans="1:27" x14ac:dyDescent="0.3">
      <c r="B3" s="394"/>
      <c r="C3" s="394" t="s">
        <v>1104</v>
      </c>
      <c r="D3" s="394"/>
      <c r="E3" s="394"/>
      <c r="F3" s="394"/>
      <c r="G3" s="394"/>
      <c r="H3" s="394"/>
      <c r="I3" s="394"/>
      <c r="J3" s="394"/>
      <c r="K3" s="394"/>
      <c r="L3" s="394"/>
      <c r="M3" s="394"/>
      <c r="N3" s="386"/>
    </row>
    <row r="4" spans="1:27" ht="24" customHeight="1" x14ac:dyDescent="0.3">
      <c r="L4" s="386"/>
      <c r="M4" s="394"/>
      <c r="N4" s="394"/>
    </row>
    <row r="5" spans="1:27" x14ac:dyDescent="0.3">
      <c r="A5" s="856"/>
      <c r="B5" s="35"/>
      <c r="C5" s="395"/>
      <c r="D5" s="858" t="s">
        <v>377</v>
      </c>
      <c r="E5" s="859"/>
      <c r="F5" s="859"/>
      <c r="G5" s="859"/>
      <c r="H5" s="859"/>
      <c r="I5" s="859"/>
      <c r="J5" s="859"/>
      <c r="K5" s="859"/>
      <c r="L5" s="860"/>
      <c r="M5" s="396" t="s">
        <v>947</v>
      </c>
      <c r="N5" s="861" t="s">
        <v>345</v>
      </c>
    </row>
    <row r="6" spans="1:27" x14ac:dyDescent="0.3">
      <c r="A6" s="857"/>
      <c r="D6" s="397"/>
      <c r="E6" s="398"/>
      <c r="F6" s="398" t="s">
        <v>105</v>
      </c>
      <c r="G6" s="398"/>
      <c r="H6" s="398"/>
      <c r="I6" s="398"/>
      <c r="J6" s="398"/>
      <c r="K6" s="398" t="s">
        <v>82</v>
      </c>
      <c r="L6" s="399"/>
      <c r="N6" s="862"/>
    </row>
    <row r="7" spans="1:27" x14ac:dyDescent="0.3">
      <c r="D7" s="400"/>
      <c r="E7" s="401" t="s">
        <v>88</v>
      </c>
      <c r="F7" s="401" t="s">
        <v>648</v>
      </c>
      <c r="G7" s="401"/>
      <c r="H7" s="401" t="s">
        <v>135</v>
      </c>
      <c r="I7" s="401" t="s">
        <v>948</v>
      </c>
      <c r="J7" s="401"/>
      <c r="K7" s="402" t="s">
        <v>136</v>
      </c>
      <c r="L7" s="403"/>
      <c r="M7" s="404" t="s">
        <v>949</v>
      </c>
      <c r="N7" s="862"/>
    </row>
    <row r="8" spans="1:27" ht="12" customHeight="1" x14ac:dyDescent="0.3">
      <c r="A8" s="864" t="s">
        <v>950</v>
      </c>
      <c r="B8" s="864"/>
      <c r="C8" s="865"/>
      <c r="D8" s="401" t="s">
        <v>69</v>
      </c>
      <c r="E8" s="405" t="s">
        <v>647</v>
      </c>
      <c r="F8" s="405" t="s">
        <v>110</v>
      </c>
      <c r="G8" s="405" t="s">
        <v>70</v>
      </c>
      <c r="H8" s="405" t="s">
        <v>717</v>
      </c>
      <c r="I8" s="405" t="s">
        <v>951</v>
      </c>
      <c r="J8" s="405" t="s">
        <v>109</v>
      </c>
      <c r="K8" s="402" t="s">
        <v>952</v>
      </c>
      <c r="L8" s="406" t="s">
        <v>111</v>
      </c>
      <c r="M8" s="404" t="s">
        <v>953</v>
      </c>
      <c r="N8" s="862"/>
    </row>
    <row r="9" spans="1:27" x14ac:dyDescent="0.3">
      <c r="A9" s="866"/>
      <c r="B9" s="866"/>
      <c r="C9" s="867"/>
      <c r="D9" s="407">
        <v>6100</v>
      </c>
      <c r="E9" s="407">
        <v>6200</v>
      </c>
      <c r="F9" s="407">
        <v>6500</v>
      </c>
      <c r="G9" s="407">
        <v>6600</v>
      </c>
      <c r="H9" s="407">
        <v>6810</v>
      </c>
      <c r="I9" s="407">
        <v>6820</v>
      </c>
      <c r="J9" s="407">
        <v>6890</v>
      </c>
      <c r="K9" s="407" t="s">
        <v>954</v>
      </c>
      <c r="L9" s="406" t="s">
        <v>719</v>
      </c>
      <c r="M9" s="408" t="s">
        <v>955</v>
      </c>
      <c r="N9" s="863"/>
    </row>
    <row r="10" spans="1:27" ht="12.75" customHeight="1" x14ac:dyDescent="0.3">
      <c r="A10" s="409" t="s">
        <v>83</v>
      </c>
      <c r="B10" s="410"/>
      <c r="C10" s="411" t="s">
        <v>1</v>
      </c>
      <c r="D10" s="412">
        <v>0</v>
      </c>
      <c r="E10" s="412">
        <v>0</v>
      </c>
      <c r="F10" s="412">
        <v>0</v>
      </c>
      <c r="G10" s="412">
        <v>0</v>
      </c>
      <c r="H10" s="412">
        <v>0</v>
      </c>
      <c r="I10" s="413"/>
      <c r="J10" s="412">
        <v>0</v>
      </c>
      <c r="K10" s="412">
        <v>0</v>
      </c>
      <c r="L10" s="36">
        <v>0</v>
      </c>
      <c r="M10" s="412">
        <v>0</v>
      </c>
      <c r="N10" s="414">
        <f t="shared" ref="N10:N19" si="0">ROUND(SUM(D10:M10),0)</f>
        <v>0</v>
      </c>
      <c r="O10" s="415"/>
    </row>
    <row r="11" spans="1:27" x14ac:dyDescent="0.3">
      <c r="A11" s="416" t="s">
        <v>956</v>
      </c>
      <c r="B11" s="417"/>
      <c r="C11" s="418" t="s">
        <v>2</v>
      </c>
      <c r="D11" s="412">
        <v>0</v>
      </c>
      <c r="E11" s="412">
        <v>0</v>
      </c>
      <c r="F11" s="412">
        <v>0</v>
      </c>
      <c r="G11" s="412">
        <v>0</v>
      </c>
      <c r="H11" s="412">
        <v>0</v>
      </c>
      <c r="I11" s="413"/>
      <c r="J11" s="412">
        <v>0</v>
      </c>
      <c r="K11" s="412">
        <v>0</v>
      </c>
      <c r="L11" s="36">
        <v>0</v>
      </c>
      <c r="M11" s="412">
        <v>0</v>
      </c>
      <c r="N11" s="414">
        <f t="shared" si="0"/>
        <v>0</v>
      </c>
      <c r="O11" s="415"/>
    </row>
    <row r="12" spans="1:27" x14ac:dyDescent="0.3">
      <c r="A12" s="416" t="s">
        <v>957</v>
      </c>
      <c r="B12" s="417"/>
      <c r="C12" s="418" t="s">
        <v>3</v>
      </c>
      <c r="D12" s="412">
        <v>0</v>
      </c>
      <c r="E12" s="412">
        <v>0</v>
      </c>
      <c r="F12" s="412">
        <v>0</v>
      </c>
      <c r="G12" s="412">
        <v>0</v>
      </c>
      <c r="H12" s="412">
        <v>0</v>
      </c>
      <c r="I12" s="412">
        <v>0</v>
      </c>
      <c r="J12" s="412">
        <v>0</v>
      </c>
      <c r="K12" s="412">
        <v>0</v>
      </c>
      <c r="L12" s="36">
        <v>0</v>
      </c>
      <c r="M12" s="412">
        <v>0</v>
      </c>
      <c r="N12" s="414">
        <f t="shared" si="0"/>
        <v>0</v>
      </c>
      <c r="O12" s="415"/>
      <c r="AA12" s="419">
        <f t="array" ref="AA12">(SUM(SUMIFS('Accounting data'!G2:G28562,'Accounting data'!H2:H28562,"1228*",'Accounting data'!I2:I28562,{"7*","8*","9*"},'Accounting data'!J2:J28562,"23*",'Accounting data'!K2:K28562,"6*"))+SUM(SUMIFS('Accounting data'!G2:G28562,'Accounting data'!H2:H28562,"1228*",'Accounting data'!I2:I28562,{"7*","8*","9*"},'Accounting data'!J2:J28562,"25*",'Accounting data'!K2:K28562,"6*"))+SUM(SUMIFS('Accounting data'!G2:G28562,'Accounting data'!H2:H28562,"1228*",'Accounting data'!I2:I28562,{"7*","8*","9*"},'Accounting data'!J2:J28562,"29*",'Accounting data'!K2:K28562,"6*")))-(SUM(SUMIFS('Accounting data'!G2:G28562,'Accounting data'!H2:H28562,"1228*",'Accounting data'!I2:I28562,{"7*","8*","9*"},'Accounting data'!J2:J28562,"23*",'Accounting data'!K2:K28562,"69*"))+SUM(SUMIFS('Accounting data'!G2:G28562,'Accounting data'!H2:H28562,"1228*",'Accounting data'!I2:I28562,{"7*","8*","9*"},'Accounting data'!J2:J28562,"25*",'Accounting data'!K2:K28562,"69*"))+SUM(SUMIFS('Accounting data'!G2:G28562,'Accounting data'!H2:H28562,"1228*",'Accounting data'!I2:I28562,{"7*","8*","9*"},'Accounting data'!J2:J28562,"29*",'Accounting data'!K2:K28562,"69*")))</f>
        <v>0</v>
      </c>
    </row>
    <row r="13" spans="1:27" x14ac:dyDescent="0.3">
      <c r="A13" s="420" t="s">
        <v>661</v>
      </c>
      <c r="B13" s="421"/>
      <c r="C13" s="422" t="s">
        <v>4</v>
      </c>
      <c r="D13" s="412">
        <v>0</v>
      </c>
      <c r="E13" s="412">
        <v>0</v>
      </c>
      <c r="F13" s="412">
        <v>0</v>
      </c>
      <c r="G13" s="412">
        <v>0</v>
      </c>
      <c r="H13" s="412">
        <v>0</v>
      </c>
      <c r="I13" s="413"/>
      <c r="J13" s="412">
        <v>0</v>
      </c>
      <c r="K13" s="412">
        <v>0</v>
      </c>
      <c r="L13" s="36">
        <v>0</v>
      </c>
      <c r="M13" s="412">
        <v>0</v>
      </c>
      <c r="N13" s="414">
        <f t="shared" si="0"/>
        <v>0</v>
      </c>
      <c r="O13" s="423"/>
    </row>
    <row r="14" spans="1:27" x14ac:dyDescent="0.3">
      <c r="A14" s="416" t="s">
        <v>958</v>
      </c>
      <c r="B14" s="417"/>
      <c r="C14" s="422" t="s">
        <v>5</v>
      </c>
      <c r="D14" s="412">
        <v>0</v>
      </c>
      <c r="E14" s="412">
        <v>0</v>
      </c>
      <c r="F14" s="412">
        <v>0</v>
      </c>
      <c r="G14" s="412">
        <v>0</v>
      </c>
      <c r="H14" s="412">
        <v>0</v>
      </c>
      <c r="I14" s="413"/>
      <c r="J14" s="412">
        <v>0</v>
      </c>
      <c r="K14" s="412">
        <v>0</v>
      </c>
      <c r="L14" s="36">
        <v>0</v>
      </c>
      <c r="M14" s="412">
        <v>0</v>
      </c>
      <c r="N14" s="414">
        <f t="shared" si="0"/>
        <v>0</v>
      </c>
      <c r="O14" s="423"/>
    </row>
    <row r="15" spans="1:27" x14ac:dyDescent="0.3">
      <c r="A15" s="424" t="s">
        <v>666</v>
      </c>
      <c r="B15" s="425"/>
      <c r="C15" s="422" t="s">
        <v>6</v>
      </c>
      <c r="D15" s="412">
        <v>0</v>
      </c>
      <c r="E15" s="412">
        <v>0</v>
      </c>
      <c r="F15" s="412">
        <v>0</v>
      </c>
      <c r="G15" s="412">
        <v>0</v>
      </c>
      <c r="H15" s="412">
        <v>0</v>
      </c>
      <c r="I15" s="413"/>
      <c r="J15" s="412">
        <v>0</v>
      </c>
      <c r="K15" s="412">
        <v>0</v>
      </c>
      <c r="L15" s="36">
        <v>0</v>
      </c>
      <c r="M15" s="412">
        <v>0</v>
      </c>
      <c r="N15" s="414">
        <f t="shared" si="0"/>
        <v>0</v>
      </c>
      <c r="O15" s="423"/>
    </row>
    <row r="16" spans="1:27" x14ac:dyDescent="0.3">
      <c r="A16" s="424" t="s">
        <v>959</v>
      </c>
      <c r="B16" s="425"/>
      <c r="C16" s="422" t="s">
        <v>7</v>
      </c>
      <c r="D16" s="412">
        <v>0</v>
      </c>
      <c r="E16" s="412">
        <v>0</v>
      </c>
      <c r="F16" s="412">
        <v>0</v>
      </c>
      <c r="G16" s="412">
        <v>0</v>
      </c>
      <c r="H16" s="412">
        <v>0</v>
      </c>
      <c r="I16" s="413"/>
      <c r="J16" s="412">
        <v>0</v>
      </c>
      <c r="K16" s="412">
        <v>0</v>
      </c>
      <c r="L16" s="36">
        <v>0</v>
      </c>
      <c r="M16" s="412">
        <v>0</v>
      </c>
      <c r="N16" s="414">
        <f t="shared" si="0"/>
        <v>0</v>
      </c>
      <c r="O16" s="423"/>
    </row>
    <row r="17" spans="1:16" x14ac:dyDescent="0.3">
      <c r="A17" s="424" t="s">
        <v>960</v>
      </c>
      <c r="B17" s="425"/>
      <c r="C17" s="422" t="s">
        <v>8</v>
      </c>
      <c r="D17" s="412">
        <v>0</v>
      </c>
      <c r="E17" s="412">
        <v>0</v>
      </c>
      <c r="F17" s="412">
        <v>0</v>
      </c>
      <c r="G17" s="412">
        <v>0</v>
      </c>
      <c r="H17" s="412">
        <v>0</v>
      </c>
      <c r="I17" s="413"/>
      <c r="J17" s="412">
        <v>0</v>
      </c>
      <c r="K17" s="412">
        <v>0</v>
      </c>
      <c r="L17" s="36">
        <v>0</v>
      </c>
      <c r="M17" s="412">
        <v>0</v>
      </c>
      <c r="N17" s="414">
        <f t="shared" si="0"/>
        <v>0</v>
      </c>
      <c r="O17" s="423"/>
    </row>
    <row r="18" spans="1:16" x14ac:dyDescent="0.3">
      <c r="A18" s="426" t="s">
        <v>82</v>
      </c>
      <c r="B18" s="427"/>
      <c r="C18" s="428" t="s">
        <v>9</v>
      </c>
      <c r="D18" s="412">
        <v>0</v>
      </c>
      <c r="E18" s="412">
        <v>0</v>
      </c>
      <c r="F18" s="412">
        <v>0</v>
      </c>
      <c r="G18" s="412">
        <v>0</v>
      </c>
      <c r="H18" s="412">
        <v>0</v>
      </c>
      <c r="I18" s="413"/>
      <c r="J18" s="412">
        <v>0</v>
      </c>
      <c r="K18" s="412">
        <v>0</v>
      </c>
      <c r="L18" s="36">
        <v>0</v>
      </c>
      <c r="M18" s="412">
        <v>0</v>
      </c>
      <c r="N18" s="414">
        <f t="shared" si="0"/>
        <v>0</v>
      </c>
      <c r="O18" s="423"/>
    </row>
    <row r="19" spans="1:16" x14ac:dyDescent="0.3">
      <c r="A19" s="429" t="s">
        <v>961</v>
      </c>
      <c r="B19" s="430"/>
      <c r="C19" s="431" t="s">
        <v>10</v>
      </c>
      <c r="D19" s="432">
        <f>SUM(D10:D18)</f>
        <v>0</v>
      </c>
      <c r="E19" s="432">
        <f t="shared" ref="E19:M19" si="1">SUM(E10:E18)</f>
        <v>0</v>
      </c>
      <c r="F19" s="432">
        <f t="shared" si="1"/>
        <v>0</v>
      </c>
      <c r="G19" s="432">
        <f t="shared" si="1"/>
        <v>0</v>
      </c>
      <c r="H19" s="432">
        <f t="shared" si="1"/>
        <v>0</v>
      </c>
      <c r="I19" s="432">
        <f t="shared" si="1"/>
        <v>0</v>
      </c>
      <c r="J19" s="432">
        <f t="shared" si="1"/>
        <v>0</v>
      </c>
      <c r="K19" s="432">
        <f t="shared" si="1"/>
        <v>0</v>
      </c>
      <c r="L19" s="432">
        <f t="shared" si="1"/>
        <v>0</v>
      </c>
      <c r="M19" s="432">
        <f t="shared" si="1"/>
        <v>0</v>
      </c>
      <c r="N19" s="414">
        <f t="shared" si="0"/>
        <v>0</v>
      </c>
      <c r="O19" s="423"/>
    </row>
    <row r="20" spans="1:16" x14ac:dyDescent="0.3">
      <c r="H20" s="382"/>
      <c r="I20" s="382"/>
      <c r="J20" s="382"/>
      <c r="K20" s="382"/>
      <c r="L20" s="433"/>
    </row>
    <row r="21" spans="1:16" ht="34.5" customHeight="1" x14ac:dyDescent="0.3">
      <c r="A21" s="874" t="s">
        <v>962</v>
      </c>
      <c r="B21" s="875"/>
      <c r="C21" s="876"/>
      <c r="D21" s="37" t="s">
        <v>963</v>
      </c>
      <c r="E21" s="38" t="s">
        <v>964</v>
      </c>
      <c r="G21" s="434" t="s">
        <v>965</v>
      </c>
      <c r="H21" s="435"/>
      <c r="I21" s="435"/>
      <c r="J21" s="436"/>
      <c r="L21" s="437" t="s">
        <v>966</v>
      </c>
      <c r="M21" s="438"/>
      <c r="N21" s="438"/>
      <c r="O21" s="439"/>
    </row>
    <row r="22" spans="1:16" x14ac:dyDescent="0.3">
      <c r="A22" s="440" t="s">
        <v>967</v>
      </c>
      <c r="B22" s="441"/>
      <c r="C22" s="442"/>
      <c r="D22" s="39">
        <v>0</v>
      </c>
      <c r="E22" s="40">
        <v>0</v>
      </c>
      <c r="G22" s="444" t="s">
        <v>968</v>
      </c>
      <c r="H22" s="445"/>
      <c r="I22" s="446"/>
      <c r="J22" s="39">
        <v>0</v>
      </c>
      <c r="L22" s="444" t="s">
        <v>969</v>
      </c>
      <c r="M22" s="445"/>
      <c r="N22" s="446"/>
      <c r="O22" s="41">
        <v>0</v>
      </c>
    </row>
    <row r="23" spans="1:16" x14ac:dyDescent="0.3">
      <c r="A23" s="444" t="s">
        <v>970</v>
      </c>
      <c r="B23" s="445"/>
      <c r="C23" s="446"/>
      <c r="D23" s="443">
        <v>0</v>
      </c>
      <c r="E23" s="447">
        <v>0</v>
      </c>
      <c r="G23" s="448" t="s">
        <v>971</v>
      </c>
      <c r="H23" s="449"/>
      <c r="I23" s="446"/>
      <c r="J23" s="39">
        <v>0</v>
      </c>
    </row>
    <row r="24" spans="1:16" x14ac:dyDescent="0.3">
      <c r="A24" s="444" t="s">
        <v>972</v>
      </c>
      <c r="B24" s="445"/>
      <c r="C24" s="450"/>
      <c r="D24" s="443">
        <v>0</v>
      </c>
      <c r="E24" s="451">
        <v>0</v>
      </c>
      <c r="G24" s="452" t="s">
        <v>973</v>
      </c>
      <c r="H24" s="453"/>
      <c r="I24" s="446"/>
      <c r="J24" s="39">
        <v>0</v>
      </c>
      <c r="L24" s="434" t="s">
        <v>974</v>
      </c>
      <c r="M24" s="435"/>
      <c r="N24" s="435"/>
      <c r="O24" s="436"/>
    </row>
    <row r="25" spans="1:16" x14ac:dyDescent="0.3">
      <c r="A25" s="444" t="s">
        <v>975</v>
      </c>
      <c r="B25" s="445"/>
      <c r="C25" s="450"/>
      <c r="D25" s="443">
        <v>0</v>
      </c>
      <c r="E25" s="451">
        <v>0</v>
      </c>
      <c r="G25" s="452" t="s">
        <v>976</v>
      </c>
      <c r="H25" s="453"/>
      <c r="I25" s="446"/>
      <c r="J25" s="39">
        <v>0</v>
      </c>
      <c r="L25" s="454" t="s">
        <v>977</v>
      </c>
      <c r="M25" s="455"/>
      <c r="N25" s="450"/>
      <c r="O25" s="39">
        <v>0</v>
      </c>
    </row>
    <row r="26" spans="1:16" x14ac:dyDescent="0.3">
      <c r="A26" s="444" t="s">
        <v>978</v>
      </c>
      <c r="B26" s="445"/>
      <c r="C26" s="450"/>
      <c r="D26" s="443">
        <v>0</v>
      </c>
      <c r="E26" s="451">
        <v>0</v>
      </c>
      <c r="G26" s="452" t="s">
        <v>979</v>
      </c>
      <c r="H26" s="453"/>
      <c r="I26" s="446"/>
      <c r="J26" s="39">
        <v>0</v>
      </c>
      <c r="L26" s="454" t="s">
        <v>980</v>
      </c>
      <c r="M26" s="455"/>
      <c r="N26" s="450"/>
      <c r="O26" s="39">
        <v>0</v>
      </c>
    </row>
    <row r="27" spans="1:16" x14ac:dyDescent="0.3">
      <c r="A27" s="456" t="s">
        <v>981</v>
      </c>
      <c r="B27" s="457"/>
      <c r="C27" s="458"/>
      <c r="D27" s="39">
        <v>0</v>
      </c>
      <c r="E27" s="40">
        <v>0</v>
      </c>
      <c r="L27" s="454" t="s">
        <v>982</v>
      </c>
      <c r="M27" s="455"/>
      <c r="N27" s="450"/>
      <c r="O27" s="39">
        <v>0</v>
      </c>
    </row>
    <row r="28" spans="1:16" x14ac:dyDescent="0.3">
      <c r="A28" s="459" t="s">
        <v>983</v>
      </c>
      <c r="B28" s="460"/>
      <c r="C28" s="461"/>
      <c r="D28" s="42">
        <v>0</v>
      </c>
      <c r="E28" s="451">
        <f>D28</f>
        <v>0</v>
      </c>
      <c r="L28" s="383"/>
      <c r="M28" s="383"/>
      <c r="N28" s="383"/>
      <c r="O28" s="43"/>
    </row>
    <row r="29" spans="1:16" x14ac:dyDescent="0.3">
      <c r="A29" s="877"/>
      <c r="B29" s="877"/>
      <c r="C29" s="877"/>
      <c r="D29" s="462"/>
    </row>
    <row r="30" spans="1:16" ht="15" customHeight="1" x14ac:dyDescent="0.3">
      <c r="A30" s="392"/>
      <c r="B30" s="392"/>
      <c r="C30" s="392"/>
      <c r="D30" s="392"/>
      <c r="G30" s="434" t="s">
        <v>984</v>
      </c>
      <c r="H30" s="435"/>
      <c r="I30" s="435"/>
      <c r="J30" s="436"/>
      <c r="L30" s="868" t="str">
        <f>IF(OR(D19&lt;0,E19&lt;0,F19&lt;0,G19&lt;0,H19&lt;0,J19&lt;0,K19&lt;0,L19&lt;0,M19&lt;0,N19&lt;0),"Line 9 in the current expenses table should not contain negative amounts. Click the instruction link in cell A18 for more information.","")</f>
        <v/>
      </c>
      <c r="M30" s="868" t="str">
        <f t="shared" ref="M30:P32" si="2">IF(OR(E19&lt;0,F19&lt;0,G19&lt;0,H19&lt;0,I19&lt;0,K19&lt;0,L19&lt;0,M19&lt;0,N19&lt;0,O19&lt;0),"Table A, line 9 should not contain negative amounts. Click the the instruction link in cell A18 for more information.","")</f>
        <v/>
      </c>
      <c r="N30" s="868" t="str">
        <f t="shared" si="2"/>
        <v/>
      </c>
      <c r="O30" s="868" t="str">
        <f t="shared" si="2"/>
        <v/>
      </c>
      <c r="P30" s="868" t="str">
        <f t="shared" si="2"/>
        <v/>
      </c>
    </row>
    <row r="31" spans="1:16" ht="15" customHeight="1" x14ac:dyDescent="0.3">
      <c r="E31" s="463"/>
      <c r="G31" s="464" t="s">
        <v>985</v>
      </c>
      <c r="H31" s="445"/>
      <c r="I31" s="445"/>
      <c r="J31" s="465">
        <v>0</v>
      </c>
      <c r="L31" s="868" t="str">
        <f>IF(OR(D20&lt;0,E20&lt;0,F20&lt;0,G20&lt;0,H20&lt;0,J20&lt;0,K20&lt;0,L20&lt;0,M20&lt;0,N20&lt;0),"Table A, line 9 should not contain negative amounts. Click the the instruction link in cell A18 for more information.","")</f>
        <v/>
      </c>
      <c r="M31" s="868" t="str">
        <f t="shared" si="2"/>
        <v/>
      </c>
      <c r="N31" s="868" t="str">
        <f t="shared" si="2"/>
        <v/>
      </c>
      <c r="O31" s="868" t="str">
        <f t="shared" si="2"/>
        <v/>
      </c>
      <c r="P31" s="868" t="str">
        <f t="shared" si="2"/>
        <v/>
      </c>
    </row>
    <row r="32" spans="1:16" ht="15" customHeight="1" x14ac:dyDescent="0.3">
      <c r="E32" s="415"/>
      <c r="G32" s="464" t="s">
        <v>986</v>
      </c>
      <c r="H32" s="445"/>
      <c r="I32" s="445"/>
      <c r="J32" s="39">
        <v>0</v>
      </c>
      <c r="L32" s="868" t="str">
        <f>IF(OR(D21&lt;0,E21&lt;0,F21&lt;0,G21&lt;0,H21&lt;0,J21&lt;0,K21&lt;0,L21&lt;0,M21&lt;0,N21&lt;0),"Table A, line 9 should not contain negative amounts. Click the the instruction link in cell A18 for more information.","")</f>
        <v/>
      </c>
      <c r="M32" s="868" t="str">
        <f t="shared" si="2"/>
        <v/>
      </c>
      <c r="N32" s="868" t="str">
        <f t="shared" si="2"/>
        <v/>
      </c>
      <c r="O32" s="868" t="str">
        <f t="shared" si="2"/>
        <v/>
      </c>
      <c r="P32" s="868" t="str">
        <f t="shared" si="2"/>
        <v/>
      </c>
    </row>
    <row r="33" spans="1:49" ht="12.75" customHeight="1" x14ac:dyDescent="0.3">
      <c r="E33" s="466"/>
      <c r="K33" s="467"/>
      <c r="L33" s="44"/>
      <c r="M33" s="44"/>
      <c r="N33" s="45"/>
      <c r="O33" s="44"/>
      <c r="AB33" s="389" t="s">
        <v>987</v>
      </c>
    </row>
    <row r="34" spans="1:49" ht="11.25" customHeight="1" x14ac:dyDescent="0.3">
      <c r="E34" s="468"/>
      <c r="F34" s="468"/>
      <c r="M34" s="469"/>
      <c r="N34" s="470"/>
      <c r="O34" s="470"/>
    </row>
    <row r="35" spans="1:49" ht="37.5" customHeight="1" x14ac:dyDescent="0.3">
      <c r="A35" s="881" t="s">
        <v>1073</v>
      </c>
      <c r="B35" s="882"/>
      <c r="C35" s="883"/>
      <c r="D35" s="854" t="s">
        <v>988</v>
      </c>
      <c r="E35" s="854" t="s">
        <v>1092</v>
      </c>
      <c r="F35" s="854" t="s">
        <v>1093</v>
      </c>
      <c r="G35" s="854" t="s">
        <v>1094</v>
      </c>
      <c r="H35" s="854" t="s">
        <v>989</v>
      </c>
      <c r="J35" s="434" t="s">
        <v>1222</v>
      </c>
      <c r="K35" s="64"/>
      <c r="L35" s="64"/>
      <c r="M35" s="64"/>
      <c r="N35" s="65"/>
      <c r="R35" s="382"/>
      <c r="V35" s="388"/>
      <c r="AD35" s="389"/>
      <c r="AJ35" s="390"/>
      <c r="AW35" s="388"/>
    </row>
    <row r="36" spans="1:49" ht="25.5" customHeight="1" x14ac:dyDescent="0.3">
      <c r="A36" s="884"/>
      <c r="B36" s="885"/>
      <c r="C36" s="886"/>
      <c r="D36" s="855"/>
      <c r="E36" s="855"/>
      <c r="F36" s="855"/>
      <c r="G36" s="855"/>
      <c r="H36" s="855"/>
      <c r="J36" s="887" t="s">
        <v>1223</v>
      </c>
      <c r="K36" s="888"/>
      <c r="L36" s="888"/>
      <c r="M36" s="889"/>
      <c r="N36" s="476">
        <v>0</v>
      </c>
      <c r="Q36" s="46"/>
      <c r="R36" s="47"/>
      <c r="V36" s="388"/>
      <c r="AD36" s="389"/>
      <c r="AJ36" s="390"/>
      <c r="AW36" s="388"/>
    </row>
    <row r="37" spans="1:49" ht="12.75" customHeight="1" x14ac:dyDescent="0.3">
      <c r="A37" s="48" t="s">
        <v>990</v>
      </c>
      <c r="B37" s="49"/>
      <c r="C37" s="49"/>
      <c r="D37" s="50">
        <v>50000</v>
      </c>
      <c r="E37" s="50">
        <v>50000</v>
      </c>
      <c r="F37" s="50">
        <v>0</v>
      </c>
      <c r="G37" s="50">
        <v>0</v>
      </c>
      <c r="H37" s="432">
        <f t="shared" ref="H37:H42" si="3">ROUND(D37-E37-F37-G37,0)</f>
        <v>0</v>
      </c>
      <c r="J37" s="887" t="s">
        <v>1224</v>
      </c>
      <c r="K37" s="888"/>
      <c r="L37" s="888"/>
      <c r="M37" s="889"/>
      <c r="N37" s="476">
        <v>0</v>
      </c>
      <c r="R37" s="382"/>
      <c r="V37" s="388"/>
      <c r="AD37" s="389"/>
      <c r="AJ37" s="390"/>
      <c r="AW37" s="388"/>
    </row>
    <row r="38" spans="1:49" ht="12.75" customHeight="1" x14ac:dyDescent="0.3">
      <c r="A38" s="48" t="s">
        <v>991</v>
      </c>
      <c r="B38" s="49"/>
      <c r="C38" s="49"/>
      <c r="D38" s="50">
        <v>150000</v>
      </c>
      <c r="E38" s="50">
        <v>0</v>
      </c>
      <c r="F38" s="50">
        <v>150000</v>
      </c>
      <c r="G38" s="50">
        <v>0</v>
      </c>
      <c r="H38" s="432">
        <f t="shared" si="3"/>
        <v>0</v>
      </c>
      <c r="J38" s="887" t="s">
        <v>1225</v>
      </c>
      <c r="K38" s="888"/>
      <c r="L38" s="888"/>
      <c r="M38" s="889"/>
      <c r="N38" s="476">
        <v>0</v>
      </c>
      <c r="R38" s="382"/>
      <c r="V38" s="388"/>
      <c r="AD38" s="389"/>
      <c r="AJ38" s="390"/>
      <c r="AW38" s="388"/>
    </row>
    <row r="39" spans="1:49" ht="12.75" customHeight="1" x14ac:dyDescent="0.3">
      <c r="A39" s="48" t="s">
        <v>992</v>
      </c>
      <c r="B39" s="49"/>
      <c r="C39" s="49"/>
      <c r="D39" s="50">
        <v>7980</v>
      </c>
      <c r="E39" s="50">
        <v>0</v>
      </c>
      <c r="F39" s="50">
        <v>7980</v>
      </c>
      <c r="G39" s="50">
        <v>0</v>
      </c>
      <c r="H39" s="432">
        <f t="shared" si="3"/>
        <v>0</v>
      </c>
      <c r="J39" s="878" t="s">
        <v>1226</v>
      </c>
      <c r="K39" s="879"/>
      <c r="L39" s="879"/>
      <c r="M39" s="880"/>
      <c r="N39" s="477">
        <v>0</v>
      </c>
      <c r="R39" s="382"/>
      <c r="V39" s="388"/>
      <c r="AD39" s="389"/>
      <c r="AJ39" s="390"/>
      <c r="AW39" s="388"/>
    </row>
    <row r="40" spans="1:49" ht="12.75" customHeight="1" x14ac:dyDescent="0.3">
      <c r="A40" s="51" t="s">
        <v>993</v>
      </c>
      <c r="B40" s="49"/>
      <c r="C40" s="49"/>
      <c r="D40" s="50">
        <v>0</v>
      </c>
      <c r="E40" s="50">
        <v>0</v>
      </c>
      <c r="F40" s="50">
        <v>0</v>
      </c>
      <c r="G40" s="50">
        <v>0</v>
      </c>
      <c r="H40" s="432">
        <f t="shared" si="3"/>
        <v>0</v>
      </c>
      <c r="J40" s="878" t="s">
        <v>1229</v>
      </c>
      <c r="K40" s="879"/>
      <c r="L40" s="879"/>
      <c r="M40" s="880"/>
      <c r="N40" s="478">
        <f>ROUND(N36-N37-N39,0)</f>
        <v>0</v>
      </c>
      <c r="R40" s="382"/>
      <c r="V40" s="388"/>
      <c r="AD40" s="389"/>
      <c r="AJ40" s="390"/>
      <c r="AW40" s="388"/>
    </row>
    <row r="41" spans="1:49" ht="12.75" customHeight="1" x14ac:dyDescent="0.3">
      <c r="A41" s="51" t="s">
        <v>994</v>
      </c>
      <c r="B41" s="49"/>
      <c r="C41" s="49"/>
      <c r="D41" s="50">
        <v>17884</v>
      </c>
      <c r="E41" s="50">
        <v>17884</v>
      </c>
      <c r="F41" s="50">
        <v>0</v>
      </c>
      <c r="G41" s="50">
        <v>0</v>
      </c>
      <c r="H41" s="432">
        <f t="shared" si="3"/>
        <v>0</v>
      </c>
    </row>
    <row r="42" spans="1:49" ht="12.75" customHeight="1" x14ac:dyDescent="0.3">
      <c r="A42" s="52" t="s">
        <v>1095</v>
      </c>
      <c r="B42" s="49"/>
      <c r="C42" s="49"/>
      <c r="D42" s="50">
        <v>0</v>
      </c>
      <c r="E42" s="50">
        <v>0</v>
      </c>
      <c r="F42" s="50">
        <v>0</v>
      </c>
      <c r="G42" s="50">
        <v>0</v>
      </c>
      <c r="H42" s="432">
        <f t="shared" si="3"/>
        <v>0</v>
      </c>
    </row>
    <row r="43" spans="1:49" ht="12.75" customHeight="1" x14ac:dyDescent="0.3">
      <c r="A43" s="869" t="s">
        <v>995</v>
      </c>
      <c r="B43" s="870"/>
      <c r="C43" s="871"/>
      <c r="D43" s="471">
        <f>ROUND(SUM(D37:D42),0)</f>
        <v>225864</v>
      </c>
      <c r="E43" s="471">
        <f>ROUND(SUM(E37:E42),0)</f>
        <v>67884</v>
      </c>
      <c r="F43" s="471">
        <f>ROUND(SUM(F37:F42),0)</f>
        <v>157980</v>
      </c>
      <c r="G43" s="471">
        <f>ROUND(SUM(G37:G42),0)</f>
        <v>0</v>
      </c>
      <c r="H43" s="471">
        <f>ROUND(SUM(H37:H42),0)</f>
        <v>0</v>
      </c>
    </row>
    <row r="44" spans="1:49" x14ac:dyDescent="0.3">
      <c r="F44" s="472"/>
    </row>
    <row r="45" spans="1:49" x14ac:dyDescent="0.3">
      <c r="E45" s="473" t="s">
        <v>1135</v>
      </c>
      <c r="F45" s="53">
        <f>ROUND(N19+O22+O25+O26+O27+J31+J32,0)</f>
        <v>0</v>
      </c>
      <c r="H45" s="872" t="str">
        <f>IF(OR(H37&lt;0,H38&lt;0,H39&lt;0,H40&lt;0,H41&lt;0,H42&lt;0,H43&lt;0),"Column H should not contain negative amounts. Click the instruction link in cell H36 for more information.","")</f>
        <v/>
      </c>
      <c r="I45" s="873"/>
      <c r="J45" s="873"/>
      <c r="K45" s="873"/>
    </row>
    <row r="46" spans="1:49" ht="12.75" customHeight="1" x14ac:dyDescent="0.3">
      <c r="A46" s="474"/>
      <c r="B46" s="474"/>
      <c r="C46" s="475"/>
      <c r="F46" s="872" t="str">
        <f>IF(F45&lt;&gt;G43,"Total in cell G43 should agree to amount in cell F45","")</f>
        <v/>
      </c>
      <c r="G46" s="872"/>
      <c r="H46" s="873"/>
      <c r="I46" s="873"/>
      <c r="J46" s="873"/>
      <c r="K46" s="873"/>
    </row>
    <row r="47" spans="1:49" ht="12.75" customHeight="1" x14ac:dyDescent="0.3">
      <c r="A47" s="474"/>
      <c r="B47" s="474"/>
      <c r="C47" s="475"/>
      <c r="F47" s="872"/>
      <c r="G47" s="872"/>
      <c r="H47" s="873"/>
      <c r="I47" s="873"/>
      <c r="J47" s="873"/>
      <c r="K47" s="873"/>
    </row>
    <row r="48" spans="1:49" ht="12.75" customHeight="1" x14ac:dyDescent="0.3">
      <c r="A48" s="475"/>
      <c r="B48" s="475"/>
      <c r="C48" s="475"/>
      <c r="F48" s="872"/>
      <c r="G48" s="872"/>
      <c r="H48" s="873"/>
      <c r="I48" s="873"/>
      <c r="J48" s="873"/>
      <c r="K48" s="873"/>
    </row>
    <row r="49" spans="1:7" ht="12.75" customHeight="1" x14ac:dyDescent="0.3">
      <c r="A49" s="475"/>
      <c r="B49" s="475"/>
      <c r="C49" s="475"/>
      <c r="F49" s="872"/>
      <c r="G49" s="872"/>
    </row>
  </sheetData>
  <mergeCells count="23">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 ref="H35:H36"/>
  </mergeCells>
  <conditionalFormatting sqref="B1:E1">
    <cfRule type="expression" dxfId="29" priority="42" stopIfTrue="1">
      <formula>B1=""</formula>
    </cfRule>
  </conditionalFormatting>
  <conditionalFormatting sqref="D22:D28">
    <cfRule type="expression" dxfId="28" priority="24" stopIfTrue="1">
      <formula>D22=""</formula>
    </cfRule>
  </conditionalFormatting>
  <conditionalFormatting sqref="D37:G42">
    <cfRule type="expression" dxfId="27" priority="5" stopIfTrue="1">
      <formula>D37=""</formula>
    </cfRule>
  </conditionalFormatting>
  <conditionalFormatting sqref="E22:E27">
    <cfRule type="expression" dxfId="26" priority="18" stopIfTrue="1">
      <formula>E22=""</formula>
    </cfRule>
  </conditionalFormatting>
  <conditionalFormatting sqref="H37:H42">
    <cfRule type="cellIs" dxfId="25" priority="8" stopIfTrue="1" operator="lessThan">
      <formula>0</formula>
    </cfRule>
  </conditionalFormatting>
  <conditionalFormatting sqref="H1:I1">
    <cfRule type="expression" dxfId="24" priority="41" stopIfTrue="1">
      <formula>H1=""</formula>
    </cfRule>
  </conditionalFormatting>
  <conditionalFormatting sqref="J22:J26">
    <cfRule type="expression" dxfId="23" priority="13" stopIfTrue="1">
      <formula>J22=""</formula>
    </cfRule>
  </conditionalFormatting>
  <conditionalFormatting sqref="J32">
    <cfRule type="expression" dxfId="22" priority="12" stopIfTrue="1">
      <formula>J32=""</formula>
    </cfRule>
  </conditionalFormatting>
  <conditionalFormatting sqref="L1">
    <cfRule type="expression" dxfId="21" priority="40" stopIfTrue="1">
      <formula>L1=""</formula>
    </cfRule>
  </conditionalFormatting>
  <conditionalFormatting sqref="L10:L18">
    <cfRule type="expression" dxfId="20" priority="31" stopIfTrue="1">
      <formula>L10=""</formula>
    </cfRule>
  </conditionalFormatting>
  <conditionalFormatting sqref="N36:N39">
    <cfRule type="expression" dxfId="19" priority="1" stopIfTrue="1">
      <formula>N36=""</formula>
    </cfRule>
  </conditionalFormatting>
  <conditionalFormatting sqref="O25:O27">
    <cfRule type="expression" dxfId="18"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BQH196632:BQH196634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L10:L18"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and21Exp" display="Page10FY20and21Exp" xr:uid="{00000000-0004-0000-0A00-00000E000000}"/>
    <hyperlink ref="F35:F36" location="Page10FY22Exp" display="Page10FY22Exp" xr:uid="{00000000-0004-0000-0A00-00000F000000}"/>
    <hyperlink ref="G35:G36" location="Page10FY23Exp" display="Page10FY23Exp" xr:uid="{00000000-0004-0000-0A00-000010000000}"/>
    <hyperlink ref="H35:H36" location="Page10Remaining" display="Page10Remaining" xr:uid="{00000000-0004-0000-0A00-000011000000}"/>
    <hyperlink ref="J35" location="Page10PPP" display="Paycheck Protection Program" xr:uid="{00000000-0004-0000-0A00-000012000000}"/>
    <hyperlink ref="A35:C36" location="Page10projects" display="COVID-19 federal relief projects" xr:uid="{00000000-0004-0000-0A00-000013000000}"/>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30"/>
  <sheetViews>
    <sheetView showGridLines="0" workbookViewId="0">
      <selection activeCell="H17" sqref="H17"/>
    </sheetView>
  </sheetViews>
  <sheetFormatPr defaultColWidth="9.296875" defaultRowHeight="13" x14ac:dyDescent="0.3"/>
  <cols>
    <col min="1" max="1" width="38.19921875" style="481" customWidth="1"/>
    <col min="2" max="3" width="16.5" style="481" customWidth="1"/>
    <col min="4" max="4" width="15.19921875" style="481" customWidth="1"/>
    <col min="5" max="5" width="15.69921875" style="481" customWidth="1"/>
    <col min="6" max="6" width="15.19921875" style="481" customWidth="1"/>
    <col min="7" max="7" width="16.296875" style="481" customWidth="1"/>
    <col min="8" max="8" width="19.5" style="481" customWidth="1"/>
    <col min="9" max="10" width="15.69921875" style="481" customWidth="1"/>
    <col min="11" max="11" width="17" style="481" customWidth="1"/>
    <col min="12" max="12" width="8.796875" style="481" customWidth="1"/>
    <col min="13" max="13" width="5.5" style="481" customWidth="1"/>
    <col min="14" max="14" width="12.296875" style="481" customWidth="1"/>
    <col min="15" max="255" width="8.796875" style="481" customWidth="1"/>
    <col min="256" max="256" width="32.296875" style="481" bestFit="1" customWidth="1"/>
    <col min="257" max="257" width="22.19921875" style="481" customWidth="1"/>
    <col min="258" max="258" width="14.296875" style="481" customWidth="1"/>
    <col min="259" max="259" width="19" style="481" customWidth="1"/>
    <col min="260" max="260" width="8.796875" style="481" customWidth="1"/>
    <col min="261" max="261" width="11.296875" style="481" customWidth="1"/>
    <col min="262" max="262" width="8.796875" style="481" customWidth="1"/>
    <col min="263" max="263" width="6.296875" style="481" customWidth="1"/>
    <col min="264" max="264" width="14.296875" style="481" customWidth="1"/>
    <col min="265" max="268" width="8.796875" style="481" customWidth="1"/>
    <col min="269" max="269" width="17.796875" style="481" customWidth="1"/>
    <col min="270" max="511" width="8.796875" style="481" customWidth="1"/>
    <col min="512" max="512" width="32.296875" style="481" bestFit="1" customWidth="1"/>
    <col min="513" max="513" width="22.19921875" style="481" customWidth="1"/>
    <col min="514" max="514" width="14.296875" style="481" customWidth="1"/>
    <col min="515" max="515" width="19" style="481" customWidth="1"/>
    <col min="516" max="516" width="8.796875" style="481" customWidth="1"/>
    <col min="517" max="517" width="11.296875" style="481" customWidth="1"/>
    <col min="518" max="518" width="8.796875" style="481" customWidth="1"/>
    <col min="519" max="519" width="6.296875" style="481" customWidth="1"/>
    <col min="520" max="520" width="14.296875" style="481" customWidth="1"/>
    <col min="521" max="524" width="8.796875" style="481" customWidth="1"/>
    <col min="525" max="525" width="17.796875" style="481" customWidth="1"/>
    <col min="526" max="767" width="8.796875" style="481" customWidth="1"/>
    <col min="768" max="768" width="32.296875" style="481" bestFit="1" customWidth="1"/>
    <col min="769" max="769" width="22.19921875" style="481" customWidth="1"/>
    <col min="770" max="770" width="14.296875" style="481" customWidth="1"/>
    <col min="771" max="771" width="19" style="481" customWidth="1"/>
    <col min="772" max="772" width="8.796875" style="481" customWidth="1"/>
    <col min="773" max="773" width="11.296875" style="481" customWidth="1"/>
    <col min="774" max="774" width="8.796875" style="481" customWidth="1"/>
    <col min="775" max="775" width="6.296875" style="481" customWidth="1"/>
    <col min="776" max="776" width="14.296875" style="481" customWidth="1"/>
    <col min="777" max="780" width="8.796875" style="481" customWidth="1"/>
    <col min="781" max="781" width="17.796875" style="481" customWidth="1"/>
    <col min="782" max="1023" width="8.796875" style="481" customWidth="1"/>
    <col min="1024" max="1024" width="32.296875" style="481" bestFit="1" customWidth="1"/>
    <col min="1025" max="1025" width="22.19921875" style="481" customWidth="1"/>
    <col min="1026" max="1026" width="14.296875" style="481" customWidth="1"/>
    <col min="1027" max="1027" width="19" style="481" customWidth="1"/>
    <col min="1028" max="1028" width="8.796875" style="481" customWidth="1"/>
    <col min="1029" max="1029" width="11.296875" style="481" customWidth="1"/>
    <col min="1030" max="1030" width="8.796875" style="481" customWidth="1"/>
    <col min="1031" max="1031" width="6.296875" style="481" customWidth="1"/>
    <col min="1032" max="1032" width="14.296875" style="481" customWidth="1"/>
    <col min="1033" max="1036" width="8.796875" style="481" customWidth="1"/>
    <col min="1037" max="1037" width="17.796875" style="481" customWidth="1"/>
    <col min="1038" max="1279" width="8.796875" style="481" customWidth="1"/>
    <col min="1280" max="1280" width="32.296875" style="481" bestFit="1" customWidth="1"/>
    <col min="1281" max="1281" width="22.19921875" style="481" customWidth="1"/>
    <col min="1282" max="1282" width="14.296875" style="481" customWidth="1"/>
    <col min="1283" max="1283" width="19" style="481" customWidth="1"/>
    <col min="1284" max="1284" width="8.796875" style="481" customWidth="1"/>
    <col min="1285" max="1285" width="11.296875" style="481" customWidth="1"/>
    <col min="1286" max="1286" width="8.796875" style="481" customWidth="1"/>
    <col min="1287" max="1287" width="6.296875" style="481" customWidth="1"/>
    <col min="1288" max="1288" width="14.296875" style="481" customWidth="1"/>
    <col min="1289" max="1292" width="8.796875" style="481" customWidth="1"/>
    <col min="1293" max="1293" width="17.796875" style="481" customWidth="1"/>
    <col min="1294" max="1535" width="8.796875" style="481" customWidth="1"/>
    <col min="1536" max="1536" width="32.296875" style="481" bestFit="1" customWidth="1"/>
    <col min="1537" max="1537" width="22.19921875" style="481" customWidth="1"/>
    <col min="1538" max="1538" width="14.296875" style="481" customWidth="1"/>
    <col min="1539" max="1539" width="19" style="481" customWidth="1"/>
    <col min="1540" max="1540" width="8.796875" style="481" customWidth="1"/>
    <col min="1541" max="1541" width="11.296875" style="481" customWidth="1"/>
    <col min="1542" max="1542" width="8.796875" style="481" customWidth="1"/>
    <col min="1543" max="1543" width="6.296875" style="481" customWidth="1"/>
    <col min="1544" max="1544" width="14.296875" style="481" customWidth="1"/>
    <col min="1545" max="1548" width="8.796875" style="481" customWidth="1"/>
    <col min="1549" max="1549" width="17.796875" style="481" customWidth="1"/>
    <col min="1550" max="1791" width="8.796875" style="481" customWidth="1"/>
    <col min="1792" max="1792" width="32.296875" style="481" bestFit="1" customWidth="1"/>
    <col min="1793" max="1793" width="22.19921875" style="481" customWidth="1"/>
    <col min="1794" max="1794" width="14.296875" style="481" customWidth="1"/>
    <col min="1795" max="1795" width="19" style="481" customWidth="1"/>
    <col min="1796" max="1796" width="8.796875" style="481" customWidth="1"/>
    <col min="1797" max="1797" width="11.296875" style="481" customWidth="1"/>
    <col min="1798" max="1798" width="8.796875" style="481" customWidth="1"/>
    <col min="1799" max="1799" width="6.296875" style="481" customWidth="1"/>
    <col min="1800" max="1800" width="14.296875" style="481" customWidth="1"/>
    <col min="1801" max="1804" width="8.796875" style="481" customWidth="1"/>
    <col min="1805" max="1805" width="17.796875" style="481" customWidth="1"/>
    <col min="1806" max="2047" width="8.796875" style="481" customWidth="1"/>
    <col min="2048" max="2048" width="32.296875" style="481" bestFit="1" customWidth="1"/>
    <col min="2049" max="2049" width="22.19921875" style="481" customWidth="1"/>
    <col min="2050" max="2050" width="14.296875" style="481" customWidth="1"/>
    <col min="2051" max="2051" width="19" style="481" customWidth="1"/>
    <col min="2052" max="2052" width="8.796875" style="481" customWidth="1"/>
    <col min="2053" max="2053" width="11.296875" style="481" customWidth="1"/>
    <col min="2054" max="2054" width="8.796875" style="481" customWidth="1"/>
    <col min="2055" max="2055" width="6.296875" style="481" customWidth="1"/>
    <col min="2056" max="2056" width="14.296875" style="481" customWidth="1"/>
    <col min="2057" max="2060" width="8.796875" style="481" customWidth="1"/>
    <col min="2061" max="2061" width="17.796875" style="481" customWidth="1"/>
    <col min="2062" max="2303" width="8.796875" style="481" customWidth="1"/>
    <col min="2304" max="2304" width="32.296875" style="481" bestFit="1" customWidth="1"/>
    <col min="2305" max="2305" width="22.19921875" style="481" customWidth="1"/>
    <col min="2306" max="2306" width="14.296875" style="481" customWidth="1"/>
    <col min="2307" max="2307" width="19" style="481" customWidth="1"/>
    <col min="2308" max="2308" width="8.796875" style="481" customWidth="1"/>
    <col min="2309" max="2309" width="11.296875" style="481" customWidth="1"/>
    <col min="2310" max="2310" width="8.796875" style="481" customWidth="1"/>
    <col min="2311" max="2311" width="6.296875" style="481" customWidth="1"/>
    <col min="2312" max="2312" width="14.296875" style="481" customWidth="1"/>
    <col min="2313" max="2316" width="8.796875" style="481" customWidth="1"/>
    <col min="2317" max="2317" width="17.796875" style="481" customWidth="1"/>
    <col min="2318" max="2559" width="8.796875" style="481" customWidth="1"/>
    <col min="2560" max="2560" width="32.296875" style="481" bestFit="1" customWidth="1"/>
    <col min="2561" max="2561" width="22.19921875" style="481" customWidth="1"/>
    <col min="2562" max="2562" width="14.296875" style="481" customWidth="1"/>
    <col min="2563" max="2563" width="19" style="481" customWidth="1"/>
    <col min="2564" max="2564" width="8.796875" style="481" customWidth="1"/>
    <col min="2565" max="2565" width="11.296875" style="481" customWidth="1"/>
    <col min="2566" max="2566" width="8.796875" style="481" customWidth="1"/>
    <col min="2567" max="2567" width="6.296875" style="481" customWidth="1"/>
    <col min="2568" max="2568" width="14.296875" style="481" customWidth="1"/>
    <col min="2569" max="2572" width="8.796875" style="481" customWidth="1"/>
    <col min="2573" max="2573" width="17.796875" style="481" customWidth="1"/>
    <col min="2574" max="2815" width="8.796875" style="481" customWidth="1"/>
    <col min="2816" max="2816" width="32.296875" style="481" bestFit="1" customWidth="1"/>
    <col min="2817" max="2817" width="22.19921875" style="481" customWidth="1"/>
    <col min="2818" max="2818" width="14.296875" style="481" customWidth="1"/>
    <col min="2819" max="2819" width="19" style="481" customWidth="1"/>
    <col min="2820" max="2820" width="8.796875" style="481" customWidth="1"/>
    <col min="2821" max="2821" width="11.296875" style="481" customWidth="1"/>
    <col min="2822" max="2822" width="8.796875" style="481" customWidth="1"/>
    <col min="2823" max="2823" width="6.296875" style="481" customWidth="1"/>
    <col min="2824" max="2824" width="14.296875" style="481" customWidth="1"/>
    <col min="2825" max="2828" width="8.796875" style="481" customWidth="1"/>
    <col min="2829" max="2829" width="17.796875" style="481" customWidth="1"/>
    <col min="2830" max="3071" width="8.796875" style="481" customWidth="1"/>
    <col min="3072" max="3072" width="32.296875" style="481" bestFit="1" customWidth="1"/>
    <col min="3073" max="3073" width="22.19921875" style="481" customWidth="1"/>
    <col min="3074" max="3074" width="14.296875" style="481" customWidth="1"/>
    <col min="3075" max="3075" width="19" style="481" customWidth="1"/>
    <col min="3076" max="3076" width="8.796875" style="481" customWidth="1"/>
    <col min="3077" max="3077" width="11.296875" style="481" customWidth="1"/>
    <col min="3078" max="3078" width="8.796875" style="481" customWidth="1"/>
    <col min="3079" max="3079" width="6.296875" style="481" customWidth="1"/>
    <col min="3080" max="3080" width="14.296875" style="481" customWidth="1"/>
    <col min="3081" max="3084" width="8.796875" style="481" customWidth="1"/>
    <col min="3085" max="3085" width="17.796875" style="481" customWidth="1"/>
    <col min="3086" max="3327" width="8.796875" style="481" customWidth="1"/>
    <col min="3328" max="3328" width="32.296875" style="481" bestFit="1" customWidth="1"/>
    <col min="3329" max="3329" width="22.19921875" style="481" customWidth="1"/>
    <col min="3330" max="3330" width="14.296875" style="481" customWidth="1"/>
    <col min="3331" max="3331" width="19" style="481" customWidth="1"/>
    <col min="3332" max="3332" width="8.796875" style="481" customWidth="1"/>
    <col min="3333" max="3333" width="11.296875" style="481" customWidth="1"/>
    <col min="3334" max="3334" width="8.796875" style="481" customWidth="1"/>
    <col min="3335" max="3335" width="6.296875" style="481" customWidth="1"/>
    <col min="3336" max="3336" width="14.296875" style="481" customWidth="1"/>
    <col min="3337" max="3340" width="8.796875" style="481" customWidth="1"/>
    <col min="3341" max="3341" width="17.796875" style="481" customWidth="1"/>
    <col min="3342" max="3583" width="8.796875" style="481" customWidth="1"/>
    <col min="3584" max="3584" width="32.296875" style="481" bestFit="1" customWidth="1"/>
    <col min="3585" max="3585" width="22.19921875" style="481" customWidth="1"/>
    <col min="3586" max="3586" width="14.296875" style="481" customWidth="1"/>
    <col min="3587" max="3587" width="19" style="481" customWidth="1"/>
    <col min="3588" max="3588" width="8.796875" style="481" customWidth="1"/>
    <col min="3589" max="3589" width="11.296875" style="481" customWidth="1"/>
    <col min="3590" max="3590" width="8.796875" style="481" customWidth="1"/>
    <col min="3591" max="3591" width="6.296875" style="481" customWidth="1"/>
    <col min="3592" max="3592" width="14.296875" style="481" customWidth="1"/>
    <col min="3593" max="3596" width="8.796875" style="481" customWidth="1"/>
    <col min="3597" max="3597" width="17.796875" style="481" customWidth="1"/>
    <col min="3598" max="3839" width="8.796875" style="481" customWidth="1"/>
    <col min="3840" max="3840" width="32.296875" style="481" bestFit="1" customWidth="1"/>
    <col min="3841" max="3841" width="22.19921875" style="481" customWidth="1"/>
    <col min="3842" max="3842" width="14.296875" style="481" customWidth="1"/>
    <col min="3843" max="3843" width="19" style="481" customWidth="1"/>
    <col min="3844" max="3844" width="8.796875" style="481" customWidth="1"/>
    <col min="3845" max="3845" width="11.296875" style="481" customWidth="1"/>
    <col min="3846" max="3846" width="8.796875" style="481" customWidth="1"/>
    <col min="3847" max="3847" width="6.296875" style="481" customWidth="1"/>
    <col min="3848" max="3848" width="14.296875" style="481" customWidth="1"/>
    <col min="3849" max="3852" width="8.796875" style="481" customWidth="1"/>
    <col min="3853" max="3853" width="17.796875" style="481" customWidth="1"/>
    <col min="3854" max="4095" width="8.796875" style="481" customWidth="1"/>
    <col min="4096" max="4096" width="32.296875" style="481" bestFit="1" customWidth="1"/>
    <col min="4097" max="4097" width="22.19921875" style="481" customWidth="1"/>
    <col min="4098" max="4098" width="14.296875" style="481" customWidth="1"/>
    <col min="4099" max="4099" width="19" style="481" customWidth="1"/>
    <col min="4100" max="4100" width="8.796875" style="481" customWidth="1"/>
    <col min="4101" max="4101" width="11.296875" style="481" customWidth="1"/>
    <col min="4102" max="4102" width="8.796875" style="481" customWidth="1"/>
    <col min="4103" max="4103" width="6.296875" style="481" customWidth="1"/>
    <col min="4104" max="4104" width="14.296875" style="481" customWidth="1"/>
    <col min="4105" max="4108" width="8.796875" style="481" customWidth="1"/>
    <col min="4109" max="4109" width="17.796875" style="481" customWidth="1"/>
    <col min="4110" max="4351" width="8.796875" style="481" customWidth="1"/>
    <col min="4352" max="4352" width="32.296875" style="481" bestFit="1" customWidth="1"/>
    <col min="4353" max="4353" width="22.19921875" style="481" customWidth="1"/>
    <col min="4354" max="4354" width="14.296875" style="481" customWidth="1"/>
    <col min="4355" max="4355" width="19" style="481" customWidth="1"/>
    <col min="4356" max="4356" width="8.796875" style="481" customWidth="1"/>
    <col min="4357" max="4357" width="11.296875" style="481" customWidth="1"/>
    <col min="4358" max="4358" width="8.796875" style="481" customWidth="1"/>
    <col min="4359" max="4359" width="6.296875" style="481" customWidth="1"/>
    <col min="4360" max="4360" width="14.296875" style="481" customWidth="1"/>
    <col min="4361" max="4364" width="8.796875" style="481" customWidth="1"/>
    <col min="4365" max="4365" width="17.796875" style="481" customWidth="1"/>
    <col min="4366" max="4607" width="8.796875" style="481" customWidth="1"/>
    <col min="4608" max="4608" width="32.296875" style="481" bestFit="1" customWidth="1"/>
    <col min="4609" max="4609" width="22.19921875" style="481" customWidth="1"/>
    <col min="4610" max="4610" width="14.296875" style="481" customWidth="1"/>
    <col min="4611" max="4611" width="19" style="481" customWidth="1"/>
    <col min="4612" max="4612" width="8.796875" style="481" customWidth="1"/>
    <col min="4613" max="4613" width="11.296875" style="481" customWidth="1"/>
    <col min="4614" max="4614" width="8.796875" style="481" customWidth="1"/>
    <col min="4615" max="4615" width="6.296875" style="481" customWidth="1"/>
    <col min="4616" max="4616" width="14.296875" style="481" customWidth="1"/>
    <col min="4617" max="4620" width="8.796875" style="481" customWidth="1"/>
    <col min="4621" max="4621" width="17.796875" style="481" customWidth="1"/>
    <col min="4622" max="4863" width="8.796875" style="481" customWidth="1"/>
    <col min="4864" max="4864" width="32.296875" style="481" bestFit="1" customWidth="1"/>
    <col min="4865" max="4865" width="22.19921875" style="481" customWidth="1"/>
    <col min="4866" max="4866" width="14.296875" style="481" customWidth="1"/>
    <col min="4867" max="4867" width="19" style="481" customWidth="1"/>
    <col min="4868" max="4868" width="8.796875" style="481" customWidth="1"/>
    <col min="4869" max="4869" width="11.296875" style="481" customWidth="1"/>
    <col min="4870" max="4870" width="8.796875" style="481" customWidth="1"/>
    <col min="4871" max="4871" width="6.296875" style="481" customWidth="1"/>
    <col min="4872" max="4872" width="14.296875" style="481" customWidth="1"/>
    <col min="4873" max="4876" width="8.796875" style="481" customWidth="1"/>
    <col min="4877" max="4877" width="17.796875" style="481" customWidth="1"/>
    <col min="4878" max="5119" width="8.796875" style="481" customWidth="1"/>
    <col min="5120" max="5120" width="32.296875" style="481" bestFit="1" customWidth="1"/>
    <col min="5121" max="5121" width="22.19921875" style="481" customWidth="1"/>
    <col min="5122" max="5122" width="14.296875" style="481" customWidth="1"/>
    <col min="5123" max="5123" width="19" style="481" customWidth="1"/>
    <col min="5124" max="5124" width="8.796875" style="481" customWidth="1"/>
    <col min="5125" max="5125" width="11.296875" style="481" customWidth="1"/>
    <col min="5126" max="5126" width="8.796875" style="481" customWidth="1"/>
    <col min="5127" max="5127" width="6.296875" style="481" customWidth="1"/>
    <col min="5128" max="5128" width="14.296875" style="481" customWidth="1"/>
    <col min="5129" max="5132" width="8.796875" style="481" customWidth="1"/>
    <col min="5133" max="5133" width="17.796875" style="481" customWidth="1"/>
    <col min="5134" max="5375" width="8.796875" style="481" customWidth="1"/>
    <col min="5376" max="5376" width="32.296875" style="481" bestFit="1" customWidth="1"/>
    <col min="5377" max="5377" width="22.19921875" style="481" customWidth="1"/>
    <col min="5378" max="5378" width="14.296875" style="481" customWidth="1"/>
    <col min="5379" max="5379" width="19" style="481" customWidth="1"/>
    <col min="5380" max="5380" width="8.796875" style="481" customWidth="1"/>
    <col min="5381" max="5381" width="11.296875" style="481" customWidth="1"/>
    <col min="5382" max="5382" width="8.796875" style="481" customWidth="1"/>
    <col min="5383" max="5383" width="6.296875" style="481" customWidth="1"/>
    <col min="5384" max="5384" width="14.296875" style="481" customWidth="1"/>
    <col min="5385" max="5388" width="8.796875" style="481" customWidth="1"/>
    <col min="5389" max="5389" width="17.796875" style="481" customWidth="1"/>
    <col min="5390" max="5631" width="8.796875" style="481" customWidth="1"/>
    <col min="5632" max="5632" width="32.296875" style="481" bestFit="1" customWidth="1"/>
    <col min="5633" max="5633" width="22.19921875" style="481" customWidth="1"/>
    <col min="5634" max="5634" width="14.296875" style="481" customWidth="1"/>
    <col min="5635" max="5635" width="19" style="481" customWidth="1"/>
    <col min="5636" max="5636" width="8.796875" style="481" customWidth="1"/>
    <col min="5637" max="5637" width="11.296875" style="481" customWidth="1"/>
    <col min="5638" max="5638" width="8.796875" style="481" customWidth="1"/>
    <col min="5639" max="5639" width="6.296875" style="481" customWidth="1"/>
    <col min="5640" max="5640" width="14.296875" style="481" customWidth="1"/>
    <col min="5641" max="5644" width="8.796875" style="481" customWidth="1"/>
    <col min="5645" max="5645" width="17.796875" style="481" customWidth="1"/>
    <col min="5646" max="5887" width="8.796875" style="481" customWidth="1"/>
    <col min="5888" max="5888" width="32.296875" style="481" bestFit="1" customWidth="1"/>
    <col min="5889" max="5889" width="22.19921875" style="481" customWidth="1"/>
    <col min="5890" max="5890" width="14.296875" style="481" customWidth="1"/>
    <col min="5891" max="5891" width="19" style="481" customWidth="1"/>
    <col min="5892" max="5892" width="8.796875" style="481" customWidth="1"/>
    <col min="5893" max="5893" width="11.296875" style="481" customWidth="1"/>
    <col min="5894" max="5894" width="8.796875" style="481" customWidth="1"/>
    <col min="5895" max="5895" width="6.296875" style="481" customWidth="1"/>
    <col min="5896" max="5896" width="14.296875" style="481" customWidth="1"/>
    <col min="5897" max="5900" width="8.796875" style="481" customWidth="1"/>
    <col min="5901" max="5901" width="17.796875" style="481" customWidth="1"/>
    <col min="5902" max="6143" width="8.796875" style="481" customWidth="1"/>
    <col min="6144" max="6144" width="32.296875" style="481" bestFit="1" customWidth="1"/>
    <col min="6145" max="6145" width="22.19921875" style="481" customWidth="1"/>
    <col min="6146" max="6146" width="14.296875" style="481" customWidth="1"/>
    <col min="6147" max="6147" width="19" style="481" customWidth="1"/>
    <col min="6148" max="6148" width="8.796875" style="481" customWidth="1"/>
    <col min="6149" max="6149" width="11.296875" style="481" customWidth="1"/>
    <col min="6150" max="6150" width="8.796875" style="481" customWidth="1"/>
    <col min="6151" max="6151" width="6.296875" style="481" customWidth="1"/>
    <col min="6152" max="6152" width="14.296875" style="481" customWidth="1"/>
    <col min="6153" max="6156" width="8.796875" style="481" customWidth="1"/>
    <col min="6157" max="6157" width="17.796875" style="481" customWidth="1"/>
    <col min="6158" max="6399" width="8.796875" style="481" customWidth="1"/>
    <col min="6400" max="6400" width="32.296875" style="481" bestFit="1" customWidth="1"/>
    <col min="6401" max="6401" width="22.19921875" style="481" customWidth="1"/>
    <col min="6402" max="6402" width="14.296875" style="481" customWidth="1"/>
    <col min="6403" max="6403" width="19" style="481" customWidth="1"/>
    <col min="6404" max="6404" width="8.796875" style="481" customWidth="1"/>
    <col min="6405" max="6405" width="11.296875" style="481" customWidth="1"/>
    <col min="6406" max="6406" width="8.796875" style="481" customWidth="1"/>
    <col min="6407" max="6407" width="6.296875" style="481" customWidth="1"/>
    <col min="6408" max="6408" width="14.296875" style="481" customWidth="1"/>
    <col min="6409" max="6412" width="8.796875" style="481" customWidth="1"/>
    <col min="6413" max="6413" width="17.796875" style="481" customWidth="1"/>
    <col min="6414" max="6655" width="8.796875" style="481" customWidth="1"/>
    <col min="6656" max="6656" width="32.296875" style="481" bestFit="1" customWidth="1"/>
    <col min="6657" max="6657" width="22.19921875" style="481" customWidth="1"/>
    <col min="6658" max="6658" width="14.296875" style="481" customWidth="1"/>
    <col min="6659" max="6659" width="19" style="481" customWidth="1"/>
    <col min="6660" max="6660" width="8.796875" style="481" customWidth="1"/>
    <col min="6661" max="6661" width="11.296875" style="481" customWidth="1"/>
    <col min="6662" max="6662" width="8.796875" style="481" customWidth="1"/>
    <col min="6663" max="6663" width="6.296875" style="481" customWidth="1"/>
    <col min="6664" max="6664" width="14.296875" style="481" customWidth="1"/>
    <col min="6665" max="6668" width="8.796875" style="481" customWidth="1"/>
    <col min="6669" max="6669" width="17.796875" style="481" customWidth="1"/>
    <col min="6670" max="6911" width="8.796875" style="481" customWidth="1"/>
    <col min="6912" max="6912" width="32.296875" style="481" bestFit="1" customWidth="1"/>
    <col min="6913" max="6913" width="22.19921875" style="481" customWidth="1"/>
    <col min="6914" max="6914" width="14.296875" style="481" customWidth="1"/>
    <col min="6915" max="6915" width="19" style="481" customWidth="1"/>
    <col min="6916" max="6916" width="8.796875" style="481" customWidth="1"/>
    <col min="6917" max="6917" width="11.296875" style="481" customWidth="1"/>
    <col min="6918" max="6918" width="8.796875" style="481" customWidth="1"/>
    <col min="6919" max="6919" width="6.296875" style="481" customWidth="1"/>
    <col min="6920" max="6920" width="14.296875" style="481" customWidth="1"/>
    <col min="6921" max="6924" width="8.796875" style="481" customWidth="1"/>
    <col min="6925" max="6925" width="17.796875" style="481" customWidth="1"/>
    <col min="6926" max="7167" width="8.796875" style="481" customWidth="1"/>
    <col min="7168" max="7168" width="32.296875" style="481" bestFit="1" customWidth="1"/>
    <col min="7169" max="7169" width="22.19921875" style="481" customWidth="1"/>
    <col min="7170" max="7170" width="14.296875" style="481" customWidth="1"/>
    <col min="7171" max="7171" width="19" style="481" customWidth="1"/>
    <col min="7172" max="7172" width="8.796875" style="481" customWidth="1"/>
    <col min="7173" max="7173" width="11.296875" style="481" customWidth="1"/>
    <col min="7174" max="7174" width="8.796875" style="481" customWidth="1"/>
    <col min="7175" max="7175" width="6.296875" style="481" customWidth="1"/>
    <col min="7176" max="7176" width="14.296875" style="481" customWidth="1"/>
    <col min="7177" max="7180" width="8.796875" style="481" customWidth="1"/>
    <col min="7181" max="7181" width="17.796875" style="481" customWidth="1"/>
    <col min="7182" max="7423" width="8.796875" style="481" customWidth="1"/>
    <col min="7424" max="7424" width="32.296875" style="481" bestFit="1" customWidth="1"/>
    <col min="7425" max="7425" width="22.19921875" style="481" customWidth="1"/>
    <col min="7426" max="7426" width="14.296875" style="481" customWidth="1"/>
    <col min="7427" max="7427" width="19" style="481" customWidth="1"/>
    <col min="7428" max="7428" width="8.796875" style="481" customWidth="1"/>
    <col min="7429" max="7429" width="11.296875" style="481" customWidth="1"/>
    <col min="7430" max="7430" width="8.796875" style="481" customWidth="1"/>
    <col min="7431" max="7431" width="6.296875" style="481" customWidth="1"/>
    <col min="7432" max="7432" width="14.296875" style="481" customWidth="1"/>
    <col min="7433" max="7436" width="8.796875" style="481" customWidth="1"/>
    <col min="7437" max="7437" width="17.796875" style="481" customWidth="1"/>
    <col min="7438" max="7679" width="8.796875" style="481" customWidth="1"/>
    <col min="7680" max="7680" width="32.296875" style="481" bestFit="1" customWidth="1"/>
    <col min="7681" max="7681" width="22.19921875" style="481" customWidth="1"/>
    <col min="7682" max="7682" width="14.296875" style="481" customWidth="1"/>
    <col min="7683" max="7683" width="19" style="481" customWidth="1"/>
    <col min="7684" max="7684" width="8.796875" style="481" customWidth="1"/>
    <col min="7685" max="7685" width="11.296875" style="481" customWidth="1"/>
    <col min="7686" max="7686" width="8.796875" style="481" customWidth="1"/>
    <col min="7687" max="7687" width="6.296875" style="481" customWidth="1"/>
    <col min="7688" max="7688" width="14.296875" style="481" customWidth="1"/>
    <col min="7689" max="7692" width="8.796875" style="481" customWidth="1"/>
    <col min="7693" max="7693" width="17.796875" style="481" customWidth="1"/>
    <col min="7694" max="7935" width="8.796875" style="481" customWidth="1"/>
    <col min="7936" max="7936" width="32.296875" style="481" bestFit="1" customWidth="1"/>
    <col min="7937" max="7937" width="22.19921875" style="481" customWidth="1"/>
    <col min="7938" max="7938" width="14.296875" style="481" customWidth="1"/>
    <col min="7939" max="7939" width="19" style="481" customWidth="1"/>
    <col min="7940" max="7940" width="8.796875" style="481" customWidth="1"/>
    <col min="7941" max="7941" width="11.296875" style="481" customWidth="1"/>
    <col min="7942" max="7942" width="8.796875" style="481" customWidth="1"/>
    <col min="7943" max="7943" width="6.296875" style="481" customWidth="1"/>
    <col min="7944" max="7944" width="14.296875" style="481" customWidth="1"/>
    <col min="7945" max="7948" width="8.796875" style="481" customWidth="1"/>
    <col min="7949" max="7949" width="17.796875" style="481" customWidth="1"/>
    <col min="7950" max="8191" width="8.796875" style="481" customWidth="1"/>
    <col min="8192" max="8192" width="32.296875" style="481" bestFit="1" customWidth="1"/>
    <col min="8193" max="8193" width="22.19921875" style="481" customWidth="1"/>
    <col min="8194" max="8194" width="14.296875" style="481" customWidth="1"/>
    <col min="8195" max="8195" width="19" style="481" customWidth="1"/>
    <col min="8196" max="8196" width="8.796875" style="481" customWidth="1"/>
    <col min="8197" max="8197" width="11.296875" style="481" customWidth="1"/>
    <col min="8198" max="8198" width="8.796875" style="481" customWidth="1"/>
    <col min="8199" max="8199" width="6.296875" style="481" customWidth="1"/>
    <col min="8200" max="8200" width="14.296875" style="481" customWidth="1"/>
    <col min="8201" max="8204" width="8.796875" style="481" customWidth="1"/>
    <col min="8205" max="8205" width="17.796875" style="481" customWidth="1"/>
    <col min="8206" max="8447" width="8.796875" style="481" customWidth="1"/>
    <col min="8448" max="8448" width="32.296875" style="481" bestFit="1" customWidth="1"/>
    <col min="8449" max="8449" width="22.19921875" style="481" customWidth="1"/>
    <col min="8450" max="8450" width="14.296875" style="481" customWidth="1"/>
    <col min="8451" max="8451" width="19" style="481" customWidth="1"/>
    <col min="8452" max="8452" width="8.796875" style="481" customWidth="1"/>
    <col min="8453" max="8453" width="11.296875" style="481" customWidth="1"/>
    <col min="8454" max="8454" width="8.796875" style="481" customWidth="1"/>
    <col min="8455" max="8455" width="6.296875" style="481" customWidth="1"/>
    <col min="8456" max="8456" width="14.296875" style="481" customWidth="1"/>
    <col min="8457" max="8460" width="8.796875" style="481" customWidth="1"/>
    <col min="8461" max="8461" width="17.796875" style="481" customWidth="1"/>
    <col min="8462" max="8703" width="8.796875" style="481" customWidth="1"/>
    <col min="8704" max="8704" width="32.296875" style="481" bestFit="1" customWidth="1"/>
    <col min="8705" max="8705" width="22.19921875" style="481" customWidth="1"/>
    <col min="8706" max="8706" width="14.296875" style="481" customWidth="1"/>
    <col min="8707" max="8707" width="19" style="481" customWidth="1"/>
    <col min="8708" max="8708" width="8.796875" style="481" customWidth="1"/>
    <col min="8709" max="8709" width="11.296875" style="481" customWidth="1"/>
    <col min="8710" max="8710" width="8.796875" style="481" customWidth="1"/>
    <col min="8711" max="8711" width="6.296875" style="481" customWidth="1"/>
    <col min="8712" max="8712" width="14.296875" style="481" customWidth="1"/>
    <col min="8713" max="8716" width="8.796875" style="481" customWidth="1"/>
    <col min="8717" max="8717" width="17.796875" style="481" customWidth="1"/>
    <col min="8718" max="8959" width="8.796875" style="481" customWidth="1"/>
    <col min="8960" max="8960" width="32.296875" style="481" bestFit="1" customWidth="1"/>
    <col min="8961" max="8961" width="22.19921875" style="481" customWidth="1"/>
    <col min="8962" max="8962" width="14.296875" style="481" customWidth="1"/>
    <col min="8963" max="8963" width="19" style="481" customWidth="1"/>
    <col min="8964" max="8964" width="8.796875" style="481" customWidth="1"/>
    <col min="8965" max="8965" width="11.296875" style="481" customWidth="1"/>
    <col min="8966" max="8966" width="8.796875" style="481" customWidth="1"/>
    <col min="8967" max="8967" width="6.296875" style="481" customWidth="1"/>
    <col min="8968" max="8968" width="14.296875" style="481" customWidth="1"/>
    <col min="8969" max="8972" width="8.796875" style="481" customWidth="1"/>
    <col min="8973" max="8973" width="17.796875" style="481" customWidth="1"/>
    <col min="8974" max="9215" width="8.796875" style="481" customWidth="1"/>
    <col min="9216" max="9216" width="32.296875" style="481" bestFit="1" customWidth="1"/>
    <col min="9217" max="9217" width="22.19921875" style="481" customWidth="1"/>
    <col min="9218" max="9218" width="14.296875" style="481" customWidth="1"/>
    <col min="9219" max="9219" width="19" style="481" customWidth="1"/>
    <col min="9220" max="9220" width="8.796875" style="481" customWidth="1"/>
    <col min="9221" max="9221" width="11.296875" style="481" customWidth="1"/>
    <col min="9222" max="9222" width="8.796875" style="481" customWidth="1"/>
    <col min="9223" max="9223" width="6.296875" style="481" customWidth="1"/>
    <col min="9224" max="9224" width="14.296875" style="481" customWidth="1"/>
    <col min="9225" max="9228" width="8.796875" style="481" customWidth="1"/>
    <col min="9229" max="9229" width="17.796875" style="481" customWidth="1"/>
    <col min="9230" max="9471" width="8.796875" style="481" customWidth="1"/>
    <col min="9472" max="9472" width="32.296875" style="481" bestFit="1" customWidth="1"/>
    <col min="9473" max="9473" width="22.19921875" style="481" customWidth="1"/>
    <col min="9474" max="9474" width="14.296875" style="481" customWidth="1"/>
    <col min="9475" max="9475" width="19" style="481" customWidth="1"/>
    <col min="9476" max="9476" width="8.796875" style="481" customWidth="1"/>
    <col min="9477" max="9477" width="11.296875" style="481" customWidth="1"/>
    <col min="9478" max="9478" width="8.796875" style="481" customWidth="1"/>
    <col min="9479" max="9479" width="6.296875" style="481" customWidth="1"/>
    <col min="9480" max="9480" width="14.296875" style="481" customWidth="1"/>
    <col min="9481" max="9484" width="8.796875" style="481" customWidth="1"/>
    <col min="9485" max="9485" width="17.796875" style="481" customWidth="1"/>
    <col min="9486" max="9727" width="8.796875" style="481" customWidth="1"/>
    <col min="9728" max="9728" width="32.296875" style="481" bestFit="1" customWidth="1"/>
    <col min="9729" max="9729" width="22.19921875" style="481" customWidth="1"/>
    <col min="9730" max="9730" width="14.296875" style="481" customWidth="1"/>
    <col min="9731" max="9731" width="19" style="481" customWidth="1"/>
    <col min="9732" max="9732" width="8.796875" style="481" customWidth="1"/>
    <col min="9733" max="9733" width="11.296875" style="481" customWidth="1"/>
    <col min="9734" max="9734" width="8.796875" style="481" customWidth="1"/>
    <col min="9735" max="9735" width="6.296875" style="481" customWidth="1"/>
    <col min="9736" max="9736" width="14.296875" style="481" customWidth="1"/>
    <col min="9737" max="9740" width="8.796875" style="481" customWidth="1"/>
    <col min="9741" max="9741" width="17.796875" style="481" customWidth="1"/>
    <col min="9742" max="9983" width="8.796875" style="481" customWidth="1"/>
    <col min="9984" max="9984" width="32.296875" style="481" bestFit="1" customWidth="1"/>
    <col min="9985" max="9985" width="22.19921875" style="481" customWidth="1"/>
    <col min="9986" max="9986" width="14.296875" style="481" customWidth="1"/>
    <col min="9987" max="9987" width="19" style="481" customWidth="1"/>
    <col min="9988" max="9988" width="8.796875" style="481" customWidth="1"/>
    <col min="9989" max="9989" width="11.296875" style="481" customWidth="1"/>
    <col min="9990" max="9990" width="8.796875" style="481" customWidth="1"/>
    <col min="9991" max="9991" width="6.296875" style="481" customWidth="1"/>
    <col min="9992" max="9992" width="14.296875" style="481" customWidth="1"/>
    <col min="9993" max="9996" width="8.796875" style="481" customWidth="1"/>
    <col min="9997" max="9997" width="17.796875" style="481" customWidth="1"/>
    <col min="9998" max="10239" width="8.796875" style="481" customWidth="1"/>
    <col min="10240" max="10240" width="32.296875" style="481" bestFit="1" customWidth="1"/>
    <col min="10241" max="10241" width="22.19921875" style="481" customWidth="1"/>
    <col min="10242" max="10242" width="14.296875" style="481" customWidth="1"/>
    <col min="10243" max="10243" width="19" style="481" customWidth="1"/>
    <col min="10244" max="10244" width="8.796875" style="481" customWidth="1"/>
    <col min="10245" max="10245" width="11.296875" style="481" customWidth="1"/>
    <col min="10246" max="10246" width="8.796875" style="481" customWidth="1"/>
    <col min="10247" max="10247" width="6.296875" style="481" customWidth="1"/>
    <col min="10248" max="10248" width="14.296875" style="481" customWidth="1"/>
    <col min="10249" max="10252" width="8.796875" style="481" customWidth="1"/>
    <col min="10253" max="10253" width="17.796875" style="481" customWidth="1"/>
    <col min="10254" max="10495" width="8.796875" style="481" customWidth="1"/>
    <col min="10496" max="10496" width="32.296875" style="481" bestFit="1" customWidth="1"/>
    <col min="10497" max="10497" width="22.19921875" style="481" customWidth="1"/>
    <col min="10498" max="10498" width="14.296875" style="481" customWidth="1"/>
    <col min="10499" max="10499" width="19" style="481" customWidth="1"/>
    <col min="10500" max="10500" width="8.796875" style="481" customWidth="1"/>
    <col min="10501" max="10501" width="11.296875" style="481" customWidth="1"/>
    <col min="10502" max="10502" width="8.796875" style="481" customWidth="1"/>
    <col min="10503" max="10503" width="6.296875" style="481" customWidth="1"/>
    <col min="10504" max="10504" width="14.296875" style="481" customWidth="1"/>
    <col min="10505" max="10508" width="8.796875" style="481" customWidth="1"/>
    <col min="10509" max="10509" width="17.796875" style="481" customWidth="1"/>
    <col min="10510" max="10751" width="8.796875" style="481" customWidth="1"/>
    <col min="10752" max="10752" width="32.296875" style="481" bestFit="1" customWidth="1"/>
    <col min="10753" max="10753" width="22.19921875" style="481" customWidth="1"/>
    <col min="10754" max="10754" width="14.296875" style="481" customWidth="1"/>
    <col min="10755" max="10755" width="19" style="481" customWidth="1"/>
    <col min="10756" max="10756" width="8.796875" style="481" customWidth="1"/>
    <col min="10757" max="10757" width="11.296875" style="481" customWidth="1"/>
    <col min="10758" max="10758" width="8.796875" style="481" customWidth="1"/>
    <col min="10759" max="10759" width="6.296875" style="481" customWidth="1"/>
    <col min="10760" max="10760" width="14.296875" style="481" customWidth="1"/>
    <col min="10761" max="10764" width="8.796875" style="481" customWidth="1"/>
    <col min="10765" max="10765" width="17.796875" style="481" customWidth="1"/>
    <col min="10766" max="11007" width="8.796875" style="481" customWidth="1"/>
    <col min="11008" max="11008" width="32.296875" style="481" bestFit="1" customWidth="1"/>
    <col min="11009" max="11009" width="22.19921875" style="481" customWidth="1"/>
    <col min="11010" max="11010" width="14.296875" style="481" customWidth="1"/>
    <col min="11011" max="11011" width="19" style="481" customWidth="1"/>
    <col min="11012" max="11012" width="8.796875" style="481" customWidth="1"/>
    <col min="11013" max="11013" width="11.296875" style="481" customWidth="1"/>
    <col min="11014" max="11014" width="8.796875" style="481" customWidth="1"/>
    <col min="11015" max="11015" width="6.296875" style="481" customWidth="1"/>
    <col min="11016" max="11016" width="14.296875" style="481" customWidth="1"/>
    <col min="11017" max="11020" width="8.796875" style="481" customWidth="1"/>
    <col min="11021" max="11021" width="17.796875" style="481" customWidth="1"/>
    <col min="11022" max="11263" width="8.796875" style="481" customWidth="1"/>
    <col min="11264" max="11264" width="32.296875" style="481" bestFit="1" customWidth="1"/>
    <col min="11265" max="11265" width="22.19921875" style="481" customWidth="1"/>
    <col min="11266" max="11266" width="14.296875" style="481" customWidth="1"/>
    <col min="11267" max="11267" width="19" style="481" customWidth="1"/>
    <col min="11268" max="11268" width="8.796875" style="481" customWidth="1"/>
    <col min="11269" max="11269" width="11.296875" style="481" customWidth="1"/>
    <col min="11270" max="11270" width="8.796875" style="481" customWidth="1"/>
    <col min="11271" max="11271" width="6.296875" style="481" customWidth="1"/>
    <col min="11272" max="11272" width="14.296875" style="481" customWidth="1"/>
    <col min="11273" max="11276" width="8.796875" style="481" customWidth="1"/>
    <col min="11277" max="11277" width="17.796875" style="481" customWidth="1"/>
    <col min="11278" max="11519" width="8.796875" style="481" customWidth="1"/>
    <col min="11520" max="11520" width="32.296875" style="481" bestFit="1" customWidth="1"/>
    <col min="11521" max="11521" width="22.19921875" style="481" customWidth="1"/>
    <col min="11522" max="11522" width="14.296875" style="481" customWidth="1"/>
    <col min="11523" max="11523" width="19" style="481" customWidth="1"/>
    <col min="11524" max="11524" width="8.796875" style="481" customWidth="1"/>
    <col min="11525" max="11525" width="11.296875" style="481" customWidth="1"/>
    <col min="11526" max="11526" width="8.796875" style="481" customWidth="1"/>
    <col min="11527" max="11527" width="6.296875" style="481" customWidth="1"/>
    <col min="11528" max="11528" width="14.296875" style="481" customWidth="1"/>
    <col min="11529" max="11532" width="8.796875" style="481" customWidth="1"/>
    <col min="11533" max="11533" width="17.796875" style="481" customWidth="1"/>
    <col min="11534" max="11775" width="8.796875" style="481" customWidth="1"/>
    <col min="11776" max="11776" width="32.296875" style="481" bestFit="1" customWidth="1"/>
    <col min="11777" max="11777" width="22.19921875" style="481" customWidth="1"/>
    <col min="11778" max="11778" width="14.296875" style="481" customWidth="1"/>
    <col min="11779" max="11779" width="19" style="481" customWidth="1"/>
    <col min="11780" max="11780" width="8.796875" style="481" customWidth="1"/>
    <col min="11781" max="11781" width="11.296875" style="481" customWidth="1"/>
    <col min="11782" max="11782" width="8.796875" style="481" customWidth="1"/>
    <col min="11783" max="11783" width="6.296875" style="481" customWidth="1"/>
    <col min="11784" max="11784" width="14.296875" style="481" customWidth="1"/>
    <col min="11785" max="11788" width="8.796875" style="481" customWidth="1"/>
    <col min="11789" max="11789" width="17.796875" style="481" customWidth="1"/>
    <col min="11790" max="12031" width="8.796875" style="481" customWidth="1"/>
    <col min="12032" max="12032" width="32.296875" style="481" bestFit="1" customWidth="1"/>
    <col min="12033" max="12033" width="22.19921875" style="481" customWidth="1"/>
    <col min="12034" max="12034" width="14.296875" style="481" customWidth="1"/>
    <col min="12035" max="12035" width="19" style="481" customWidth="1"/>
    <col min="12036" max="12036" width="8.796875" style="481" customWidth="1"/>
    <col min="12037" max="12037" width="11.296875" style="481" customWidth="1"/>
    <col min="12038" max="12038" width="8.796875" style="481" customWidth="1"/>
    <col min="12039" max="12039" width="6.296875" style="481" customWidth="1"/>
    <col min="12040" max="12040" width="14.296875" style="481" customWidth="1"/>
    <col min="12041" max="12044" width="8.796875" style="481" customWidth="1"/>
    <col min="12045" max="12045" width="17.796875" style="481" customWidth="1"/>
    <col min="12046" max="12287" width="8.796875" style="481" customWidth="1"/>
    <col min="12288" max="12288" width="32.296875" style="481" bestFit="1" customWidth="1"/>
    <col min="12289" max="12289" width="22.19921875" style="481" customWidth="1"/>
    <col min="12290" max="12290" width="14.296875" style="481" customWidth="1"/>
    <col min="12291" max="12291" width="19" style="481" customWidth="1"/>
    <col min="12292" max="12292" width="8.796875" style="481" customWidth="1"/>
    <col min="12293" max="12293" width="11.296875" style="481" customWidth="1"/>
    <col min="12294" max="12294" width="8.796875" style="481" customWidth="1"/>
    <col min="12295" max="12295" width="6.296875" style="481" customWidth="1"/>
    <col min="12296" max="12296" width="14.296875" style="481" customWidth="1"/>
    <col min="12297" max="12300" width="8.796875" style="481" customWidth="1"/>
    <col min="12301" max="12301" width="17.796875" style="481" customWidth="1"/>
    <col min="12302" max="12543" width="8.796875" style="481" customWidth="1"/>
    <col min="12544" max="12544" width="32.296875" style="481" bestFit="1" customWidth="1"/>
    <col min="12545" max="12545" width="22.19921875" style="481" customWidth="1"/>
    <col min="12546" max="12546" width="14.296875" style="481" customWidth="1"/>
    <col min="12547" max="12547" width="19" style="481" customWidth="1"/>
    <col min="12548" max="12548" width="8.796875" style="481" customWidth="1"/>
    <col min="12549" max="12549" width="11.296875" style="481" customWidth="1"/>
    <col min="12550" max="12550" width="8.796875" style="481" customWidth="1"/>
    <col min="12551" max="12551" width="6.296875" style="481" customWidth="1"/>
    <col min="12552" max="12552" width="14.296875" style="481" customWidth="1"/>
    <col min="12553" max="12556" width="8.796875" style="481" customWidth="1"/>
    <col min="12557" max="12557" width="17.796875" style="481" customWidth="1"/>
    <col min="12558" max="12799" width="8.796875" style="481" customWidth="1"/>
    <col min="12800" max="12800" width="32.296875" style="481" bestFit="1" customWidth="1"/>
    <col min="12801" max="12801" width="22.19921875" style="481" customWidth="1"/>
    <col min="12802" max="12802" width="14.296875" style="481" customWidth="1"/>
    <col min="12803" max="12803" width="19" style="481" customWidth="1"/>
    <col min="12804" max="12804" width="8.796875" style="481" customWidth="1"/>
    <col min="12805" max="12805" width="11.296875" style="481" customWidth="1"/>
    <col min="12806" max="12806" width="8.796875" style="481" customWidth="1"/>
    <col min="12807" max="12807" width="6.296875" style="481" customWidth="1"/>
    <col min="12808" max="12808" width="14.296875" style="481" customWidth="1"/>
    <col min="12809" max="12812" width="8.796875" style="481" customWidth="1"/>
    <col min="12813" max="12813" width="17.796875" style="481" customWidth="1"/>
    <col min="12814" max="13055" width="8.796875" style="481" customWidth="1"/>
    <col min="13056" max="13056" width="32.296875" style="481" bestFit="1" customWidth="1"/>
    <col min="13057" max="13057" width="22.19921875" style="481" customWidth="1"/>
    <col min="13058" max="13058" width="14.296875" style="481" customWidth="1"/>
    <col min="13059" max="13059" width="19" style="481" customWidth="1"/>
    <col min="13060" max="13060" width="8.796875" style="481" customWidth="1"/>
    <col min="13061" max="13061" width="11.296875" style="481" customWidth="1"/>
    <col min="13062" max="13062" width="8.796875" style="481" customWidth="1"/>
    <col min="13063" max="13063" width="6.296875" style="481" customWidth="1"/>
    <col min="13064" max="13064" width="14.296875" style="481" customWidth="1"/>
    <col min="13065" max="13068" width="8.796875" style="481" customWidth="1"/>
    <col min="13069" max="13069" width="17.796875" style="481" customWidth="1"/>
    <col min="13070" max="13311" width="8.796875" style="481" customWidth="1"/>
    <col min="13312" max="13312" width="32.296875" style="481" bestFit="1" customWidth="1"/>
    <col min="13313" max="13313" width="22.19921875" style="481" customWidth="1"/>
    <col min="13314" max="13314" width="14.296875" style="481" customWidth="1"/>
    <col min="13315" max="13315" width="19" style="481" customWidth="1"/>
    <col min="13316" max="13316" width="8.796875" style="481" customWidth="1"/>
    <col min="13317" max="13317" width="11.296875" style="481" customWidth="1"/>
    <col min="13318" max="13318" width="8.796875" style="481" customWidth="1"/>
    <col min="13319" max="13319" width="6.296875" style="481" customWidth="1"/>
    <col min="13320" max="13320" width="14.296875" style="481" customWidth="1"/>
    <col min="13321" max="13324" width="8.796875" style="481" customWidth="1"/>
    <col min="13325" max="13325" width="17.796875" style="481" customWidth="1"/>
    <col min="13326" max="13567" width="8.796875" style="481" customWidth="1"/>
    <col min="13568" max="13568" width="32.296875" style="481" bestFit="1" customWidth="1"/>
    <col min="13569" max="13569" width="22.19921875" style="481" customWidth="1"/>
    <col min="13570" max="13570" width="14.296875" style="481" customWidth="1"/>
    <col min="13571" max="13571" width="19" style="481" customWidth="1"/>
    <col min="13572" max="13572" width="8.796875" style="481" customWidth="1"/>
    <col min="13573" max="13573" width="11.296875" style="481" customWidth="1"/>
    <col min="13574" max="13574" width="8.796875" style="481" customWidth="1"/>
    <col min="13575" max="13575" width="6.296875" style="481" customWidth="1"/>
    <col min="13576" max="13576" width="14.296875" style="481" customWidth="1"/>
    <col min="13577" max="13580" width="8.796875" style="481" customWidth="1"/>
    <col min="13581" max="13581" width="17.796875" style="481" customWidth="1"/>
    <col min="13582" max="13823" width="8.796875" style="481" customWidth="1"/>
    <col min="13824" max="13824" width="32.296875" style="481" bestFit="1" customWidth="1"/>
    <col min="13825" max="13825" width="22.19921875" style="481" customWidth="1"/>
    <col min="13826" max="13826" width="14.296875" style="481" customWidth="1"/>
    <col min="13827" max="13827" width="19" style="481" customWidth="1"/>
    <col min="13828" max="13828" width="8.796875" style="481" customWidth="1"/>
    <col min="13829" max="13829" width="11.296875" style="481" customWidth="1"/>
    <col min="13830" max="13830" width="8.796875" style="481" customWidth="1"/>
    <col min="13831" max="13831" width="6.296875" style="481" customWidth="1"/>
    <col min="13832" max="13832" width="14.296875" style="481" customWidth="1"/>
    <col min="13833" max="13836" width="8.796875" style="481" customWidth="1"/>
    <col min="13837" max="13837" width="17.796875" style="481" customWidth="1"/>
    <col min="13838" max="14079" width="8.796875" style="481" customWidth="1"/>
    <col min="14080" max="14080" width="32.296875" style="481" bestFit="1" customWidth="1"/>
    <col min="14081" max="14081" width="22.19921875" style="481" customWidth="1"/>
    <col min="14082" max="14082" width="14.296875" style="481" customWidth="1"/>
    <col min="14083" max="14083" width="19" style="481" customWidth="1"/>
    <col min="14084" max="14084" width="8.796875" style="481" customWidth="1"/>
    <col min="14085" max="14085" width="11.296875" style="481" customWidth="1"/>
    <col min="14086" max="14086" width="8.796875" style="481" customWidth="1"/>
    <col min="14087" max="14087" width="6.296875" style="481" customWidth="1"/>
    <col min="14088" max="14088" width="14.296875" style="481" customWidth="1"/>
    <col min="14089" max="14092" width="8.796875" style="481" customWidth="1"/>
    <col min="14093" max="14093" width="17.796875" style="481" customWidth="1"/>
    <col min="14094" max="14335" width="8.796875" style="481" customWidth="1"/>
    <col min="14336" max="14336" width="32.296875" style="481" bestFit="1" customWidth="1"/>
    <col min="14337" max="14337" width="22.19921875" style="481" customWidth="1"/>
    <col min="14338" max="14338" width="14.296875" style="481" customWidth="1"/>
    <col min="14339" max="14339" width="19" style="481" customWidth="1"/>
    <col min="14340" max="14340" width="8.796875" style="481" customWidth="1"/>
    <col min="14341" max="14341" width="11.296875" style="481" customWidth="1"/>
    <col min="14342" max="14342" width="8.796875" style="481" customWidth="1"/>
    <col min="14343" max="14343" width="6.296875" style="481" customWidth="1"/>
    <col min="14344" max="14344" width="14.296875" style="481" customWidth="1"/>
    <col min="14345" max="14348" width="8.796875" style="481" customWidth="1"/>
    <col min="14349" max="14349" width="17.796875" style="481" customWidth="1"/>
    <col min="14350" max="14591" width="8.796875" style="481" customWidth="1"/>
    <col min="14592" max="14592" width="32.296875" style="481" bestFit="1" customWidth="1"/>
    <col min="14593" max="14593" width="22.19921875" style="481" customWidth="1"/>
    <col min="14594" max="14594" width="14.296875" style="481" customWidth="1"/>
    <col min="14595" max="14595" width="19" style="481" customWidth="1"/>
    <col min="14596" max="14596" width="8.796875" style="481" customWidth="1"/>
    <col min="14597" max="14597" width="11.296875" style="481" customWidth="1"/>
    <col min="14598" max="14598" width="8.796875" style="481" customWidth="1"/>
    <col min="14599" max="14599" width="6.296875" style="481" customWidth="1"/>
    <col min="14600" max="14600" width="14.296875" style="481" customWidth="1"/>
    <col min="14601" max="14604" width="8.796875" style="481" customWidth="1"/>
    <col min="14605" max="14605" width="17.796875" style="481" customWidth="1"/>
    <col min="14606" max="14847" width="8.796875" style="481" customWidth="1"/>
    <col min="14848" max="14848" width="32.296875" style="481" bestFit="1" customWidth="1"/>
    <col min="14849" max="14849" width="22.19921875" style="481" customWidth="1"/>
    <col min="14850" max="14850" width="14.296875" style="481" customWidth="1"/>
    <col min="14851" max="14851" width="19" style="481" customWidth="1"/>
    <col min="14852" max="14852" width="8.796875" style="481" customWidth="1"/>
    <col min="14853" max="14853" width="11.296875" style="481" customWidth="1"/>
    <col min="14854" max="14854" width="8.796875" style="481" customWidth="1"/>
    <col min="14855" max="14855" width="6.296875" style="481" customWidth="1"/>
    <col min="14856" max="14856" width="14.296875" style="481" customWidth="1"/>
    <col min="14857" max="14860" width="8.796875" style="481" customWidth="1"/>
    <col min="14861" max="14861" width="17.796875" style="481" customWidth="1"/>
    <col min="14862" max="15103" width="8.796875" style="481" customWidth="1"/>
    <col min="15104" max="15104" width="32.296875" style="481" bestFit="1" customWidth="1"/>
    <col min="15105" max="15105" width="22.19921875" style="481" customWidth="1"/>
    <col min="15106" max="15106" width="14.296875" style="481" customWidth="1"/>
    <col min="15107" max="15107" width="19" style="481" customWidth="1"/>
    <col min="15108" max="15108" width="8.796875" style="481" customWidth="1"/>
    <col min="15109" max="15109" width="11.296875" style="481" customWidth="1"/>
    <col min="15110" max="15110" width="8.796875" style="481" customWidth="1"/>
    <col min="15111" max="15111" width="6.296875" style="481" customWidth="1"/>
    <col min="15112" max="15112" width="14.296875" style="481" customWidth="1"/>
    <col min="15113" max="15116" width="8.796875" style="481" customWidth="1"/>
    <col min="15117" max="15117" width="17.796875" style="481" customWidth="1"/>
    <col min="15118" max="15359" width="8.796875" style="481" customWidth="1"/>
    <col min="15360" max="15360" width="32.296875" style="481" bestFit="1" customWidth="1"/>
    <col min="15361" max="15361" width="22.19921875" style="481" customWidth="1"/>
    <col min="15362" max="15362" width="14.296875" style="481" customWidth="1"/>
    <col min="15363" max="15363" width="19" style="481" customWidth="1"/>
    <col min="15364" max="15364" width="8.796875" style="481" customWidth="1"/>
    <col min="15365" max="15365" width="11.296875" style="481" customWidth="1"/>
    <col min="15366" max="15366" width="8.796875" style="481" customWidth="1"/>
    <col min="15367" max="15367" width="6.296875" style="481" customWidth="1"/>
    <col min="15368" max="15368" width="14.296875" style="481" customWidth="1"/>
    <col min="15369" max="15372" width="8.796875" style="481" customWidth="1"/>
    <col min="15373" max="15373" width="17.796875" style="481" customWidth="1"/>
    <col min="15374" max="15615" width="8.796875" style="481" customWidth="1"/>
    <col min="15616" max="15616" width="32.296875" style="481" bestFit="1" customWidth="1"/>
    <col min="15617" max="15617" width="22.19921875" style="481" customWidth="1"/>
    <col min="15618" max="15618" width="14.296875" style="481" customWidth="1"/>
    <col min="15619" max="15619" width="19" style="481" customWidth="1"/>
    <col min="15620" max="15620" width="8.796875" style="481" customWidth="1"/>
    <col min="15621" max="15621" width="11.296875" style="481" customWidth="1"/>
    <col min="15622" max="15622" width="8.796875" style="481" customWidth="1"/>
    <col min="15623" max="15623" width="6.296875" style="481" customWidth="1"/>
    <col min="15624" max="15624" width="14.296875" style="481" customWidth="1"/>
    <col min="15625" max="15628" width="8.796875" style="481" customWidth="1"/>
    <col min="15629" max="15629" width="17.796875" style="481" customWidth="1"/>
    <col min="15630" max="15871" width="8.796875" style="481" customWidth="1"/>
    <col min="15872" max="15872" width="32.296875" style="481" bestFit="1" customWidth="1"/>
    <col min="15873" max="15873" width="22.19921875" style="481" customWidth="1"/>
    <col min="15874" max="15874" width="14.296875" style="481" customWidth="1"/>
    <col min="15875" max="15875" width="19" style="481" customWidth="1"/>
    <col min="15876" max="15876" width="8.796875" style="481" customWidth="1"/>
    <col min="15877" max="15877" width="11.296875" style="481" customWidth="1"/>
    <col min="15878" max="15878" width="8.796875" style="481" customWidth="1"/>
    <col min="15879" max="15879" width="6.296875" style="481" customWidth="1"/>
    <col min="15880" max="15880" width="14.296875" style="481" customWidth="1"/>
    <col min="15881" max="15884" width="8.796875" style="481" customWidth="1"/>
    <col min="15885" max="15885" width="17.796875" style="481" customWidth="1"/>
    <col min="15886" max="16127" width="8.796875" style="481" customWidth="1"/>
    <col min="16128" max="16128" width="32.296875" style="481" bestFit="1" customWidth="1"/>
    <col min="16129" max="16129" width="22.19921875" style="481" customWidth="1"/>
    <col min="16130" max="16130" width="14.296875" style="481" customWidth="1"/>
    <col min="16131" max="16131" width="19" style="481" customWidth="1"/>
    <col min="16132" max="16132" width="8.796875" style="481" customWidth="1"/>
    <col min="16133" max="16133" width="11.296875" style="481" customWidth="1"/>
    <col min="16134" max="16134" width="8.796875" style="481" customWidth="1"/>
    <col min="16135" max="16135" width="6.296875" style="481" customWidth="1"/>
    <col min="16136" max="16136" width="14.296875" style="481" customWidth="1"/>
    <col min="16137" max="16140" width="8.796875" style="481" customWidth="1"/>
    <col min="16141" max="16141" width="17.796875" style="481" customWidth="1"/>
    <col min="16142" max="16384" width="8.796875" style="481" customWidth="1"/>
  </cols>
  <sheetData>
    <row r="1" spans="1:14" x14ac:dyDescent="0.3">
      <c r="A1" s="479" t="s">
        <v>336</v>
      </c>
      <c r="B1" s="893" t="str">
        <f>'Cover Page'!D1</f>
        <v>Valor Preparatory Academy, LLC</v>
      </c>
      <c r="C1" s="893"/>
      <c r="E1" s="479" t="s">
        <v>331</v>
      </c>
      <c r="F1" s="480" t="str">
        <f>'Cover Page'!M1</f>
        <v>Maricopa</v>
      </c>
      <c r="G1" s="482"/>
      <c r="H1" s="479" t="s">
        <v>592</v>
      </c>
      <c r="I1" s="69" t="s">
        <v>1244</v>
      </c>
      <c r="J1" s="480"/>
      <c r="K1" s="480"/>
    </row>
    <row r="4" spans="1:14" x14ac:dyDescent="0.3">
      <c r="H4" s="483" t="s">
        <v>1192</v>
      </c>
      <c r="I4" s="484" t="s">
        <v>1193</v>
      </c>
      <c r="J4" s="484" t="s">
        <v>1194</v>
      </c>
    </row>
    <row r="5" spans="1:14" x14ac:dyDescent="0.3">
      <c r="H5" s="3" t="s">
        <v>1195</v>
      </c>
      <c r="I5" s="673">
        <v>125</v>
      </c>
      <c r="J5" s="673">
        <v>265</v>
      </c>
    </row>
    <row r="6" spans="1:14" x14ac:dyDescent="0.3">
      <c r="A6" s="485"/>
      <c r="B6" s="486" t="s">
        <v>1105</v>
      </c>
    </row>
    <row r="8" spans="1:14" ht="15" customHeight="1" x14ac:dyDescent="0.3">
      <c r="A8" s="487"/>
      <c r="B8" s="488"/>
      <c r="C8" s="489" t="s">
        <v>1058</v>
      </c>
      <c r="D8" s="894" t="s">
        <v>1004</v>
      </c>
      <c r="E8" s="490"/>
      <c r="F8" s="491"/>
      <c r="G8" s="890" t="s">
        <v>1005</v>
      </c>
      <c r="H8" s="892" t="s">
        <v>1006</v>
      </c>
      <c r="I8" s="491"/>
      <c r="J8" s="491"/>
      <c r="K8" s="492"/>
    </row>
    <row r="9" spans="1:14" x14ac:dyDescent="0.3">
      <c r="A9" s="493"/>
      <c r="B9" s="494" t="s">
        <v>100</v>
      </c>
      <c r="C9" s="495" t="s">
        <v>100</v>
      </c>
      <c r="D9" s="895"/>
      <c r="E9" s="496"/>
      <c r="F9" s="497"/>
      <c r="G9" s="891"/>
      <c r="H9" s="891"/>
      <c r="I9" s="497" t="s">
        <v>353</v>
      </c>
      <c r="J9" s="497" t="s">
        <v>1113</v>
      </c>
      <c r="K9" s="498" t="s">
        <v>98</v>
      </c>
    </row>
    <row r="10" spans="1:14" x14ac:dyDescent="0.3">
      <c r="A10" s="499" t="s">
        <v>1020</v>
      </c>
      <c r="B10" s="500" t="s">
        <v>1021</v>
      </c>
      <c r="C10" s="501" t="s">
        <v>1021</v>
      </c>
      <c r="D10" s="896"/>
      <c r="E10" s="502" t="s">
        <v>1023</v>
      </c>
      <c r="F10" s="503" t="s">
        <v>352</v>
      </c>
      <c r="G10" s="891"/>
      <c r="H10" s="891"/>
      <c r="I10" s="503" t="s">
        <v>354</v>
      </c>
      <c r="J10" s="503" t="s">
        <v>1114</v>
      </c>
      <c r="K10" s="504" t="s">
        <v>1021</v>
      </c>
      <c r="M10" s="479" t="s">
        <v>1047</v>
      </c>
    </row>
    <row r="11" spans="1:14" x14ac:dyDescent="0.3">
      <c r="A11" s="505" t="s">
        <v>1007</v>
      </c>
      <c r="B11" s="506"/>
      <c r="C11" s="507"/>
      <c r="D11" s="507"/>
      <c r="E11" s="508"/>
      <c r="F11" s="509"/>
      <c r="G11" s="510">
        <f>'Page 2'!I23</f>
        <v>1378524</v>
      </c>
      <c r="H11" s="511">
        <f>'Page 2'!J23</f>
        <v>1906145</v>
      </c>
      <c r="I11" s="512"/>
      <c r="J11" s="509"/>
      <c r="K11" s="506"/>
      <c r="M11" s="479" t="s">
        <v>1136</v>
      </c>
    </row>
    <row r="12" spans="1:14" x14ac:dyDescent="0.3">
      <c r="A12" s="505" t="s">
        <v>1008</v>
      </c>
      <c r="B12" s="506"/>
      <c r="C12" s="506"/>
      <c r="D12" s="506"/>
      <c r="E12" s="513"/>
      <c r="F12" s="509"/>
      <c r="G12" s="510">
        <f>'Page 2'!I37</f>
        <v>110326</v>
      </c>
      <c r="H12" s="514">
        <f>'Page 2'!J37</f>
        <v>84332</v>
      </c>
      <c r="I12" s="512"/>
      <c r="J12" s="509"/>
      <c r="K12" s="506"/>
      <c r="M12" s="515">
        <v>-1</v>
      </c>
      <c r="N12" s="481"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3">
      <c r="A13" s="505" t="s">
        <v>1009</v>
      </c>
      <c r="B13" s="506"/>
      <c r="C13" s="506"/>
      <c r="D13" s="506"/>
      <c r="E13" s="513"/>
      <c r="F13" s="509"/>
      <c r="G13" s="516">
        <f>'Page 2'!I38</f>
        <v>0</v>
      </c>
      <c r="H13" s="514">
        <f>'Page 2'!J38</f>
        <v>0</v>
      </c>
      <c r="I13" s="512"/>
      <c r="J13" s="509"/>
      <c r="K13" s="506"/>
    </row>
    <row r="14" spans="1:14" x14ac:dyDescent="0.3">
      <c r="A14" s="505" t="s">
        <v>1010</v>
      </c>
      <c r="B14" s="506"/>
      <c r="C14" s="506"/>
      <c r="D14" s="506"/>
      <c r="E14" s="513"/>
      <c r="F14" s="509"/>
      <c r="G14" s="516">
        <f>'Page 2'!I39</f>
        <v>0</v>
      </c>
      <c r="H14" s="514">
        <f>'Page 2'!J39</f>
        <v>0</v>
      </c>
      <c r="I14" s="512"/>
      <c r="J14" s="509"/>
      <c r="K14" s="506"/>
      <c r="M14" s="515">
        <v>-2</v>
      </c>
      <c r="N14" s="481" t="s">
        <v>1048</v>
      </c>
    </row>
    <row r="15" spans="1:14" x14ac:dyDescent="0.3">
      <c r="A15" s="517" t="s">
        <v>1011</v>
      </c>
      <c r="B15" s="518"/>
      <c r="C15" s="518"/>
      <c r="D15" s="518"/>
      <c r="E15" s="519"/>
      <c r="F15" s="509"/>
      <c r="G15" s="520">
        <f>'Page 2'!I40</f>
        <v>0</v>
      </c>
      <c r="H15" s="521">
        <f>'Page 2'!J40</f>
        <v>0</v>
      </c>
      <c r="I15" s="512"/>
      <c r="J15" s="509"/>
      <c r="K15" s="506"/>
      <c r="N15" s="522">
        <f>'Reserve balance'!D42</f>
        <v>0</v>
      </c>
    </row>
    <row r="16" spans="1:14" x14ac:dyDescent="0.3">
      <c r="A16" s="523" t="s">
        <v>1012</v>
      </c>
      <c r="B16" s="518"/>
      <c r="C16" s="506"/>
      <c r="D16" s="506"/>
      <c r="E16" s="513"/>
      <c r="F16" s="524"/>
      <c r="G16" s="525">
        <f>'Page 2'!I41</f>
        <v>0</v>
      </c>
      <c r="H16" s="526">
        <f>'Page 2'!J41</f>
        <v>0</v>
      </c>
      <c r="I16" s="524"/>
      <c r="J16" s="509"/>
      <c r="K16" s="527"/>
    </row>
    <row r="17" spans="1:18" x14ac:dyDescent="0.3">
      <c r="A17" s="528" t="s">
        <v>1045</v>
      </c>
      <c r="B17" s="535">
        <v>317833</v>
      </c>
      <c r="C17" s="506"/>
      <c r="D17" s="529">
        <f>'Page 1'!H40-SUM(D18:D23)</f>
        <v>2042023</v>
      </c>
      <c r="E17" s="513"/>
      <c r="F17" s="535">
        <v>0</v>
      </c>
      <c r="G17" s="111">
        <v>1488850</v>
      </c>
      <c r="H17" s="672">
        <f>1990478+6419</f>
        <v>1996897</v>
      </c>
      <c r="I17" s="535">
        <v>0</v>
      </c>
      <c r="J17" s="535">
        <v>0</v>
      </c>
      <c r="K17" s="530">
        <f t="shared" ref="K17:K23" si="0">IF(C17="",B17,C17)+D17-E17-F17-I17-H17-J17</f>
        <v>362959</v>
      </c>
      <c r="M17" s="515">
        <v>-3</v>
      </c>
      <c r="N17" s="481" t="s">
        <v>1049</v>
      </c>
    </row>
    <row r="18" spans="1:18" x14ac:dyDescent="0.3">
      <c r="A18" s="528" t="s">
        <v>1013</v>
      </c>
      <c r="B18" s="529">
        <f>'Page 3'!F24</f>
        <v>0</v>
      </c>
      <c r="C18" s="669">
        <v>0</v>
      </c>
      <c r="D18" s="530">
        <f>'Page 3'!F27</f>
        <v>187931</v>
      </c>
      <c r="E18" s="513"/>
      <c r="F18" s="535">
        <v>0</v>
      </c>
      <c r="G18" s="111">
        <v>170794</v>
      </c>
      <c r="H18" s="671">
        <f>'Page 3'!G18+'Page 3'!K13</f>
        <v>187931</v>
      </c>
      <c r="I18" s="529">
        <f>'Page 3'!G17</f>
        <v>0</v>
      </c>
      <c r="J18" s="529">
        <f>'Page 3'!G19</f>
        <v>0</v>
      </c>
      <c r="K18" s="530">
        <f>IF(C18="",B18,C18)+D18-E18-F18-I18-H18-J18</f>
        <v>0</v>
      </c>
      <c r="N18" s="522">
        <f>'Reserve balance'!E42</f>
        <v>0</v>
      </c>
    </row>
    <row r="19" spans="1:18" x14ac:dyDescent="0.3">
      <c r="A19" s="528" t="s">
        <v>1014</v>
      </c>
      <c r="B19" s="529">
        <f>'Page 4'!F15</f>
        <v>0</v>
      </c>
      <c r="C19" s="669">
        <v>0</v>
      </c>
      <c r="D19" s="530">
        <f>'Page 4'!F16</f>
        <v>16109</v>
      </c>
      <c r="E19" s="513"/>
      <c r="F19" s="535">
        <v>0</v>
      </c>
      <c r="G19" s="111">
        <v>6894</v>
      </c>
      <c r="H19" s="530">
        <f>'Page 4'!I11</f>
        <v>16109</v>
      </c>
      <c r="I19" s="512"/>
      <c r="J19" s="512"/>
      <c r="K19" s="530">
        <f t="shared" si="0"/>
        <v>0</v>
      </c>
    </row>
    <row r="20" spans="1:18" x14ac:dyDescent="0.3">
      <c r="A20" s="528" t="s">
        <v>1015</v>
      </c>
      <c r="B20" s="529">
        <f>'Page 5'!F26</f>
        <v>0</v>
      </c>
      <c r="C20" s="669">
        <v>0</v>
      </c>
      <c r="D20" s="530">
        <f>'Page 5'!G26</f>
        <v>0</v>
      </c>
      <c r="E20" s="513"/>
      <c r="F20" s="535">
        <v>0</v>
      </c>
      <c r="G20" s="670">
        <f>'Page 5'!M26</f>
        <v>0</v>
      </c>
      <c r="H20" s="530">
        <f>'Page 5'!N26</f>
        <v>0</v>
      </c>
      <c r="I20" s="512"/>
      <c r="J20" s="512"/>
      <c r="K20" s="530">
        <f t="shared" si="0"/>
        <v>0</v>
      </c>
      <c r="M20" s="515">
        <v>-4</v>
      </c>
      <c r="N20" s="481" t="str">
        <f>'Reserve balance'!F42</f>
        <v>Charter's fund balance reserve meets its targeted fund balance.</v>
      </c>
      <c r="P20" s="534"/>
    </row>
    <row r="21" spans="1:18" x14ac:dyDescent="0.3">
      <c r="A21" s="528" t="s">
        <v>1016</v>
      </c>
      <c r="B21" s="529">
        <f>'Page 5'!F48</f>
        <v>0</v>
      </c>
      <c r="C21" s="669">
        <v>0</v>
      </c>
      <c r="D21" s="530">
        <f>'Page 5'!G48</f>
        <v>0</v>
      </c>
      <c r="E21" s="513"/>
      <c r="F21" s="535">
        <v>0</v>
      </c>
      <c r="G21" s="670">
        <f>'Page 5'!M48</f>
        <v>0</v>
      </c>
      <c r="H21" s="530">
        <f>'Page 5'!N48</f>
        <v>0</v>
      </c>
      <c r="I21" s="512"/>
      <c r="J21" s="512"/>
      <c r="K21" s="530">
        <f t="shared" si="0"/>
        <v>0</v>
      </c>
      <c r="Q21" s="534"/>
      <c r="R21" s="534"/>
    </row>
    <row r="22" spans="1:18" x14ac:dyDescent="0.3">
      <c r="A22" s="528" t="s">
        <v>1017</v>
      </c>
      <c r="B22" s="530">
        <f>'Page 8'!E23</f>
        <v>0</v>
      </c>
      <c r="C22" s="669">
        <v>0</v>
      </c>
      <c r="D22" s="530">
        <f>'Page 8'!F23</f>
        <v>15635</v>
      </c>
      <c r="E22" s="704">
        <f>'Page 8'!G23</f>
        <v>0</v>
      </c>
      <c r="F22" s="529">
        <f>'Page 8'!H23</f>
        <v>0</v>
      </c>
      <c r="G22" s="670">
        <f>'Page 8'!I23</f>
        <v>15420</v>
      </c>
      <c r="H22" s="530">
        <f>'Page 8'!J23</f>
        <v>15635</v>
      </c>
      <c r="I22" s="531">
        <f>'Page 8'!L23</f>
        <v>0</v>
      </c>
      <c r="J22" s="529">
        <f>'Page 8'!K23</f>
        <v>0</v>
      </c>
      <c r="K22" s="530">
        <f t="shared" si="0"/>
        <v>0</v>
      </c>
      <c r="N22" s="534"/>
      <c r="O22" s="534"/>
      <c r="P22" s="534"/>
      <c r="Q22" s="534"/>
      <c r="R22" s="534"/>
    </row>
    <row r="23" spans="1:18" x14ac:dyDescent="0.3">
      <c r="A23" s="528" t="s">
        <v>1018</v>
      </c>
      <c r="B23" s="530">
        <f>'Page 8'!E41</f>
        <v>0</v>
      </c>
      <c r="C23" s="669">
        <v>0</v>
      </c>
      <c r="D23" s="530">
        <f>'Page 8'!F41</f>
        <v>0</v>
      </c>
      <c r="E23" s="513"/>
      <c r="F23" s="529">
        <f>'Page 8'!H41</f>
        <v>0</v>
      </c>
      <c r="G23" s="533">
        <f>'Page 8'!I41</f>
        <v>0</v>
      </c>
      <c r="H23" s="532">
        <f>'Page 8'!J41</f>
        <v>0</v>
      </c>
      <c r="I23" s="529">
        <f>'Page 8'!L41</f>
        <v>0</v>
      </c>
      <c r="J23" s="529">
        <f>'Page 8'!K41</f>
        <v>0</v>
      </c>
      <c r="K23" s="530">
        <f t="shared" si="0"/>
        <v>0</v>
      </c>
    </row>
    <row r="25" spans="1:18" x14ac:dyDescent="0.3">
      <c r="G25" s="713"/>
    </row>
    <row r="30" spans="1:18" x14ac:dyDescent="0.3">
      <c r="H30" s="713"/>
    </row>
  </sheetData>
  <mergeCells count="4">
    <mergeCell ref="G8:G10"/>
    <mergeCell ref="H8:H10"/>
    <mergeCell ref="B1:C1"/>
    <mergeCell ref="D8:D10"/>
  </mergeCells>
  <conditionalFormatting sqref="B17">
    <cfRule type="containsBlanks" dxfId="17" priority="6">
      <formula>LEN(TRIM(B17))=0</formula>
    </cfRule>
  </conditionalFormatting>
  <conditionalFormatting sqref="C18:C23">
    <cfRule type="containsBlanks" dxfId="16" priority="7">
      <formula>LEN(TRIM(C18))=0</formula>
    </cfRule>
  </conditionalFormatting>
  <conditionalFormatting sqref="F17:F21">
    <cfRule type="containsBlanks" dxfId="15" priority="5">
      <formula>LEN(TRIM(F17))=0</formula>
    </cfRule>
  </conditionalFormatting>
  <conditionalFormatting sqref="H17:J17">
    <cfRule type="containsBlanks" dxfId="14" priority="1">
      <formula>LEN(TRIM(H17))=0</formula>
    </cfRule>
  </conditionalFormatting>
  <conditionalFormatting sqref="I5">
    <cfRule type="containsBlanks" priority="11">
      <formula>LEN(TRIM(I5))=0</formula>
    </cfRule>
  </conditionalFormatting>
  <conditionalFormatting sqref="I5:J5">
    <cfRule type="containsBlanks" dxfId="13"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52"/>
  <sheetViews>
    <sheetView tabSelected="1" workbookViewId="0">
      <selection activeCell="C19" sqref="C19"/>
    </sheetView>
  </sheetViews>
  <sheetFormatPr defaultColWidth="8.796875" defaultRowHeight="13" x14ac:dyDescent="0.3"/>
  <cols>
    <col min="1" max="1" width="5.19921875" customWidth="1"/>
    <col min="2" max="2" width="91.19921875" customWidth="1"/>
    <col min="3" max="5" width="17.19921875" customWidth="1"/>
    <col min="6" max="6" width="21" customWidth="1"/>
    <col min="7" max="7" width="17.19921875" customWidth="1"/>
    <col min="8" max="8" width="19.5" customWidth="1"/>
    <col min="9" max="9" width="11.19921875" customWidth="1"/>
    <col min="10" max="10" width="8.796875" customWidth="1"/>
  </cols>
  <sheetData>
    <row r="1" spans="1:67" s="382" customFormat="1" x14ac:dyDescent="0.3">
      <c r="B1" s="380" t="s">
        <v>336</v>
      </c>
      <c r="C1" s="712" t="str">
        <f>'Cover Page'!D1</f>
        <v>Valor Preparatory Academy, LLC</v>
      </c>
      <c r="D1" s="381"/>
      <c r="E1" s="381"/>
      <c r="G1" s="380" t="s">
        <v>331</v>
      </c>
      <c r="H1" s="853" t="str">
        <f>'Cover Page'!M1</f>
        <v>Maricopa</v>
      </c>
      <c r="I1" s="853"/>
      <c r="J1" s="383"/>
      <c r="K1" s="380" t="s">
        <v>592</v>
      </c>
      <c r="L1" s="384" t="str">
        <f>'Cover Page'!R1</f>
        <v>078104000</v>
      </c>
      <c r="M1" s="385"/>
      <c r="N1" s="385"/>
      <c r="O1" s="386"/>
      <c r="P1" s="387"/>
      <c r="R1" s="388"/>
      <c r="S1" s="388"/>
      <c r="T1" s="388"/>
      <c r="U1" s="388"/>
      <c r="V1" s="389"/>
      <c r="W1" s="389"/>
      <c r="X1" s="389"/>
      <c r="Y1" s="389"/>
      <c r="Z1" s="389"/>
      <c r="AA1" s="389"/>
      <c r="AB1" s="389"/>
      <c r="AC1" s="389"/>
      <c r="AD1" s="390"/>
      <c r="AE1" s="390"/>
      <c r="AF1" s="390"/>
      <c r="AG1" s="390"/>
      <c r="AH1" s="390"/>
      <c r="AI1" s="390"/>
      <c r="AJ1" s="388"/>
      <c r="AK1" s="388"/>
      <c r="AL1" s="388"/>
      <c r="AM1" s="388"/>
      <c r="AN1" s="388"/>
      <c r="AO1" s="388"/>
      <c r="AP1" s="388"/>
      <c r="AQ1" s="388"/>
      <c r="AR1" s="388"/>
      <c r="AS1" s="388"/>
      <c r="AT1" s="388"/>
      <c r="AU1" s="388"/>
      <c r="AV1" s="388"/>
    </row>
    <row r="2" spans="1:67" s="382" customFormat="1" x14ac:dyDescent="0.3">
      <c r="B2" s="380"/>
      <c r="C2" s="385"/>
      <c r="D2" s="385"/>
      <c r="E2" s="385"/>
      <c r="G2" s="380"/>
      <c r="H2" s="385"/>
      <c r="I2" s="385"/>
      <c r="J2" s="383"/>
      <c r="K2" s="380"/>
      <c r="L2" s="536"/>
      <c r="M2" s="385"/>
      <c r="N2" s="385"/>
      <c r="O2" s="386"/>
      <c r="P2" s="387"/>
      <c r="R2" s="388"/>
      <c r="S2" s="388"/>
      <c r="T2" s="388"/>
      <c r="U2" s="388"/>
      <c r="V2" s="389"/>
      <c r="W2" s="389"/>
      <c r="X2" s="389"/>
      <c r="Y2" s="389"/>
      <c r="Z2" s="389"/>
      <c r="AA2" s="389"/>
      <c r="AB2" s="389"/>
      <c r="AC2" s="389"/>
      <c r="AD2" s="390"/>
      <c r="AE2" s="390"/>
      <c r="AF2" s="390"/>
      <c r="AG2" s="390"/>
      <c r="AH2" s="390"/>
      <c r="AI2" s="390"/>
      <c r="AJ2" s="388"/>
      <c r="AK2" s="388"/>
      <c r="AL2" s="388"/>
      <c r="AM2" s="388"/>
      <c r="AN2" s="388"/>
      <c r="AO2" s="388"/>
      <c r="AP2" s="388"/>
      <c r="AQ2" s="388"/>
      <c r="AR2" s="388"/>
      <c r="AS2" s="388"/>
      <c r="AT2" s="388"/>
      <c r="AU2" s="388"/>
      <c r="AV2" s="388"/>
    </row>
    <row r="3" spans="1:67" s="537" customFormat="1" ht="25.5" customHeight="1" x14ac:dyDescent="0.3">
      <c r="A3" s="917" t="s">
        <v>1138</v>
      </c>
      <c r="B3" s="917"/>
      <c r="C3" s="917"/>
      <c r="D3" s="917"/>
      <c r="E3" s="917"/>
      <c r="F3" s="917"/>
      <c r="G3" s="917"/>
      <c r="H3" s="917"/>
      <c r="J3" s="538"/>
      <c r="K3" s="539"/>
      <c r="L3" s="540"/>
      <c r="Q3" s="541"/>
      <c r="R3" s="542"/>
      <c r="S3" s="542"/>
      <c r="T3" s="542"/>
      <c r="U3" s="542"/>
      <c r="V3" s="542"/>
      <c r="W3" s="542"/>
      <c r="X3" s="542"/>
      <c r="Y3" s="542"/>
      <c r="Z3" s="542"/>
      <c r="AA3" s="542"/>
      <c r="AB3" s="542"/>
      <c r="AC3" s="542"/>
      <c r="AD3" s="542"/>
      <c r="AE3" s="542"/>
      <c r="AF3" s="542"/>
      <c r="AG3" s="543"/>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row>
    <row r="4" spans="1:67" s="537" customFormat="1" ht="16.5" customHeight="1" x14ac:dyDescent="0.3">
      <c r="A4" s="544"/>
      <c r="B4" s="544"/>
      <c r="C4" s="544"/>
      <c r="D4" s="544"/>
      <c r="E4" s="544"/>
      <c r="F4" s="544"/>
      <c r="G4" s="544"/>
      <c r="H4" s="544"/>
      <c r="J4" s="538"/>
      <c r="K4" s="539"/>
      <c r="L4" s="540"/>
      <c r="Q4" s="541"/>
      <c r="R4" s="542"/>
      <c r="S4" s="542"/>
      <c r="T4" s="542"/>
      <c r="U4" s="542"/>
      <c r="V4" s="542"/>
      <c r="W4" s="542"/>
      <c r="X4" s="542"/>
      <c r="Y4" s="542"/>
      <c r="Z4" s="542"/>
      <c r="AA4" s="542"/>
      <c r="AB4" s="542"/>
      <c r="AC4" s="542"/>
      <c r="AD4" s="542"/>
      <c r="AE4" s="542"/>
      <c r="AF4" s="542"/>
      <c r="AG4" s="543"/>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row>
    <row r="5" spans="1:67" x14ac:dyDescent="0.3">
      <c r="A5" s="910" t="s">
        <v>1118</v>
      </c>
      <c r="B5" s="910"/>
    </row>
    <row r="7" spans="1:67" x14ac:dyDescent="0.3">
      <c r="C7" s="545" t="s">
        <v>1231</v>
      </c>
      <c r="R7" s="54" t="s">
        <v>1052</v>
      </c>
    </row>
    <row r="8" spans="1:67" x14ac:dyDescent="0.3">
      <c r="A8" s="546" t="s">
        <v>1137</v>
      </c>
      <c r="C8" s="547"/>
    </row>
    <row r="9" spans="1:67" x14ac:dyDescent="0.3">
      <c r="A9" s="548" t="s">
        <v>1</v>
      </c>
      <c r="B9" s="549" t="s">
        <v>1162</v>
      </c>
      <c r="C9" s="550">
        <v>317833</v>
      </c>
    </row>
    <row r="10" spans="1:67" x14ac:dyDescent="0.3">
      <c r="A10" s="551" t="s">
        <v>1119</v>
      </c>
      <c r="C10" s="547"/>
    </row>
    <row r="11" spans="1:67" x14ac:dyDescent="0.3">
      <c r="A11" s="548" t="s">
        <v>2</v>
      </c>
      <c r="B11" s="549" t="s">
        <v>1163</v>
      </c>
      <c r="C11" s="550">
        <f>SUM(Summary!K17:K23)</f>
        <v>362959</v>
      </c>
    </row>
    <row r="12" spans="1:67" x14ac:dyDescent="0.3">
      <c r="A12" s="918" t="s">
        <v>1110</v>
      </c>
      <c r="B12" s="918"/>
    </row>
    <row r="13" spans="1:67" x14ac:dyDescent="0.3">
      <c r="A13" s="548" t="s">
        <v>1120</v>
      </c>
      <c r="B13" s="549" t="s">
        <v>1238</v>
      </c>
      <c r="C13" s="127">
        <v>0</v>
      </c>
    </row>
    <row r="14" spans="1:67" x14ac:dyDescent="0.3">
      <c r="A14" s="548" t="s">
        <v>1121</v>
      </c>
      <c r="B14" s="552" t="s">
        <v>1239</v>
      </c>
      <c r="C14" s="127">
        <v>0</v>
      </c>
    </row>
    <row r="15" spans="1:67" x14ac:dyDescent="0.3">
      <c r="A15" s="548" t="s">
        <v>1122</v>
      </c>
      <c r="B15" t="s">
        <v>1107</v>
      </c>
      <c r="C15" s="127">
        <v>0</v>
      </c>
    </row>
    <row r="16" spans="1:67" x14ac:dyDescent="0.3">
      <c r="A16" s="548" t="s">
        <v>1123</v>
      </c>
      <c r="B16" t="s">
        <v>1108</v>
      </c>
      <c r="C16" s="127">
        <v>0</v>
      </c>
    </row>
    <row r="17" spans="1:27" x14ac:dyDescent="0.3">
      <c r="A17" s="548" t="s">
        <v>1124</v>
      </c>
      <c r="B17" t="s">
        <v>1109</v>
      </c>
      <c r="C17" s="127">
        <v>0</v>
      </c>
    </row>
    <row r="18" spans="1:27" x14ac:dyDescent="0.3">
      <c r="A18" s="548" t="s">
        <v>1125</v>
      </c>
      <c r="B18" t="s">
        <v>1032</v>
      </c>
      <c r="C18" s="127">
        <v>362959</v>
      </c>
    </row>
    <row r="19" spans="1:27" x14ac:dyDescent="0.3">
      <c r="A19" s="3" t="s">
        <v>1126</v>
      </c>
      <c r="B19" s="553" t="s">
        <v>1033</v>
      </c>
      <c r="C19" s="127">
        <v>0</v>
      </c>
    </row>
    <row r="20" spans="1:27" x14ac:dyDescent="0.3">
      <c r="A20" s="3" t="s">
        <v>1127</v>
      </c>
      <c r="B20" s="553" t="s">
        <v>1033</v>
      </c>
      <c r="C20" s="127">
        <v>0</v>
      </c>
    </row>
    <row r="21" spans="1:27" x14ac:dyDescent="0.3">
      <c r="A21" s="3" t="s">
        <v>1128</v>
      </c>
      <c r="B21" t="s">
        <v>1182</v>
      </c>
      <c r="C21" s="709">
        <f>IF(ROUND(SUM(C13:C20),0)=ROUND(C11,0),SUM(C13:C20),"Must equal line 2")</f>
        <v>362959</v>
      </c>
    </row>
    <row r="22" spans="1:27" x14ac:dyDescent="0.3">
      <c r="A22" s="555"/>
    </row>
    <row r="23" spans="1:27" x14ac:dyDescent="0.3">
      <c r="A23" s="556"/>
      <c r="B23" s="556"/>
      <c r="D23" s="556"/>
      <c r="E23" s="556"/>
      <c r="F23" s="556"/>
      <c r="G23" s="556"/>
      <c r="H23" s="556"/>
    </row>
    <row r="24" spans="1:27" x14ac:dyDescent="0.3">
      <c r="A24" s="910" t="s">
        <v>1044</v>
      </c>
      <c r="B24" s="910"/>
      <c r="G24" s="557"/>
      <c r="AA24" s="54" t="s">
        <v>1050</v>
      </c>
    </row>
    <row r="25" spans="1:27" ht="52" x14ac:dyDescent="0.3">
      <c r="A25" s="558"/>
      <c r="F25" s="557" t="s">
        <v>1129</v>
      </c>
      <c r="H25" s="557" t="s">
        <v>1111</v>
      </c>
    </row>
    <row r="26" spans="1:27" ht="32.25" customHeight="1" x14ac:dyDescent="0.3">
      <c r="A26" s="559" t="s">
        <v>1</v>
      </c>
      <c r="B26" s="914" t="s">
        <v>1211</v>
      </c>
      <c r="C26" s="914"/>
      <c r="D26" s="914"/>
      <c r="E26" s="914"/>
      <c r="F26" s="582" t="s">
        <v>1051</v>
      </c>
      <c r="G26" s="3"/>
      <c r="H26" s="583" t="s">
        <v>1260</v>
      </c>
      <c r="AA26" s="54" t="s">
        <v>1051</v>
      </c>
    </row>
    <row r="27" spans="1:27" x14ac:dyDescent="0.3">
      <c r="A27" s="561"/>
    </row>
    <row r="28" spans="1:27" ht="93" customHeight="1" x14ac:dyDescent="0.3">
      <c r="A28" s="561"/>
      <c r="F28" s="557" t="s">
        <v>1139</v>
      </c>
      <c r="H28" s="557" t="s">
        <v>1140</v>
      </c>
    </row>
    <row r="29" spans="1:27" ht="44.25" customHeight="1" x14ac:dyDescent="0.3">
      <c r="A29" s="559" t="s">
        <v>1173</v>
      </c>
      <c r="B29" s="914" t="s">
        <v>1210</v>
      </c>
      <c r="C29" s="914"/>
      <c r="D29" s="914"/>
      <c r="E29" s="914"/>
      <c r="F29" s="582" t="s">
        <v>1051</v>
      </c>
      <c r="G29" s="3"/>
      <c r="H29" s="582" t="s">
        <v>1051</v>
      </c>
      <c r="AA29" s="54"/>
    </row>
    <row r="30" spans="1:27" ht="12" customHeight="1" x14ac:dyDescent="0.3">
      <c r="A30" s="562"/>
      <c r="B30" s="560"/>
      <c r="C30" s="560"/>
      <c r="D30" s="560"/>
      <c r="E30" s="560"/>
      <c r="F30" s="3"/>
      <c r="G30" s="3"/>
      <c r="H30" s="141"/>
      <c r="AA30" s="54"/>
    </row>
    <row r="31" spans="1:27" ht="15.75" customHeight="1" x14ac:dyDescent="0.3">
      <c r="A31" s="915" t="s">
        <v>1174</v>
      </c>
      <c r="B31" s="916"/>
      <c r="C31" s="916"/>
      <c r="D31" s="916"/>
      <c r="E31" s="916"/>
      <c r="F31" s="916"/>
      <c r="G31" s="564"/>
      <c r="H31" s="565"/>
    </row>
    <row r="32" spans="1:27" x14ac:dyDescent="0.3">
      <c r="A32" s="559" t="s">
        <v>3</v>
      </c>
      <c r="B32" s="761" t="s">
        <v>1130</v>
      </c>
      <c r="C32" s="761"/>
      <c r="D32" s="761"/>
      <c r="E32" s="761"/>
      <c r="F32" s="761"/>
      <c r="G32" s="761"/>
      <c r="H32" s="761"/>
    </row>
    <row r="33" spans="1:27" ht="51" customHeight="1" x14ac:dyDescent="0.3">
      <c r="A33" s="566"/>
      <c r="B33" s="911"/>
      <c r="C33" s="912"/>
      <c r="D33" s="912"/>
      <c r="E33" s="912"/>
      <c r="F33" s="912"/>
      <c r="G33" s="912"/>
      <c r="H33" s="912"/>
      <c r="I33" s="913"/>
    </row>
    <row r="34" spans="1:27" ht="15" customHeight="1" x14ac:dyDescent="0.3">
      <c r="A34" s="562"/>
      <c r="B34" s="560"/>
      <c r="C34" s="560"/>
      <c r="D34" s="560"/>
      <c r="E34" s="560"/>
      <c r="F34" s="3"/>
      <c r="G34" s="3"/>
      <c r="H34" s="141"/>
      <c r="AA34" s="54"/>
    </row>
    <row r="35" spans="1:27" ht="27.75" customHeight="1" x14ac:dyDescent="0.3">
      <c r="A35" s="559" t="s">
        <v>4</v>
      </c>
      <c r="B35" s="215" t="s">
        <v>1034</v>
      </c>
      <c r="C35" s="911"/>
      <c r="D35" s="912"/>
      <c r="E35" s="912"/>
      <c r="F35" s="912"/>
      <c r="G35" s="912"/>
      <c r="H35" s="912"/>
      <c r="I35" s="913"/>
    </row>
    <row r="36" spans="1:27" ht="12" customHeight="1" x14ac:dyDescent="0.3">
      <c r="A36" s="562"/>
      <c r="B36" s="560"/>
      <c r="C36" s="560"/>
      <c r="D36" s="560"/>
      <c r="E36" s="560"/>
      <c r="F36" s="3"/>
      <c r="G36" s="3"/>
      <c r="H36" s="141"/>
      <c r="AA36" s="54"/>
    </row>
    <row r="37" spans="1:27" ht="29.25" customHeight="1" x14ac:dyDescent="0.3">
      <c r="A37" s="559" t="s">
        <v>5</v>
      </c>
      <c r="B37" s="215" t="s">
        <v>1131</v>
      </c>
      <c r="C37" s="911"/>
      <c r="D37" s="912"/>
      <c r="E37" s="912"/>
      <c r="F37" s="912"/>
      <c r="G37" s="912"/>
      <c r="H37" s="912"/>
      <c r="I37" s="913"/>
      <c r="J37" s="567"/>
      <c r="K37" s="567"/>
      <c r="L37" s="567"/>
      <c r="M37" s="567"/>
      <c r="N37" s="567"/>
      <c r="O37" s="567"/>
      <c r="P37" s="567"/>
    </row>
    <row r="38" spans="1:27" x14ac:dyDescent="0.3">
      <c r="A38" s="568"/>
      <c r="B38" s="556"/>
      <c r="C38" s="569" t="s">
        <v>1035</v>
      </c>
      <c r="E38" s="919" t="s">
        <v>1036</v>
      </c>
      <c r="F38" s="919"/>
      <c r="G38" s="906" t="s">
        <v>1133</v>
      </c>
      <c r="H38" s="906"/>
      <c r="I38" s="906"/>
      <c r="J38" s="567"/>
      <c r="K38" s="567"/>
      <c r="L38" s="567"/>
      <c r="M38" s="567"/>
      <c r="N38" s="567"/>
      <c r="O38" s="567"/>
      <c r="P38" s="567"/>
    </row>
    <row r="39" spans="1:27" ht="28.5" customHeight="1" x14ac:dyDescent="0.3">
      <c r="A39" s="570" t="s">
        <v>6</v>
      </c>
      <c r="B39" s="4" t="s">
        <v>1132</v>
      </c>
      <c r="C39" s="581"/>
      <c r="D39" s="70" t="s">
        <v>1046</v>
      </c>
      <c r="E39" s="907"/>
      <c r="F39" s="909"/>
      <c r="G39" s="907"/>
      <c r="H39" s="908"/>
      <c r="I39" s="909"/>
      <c r="J39" s="567"/>
      <c r="K39" s="567"/>
      <c r="L39" s="567"/>
      <c r="M39" s="567"/>
      <c r="N39" s="567"/>
      <c r="O39" s="567"/>
      <c r="P39" s="567"/>
    </row>
    <row r="40" spans="1:27" ht="14.25" customHeight="1" x14ac:dyDescent="0.3">
      <c r="A40" s="571"/>
      <c r="B40" s="556"/>
      <c r="C40" s="556"/>
      <c r="D40" s="572"/>
      <c r="E40" s="70"/>
      <c r="F40" s="295"/>
      <c r="G40" s="74"/>
      <c r="H40" s="74"/>
      <c r="I40" s="74"/>
      <c r="J40" s="567"/>
      <c r="K40" s="567"/>
      <c r="L40" s="567"/>
      <c r="M40" s="567"/>
      <c r="N40" s="567"/>
      <c r="O40" s="567"/>
      <c r="P40" s="567"/>
    </row>
    <row r="41" spans="1:27" ht="39" customHeight="1" x14ac:dyDescent="0.3">
      <c r="A41" s="573"/>
      <c r="B41" s="574"/>
      <c r="C41" s="556"/>
      <c r="D41" s="557" t="s">
        <v>1141</v>
      </c>
      <c r="E41" s="557" t="s">
        <v>1143</v>
      </c>
      <c r="G41" s="575"/>
      <c r="H41" s="575"/>
    </row>
    <row r="42" spans="1:27" ht="18.75" customHeight="1" x14ac:dyDescent="0.3">
      <c r="A42" s="576" t="s">
        <v>7</v>
      </c>
      <c r="B42" s="914" t="s">
        <v>1142</v>
      </c>
      <c r="C42" s="920"/>
      <c r="D42" s="580">
        <v>0</v>
      </c>
      <c r="E42" s="580">
        <v>0</v>
      </c>
      <c r="F42" t="str">
        <f>IF(OR(D42="",E42=""),"","Charter's fund balance reserve "&amp;IF(D42&lt;E42,"exceeds",IF(D443=E42,"meets","does not meet"))&amp;" its targeted fund balance.")</f>
        <v>Charter's fund balance reserve meets its targeted fund balance.</v>
      </c>
      <c r="G42" s="575"/>
      <c r="H42" s="575"/>
    </row>
    <row r="43" spans="1:27" ht="10.5" customHeight="1" x14ac:dyDescent="0.3">
      <c r="A43" s="577"/>
      <c r="B43" s="560"/>
      <c r="C43" s="560"/>
      <c r="D43" s="560"/>
      <c r="E43" s="560"/>
      <c r="F43" s="3"/>
      <c r="G43" s="3"/>
      <c r="H43" s="141"/>
      <c r="AA43" s="54"/>
    </row>
    <row r="44" spans="1:27" ht="16.5" customHeight="1" x14ac:dyDescent="0.3">
      <c r="A44" s="563" t="s">
        <v>1187</v>
      </c>
      <c r="B44" s="560"/>
      <c r="C44" s="560"/>
      <c r="D44" s="578"/>
      <c r="E44" s="578"/>
      <c r="F44" s="549"/>
      <c r="G44" s="549"/>
      <c r="H44" s="549"/>
      <c r="I44" s="549"/>
    </row>
    <row r="45" spans="1:27" ht="19.5" customHeight="1" x14ac:dyDescent="0.3">
      <c r="A45" s="576" t="s">
        <v>8</v>
      </c>
      <c r="B45" s="215" t="s">
        <v>1144</v>
      </c>
      <c r="C45" s="215"/>
      <c r="D45" s="215"/>
      <c r="E45" s="215"/>
      <c r="F45" s="215"/>
      <c r="G45" s="215"/>
      <c r="H45" s="215"/>
      <c r="I45" s="215"/>
    </row>
    <row r="46" spans="1:27" x14ac:dyDescent="0.3">
      <c r="A46" s="579"/>
      <c r="B46" s="897" t="s">
        <v>1261</v>
      </c>
      <c r="C46" s="898"/>
      <c r="D46" s="898"/>
      <c r="E46" s="898"/>
      <c r="F46" s="898"/>
      <c r="G46" s="898"/>
      <c r="H46" s="898"/>
      <c r="I46" s="899"/>
    </row>
    <row r="47" spans="1:27" x14ac:dyDescent="0.3">
      <c r="A47" s="579"/>
      <c r="B47" s="900"/>
      <c r="C47" s="901"/>
      <c r="D47" s="901"/>
      <c r="E47" s="901"/>
      <c r="F47" s="901"/>
      <c r="G47" s="901"/>
      <c r="H47" s="901"/>
      <c r="I47" s="902"/>
    </row>
    <row r="48" spans="1:27" x14ac:dyDescent="0.3">
      <c r="A48" s="579"/>
      <c r="B48" s="900"/>
      <c r="C48" s="901"/>
      <c r="D48" s="901"/>
      <c r="E48" s="901"/>
      <c r="F48" s="901"/>
      <c r="G48" s="901"/>
      <c r="H48" s="901"/>
      <c r="I48" s="902"/>
    </row>
    <row r="49" spans="1:9" x14ac:dyDescent="0.3">
      <c r="A49" s="70"/>
      <c r="B49" s="900"/>
      <c r="C49" s="901"/>
      <c r="D49" s="901"/>
      <c r="E49" s="901"/>
      <c r="F49" s="901"/>
      <c r="G49" s="901"/>
      <c r="H49" s="901"/>
      <c r="I49" s="902"/>
    </row>
    <row r="50" spans="1:9" x14ac:dyDescent="0.3">
      <c r="A50" s="70"/>
      <c r="B50" s="903"/>
      <c r="C50" s="904"/>
      <c r="D50" s="904"/>
      <c r="E50" s="904"/>
      <c r="F50" s="904"/>
      <c r="G50" s="904"/>
      <c r="H50" s="904"/>
      <c r="I50" s="905"/>
    </row>
    <row r="52" spans="1:9" x14ac:dyDescent="0.3">
      <c r="A52" s="561"/>
    </row>
  </sheetData>
  <mergeCells count="18">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 ref="A12:B12"/>
    <mergeCell ref="E39:F39"/>
  </mergeCells>
  <conditionalFormatting sqref="B33 C35 C37 C39 E39 G39 D42:E42">
    <cfRule type="expression" dxfId="12" priority="1">
      <formula>$F$26="No"</formula>
    </cfRule>
  </conditionalFormatting>
  <conditionalFormatting sqref="C13:C20 F26 H26 F29 H29 B33 C35 C37 C39 E39:I39 D42:E42 B46">
    <cfRule type="containsBlanks" dxfId="11" priority="10">
      <formula>LEN(TRIM(B13))=0</formula>
    </cfRule>
  </conditionalFormatting>
  <dataValidations count="4">
    <dataValidation type="list" allowBlank="1" showInputMessage="1" showErrorMessage="1" sqref="F34 F43 F36 F29:F30 F26 H29" xr:uid="{00000000-0002-0000-0C00-000000000000}">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s>
  <hyperlinks>
    <hyperlink ref="A32" location="ReserveBalSecBl3" display="3." xr:uid="{00000000-0004-0000-0C00-000000000000}"/>
    <hyperlink ref="A35" location="ReserveBalSecBl4" display="4." xr:uid="{00000000-0004-0000-0C00-000001000000}"/>
    <hyperlink ref="A37" location="ReserveBalSecBl5" display="5." xr:uid="{00000000-0004-0000-0C00-000002000000}"/>
    <hyperlink ref="A24" location="ReserveBalSecB" display="B. Reserve Policy" xr:uid="{00000000-0004-0000-0C00-000003000000}"/>
    <hyperlink ref="A26" location="ReserveBalSecBl1" display="1." xr:uid="{00000000-0004-0000-0C00-000004000000}"/>
    <hyperlink ref="A5" location="ReserveBalSecA" display="A. FY 2023 change in reserve amounts and planned allocations" xr:uid="{00000000-0004-0000-0C00-000005000000}"/>
    <hyperlink ref="A9" location="ReserveBalSecAl1" display="1." xr:uid="{00000000-0004-0000-0C00-000006000000}"/>
    <hyperlink ref="A11" location="ReserveBalSecAl2" display="2." xr:uid="{00000000-0004-0000-0C00-000007000000}"/>
    <hyperlink ref="A14" location="ReserveBalSecAl3b" display="3.b" xr:uid="{00000000-0004-0000-0C00-000008000000}"/>
    <hyperlink ref="A15" location="ReserveBalSecAl3d" display="3.d" xr:uid="{00000000-0004-0000-0C00-000009000000}"/>
    <hyperlink ref="A16" location="ReserveBalSecAl3e" display="3.e" xr:uid="{00000000-0004-0000-0C00-00000A000000}"/>
    <hyperlink ref="A13" location="ReserveBalSecAl3a" display="3.a" xr:uid="{00000000-0004-0000-0C00-00000B000000}"/>
    <hyperlink ref="A19" r:id="rId1" display="3.h" xr:uid="{00000000-0004-0000-0C00-00000C000000}"/>
    <hyperlink ref="A18" location="ReserveBalSecAl3g" display="3.g" xr:uid="{00000000-0004-0000-0C00-00000D000000}"/>
    <hyperlink ref="A17" location="ReserveBalSecAl3f" display="3.f" xr:uid="{00000000-0004-0000-0C00-00000E000000}"/>
    <hyperlink ref="A39" location="ReserveBalSecBl6" display="ReserveBalSecBl6" xr:uid="{00000000-0004-0000-0C00-00000F000000}"/>
    <hyperlink ref="A42" location="ReserveBalSecBl7" display="ReserveBalSecBl7" xr:uid="{00000000-0004-0000-0C00-000010000000}"/>
    <hyperlink ref="A45" location="ReserveBalSecBl8" display="ReserveBalSecBl8" xr:uid="{00000000-0004-0000-0C00-000011000000}"/>
    <hyperlink ref="A29" location="ReserveBalSecBl2" display="2. " xr:uid="{00000000-0004-0000-0C00-000012000000}"/>
    <hyperlink ref="A12" location="ReserveBalSecAl3" display="FY 2023 ending reserve details:" xr:uid="{00000000-0004-0000-0C00-000013000000}"/>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workbookViewId="0">
      <selection activeCell="A15" sqref="A15"/>
    </sheetView>
  </sheetViews>
  <sheetFormatPr defaultColWidth="9.296875" defaultRowHeight="63" customHeight="1" x14ac:dyDescent="0.3"/>
  <cols>
    <col min="1" max="1" width="132" customWidth="1"/>
    <col min="2" max="2" width="16.296875" hidden="1" customWidth="1"/>
    <col min="3" max="3" width="83.69921875" hidden="1" customWidth="1"/>
  </cols>
  <sheetData>
    <row r="1" spans="1:3" ht="30" customHeight="1" x14ac:dyDescent="0.3">
      <c r="A1" s="584"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3">
      <c r="A2" s="560"/>
      <c r="B2" s="560"/>
      <c r="C2" s="564"/>
    </row>
    <row r="3" spans="1:3" s="4" customFormat="1" ht="112.5" customHeight="1" x14ac:dyDescent="0.3">
      <c r="A3" s="560" t="str">
        <f>IF('Page 2'!J48=0,"",IF(SUM('Page 3'!F25)+SUM('Page 4'!F16)+SUM('Page 5'!G8)+SUM('Page 5'!G30)&gt;'Page 1'!H27,C3,""))</f>
        <v/>
      </c>
      <c r="B3" s="560" t="str">
        <f>IF(A3="","","Restricted revenues-3200 on page 1 are not complete.")</f>
        <v/>
      </c>
      <c r="C3" s="585" t="s">
        <v>917</v>
      </c>
    </row>
    <row r="4" spans="1:3" s="4" customFormat="1" ht="63" customHeight="1" x14ac:dyDescent="0.3">
      <c r="A4" s="560" t="str">
        <f>IF('Page 2'!J48=0,"",IF('Page 3'!F27&lt;=0,C4,""))</f>
        <v/>
      </c>
      <c r="B4" s="560" t="str">
        <f>IF(A4="","","Classroom Site Project revenue information on page 3 is not complete.")</f>
        <v/>
      </c>
      <c r="C4" s="585" t="s">
        <v>918</v>
      </c>
    </row>
    <row r="5" spans="1:3" s="4" customFormat="1" ht="78.75" customHeight="1" x14ac:dyDescent="0.3">
      <c r="A5" s="560" t="str">
        <f>IF('Page 2'!J48=0,"",IF('Page 4'!F16&lt;=0,C5,""))</f>
        <v/>
      </c>
      <c r="B5" s="560" t="str">
        <f>IF(A5="","","Instructional Improvement Project revenue on page 4 is not complete.")</f>
        <v/>
      </c>
      <c r="C5" s="585" t="s">
        <v>919</v>
      </c>
    </row>
    <row r="6" spans="1:3" s="4" customFormat="1" ht="55.5" customHeight="1" x14ac:dyDescent="0.3">
      <c r="A6" s="560" t="str">
        <f>IF('Page 2'!J48=0,"",IF(OR('Page 6'!G15="",'Page 6'!G16="",'Page 6'!G17="",'Page 6'!G18="",'Page 6'!G19=""),C6,""))</f>
        <v/>
      </c>
      <c r="B6" s="560" t="str">
        <f>IF(A6="","","Capital acquisition information on page 6, section C is not complete.")</f>
        <v/>
      </c>
      <c r="C6" s="585" t="s">
        <v>920</v>
      </c>
    </row>
    <row r="7" spans="1:3" s="4" customFormat="1" ht="48.75" customHeight="1" x14ac:dyDescent="0.3">
      <c r="A7" s="560" t="str">
        <f>IF('Page 2'!J48=0,"",IF(OR('Page 6'!G33&lt;=0,'Page 6'!G35&lt;=0,'Page 6'!G34&lt;=0,'Page 6'!G38&lt;=0),C7,""))</f>
        <v/>
      </c>
      <c r="B7" s="560" t="str">
        <f>IF(A7="","","Current expenses on page 6, section E are not complete.")</f>
        <v/>
      </c>
      <c r="C7" s="585" t="s">
        <v>921</v>
      </c>
    </row>
    <row r="8" spans="1:3" s="4" customFormat="1" ht="70.5" customHeight="1" x14ac:dyDescent="0.3">
      <c r="A8" s="560" t="str">
        <f>IF('Page 2'!J48=0,"",IF((SUM('Page 2'!J11,'Page 2'!J12,'Page 2'!J13,'Page 2'!J15,'Page 2'!J29,'Page 2'!J30,'Page 2'!J31,'Page 2'!J33))&gt;('Page 6'!G35),C8,""))</f>
        <v/>
      </c>
      <c r="B8" s="560" t="str">
        <f>IF(A8="","","Current administration expense on page 6, section E is not complete.")</f>
        <v/>
      </c>
      <c r="C8" s="585" t="s">
        <v>922</v>
      </c>
    </row>
    <row r="9" spans="1:3" s="4" customFormat="1" ht="39.75" customHeight="1" x14ac:dyDescent="0.3">
      <c r="A9" s="560" t="str">
        <f>IF('Page 2'!J48=0,"",IF(SUM('Page 6'!T6:T8)&lt;=0,C9,""))</f>
        <v/>
      </c>
      <c r="B9" s="560" t="str">
        <f>IF(A9="","","Page 6, section F, lines 1-3 are not complete.")</f>
        <v/>
      </c>
      <c r="C9" s="585" t="s">
        <v>923</v>
      </c>
    </row>
    <row r="10" spans="1:3" s="4" customFormat="1" ht="55.5" customHeight="1" x14ac:dyDescent="0.3">
      <c r="A10" s="560" t="str">
        <f>IF('Page 2'!J48=0,"",IF(SUM('Page 6'!M19:T23)&lt;=0,C10,""))</f>
        <v/>
      </c>
      <c r="B10" s="560" t="str">
        <f>IF(A10="","","Teacher salary information on page 6, section G is not complete.")</f>
        <v/>
      </c>
      <c r="C10" s="585" t="s">
        <v>924</v>
      </c>
    </row>
    <row r="11" spans="1:3" s="4" customFormat="1" ht="50.25" customHeight="1" x14ac:dyDescent="0.3">
      <c r="A11" s="560" t="str">
        <f>IF(SUM('Page 6'!T6:T8)=0,"",IF(AND(((SUM('Page 6'!M19:Q24,'Page 6'!T19:T24)/SUM('Page 6'!T6:T8))&gt;10000),(SUM('Page 6'!M19:Q24,'Page 6'!T19:T24)/SUM('Page 6'!T6:T8))&lt;80000),"",C11))</f>
        <v/>
      </c>
      <c r="B11" s="560" t="str">
        <f>IF(A11="","","Teacher FTE and salary information on page 6, sections F and G is not appropriate.")</f>
        <v/>
      </c>
      <c r="C11" s="585" t="s">
        <v>925</v>
      </c>
    </row>
    <row r="12" spans="1:3" s="4" customFormat="1" ht="57" customHeight="1" x14ac:dyDescent="0.3">
      <c r="A12" s="560" t="str">
        <f>IF('Page 2'!J48=0,"",IF(OR('Page 6'!T29="",'Page 6'!T29&lt;10000),C12,""))</f>
        <v/>
      </c>
      <c r="B12" s="560" t="str">
        <f>IF(A12="","","Average teacher salary information on page 6, section H is not complete.")</f>
        <v/>
      </c>
      <c r="C12" s="585" t="s">
        <v>1089</v>
      </c>
    </row>
    <row r="13" spans="1:3" s="4" customFormat="1" ht="84.75" customHeight="1" x14ac:dyDescent="0.3">
      <c r="A13" s="560" t="str">
        <f>IF('Page 2'!J48=0,"",IF(AND('Page 2'!J37&gt;0,'Page 7'!T23&lt;'Page 2'!J37),C13,""))</f>
        <v/>
      </c>
      <c r="B13" s="560" t="str">
        <f>IF(A13="","","Special education program information on page 7 is not complete.")</f>
        <v/>
      </c>
      <c r="C13" s="585" t="s">
        <v>926</v>
      </c>
    </row>
    <row r="14" spans="1:3" s="4" customFormat="1" ht="84.75" customHeight="1" x14ac:dyDescent="0.3">
      <c r="A14" s="560" t="str">
        <f>IF('Page 2'!J48=0,"",IF(OR('Page 9'!E41="",'Page 9'!E42="",'Page 9'!E43="",'Page 9'!E44="",('Page 9'!K23+'Page 9'!K26+SUM('Page 9'!E33:E36))&lt;&gt;(SUM('Page 9'!E41:E44))),C14,""))</f>
        <v/>
      </c>
      <c r="B14" s="560" t="str">
        <f>IF(A14="","","Property disbursement information on page 9 is not complete.")</f>
        <v/>
      </c>
      <c r="C14" s="585" t="s">
        <v>927</v>
      </c>
    </row>
    <row r="15" spans="1:3" s="4" customFormat="1" ht="81.75" customHeight="1" x14ac:dyDescent="0.3">
      <c r="A15" s="560" t="str">
        <f>IF('Page 2'!J48=0,"",IF((SUM('Page 2'!J48))&gt;(SUM('Page 9'!D23:J23)+SUM('Page 9'!D26:J26)+SUM('Page 9'!D33:D36)+'Page 9'!E48+'Page 9'!E50),C15,""))</f>
        <v/>
      </c>
      <c r="B15" s="560" t="str">
        <f>IF(A15="","","NPEFS information on page 9 is not complete.")</f>
        <v/>
      </c>
      <c r="C15" s="585" t="s">
        <v>928</v>
      </c>
    </row>
    <row r="16" spans="1:3" s="4" customFormat="1" ht="41.25" customHeight="1" x14ac:dyDescent="0.3">
      <c r="A16" s="560" t="str">
        <f>IF('Page 2'!J48=0,"",IF(OR('Page 8'!F25="",'Page 8'!G25="",'Page 8'!H25="",'Page 8'!J25="",'Page 8'!L25=""),C16,""))</f>
        <v/>
      </c>
      <c r="B16" s="560" t="str">
        <f>IF(A16="","","COVID-19 information on page 8, line 19 is not complete.")</f>
        <v/>
      </c>
      <c r="C16" s="585" t="s">
        <v>929</v>
      </c>
    </row>
    <row r="17" spans="1:3" ht="43.5" customHeight="1" x14ac:dyDescent="0.3">
      <c r="A17" s="586"/>
      <c r="B17" s="4"/>
      <c r="C17" s="4"/>
    </row>
    <row r="18" spans="1:3" ht="63" customHeight="1" x14ac:dyDescent="0.3">
      <c r="A18" s="560"/>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workbookViewId="0">
      <selection activeCell="D113" sqref="D113"/>
    </sheetView>
  </sheetViews>
  <sheetFormatPr defaultColWidth="9.69921875" defaultRowHeight="14" x14ac:dyDescent="0.3"/>
  <cols>
    <col min="1" max="1" width="25.69921875" style="589" customWidth="1"/>
    <col min="2" max="2" width="76.69921875" style="589" customWidth="1"/>
    <col min="3" max="4" width="23.69921875" style="589" customWidth="1"/>
    <col min="5" max="6" width="26.796875" style="589" customWidth="1"/>
    <col min="7" max="7" width="45.796875" style="589" customWidth="1"/>
    <col min="8" max="11" width="9.69921875" style="589" customWidth="1"/>
    <col min="12" max="12" width="8.796875" style="589" hidden="1" customWidth="1"/>
    <col min="13" max="14" width="9.69921875" style="589" customWidth="1"/>
    <col min="15" max="16384" width="9.69921875" style="589"/>
  </cols>
  <sheetData>
    <row r="1" spans="1:12" x14ac:dyDescent="0.3">
      <c r="A1" s="587" t="s">
        <v>770</v>
      </c>
      <c r="B1" s="588" t="str">
        <f>'Cover Page'!D1</f>
        <v>Valor Preparatory Academy, LLC</v>
      </c>
    </row>
    <row r="2" spans="1:12" x14ac:dyDescent="0.3">
      <c r="A2" s="590" t="s">
        <v>592</v>
      </c>
      <c r="B2" s="591" t="str">
        <f>'Cover Page'!R1</f>
        <v>078104000</v>
      </c>
    </row>
    <row r="3" spans="1:12" x14ac:dyDescent="0.3">
      <c r="A3" s="590" t="s">
        <v>331</v>
      </c>
      <c r="B3" s="588" t="str">
        <f>'Cover Page'!M1</f>
        <v>Maricopa</v>
      </c>
    </row>
    <row r="4" spans="1:12" x14ac:dyDescent="0.3">
      <c r="D4" s="921" t="s">
        <v>1112</v>
      </c>
      <c r="E4" s="922"/>
      <c r="F4" s="922"/>
      <c r="G4" s="923"/>
    </row>
    <row r="6" spans="1:12" ht="28" x14ac:dyDescent="0.3">
      <c r="A6" s="592" t="s">
        <v>383</v>
      </c>
      <c r="B6" s="593" t="s">
        <v>797</v>
      </c>
      <c r="C6" s="592" t="s">
        <v>384</v>
      </c>
      <c r="D6" s="594" t="s">
        <v>787</v>
      </c>
      <c r="E6" s="592" t="s">
        <v>795</v>
      </c>
      <c r="F6" s="592" t="s">
        <v>796</v>
      </c>
      <c r="G6" s="592" t="s">
        <v>385</v>
      </c>
    </row>
    <row r="7" spans="1:12" x14ac:dyDescent="0.3">
      <c r="A7" s="595" t="s">
        <v>386</v>
      </c>
      <c r="B7" s="596" t="s">
        <v>386</v>
      </c>
      <c r="C7" s="597" t="str">
        <f>B2</f>
        <v>078104000</v>
      </c>
      <c r="D7" s="7"/>
      <c r="E7" s="5"/>
      <c r="F7" s="8">
        <v>300</v>
      </c>
      <c r="G7" s="9"/>
      <c r="L7" s="589" t="s">
        <v>387</v>
      </c>
    </row>
    <row r="8" spans="1:12" ht="13.5" customHeight="1" x14ac:dyDescent="0.3">
      <c r="A8" s="601" t="s">
        <v>788</v>
      </c>
      <c r="B8" s="602"/>
      <c r="C8" s="602"/>
      <c r="D8" s="602"/>
      <c r="E8" s="5"/>
      <c r="F8" s="8"/>
      <c r="G8" s="5"/>
      <c r="L8" s="589" t="s">
        <v>388</v>
      </c>
    </row>
    <row r="9" spans="1:12" x14ac:dyDescent="0.3">
      <c r="A9" s="595" t="s">
        <v>389</v>
      </c>
      <c r="B9" s="602"/>
      <c r="C9" s="602"/>
      <c r="D9" s="602"/>
      <c r="E9" s="602"/>
      <c r="F9" s="8"/>
      <c r="G9" s="602"/>
      <c r="L9" s="589" t="s">
        <v>390</v>
      </c>
    </row>
    <row r="10" spans="1:12" x14ac:dyDescent="0.3">
      <c r="A10" s="595" t="s">
        <v>391</v>
      </c>
      <c r="B10" s="5" t="s">
        <v>1242</v>
      </c>
      <c r="C10" s="6" t="s">
        <v>1253</v>
      </c>
      <c r="D10" s="7">
        <v>179.70099999999999</v>
      </c>
      <c r="E10" s="5"/>
      <c r="F10" s="8">
        <v>101</v>
      </c>
      <c r="G10" s="9"/>
      <c r="L10" s="589" t="s">
        <v>392</v>
      </c>
    </row>
    <row r="11" spans="1:12" x14ac:dyDescent="0.3">
      <c r="A11" s="595" t="s">
        <v>393</v>
      </c>
      <c r="B11" s="5"/>
      <c r="C11" s="6"/>
      <c r="D11" s="7"/>
      <c r="E11" s="5"/>
      <c r="F11" s="8"/>
      <c r="G11" s="9"/>
      <c r="L11" s="589" t="s">
        <v>394</v>
      </c>
    </row>
    <row r="12" spans="1:12" x14ac:dyDescent="0.3">
      <c r="A12" s="595" t="s">
        <v>395</v>
      </c>
      <c r="B12" s="5"/>
      <c r="C12" s="6"/>
      <c r="D12" s="7"/>
      <c r="E12" s="5"/>
      <c r="F12" s="8"/>
      <c r="G12" s="9"/>
      <c r="L12" s="589" t="s">
        <v>396</v>
      </c>
    </row>
    <row r="13" spans="1:12" x14ac:dyDescent="0.3">
      <c r="A13" s="595" t="s">
        <v>397</v>
      </c>
      <c r="B13" s="5"/>
      <c r="C13" s="6"/>
      <c r="D13" s="7"/>
      <c r="E13" s="5"/>
      <c r="F13" s="8"/>
      <c r="G13" s="9"/>
      <c r="L13" s="589" t="s">
        <v>398</v>
      </c>
    </row>
    <row r="14" spans="1:12" x14ac:dyDescent="0.3">
      <c r="A14" s="595" t="s">
        <v>399</v>
      </c>
      <c r="B14" s="5"/>
      <c r="C14" s="6"/>
      <c r="D14" s="7"/>
      <c r="E14" s="5"/>
      <c r="F14" s="8"/>
      <c r="G14" s="9"/>
      <c r="L14" s="589" t="s">
        <v>400</v>
      </c>
    </row>
    <row r="15" spans="1:12" x14ac:dyDescent="0.3">
      <c r="A15" s="595" t="s">
        <v>401</v>
      </c>
      <c r="B15" s="5"/>
      <c r="C15" s="6"/>
      <c r="D15" s="7"/>
      <c r="E15" s="5"/>
      <c r="F15" s="8"/>
      <c r="G15" s="9"/>
      <c r="L15" s="589" t="s">
        <v>402</v>
      </c>
    </row>
    <row r="16" spans="1:12" x14ac:dyDescent="0.3">
      <c r="A16" s="595" t="s">
        <v>403</v>
      </c>
      <c r="B16" s="5"/>
      <c r="C16" s="6"/>
      <c r="D16" s="7"/>
      <c r="E16" s="5"/>
      <c r="F16" s="8"/>
      <c r="G16" s="9"/>
      <c r="L16" s="589" t="s">
        <v>404</v>
      </c>
    </row>
    <row r="17" spans="1:12" x14ac:dyDescent="0.3">
      <c r="A17" s="595" t="s">
        <v>405</v>
      </c>
      <c r="B17" s="5"/>
      <c r="C17" s="6"/>
      <c r="D17" s="7"/>
      <c r="E17" s="5"/>
      <c r="F17" s="8"/>
      <c r="G17" s="9"/>
      <c r="L17" s="589" t="s">
        <v>406</v>
      </c>
    </row>
    <row r="18" spans="1:12" x14ac:dyDescent="0.3">
      <c r="A18" s="595" t="s">
        <v>407</v>
      </c>
      <c r="B18" s="5"/>
      <c r="C18" s="6"/>
      <c r="D18" s="7"/>
      <c r="E18" s="5"/>
      <c r="F18" s="8"/>
      <c r="G18" s="9"/>
      <c r="L18" s="589" t="s">
        <v>408</v>
      </c>
    </row>
    <row r="19" spans="1:12" x14ac:dyDescent="0.3">
      <c r="A19" s="595" t="s">
        <v>409</v>
      </c>
      <c r="B19" s="5"/>
      <c r="C19" s="6"/>
      <c r="D19" s="7"/>
      <c r="E19" s="5"/>
      <c r="F19" s="8"/>
      <c r="G19" s="9"/>
      <c r="L19" s="589" t="s">
        <v>410</v>
      </c>
    </row>
    <row r="20" spans="1:12" x14ac:dyDescent="0.3">
      <c r="A20" s="595" t="s">
        <v>411</v>
      </c>
      <c r="B20" s="5"/>
      <c r="C20" s="6"/>
      <c r="D20" s="7"/>
      <c r="E20" s="5"/>
      <c r="F20" s="8"/>
      <c r="G20" s="9"/>
      <c r="L20" s="589" t="s">
        <v>412</v>
      </c>
    </row>
    <row r="21" spans="1:12" x14ac:dyDescent="0.3">
      <c r="A21" s="595" t="s">
        <v>413</v>
      </c>
      <c r="B21" s="5"/>
      <c r="C21" s="6"/>
      <c r="D21" s="7"/>
      <c r="E21" s="5"/>
      <c r="F21" s="8"/>
      <c r="G21" s="9"/>
      <c r="L21" s="589" t="s">
        <v>414</v>
      </c>
    </row>
    <row r="22" spans="1:12" x14ac:dyDescent="0.3">
      <c r="A22" s="595" t="s">
        <v>415</v>
      </c>
      <c r="B22" s="5"/>
      <c r="C22" s="6"/>
      <c r="D22" s="7"/>
      <c r="E22" s="5"/>
      <c r="F22" s="8"/>
      <c r="G22" s="9"/>
      <c r="L22" s="589" t="s">
        <v>416</v>
      </c>
    </row>
    <row r="23" spans="1:12" x14ac:dyDescent="0.3">
      <c r="A23" s="595" t="s">
        <v>417</v>
      </c>
      <c r="B23" s="5"/>
      <c r="C23" s="6"/>
      <c r="D23" s="7"/>
      <c r="E23" s="5"/>
      <c r="F23" s="8"/>
      <c r="G23" s="9"/>
      <c r="L23" s="589" t="s">
        <v>418</v>
      </c>
    </row>
    <row r="24" spans="1:12" x14ac:dyDescent="0.3">
      <c r="A24" s="595" t="s">
        <v>419</v>
      </c>
      <c r="B24" s="5"/>
      <c r="C24" s="6"/>
      <c r="D24" s="7"/>
      <c r="E24" s="5"/>
      <c r="F24" s="8"/>
      <c r="G24" s="9"/>
      <c r="L24" s="589" t="s">
        <v>420</v>
      </c>
    </row>
    <row r="25" spans="1:12" hidden="1" x14ac:dyDescent="0.3">
      <c r="A25" s="595" t="s">
        <v>421</v>
      </c>
      <c r="B25" s="595"/>
      <c r="C25" s="597"/>
      <c r="D25" s="598"/>
      <c r="E25" s="595"/>
      <c r="F25" s="599"/>
      <c r="G25" s="600"/>
      <c r="L25" s="589" t="s">
        <v>422</v>
      </c>
    </row>
    <row r="26" spans="1:12" hidden="1" x14ac:dyDescent="0.3">
      <c r="A26" s="595" t="s">
        <v>423</v>
      </c>
      <c r="B26" s="595"/>
      <c r="C26" s="597"/>
      <c r="D26" s="598"/>
      <c r="E26" s="595"/>
      <c r="F26" s="599"/>
      <c r="G26" s="600"/>
      <c r="L26" s="589" t="s">
        <v>424</v>
      </c>
    </row>
    <row r="27" spans="1:12" hidden="1" x14ac:dyDescent="0.3">
      <c r="A27" s="595" t="s">
        <v>425</v>
      </c>
      <c r="B27" s="595"/>
      <c r="C27" s="597"/>
      <c r="D27" s="598"/>
      <c r="E27" s="595"/>
      <c r="F27" s="599"/>
      <c r="G27" s="600"/>
      <c r="L27" s="589" t="s">
        <v>426</v>
      </c>
    </row>
    <row r="28" spans="1:12" hidden="1" x14ac:dyDescent="0.3">
      <c r="A28" s="595" t="s">
        <v>427</v>
      </c>
      <c r="B28" s="595"/>
      <c r="C28" s="597"/>
      <c r="D28" s="598"/>
      <c r="E28" s="595"/>
      <c r="F28" s="599"/>
      <c r="G28" s="600"/>
      <c r="L28" s="589" t="s">
        <v>428</v>
      </c>
    </row>
    <row r="29" spans="1:12" hidden="1" x14ac:dyDescent="0.3">
      <c r="A29" s="595" t="s">
        <v>429</v>
      </c>
      <c r="B29" s="595"/>
      <c r="C29" s="597"/>
      <c r="D29" s="598"/>
      <c r="E29" s="595"/>
      <c r="F29" s="599"/>
      <c r="G29" s="600"/>
      <c r="L29" s="589" t="s">
        <v>430</v>
      </c>
    </row>
    <row r="30" spans="1:12" hidden="1" x14ac:dyDescent="0.3">
      <c r="A30" s="595" t="s">
        <v>431</v>
      </c>
      <c r="B30" s="595"/>
      <c r="C30" s="597"/>
      <c r="D30" s="598"/>
      <c r="E30" s="595"/>
      <c r="F30" s="599"/>
      <c r="G30" s="600"/>
      <c r="L30" s="589" t="s">
        <v>432</v>
      </c>
    </row>
    <row r="31" spans="1:12" hidden="1" x14ac:dyDescent="0.3">
      <c r="A31" s="595" t="s">
        <v>433</v>
      </c>
      <c r="B31" s="595"/>
      <c r="C31" s="597"/>
      <c r="D31" s="598"/>
      <c r="E31" s="595"/>
      <c r="F31" s="599"/>
      <c r="G31" s="600"/>
      <c r="L31" s="589" t="s">
        <v>434</v>
      </c>
    </row>
    <row r="32" spans="1:12" hidden="1" x14ac:dyDescent="0.3">
      <c r="A32" s="595" t="s">
        <v>435</v>
      </c>
      <c r="B32" s="595"/>
      <c r="C32" s="597"/>
      <c r="D32" s="598"/>
      <c r="E32" s="595"/>
      <c r="F32" s="599"/>
      <c r="G32" s="600"/>
      <c r="L32" s="589" t="s">
        <v>436</v>
      </c>
    </row>
    <row r="33" spans="1:12" hidden="1" x14ac:dyDescent="0.3">
      <c r="A33" s="595" t="s">
        <v>437</v>
      </c>
      <c r="B33" s="595"/>
      <c r="C33" s="597"/>
      <c r="D33" s="598"/>
      <c r="E33" s="595"/>
      <c r="F33" s="599"/>
      <c r="G33" s="600"/>
      <c r="L33" s="589" t="s">
        <v>438</v>
      </c>
    </row>
    <row r="34" spans="1:12" hidden="1" x14ac:dyDescent="0.3">
      <c r="A34" s="595" t="s">
        <v>439</v>
      </c>
      <c r="B34" s="595"/>
      <c r="C34" s="597"/>
      <c r="D34" s="598"/>
      <c r="E34" s="595"/>
      <c r="F34" s="599"/>
      <c r="G34" s="600"/>
      <c r="L34" s="589" t="s">
        <v>440</v>
      </c>
    </row>
    <row r="35" spans="1:12" hidden="1" x14ac:dyDescent="0.3">
      <c r="A35" s="595" t="s">
        <v>441</v>
      </c>
      <c r="B35" s="595"/>
      <c r="C35" s="597"/>
      <c r="D35" s="598"/>
      <c r="E35" s="595"/>
      <c r="F35" s="599"/>
      <c r="G35" s="600"/>
      <c r="L35" s="589" t="s">
        <v>442</v>
      </c>
    </row>
    <row r="36" spans="1:12" hidden="1" x14ac:dyDescent="0.3">
      <c r="A36" s="595" t="s">
        <v>443</v>
      </c>
      <c r="B36" s="595"/>
      <c r="C36" s="597"/>
      <c r="D36" s="598"/>
      <c r="E36" s="595"/>
      <c r="F36" s="599"/>
      <c r="G36" s="600"/>
      <c r="L36" s="589" t="s">
        <v>444</v>
      </c>
    </row>
    <row r="37" spans="1:12" hidden="1" x14ac:dyDescent="0.3">
      <c r="A37" s="595" t="s">
        <v>445</v>
      </c>
      <c r="B37" s="595"/>
      <c r="C37" s="597"/>
      <c r="D37" s="598"/>
      <c r="E37" s="595"/>
      <c r="F37" s="599"/>
      <c r="G37" s="600"/>
      <c r="L37" s="589" t="s">
        <v>446</v>
      </c>
    </row>
    <row r="38" spans="1:12" hidden="1" x14ac:dyDescent="0.3">
      <c r="A38" s="595" t="s">
        <v>447</v>
      </c>
      <c r="B38" s="595"/>
      <c r="C38" s="597"/>
      <c r="D38" s="598"/>
      <c r="E38" s="595"/>
      <c r="F38" s="599"/>
      <c r="G38" s="600"/>
      <c r="L38" s="589" t="s">
        <v>448</v>
      </c>
    </row>
    <row r="39" spans="1:12" hidden="1" x14ac:dyDescent="0.3">
      <c r="A39" s="595" t="s">
        <v>449</v>
      </c>
      <c r="B39" s="595"/>
      <c r="C39" s="597"/>
      <c r="D39" s="598"/>
      <c r="E39" s="595"/>
      <c r="F39" s="599"/>
      <c r="G39" s="600"/>
      <c r="L39" s="589" t="s">
        <v>450</v>
      </c>
    </row>
    <row r="40" spans="1:12" hidden="1" x14ac:dyDescent="0.3">
      <c r="A40" s="595" t="s">
        <v>451</v>
      </c>
      <c r="B40" s="595"/>
      <c r="C40" s="597"/>
      <c r="D40" s="598"/>
      <c r="E40" s="595"/>
      <c r="F40" s="599"/>
      <c r="G40" s="600"/>
      <c r="L40" s="589" t="s">
        <v>452</v>
      </c>
    </row>
    <row r="41" spans="1:12" hidden="1" x14ac:dyDescent="0.3">
      <c r="A41" s="595" t="s">
        <v>453</v>
      </c>
      <c r="B41" s="595"/>
      <c r="C41" s="597"/>
      <c r="D41" s="598"/>
      <c r="E41" s="595"/>
      <c r="F41" s="599"/>
      <c r="G41" s="600"/>
      <c r="L41" s="589" t="s">
        <v>454</v>
      </c>
    </row>
    <row r="42" spans="1:12" hidden="1" x14ac:dyDescent="0.3">
      <c r="A42" s="595" t="s">
        <v>455</v>
      </c>
      <c r="B42" s="595"/>
      <c r="C42" s="597"/>
      <c r="D42" s="598"/>
      <c r="E42" s="595"/>
      <c r="F42" s="599"/>
      <c r="G42" s="600"/>
      <c r="L42" s="589" t="s">
        <v>456</v>
      </c>
    </row>
    <row r="43" spans="1:12" hidden="1" x14ac:dyDescent="0.3">
      <c r="A43" s="595" t="s">
        <v>457</v>
      </c>
      <c r="B43" s="595"/>
      <c r="C43" s="597"/>
      <c r="D43" s="598"/>
      <c r="E43" s="595"/>
      <c r="F43" s="599"/>
      <c r="G43" s="600"/>
      <c r="L43" s="589" t="s">
        <v>458</v>
      </c>
    </row>
    <row r="44" spans="1:12" hidden="1" x14ac:dyDescent="0.3">
      <c r="A44" s="595" t="s">
        <v>459</v>
      </c>
      <c r="B44" s="595"/>
      <c r="C44" s="597"/>
      <c r="D44" s="598"/>
      <c r="E44" s="595"/>
      <c r="F44" s="599"/>
      <c r="G44" s="600"/>
      <c r="L44" s="589" t="s">
        <v>460</v>
      </c>
    </row>
    <row r="45" spans="1:12" hidden="1" x14ac:dyDescent="0.3">
      <c r="A45" s="595" t="s">
        <v>461</v>
      </c>
      <c r="B45" s="595"/>
      <c r="C45" s="597"/>
      <c r="D45" s="598"/>
      <c r="E45" s="595"/>
      <c r="F45" s="599"/>
      <c r="G45" s="600"/>
      <c r="L45" s="589" t="s">
        <v>462</v>
      </c>
    </row>
    <row r="46" spans="1:12" hidden="1" x14ac:dyDescent="0.3">
      <c r="A46" s="595" t="s">
        <v>463</v>
      </c>
      <c r="B46" s="595"/>
      <c r="C46" s="597"/>
      <c r="D46" s="598"/>
      <c r="E46" s="595"/>
      <c r="F46" s="599"/>
      <c r="G46" s="600"/>
      <c r="L46" s="589" t="s">
        <v>464</v>
      </c>
    </row>
    <row r="47" spans="1:12" hidden="1" x14ac:dyDescent="0.3">
      <c r="A47" s="595" t="s">
        <v>465</v>
      </c>
      <c r="B47" s="595"/>
      <c r="C47" s="597"/>
      <c r="D47" s="598"/>
      <c r="E47" s="595"/>
      <c r="F47" s="599"/>
      <c r="G47" s="600"/>
      <c r="L47" s="589" t="s">
        <v>466</v>
      </c>
    </row>
    <row r="48" spans="1:12" hidden="1" x14ac:dyDescent="0.3">
      <c r="A48" s="595" t="s">
        <v>467</v>
      </c>
      <c r="B48" s="595"/>
      <c r="C48" s="597"/>
      <c r="D48" s="598"/>
      <c r="E48" s="595"/>
      <c r="F48" s="599"/>
      <c r="G48" s="600"/>
      <c r="L48" s="589" t="s">
        <v>468</v>
      </c>
    </row>
    <row r="49" spans="1:12" hidden="1" x14ac:dyDescent="0.3">
      <c r="A49" s="595" t="s">
        <v>469</v>
      </c>
      <c r="B49" s="595"/>
      <c r="C49" s="597"/>
      <c r="D49" s="598"/>
      <c r="E49" s="595"/>
      <c r="F49" s="599"/>
      <c r="G49" s="600"/>
      <c r="L49" s="589" t="s">
        <v>470</v>
      </c>
    </row>
    <row r="50" spans="1:12" hidden="1" x14ac:dyDescent="0.3">
      <c r="A50" s="595" t="s">
        <v>471</v>
      </c>
      <c r="B50" s="595"/>
      <c r="C50" s="597"/>
      <c r="D50" s="598"/>
      <c r="E50" s="595"/>
      <c r="F50" s="599"/>
      <c r="G50" s="600"/>
      <c r="L50" s="589" t="s">
        <v>472</v>
      </c>
    </row>
    <row r="51" spans="1:12" hidden="1" x14ac:dyDescent="0.3">
      <c r="A51" s="595" t="s">
        <v>473</v>
      </c>
      <c r="B51" s="595"/>
      <c r="C51" s="597"/>
      <c r="D51" s="598"/>
      <c r="E51" s="595"/>
      <c r="F51" s="599"/>
      <c r="G51" s="600"/>
      <c r="L51" s="589" t="s">
        <v>474</v>
      </c>
    </row>
    <row r="52" spans="1:12" hidden="1" x14ac:dyDescent="0.3">
      <c r="A52" s="595" t="s">
        <v>475</v>
      </c>
      <c r="B52" s="595"/>
      <c r="C52" s="597"/>
      <c r="D52" s="598"/>
      <c r="E52" s="595"/>
      <c r="F52" s="599"/>
      <c r="G52" s="600"/>
      <c r="L52" s="589" t="s">
        <v>476</v>
      </c>
    </row>
    <row r="53" spans="1:12" hidden="1" x14ac:dyDescent="0.3">
      <c r="A53" s="595" t="s">
        <v>477</v>
      </c>
      <c r="B53" s="595"/>
      <c r="C53" s="597"/>
      <c r="D53" s="598"/>
      <c r="E53" s="595"/>
      <c r="F53" s="599"/>
      <c r="G53" s="600"/>
      <c r="L53" s="589" t="s">
        <v>478</v>
      </c>
    </row>
    <row r="54" spans="1:12" hidden="1" x14ac:dyDescent="0.3">
      <c r="A54" s="595" t="s">
        <v>479</v>
      </c>
      <c r="B54" s="595"/>
      <c r="C54" s="597"/>
      <c r="D54" s="598"/>
      <c r="E54" s="595"/>
      <c r="F54" s="599"/>
      <c r="G54" s="600"/>
      <c r="L54" s="589" t="s">
        <v>480</v>
      </c>
    </row>
    <row r="55" spans="1:12" hidden="1" x14ac:dyDescent="0.3">
      <c r="A55" s="595" t="s">
        <v>481</v>
      </c>
      <c r="B55" s="595"/>
      <c r="C55" s="597"/>
      <c r="D55" s="598"/>
      <c r="E55" s="595"/>
      <c r="F55" s="599"/>
      <c r="G55" s="600"/>
      <c r="L55" s="589" t="s">
        <v>482</v>
      </c>
    </row>
    <row r="56" spans="1:12" hidden="1" x14ac:dyDescent="0.3">
      <c r="A56" s="595" t="s">
        <v>483</v>
      </c>
      <c r="B56" s="595"/>
      <c r="C56" s="597"/>
      <c r="D56" s="598"/>
      <c r="E56" s="595"/>
      <c r="F56" s="599"/>
      <c r="G56" s="600"/>
      <c r="L56" s="589" t="s">
        <v>484</v>
      </c>
    </row>
    <row r="57" spans="1:12" hidden="1" x14ac:dyDescent="0.3">
      <c r="A57" s="595" t="s">
        <v>485</v>
      </c>
      <c r="B57" s="595"/>
      <c r="C57" s="597"/>
      <c r="D57" s="598"/>
      <c r="E57" s="595"/>
      <c r="F57" s="599"/>
      <c r="G57" s="600"/>
      <c r="L57" s="589" t="s">
        <v>486</v>
      </c>
    </row>
    <row r="58" spans="1:12" hidden="1" x14ac:dyDescent="0.3">
      <c r="A58" s="595" t="s">
        <v>487</v>
      </c>
      <c r="B58" s="595"/>
      <c r="C58" s="597"/>
      <c r="D58" s="598"/>
      <c r="E58" s="595"/>
      <c r="F58" s="599"/>
      <c r="G58" s="600"/>
      <c r="L58" s="589" t="s">
        <v>488</v>
      </c>
    </row>
    <row r="59" spans="1:12" hidden="1" x14ac:dyDescent="0.3">
      <c r="A59" s="595" t="s">
        <v>489</v>
      </c>
      <c r="B59" s="595"/>
      <c r="C59" s="597"/>
      <c r="D59" s="598"/>
      <c r="E59" s="595"/>
      <c r="F59" s="599"/>
      <c r="G59" s="600"/>
      <c r="L59" s="589" t="s">
        <v>490</v>
      </c>
    </row>
    <row r="60" spans="1:12" hidden="1" x14ac:dyDescent="0.3">
      <c r="A60" s="595" t="s">
        <v>491</v>
      </c>
      <c r="B60" s="595"/>
      <c r="C60" s="597"/>
      <c r="D60" s="598"/>
      <c r="E60" s="595"/>
      <c r="F60" s="599"/>
      <c r="G60" s="600"/>
      <c r="L60" s="589" t="s">
        <v>492</v>
      </c>
    </row>
    <row r="61" spans="1:12" hidden="1" x14ac:dyDescent="0.3">
      <c r="A61" s="595" t="s">
        <v>493</v>
      </c>
      <c r="B61" s="595"/>
      <c r="C61" s="597"/>
      <c r="D61" s="598"/>
      <c r="E61" s="595"/>
      <c r="F61" s="599"/>
      <c r="G61" s="600"/>
      <c r="L61" s="589" t="s">
        <v>494</v>
      </c>
    </row>
    <row r="62" spans="1:12" hidden="1" x14ac:dyDescent="0.3">
      <c r="A62" s="595" t="s">
        <v>495</v>
      </c>
      <c r="B62" s="595"/>
      <c r="C62" s="597"/>
      <c r="D62" s="598"/>
      <c r="E62" s="595"/>
      <c r="F62" s="599"/>
      <c r="G62" s="600"/>
      <c r="L62" s="589" t="s">
        <v>496</v>
      </c>
    </row>
    <row r="63" spans="1:12" hidden="1" x14ac:dyDescent="0.3">
      <c r="A63" s="595" t="s">
        <v>497</v>
      </c>
      <c r="B63" s="595"/>
      <c r="C63" s="597"/>
      <c r="D63" s="598"/>
      <c r="E63" s="595"/>
      <c r="F63" s="599"/>
      <c r="G63" s="600"/>
      <c r="L63" s="589" t="s">
        <v>498</v>
      </c>
    </row>
    <row r="64" spans="1:12" hidden="1" x14ac:dyDescent="0.3">
      <c r="A64" s="595" t="s">
        <v>499</v>
      </c>
      <c r="B64" s="595"/>
      <c r="C64" s="597"/>
      <c r="D64" s="598"/>
      <c r="E64" s="595"/>
      <c r="F64" s="599"/>
      <c r="G64" s="600"/>
      <c r="L64" s="589" t="s">
        <v>500</v>
      </c>
    </row>
    <row r="65" spans="1:12" hidden="1" x14ac:dyDescent="0.3">
      <c r="A65" s="595" t="s">
        <v>501</v>
      </c>
      <c r="B65" s="595"/>
      <c r="C65" s="597"/>
      <c r="D65" s="598"/>
      <c r="E65" s="595"/>
      <c r="F65" s="599"/>
      <c r="G65" s="600"/>
      <c r="L65" s="589" t="s">
        <v>502</v>
      </c>
    </row>
    <row r="66" spans="1:12" hidden="1" x14ac:dyDescent="0.3">
      <c r="A66" s="595" t="s">
        <v>503</v>
      </c>
      <c r="B66" s="595"/>
      <c r="C66" s="597"/>
      <c r="D66" s="598"/>
      <c r="E66" s="595"/>
      <c r="F66" s="599"/>
      <c r="G66" s="600"/>
      <c r="L66" s="589" t="s">
        <v>504</v>
      </c>
    </row>
    <row r="67" spans="1:12" hidden="1" x14ac:dyDescent="0.3">
      <c r="A67" s="595" t="s">
        <v>505</v>
      </c>
      <c r="B67" s="595"/>
      <c r="C67" s="597"/>
      <c r="D67" s="598"/>
      <c r="E67" s="595"/>
      <c r="F67" s="599"/>
      <c r="G67" s="600"/>
      <c r="L67" s="589" t="s">
        <v>506</v>
      </c>
    </row>
    <row r="68" spans="1:12" hidden="1" x14ac:dyDescent="0.3">
      <c r="A68" s="595" t="s">
        <v>507</v>
      </c>
      <c r="B68" s="595"/>
      <c r="C68" s="597"/>
      <c r="D68" s="598"/>
      <c r="E68" s="595"/>
      <c r="F68" s="599"/>
      <c r="G68" s="600"/>
      <c r="L68" s="589" t="s">
        <v>508</v>
      </c>
    </row>
    <row r="69" spans="1:12" hidden="1" x14ac:dyDescent="0.3">
      <c r="A69" s="595" t="s">
        <v>509</v>
      </c>
      <c r="B69" s="595"/>
      <c r="C69" s="597"/>
      <c r="D69" s="598"/>
      <c r="E69" s="595"/>
      <c r="F69" s="599"/>
      <c r="G69" s="600"/>
      <c r="L69" s="589" t="s">
        <v>510</v>
      </c>
    </row>
    <row r="70" spans="1:12" hidden="1" x14ac:dyDescent="0.3">
      <c r="A70" s="595" t="s">
        <v>511</v>
      </c>
      <c r="B70" s="595"/>
      <c r="C70" s="597"/>
      <c r="D70" s="598"/>
      <c r="E70" s="595"/>
      <c r="F70" s="599"/>
      <c r="G70" s="600"/>
      <c r="L70" s="589" t="s">
        <v>512</v>
      </c>
    </row>
    <row r="71" spans="1:12" hidden="1" x14ac:dyDescent="0.3">
      <c r="A71" s="595" t="s">
        <v>513</v>
      </c>
      <c r="B71" s="595"/>
      <c r="C71" s="597"/>
      <c r="D71" s="598"/>
      <c r="E71" s="595"/>
      <c r="F71" s="599"/>
      <c r="G71" s="600"/>
      <c r="L71" s="589" t="s">
        <v>514</v>
      </c>
    </row>
    <row r="72" spans="1:12" hidden="1" x14ac:dyDescent="0.3">
      <c r="A72" s="595" t="s">
        <v>515</v>
      </c>
      <c r="B72" s="595"/>
      <c r="C72" s="597"/>
      <c r="D72" s="598"/>
      <c r="E72" s="595"/>
      <c r="F72" s="599"/>
      <c r="G72" s="600"/>
      <c r="L72" s="589" t="s">
        <v>516</v>
      </c>
    </row>
    <row r="73" spans="1:12" hidden="1" x14ac:dyDescent="0.3">
      <c r="A73" s="595" t="s">
        <v>517</v>
      </c>
      <c r="B73" s="595"/>
      <c r="C73" s="597"/>
      <c r="D73" s="598"/>
      <c r="E73" s="595"/>
      <c r="F73" s="599"/>
      <c r="G73" s="600"/>
      <c r="L73" s="589" t="s">
        <v>518</v>
      </c>
    </row>
    <row r="74" spans="1:12" hidden="1" x14ac:dyDescent="0.3">
      <c r="A74" s="595" t="s">
        <v>519</v>
      </c>
      <c r="B74" s="595"/>
      <c r="C74" s="597"/>
      <c r="D74" s="598"/>
      <c r="E74" s="595"/>
      <c r="F74" s="599"/>
      <c r="G74" s="600"/>
      <c r="L74" s="589" t="s">
        <v>520</v>
      </c>
    </row>
    <row r="75" spans="1:12" hidden="1" x14ac:dyDescent="0.3">
      <c r="A75" s="595" t="s">
        <v>521</v>
      </c>
      <c r="B75" s="595"/>
      <c r="C75" s="597"/>
      <c r="D75" s="598"/>
      <c r="E75" s="595"/>
      <c r="F75" s="599"/>
      <c r="G75" s="600"/>
      <c r="L75" s="589" t="s">
        <v>522</v>
      </c>
    </row>
    <row r="76" spans="1:12" hidden="1" x14ac:dyDescent="0.3">
      <c r="A76" s="595" t="s">
        <v>523</v>
      </c>
      <c r="B76" s="595"/>
      <c r="C76" s="597"/>
      <c r="D76" s="598"/>
      <c r="E76" s="595"/>
      <c r="F76" s="599"/>
      <c r="G76" s="600"/>
      <c r="L76" s="589" t="s">
        <v>524</v>
      </c>
    </row>
    <row r="77" spans="1:12" hidden="1" x14ac:dyDescent="0.3">
      <c r="A77" s="595" t="s">
        <v>525</v>
      </c>
      <c r="B77" s="595"/>
      <c r="C77" s="597"/>
      <c r="D77" s="598"/>
      <c r="E77" s="595"/>
      <c r="F77" s="599"/>
      <c r="G77" s="600"/>
      <c r="L77" s="589" t="s">
        <v>526</v>
      </c>
    </row>
    <row r="78" spans="1:12" hidden="1" x14ac:dyDescent="0.3">
      <c r="A78" s="595" t="s">
        <v>527</v>
      </c>
      <c r="B78" s="595"/>
      <c r="C78" s="597"/>
      <c r="D78" s="598"/>
      <c r="E78" s="595"/>
      <c r="F78" s="599"/>
      <c r="G78" s="600"/>
      <c r="L78" s="589" t="s">
        <v>528</v>
      </c>
    </row>
    <row r="79" spans="1:12" hidden="1" x14ac:dyDescent="0.3">
      <c r="A79" s="595" t="s">
        <v>529</v>
      </c>
      <c r="B79" s="595"/>
      <c r="C79" s="597"/>
      <c r="D79" s="598"/>
      <c r="E79" s="595"/>
      <c r="F79" s="599"/>
      <c r="G79" s="600"/>
      <c r="L79" s="589" t="s">
        <v>530</v>
      </c>
    </row>
    <row r="80" spans="1:12" hidden="1" x14ac:dyDescent="0.3">
      <c r="A80" s="595" t="s">
        <v>531</v>
      </c>
      <c r="B80" s="595"/>
      <c r="C80" s="597"/>
      <c r="D80" s="598"/>
      <c r="E80" s="595"/>
      <c r="F80" s="599"/>
      <c r="G80" s="600"/>
      <c r="L80" s="589" t="s">
        <v>532</v>
      </c>
    </row>
    <row r="81" spans="1:12" hidden="1" x14ac:dyDescent="0.3">
      <c r="A81" s="595" t="s">
        <v>533</v>
      </c>
      <c r="B81" s="595"/>
      <c r="C81" s="597"/>
      <c r="D81" s="598"/>
      <c r="E81" s="595"/>
      <c r="F81" s="599"/>
      <c r="G81" s="600"/>
      <c r="L81" s="589" t="s">
        <v>534</v>
      </c>
    </row>
    <row r="82" spans="1:12" hidden="1" x14ac:dyDescent="0.3">
      <c r="A82" s="595" t="s">
        <v>535</v>
      </c>
      <c r="B82" s="595"/>
      <c r="C82" s="597"/>
      <c r="D82" s="598"/>
      <c r="E82" s="595"/>
      <c r="F82" s="599"/>
      <c r="G82" s="600"/>
      <c r="L82" s="589" t="s">
        <v>536</v>
      </c>
    </row>
    <row r="83" spans="1:12" hidden="1" x14ac:dyDescent="0.3">
      <c r="A83" s="595" t="s">
        <v>537</v>
      </c>
      <c r="B83" s="595"/>
      <c r="C83" s="597"/>
      <c r="D83" s="598"/>
      <c r="E83" s="595"/>
      <c r="F83" s="599"/>
      <c r="G83" s="600"/>
      <c r="L83" s="589" t="s">
        <v>538</v>
      </c>
    </row>
    <row r="84" spans="1:12" hidden="1" x14ac:dyDescent="0.3">
      <c r="A84" s="595" t="s">
        <v>539</v>
      </c>
      <c r="B84" s="595"/>
      <c r="C84" s="597"/>
      <c r="D84" s="598"/>
      <c r="E84" s="595"/>
      <c r="F84" s="599"/>
      <c r="G84" s="600"/>
      <c r="L84" s="589" t="s">
        <v>540</v>
      </c>
    </row>
    <row r="85" spans="1:12" hidden="1" x14ac:dyDescent="0.3">
      <c r="A85" s="595" t="s">
        <v>541</v>
      </c>
      <c r="B85" s="595"/>
      <c r="C85" s="597"/>
      <c r="D85" s="598"/>
      <c r="E85" s="595"/>
      <c r="F85" s="599"/>
      <c r="G85" s="600"/>
      <c r="L85" s="589" t="s">
        <v>542</v>
      </c>
    </row>
    <row r="86" spans="1:12" hidden="1" x14ac:dyDescent="0.3">
      <c r="A86" s="595" t="s">
        <v>543</v>
      </c>
      <c r="B86" s="595"/>
      <c r="C86" s="597"/>
      <c r="D86" s="598"/>
      <c r="E86" s="595"/>
      <c r="F86" s="599"/>
      <c r="G86" s="600"/>
      <c r="L86" s="589" t="s">
        <v>544</v>
      </c>
    </row>
    <row r="87" spans="1:12" hidden="1" x14ac:dyDescent="0.3">
      <c r="A87" s="595" t="s">
        <v>545</v>
      </c>
      <c r="B87" s="595"/>
      <c r="C87" s="597"/>
      <c r="D87" s="598"/>
      <c r="E87" s="595"/>
      <c r="F87" s="599"/>
      <c r="G87" s="600"/>
      <c r="L87" s="589" t="s">
        <v>546</v>
      </c>
    </row>
    <row r="88" spans="1:12" hidden="1" x14ac:dyDescent="0.3">
      <c r="A88" s="595" t="s">
        <v>547</v>
      </c>
      <c r="B88" s="595"/>
      <c r="C88" s="597"/>
      <c r="D88" s="598"/>
      <c r="E88" s="595"/>
      <c r="F88" s="599"/>
      <c r="G88" s="600"/>
      <c r="L88" s="589" t="s">
        <v>548</v>
      </c>
    </row>
    <row r="89" spans="1:12" hidden="1" x14ac:dyDescent="0.3">
      <c r="A89" s="595" t="s">
        <v>549</v>
      </c>
      <c r="B89" s="595"/>
      <c r="C89" s="597"/>
      <c r="D89" s="598"/>
      <c r="E89" s="595"/>
      <c r="F89" s="599"/>
      <c r="G89" s="600"/>
      <c r="L89" s="589" t="s">
        <v>550</v>
      </c>
    </row>
    <row r="90" spans="1:12" hidden="1" x14ac:dyDescent="0.3">
      <c r="A90" s="595" t="s">
        <v>551</v>
      </c>
      <c r="B90" s="595"/>
      <c r="C90" s="597"/>
      <c r="D90" s="598"/>
      <c r="E90" s="595"/>
      <c r="F90" s="599"/>
      <c r="G90" s="600"/>
      <c r="L90" s="589" t="s">
        <v>552</v>
      </c>
    </row>
    <row r="91" spans="1:12" hidden="1" x14ac:dyDescent="0.3">
      <c r="A91" s="595" t="s">
        <v>553</v>
      </c>
      <c r="B91" s="595"/>
      <c r="C91" s="597"/>
      <c r="D91" s="598"/>
      <c r="E91" s="595"/>
      <c r="F91" s="599"/>
      <c r="G91" s="600"/>
      <c r="L91" s="589" t="s">
        <v>554</v>
      </c>
    </row>
    <row r="92" spans="1:12" hidden="1" x14ac:dyDescent="0.3">
      <c r="A92" s="595" t="s">
        <v>555</v>
      </c>
      <c r="B92" s="595"/>
      <c r="C92" s="597"/>
      <c r="D92" s="598"/>
      <c r="E92" s="595"/>
      <c r="F92" s="599"/>
      <c r="G92" s="600"/>
      <c r="L92" s="589" t="s">
        <v>556</v>
      </c>
    </row>
    <row r="93" spans="1:12" hidden="1" x14ac:dyDescent="0.3">
      <c r="A93" s="595" t="s">
        <v>557</v>
      </c>
      <c r="B93" s="595"/>
      <c r="C93" s="597"/>
      <c r="D93" s="598"/>
      <c r="E93" s="595"/>
      <c r="F93" s="599"/>
      <c r="G93" s="600"/>
      <c r="L93" s="589" t="s">
        <v>558</v>
      </c>
    </row>
    <row r="94" spans="1:12" hidden="1" x14ac:dyDescent="0.3">
      <c r="A94" s="595" t="s">
        <v>559</v>
      </c>
      <c r="B94" s="595"/>
      <c r="C94" s="597"/>
      <c r="D94" s="598"/>
      <c r="E94" s="595"/>
      <c r="F94" s="599"/>
      <c r="G94" s="600"/>
      <c r="L94" s="589" t="s">
        <v>560</v>
      </c>
    </row>
    <row r="95" spans="1:12" hidden="1" x14ac:dyDescent="0.3">
      <c r="A95" s="595" t="s">
        <v>561</v>
      </c>
      <c r="B95" s="595"/>
      <c r="C95" s="597"/>
      <c r="D95" s="598"/>
      <c r="E95" s="595"/>
      <c r="F95" s="599"/>
      <c r="G95" s="600"/>
      <c r="L95" s="589" t="s">
        <v>562</v>
      </c>
    </row>
    <row r="96" spans="1:12" hidden="1" x14ac:dyDescent="0.3">
      <c r="A96" s="595" t="s">
        <v>563</v>
      </c>
      <c r="B96" s="595"/>
      <c r="C96" s="597"/>
      <c r="D96" s="598"/>
      <c r="E96" s="595"/>
      <c r="F96" s="599"/>
      <c r="G96" s="600"/>
      <c r="L96" s="589" t="s">
        <v>564</v>
      </c>
    </row>
    <row r="97" spans="1:12" hidden="1" x14ac:dyDescent="0.3">
      <c r="A97" s="595" t="s">
        <v>565</v>
      </c>
      <c r="B97" s="595"/>
      <c r="C97" s="597"/>
      <c r="D97" s="598"/>
      <c r="E97" s="595"/>
      <c r="F97" s="599"/>
      <c r="G97" s="600"/>
      <c r="L97" s="589" t="s">
        <v>566</v>
      </c>
    </row>
    <row r="98" spans="1:12" hidden="1" x14ac:dyDescent="0.3">
      <c r="A98" s="595" t="s">
        <v>567</v>
      </c>
      <c r="B98" s="595"/>
      <c r="C98" s="597"/>
      <c r="D98" s="598"/>
      <c r="E98" s="595"/>
      <c r="F98" s="599"/>
      <c r="G98" s="600"/>
      <c r="L98" s="589" t="s">
        <v>568</v>
      </c>
    </row>
    <row r="99" spans="1:12" hidden="1" x14ac:dyDescent="0.3">
      <c r="A99" s="595" t="s">
        <v>569</v>
      </c>
      <c r="B99" s="595"/>
      <c r="C99" s="597"/>
      <c r="D99" s="598"/>
      <c r="E99" s="595"/>
      <c r="F99" s="599"/>
      <c r="G99" s="600"/>
      <c r="L99" s="589" t="s">
        <v>570</v>
      </c>
    </row>
  </sheetData>
  <sheetProtection sheet="1" objects="1" scenarios="1"/>
  <mergeCells count="1">
    <mergeCell ref="D4:G4"/>
  </mergeCells>
  <conditionalFormatting sqref="F10:F24">
    <cfRule type="expression" dxfId="10"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E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E00-000001000000}"/>
    <dataValidation allowBlank="1" showInputMessage="1" showErrorMessage="1" prompt="Click on this line for detailed instructions." sqref="A1" xr:uid="{00000000-0002-0000-0E00-000002000000}"/>
    <dataValidation allowBlank="1" showInputMessage="1" showErrorMessage="1" prompt="Enter the 100th (or 200th) day student count." sqref="D10:D99" xr:uid="{00000000-0002-0000-0E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E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E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E00-000006000000}"/>
    <dataValidation operator="equal" allowBlank="1" showInputMessage="1" showErrorMessage="1" error="This cell will only accept entries equal to 9 digits." sqref="B2 C7" xr:uid="{00000000-0002-0000-0E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E00-000008000000}">
      <formula1>100</formula1>
      <formula2>999</formula2>
    </dataValidation>
  </dataValidations>
  <hyperlinks>
    <hyperlink ref="A1" location="School_Listing_Tab" display="Charter name" xr:uid="{00000000-0004-0000-0E00-000000000000}"/>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14"/>
  <sheetViews>
    <sheetView showGridLines="0" workbookViewId="0">
      <pane xSplit="2" ySplit="1" topLeftCell="C8" activePane="bottomRight" state="frozen"/>
      <selection pane="topRight" activeCell="C1" sqref="C1"/>
      <selection pane="bottomLeft" activeCell="A2" sqref="A2"/>
      <selection pane="bottomRight" activeCell="C32" sqref="C32"/>
    </sheetView>
  </sheetViews>
  <sheetFormatPr defaultColWidth="9.296875" defaultRowHeight="13" x14ac:dyDescent="0.3"/>
  <cols>
    <col min="1" max="1" width="11.796875" style="191" customWidth="1"/>
    <col min="2" max="2" width="25" style="191" customWidth="1"/>
    <col min="3" max="3" width="112.19921875" style="191" customWidth="1"/>
    <col min="4" max="4" width="32.69921875" style="668" customWidth="1"/>
    <col min="5" max="5" width="9.296875" style="191" customWidth="1"/>
    <col min="6" max="6" width="17.69921875" style="191" customWidth="1"/>
    <col min="7" max="8" width="9.296875" style="191" customWidth="1"/>
    <col min="9" max="16384" width="9.296875" style="191"/>
  </cols>
  <sheetData>
    <row r="1" spans="1:7" ht="24.75" customHeight="1" x14ac:dyDescent="0.3">
      <c r="A1" s="603" t="s">
        <v>116</v>
      </c>
      <c r="B1" s="603" t="s">
        <v>117</v>
      </c>
      <c r="C1" s="603" t="s">
        <v>842</v>
      </c>
      <c r="D1" s="603" t="s">
        <v>846</v>
      </c>
    </row>
    <row r="2" spans="1:7" ht="65.25" customHeight="1" x14ac:dyDescent="0.3">
      <c r="A2" s="924" t="s">
        <v>118</v>
      </c>
      <c r="B2" s="925"/>
      <c r="C2" s="604" t="s">
        <v>578</v>
      </c>
      <c r="D2" s="605"/>
    </row>
    <row r="3" spans="1:7" ht="68.25" customHeight="1" x14ac:dyDescent="0.3">
      <c r="A3" s="926"/>
      <c r="B3" s="927"/>
      <c r="C3" s="606" t="s">
        <v>146</v>
      </c>
      <c r="D3" s="605"/>
      <c r="F3" s="607"/>
      <c r="G3" s="194"/>
    </row>
    <row r="4" spans="1:7" ht="73.5" customHeight="1" x14ac:dyDescent="0.3">
      <c r="A4" s="926"/>
      <c r="B4" s="927"/>
      <c r="C4" s="608" t="s">
        <v>853</v>
      </c>
      <c r="D4" s="605"/>
    </row>
    <row r="5" spans="1:7" ht="216.75" customHeight="1" x14ac:dyDescent="0.3">
      <c r="A5" s="926"/>
      <c r="B5" s="927"/>
      <c r="C5" s="604" t="s">
        <v>1201</v>
      </c>
      <c r="D5" s="605"/>
    </row>
    <row r="6" spans="1:7" ht="85.5" customHeight="1" x14ac:dyDescent="0.3">
      <c r="A6" s="928"/>
      <c r="B6" s="929"/>
      <c r="C6" s="608" t="s">
        <v>946</v>
      </c>
      <c r="D6" s="605"/>
    </row>
    <row r="7" spans="1:7" ht="54.75" customHeight="1" x14ac:dyDescent="0.3">
      <c r="A7" s="609" t="s">
        <v>119</v>
      </c>
      <c r="B7" s="610" t="s">
        <v>575</v>
      </c>
      <c r="C7" s="608" t="s">
        <v>587</v>
      </c>
      <c r="D7" s="605"/>
    </row>
    <row r="8" spans="1:7" ht="187.5" customHeight="1" x14ac:dyDescent="0.3">
      <c r="A8" s="611" t="s">
        <v>571</v>
      </c>
      <c r="B8" s="610" t="s">
        <v>575</v>
      </c>
      <c r="C8" s="604" t="s">
        <v>841</v>
      </c>
      <c r="D8" s="605"/>
    </row>
    <row r="9" spans="1:7" ht="215.25" customHeight="1" x14ac:dyDescent="0.3">
      <c r="A9" s="932" t="s">
        <v>573</v>
      </c>
      <c r="B9" s="934" t="s">
        <v>118</v>
      </c>
      <c r="C9" s="606" t="s">
        <v>1134</v>
      </c>
      <c r="D9" s="605"/>
    </row>
    <row r="10" spans="1:7" ht="217.5" customHeight="1" x14ac:dyDescent="0.3">
      <c r="A10" s="933"/>
      <c r="B10" s="935"/>
      <c r="C10" s="612" t="s">
        <v>854</v>
      </c>
      <c r="D10" s="605"/>
    </row>
    <row r="11" spans="1:7" ht="21" customHeight="1" x14ac:dyDescent="0.3">
      <c r="A11" s="613">
        <v>1</v>
      </c>
      <c r="B11" s="614" t="s">
        <v>118</v>
      </c>
      <c r="C11" s="608" t="s">
        <v>588</v>
      </c>
      <c r="D11" s="605"/>
    </row>
    <row r="12" spans="1:7" ht="54" customHeight="1" x14ac:dyDescent="0.3">
      <c r="A12" s="615">
        <v>1</v>
      </c>
      <c r="B12" s="614" t="s">
        <v>590</v>
      </c>
      <c r="C12" s="616" t="s">
        <v>589</v>
      </c>
      <c r="D12" s="605"/>
    </row>
    <row r="13" spans="1:7" ht="122.25" customHeight="1" x14ac:dyDescent="0.3">
      <c r="A13" s="615">
        <v>1</v>
      </c>
      <c r="B13" s="617" t="s">
        <v>591</v>
      </c>
      <c r="C13" s="618" t="s">
        <v>937</v>
      </c>
      <c r="D13" s="605"/>
    </row>
    <row r="14" spans="1:7" ht="69.75" customHeight="1" x14ac:dyDescent="0.3">
      <c r="A14" s="615">
        <v>1</v>
      </c>
      <c r="B14" s="617" t="s">
        <v>579</v>
      </c>
      <c r="C14" s="618" t="s">
        <v>580</v>
      </c>
      <c r="D14" s="605"/>
    </row>
    <row r="15" spans="1:7" ht="69.75" customHeight="1" x14ac:dyDescent="0.3">
      <c r="A15" s="615">
        <v>1</v>
      </c>
      <c r="B15" s="617" t="s">
        <v>574</v>
      </c>
      <c r="C15" s="618" t="s">
        <v>1197</v>
      </c>
      <c r="D15" s="605"/>
    </row>
    <row r="16" spans="1:7" ht="129" customHeight="1" x14ac:dyDescent="0.3">
      <c r="A16" s="613">
        <v>2</v>
      </c>
      <c r="B16" s="617" t="s">
        <v>736</v>
      </c>
      <c r="C16" s="618" t="s">
        <v>938</v>
      </c>
      <c r="D16" s="608"/>
    </row>
    <row r="17" spans="1:4" ht="54.75" customHeight="1" x14ac:dyDescent="0.3">
      <c r="A17" s="613">
        <v>2</v>
      </c>
      <c r="B17" s="617" t="s">
        <v>737</v>
      </c>
      <c r="C17" s="608" t="s">
        <v>939</v>
      </c>
      <c r="D17" s="605"/>
    </row>
    <row r="18" spans="1:4" ht="84" customHeight="1" x14ac:dyDescent="0.3">
      <c r="A18" s="619">
        <v>3</v>
      </c>
      <c r="B18" s="617" t="s">
        <v>380</v>
      </c>
      <c r="C18" s="616" t="s">
        <v>916</v>
      </c>
      <c r="D18" s="620"/>
    </row>
    <row r="19" spans="1:4" ht="54" customHeight="1" x14ac:dyDescent="0.3">
      <c r="A19" s="619">
        <v>3</v>
      </c>
      <c r="B19" s="617" t="s">
        <v>940</v>
      </c>
      <c r="C19" s="616" t="s">
        <v>941</v>
      </c>
      <c r="D19" s="554"/>
    </row>
    <row r="20" spans="1:4" ht="42.75" customHeight="1" x14ac:dyDescent="0.3">
      <c r="A20" s="621">
        <v>3</v>
      </c>
      <c r="B20" s="617" t="s">
        <v>912</v>
      </c>
      <c r="C20" s="616" t="s">
        <v>942</v>
      </c>
      <c r="D20" s="554"/>
    </row>
    <row r="21" spans="1:4" ht="69.75" customHeight="1" x14ac:dyDescent="0.3">
      <c r="A21" s="619">
        <v>3</v>
      </c>
      <c r="B21" s="617" t="s">
        <v>945</v>
      </c>
      <c r="C21" s="616" t="s">
        <v>944</v>
      </c>
      <c r="D21" s="620"/>
    </row>
    <row r="22" spans="1:4" ht="124.5" customHeight="1" x14ac:dyDescent="0.3">
      <c r="A22" s="619">
        <v>4</v>
      </c>
      <c r="B22" s="617" t="s">
        <v>862</v>
      </c>
      <c r="C22" s="618" t="s">
        <v>866</v>
      </c>
      <c r="D22" s="622"/>
    </row>
    <row r="23" spans="1:4" ht="99.75" customHeight="1" x14ac:dyDescent="0.3">
      <c r="A23" s="619">
        <v>6</v>
      </c>
      <c r="B23" s="617" t="s">
        <v>802</v>
      </c>
      <c r="C23" s="618" t="s">
        <v>1203</v>
      </c>
      <c r="D23" s="605"/>
    </row>
    <row r="24" spans="1:4" ht="93.75" customHeight="1" x14ac:dyDescent="0.3">
      <c r="A24" s="619">
        <v>6</v>
      </c>
      <c r="B24" s="617" t="s">
        <v>803</v>
      </c>
      <c r="C24" s="618" t="s">
        <v>1019</v>
      </c>
      <c r="D24" s="605"/>
    </row>
    <row r="25" spans="1:4" ht="45.75" customHeight="1" x14ac:dyDescent="0.3">
      <c r="A25" s="619">
        <v>6</v>
      </c>
      <c r="B25" s="617" t="s">
        <v>867</v>
      </c>
      <c r="C25" s="618" t="s">
        <v>1204</v>
      </c>
      <c r="D25" s="605"/>
    </row>
    <row r="26" spans="1:4" ht="111" customHeight="1" x14ac:dyDescent="0.3">
      <c r="A26" s="619">
        <v>6</v>
      </c>
      <c r="B26" s="617" t="s">
        <v>816</v>
      </c>
      <c r="C26" s="618" t="s">
        <v>1205</v>
      </c>
      <c r="D26" s="605"/>
    </row>
    <row r="27" spans="1:4" ht="39" x14ac:dyDescent="0.3">
      <c r="A27" s="619">
        <v>6</v>
      </c>
      <c r="B27" s="617" t="s">
        <v>868</v>
      </c>
      <c r="C27" s="618" t="s">
        <v>1206</v>
      </c>
      <c r="D27" s="605"/>
    </row>
    <row r="28" spans="1:4" ht="173.25" customHeight="1" x14ac:dyDescent="0.3">
      <c r="A28" s="619">
        <v>6</v>
      </c>
      <c r="B28" s="617" t="s">
        <v>804</v>
      </c>
      <c r="C28" s="618" t="s">
        <v>1178</v>
      </c>
      <c r="D28" s="605"/>
    </row>
    <row r="29" spans="1:4" ht="69.75" customHeight="1" x14ac:dyDescent="0.3">
      <c r="A29" s="619">
        <v>6</v>
      </c>
      <c r="B29" s="623" t="s">
        <v>805</v>
      </c>
      <c r="C29" s="618" t="s">
        <v>835</v>
      </c>
      <c r="D29" s="605"/>
    </row>
    <row r="30" spans="1:4" ht="53.25" customHeight="1" x14ac:dyDescent="0.3">
      <c r="A30" s="619">
        <v>6</v>
      </c>
      <c r="B30" s="623" t="s">
        <v>806</v>
      </c>
      <c r="C30" s="618" t="s">
        <v>1003</v>
      </c>
      <c r="D30" s="605"/>
    </row>
    <row r="31" spans="1:4" ht="77.25" customHeight="1" x14ac:dyDescent="0.3">
      <c r="A31" s="619">
        <v>6</v>
      </c>
      <c r="B31" s="617" t="s">
        <v>817</v>
      </c>
      <c r="C31" s="604" t="s">
        <v>738</v>
      </c>
      <c r="D31" s="605"/>
    </row>
    <row r="32" spans="1:4" ht="45.75" customHeight="1" x14ac:dyDescent="0.3">
      <c r="A32" s="619">
        <v>6</v>
      </c>
      <c r="B32" s="617" t="s">
        <v>807</v>
      </c>
      <c r="C32" s="618" t="s">
        <v>739</v>
      </c>
      <c r="D32" s="605"/>
    </row>
    <row r="33" spans="1:15" ht="47.25" customHeight="1" x14ac:dyDescent="0.3">
      <c r="A33" s="619">
        <v>6</v>
      </c>
      <c r="B33" s="617" t="s">
        <v>808</v>
      </c>
      <c r="C33" s="618" t="s">
        <v>740</v>
      </c>
      <c r="D33" s="605"/>
    </row>
    <row r="34" spans="1:15" ht="39" x14ac:dyDescent="0.3">
      <c r="A34" s="619">
        <v>6</v>
      </c>
      <c r="B34" s="617" t="s">
        <v>809</v>
      </c>
      <c r="C34" s="618" t="s">
        <v>741</v>
      </c>
      <c r="D34" s="605"/>
    </row>
    <row r="35" spans="1:15" ht="39" x14ac:dyDescent="0.3">
      <c r="A35" s="619">
        <v>6</v>
      </c>
      <c r="B35" s="617" t="s">
        <v>810</v>
      </c>
      <c r="C35" s="618" t="s">
        <v>742</v>
      </c>
      <c r="D35" s="605"/>
    </row>
    <row r="36" spans="1:15" s="194" customFormat="1" ht="39" x14ac:dyDescent="0.3">
      <c r="A36" s="619">
        <v>6</v>
      </c>
      <c r="B36" s="623" t="s">
        <v>811</v>
      </c>
      <c r="C36" s="618" t="s">
        <v>743</v>
      </c>
      <c r="D36" s="554"/>
    </row>
    <row r="37" spans="1:15" s="194" customFormat="1" ht="57.75" customHeight="1" x14ac:dyDescent="0.3">
      <c r="A37" s="619">
        <v>6</v>
      </c>
      <c r="B37" s="623" t="s">
        <v>812</v>
      </c>
      <c r="C37" s="618" t="s">
        <v>1209</v>
      </c>
      <c r="D37" s="624"/>
    </row>
    <row r="38" spans="1:15" s="194" customFormat="1" ht="123" customHeight="1" x14ac:dyDescent="0.3">
      <c r="A38" s="625">
        <v>6</v>
      </c>
      <c r="B38" s="626" t="s">
        <v>1031</v>
      </c>
      <c r="C38" s="627" t="s">
        <v>1156</v>
      </c>
      <c r="D38" s="628" t="s">
        <v>1230</v>
      </c>
    </row>
    <row r="39" spans="1:15" s="194" customFormat="1" ht="30.75" customHeight="1" x14ac:dyDescent="0.3">
      <c r="A39" s="619">
        <v>7</v>
      </c>
      <c r="B39" s="617" t="s">
        <v>813</v>
      </c>
      <c r="C39" s="618" t="s">
        <v>752</v>
      </c>
      <c r="D39" s="554"/>
      <c r="E39" s="71"/>
      <c r="F39" s="71"/>
      <c r="G39" s="71"/>
      <c r="H39" s="71"/>
      <c r="I39" s="71"/>
      <c r="J39" s="71"/>
      <c r="K39" s="71"/>
      <c r="L39" s="71"/>
      <c r="M39" s="71"/>
      <c r="N39" s="71"/>
      <c r="O39" s="71"/>
    </row>
    <row r="40" spans="1:15" ht="114.75" customHeight="1" x14ac:dyDescent="0.3">
      <c r="A40" s="619">
        <v>7</v>
      </c>
      <c r="B40" s="617" t="s">
        <v>818</v>
      </c>
      <c r="C40" s="604" t="s">
        <v>1199</v>
      </c>
      <c r="D40" s="605"/>
    </row>
    <row r="41" spans="1:15" ht="42" customHeight="1" x14ac:dyDescent="0.3">
      <c r="A41" s="619">
        <v>7</v>
      </c>
      <c r="B41" s="617" t="s">
        <v>814</v>
      </c>
      <c r="C41" s="608" t="s">
        <v>122</v>
      </c>
      <c r="D41" s="605"/>
    </row>
    <row r="42" spans="1:15" ht="39.75" customHeight="1" x14ac:dyDescent="0.3">
      <c r="A42" s="619">
        <v>7</v>
      </c>
      <c r="B42" s="617" t="s">
        <v>815</v>
      </c>
      <c r="C42" s="618" t="s">
        <v>753</v>
      </c>
      <c r="D42" s="605"/>
    </row>
    <row r="43" spans="1:15" ht="71.25" customHeight="1" x14ac:dyDescent="0.3">
      <c r="A43" s="619">
        <v>8</v>
      </c>
      <c r="B43" s="617" t="s">
        <v>347</v>
      </c>
      <c r="C43" s="604" t="s">
        <v>1237</v>
      </c>
      <c r="D43" s="605"/>
    </row>
    <row r="44" spans="1:15" ht="114.75" customHeight="1" x14ac:dyDescent="0.3">
      <c r="A44" s="619">
        <v>8</v>
      </c>
      <c r="B44" s="617" t="s">
        <v>799</v>
      </c>
      <c r="C44" s="618" t="s">
        <v>1202</v>
      </c>
      <c r="D44" s="629"/>
    </row>
    <row r="45" spans="1:15" ht="110.25" customHeight="1" x14ac:dyDescent="0.3">
      <c r="A45" s="619">
        <v>8</v>
      </c>
      <c r="B45" s="930" t="s">
        <v>822</v>
      </c>
      <c r="C45" s="604" t="s">
        <v>823</v>
      </c>
      <c r="D45" s="605"/>
    </row>
    <row r="46" spans="1:15" ht="21.75" customHeight="1" x14ac:dyDescent="0.3">
      <c r="A46" s="619"/>
      <c r="B46" s="931"/>
      <c r="C46" s="630" t="s">
        <v>824</v>
      </c>
      <c r="D46" s="605"/>
    </row>
    <row r="47" spans="1:15" ht="30" customHeight="1" x14ac:dyDescent="0.3">
      <c r="A47" s="619">
        <v>8</v>
      </c>
      <c r="B47" s="617" t="s">
        <v>890</v>
      </c>
      <c r="C47" s="608" t="s">
        <v>821</v>
      </c>
      <c r="D47" s="605"/>
    </row>
    <row r="48" spans="1:15" ht="265.5" customHeight="1" x14ac:dyDescent="0.3">
      <c r="A48" s="619">
        <v>9</v>
      </c>
      <c r="B48" s="617" t="s">
        <v>118</v>
      </c>
      <c r="C48" s="618" t="s">
        <v>1200</v>
      </c>
      <c r="D48" s="605"/>
    </row>
    <row r="49" spans="1:4" ht="69" customHeight="1" x14ac:dyDescent="0.3">
      <c r="A49" s="619">
        <v>9</v>
      </c>
      <c r="B49" s="617" t="s">
        <v>754</v>
      </c>
      <c r="C49" s="608" t="s">
        <v>755</v>
      </c>
      <c r="D49" s="605"/>
    </row>
    <row r="50" spans="1:4" ht="69.75" customHeight="1" x14ac:dyDescent="0.3">
      <c r="A50" s="619">
        <v>9</v>
      </c>
      <c r="B50" s="623" t="s">
        <v>728</v>
      </c>
      <c r="C50" s="604" t="s">
        <v>756</v>
      </c>
      <c r="D50" s="605"/>
    </row>
    <row r="51" spans="1:4" ht="53.25" customHeight="1" x14ac:dyDescent="0.3">
      <c r="A51" s="619">
        <v>9</v>
      </c>
      <c r="B51" s="617" t="s">
        <v>723</v>
      </c>
      <c r="C51" s="631" t="s">
        <v>897</v>
      </c>
      <c r="D51" s="605"/>
    </row>
    <row r="52" spans="1:4" ht="107.25" customHeight="1" x14ac:dyDescent="0.3">
      <c r="A52" s="632">
        <v>9</v>
      </c>
      <c r="B52" s="623" t="s">
        <v>577</v>
      </c>
      <c r="C52" s="633" t="s">
        <v>819</v>
      </c>
      <c r="D52" s="605"/>
    </row>
    <row r="53" spans="1:4" ht="18" customHeight="1" x14ac:dyDescent="0.3">
      <c r="A53" s="634"/>
      <c r="B53" s="635"/>
      <c r="C53" s="636" t="s">
        <v>762</v>
      </c>
      <c r="D53" s="605"/>
    </row>
    <row r="54" spans="1:4" ht="53.25" customHeight="1" x14ac:dyDescent="0.3">
      <c r="A54" s="634"/>
      <c r="B54" s="635"/>
      <c r="C54" s="633" t="s">
        <v>763</v>
      </c>
      <c r="D54" s="605"/>
    </row>
    <row r="55" spans="1:4" ht="21.75" customHeight="1" x14ac:dyDescent="0.3">
      <c r="A55" s="634"/>
      <c r="B55" s="635"/>
      <c r="C55" s="636" t="s">
        <v>764</v>
      </c>
      <c r="D55" s="605"/>
    </row>
    <row r="56" spans="1:4" ht="52.5" customHeight="1" x14ac:dyDescent="0.3">
      <c r="A56" s="634"/>
      <c r="B56" s="635"/>
      <c r="C56" s="633" t="s">
        <v>765</v>
      </c>
      <c r="D56" s="605"/>
    </row>
    <row r="57" spans="1:4" ht="19.5" customHeight="1" x14ac:dyDescent="0.3">
      <c r="A57" s="637"/>
      <c r="B57" s="635"/>
      <c r="C57" s="636" t="s">
        <v>766</v>
      </c>
      <c r="D57" s="605"/>
    </row>
    <row r="58" spans="1:4" ht="51" customHeight="1" x14ac:dyDescent="0.3">
      <c r="A58" s="637"/>
      <c r="B58" s="635"/>
      <c r="C58" s="633" t="s">
        <v>798</v>
      </c>
      <c r="D58" s="605"/>
    </row>
    <row r="59" spans="1:4" ht="19.5" customHeight="1" x14ac:dyDescent="0.3">
      <c r="A59" s="637"/>
      <c r="B59" s="635"/>
      <c r="C59" s="636" t="s">
        <v>767</v>
      </c>
      <c r="D59" s="605"/>
    </row>
    <row r="60" spans="1:4" ht="29.25" customHeight="1" x14ac:dyDescent="0.3">
      <c r="A60" s="637"/>
      <c r="B60" s="635"/>
      <c r="C60" s="633" t="s">
        <v>820</v>
      </c>
      <c r="D60" s="605"/>
    </row>
    <row r="61" spans="1:4" ht="19.5" customHeight="1" x14ac:dyDescent="0.3">
      <c r="A61" s="638"/>
      <c r="B61" s="635"/>
      <c r="C61" s="636" t="s">
        <v>768</v>
      </c>
      <c r="D61" s="605"/>
    </row>
    <row r="62" spans="1:4" ht="138.75" customHeight="1" x14ac:dyDescent="0.3">
      <c r="A62" s="619">
        <v>9</v>
      </c>
      <c r="B62" s="617" t="s">
        <v>757</v>
      </c>
      <c r="C62" s="604" t="s">
        <v>758</v>
      </c>
      <c r="D62" s="605"/>
    </row>
    <row r="63" spans="1:4" ht="171" customHeight="1" x14ac:dyDescent="0.3">
      <c r="A63" s="619">
        <v>9</v>
      </c>
      <c r="B63" s="610" t="s">
        <v>720</v>
      </c>
      <c r="C63" s="604" t="s">
        <v>782</v>
      </c>
      <c r="D63" s="605"/>
    </row>
    <row r="64" spans="1:4" ht="57" customHeight="1" x14ac:dyDescent="0.3">
      <c r="A64" s="619">
        <v>9</v>
      </c>
      <c r="B64" s="610" t="s">
        <v>759</v>
      </c>
      <c r="C64" s="604" t="s">
        <v>783</v>
      </c>
      <c r="D64" s="605"/>
    </row>
    <row r="65" spans="1:9" ht="213" customHeight="1" x14ac:dyDescent="0.3">
      <c r="A65" s="619">
        <v>9</v>
      </c>
      <c r="B65" s="617" t="s">
        <v>760</v>
      </c>
      <c r="C65" s="618" t="s">
        <v>1236</v>
      </c>
      <c r="D65" s="639"/>
      <c r="I65" s="194"/>
    </row>
    <row r="66" spans="1:9" ht="60" customHeight="1" x14ac:dyDescent="0.3">
      <c r="A66" s="619">
        <v>9</v>
      </c>
      <c r="B66" s="617" t="s">
        <v>850</v>
      </c>
      <c r="C66" s="640" t="s">
        <v>913</v>
      </c>
      <c r="D66" s="641"/>
    </row>
    <row r="67" spans="1:9" ht="57.75" customHeight="1" x14ac:dyDescent="0.3">
      <c r="A67" s="642">
        <v>10</v>
      </c>
      <c r="B67" s="643" t="s">
        <v>118</v>
      </c>
      <c r="C67" s="644" t="s">
        <v>1215</v>
      </c>
      <c r="D67" s="628" t="s">
        <v>1145</v>
      </c>
    </row>
    <row r="68" spans="1:9" ht="60" customHeight="1" x14ac:dyDescent="0.3">
      <c r="A68" s="642">
        <v>10</v>
      </c>
      <c r="B68" s="643" t="s">
        <v>950</v>
      </c>
      <c r="C68" s="627" t="s">
        <v>1091</v>
      </c>
      <c r="D68" s="628"/>
    </row>
    <row r="69" spans="1:9" ht="60" customHeight="1" x14ac:dyDescent="0.3">
      <c r="A69" s="642">
        <v>10</v>
      </c>
      <c r="B69" s="643" t="s">
        <v>1059</v>
      </c>
      <c r="C69" s="645" t="s">
        <v>1060</v>
      </c>
      <c r="D69" s="646"/>
    </row>
    <row r="70" spans="1:9" ht="60" customHeight="1" x14ac:dyDescent="0.3">
      <c r="A70" s="642">
        <v>10</v>
      </c>
      <c r="B70" s="643" t="s">
        <v>1061</v>
      </c>
      <c r="C70" s="645" t="s">
        <v>1062</v>
      </c>
      <c r="D70" s="646"/>
    </row>
    <row r="71" spans="1:9" ht="67.5" customHeight="1" x14ac:dyDescent="0.3">
      <c r="A71" s="642">
        <v>10</v>
      </c>
      <c r="B71" s="643" t="s">
        <v>754</v>
      </c>
      <c r="C71" s="645" t="s">
        <v>1186</v>
      </c>
      <c r="D71" s="646"/>
    </row>
    <row r="72" spans="1:9" ht="81.75" customHeight="1" x14ac:dyDescent="0.3">
      <c r="A72" s="642">
        <v>10</v>
      </c>
      <c r="B72" s="643" t="s">
        <v>1063</v>
      </c>
      <c r="C72" s="645" t="s">
        <v>1075</v>
      </c>
      <c r="D72" s="646"/>
    </row>
    <row r="73" spans="1:9" ht="60" customHeight="1" x14ac:dyDescent="0.3">
      <c r="A73" s="642">
        <v>10</v>
      </c>
      <c r="B73" s="643" t="s">
        <v>1064</v>
      </c>
      <c r="C73" s="645" t="s">
        <v>1065</v>
      </c>
      <c r="D73" s="646"/>
    </row>
    <row r="74" spans="1:9" ht="60" customHeight="1" x14ac:dyDescent="0.3">
      <c r="A74" s="936">
        <v>10</v>
      </c>
      <c r="B74" s="938" t="s">
        <v>1073</v>
      </c>
      <c r="C74" s="647" t="s">
        <v>1218</v>
      </c>
      <c r="D74" s="648"/>
    </row>
    <row r="75" spans="1:9" ht="19.5" customHeight="1" x14ac:dyDescent="0.35">
      <c r="A75" s="937"/>
      <c r="B75" s="939"/>
      <c r="C75" s="133" t="s">
        <v>1217</v>
      </c>
      <c r="D75" s="649"/>
    </row>
    <row r="76" spans="1:9" ht="44.25" customHeight="1" x14ac:dyDescent="0.3">
      <c r="A76" s="642">
        <v>10</v>
      </c>
      <c r="B76" s="643" t="s">
        <v>1076</v>
      </c>
      <c r="C76" s="650" t="s">
        <v>1069</v>
      </c>
      <c r="D76" s="651"/>
    </row>
    <row r="77" spans="1:9" ht="45.75" customHeight="1" x14ac:dyDescent="0.3">
      <c r="A77" s="642">
        <v>10</v>
      </c>
      <c r="B77" s="643" t="s">
        <v>1077</v>
      </c>
      <c r="C77" s="645" t="s">
        <v>1070</v>
      </c>
      <c r="D77" s="646"/>
    </row>
    <row r="78" spans="1:9" ht="46.5" customHeight="1" x14ac:dyDescent="0.3">
      <c r="A78" s="642">
        <v>10</v>
      </c>
      <c r="B78" s="643" t="s">
        <v>1078</v>
      </c>
      <c r="C78" s="645" t="s">
        <v>1074</v>
      </c>
      <c r="D78" s="646"/>
    </row>
    <row r="79" spans="1:9" ht="86.25" customHeight="1" x14ac:dyDescent="0.3">
      <c r="A79" s="642">
        <v>10</v>
      </c>
      <c r="B79" s="643" t="s">
        <v>1079</v>
      </c>
      <c r="C79" s="645" t="s">
        <v>1071</v>
      </c>
      <c r="D79" s="646"/>
    </row>
    <row r="80" spans="1:9" ht="26" x14ac:dyDescent="0.3">
      <c r="A80" s="642">
        <v>10</v>
      </c>
      <c r="B80" s="643" t="s">
        <v>1080</v>
      </c>
      <c r="C80" s="645" t="s">
        <v>1072</v>
      </c>
      <c r="D80" s="646"/>
    </row>
    <row r="81" spans="1:10" ht="342" customHeight="1" x14ac:dyDescent="0.3">
      <c r="A81" s="642">
        <v>10</v>
      </c>
      <c r="B81" s="643" t="s">
        <v>1081</v>
      </c>
      <c r="C81" s="652" t="s">
        <v>1198</v>
      </c>
      <c r="D81" s="646"/>
    </row>
    <row r="82" spans="1:10" ht="125.25" customHeight="1" x14ac:dyDescent="0.3">
      <c r="A82" s="642">
        <v>10</v>
      </c>
      <c r="B82" s="643" t="s">
        <v>1082</v>
      </c>
      <c r="C82" s="652" t="s">
        <v>1219</v>
      </c>
      <c r="D82" s="646"/>
    </row>
    <row r="83" spans="1:10" ht="72" customHeight="1" x14ac:dyDescent="0.3">
      <c r="A83" s="642">
        <v>10</v>
      </c>
      <c r="B83" s="643" t="s">
        <v>1083</v>
      </c>
      <c r="C83" s="645" t="s">
        <v>1220</v>
      </c>
      <c r="D83" s="646"/>
    </row>
    <row r="84" spans="1:10" ht="55.5" customHeight="1" x14ac:dyDescent="0.3">
      <c r="A84" s="642">
        <v>10</v>
      </c>
      <c r="B84" s="643" t="s">
        <v>1084</v>
      </c>
      <c r="C84" s="645" t="s">
        <v>1221</v>
      </c>
      <c r="D84" s="646"/>
    </row>
    <row r="85" spans="1:10" ht="69" customHeight="1" x14ac:dyDescent="0.3">
      <c r="A85" s="642">
        <v>10</v>
      </c>
      <c r="B85" s="643" t="s">
        <v>1085</v>
      </c>
      <c r="C85" s="652" t="s">
        <v>1146</v>
      </c>
      <c r="D85" s="646"/>
    </row>
    <row r="86" spans="1:10" ht="108.75" customHeight="1" x14ac:dyDescent="0.3">
      <c r="A86" s="642">
        <v>10</v>
      </c>
      <c r="B86" s="643" t="s">
        <v>1086</v>
      </c>
      <c r="C86" s="652" t="s">
        <v>1088</v>
      </c>
      <c r="D86" s="646"/>
    </row>
    <row r="87" spans="1:10" ht="130.5" customHeight="1" x14ac:dyDescent="0.3">
      <c r="A87" s="642">
        <v>10</v>
      </c>
      <c r="B87" s="643" t="s">
        <v>1227</v>
      </c>
      <c r="C87" s="652" t="s">
        <v>1228</v>
      </c>
      <c r="D87" s="646"/>
    </row>
    <row r="88" spans="1:10" ht="81.75" customHeight="1" x14ac:dyDescent="0.3">
      <c r="A88" s="674" t="s">
        <v>1066</v>
      </c>
      <c r="B88" s="653" t="s">
        <v>118</v>
      </c>
      <c r="C88" s="654" t="s">
        <v>1191</v>
      </c>
      <c r="D88" s="628" t="s">
        <v>1216</v>
      </c>
    </row>
    <row r="89" spans="1:10" s="4" customFormat="1" ht="29.25" customHeight="1" x14ac:dyDescent="0.3">
      <c r="A89" s="674" t="s">
        <v>1066</v>
      </c>
      <c r="B89" s="653" t="s">
        <v>1189</v>
      </c>
      <c r="C89" s="655" t="s">
        <v>1190</v>
      </c>
      <c r="D89" s="649"/>
    </row>
    <row r="90" spans="1:10" ht="81" customHeight="1" x14ac:dyDescent="0.3">
      <c r="A90" s="674" t="s">
        <v>1066</v>
      </c>
      <c r="B90" s="643" t="s">
        <v>1067</v>
      </c>
      <c r="C90" s="645" t="s">
        <v>1183</v>
      </c>
      <c r="D90" s="628"/>
    </row>
    <row r="91" spans="1:10" ht="69" customHeight="1" x14ac:dyDescent="0.3">
      <c r="A91" s="642" t="s">
        <v>1066</v>
      </c>
      <c r="B91" s="643" t="s">
        <v>1068</v>
      </c>
      <c r="C91" s="645" t="s">
        <v>1184</v>
      </c>
      <c r="D91" s="646"/>
    </row>
    <row r="92" spans="1:10" ht="79.5" customHeight="1" x14ac:dyDescent="0.3">
      <c r="A92" s="656" t="s">
        <v>1087</v>
      </c>
      <c r="B92" s="653" t="s">
        <v>1157</v>
      </c>
      <c r="C92" s="627" t="s">
        <v>1155</v>
      </c>
      <c r="D92" s="657" t="s">
        <v>1154</v>
      </c>
    </row>
    <row r="93" spans="1:10" ht="52" x14ac:dyDescent="0.3">
      <c r="A93" s="656" t="s">
        <v>1087</v>
      </c>
      <c r="B93" s="653" t="s">
        <v>1158</v>
      </c>
      <c r="C93" s="627" t="s">
        <v>1188</v>
      </c>
      <c r="D93" s="657"/>
      <c r="E93" s="658"/>
      <c r="F93" s="658"/>
      <c r="G93" s="658"/>
      <c r="H93" s="658"/>
      <c r="I93" s="658"/>
      <c r="J93" s="658"/>
    </row>
    <row r="94" spans="1:10" ht="33.75" customHeight="1" x14ac:dyDescent="0.3">
      <c r="A94" s="656" t="s">
        <v>1087</v>
      </c>
      <c r="B94" s="653" t="s">
        <v>1159</v>
      </c>
      <c r="C94" s="627" t="s">
        <v>1160</v>
      </c>
      <c r="D94" s="657"/>
      <c r="E94" s="658"/>
      <c r="F94" s="658"/>
      <c r="G94" s="658"/>
      <c r="H94" s="658"/>
      <c r="I94" s="658"/>
      <c r="J94" s="658"/>
    </row>
    <row r="95" spans="1:10" ht="55.5" customHeight="1" x14ac:dyDescent="0.3">
      <c r="A95" s="656" t="s">
        <v>1087</v>
      </c>
      <c r="B95" s="653" t="s">
        <v>1161</v>
      </c>
      <c r="C95" s="627" t="s">
        <v>1185</v>
      </c>
      <c r="D95" s="657"/>
      <c r="E95" s="658"/>
      <c r="F95" s="658"/>
      <c r="G95" s="658"/>
      <c r="H95" s="658"/>
      <c r="I95" s="658"/>
      <c r="J95" s="658"/>
    </row>
    <row r="96" spans="1:10" ht="39" x14ac:dyDescent="0.3">
      <c r="A96" s="656" t="s">
        <v>1087</v>
      </c>
      <c r="B96" s="653" t="s">
        <v>1164</v>
      </c>
      <c r="C96" s="627" t="s">
        <v>1235</v>
      </c>
      <c r="D96" s="657"/>
      <c r="E96" s="658"/>
      <c r="F96" s="658"/>
      <c r="G96" s="658"/>
      <c r="H96" s="658"/>
      <c r="I96" s="658"/>
      <c r="J96" s="658"/>
    </row>
    <row r="97" spans="1:10" ht="52" x14ac:dyDescent="0.3">
      <c r="A97" s="656" t="s">
        <v>1087</v>
      </c>
      <c r="B97" s="653" t="s">
        <v>1165</v>
      </c>
      <c r="C97" s="627" t="s">
        <v>1240</v>
      </c>
      <c r="D97" s="657"/>
      <c r="E97" s="658"/>
      <c r="F97" s="658"/>
      <c r="G97" s="658"/>
      <c r="H97" s="658"/>
      <c r="I97" s="658"/>
      <c r="J97" s="658"/>
    </row>
    <row r="98" spans="1:10" ht="54" customHeight="1" x14ac:dyDescent="0.3">
      <c r="A98" s="656" t="s">
        <v>1087</v>
      </c>
      <c r="B98" s="643" t="s">
        <v>1232</v>
      </c>
      <c r="C98" s="627" t="s">
        <v>1233</v>
      </c>
      <c r="D98" s="657"/>
      <c r="E98" s="658"/>
      <c r="F98" s="658"/>
      <c r="G98" s="658"/>
      <c r="H98" s="658"/>
      <c r="I98" s="658"/>
      <c r="J98" s="658"/>
    </row>
    <row r="99" spans="1:10" ht="26" x14ac:dyDescent="0.4">
      <c r="A99" s="656" t="s">
        <v>1087</v>
      </c>
      <c r="B99" s="653" t="s">
        <v>1166</v>
      </c>
      <c r="C99" s="655" t="s">
        <v>1167</v>
      </c>
      <c r="D99" s="659"/>
    </row>
    <row r="100" spans="1:10" ht="39" x14ac:dyDescent="0.4">
      <c r="A100" s="656" t="s">
        <v>1087</v>
      </c>
      <c r="B100" s="653" t="s">
        <v>1168</v>
      </c>
      <c r="C100" s="655" t="s">
        <v>1169</v>
      </c>
      <c r="D100" s="659"/>
    </row>
    <row r="101" spans="1:10" ht="39" x14ac:dyDescent="0.4">
      <c r="A101" s="656" t="s">
        <v>1087</v>
      </c>
      <c r="B101" s="653" t="s">
        <v>1170</v>
      </c>
      <c r="C101" s="655" t="s">
        <v>1234</v>
      </c>
      <c r="D101" s="659"/>
    </row>
    <row r="102" spans="1:10" ht="56.25" customHeight="1" x14ac:dyDescent="0.4">
      <c r="A102" s="656" t="s">
        <v>1087</v>
      </c>
      <c r="B102" s="660" t="s">
        <v>1171</v>
      </c>
      <c r="C102" s="655" t="s">
        <v>1172</v>
      </c>
      <c r="D102" s="661"/>
    </row>
    <row r="103" spans="1:10" ht="26" x14ac:dyDescent="0.3">
      <c r="A103" s="656" t="s">
        <v>1087</v>
      </c>
      <c r="B103" s="643" t="s">
        <v>1038</v>
      </c>
      <c r="C103" s="627" t="s">
        <v>1175</v>
      </c>
      <c r="D103" s="662"/>
    </row>
    <row r="104" spans="1:10" ht="83.25" customHeight="1" x14ac:dyDescent="0.3">
      <c r="A104" s="656" t="s">
        <v>1087</v>
      </c>
      <c r="B104" s="643" t="s">
        <v>1039</v>
      </c>
      <c r="C104" s="627" t="s">
        <v>1212</v>
      </c>
      <c r="D104" s="662"/>
    </row>
    <row r="105" spans="1:10" ht="47.25" customHeight="1" x14ac:dyDescent="0.3">
      <c r="A105" s="656" t="s">
        <v>1087</v>
      </c>
      <c r="B105" s="643" t="s">
        <v>1040</v>
      </c>
      <c r="C105" s="627" t="s">
        <v>1214</v>
      </c>
      <c r="D105" s="662"/>
    </row>
    <row r="106" spans="1:10" ht="51" customHeight="1" x14ac:dyDescent="0.3">
      <c r="A106" s="656" t="s">
        <v>1087</v>
      </c>
      <c r="B106" s="643" t="s">
        <v>1041</v>
      </c>
      <c r="C106" s="663" t="s">
        <v>1213</v>
      </c>
      <c r="D106" s="664"/>
    </row>
    <row r="107" spans="1:10" ht="39" x14ac:dyDescent="0.3">
      <c r="A107" s="656" t="s">
        <v>1087</v>
      </c>
      <c r="B107" s="643" t="s">
        <v>1042</v>
      </c>
      <c r="C107" s="665" t="s">
        <v>1090</v>
      </c>
      <c r="D107" s="664"/>
    </row>
    <row r="108" spans="1:10" ht="49.5" customHeight="1" x14ac:dyDescent="0.3">
      <c r="A108" s="656" t="s">
        <v>1087</v>
      </c>
      <c r="B108" s="643" t="s">
        <v>1043</v>
      </c>
      <c r="C108" s="627" t="s">
        <v>1241</v>
      </c>
      <c r="D108" s="664"/>
    </row>
    <row r="109" spans="1:10" ht="42.75" customHeight="1" x14ac:dyDescent="0.3">
      <c r="A109" s="656" t="s">
        <v>1087</v>
      </c>
      <c r="B109" s="643" t="s">
        <v>1176</v>
      </c>
      <c r="C109" s="665" t="s">
        <v>1181</v>
      </c>
      <c r="D109" s="664"/>
    </row>
    <row r="110" spans="1:10" ht="78.75" customHeight="1" x14ac:dyDescent="0.3">
      <c r="A110" s="656" t="s">
        <v>1087</v>
      </c>
      <c r="B110" s="643" t="s">
        <v>1037</v>
      </c>
      <c r="C110" s="627" t="s">
        <v>1179</v>
      </c>
      <c r="D110" s="664"/>
    </row>
    <row r="111" spans="1:10" ht="78" x14ac:dyDescent="0.3">
      <c r="A111" s="656" t="s">
        <v>1087</v>
      </c>
      <c r="B111" s="643" t="s">
        <v>1177</v>
      </c>
      <c r="C111" s="627" t="s">
        <v>1180</v>
      </c>
      <c r="D111" s="664"/>
    </row>
    <row r="112" spans="1:10" x14ac:dyDescent="0.3">
      <c r="A112" s="666"/>
      <c r="C112" s="332"/>
      <c r="D112" s="667"/>
    </row>
    <row r="113" spans="3:4" x14ac:dyDescent="0.3">
      <c r="C113" s="332"/>
      <c r="D113" s="667"/>
    </row>
    <row r="114" spans="3:4" x14ac:dyDescent="0.3">
      <c r="C114" s="332"/>
      <c r="D114" s="667"/>
    </row>
  </sheetData>
  <sheetProtection sheet="1" formatCells="0" formatColumns="0" formatRows="0" sort="0" autoFilter="0"/>
  <autoFilter ref="A1:D66" xr:uid="{00000000-0009-0000-0000-00000F000000}"/>
  <mergeCells count="6">
    <mergeCell ref="A2:B6"/>
    <mergeCell ref="B45:B46"/>
    <mergeCell ref="A9:A10"/>
    <mergeCell ref="B9:B10"/>
    <mergeCell ref="A74:A75"/>
    <mergeCell ref="B74:B75"/>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3" r:id="rId1" xr:uid="{00000000-0004-0000-0F00-00000B000000}"/>
    <hyperlink ref="C55" r:id="rId2" xr:uid="{00000000-0004-0000-0F00-00000C000000}"/>
    <hyperlink ref="C57" r:id="rId3" display="https://www.azed.gov/titlei/sample-page/rural-low-income-schools-rlis/" xr:uid="{00000000-0004-0000-0F00-00000D000000}"/>
    <hyperlink ref="C59" r:id="rId4" xr:uid="{00000000-0004-0000-0F00-00000E000000}"/>
    <hyperlink ref="C61" r:id="rId5" xr:uid="{00000000-0004-0000-0F00-00000F000000}"/>
    <hyperlink ref="C46" r:id="rId6" display="mailto:sfbudgetteam@azed.gov" xr:uid="{00000000-0004-0000-0F00-000010000000}"/>
    <hyperlink ref="A18" location="'Page 3'!A1" display="'Page 3'!A1" xr:uid="{00000000-0004-0000-0F00-000011000000}"/>
    <hyperlink ref="A20" location="'Page 3'!A1" display="'Page 3'!A1" xr:uid="{00000000-0004-0000-0F00-000012000000}"/>
    <hyperlink ref="A19" location="'Page 3'!A1" display="'Page 3'!A1" xr:uid="{00000000-0004-0000-0F00-000013000000}"/>
    <hyperlink ref="A22" location="'Page 4'!A1" display="'Page 4'!A1" xr:uid="{00000000-0004-0000-0F00-000014000000}"/>
    <hyperlink ref="A23" location="'Page 6'!A1" display="'Page 6'!A1" xr:uid="{00000000-0004-0000-0F00-000015000000}"/>
    <hyperlink ref="A24" location="'Page 6'!A1" display="'Page 6'!A1" xr:uid="{00000000-0004-0000-0F00-000016000000}"/>
    <hyperlink ref="A25" location="'Page 6'!A1" display="'Page 6'!A1" xr:uid="{00000000-0004-0000-0F00-000017000000}"/>
    <hyperlink ref="A26" location="'Page 6'!A1" display="'Page 6'!A1" xr:uid="{00000000-0004-0000-0F00-000018000000}"/>
    <hyperlink ref="A27" location="'Page 6'!A1" display="'Page 6'!A1" xr:uid="{00000000-0004-0000-0F00-000019000000}"/>
    <hyperlink ref="A28" location="'Page 6'!A1" display="'Page 6'!A1" xr:uid="{00000000-0004-0000-0F00-00001A000000}"/>
    <hyperlink ref="A29" location="'Page 6'!A1" display="'Page 6'!A1" xr:uid="{00000000-0004-0000-0F00-00001B000000}"/>
    <hyperlink ref="A30" location="'Page 6'!A1" display="'Page 6'!A1" xr:uid="{00000000-0004-0000-0F00-00001C000000}"/>
    <hyperlink ref="A31" location="'Page 6'!A1" display="'Page 6'!A1" xr:uid="{00000000-0004-0000-0F00-00001D000000}"/>
    <hyperlink ref="A32" location="'Page 6'!A1" display="'Page 6'!A1" xr:uid="{00000000-0004-0000-0F00-00001E000000}"/>
    <hyperlink ref="A33" location="'Page 6'!A1" display="'Page 6'!A1" xr:uid="{00000000-0004-0000-0F00-00001F000000}"/>
    <hyperlink ref="A34" location="'Page 6'!A1" display="'Page 6'!A1" xr:uid="{00000000-0004-0000-0F00-000020000000}"/>
    <hyperlink ref="A35" location="'Page 6'!A1" display="'Page 6'!A1" xr:uid="{00000000-0004-0000-0F00-000021000000}"/>
    <hyperlink ref="A36" location="'Page 6'!A1" display="'Page 6'!A1" xr:uid="{00000000-0004-0000-0F00-000022000000}"/>
    <hyperlink ref="A37" location="'Page 6'!A1" display="'Page 6'!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2" location="'Page 7'!A1" display="'Page 7'!A1" xr:uid="{00000000-0004-0000-0F00-000027000000}"/>
    <hyperlink ref="A43" location="'Page 8'!A1" display="'Page 8'!A1" xr:uid="{00000000-0004-0000-0F00-000028000000}"/>
    <hyperlink ref="A44" location="'Page 8'!A1" display="'Page 8'!A1" xr:uid="{00000000-0004-0000-0F00-000029000000}"/>
    <hyperlink ref="A45:A46" location="'Page 8'!A1" display="'Page 8'!A1" xr:uid="{00000000-0004-0000-0F00-00002A000000}"/>
    <hyperlink ref="A47" location="'Page 8'!A1" display="'Page 8'!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51" location="'Page 9'!A1" display="'Page 9'!A1" xr:uid="{00000000-0004-0000-0F00-00002F000000}"/>
    <hyperlink ref="A52"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65" location="'Page 9'!A1" display="'Page 9'!A1" xr:uid="{00000000-0004-0000-0F00-000034000000}"/>
    <hyperlink ref="A66" location="'Page 9'!A1" display="'Page 9'!A1" xr:uid="{00000000-0004-0000-0F00-000035000000}"/>
    <hyperlink ref="A21" location="'Page 3'!A1" display="'Page 3'!A1" xr:uid="{00000000-0004-0000-0F00-000036000000}"/>
    <hyperlink ref="A38" location="'Page 6'!A1" display="'Page 6'!A1" xr:uid="{00000000-0004-0000-0F00-000037000000}"/>
    <hyperlink ref="A68" location="'Page 10'!A1" display="'Page 10'!A1" xr:uid="{00000000-0004-0000-0F00-000038000000}"/>
    <hyperlink ref="A92" location="'Reserve Balance'!A1" display="Reserve Balance tab" xr:uid="{00000000-0004-0000-0F00-000039000000}"/>
    <hyperlink ref="A93:A98" location="'Reserve Balance'!A1" display="Reserve Balance tab" xr:uid="{00000000-0004-0000-0F00-00003A000000}"/>
    <hyperlink ref="A103" location="'Reserve Balance'!A25" display="Reserve Balance tab" xr:uid="{00000000-0004-0000-0F00-00003B000000}"/>
    <hyperlink ref="A104:A111" location="'Reserve Balance'!A25" display="Reserve Balance tab" xr:uid="{00000000-0004-0000-0F00-00003C000000}"/>
    <hyperlink ref="A67" location="'Page 10'!A1" display="'Page 10'!A1" xr:uid="{00000000-0004-0000-0F00-00003D000000}"/>
    <hyperlink ref="A69" location="'Page 10'!A1" display="'Page 10'!A1" xr:uid="{00000000-0004-0000-0F00-00003E000000}"/>
    <hyperlink ref="C75" r:id="rId7" display="https://www.azauditor.gov/District_charter_ADE_COVID-19_spending_special_report_FY_2022" xr:uid="{00000000-0004-0000-0F00-00003F000000}"/>
    <hyperlink ref="A70" location="'Page 10'!A1" display="'Page 10'!A1" xr:uid="{00000000-0004-0000-0F00-000040000000}"/>
    <hyperlink ref="A87" location="'Page 10'!A1" display="'Page 10'!A1" xr:uid="{00000000-0004-0000-0F00-000041000000}"/>
    <hyperlink ref="A71" location="'Page 10'!A1" display="'Page 10'!A1" xr:uid="{00000000-0004-0000-0F00-000042000000}"/>
    <hyperlink ref="A72" location="'Page 10'!A1" display="'Page 10'!A1" xr:uid="{00000000-0004-0000-0F00-000043000000}"/>
    <hyperlink ref="A73" location="'Page 10'!A1" display="'Page 10'!A1" xr:uid="{00000000-0004-0000-0F00-000044000000}"/>
    <hyperlink ref="A76" location="'Page 10'!A1" display="'Page 10'!A1" xr:uid="{00000000-0004-0000-0F00-000045000000}"/>
    <hyperlink ref="A77" location="'Page 10'!A1" display="'Page 10'!A1" xr:uid="{00000000-0004-0000-0F00-000046000000}"/>
    <hyperlink ref="A78" location="'Page 10'!A1" display="'Page 10'!A1" xr:uid="{00000000-0004-0000-0F00-000047000000}"/>
    <hyperlink ref="A79" location="'Page 10'!A1" display="'Page 10'!A1" xr:uid="{00000000-0004-0000-0F00-000048000000}"/>
    <hyperlink ref="A80" location="'Page 10'!A1" display="'Page 10'!A1" xr:uid="{00000000-0004-0000-0F00-000049000000}"/>
    <hyperlink ref="A81" location="'Page 10'!A1" display="'Page 10'!A1" xr:uid="{00000000-0004-0000-0F00-00004A000000}"/>
    <hyperlink ref="A82" location="'Page 10'!A1" display="'Page 10'!A1" xr:uid="{00000000-0004-0000-0F00-00004B000000}"/>
    <hyperlink ref="A83" location="'Page 10'!A1" display="'Page 10'!A1" xr:uid="{00000000-0004-0000-0F00-00004C000000}"/>
    <hyperlink ref="A84" location="'Page 10'!A1" display="'Page 10'!A1" xr:uid="{00000000-0004-0000-0F00-00004D000000}"/>
    <hyperlink ref="A85" location="'Page 10'!A1" display="'Page 10'!A1" xr:uid="{00000000-0004-0000-0F00-00004E000000}"/>
    <hyperlink ref="A86" location="'Page 10'!A1" display="'Page 10'!A1" xr:uid="{00000000-0004-0000-0F00-00004F000000}"/>
    <hyperlink ref="A88" location="Summary!A1" display="Summary" xr:uid="{00000000-0004-0000-0F00-000050000000}"/>
    <hyperlink ref="A89" location="Summary!A1" display="Summary" xr:uid="{00000000-0004-0000-0F00-000051000000}"/>
    <hyperlink ref="A90" location="Summary!A1" display="Summary" xr:uid="{00000000-0004-0000-0F00-000052000000}"/>
    <hyperlink ref="A91" location="Summary!A1" display="Summary" xr:uid="{00000000-0004-0000-0F00-000053000000}"/>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dimension ref="A1:Y37000"/>
  <sheetViews>
    <sheetView topLeftCell="F1" workbookViewId="0">
      <selection activeCell="J15" sqref="J15"/>
    </sheetView>
  </sheetViews>
  <sheetFormatPr defaultColWidth="9.69921875" defaultRowHeight="14.5" x14ac:dyDescent="0.35"/>
  <cols>
    <col min="1" max="5" width="15.296875" style="11" bestFit="1" customWidth="1"/>
    <col min="6" max="6" width="16.59765625" style="11" bestFit="1" customWidth="1"/>
    <col min="7" max="7" width="22.8984375" style="21" customWidth="1"/>
    <col min="8" max="8" width="42.59765625" style="11" bestFit="1" customWidth="1"/>
    <col min="9" max="9" width="22" style="11" bestFit="1" customWidth="1"/>
    <col min="10" max="10" width="44.09765625" style="11" bestFit="1" customWidth="1"/>
    <col min="11" max="11" width="80.796875" style="11" bestFit="1" customWidth="1"/>
    <col min="12" max="12" width="10" style="11" bestFit="1" customWidth="1"/>
    <col min="13" max="13" width="58.796875" style="14" hidden="1" customWidth="1"/>
    <col min="14" max="14" width="55.296875" style="14" hidden="1" customWidth="1"/>
    <col min="15" max="15" width="45.296875" style="14" hidden="1" customWidth="1"/>
    <col min="16" max="16" width="90.19921875" style="14" hidden="1" customWidth="1"/>
    <col min="17" max="17" width="55.8984375" style="14" bestFit="1" customWidth="1"/>
    <col min="18" max="18" width="55.296875" style="14" bestFit="1" customWidth="1"/>
    <col min="19" max="19" width="45.296875" style="14" bestFit="1" customWidth="1"/>
    <col min="20" max="20" width="90.09765625" style="14" bestFit="1" customWidth="1"/>
    <col min="21" max="24" width="9.69921875" style="11" customWidth="1"/>
    <col min="25" max="25" width="21.296875" style="11" hidden="1" customWidth="1"/>
    <col min="26" max="27" width="9.69921875" style="11" customWidth="1"/>
    <col min="28" max="16384" width="9.69921875" style="11"/>
  </cols>
  <sheetData>
    <row r="1" spans="1:25" x14ac:dyDescent="0.35">
      <c r="A1" s="10" t="s">
        <v>147</v>
      </c>
      <c r="B1" s="10" t="s">
        <v>148</v>
      </c>
      <c r="C1" s="10" t="s">
        <v>149</v>
      </c>
      <c r="D1" s="10" t="s">
        <v>150</v>
      </c>
      <c r="E1" s="10" t="s">
        <v>151</v>
      </c>
      <c r="F1" s="10" t="s">
        <v>152</v>
      </c>
      <c r="G1" s="20" t="s">
        <v>153</v>
      </c>
      <c r="H1" s="10" t="s">
        <v>99</v>
      </c>
      <c r="I1" s="10" t="s">
        <v>154</v>
      </c>
      <c r="J1" s="10" t="s">
        <v>155</v>
      </c>
      <c r="K1" s="10" t="s">
        <v>156</v>
      </c>
      <c r="L1" s="10" t="s">
        <v>572</v>
      </c>
      <c r="M1" s="22" t="s">
        <v>157</v>
      </c>
      <c r="N1" s="22" t="s">
        <v>158</v>
      </c>
      <c r="O1" s="22" t="s">
        <v>159</v>
      </c>
      <c r="P1" s="22" t="s">
        <v>160</v>
      </c>
      <c r="Q1" s="22" t="s">
        <v>157</v>
      </c>
      <c r="R1" s="22" t="s">
        <v>158</v>
      </c>
      <c r="S1" s="22" t="s">
        <v>159</v>
      </c>
      <c r="T1" s="22" t="s">
        <v>160</v>
      </c>
    </row>
    <row r="2" spans="1:25" ht="14.25" customHeight="1" x14ac:dyDescent="0.35">
      <c r="A2" s="19"/>
      <c r="B2" s="12"/>
      <c r="C2" s="12"/>
      <c r="D2" s="12"/>
      <c r="E2" s="12"/>
      <c r="F2" s="13"/>
      <c r="G2" s="710">
        <v>104570</v>
      </c>
      <c r="H2" s="12" t="s">
        <v>161</v>
      </c>
      <c r="I2" s="12" t="s">
        <v>165</v>
      </c>
      <c r="J2" s="12" t="s">
        <v>166</v>
      </c>
      <c r="K2" s="12" t="s">
        <v>164</v>
      </c>
      <c r="L2" s="12">
        <v>101</v>
      </c>
      <c r="M2" s="11"/>
      <c r="N2" s="11"/>
      <c r="O2" s="11"/>
      <c r="P2" s="11"/>
      <c r="Q2" s="11"/>
      <c r="R2" s="11"/>
      <c r="S2" s="11"/>
      <c r="T2" s="11"/>
      <c r="Y2" s="11" t="s">
        <v>162</v>
      </c>
    </row>
    <row r="3" spans="1:25" ht="14.25" customHeight="1" x14ac:dyDescent="0.35">
      <c r="A3" s="12"/>
      <c r="B3" s="12"/>
      <c r="C3" s="12"/>
      <c r="D3" s="12"/>
      <c r="E3" s="12"/>
      <c r="F3" s="13"/>
      <c r="G3" s="710">
        <v>74809</v>
      </c>
      <c r="H3" s="12" t="s">
        <v>161</v>
      </c>
      <c r="I3" s="12" t="s">
        <v>165</v>
      </c>
      <c r="J3" s="12" t="s">
        <v>166</v>
      </c>
      <c r="K3" s="12" t="s">
        <v>167</v>
      </c>
      <c r="L3" s="12">
        <v>101</v>
      </c>
      <c r="M3" s="15" t="s">
        <v>161</v>
      </c>
      <c r="N3" s="23" t="s">
        <v>162</v>
      </c>
      <c r="O3" s="23" t="s">
        <v>162</v>
      </c>
      <c r="P3" s="23" t="s">
        <v>162</v>
      </c>
      <c r="Q3" s="15" t="s">
        <v>161</v>
      </c>
      <c r="R3" s="23" t="s">
        <v>162</v>
      </c>
      <c r="S3" s="23" t="s">
        <v>162</v>
      </c>
      <c r="T3" s="23" t="s">
        <v>162</v>
      </c>
      <c r="Y3" s="11" t="s">
        <v>163</v>
      </c>
    </row>
    <row r="4" spans="1:25" ht="14.25" customHeight="1" x14ac:dyDescent="0.35">
      <c r="A4" s="12"/>
      <c r="B4" s="12"/>
      <c r="C4" s="12"/>
      <c r="D4" s="12"/>
      <c r="E4" s="12"/>
      <c r="F4" s="13"/>
      <c r="G4" s="710">
        <v>727356</v>
      </c>
      <c r="H4" s="12" t="s">
        <v>161</v>
      </c>
      <c r="I4" s="12" t="s">
        <v>165</v>
      </c>
      <c r="J4" s="12" t="s">
        <v>166</v>
      </c>
      <c r="K4" s="12" t="s">
        <v>170</v>
      </c>
      <c r="L4" s="12">
        <v>101</v>
      </c>
      <c r="M4" s="23" t="s">
        <v>907</v>
      </c>
      <c r="N4" s="23" t="s">
        <v>163</v>
      </c>
      <c r="O4" s="23" t="s">
        <v>163</v>
      </c>
      <c r="P4" s="23" t="s">
        <v>164</v>
      </c>
      <c r="Q4" s="23" t="s">
        <v>907</v>
      </c>
      <c r="R4" s="23" t="s">
        <v>163</v>
      </c>
      <c r="S4" s="23" t="s">
        <v>163</v>
      </c>
      <c r="T4" s="23" t="s">
        <v>164</v>
      </c>
      <c r="Y4" s="11">
        <f>'School listing'!F7</f>
        <v>300</v>
      </c>
    </row>
    <row r="5" spans="1:25" ht="14.25" customHeight="1" x14ac:dyDescent="0.35">
      <c r="A5" s="12"/>
      <c r="B5" s="12"/>
      <c r="C5" s="12"/>
      <c r="D5" s="12"/>
      <c r="E5" s="12"/>
      <c r="F5" s="13"/>
      <c r="G5" s="710">
        <v>123668</v>
      </c>
      <c r="H5" s="12" t="s">
        <v>161</v>
      </c>
      <c r="I5" s="12" t="s">
        <v>165</v>
      </c>
      <c r="J5" s="12" t="s">
        <v>173</v>
      </c>
      <c r="K5" s="12" t="s">
        <v>164</v>
      </c>
      <c r="L5" s="12">
        <v>101</v>
      </c>
      <c r="M5" s="23"/>
      <c r="N5" s="23"/>
      <c r="O5" s="23"/>
      <c r="P5" s="23"/>
      <c r="Q5" s="23" t="s">
        <v>171</v>
      </c>
      <c r="R5" s="23" t="s">
        <v>165</v>
      </c>
      <c r="S5" s="23" t="s">
        <v>166</v>
      </c>
      <c r="T5" s="23" t="s">
        <v>167</v>
      </c>
    </row>
    <row r="6" spans="1:25" ht="14.25" customHeight="1" x14ac:dyDescent="0.35">
      <c r="A6" s="12"/>
      <c r="B6" s="12"/>
      <c r="C6" s="12"/>
      <c r="D6" s="12"/>
      <c r="E6" s="12"/>
      <c r="F6" s="13"/>
      <c r="G6" s="710">
        <v>13428</v>
      </c>
      <c r="H6" s="12" t="s">
        <v>161</v>
      </c>
      <c r="I6" s="12" t="s">
        <v>165</v>
      </c>
      <c r="J6" s="12" t="s">
        <v>173</v>
      </c>
      <c r="K6" s="12" t="s">
        <v>167</v>
      </c>
      <c r="L6" s="12">
        <v>101</v>
      </c>
      <c r="M6" s="23"/>
      <c r="N6" s="23"/>
      <c r="O6" s="23"/>
      <c r="P6" s="23"/>
      <c r="Q6" s="23" t="s">
        <v>1270</v>
      </c>
      <c r="R6" s="23" t="s">
        <v>168</v>
      </c>
      <c r="S6" s="23" t="s">
        <v>1271</v>
      </c>
      <c r="T6" s="23" t="s">
        <v>170</v>
      </c>
    </row>
    <row r="7" spans="1:25" ht="14.25" customHeight="1" x14ac:dyDescent="0.35">
      <c r="A7" s="12"/>
      <c r="B7" s="12"/>
      <c r="C7" s="12"/>
      <c r="D7" s="12"/>
      <c r="E7" s="12"/>
      <c r="F7" s="13"/>
      <c r="G7" s="710">
        <v>4250</v>
      </c>
      <c r="H7" s="12" t="s">
        <v>161</v>
      </c>
      <c r="I7" s="12" t="s">
        <v>165</v>
      </c>
      <c r="J7" s="12" t="s">
        <v>173</v>
      </c>
      <c r="K7" s="12" t="s">
        <v>170</v>
      </c>
      <c r="L7" s="12">
        <v>101</v>
      </c>
      <c r="M7" s="23"/>
      <c r="N7" s="23"/>
      <c r="O7" s="23"/>
      <c r="P7" s="23"/>
      <c r="Q7" s="23" t="s">
        <v>178</v>
      </c>
      <c r="R7" s="24" t="s">
        <v>172</v>
      </c>
      <c r="S7" s="23" t="s">
        <v>169</v>
      </c>
      <c r="T7" s="25" t="s">
        <v>1056</v>
      </c>
    </row>
    <row r="8" spans="1:25" ht="14.25" customHeight="1" x14ac:dyDescent="0.35">
      <c r="A8" s="12"/>
      <c r="B8" s="12"/>
      <c r="C8" s="12"/>
      <c r="D8" s="12"/>
      <c r="E8" s="12"/>
      <c r="F8" s="13"/>
      <c r="G8" s="710">
        <v>54706</v>
      </c>
      <c r="H8" s="12" t="s">
        <v>161</v>
      </c>
      <c r="I8" s="12" t="s">
        <v>165</v>
      </c>
      <c r="J8" s="12" t="s">
        <v>180</v>
      </c>
      <c r="K8" s="12" t="s">
        <v>164</v>
      </c>
      <c r="L8" s="12">
        <v>101</v>
      </c>
      <c r="M8" s="23" t="s">
        <v>178</v>
      </c>
      <c r="N8" s="24" t="s">
        <v>172</v>
      </c>
      <c r="O8" s="23" t="s">
        <v>169</v>
      </c>
      <c r="P8" s="25" t="s">
        <v>1056</v>
      </c>
      <c r="Q8" s="23"/>
      <c r="R8" s="24"/>
      <c r="S8" s="23"/>
      <c r="T8" s="25"/>
      <c r="Y8" s="11">
        <f>'School listing'!F10</f>
        <v>101</v>
      </c>
    </row>
    <row r="9" spans="1:25" ht="14.25" customHeight="1" x14ac:dyDescent="0.35">
      <c r="A9" s="12"/>
      <c r="B9" s="12"/>
      <c r="C9" s="12"/>
      <c r="D9" s="12"/>
      <c r="E9" s="12"/>
      <c r="F9" s="13"/>
      <c r="G9" s="710">
        <v>5422</v>
      </c>
      <c r="H9" s="12" t="s">
        <v>161</v>
      </c>
      <c r="I9" s="12" t="s">
        <v>165</v>
      </c>
      <c r="J9" s="12" t="s">
        <v>180</v>
      </c>
      <c r="K9" s="12" t="s">
        <v>167</v>
      </c>
      <c r="L9" s="12">
        <v>101</v>
      </c>
      <c r="M9" s="23" t="s">
        <v>181</v>
      </c>
      <c r="N9" s="24" t="s">
        <v>175</v>
      </c>
      <c r="O9" s="23" t="s">
        <v>173</v>
      </c>
      <c r="P9" s="25" t="s">
        <v>1057</v>
      </c>
      <c r="Q9" s="23" t="s">
        <v>181</v>
      </c>
      <c r="R9" s="24" t="s">
        <v>175</v>
      </c>
      <c r="S9" s="23" t="s">
        <v>173</v>
      </c>
      <c r="T9" s="25" t="s">
        <v>1057</v>
      </c>
      <c r="Y9" s="11">
        <f>'School listing'!F11</f>
        <v>0</v>
      </c>
    </row>
    <row r="10" spans="1:25" ht="14.25" customHeight="1" x14ac:dyDescent="0.35">
      <c r="A10" s="12"/>
      <c r="B10" s="12"/>
      <c r="C10" s="18"/>
      <c r="D10" s="12"/>
      <c r="E10" s="12"/>
      <c r="F10" s="13"/>
      <c r="G10" s="710">
        <v>8496</v>
      </c>
      <c r="H10" s="12" t="s">
        <v>161</v>
      </c>
      <c r="I10" s="12" t="s">
        <v>165</v>
      </c>
      <c r="J10" s="12" t="s">
        <v>180</v>
      </c>
      <c r="K10" s="12" t="s">
        <v>170</v>
      </c>
      <c r="L10" s="12">
        <v>101</v>
      </c>
      <c r="M10" s="23" t="s">
        <v>183</v>
      </c>
      <c r="N10" s="24" t="s">
        <v>179</v>
      </c>
      <c r="O10" s="23" t="s">
        <v>1054</v>
      </c>
      <c r="P10" s="25" t="s">
        <v>1053</v>
      </c>
      <c r="Q10" s="23" t="s">
        <v>183</v>
      </c>
      <c r="R10" s="24" t="s">
        <v>179</v>
      </c>
      <c r="S10" s="23" t="s">
        <v>1054</v>
      </c>
      <c r="T10" s="25" t="s">
        <v>1053</v>
      </c>
      <c r="Y10" s="11">
        <f>'School listing'!F12</f>
        <v>0</v>
      </c>
    </row>
    <row r="11" spans="1:25" x14ac:dyDescent="0.35">
      <c r="F11" s="16"/>
      <c r="G11" s="714">
        <v>97936</v>
      </c>
      <c r="H11" s="12" t="s">
        <v>161</v>
      </c>
      <c r="I11" s="12" t="s">
        <v>165</v>
      </c>
      <c r="J11" s="12" t="s">
        <v>180</v>
      </c>
      <c r="K11" s="12" t="s">
        <v>174</v>
      </c>
      <c r="L11" s="12">
        <v>101</v>
      </c>
      <c r="M11" s="23" t="s">
        <v>186</v>
      </c>
      <c r="N11" s="23" t="s">
        <v>182</v>
      </c>
      <c r="O11" s="23" t="s">
        <v>1055</v>
      </c>
      <c r="P11" s="23" t="s">
        <v>174</v>
      </c>
      <c r="Q11" s="23" t="s">
        <v>186</v>
      </c>
      <c r="R11" s="23" t="s">
        <v>182</v>
      </c>
      <c r="S11" s="23" t="s">
        <v>1055</v>
      </c>
      <c r="T11" s="23" t="s">
        <v>174</v>
      </c>
      <c r="Y11" s="11">
        <f>'School listing'!F13</f>
        <v>0</v>
      </c>
    </row>
    <row r="12" spans="1:25" x14ac:dyDescent="0.35">
      <c r="G12" s="714">
        <v>202274</v>
      </c>
      <c r="H12" s="12" t="s">
        <v>161</v>
      </c>
      <c r="I12" s="12" t="s">
        <v>165</v>
      </c>
      <c r="J12" s="12" t="s">
        <v>827</v>
      </c>
      <c r="K12" s="12" t="s">
        <v>170</v>
      </c>
      <c r="L12" s="12">
        <v>101</v>
      </c>
      <c r="M12" s="23" t="s">
        <v>189</v>
      </c>
      <c r="N12" s="24" t="s">
        <v>184</v>
      </c>
      <c r="O12" s="23" t="s">
        <v>176</v>
      </c>
      <c r="P12" s="23" t="s">
        <v>1106</v>
      </c>
      <c r="Q12" s="23" t="s">
        <v>189</v>
      </c>
      <c r="R12" s="24" t="s">
        <v>184</v>
      </c>
      <c r="S12" s="23" t="s">
        <v>176</v>
      </c>
      <c r="T12" s="23" t="s">
        <v>1106</v>
      </c>
      <c r="Y12" s="11">
        <f>'School listing'!F14</f>
        <v>0</v>
      </c>
    </row>
    <row r="13" spans="1:25" x14ac:dyDescent="0.35">
      <c r="G13" s="714">
        <v>486538</v>
      </c>
      <c r="H13" s="12" t="s">
        <v>161</v>
      </c>
      <c r="I13" s="12" t="s">
        <v>165</v>
      </c>
      <c r="J13" s="12" t="s">
        <v>828</v>
      </c>
      <c r="K13" s="12" t="s">
        <v>170</v>
      </c>
      <c r="L13" s="12">
        <v>101</v>
      </c>
      <c r="M13" s="23" t="s">
        <v>191</v>
      </c>
      <c r="N13" s="24" t="s">
        <v>187</v>
      </c>
      <c r="O13" s="23" t="s">
        <v>180</v>
      </c>
      <c r="P13" s="23" t="s">
        <v>177</v>
      </c>
      <c r="Q13" s="23" t="s">
        <v>191</v>
      </c>
      <c r="R13" s="24" t="s">
        <v>187</v>
      </c>
      <c r="S13" s="23" t="s">
        <v>180</v>
      </c>
      <c r="T13" s="23" t="s">
        <v>177</v>
      </c>
      <c r="Y13" s="11">
        <f>'School listing'!F15</f>
        <v>0</v>
      </c>
    </row>
    <row r="14" spans="1:25" x14ac:dyDescent="0.35">
      <c r="G14" s="714">
        <v>6419</v>
      </c>
      <c r="H14" s="12" t="s">
        <v>161</v>
      </c>
      <c r="I14" s="12" t="s">
        <v>165</v>
      </c>
      <c r="J14" s="715" t="s">
        <v>1269</v>
      </c>
      <c r="K14" s="715" t="s">
        <v>1268</v>
      </c>
      <c r="L14" s="12">
        <v>101</v>
      </c>
      <c r="M14" s="23"/>
      <c r="N14" s="24"/>
      <c r="O14" s="23"/>
      <c r="P14" s="23"/>
      <c r="Q14" s="23" t="s">
        <v>1272</v>
      </c>
      <c r="R14" s="23" t="s">
        <v>1273</v>
      </c>
      <c r="S14" s="23" t="s">
        <v>827</v>
      </c>
      <c r="T14" s="23" t="s">
        <v>1274</v>
      </c>
    </row>
    <row r="15" spans="1:25" x14ac:dyDescent="0.35">
      <c r="G15" s="714">
        <v>2692</v>
      </c>
      <c r="H15" s="12" t="s">
        <v>161</v>
      </c>
      <c r="I15" s="715" t="s">
        <v>1267</v>
      </c>
      <c r="J15" s="12" t="s">
        <v>169</v>
      </c>
      <c r="K15" s="12" t="s">
        <v>170</v>
      </c>
      <c r="L15" s="12">
        <v>101</v>
      </c>
      <c r="M15" s="23"/>
      <c r="N15" s="24"/>
      <c r="O15" s="23"/>
      <c r="P15" s="23"/>
      <c r="Q15" s="23" t="s">
        <v>1275</v>
      </c>
      <c r="R15" s="23" t="s">
        <v>1276</v>
      </c>
      <c r="S15" s="23" t="s">
        <v>828</v>
      </c>
      <c r="T15" s="23" t="s">
        <v>1277</v>
      </c>
    </row>
    <row r="16" spans="1:25" x14ac:dyDescent="0.35">
      <c r="G16" s="714">
        <v>50389</v>
      </c>
      <c r="H16" s="12" t="s">
        <v>161</v>
      </c>
      <c r="I16" s="12" t="s">
        <v>168</v>
      </c>
      <c r="J16" s="12" t="s">
        <v>166</v>
      </c>
      <c r="K16" s="12" t="s">
        <v>170</v>
      </c>
      <c r="L16" s="12">
        <v>101</v>
      </c>
      <c r="M16" s="23" t="s">
        <v>196</v>
      </c>
      <c r="N16" s="23" t="s">
        <v>825</v>
      </c>
      <c r="O16" s="23" t="s">
        <v>829</v>
      </c>
      <c r="P16" s="23" t="s">
        <v>185</v>
      </c>
      <c r="Q16" s="23" t="s">
        <v>196</v>
      </c>
      <c r="R16" s="23" t="s">
        <v>825</v>
      </c>
      <c r="S16" s="23" t="s">
        <v>829</v>
      </c>
      <c r="T16" s="23" t="s">
        <v>185</v>
      </c>
      <c r="Y16" s="11">
        <f>'School listing'!F18</f>
        <v>0</v>
      </c>
    </row>
    <row r="17" spans="2:25" x14ac:dyDescent="0.35">
      <c r="B17" s="17"/>
      <c r="G17" s="714">
        <v>33943</v>
      </c>
      <c r="H17" s="12" t="s">
        <v>161</v>
      </c>
      <c r="I17" s="12" t="s">
        <v>168</v>
      </c>
      <c r="J17" s="12" t="s">
        <v>169</v>
      </c>
      <c r="K17" s="12" t="s">
        <v>170</v>
      </c>
      <c r="L17" s="12">
        <v>101</v>
      </c>
      <c r="M17" s="23" t="s">
        <v>910</v>
      </c>
      <c r="N17" s="23" t="s">
        <v>195</v>
      </c>
      <c r="O17" s="23" t="s">
        <v>830</v>
      </c>
      <c r="P17" s="23" t="s">
        <v>188</v>
      </c>
      <c r="Q17" s="23" t="s">
        <v>910</v>
      </c>
      <c r="R17" s="23" t="s">
        <v>195</v>
      </c>
      <c r="S17" s="23" t="s">
        <v>830</v>
      </c>
      <c r="T17" s="23" t="s">
        <v>188</v>
      </c>
      <c r="Y17" s="11">
        <f>'School listing'!F19</f>
        <v>0</v>
      </c>
    </row>
    <row r="18" spans="2:25" x14ac:dyDescent="0.35">
      <c r="B18" s="17"/>
      <c r="G18" s="714">
        <v>187931</v>
      </c>
      <c r="H18" s="12" t="s">
        <v>907</v>
      </c>
      <c r="I18" s="12" t="s">
        <v>165</v>
      </c>
      <c r="J18" s="12" t="s">
        <v>166</v>
      </c>
      <c r="K18" s="12" t="s">
        <v>164</v>
      </c>
      <c r="L18" s="12">
        <v>101</v>
      </c>
      <c r="M18" s="23" t="s">
        <v>911</v>
      </c>
      <c r="N18" s="23" t="s">
        <v>197</v>
      </c>
      <c r="O18" s="23" t="s">
        <v>831</v>
      </c>
      <c r="P18" s="23" t="s">
        <v>190</v>
      </c>
      <c r="Q18" s="23" t="s">
        <v>911</v>
      </c>
      <c r="R18" s="23" t="s">
        <v>197</v>
      </c>
      <c r="S18" s="23" t="s">
        <v>831</v>
      </c>
      <c r="T18" s="23" t="s">
        <v>190</v>
      </c>
      <c r="Y18" s="11">
        <f>'School listing'!F20</f>
        <v>0</v>
      </c>
    </row>
    <row r="19" spans="2:25" x14ac:dyDescent="0.35">
      <c r="B19" s="17"/>
      <c r="G19" s="714">
        <v>16109</v>
      </c>
      <c r="H19" s="12" t="s">
        <v>171</v>
      </c>
      <c r="I19" s="12" t="s">
        <v>165</v>
      </c>
      <c r="J19" s="12" t="s">
        <v>166</v>
      </c>
      <c r="K19" s="12" t="s">
        <v>164</v>
      </c>
      <c r="L19" s="12">
        <v>101</v>
      </c>
      <c r="M19" s="23" t="s">
        <v>198</v>
      </c>
      <c r="N19" s="23" t="s">
        <v>199</v>
      </c>
      <c r="O19" s="23" t="s">
        <v>193</v>
      </c>
      <c r="P19" s="23" t="s">
        <v>192</v>
      </c>
      <c r="Q19" s="23" t="s">
        <v>198</v>
      </c>
      <c r="R19" s="23" t="s">
        <v>199</v>
      </c>
      <c r="S19" s="23" t="s">
        <v>193</v>
      </c>
      <c r="T19" s="23" t="s">
        <v>192</v>
      </c>
      <c r="Y19" s="11">
        <f>'School listing'!F21</f>
        <v>0</v>
      </c>
    </row>
    <row r="20" spans="2:25" x14ac:dyDescent="0.35">
      <c r="G20" s="714">
        <v>15635</v>
      </c>
      <c r="H20" s="12" t="s">
        <v>196</v>
      </c>
      <c r="I20" s="12" t="s">
        <v>168</v>
      </c>
      <c r="J20" s="12" t="s">
        <v>173</v>
      </c>
      <c r="K20" s="12" t="s">
        <v>170</v>
      </c>
      <c r="L20" s="12">
        <v>101</v>
      </c>
      <c r="M20" s="23" t="s">
        <v>201</v>
      </c>
      <c r="N20" s="23" t="s">
        <v>826</v>
      </c>
      <c r="O20" s="23" t="s">
        <v>832</v>
      </c>
      <c r="P20" s="25" t="s">
        <v>194</v>
      </c>
      <c r="Q20" s="23" t="s">
        <v>201</v>
      </c>
      <c r="R20" s="23" t="s">
        <v>826</v>
      </c>
      <c r="S20" s="23" t="s">
        <v>832</v>
      </c>
      <c r="T20" s="25" t="s">
        <v>194</v>
      </c>
      <c r="Y20" s="11">
        <f>'School listing'!F22</f>
        <v>0</v>
      </c>
    </row>
    <row r="21" spans="2:25" x14ac:dyDescent="0.35">
      <c r="G21" s="714">
        <v>347555</v>
      </c>
      <c r="H21" s="12" t="s">
        <v>161</v>
      </c>
      <c r="I21" s="12" t="s">
        <v>163</v>
      </c>
      <c r="J21" s="12" t="s">
        <v>163</v>
      </c>
      <c r="K21" s="12" t="s">
        <v>1262</v>
      </c>
      <c r="L21" s="12">
        <v>101</v>
      </c>
      <c r="M21" s="23" t="s">
        <v>205</v>
      </c>
      <c r="N21" s="11"/>
      <c r="P21" s="25" t="s">
        <v>200</v>
      </c>
      <c r="Q21" s="23" t="s">
        <v>1278</v>
      </c>
      <c r="R21" s="23" t="s">
        <v>1279</v>
      </c>
      <c r="S21" s="23" t="s">
        <v>1280</v>
      </c>
      <c r="T21" s="25" t="s">
        <v>1281</v>
      </c>
    </row>
    <row r="22" spans="2:25" x14ac:dyDescent="0.35">
      <c r="C22" s="716"/>
      <c r="G22" s="714">
        <v>1679624</v>
      </c>
      <c r="H22" s="12" t="s">
        <v>161</v>
      </c>
      <c r="I22" s="12" t="s">
        <v>163</v>
      </c>
      <c r="J22" s="12" t="s">
        <v>163</v>
      </c>
      <c r="K22" s="12" t="s">
        <v>1263</v>
      </c>
      <c r="L22" s="12">
        <v>101</v>
      </c>
      <c r="M22" s="23" t="s">
        <v>207</v>
      </c>
      <c r="N22" s="11"/>
      <c r="P22" s="25" t="s">
        <v>202</v>
      </c>
      <c r="Q22" s="23" t="s">
        <v>1282</v>
      </c>
      <c r="R22" s="23" t="s">
        <v>1283</v>
      </c>
      <c r="S22" s="23" t="s">
        <v>1284</v>
      </c>
      <c r="T22" s="25" t="s">
        <v>1285</v>
      </c>
    </row>
    <row r="23" spans="2:25" x14ac:dyDescent="0.35">
      <c r="C23" s="716"/>
      <c r="G23" s="714">
        <v>16109</v>
      </c>
      <c r="H23" s="12" t="s">
        <v>171</v>
      </c>
      <c r="I23" s="12" t="s">
        <v>163</v>
      </c>
      <c r="J23" s="12" t="s">
        <v>163</v>
      </c>
      <c r="K23" s="12" t="s">
        <v>1264</v>
      </c>
      <c r="L23" s="12">
        <v>101</v>
      </c>
      <c r="M23" s="23" t="s">
        <v>209</v>
      </c>
      <c r="N23" s="11"/>
      <c r="O23" s="11"/>
      <c r="P23" s="25" t="s">
        <v>203</v>
      </c>
      <c r="Q23" s="23" t="s">
        <v>205</v>
      </c>
      <c r="R23" s="11"/>
      <c r="T23" s="25" t="s">
        <v>200</v>
      </c>
    </row>
    <row r="24" spans="2:25" x14ac:dyDescent="0.35">
      <c r="C24" s="716"/>
      <c r="G24" s="714">
        <v>187931</v>
      </c>
      <c r="H24" s="12" t="s">
        <v>907</v>
      </c>
      <c r="I24" s="12" t="s">
        <v>163</v>
      </c>
      <c r="J24" s="12" t="s">
        <v>163</v>
      </c>
      <c r="K24" s="12" t="s">
        <v>1264</v>
      </c>
      <c r="L24" s="12">
        <v>101</v>
      </c>
      <c r="M24" s="23" t="s">
        <v>210</v>
      </c>
      <c r="N24" s="11"/>
      <c r="O24" s="11"/>
      <c r="P24" s="25" t="s">
        <v>204</v>
      </c>
      <c r="Q24" s="23" t="s">
        <v>207</v>
      </c>
      <c r="R24" s="11"/>
      <c r="T24" s="25" t="s">
        <v>202</v>
      </c>
    </row>
    <row r="25" spans="2:25" x14ac:dyDescent="0.35">
      <c r="C25" s="716"/>
      <c r="G25" s="714">
        <v>14844</v>
      </c>
      <c r="H25" s="12" t="s">
        <v>161</v>
      </c>
      <c r="I25" s="12" t="s">
        <v>163</v>
      </c>
      <c r="J25" s="12" t="s">
        <v>163</v>
      </c>
      <c r="K25" s="12" t="s">
        <v>1265</v>
      </c>
      <c r="L25" s="12">
        <v>101</v>
      </c>
      <c r="M25" s="23" t="s">
        <v>845</v>
      </c>
      <c r="N25" s="11"/>
      <c r="O25" s="11"/>
      <c r="P25" s="25" t="s">
        <v>206</v>
      </c>
      <c r="Q25" s="23" t="s">
        <v>209</v>
      </c>
      <c r="R25" s="11"/>
      <c r="S25" s="11"/>
      <c r="T25" s="25" t="s">
        <v>203</v>
      </c>
    </row>
    <row r="26" spans="2:25" x14ac:dyDescent="0.35">
      <c r="C26" s="716"/>
      <c r="G26" s="714">
        <v>15635</v>
      </c>
      <c r="H26" s="12" t="s">
        <v>196</v>
      </c>
      <c r="I26" s="12" t="s">
        <v>163</v>
      </c>
      <c r="J26" s="12" t="s">
        <v>163</v>
      </c>
      <c r="K26" s="12" t="s">
        <v>1266</v>
      </c>
      <c r="L26" s="12">
        <v>101</v>
      </c>
      <c r="M26" s="23" t="s">
        <v>211</v>
      </c>
      <c r="N26" s="11"/>
      <c r="O26" s="11"/>
      <c r="P26" s="25" t="s">
        <v>208</v>
      </c>
      <c r="Q26" s="23" t="s">
        <v>211</v>
      </c>
      <c r="R26" s="11"/>
      <c r="S26" s="11"/>
      <c r="T26" s="25" t="s">
        <v>208</v>
      </c>
    </row>
    <row r="27" spans="2:25" x14ac:dyDescent="0.35">
      <c r="C27" s="716"/>
      <c r="H27" s="711"/>
      <c r="I27" s="711"/>
      <c r="J27" s="711"/>
      <c r="K27" s="711"/>
      <c r="L27" s="711"/>
      <c r="P27" s="11"/>
      <c r="Q27" s="23" t="s">
        <v>1286</v>
      </c>
      <c r="R27" s="11"/>
      <c r="S27" s="11"/>
      <c r="T27" s="25" t="s">
        <v>1287</v>
      </c>
    </row>
    <row r="28" spans="2:25" x14ac:dyDescent="0.35">
      <c r="C28" s="716"/>
      <c r="H28" s="711"/>
      <c r="I28" s="711"/>
      <c r="J28" s="711"/>
      <c r="K28" s="711"/>
      <c r="L28" s="711"/>
      <c r="Q28" s="23" t="s">
        <v>1288</v>
      </c>
      <c r="R28" s="11"/>
      <c r="S28" s="11"/>
      <c r="T28" s="25" t="s">
        <v>1289</v>
      </c>
    </row>
    <row r="29" spans="2:25" x14ac:dyDescent="0.35">
      <c r="H29" s="711"/>
      <c r="I29" s="711"/>
      <c r="J29" s="711"/>
      <c r="K29" s="711"/>
      <c r="L29" s="711"/>
      <c r="Q29" s="23" t="s">
        <v>1290</v>
      </c>
      <c r="R29" s="11"/>
      <c r="S29" s="11"/>
      <c r="T29" s="25" t="s">
        <v>1262</v>
      </c>
    </row>
    <row r="30" spans="2:25" x14ac:dyDescent="0.35">
      <c r="H30" s="711"/>
      <c r="I30" s="711"/>
      <c r="J30" s="711"/>
      <c r="K30" s="711"/>
      <c r="L30" s="711"/>
      <c r="Q30" s="23" t="s">
        <v>1291</v>
      </c>
      <c r="R30" s="11"/>
      <c r="S30" s="11"/>
      <c r="T30" s="25" t="s">
        <v>1292</v>
      </c>
    </row>
    <row r="31" spans="2:25" x14ac:dyDescent="0.35">
      <c r="H31" s="711"/>
      <c r="I31" s="711"/>
      <c r="J31" s="711"/>
      <c r="K31" s="711"/>
      <c r="L31" s="711"/>
      <c r="Q31" s="23" t="s">
        <v>1293</v>
      </c>
      <c r="R31" s="11"/>
      <c r="S31" s="11"/>
      <c r="T31" s="25" t="s">
        <v>1294</v>
      </c>
    </row>
    <row r="32" spans="2:25" x14ac:dyDescent="0.35">
      <c r="H32" s="711"/>
      <c r="I32" s="711"/>
      <c r="J32" s="711"/>
      <c r="K32" s="711"/>
      <c r="L32" s="711"/>
      <c r="Q32" s="23" t="s">
        <v>1295</v>
      </c>
      <c r="R32" s="11"/>
      <c r="S32" s="11"/>
      <c r="T32" s="25" t="s">
        <v>1296</v>
      </c>
    </row>
    <row r="33" spans="8:20" x14ac:dyDescent="0.35">
      <c r="H33" s="711"/>
      <c r="I33" s="711"/>
      <c r="J33" s="711"/>
      <c r="K33" s="711"/>
      <c r="L33" s="711"/>
      <c r="Q33" s="23" t="s">
        <v>1297</v>
      </c>
      <c r="R33" s="11"/>
      <c r="S33" s="11"/>
      <c r="T33" s="25" t="s">
        <v>1298</v>
      </c>
    </row>
    <row r="34" spans="8:20" x14ac:dyDescent="0.35">
      <c r="H34" s="711"/>
      <c r="I34" s="711"/>
      <c r="J34" s="711"/>
      <c r="K34" s="711"/>
      <c r="L34" s="711"/>
      <c r="Q34" s="23" t="s">
        <v>1299</v>
      </c>
      <c r="R34" s="11"/>
      <c r="S34" s="11"/>
      <c r="T34" s="25" t="s">
        <v>1263</v>
      </c>
    </row>
    <row r="35" spans="8:20" x14ac:dyDescent="0.35">
      <c r="H35" s="711"/>
      <c r="I35" s="711"/>
      <c r="J35" s="711"/>
      <c r="K35" s="711"/>
      <c r="L35" s="711"/>
      <c r="Q35" s="23" t="s">
        <v>1300</v>
      </c>
      <c r="R35" s="11"/>
      <c r="S35" s="11"/>
      <c r="T35" s="25" t="s">
        <v>1301</v>
      </c>
    </row>
    <row r="36" spans="8:20" x14ac:dyDescent="0.35">
      <c r="H36" s="711"/>
      <c r="I36" s="711"/>
      <c r="J36" s="711"/>
      <c r="K36" s="711"/>
      <c r="L36" s="711"/>
      <c r="Q36" s="23" t="s">
        <v>1302</v>
      </c>
      <c r="R36" s="11"/>
      <c r="S36" s="11"/>
      <c r="T36" s="25" t="s">
        <v>1264</v>
      </c>
    </row>
    <row r="37" spans="8:20" x14ac:dyDescent="0.35">
      <c r="H37" s="711"/>
      <c r="I37" s="711"/>
      <c r="J37" s="711"/>
      <c r="K37" s="711"/>
      <c r="L37" s="711"/>
      <c r="Q37" s="23" t="s">
        <v>1303</v>
      </c>
      <c r="R37" s="11"/>
      <c r="S37" s="11"/>
      <c r="T37" s="25" t="s">
        <v>1304</v>
      </c>
    </row>
    <row r="38" spans="8:20" x14ac:dyDescent="0.35">
      <c r="H38" s="711"/>
      <c r="I38" s="711"/>
      <c r="J38" s="711"/>
      <c r="K38" s="711"/>
      <c r="L38" s="711"/>
      <c r="Q38" s="23" t="s">
        <v>1305</v>
      </c>
      <c r="R38" s="11"/>
      <c r="S38" s="11"/>
      <c r="T38" s="25" t="s">
        <v>1265</v>
      </c>
    </row>
    <row r="39" spans="8:20" x14ac:dyDescent="0.35">
      <c r="H39" s="711"/>
      <c r="I39" s="711"/>
      <c r="J39" s="711"/>
      <c r="K39" s="711"/>
      <c r="L39" s="711"/>
      <c r="Q39" s="23" t="s">
        <v>1306</v>
      </c>
      <c r="R39" s="11"/>
      <c r="S39" s="11"/>
      <c r="T39" s="25" t="s">
        <v>1266</v>
      </c>
    </row>
    <row r="40" spans="8:20" x14ac:dyDescent="0.35">
      <c r="H40" s="711"/>
      <c r="I40" s="711"/>
      <c r="J40" s="711"/>
      <c r="K40" s="711"/>
      <c r="L40" s="711"/>
      <c r="Q40" s="23" t="s">
        <v>1307</v>
      </c>
      <c r="R40" s="11"/>
      <c r="S40" s="11"/>
      <c r="T40" s="25" t="s">
        <v>1308</v>
      </c>
    </row>
    <row r="41" spans="8:20" x14ac:dyDescent="0.35">
      <c r="H41" s="711"/>
      <c r="I41" s="711"/>
      <c r="J41" s="711"/>
      <c r="K41" s="711"/>
      <c r="L41" s="711"/>
      <c r="Q41" s="23" t="s">
        <v>1309</v>
      </c>
      <c r="R41" s="11"/>
      <c r="S41" s="11"/>
      <c r="T41" s="25" t="s">
        <v>1310</v>
      </c>
    </row>
    <row r="42" spans="8:20" x14ac:dyDescent="0.35">
      <c r="H42" s="711"/>
      <c r="I42" s="711"/>
      <c r="J42" s="711"/>
      <c r="K42" s="711"/>
      <c r="L42" s="711"/>
      <c r="Q42" s="11"/>
      <c r="R42" s="11"/>
      <c r="S42" s="11"/>
      <c r="T42" s="25" t="s">
        <v>1311</v>
      </c>
    </row>
    <row r="43" spans="8:20" x14ac:dyDescent="0.35">
      <c r="H43" s="711"/>
      <c r="I43" s="711"/>
      <c r="J43" s="711"/>
      <c r="K43" s="711"/>
      <c r="L43" s="711"/>
      <c r="Q43" s="11"/>
      <c r="R43" s="11"/>
      <c r="S43" s="11"/>
      <c r="T43" s="25" t="s">
        <v>1312</v>
      </c>
    </row>
    <row r="44" spans="8:20" x14ac:dyDescent="0.35">
      <c r="H44" s="711"/>
      <c r="I44" s="711"/>
      <c r="J44" s="711"/>
      <c r="K44" s="711"/>
      <c r="L44" s="711"/>
      <c r="Q44" s="11"/>
      <c r="R44" s="11"/>
      <c r="S44" s="11"/>
      <c r="T44" s="25" t="s">
        <v>1313</v>
      </c>
    </row>
    <row r="45" spans="8:20" x14ac:dyDescent="0.35">
      <c r="H45" s="711"/>
      <c r="I45" s="711"/>
      <c r="J45" s="711"/>
      <c r="K45" s="711"/>
      <c r="L45" s="711"/>
      <c r="Q45" s="11"/>
      <c r="R45" s="11"/>
      <c r="S45" s="11"/>
    </row>
    <row r="46" spans="8:20" x14ac:dyDescent="0.35">
      <c r="H46" s="711"/>
      <c r="I46" s="711"/>
      <c r="J46" s="711"/>
      <c r="K46" s="711"/>
      <c r="L46" s="711"/>
      <c r="Q46" s="11"/>
      <c r="R46" s="11"/>
      <c r="S46" s="11"/>
    </row>
    <row r="47" spans="8:20" x14ac:dyDescent="0.35">
      <c r="H47" s="711"/>
      <c r="I47" s="711"/>
      <c r="J47" s="711"/>
      <c r="K47" s="711"/>
      <c r="L47" s="711"/>
      <c r="Q47" s="11"/>
      <c r="R47" s="11"/>
      <c r="S47" s="11"/>
    </row>
    <row r="48" spans="8:20" x14ac:dyDescent="0.35">
      <c r="H48" s="711"/>
      <c r="I48" s="711"/>
      <c r="J48" s="711"/>
      <c r="K48" s="711"/>
      <c r="L48" s="711"/>
      <c r="Q48" s="11"/>
      <c r="R48" s="11"/>
      <c r="S48" s="11"/>
      <c r="T48" s="11"/>
    </row>
    <row r="49" spans="8:20" x14ac:dyDescent="0.35">
      <c r="H49" s="711"/>
      <c r="I49" s="711"/>
      <c r="J49" s="711"/>
      <c r="K49" s="711"/>
      <c r="L49" s="711"/>
      <c r="Q49" s="11"/>
      <c r="R49" s="11"/>
      <c r="S49" s="11"/>
      <c r="T49" s="11"/>
    </row>
    <row r="50" spans="8:20" x14ac:dyDescent="0.35">
      <c r="H50" s="711"/>
      <c r="I50" s="711"/>
      <c r="J50" s="711"/>
      <c r="K50" s="711"/>
      <c r="L50" s="711"/>
      <c r="Q50" s="11"/>
      <c r="R50" s="11"/>
      <c r="S50" s="11"/>
      <c r="T50" s="11"/>
    </row>
    <row r="51" spans="8:20" x14ac:dyDescent="0.35">
      <c r="H51" s="711"/>
      <c r="I51" s="711"/>
      <c r="J51" s="711"/>
      <c r="K51" s="711"/>
      <c r="L51" s="711"/>
      <c r="Q51" s="11"/>
      <c r="R51" s="11"/>
      <c r="S51" s="11"/>
      <c r="T51" s="11"/>
    </row>
    <row r="52" spans="8:20" x14ac:dyDescent="0.35">
      <c r="H52" s="711"/>
      <c r="I52" s="711"/>
      <c r="J52" s="711"/>
      <c r="K52" s="711"/>
      <c r="L52" s="711"/>
      <c r="Q52" s="11"/>
      <c r="R52" s="11"/>
      <c r="S52" s="11"/>
      <c r="T52" s="11"/>
    </row>
    <row r="53" spans="8:20" x14ac:dyDescent="0.35">
      <c r="H53" s="711"/>
      <c r="I53" s="711"/>
      <c r="J53" s="711"/>
      <c r="K53" s="711"/>
      <c r="L53" s="711"/>
      <c r="Q53" s="11"/>
      <c r="R53" s="11"/>
      <c r="S53" s="11"/>
      <c r="T53" s="11"/>
    </row>
    <row r="54" spans="8:20" x14ac:dyDescent="0.35">
      <c r="H54" s="711"/>
      <c r="I54" s="711"/>
      <c r="J54" s="711"/>
      <c r="K54" s="711"/>
      <c r="L54" s="711"/>
      <c r="Q54" s="11"/>
      <c r="R54" s="11"/>
      <c r="S54" s="11"/>
      <c r="T54" s="11"/>
    </row>
    <row r="55" spans="8:20" x14ac:dyDescent="0.35">
      <c r="H55" s="711"/>
      <c r="I55" s="711"/>
      <c r="J55" s="711"/>
      <c r="K55" s="711"/>
      <c r="L55" s="711"/>
      <c r="Q55" s="11"/>
      <c r="R55" s="11"/>
      <c r="S55" s="11"/>
      <c r="T55" s="11"/>
    </row>
    <row r="56" spans="8:20" x14ac:dyDescent="0.35">
      <c r="H56" s="711"/>
      <c r="I56" s="711"/>
      <c r="J56" s="711"/>
      <c r="K56" s="711"/>
      <c r="L56" s="711"/>
      <c r="Q56" s="11"/>
      <c r="R56" s="11"/>
      <c r="S56" s="11"/>
      <c r="T56" s="11"/>
    </row>
    <row r="57" spans="8:20" x14ac:dyDescent="0.35">
      <c r="H57" s="711"/>
      <c r="I57" s="711"/>
      <c r="J57" s="711"/>
      <c r="K57" s="711"/>
      <c r="L57" s="711"/>
      <c r="Q57" s="11"/>
      <c r="R57" s="11"/>
      <c r="S57" s="11"/>
      <c r="T57" s="11"/>
    </row>
    <row r="58" spans="8:20" x14ac:dyDescent="0.35">
      <c r="H58" s="711"/>
      <c r="I58" s="711"/>
      <c r="J58" s="711"/>
      <c r="K58" s="711"/>
      <c r="L58" s="711"/>
      <c r="Q58" s="11"/>
      <c r="R58" s="11"/>
      <c r="S58" s="11"/>
      <c r="T58" s="11"/>
    </row>
    <row r="59" spans="8:20" x14ac:dyDescent="0.35">
      <c r="H59" s="711"/>
      <c r="I59" s="711"/>
      <c r="J59" s="711"/>
      <c r="K59" s="711"/>
      <c r="L59" s="711"/>
      <c r="Q59" s="11"/>
      <c r="R59" s="11"/>
      <c r="S59" s="11"/>
      <c r="T59" s="11"/>
    </row>
    <row r="60" spans="8:20" x14ac:dyDescent="0.35">
      <c r="H60" s="711"/>
      <c r="I60" s="711"/>
      <c r="J60" s="711"/>
      <c r="K60" s="711"/>
      <c r="L60" s="711"/>
      <c r="Q60" s="11"/>
      <c r="R60" s="11"/>
      <c r="S60" s="11"/>
      <c r="T60" s="11"/>
    </row>
    <row r="61" spans="8:20" x14ac:dyDescent="0.35">
      <c r="H61" s="711"/>
      <c r="I61" s="711"/>
      <c r="J61" s="711"/>
      <c r="K61" s="711"/>
      <c r="L61" s="711"/>
      <c r="Q61" s="11"/>
      <c r="R61" s="11"/>
      <c r="S61" s="11"/>
      <c r="T61" s="11"/>
    </row>
    <row r="62" spans="8:20" x14ac:dyDescent="0.35">
      <c r="H62" s="711"/>
      <c r="I62" s="711"/>
      <c r="J62" s="711"/>
      <c r="K62" s="711"/>
      <c r="L62" s="711"/>
      <c r="Q62" s="11"/>
      <c r="R62" s="11"/>
      <c r="S62" s="11"/>
      <c r="T62" s="11"/>
    </row>
    <row r="63" spans="8:20" x14ac:dyDescent="0.35">
      <c r="H63" s="711"/>
      <c r="I63" s="711"/>
      <c r="J63" s="711"/>
      <c r="K63" s="711"/>
      <c r="L63" s="711"/>
      <c r="Q63" s="11"/>
      <c r="R63" s="11"/>
      <c r="S63" s="11"/>
      <c r="T63" s="11"/>
    </row>
    <row r="64" spans="8:20" x14ac:dyDescent="0.35">
      <c r="H64" s="711"/>
      <c r="I64" s="711"/>
      <c r="J64" s="711"/>
      <c r="K64" s="711"/>
      <c r="L64" s="711"/>
      <c r="Q64" s="11"/>
      <c r="R64" s="11"/>
      <c r="S64" s="11"/>
      <c r="T64" s="11"/>
    </row>
    <row r="65" spans="8:20" x14ac:dyDescent="0.35">
      <c r="H65" s="711"/>
      <c r="I65" s="711"/>
      <c r="J65" s="711"/>
      <c r="K65" s="711"/>
      <c r="L65" s="711"/>
      <c r="Q65" s="11"/>
      <c r="R65" s="11"/>
      <c r="S65" s="11"/>
      <c r="T65" s="11"/>
    </row>
    <row r="66" spans="8:20" x14ac:dyDescent="0.35">
      <c r="H66" s="711"/>
      <c r="I66" s="711"/>
      <c r="J66" s="711"/>
      <c r="K66" s="711"/>
      <c r="L66" s="711"/>
      <c r="Q66" s="11"/>
      <c r="R66" s="11"/>
      <c r="S66" s="11"/>
      <c r="T66" s="11"/>
    </row>
    <row r="67" spans="8:20" x14ac:dyDescent="0.35">
      <c r="H67" s="711"/>
      <c r="I67" s="711"/>
      <c r="J67" s="711"/>
      <c r="K67" s="711"/>
      <c r="L67" s="711"/>
      <c r="Q67" s="11"/>
      <c r="R67" s="11"/>
      <c r="S67" s="11"/>
      <c r="T67" s="11"/>
    </row>
    <row r="68" spans="8:20" x14ac:dyDescent="0.35">
      <c r="H68" s="711"/>
      <c r="I68" s="711"/>
      <c r="J68" s="711"/>
      <c r="K68" s="711"/>
      <c r="L68" s="711"/>
      <c r="Q68" s="11"/>
      <c r="R68" s="11"/>
      <c r="S68" s="11"/>
      <c r="T68" s="11"/>
    </row>
    <row r="69" spans="8:20" x14ac:dyDescent="0.35">
      <c r="H69" s="711"/>
      <c r="I69" s="711"/>
      <c r="J69" s="711"/>
      <c r="K69" s="711"/>
      <c r="L69" s="711"/>
      <c r="Q69" s="11"/>
      <c r="R69" s="11"/>
      <c r="S69" s="11"/>
      <c r="T69" s="11"/>
    </row>
    <row r="70" spans="8:20" x14ac:dyDescent="0.35">
      <c r="H70" s="711"/>
      <c r="I70" s="711"/>
      <c r="J70" s="711"/>
      <c r="K70" s="711"/>
      <c r="L70" s="711"/>
      <c r="Q70" s="11"/>
      <c r="R70" s="11"/>
      <c r="S70" s="11"/>
      <c r="T70" s="11"/>
    </row>
    <row r="71" spans="8:20" x14ac:dyDescent="0.35">
      <c r="H71" s="711"/>
      <c r="I71" s="711"/>
      <c r="J71" s="711"/>
      <c r="K71" s="711"/>
      <c r="L71" s="711"/>
      <c r="Q71" s="11"/>
      <c r="R71" s="11"/>
      <c r="S71" s="11"/>
      <c r="T71" s="11"/>
    </row>
    <row r="72" spans="8:20" x14ac:dyDescent="0.35">
      <c r="H72" s="711"/>
      <c r="I72" s="711"/>
      <c r="J72" s="711"/>
      <c r="K72" s="711"/>
      <c r="L72" s="711"/>
      <c r="Q72" s="11"/>
      <c r="R72" s="11"/>
      <c r="S72" s="11"/>
      <c r="T72" s="11"/>
    </row>
    <row r="73" spans="8:20" x14ac:dyDescent="0.35">
      <c r="H73" s="711"/>
      <c r="I73" s="711"/>
      <c r="J73" s="711"/>
      <c r="K73" s="711"/>
      <c r="L73" s="711"/>
      <c r="Q73" s="11"/>
      <c r="R73" s="11"/>
      <c r="S73" s="11"/>
      <c r="T73" s="11"/>
    </row>
    <row r="74" spans="8:20" x14ac:dyDescent="0.35">
      <c r="H74" s="711"/>
      <c r="I74" s="711"/>
      <c r="J74" s="711"/>
      <c r="K74" s="711"/>
      <c r="L74" s="711"/>
      <c r="Q74" s="11"/>
      <c r="R74" s="11"/>
      <c r="S74" s="11"/>
      <c r="T74" s="11"/>
    </row>
    <row r="75" spans="8:20" x14ac:dyDescent="0.35">
      <c r="H75" s="711"/>
      <c r="I75" s="711"/>
      <c r="J75" s="711"/>
      <c r="K75" s="711"/>
      <c r="L75" s="711"/>
      <c r="Q75" s="11"/>
      <c r="R75" s="11"/>
      <c r="S75" s="11"/>
      <c r="T75" s="11"/>
    </row>
    <row r="76" spans="8:20" x14ac:dyDescent="0.35">
      <c r="H76" s="711"/>
      <c r="I76" s="711"/>
      <c r="J76" s="711"/>
      <c r="K76" s="711"/>
      <c r="L76" s="711"/>
      <c r="Q76" s="11"/>
      <c r="R76" s="11"/>
      <c r="S76" s="11"/>
      <c r="T76" s="11"/>
    </row>
    <row r="77" spans="8:20" x14ac:dyDescent="0.35">
      <c r="H77" s="711"/>
      <c r="I77" s="711"/>
      <c r="J77" s="711"/>
      <c r="K77" s="711"/>
      <c r="L77" s="711"/>
      <c r="Q77" s="11"/>
      <c r="R77" s="11"/>
      <c r="S77" s="11"/>
      <c r="T77" s="11"/>
    </row>
    <row r="78" spans="8:20" x14ac:dyDescent="0.35">
      <c r="H78" s="711"/>
      <c r="I78" s="711"/>
      <c r="J78" s="711"/>
      <c r="K78" s="711"/>
      <c r="L78" s="711"/>
      <c r="Q78" s="11"/>
      <c r="R78" s="11"/>
      <c r="S78" s="11"/>
      <c r="T78" s="11"/>
    </row>
    <row r="79" spans="8:20" x14ac:dyDescent="0.35">
      <c r="H79" s="711"/>
      <c r="I79" s="711"/>
      <c r="J79" s="711"/>
      <c r="K79" s="711"/>
      <c r="L79" s="711"/>
      <c r="Q79" s="11"/>
      <c r="R79" s="11"/>
      <c r="S79" s="11"/>
      <c r="T79" s="11"/>
    </row>
    <row r="80" spans="8:20" x14ac:dyDescent="0.35">
      <c r="H80" s="711"/>
      <c r="I80" s="711"/>
      <c r="J80" s="711"/>
      <c r="K80" s="711"/>
      <c r="L80" s="711"/>
      <c r="Q80" s="11"/>
      <c r="R80" s="11"/>
      <c r="S80" s="11"/>
      <c r="T80" s="11"/>
    </row>
    <row r="81" spans="8:20" x14ac:dyDescent="0.35">
      <c r="H81" s="711"/>
      <c r="I81" s="711"/>
      <c r="J81" s="711"/>
      <c r="K81" s="711"/>
      <c r="L81" s="711"/>
      <c r="Q81" s="11"/>
      <c r="R81" s="11"/>
      <c r="S81" s="11"/>
      <c r="T81" s="11"/>
    </row>
    <row r="82" spans="8:20" x14ac:dyDescent="0.35">
      <c r="H82" s="711"/>
      <c r="I82" s="711"/>
      <c r="J82" s="711"/>
      <c r="K82" s="711"/>
      <c r="L82" s="711"/>
      <c r="Q82" s="11"/>
      <c r="R82" s="11"/>
      <c r="S82" s="11"/>
      <c r="T82" s="11"/>
    </row>
    <row r="83" spans="8:20" x14ac:dyDescent="0.35">
      <c r="H83" s="711"/>
      <c r="I83" s="711"/>
      <c r="J83" s="711"/>
      <c r="K83" s="711"/>
      <c r="L83" s="711"/>
      <c r="Q83" s="11"/>
      <c r="R83" s="11"/>
      <c r="S83" s="11"/>
      <c r="T83" s="11"/>
    </row>
    <row r="84" spans="8:20" x14ac:dyDescent="0.35">
      <c r="H84" s="711"/>
      <c r="I84" s="711"/>
      <c r="J84" s="711"/>
      <c r="K84" s="711"/>
      <c r="L84" s="711"/>
      <c r="Q84" s="11"/>
      <c r="R84" s="11"/>
      <c r="S84" s="11"/>
      <c r="T84" s="11"/>
    </row>
    <row r="85" spans="8:20" x14ac:dyDescent="0.35">
      <c r="H85" s="711"/>
      <c r="I85" s="711"/>
      <c r="J85" s="711"/>
      <c r="K85" s="711"/>
      <c r="L85" s="711"/>
      <c r="Q85" s="11"/>
      <c r="R85" s="11"/>
      <c r="S85" s="11"/>
      <c r="T85" s="11"/>
    </row>
    <row r="86" spans="8:20" x14ac:dyDescent="0.35">
      <c r="H86" s="711"/>
      <c r="I86" s="711"/>
      <c r="J86" s="711"/>
      <c r="K86" s="711"/>
      <c r="L86" s="711"/>
      <c r="Q86" s="11"/>
      <c r="R86" s="11"/>
      <c r="S86" s="11"/>
      <c r="T86" s="11"/>
    </row>
    <row r="87" spans="8:20" x14ac:dyDescent="0.35">
      <c r="H87" s="711"/>
      <c r="I87" s="711"/>
      <c r="J87" s="711"/>
      <c r="K87" s="711"/>
      <c r="L87" s="711"/>
      <c r="Q87" s="11"/>
      <c r="R87" s="11"/>
      <c r="S87" s="11"/>
      <c r="T87" s="11"/>
    </row>
    <row r="88" spans="8:20" x14ac:dyDescent="0.35">
      <c r="H88" s="711"/>
      <c r="I88" s="711"/>
      <c r="J88" s="711"/>
      <c r="K88" s="711"/>
      <c r="L88" s="711"/>
      <c r="Q88" s="11"/>
      <c r="R88" s="11"/>
      <c r="S88" s="11"/>
      <c r="T88" s="11"/>
    </row>
    <row r="89" spans="8:20" x14ac:dyDescent="0.35">
      <c r="H89" s="711"/>
      <c r="I89" s="711"/>
      <c r="J89" s="711"/>
      <c r="K89" s="711"/>
      <c r="L89" s="711"/>
      <c r="Q89" s="11"/>
      <c r="R89" s="11"/>
      <c r="S89" s="11"/>
      <c r="T89" s="11"/>
    </row>
    <row r="90" spans="8:20" x14ac:dyDescent="0.35">
      <c r="H90" s="711"/>
      <c r="I90" s="711"/>
      <c r="J90" s="711"/>
      <c r="K90" s="711"/>
      <c r="L90" s="711"/>
      <c r="Q90" s="11"/>
      <c r="R90" s="11"/>
      <c r="S90" s="11"/>
      <c r="T90" s="11"/>
    </row>
    <row r="91" spans="8:20" x14ac:dyDescent="0.35">
      <c r="H91" s="711"/>
      <c r="I91" s="711"/>
      <c r="J91" s="711"/>
      <c r="K91" s="711"/>
      <c r="L91" s="711"/>
      <c r="Q91" s="11"/>
      <c r="R91" s="11"/>
      <c r="S91" s="11"/>
      <c r="T91" s="11"/>
    </row>
    <row r="92" spans="8:20" x14ac:dyDescent="0.35">
      <c r="H92" s="711"/>
      <c r="I92" s="711"/>
      <c r="J92" s="711"/>
      <c r="K92" s="711"/>
      <c r="L92" s="711"/>
      <c r="Q92" s="11"/>
      <c r="R92" s="11"/>
      <c r="S92" s="11"/>
      <c r="T92" s="11"/>
    </row>
    <row r="93" spans="8:20" x14ac:dyDescent="0.35">
      <c r="H93" s="711"/>
      <c r="I93" s="711"/>
      <c r="J93" s="711"/>
      <c r="K93" s="711"/>
      <c r="L93" s="711"/>
      <c r="Q93" s="11"/>
      <c r="R93" s="11"/>
      <c r="S93" s="11"/>
      <c r="T93" s="11"/>
    </row>
    <row r="94" spans="8:20" x14ac:dyDescent="0.35">
      <c r="H94" s="711"/>
      <c r="I94" s="711"/>
      <c r="J94" s="711"/>
      <c r="K94" s="711"/>
      <c r="L94" s="711"/>
      <c r="Q94" s="11"/>
      <c r="R94" s="11"/>
      <c r="S94" s="11"/>
      <c r="T94" s="11"/>
    </row>
    <row r="95" spans="8:20" x14ac:dyDescent="0.35">
      <c r="H95" s="711"/>
      <c r="I95" s="711"/>
      <c r="J95" s="711"/>
      <c r="K95" s="711"/>
      <c r="L95" s="711"/>
      <c r="Q95" s="11"/>
      <c r="R95" s="11"/>
      <c r="S95" s="11"/>
      <c r="T95" s="11"/>
    </row>
    <row r="96" spans="8:20" x14ac:dyDescent="0.35">
      <c r="H96" s="711"/>
      <c r="I96" s="711"/>
      <c r="J96" s="711"/>
      <c r="K96" s="711"/>
      <c r="L96" s="711"/>
      <c r="Q96" s="11"/>
      <c r="R96" s="11"/>
      <c r="S96" s="11"/>
      <c r="T96" s="11"/>
    </row>
    <row r="97" spans="8:20" x14ac:dyDescent="0.35">
      <c r="H97" s="711"/>
      <c r="I97" s="711"/>
      <c r="J97" s="711"/>
      <c r="K97" s="711"/>
      <c r="L97" s="711"/>
      <c r="Q97" s="11"/>
      <c r="R97" s="11"/>
      <c r="S97" s="11"/>
      <c r="T97" s="11"/>
    </row>
    <row r="98" spans="8:20" x14ac:dyDescent="0.35">
      <c r="H98" s="711"/>
      <c r="I98" s="711"/>
      <c r="J98" s="711"/>
      <c r="K98" s="711"/>
      <c r="L98" s="711"/>
      <c r="Q98" s="11"/>
      <c r="R98" s="11"/>
      <c r="S98" s="11"/>
      <c r="T98" s="11"/>
    </row>
    <row r="99" spans="8:20" x14ac:dyDescent="0.35">
      <c r="H99" s="711"/>
      <c r="I99" s="711"/>
      <c r="J99" s="711"/>
      <c r="K99" s="711"/>
      <c r="L99" s="711"/>
      <c r="Q99" s="11"/>
      <c r="R99" s="11"/>
      <c r="S99" s="11"/>
      <c r="T99" s="11"/>
    </row>
    <row r="100" spans="8:20" x14ac:dyDescent="0.35">
      <c r="H100" s="711"/>
      <c r="I100" s="711"/>
      <c r="J100" s="711"/>
      <c r="K100" s="711"/>
      <c r="L100" s="711"/>
      <c r="Q100" s="11"/>
      <c r="R100" s="11"/>
      <c r="S100" s="11"/>
      <c r="T100" s="11"/>
    </row>
    <row r="101" spans="8:20" x14ac:dyDescent="0.35">
      <c r="H101" s="711"/>
      <c r="I101" s="711"/>
      <c r="J101" s="711"/>
      <c r="K101" s="711"/>
      <c r="L101" s="711"/>
      <c r="Q101" s="11"/>
      <c r="R101" s="11"/>
      <c r="S101" s="11"/>
      <c r="T101" s="11"/>
    </row>
    <row r="102" spans="8:20" x14ac:dyDescent="0.35">
      <c r="H102" s="711"/>
      <c r="I102" s="711"/>
      <c r="J102" s="711"/>
      <c r="K102" s="711"/>
      <c r="L102" s="711"/>
      <c r="Q102" s="11"/>
      <c r="R102" s="11"/>
      <c r="S102" s="11"/>
      <c r="T102" s="11"/>
    </row>
    <row r="103" spans="8:20" x14ac:dyDescent="0.35">
      <c r="H103" s="711"/>
      <c r="I103" s="711"/>
      <c r="J103" s="711"/>
      <c r="K103" s="711"/>
      <c r="L103" s="711"/>
      <c r="Q103" s="11"/>
      <c r="R103" s="11"/>
      <c r="S103" s="11"/>
      <c r="T103" s="11"/>
    </row>
    <row r="104" spans="8:20" x14ac:dyDescent="0.35">
      <c r="H104" s="711"/>
      <c r="I104" s="711"/>
      <c r="J104" s="711"/>
      <c r="K104" s="711"/>
      <c r="L104" s="711"/>
      <c r="Q104" s="11"/>
      <c r="R104" s="11"/>
      <c r="S104" s="11"/>
      <c r="T104" s="11"/>
    </row>
    <row r="105" spans="8:20" x14ac:dyDescent="0.35">
      <c r="H105" s="711"/>
      <c r="I105" s="711"/>
      <c r="J105" s="711"/>
      <c r="K105" s="711"/>
      <c r="L105" s="711"/>
      <c r="Q105" s="11"/>
      <c r="R105" s="11"/>
      <c r="S105" s="11"/>
      <c r="T105" s="11"/>
    </row>
    <row r="106" spans="8:20" x14ac:dyDescent="0.35">
      <c r="H106" s="711"/>
      <c r="I106" s="711"/>
      <c r="J106" s="711"/>
      <c r="K106" s="711"/>
      <c r="L106" s="711"/>
      <c r="Q106" s="11"/>
      <c r="R106" s="11"/>
      <c r="S106" s="11"/>
      <c r="T106" s="11"/>
    </row>
    <row r="107" spans="8:20" x14ac:dyDescent="0.35">
      <c r="H107" s="711"/>
      <c r="I107" s="711"/>
      <c r="J107" s="711"/>
      <c r="K107" s="711"/>
      <c r="L107" s="711"/>
      <c r="Q107" s="11"/>
      <c r="R107" s="11"/>
      <c r="S107" s="11"/>
      <c r="T107" s="11"/>
    </row>
    <row r="108" spans="8:20" x14ac:dyDescent="0.35">
      <c r="H108" s="711"/>
      <c r="I108" s="711"/>
      <c r="J108" s="711"/>
      <c r="K108" s="711"/>
      <c r="L108" s="711"/>
      <c r="Q108" s="11"/>
      <c r="R108" s="11"/>
      <c r="S108" s="11"/>
      <c r="T108" s="11"/>
    </row>
    <row r="109" spans="8:20" x14ac:dyDescent="0.35">
      <c r="H109" s="711"/>
      <c r="I109" s="711"/>
      <c r="J109" s="711"/>
      <c r="K109" s="711"/>
      <c r="L109" s="711"/>
      <c r="Q109" s="11"/>
      <c r="R109" s="11"/>
      <c r="S109" s="11"/>
      <c r="T109" s="11"/>
    </row>
    <row r="110" spans="8:20" x14ac:dyDescent="0.35">
      <c r="H110" s="711"/>
      <c r="I110" s="711"/>
      <c r="J110" s="711"/>
      <c r="K110" s="711"/>
      <c r="L110" s="711"/>
      <c r="Q110" s="11"/>
      <c r="R110" s="11"/>
      <c r="S110" s="11"/>
      <c r="T110" s="11"/>
    </row>
    <row r="111" spans="8:20" x14ac:dyDescent="0.35">
      <c r="H111" s="711"/>
      <c r="I111" s="711"/>
      <c r="J111" s="711"/>
      <c r="K111" s="711"/>
      <c r="L111" s="711"/>
      <c r="Q111" s="11"/>
      <c r="R111" s="11"/>
      <c r="S111" s="11"/>
      <c r="T111" s="11"/>
    </row>
    <row r="112" spans="8:20" x14ac:dyDescent="0.35">
      <c r="H112" s="711"/>
      <c r="I112" s="711"/>
      <c r="J112" s="711"/>
      <c r="K112" s="711"/>
      <c r="L112" s="711"/>
      <c r="Q112" s="11"/>
      <c r="R112" s="11"/>
      <c r="S112" s="11"/>
      <c r="T112" s="11"/>
    </row>
    <row r="113" spans="8:20" x14ac:dyDescent="0.35">
      <c r="H113" s="711"/>
      <c r="I113" s="711"/>
      <c r="J113" s="711"/>
      <c r="K113" s="711"/>
      <c r="L113" s="711"/>
      <c r="Q113" s="11"/>
      <c r="R113" s="11"/>
      <c r="S113" s="11"/>
      <c r="T113" s="11"/>
    </row>
    <row r="114" spans="8:20" x14ac:dyDescent="0.35">
      <c r="H114" s="711"/>
      <c r="I114" s="711"/>
      <c r="J114" s="711"/>
      <c r="K114" s="711"/>
      <c r="L114" s="711"/>
      <c r="Q114" s="11"/>
      <c r="R114" s="11"/>
      <c r="S114" s="11"/>
      <c r="T114" s="11"/>
    </row>
    <row r="115" spans="8:20" x14ac:dyDescent="0.35">
      <c r="H115" s="711"/>
      <c r="I115" s="711"/>
      <c r="J115" s="711"/>
      <c r="K115" s="711"/>
      <c r="L115" s="711"/>
      <c r="Q115" s="11"/>
      <c r="R115" s="11"/>
      <c r="S115" s="11"/>
      <c r="T115" s="11"/>
    </row>
    <row r="116" spans="8:20" x14ac:dyDescent="0.35">
      <c r="H116" s="711"/>
      <c r="I116" s="711"/>
      <c r="J116" s="711"/>
      <c r="K116" s="711"/>
      <c r="L116" s="711"/>
      <c r="Q116" s="11"/>
      <c r="R116" s="11"/>
      <c r="S116" s="11"/>
      <c r="T116" s="11"/>
    </row>
    <row r="117" spans="8:20" x14ac:dyDescent="0.35">
      <c r="H117" s="711"/>
      <c r="I117" s="711"/>
      <c r="J117" s="711"/>
      <c r="K117" s="711"/>
      <c r="L117" s="711"/>
      <c r="Q117" s="11"/>
      <c r="R117" s="11"/>
      <c r="S117" s="11"/>
      <c r="T117" s="11"/>
    </row>
    <row r="118" spans="8:20" x14ac:dyDescent="0.35">
      <c r="H118" s="711"/>
      <c r="I118" s="711"/>
      <c r="J118" s="711"/>
      <c r="K118" s="711"/>
      <c r="L118" s="711"/>
      <c r="Q118" s="11"/>
      <c r="R118" s="11"/>
      <c r="S118" s="11"/>
      <c r="T118" s="11"/>
    </row>
    <row r="119" spans="8:20" x14ac:dyDescent="0.35">
      <c r="H119" s="711"/>
      <c r="I119" s="711"/>
      <c r="J119" s="711"/>
      <c r="K119" s="711"/>
      <c r="L119" s="711"/>
      <c r="Q119" s="11"/>
      <c r="R119" s="11"/>
      <c r="S119" s="11"/>
      <c r="T119" s="11"/>
    </row>
    <row r="120" spans="8:20" x14ac:dyDescent="0.35">
      <c r="H120" s="711"/>
      <c r="I120" s="711"/>
      <c r="J120" s="711"/>
      <c r="K120" s="711"/>
      <c r="L120" s="711"/>
      <c r="Q120" s="11"/>
      <c r="R120" s="11"/>
      <c r="S120" s="11"/>
      <c r="T120" s="11"/>
    </row>
    <row r="121" spans="8:20" x14ac:dyDescent="0.35">
      <c r="H121" s="711"/>
      <c r="I121" s="711"/>
      <c r="J121" s="711"/>
      <c r="K121" s="711"/>
      <c r="L121" s="711"/>
      <c r="Q121" s="11"/>
      <c r="R121" s="11"/>
      <c r="S121" s="11"/>
      <c r="T121" s="11"/>
    </row>
    <row r="122" spans="8:20" x14ac:dyDescent="0.35">
      <c r="H122" s="711"/>
      <c r="I122" s="711"/>
      <c r="J122" s="711"/>
      <c r="K122" s="711"/>
      <c r="L122" s="711"/>
      <c r="Q122" s="11"/>
      <c r="R122" s="11"/>
      <c r="S122" s="11"/>
      <c r="T122" s="11"/>
    </row>
    <row r="123" spans="8:20" x14ac:dyDescent="0.35">
      <c r="H123" s="711"/>
      <c r="I123" s="711"/>
      <c r="J123" s="711"/>
      <c r="K123" s="711"/>
      <c r="L123" s="711"/>
      <c r="Q123" s="11"/>
      <c r="R123" s="11"/>
      <c r="S123" s="11"/>
      <c r="T123" s="11"/>
    </row>
    <row r="124" spans="8:20" x14ac:dyDescent="0.35">
      <c r="H124" s="711"/>
      <c r="I124" s="711"/>
      <c r="J124" s="711"/>
      <c r="K124" s="711"/>
      <c r="L124" s="711"/>
      <c r="Q124" s="11"/>
      <c r="R124" s="11"/>
      <c r="S124" s="11"/>
      <c r="T124" s="11"/>
    </row>
    <row r="125" spans="8:20" x14ac:dyDescent="0.35">
      <c r="H125" s="711"/>
      <c r="I125" s="711"/>
      <c r="J125" s="711"/>
      <c r="K125" s="711"/>
      <c r="L125" s="711"/>
      <c r="Q125" s="11"/>
      <c r="R125" s="11"/>
      <c r="S125" s="11"/>
      <c r="T125" s="11"/>
    </row>
    <row r="126" spans="8:20" x14ac:dyDescent="0.35">
      <c r="H126" s="711"/>
      <c r="I126" s="711"/>
      <c r="J126" s="711"/>
      <c r="K126" s="711"/>
      <c r="L126" s="711"/>
      <c r="Q126" s="11"/>
      <c r="R126" s="11"/>
      <c r="S126" s="11"/>
      <c r="T126" s="11"/>
    </row>
    <row r="127" spans="8:20" x14ac:dyDescent="0.35">
      <c r="H127" s="711"/>
      <c r="I127" s="711"/>
      <c r="J127" s="711"/>
      <c r="K127" s="711"/>
      <c r="L127" s="711"/>
      <c r="Q127" s="11"/>
      <c r="R127" s="11"/>
      <c r="S127" s="11"/>
      <c r="T127" s="11"/>
    </row>
    <row r="128" spans="8:20" x14ac:dyDescent="0.35">
      <c r="H128" s="711"/>
      <c r="I128" s="711"/>
      <c r="J128" s="711"/>
      <c r="K128" s="711"/>
      <c r="L128" s="711"/>
      <c r="Q128" s="11"/>
      <c r="R128" s="11"/>
      <c r="S128" s="11"/>
      <c r="T128" s="11"/>
    </row>
    <row r="129" spans="8:20" x14ac:dyDescent="0.35">
      <c r="H129" s="711"/>
      <c r="I129" s="711"/>
      <c r="J129" s="711"/>
      <c r="K129" s="711"/>
      <c r="L129" s="711"/>
      <c r="Q129" s="11"/>
      <c r="R129" s="11"/>
      <c r="S129" s="11"/>
      <c r="T129" s="11"/>
    </row>
    <row r="130" spans="8:20" x14ac:dyDescent="0.35">
      <c r="H130" s="711"/>
      <c r="I130" s="711"/>
      <c r="J130" s="711"/>
      <c r="K130" s="711"/>
      <c r="L130" s="711"/>
      <c r="Q130" s="11"/>
      <c r="R130" s="11"/>
      <c r="S130" s="11"/>
      <c r="T130" s="11"/>
    </row>
    <row r="131" spans="8:20" x14ac:dyDescent="0.35">
      <c r="H131" s="711"/>
      <c r="I131" s="711"/>
      <c r="J131" s="711"/>
      <c r="K131" s="711"/>
      <c r="L131" s="711"/>
      <c r="Q131" s="11"/>
      <c r="R131" s="11"/>
      <c r="S131" s="11"/>
      <c r="T131" s="11"/>
    </row>
    <row r="132" spans="8:20" x14ac:dyDescent="0.35">
      <c r="H132" s="711"/>
      <c r="I132" s="711"/>
      <c r="J132" s="711"/>
      <c r="K132" s="711"/>
      <c r="L132" s="711"/>
      <c r="Q132" s="11"/>
      <c r="R132" s="11"/>
      <c r="S132" s="11"/>
      <c r="T132" s="11"/>
    </row>
    <row r="133" spans="8:20" x14ac:dyDescent="0.35">
      <c r="H133" s="711"/>
      <c r="I133" s="711"/>
      <c r="J133" s="711"/>
      <c r="K133" s="711"/>
      <c r="L133" s="711"/>
      <c r="Q133" s="11"/>
      <c r="R133" s="11"/>
      <c r="S133" s="11"/>
      <c r="T133" s="11"/>
    </row>
    <row r="134" spans="8:20" x14ac:dyDescent="0.35">
      <c r="H134" s="711"/>
      <c r="I134" s="711"/>
      <c r="J134" s="711"/>
      <c r="K134" s="711"/>
      <c r="L134" s="711"/>
      <c r="Q134" s="11"/>
      <c r="R134" s="11"/>
      <c r="S134" s="11"/>
      <c r="T134" s="11"/>
    </row>
    <row r="135" spans="8:20" x14ac:dyDescent="0.35">
      <c r="H135" s="711"/>
      <c r="I135" s="711"/>
      <c r="J135" s="711"/>
      <c r="K135" s="711"/>
      <c r="L135" s="711"/>
      <c r="Q135" s="11"/>
      <c r="R135" s="11"/>
      <c r="S135" s="11"/>
      <c r="T135" s="11"/>
    </row>
    <row r="136" spans="8:20" x14ac:dyDescent="0.35">
      <c r="H136" s="711"/>
      <c r="I136" s="711"/>
      <c r="J136" s="711"/>
      <c r="K136" s="711"/>
      <c r="L136" s="711"/>
      <c r="Q136" s="11"/>
      <c r="R136" s="11"/>
      <c r="S136" s="11"/>
      <c r="T136" s="11"/>
    </row>
    <row r="137" spans="8:20" x14ac:dyDescent="0.35">
      <c r="H137" s="711"/>
      <c r="I137" s="711"/>
      <c r="J137" s="711"/>
      <c r="K137" s="711"/>
      <c r="L137" s="711"/>
      <c r="Q137" s="11"/>
      <c r="R137" s="11"/>
      <c r="S137" s="11"/>
      <c r="T137" s="11"/>
    </row>
    <row r="138" spans="8:20" x14ac:dyDescent="0.35">
      <c r="H138" s="711"/>
      <c r="I138" s="711"/>
      <c r="J138" s="711"/>
      <c r="K138" s="711"/>
      <c r="L138" s="711"/>
      <c r="Q138" s="11"/>
      <c r="R138" s="11"/>
      <c r="S138" s="11"/>
      <c r="T138" s="11"/>
    </row>
    <row r="139" spans="8:20" x14ac:dyDescent="0.35">
      <c r="H139" s="711"/>
      <c r="I139" s="711"/>
      <c r="J139" s="711"/>
      <c r="K139" s="711"/>
      <c r="L139" s="711"/>
      <c r="Q139" s="11"/>
      <c r="R139" s="11"/>
      <c r="S139" s="11"/>
      <c r="T139" s="11"/>
    </row>
    <row r="140" spans="8:20" x14ac:dyDescent="0.35">
      <c r="H140" s="711"/>
      <c r="I140" s="711"/>
      <c r="J140" s="711"/>
      <c r="K140" s="711"/>
      <c r="L140" s="711"/>
      <c r="Q140" s="11"/>
      <c r="R140" s="11"/>
      <c r="S140" s="11"/>
      <c r="T140" s="11"/>
    </row>
    <row r="141" spans="8:20" x14ac:dyDescent="0.35">
      <c r="H141" s="711"/>
      <c r="I141" s="711"/>
      <c r="J141" s="711"/>
      <c r="K141" s="711"/>
      <c r="L141" s="711"/>
      <c r="Q141" s="11"/>
      <c r="R141" s="11"/>
      <c r="S141" s="11"/>
      <c r="T141" s="11"/>
    </row>
    <row r="142" spans="8:20" x14ac:dyDescent="0.35">
      <c r="H142" s="711"/>
      <c r="I142" s="711"/>
      <c r="J142" s="711"/>
      <c r="K142" s="711"/>
      <c r="L142" s="711"/>
      <c r="Q142" s="11"/>
      <c r="R142" s="11"/>
      <c r="S142" s="11"/>
      <c r="T142" s="11"/>
    </row>
    <row r="143" spans="8:20" x14ac:dyDescent="0.35">
      <c r="H143" s="711"/>
      <c r="I143" s="711"/>
      <c r="J143" s="711"/>
      <c r="K143" s="711"/>
      <c r="L143" s="711"/>
      <c r="Q143" s="11"/>
      <c r="R143" s="11"/>
      <c r="S143" s="11"/>
      <c r="T143" s="11"/>
    </row>
    <row r="144" spans="8:20" x14ac:dyDescent="0.35">
      <c r="H144" s="711"/>
      <c r="I144" s="711"/>
      <c r="J144" s="711"/>
      <c r="K144" s="711"/>
      <c r="L144" s="711"/>
      <c r="Q144" s="11"/>
      <c r="R144" s="11"/>
      <c r="S144" s="11"/>
      <c r="T144" s="11"/>
    </row>
    <row r="145" spans="8:20" x14ac:dyDescent="0.35">
      <c r="H145" s="711"/>
      <c r="I145" s="711"/>
      <c r="J145" s="711"/>
      <c r="K145" s="711"/>
      <c r="L145" s="711"/>
      <c r="Q145" s="11"/>
      <c r="R145" s="11"/>
      <c r="S145" s="11"/>
      <c r="T145" s="11"/>
    </row>
    <row r="146" spans="8:20" x14ac:dyDescent="0.35">
      <c r="H146" s="711"/>
      <c r="I146" s="711"/>
      <c r="J146" s="711"/>
      <c r="K146" s="711"/>
      <c r="L146" s="711"/>
      <c r="Q146" s="11"/>
      <c r="R146" s="11"/>
      <c r="S146" s="11"/>
      <c r="T146" s="11"/>
    </row>
    <row r="147" spans="8:20" x14ac:dyDescent="0.35">
      <c r="H147" s="711"/>
      <c r="I147" s="711"/>
      <c r="J147" s="711"/>
      <c r="K147" s="711"/>
      <c r="L147" s="711"/>
      <c r="Q147" s="11"/>
      <c r="R147" s="11"/>
      <c r="S147" s="11"/>
      <c r="T147" s="11"/>
    </row>
    <row r="148" spans="8:20" x14ac:dyDescent="0.35">
      <c r="H148" s="711"/>
      <c r="I148" s="711"/>
      <c r="J148" s="711"/>
      <c r="K148" s="711"/>
      <c r="L148" s="711"/>
      <c r="Q148" s="11"/>
      <c r="R148" s="11"/>
      <c r="S148" s="11"/>
      <c r="T148" s="11"/>
    </row>
    <row r="149" spans="8:20" x14ac:dyDescent="0.35">
      <c r="H149" s="711"/>
      <c r="I149" s="711"/>
      <c r="J149" s="711"/>
      <c r="K149" s="711"/>
      <c r="L149" s="711"/>
      <c r="Q149" s="11"/>
      <c r="R149" s="11"/>
      <c r="S149" s="11"/>
      <c r="T149" s="11"/>
    </row>
    <row r="150" spans="8:20" x14ac:dyDescent="0.35">
      <c r="H150" s="711"/>
      <c r="I150" s="711"/>
      <c r="J150" s="711"/>
      <c r="K150" s="711"/>
      <c r="L150" s="711"/>
      <c r="Q150" s="11"/>
      <c r="R150" s="11"/>
      <c r="S150" s="11"/>
      <c r="T150" s="11"/>
    </row>
    <row r="151" spans="8:20" x14ac:dyDescent="0.35">
      <c r="H151" s="711"/>
      <c r="I151" s="711"/>
      <c r="J151" s="711"/>
      <c r="K151" s="711"/>
      <c r="L151" s="711"/>
      <c r="Q151" s="11"/>
      <c r="R151" s="11"/>
      <c r="S151" s="11"/>
      <c r="T151" s="11"/>
    </row>
    <row r="152" spans="8:20" x14ac:dyDescent="0.35">
      <c r="H152" s="711"/>
      <c r="I152" s="711"/>
      <c r="J152" s="711"/>
      <c r="K152" s="711"/>
      <c r="L152" s="711"/>
      <c r="Q152" s="11"/>
      <c r="R152" s="11"/>
      <c r="S152" s="11"/>
      <c r="T152" s="11"/>
    </row>
    <row r="153" spans="8:20" x14ac:dyDescent="0.35">
      <c r="H153" s="711"/>
      <c r="I153" s="711"/>
      <c r="J153" s="711"/>
      <c r="K153" s="711"/>
      <c r="L153" s="711"/>
      <c r="Q153" s="11"/>
      <c r="R153" s="11"/>
      <c r="S153" s="11"/>
      <c r="T153" s="11"/>
    </row>
    <row r="154" spans="8:20" x14ac:dyDescent="0.35">
      <c r="H154" s="711"/>
      <c r="I154" s="711"/>
      <c r="J154" s="711"/>
      <c r="K154" s="711"/>
      <c r="L154" s="711"/>
      <c r="Q154" s="11"/>
      <c r="R154" s="11"/>
      <c r="S154" s="11"/>
      <c r="T154" s="11"/>
    </row>
    <row r="155" spans="8:20" x14ac:dyDescent="0.35">
      <c r="H155" s="711"/>
      <c r="I155" s="711"/>
      <c r="J155" s="711"/>
      <c r="K155" s="711"/>
      <c r="L155" s="711"/>
      <c r="Q155" s="11"/>
      <c r="R155" s="11"/>
      <c r="S155" s="11"/>
      <c r="T155" s="11"/>
    </row>
    <row r="156" spans="8:20" x14ac:dyDescent="0.35">
      <c r="H156" s="711"/>
      <c r="I156" s="711"/>
      <c r="J156" s="711"/>
      <c r="K156" s="711"/>
      <c r="L156" s="711"/>
      <c r="Q156" s="11"/>
      <c r="R156" s="11"/>
      <c r="S156" s="11"/>
      <c r="T156" s="11"/>
    </row>
    <row r="157" spans="8:20" x14ac:dyDescent="0.35">
      <c r="H157" s="711"/>
      <c r="I157" s="711"/>
      <c r="J157" s="711"/>
      <c r="K157" s="711"/>
      <c r="L157" s="711"/>
      <c r="Q157" s="11"/>
      <c r="R157" s="11"/>
      <c r="S157" s="11"/>
      <c r="T157" s="11"/>
    </row>
    <row r="158" spans="8:20" x14ac:dyDescent="0.35">
      <c r="H158" s="711"/>
      <c r="I158" s="711"/>
      <c r="J158" s="711"/>
      <c r="K158" s="711"/>
      <c r="L158" s="711"/>
      <c r="Q158" s="11"/>
      <c r="R158" s="11"/>
      <c r="S158" s="11"/>
      <c r="T158" s="11"/>
    </row>
    <row r="159" spans="8:20" x14ac:dyDescent="0.35">
      <c r="H159" s="711"/>
      <c r="I159" s="711"/>
      <c r="J159" s="711"/>
      <c r="K159" s="711"/>
      <c r="L159" s="711"/>
      <c r="Q159" s="11"/>
      <c r="R159" s="11"/>
      <c r="S159" s="11"/>
      <c r="T159" s="11"/>
    </row>
    <row r="160" spans="8:20" x14ac:dyDescent="0.35">
      <c r="H160" s="711"/>
      <c r="I160" s="711"/>
      <c r="J160" s="711"/>
      <c r="K160" s="711"/>
      <c r="L160" s="711"/>
      <c r="Q160" s="11"/>
      <c r="R160" s="11"/>
      <c r="S160" s="11"/>
      <c r="T160" s="11"/>
    </row>
    <row r="161" spans="8:20" x14ac:dyDescent="0.35">
      <c r="H161" s="711"/>
      <c r="I161" s="711"/>
      <c r="J161" s="711"/>
      <c r="K161" s="711"/>
      <c r="L161" s="711"/>
      <c r="Q161" s="11"/>
      <c r="R161" s="11"/>
      <c r="S161" s="11"/>
      <c r="T161" s="11"/>
    </row>
    <row r="162" spans="8:20" x14ac:dyDescent="0.35">
      <c r="H162" s="711"/>
      <c r="I162" s="711"/>
      <c r="J162" s="711"/>
      <c r="K162" s="711"/>
      <c r="L162" s="711"/>
      <c r="Q162" s="11"/>
      <c r="R162" s="11"/>
      <c r="S162" s="11"/>
      <c r="T162" s="11"/>
    </row>
    <row r="163" spans="8:20" x14ac:dyDescent="0.35">
      <c r="H163" s="711"/>
      <c r="I163" s="711"/>
      <c r="J163" s="711"/>
      <c r="K163" s="711"/>
      <c r="L163" s="711"/>
      <c r="Q163" s="11"/>
      <c r="R163" s="11"/>
      <c r="S163" s="11"/>
      <c r="T163" s="11"/>
    </row>
    <row r="164" spans="8:20" x14ac:dyDescent="0.35">
      <c r="H164" s="711"/>
      <c r="I164" s="711"/>
      <c r="J164" s="711"/>
      <c r="K164" s="711"/>
      <c r="L164" s="711"/>
      <c r="Q164" s="11"/>
      <c r="R164" s="11"/>
      <c r="S164" s="11"/>
      <c r="T164" s="11"/>
    </row>
    <row r="165" spans="8:20" x14ac:dyDescent="0.35">
      <c r="H165" s="711"/>
      <c r="I165" s="711"/>
      <c r="J165" s="711"/>
      <c r="K165" s="711"/>
      <c r="L165" s="711"/>
      <c r="Q165" s="11"/>
      <c r="R165" s="11"/>
      <c r="S165" s="11"/>
      <c r="T165" s="11"/>
    </row>
    <row r="166" spans="8:20" x14ac:dyDescent="0.35">
      <c r="H166" s="711"/>
      <c r="I166" s="711"/>
      <c r="J166" s="711"/>
      <c r="K166" s="711"/>
      <c r="L166" s="711"/>
      <c r="Q166" s="11"/>
      <c r="R166" s="11"/>
      <c r="S166" s="11"/>
      <c r="T166" s="11"/>
    </row>
    <row r="167" spans="8:20" x14ac:dyDescent="0.35">
      <c r="H167" s="711"/>
      <c r="I167" s="711"/>
      <c r="J167" s="711"/>
      <c r="K167" s="711"/>
      <c r="L167" s="711"/>
      <c r="Q167" s="11"/>
      <c r="R167" s="11"/>
      <c r="S167" s="11"/>
      <c r="T167" s="11"/>
    </row>
    <row r="168" spans="8:20" x14ac:dyDescent="0.35">
      <c r="H168" s="711"/>
      <c r="I168" s="711"/>
      <c r="J168" s="711"/>
      <c r="K168" s="711"/>
      <c r="L168" s="711"/>
      <c r="Q168" s="11"/>
      <c r="R168" s="11"/>
      <c r="S168" s="11"/>
      <c r="T168" s="11"/>
    </row>
    <row r="169" spans="8:20" x14ac:dyDescent="0.35">
      <c r="H169" s="711"/>
      <c r="I169" s="711"/>
      <c r="J169" s="711"/>
      <c r="K169" s="711"/>
      <c r="L169" s="711"/>
      <c r="Q169" s="11"/>
      <c r="R169" s="11"/>
      <c r="S169" s="11"/>
      <c r="T169" s="11"/>
    </row>
    <row r="170" spans="8:20" x14ac:dyDescent="0.35">
      <c r="H170" s="711"/>
      <c r="I170" s="711"/>
      <c r="J170" s="711"/>
      <c r="K170" s="711"/>
      <c r="L170" s="711"/>
      <c r="Q170" s="11"/>
      <c r="R170" s="11"/>
      <c r="S170" s="11"/>
      <c r="T170" s="11"/>
    </row>
    <row r="171" spans="8:20" x14ac:dyDescent="0.35">
      <c r="H171" s="711"/>
      <c r="I171" s="711"/>
      <c r="J171" s="711"/>
      <c r="K171" s="711"/>
      <c r="L171" s="711"/>
      <c r="Q171" s="11"/>
      <c r="R171" s="11"/>
      <c r="S171" s="11"/>
      <c r="T171" s="11"/>
    </row>
    <row r="172" spans="8:20" x14ac:dyDescent="0.35">
      <c r="H172" s="711"/>
      <c r="I172" s="711"/>
      <c r="J172" s="711"/>
      <c r="K172" s="711"/>
      <c r="L172" s="711"/>
      <c r="Q172" s="11"/>
      <c r="R172" s="11"/>
      <c r="S172" s="11"/>
      <c r="T172" s="11"/>
    </row>
    <row r="173" spans="8:20" x14ac:dyDescent="0.35">
      <c r="H173" s="711"/>
      <c r="I173" s="711"/>
      <c r="J173" s="711"/>
      <c r="K173" s="711"/>
      <c r="L173" s="711"/>
      <c r="Q173" s="11"/>
      <c r="R173" s="11"/>
      <c r="S173" s="11"/>
      <c r="T173" s="11"/>
    </row>
    <row r="174" spans="8:20" x14ac:dyDescent="0.35">
      <c r="H174" s="711"/>
      <c r="I174" s="711"/>
      <c r="J174" s="711"/>
      <c r="K174" s="711"/>
      <c r="L174" s="711"/>
      <c r="Q174" s="11"/>
      <c r="R174" s="11"/>
      <c r="S174" s="11"/>
      <c r="T174" s="11"/>
    </row>
    <row r="175" spans="8:20" x14ac:dyDescent="0.35">
      <c r="H175" s="711"/>
      <c r="I175" s="711"/>
      <c r="J175" s="711"/>
      <c r="K175" s="711"/>
      <c r="L175" s="711"/>
      <c r="Q175" s="11"/>
      <c r="R175" s="11"/>
      <c r="S175" s="11"/>
      <c r="T175" s="11"/>
    </row>
    <row r="176" spans="8:20" x14ac:dyDescent="0.35">
      <c r="H176" s="711"/>
      <c r="I176" s="711"/>
      <c r="J176" s="711"/>
      <c r="K176" s="711"/>
      <c r="L176" s="711"/>
      <c r="Q176" s="11"/>
      <c r="R176" s="11"/>
      <c r="S176" s="11"/>
      <c r="T176" s="11"/>
    </row>
    <row r="177" spans="8:20" x14ac:dyDescent="0.35">
      <c r="H177" s="711"/>
      <c r="I177" s="711"/>
      <c r="J177" s="711"/>
      <c r="K177" s="711"/>
      <c r="L177" s="711"/>
      <c r="Q177" s="11"/>
      <c r="R177" s="11"/>
      <c r="S177" s="11"/>
      <c r="T177" s="11"/>
    </row>
    <row r="178" spans="8:20" x14ac:dyDescent="0.35">
      <c r="H178" s="711"/>
      <c r="I178" s="711"/>
      <c r="J178" s="711"/>
      <c r="K178" s="711"/>
      <c r="L178" s="711"/>
      <c r="Q178" s="11"/>
      <c r="R178" s="11"/>
      <c r="S178" s="11"/>
      <c r="T178" s="11"/>
    </row>
    <row r="179" spans="8:20" x14ac:dyDescent="0.35">
      <c r="H179" s="711"/>
      <c r="I179" s="711"/>
      <c r="J179" s="711"/>
      <c r="K179" s="711"/>
      <c r="L179" s="711"/>
      <c r="Q179" s="11"/>
      <c r="R179" s="11"/>
      <c r="S179" s="11"/>
      <c r="T179" s="11"/>
    </row>
    <row r="180" spans="8:20" x14ac:dyDescent="0.35">
      <c r="H180" s="711"/>
      <c r="I180" s="711"/>
      <c r="J180" s="711"/>
      <c r="K180" s="711"/>
      <c r="L180" s="711"/>
      <c r="Q180" s="11"/>
      <c r="R180" s="11"/>
      <c r="S180" s="11"/>
      <c r="T180" s="11"/>
    </row>
    <row r="181" spans="8:20" x14ac:dyDescent="0.35">
      <c r="H181" s="711"/>
      <c r="I181" s="711"/>
      <c r="J181" s="711"/>
      <c r="K181" s="711"/>
      <c r="L181" s="711"/>
      <c r="Q181" s="11"/>
      <c r="R181" s="11"/>
      <c r="S181" s="11"/>
      <c r="T181" s="11"/>
    </row>
    <row r="182" spans="8:20" x14ac:dyDescent="0.35">
      <c r="H182" s="711"/>
      <c r="I182" s="711"/>
      <c r="J182" s="711"/>
      <c r="K182" s="711"/>
      <c r="L182" s="711"/>
      <c r="Q182" s="11"/>
      <c r="R182" s="11"/>
      <c r="S182" s="11"/>
      <c r="T182" s="11"/>
    </row>
    <row r="183" spans="8:20" x14ac:dyDescent="0.35">
      <c r="H183" s="711"/>
      <c r="I183" s="711"/>
      <c r="J183" s="711"/>
      <c r="K183" s="711"/>
      <c r="L183" s="711"/>
      <c r="Q183" s="11"/>
      <c r="R183" s="11"/>
      <c r="S183" s="11"/>
      <c r="T183" s="11"/>
    </row>
    <row r="184" spans="8:20" x14ac:dyDescent="0.35">
      <c r="H184" s="711"/>
      <c r="I184" s="711"/>
      <c r="J184" s="711"/>
      <c r="K184" s="711"/>
      <c r="L184" s="711"/>
      <c r="Q184" s="11"/>
      <c r="R184" s="11"/>
      <c r="S184" s="11"/>
      <c r="T184" s="11"/>
    </row>
    <row r="185" spans="8:20" x14ac:dyDescent="0.35">
      <c r="H185" s="711"/>
      <c r="I185" s="711"/>
      <c r="J185" s="711"/>
      <c r="K185" s="711"/>
      <c r="L185" s="711"/>
      <c r="Q185" s="11"/>
      <c r="R185" s="11"/>
      <c r="S185" s="11"/>
      <c r="T185" s="11"/>
    </row>
    <row r="186" spans="8:20" x14ac:dyDescent="0.35">
      <c r="H186" s="711"/>
      <c r="I186" s="711"/>
      <c r="J186" s="711"/>
      <c r="K186" s="711"/>
      <c r="L186" s="711"/>
      <c r="Q186" s="11"/>
      <c r="R186" s="11"/>
      <c r="S186" s="11"/>
      <c r="T186" s="11"/>
    </row>
    <row r="187" spans="8:20" x14ac:dyDescent="0.35">
      <c r="H187" s="711"/>
      <c r="I187" s="711"/>
      <c r="J187" s="711"/>
      <c r="K187" s="711"/>
      <c r="L187" s="711"/>
      <c r="Q187" s="11"/>
      <c r="R187" s="11"/>
      <c r="S187" s="11"/>
      <c r="T187" s="11"/>
    </row>
    <row r="188" spans="8:20" x14ac:dyDescent="0.35">
      <c r="H188" s="711"/>
      <c r="I188" s="711"/>
      <c r="J188" s="711"/>
      <c r="K188" s="711"/>
      <c r="L188" s="711"/>
      <c r="Q188" s="11"/>
      <c r="R188" s="11"/>
      <c r="S188" s="11"/>
      <c r="T188" s="11"/>
    </row>
    <row r="189" spans="8:20" x14ac:dyDescent="0.35">
      <c r="H189" s="711"/>
      <c r="I189" s="711"/>
      <c r="J189" s="711"/>
      <c r="K189" s="711"/>
      <c r="L189" s="711"/>
      <c r="Q189" s="11"/>
      <c r="R189" s="11"/>
      <c r="S189" s="11"/>
      <c r="T189" s="11"/>
    </row>
    <row r="190" spans="8:20" x14ac:dyDescent="0.35">
      <c r="H190" s="711"/>
      <c r="I190" s="711"/>
      <c r="J190" s="711"/>
      <c r="K190" s="711"/>
      <c r="L190" s="711"/>
      <c r="Q190" s="11"/>
      <c r="R190" s="11"/>
      <c r="S190" s="11"/>
      <c r="T190" s="11"/>
    </row>
    <row r="191" spans="8:20" x14ac:dyDescent="0.35">
      <c r="H191" s="711"/>
      <c r="I191" s="711"/>
      <c r="J191" s="711"/>
      <c r="K191" s="711"/>
      <c r="L191" s="711"/>
      <c r="Q191" s="11"/>
      <c r="R191" s="11"/>
      <c r="S191" s="11"/>
      <c r="T191" s="11"/>
    </row>
    <row r="192" spans="8:20" x14ac:dyDescent="0.35">
      <c r="H192" s="711"/>
      <c r="I192" s="711"/>
      <c r="J192" s="711"/>
      <c r="K192" s="711"/>
      <c r="L192" s="711"/>
      <c r="Q192" s="11"/>
      <c r="R192" s="11"/>
      <c r="S192" s="11"/>
      <c r="T192" s="11"/>
    </row>
    <row r="193" spans="8:20" x14ac:dyDescent="0.35">
      <c r="H193" s="711"/>
      <c r="I193" s="711"/>
      <c r="J193" s="711"/>
      <c r="K193" s="711"/>
      <c r="L193" s="711"/>
      <c r="Q193" s="11"/>
      <c r="R193" s="11"/>
      <c r="S193" s="11"/>
      <c r="T193" s="11"/>
    </row>
    <row r="194" spans="8:20" x14ac:dyDescent="0.35">
      <c r="H194" s="711"/>
      <c r="I194" s="711"/>
      <c r="J194" s="711"/>
      <c r="K194" s="711"/>
      <c r="L194" s="711"/>
      <c r="Q194" s="11"/>
      <c r="R194" s="11"/>
      <c r="S194" s="11"/>
      <c r="T194" s="11"/>
    </row>
    <row r="195" spans="8:20" x14ac:dyDescent="0.35">
      <c r="H195" s="711"/>
      <c r="I195" s="711"/>
      <c r="J195" s="711"/>
      <c r="K195" s="711"/>
      <c r="L195" s="711"/>
      <c r="Q195" s="11"/>
      <c r="R195" s="11"/>
      <c r="S195" s="11"/>
      <c r="T195" s="11"/>
    </row>
    <row r="196" spans="8:20" x14ac:dyDescent="0.35">
      <c r="H196" s="711"/>
      <c r="I196" s="711"/>
      <c r="J196" s="711"/>
      <c r="K196" s="711"/>
      <c r="L196" s="711"/>
      <c r="Q196" s="11"/>
      <c r="R196" s="11"/>
      <c r="S196" s="11"/>
      <c r="T196" s="11"/>
    </row>
    <row r="197" spans="8:20" x14ac:dyDescent="0.35">
      <c r="H197" s="711"/>
      <c r="I197" s="711"/>
      <c r="J197" s="711"/>
      <c r="K197" s="711"/>
      <c r="L197" s="711"/>
      <c r="Q197" s="11"/>
      <c r="R197" s="11"/>
      <c r="S197" s="11"/>
      <c r="T197" s="11"/>
    </row>
    <row r="198" spans="8:20" x14ac:dyDescent="0.35">
      <c r="H198" s="711"/>
      <c r="I198" s="711"/>
      <c r="J198" s="711"/>
      <c r="K198" s="711"/>
      <c r="L198" s="711"/>
      <c r="Q198" s="11"/>
      <c r="R198" s="11"/>
      <c r="S198" s="11"/>
      <c r="T198" s="11"/>
    </row>
    <row r="199" spans="8:20" x14ac:dyDescent="0.35">
      <c r="H199" s="711"/>
      <c r="I199" s="711"/>
      <c r="J199" s="711"/>
      <c r="K199" s="711"/>
      <c r="L199" s="711"/>
      <c r="Q199" s="11"/>
      <c r="R199" s="11"/>
      <c r="S199" s="11"/>
      <c r="T199" s="11"/>
    </row>
    <row r="200" spans="8:20" x14ac:dyDescent="0.35">
      <c r="H200" s="711"/>
      <c r="I200" s="711"/>
      <c r="J200" s="711"/>
      <c r="K200" s="711"/>
      <c r="L200" s="711"/>
      <c r="Q200" s="11"/>
      <c r="R200" s="11"/>
      <c r="S200" s="11"/>
      <c r="T200" s="11"/>
    </row>
    <row r="201" spans="8:20" x14ac:dyDescent="0.35">
      <c r="H201" s="711"/>
      <c r="I201" s="711"/>
      <c r="J201" s="711"/>
      <c r="K201" s="711"/>
      <c r="L201" s="711"/>
      <c r="Q201" s="11"/>
      <c r="R201" s="11"/>
      <c r="S201" s="11"/>
      <c r="T201" s="11"/>
    </row>
    <row r="202" spans="8:20" x14ac:dyDescent="0.35">
      <c r="H202" s="711"/>
      <c r="I202" s="711"/>
      <c r="J202" s="711"/>
      <c r="K202" s="711"/>
      <c r="L202" s="711"/>
      <c r="Q202" s="11"/>
      <c r="R202" s="11"/>
      <c r="S202" s="11"/>
      <c r="T202" s="11"/>
    </row>
    <row r="203" spans="8:20" x14ac:dyDescent="0.35">
      <c r="H203" s="711"/>
      <c r="I203" s="711"/>
      <c r="J203" s="711"/>
      <c r="K203" s="711"/>
      <c r="L203" s="711"/>
      <c r="Q203" s="11"/>
      <c r="R203" s="11"/>
      <c r="S203" s="11"/>
      <c r="T203" s="11"/>
    </row>
    <row r="204" spans="8:20" x14ac:dyDescent="0.35">
      <c r="H204" s="711"/>
      <c r="I204" s="711"/>
      <c r="J204" s="711"/>
      <c r="K204" s="711"/>
      <c r="L204" s="711"/>
      <c r="Q204" s="11"/>
      <c r="R204" s="11"/>
      <c r="S204" s="11"/>
      <c r="T204" s="11"/>
    </row>
    <row r="205" spans="8:20" x14ac:dyDescent="0.35">
      <c r="H205" s="711"/>
      <c r="I205" s="711"/>
      <c r="J205" s="711"/>
      <c r="K205" s="711"/>
      <c r="L205" s="711"/>
      <c r="Q205" s="11"/>
      <c r="R205" s="11"/>
      <c r="S205" s="11"/>
      <c r="T205" s="11"/>
    </row>
    <row r="206" spans="8:20" x14ac:dyDescent="0.35">
      <c r="H206" s="711"/>
      <c r="I206" s="711"/>
      <c r="J206" s="711"/>
      <c r="K206" s="711"/>
      <c r="L206" s="711"/>
      <c r="Q206" s="11"/>
      <c r="R206" s="11"/>
      <c r="S206" s="11"/>
      <c r="T206" s="11"/>
    </row>
    <row r="207" spans="8:20" x14ac:dyDescent="0.35">
      <c r="H207" s="711"/>
      <c r="I207" s="711"/>
      <c r="J207" s="711"/>
      <c r="K207" s="711"/>
      <c r="L207" s="711"/>
      <c r="Q207" s="11"/>
      <c r="R207" s="11"/>
      <c r="S207" s="11"/>
      <c r="T207" s="11"/>
    </row>
    <row r="208" spans="8:20" x14ac:dyDescent="0.35">
      <c r="H208" s="711"/>
      <c r="I208" s="711"/>
      <c r="J208" s="711"/>
      <c r="K208" s="711"/>
      <c r="L208" s="711"/>
      <c r="Q208" s="11"/>
      <c r="R208" s="11"/>
      <c r="S208" s="11"/>
      <c r="T208" s="11"/>
    </row>
    <row r="209" spans="8:20" x14ac:dyDescent="0.35">
      <c r="H209" s="711"/>
      <c r="I209" s="711"/>
      <c r="J209" s="711"/>
      <c r="K209" s="711"/>
      <c r="L209" s="711"/>
      <c r="Q209" s="11"/>
      <c r="R209" s="11"/>
      <c r="S209" s="11"/>
      <c r="T209" s="11"/>
    </row>
    <row r="210" spans="8:20" x14ac:dyDescent="0.35">
      <c r="H210" s="711"/>
      <c r="I210" s="711"/>
      <c r="J210" s="711"/>
      <c r="K210" s="711"/>
      <c r="L210" s="711"/>
      <c r="Q210" s="11"/>
      <c r="R210" s="11"/>
      <c r="S210" s="11"/>
      <c r="T210" s="11"/>
    </row>
    <row r="211" spans="8:20" x14ac:dyDescent="0.35">
      <c r="H211" s="711"/>
      <c r="I211" s="711"/>
      <c r="J211" s="711"/>
      <c r="K211" s="711"/>
      <c r="L211" s="711"/>
      <c r="Q211" s="11"/>
      <c r="R211" s="11"/>
      <c r="S211" s="11"/>
      <c r="T211" s="11"/>
    </row>
    <row r="212" spans="8:20" x14ac:dyDescent="0.35">
      <c r="H212" s="711"/>
      <c r="I212" s="711"/>
      <c r="J212" s="711"/>
      <c r="K212" s="711"/>
      <c r="L212" s="711"/>
      <c r="Q212" s="11"/>
      <c r="R212" s="11"/>
      <c r="S212" s="11"/>
      <c r="T212" s="11"/>
    </row>
    <row r="213" spans="8:20" x14ac:dyDescent="0.35">
      <c r="H213" s="711"/>
      <c r="I213" s="711"/>
      <c r="J213" s="711"/>
      <c r="K213" s="711"/>
      <c r="L213" s="711"/>
      <c r="Q213" s="11"/>
      <c r="R213" s="11"/>
      <c r="S213" s="11"/>
      <c r="T213" s="11"/>
    </row>
    <row r="214" spans="8:20" x14ac:dyDescent="0.35">
      <c r="H214" s="711"/>
      <c r="I214" s="711"/>
      <c r="J214" s="711"/>
      <c r="K214" s="711"/>
      <c r="L214" s="711"/>
      <c r="Q214" s="11"/>
      <c r="R214" s="11"/>
      <c r="S214" s="11"/>
      <c r="T214" s="11"/>
    </row>
    <row r="215" spans="8:20" x14ac:dyDescent="0.35">
      <c r="H215" s="711"/>
      <c r="I215" s="711"/>
      <c r="J215" s="711"/>
      <c r="K215" s="711"/>
      <c r="L215" s="711"/>
      <c r="Q215" s="11"/>
      <c r="R215" s="11"/>
      <c r="S215" s="11"/>
      <c r="T215" s="11"/>
    </row>
    <row r="216" spans="8:20" x14ac:dyDescent="0.35">
      <c r="H216" s="711"/>
      <c r="I216" s="711"/>
      <c r="J216" s="711"/>
      <c r="K216" s="711"/>
      <c r="L216" s="711"/>
      <c r="Q216" s="11"/>
      <c r="R216" s="11"/>
      <c r="S216" s="11"/>
      <c r="T216" s="11"/>
    </row>
    <row r="217" spans="8:20" x14ac:dyDescent="0.35">
      <c r="H217" s="711"/>
      <c r="I217" s="711"/>
      <c r="J217" s="711"/>
      <c r="K217" s="711"/>
      <c r="L217" s="711"/>
      <c r="Q217" s="11"/>
      <c r="R217" s="11"/>
      <c r="S217" s="11"/>
      <c r="T217" s="11"/>
    </row>
    <row r="218" spans="8:20" x14ac:dyDescent="0.35">
      <c r="H218" s="711"/>
      <c r="I218" s="711"/>
      <c r="J218" s="711"/>
      <c r="K218" s="711"/>
      <c r="L218" s="711"/>
      <c r="Q218" s="11"/>
      <c r="R218" s="11"/>
      <c r="S218" s="11"/>
      <c r="T218" s="11"/>
    </row>
    <row r="219" spans="8:20" x14ac:dyDescent="0.35">
      <c r="H219" s="711"/>
      <c r="I219" s="711"/>
      <c r="J219" s="711"/>
      <c r="K219" s="711"/>
      <c r="L219" s="711"/>
      <c r="Q219" s="11"/>
      <c r="R219" s="11"/>
      <c r="S219" s="11"/>
      <c r="T219" s="11"/>
    </row>
    <row r="220" spans="8:20" x14ac:dyDescent="0.35">
      <c r="H220" s="711"/>
      <c r="I220" s="711"/>
      <c r="J220" s="711"/>
      <c r="K220" s="711"/>
      <c r="L220" s="711"/>
      <c r="Q220" s="11"/>
      <c r="R220" s="11"/>
      <c r="S220" s="11"/>
      <c r="T220" s="11"/>
    </row>
    <row r="221" spans="8:20" x14ac:dyDescent="0.35">
      <c r="H221" s="711"/>
      <c r="I221" s="711"/>
      <c r="J221" s="711"/>
      <c r="K221" s="711"/>
      <c r="L221" s="711"/>
      <c r="Q221" s="11"/>
      <c r="R221" s="11"/>
      <c r="S221" s="11"/>
      <c r="T221" s="11"/>
    </row>
    <row r="222" spans="8:20" x14ac:dyDescent="0.35">
      <c r="H222" s="711"/>
      <c r="I222" s="711"/>
      <c r="J222" s="711"/>
      <c r="K222" s="711"/>
      <c r="L222" s="711"/>
      <c r="Q222" s="11"/>
      <c r="R222" s="11"/>
      <c r="S222" s="11"/>
      <c r="T222" s="11"/>
    </row>
    <row r="223" spans="8:20" x14ac:dyDescent="0.35">
      <c r="H223" s="711"/>
      <c r="I223" s="711"/>
      <c r="J223" s="711"/>
      <c r="K223" s="711"/>
      <c r="L223" s="711"/>
      <c r="Q223" s="11"/>
      <c r="R223" s="11"/>
      <c r="S223" s="11"/>
      <c r="T223" s="11"/>
    </row>
    <row r="224" spans="8:20" x14ac:dyDescent="0.35">
      <c r="H224" s="711"/>
      <c r="I224" s="711"/>
      <c r="J224" s="711"/>
      <c r="K224" s="711"/>
      <c r="L224" s="711"/>
      <c r="Q224" s="11"/>
      <c r="R224" s="11"/>
      <c r="S224" s="11"/>
      <c r="T224" s="11"/>
    </row>
    <row r="225" spans="8:20" x14ac:dyDescent="0.35">
      <c r="H225" s="711"/>
      <c r="I225" s="711"/>
      <c r="J225" s="711"/>
      <c r="K225" s="711"/>
      <c r="L225" s="711"/>
      <c r="Q225" s="11"/>
      <c r="R225" s="11"/>
      <c r="S225" s="11"/>
      <c r="T225" s="11"/>
    </row>
    <row r="226" spans="8:20" x14ac:dyDescent="0.35">
      <c r="H226" s="711"/>
      <c r="I226" s="711"/>
      <c r="J226" s="711"/>
      <c r="K226" s="711"/>
      <c r="L226" s="711"/>
      <c r="Q226" s="11"/>
      <c r="R226" s="11"/>
      <c r="S226" s="11"/>
      <c r="T226" s="11"/>
    </row>
    <row r="227" spans="8:20" x14ac:dyDescent="0.35">
      <c r="H227" s="711"/>
      <c r="I227" s="711"/>
      <c r="J227" s="711"/>
      <c r="K227" s="711"/>
      <c r="L227" s="711"/>
      <c r="Q227" s="11"/>
      <c r="R227" s="11"/>
      <c r="S227" s="11"/>
      <c r="T227" s="11"/>
    </row>
    <row r="228" spans="8:20" x14ac:dyDescent="0.35">
      <c r="H228" s="711"/>
      <c r="I228" s="711"/>
      <c r="J228" s="711"/>
      <c r="K228" s="711"/>
      <c r="L228" s="711"/>
      <c r="Q228" s="11"/>
      <c r="R228" s="11"/>
      <c r="S228" s="11"/>
      <c r="T228" s="11"/>
    </row>
    <row r="229" spans="8:20" x14ac:dyDescent="0.35">
      <c r="H229" s="711"/>
      <c r="I229" s="711"/>
      <c r="J229" s="711"/>
      <c r="K229" s="711"/>
      <c r="L229" s="711"/>
      <c r="Q229" s="11"/>
      <c r="R229" s="11"/>
      <c r="S229" s="11"/>
      <c r="T229" s="11"/>
    </row>
    <row r="230" spans="8:20" x14ac:dyDescent="0.35">
      <c r="H230" s="711"/>
      <c r="I230" s="711"/>
      <c r="J230" s="711"/>
      <c r="K230" s="711"/>
      <c r="L230" s="711"/>
      <c r="Q230" s="11"/>
      <c r="R230" s="11"/>
      <c r="S230" s="11"/>
      <c r="T230" s="11"/>
    </row>
    <row r="231" spans="8:20" x14ac:dyDescent="0.35">
      <c r="H231" s="711"/>
      <c r="I231" s="711"/>
      <c r="J231" s="711"/>
      <c r="K231" s="711"/>
      <c r="L231" s="711"/>
      <c r="Q231" s="11"/>
      <c r="R231" s="11"/>
      <c r="S231" s="11"/>
      <c r="T231" s="11"/>
    </row>
    <row r="232" spans="8:20" x14ac:dyDescent="0.35">
      <c r="H232" s="711"/>
      <c r="I232" s="711"/>
      <c r="J232" s="711"/>
      <c r="K232" s="711"/>
      <c r="L232" s="711"/>
      <c r="Q232" s="11"/>
      <c r="R232" s="11"/>
      <c r="S232" s="11"/>
      <c r="T232" s="11"/>
    </row>
    <row r="233" spans="8:20" x14ac:dyDescent="0.35">
      <c r="H233" s="711"/>
      <c r="I233" s="711"/>
      <c r="J233" s="711"/>
      <c r="K233" s="711"/>
      <c r="L233" s="711"/>
      <c r="Q233" s="11"/>
      <c r="R233" s="11"/>
      <c r="S233" s="11"/>
      <c r="T233" s="11"/>
    </row>
    <row r="234" spans="8:20" x14ac:dyDescent="0.35">
      <c r="H234" s="711"/>
      <c r="I234" s="711"/>
      <c r="J234" s="711"/>
      <c r="K234" s="711"/>
      <c r="L234" s="711"/>
      <c r="Q234" s="11"/>
      <c r="R234" s="11"/>
      <c r="S234" s="11"/>
      <c r="T234" s="11"/>
    </row>
    <row r="235" spans="8:20" x14ac:dyDescent="0.35">
      <c r="H235" s="711"/>
      <c r="I235" s="711"/>
      <c r="J235" s="711"/>
      <c r="K235" s="711"/>
      <c r="L235" s="711"/>
      <c r="Q235" s="11"/>
      <c r="R235" s="11"/>
      <c r="S235" s="11"/>
      <c r="T235" s="11"/>
    </row>
    <row r="236" spans="8:20" x14ac:dyDescent="0.35">
      <c r="H236" s="711"/>
      <c r="I236" s="711"/>
      <c r="J236" s="711"/>
      <c r="K236" s="711"/>
      <c r="L236" s="711"/>
      <c r="Q236" s="11"/>
      <c r="R236" s="11"/>
      <c r="S236" s="11"/>
      <c r="T236" s="11"/>
    </row>
    <row r="237" spans="8:20" x14ac:dyDescent="0.35">
      <c r="H237" s="711"/>
      <c r="I237" s="711"/>
      <c r="J237" s="711"/>
      <c r="K237" s="711"/>
      <c r="L237" s="711"/>
      <c r="Q237" s="11"/>
      <c r="R237" s="11"/>
      <c r="S237" s="11"/>
      <c r="T237" s="11"/>
    </row>
    <row r="238" spans="8:20" x14ac:dyDescent="0.35">
      <c r="H238" s="711"/>
      <c r="I238" s="711"/>
      <c r="J238" s="711"/>
      <c r="K238" s="711"/>
      <c r="L238" s="711"/>
      <c r="Q238" s="11"/>
      <c r="R238" s="11"/>
      <c r="S238" s="11"/>
      <c r="T238" s="11"/>
    </row>
    <row r="239" spans="8:20" x14ac:dyDescent="0.35">
      <c r="H239" s="711"/>
      <c r="I239" s="711"/>
      <c r="J239" s="711"/>
      <c r="K239" s="711"/>
      <c r="L239" s="711"/>
      <c r="Q239" s="11"/>
      <c r="R239" s="11"/>
      <c r="S239" s="11"/>
      <c r="T239" s="11"/>
    </row>
    <row r="240" spans="8:20" x14ac:dyDescent="0.35">
      <c r="H240" s="711"/>
      <c r="I240" s="711"/>
      <c r="J240" s="711"/>
      <c r="K240" s="711"/>
      <c r="L240" s="711"/>
      <c r="Q240" s="11"/>
      <c r="R240" s="11"/>
      <c r="S240" s="11"/>
      <c r="T240" s="11"/>
    </row>
    <row r="241" spans="8:20" x14ac:dyDescent="0.35">
      <c r="H241" s="711"/>
      <c r="I241" s="711"/>
      <c r="J241" s="711"/>
      <c r="K241" s="711"/>
      <c r="L241" s="711"/>
      <c r="Q241" s="11"/>
      <c r="R241" s="11"/>
      <c r="S241" s="11"/>
      <c r="T241" s="11"/>
    </row>
    <row r="242" spans="8:20" x14ac:dyDescent="0.35">
      <c r="H242" s="711"/>
      <c r="I242" s="711"/>
      <c r="J242" s="711"/>
      <c r="K242" s="711"/>
      <c r="L242" s="711"/>
      <c r="Q242" s="11"/>
      <c r="R242" s="11"/>
      <c r="S242" s="11"/>
      <c r="T242" s="11"/>
    </row>
    <row r="243" spans="8:20" x14ac:dyDescent="0.35">
      <c r="H243" s="711"/>
      <c r="I243" s="711"/>
      <c r="J243" s="711"/>
      <c r="K243" s="711"/>
      <c r="L243" s="711"/>
      <c r="Q243" s="11"/>
      <c r="R243" s="11"/>
      <c r="S243" s="11"/>
      <c r="T243" s="11"/>
    </row>
    <row r="244" spans="8:20" x14ac:dyDescent="0.35">
      <c r="H244" s="711"/>
      <c r="I244" s="711"/>
      <c r="J244" s="711"/>
      <c r="K244" s="711"/>
      <c r="L244" s="711"/>
      <c r="Q244" s="11"/>
      <c r="R244" s="11"/>
      <c r="S244" s="11"/>
      <c r="T244" s="11"/>
    </row>
    <row r="245" spans="8:20" x14ac:dyDescent="0.35">
      <c r="H245" s="711"/>
      <c r="I245" s="711"/>
      <c r="J245" s="711"/>
      <c r="K245" s="711"/>
      <c r="L245" s="711"/>
      <c r="Q245" s="11"/>
      <c r="R245" s="11"/>
      <c r="S245" s="11"/>
      <c r="T245" s="11"/>
    </row>
    <row r="246" spans="8:20" x14ac:dyDescent="0.35">
      <c r="H246" s="711"/>
      <c r="I246" s="711"/>
      <c r="J246" s="711"/>
      <c r="K246" s="711"/>
      <c r="L246" s="711"/>
      <c r="Q246" s="11"/>
      <c r="R246" s="11"/>
      <c r="S246" s="11"/>
      <c r="T246" s="11"/>
    </row>
    <row r="247" spans="8:20" x14ac:dyDescent="0.35">
      <c r="H247" s="711"/>
      <c r="I247" s="711"/>
      <c r="J247" s="711"/>
      <c r="K247" s="711"/>
      <c r="L247" s="711"/>
      <c r="Q247" s="11"/>
      <c r="R247" s="11"/>
      <c r="S247" s="11"/>
      <c r="T247" s="11"/>
    </row>
    <row r="248" spans="8:20" x14ac:dyDescent="0.35">
      <c r="H248" s="711"/>
      <c r="I248" s="711"/>
      <c r="J248" s="711"/>
      <c r="K248" s="711"/>
      <c r="L248" s="711"/>
      <c r="Q248" s="11"/>
      <c r="R248" s="11"/>
      <c r="S248" s="11"/>
      <c r="T248" s="11"/>
    </row>
    <row r="249" spans="8:20" x14ac:dyDescent="0.35">
      <c r="H249" s="711"/>
      <c r="I249" s="711"/>
      <c r="J249" s="711"/>
      <c r="K249" s="711"/>
      <c r="L249" s="711"/>
      <c r="Q249" s="11"/>
      <c r="R249" s="11"/>
      <c r="S249" s="11"/>
      <c r="T249" s="11"/>
    </row>
    <row r="250" spans="8:20" x14ac:dyDescent="0.35">
      <c r="H250" s="711"/>
      <c r="I250" s="711"/>
      <c r="J250" s="711"/>
      <c r="K250" s="711"/>
      <c r="L250" s="711"/>
      <c r="Q250" s="11"/>
      <c r="R250" s="11"/>
      <c r="S250" s="11"/>
      <c r="T250" s="11"/>
    </row>
    <row r="251" spans="8:20" x14ac:dyDescent="0.35">
      <c r="H251" s="711"/>
      <c r="I251" s="711"/>
      <c r="J251" s="711"/>
      <c r="K251" s="711"/>
      <c r="L251" s="711"/>
      <c r="Q251" s="11"/>
      <c r="R251" s="11"/>
      <c r="S251" s="11"/>
      <c r="T251" s="11"/>
    </row>
    <row r="252" spans="8:20" x14ac:dyDescent="0.35">
      <c r="H252" s="711"/>
      <c r="I252" s="711"/>
      <c r="J252" s="711"/>
      <c r="K252" s="711"/>
      <c r="L252" s="711"/>
      <c r="Q252" s="11"/>
      <c r="R252" s="11"/>
      <c r="S252" s="11"/>
      <c r="T252" s="11"/>
    </row>
    <row r="253" spans="8:20" x14ac:dyDescent="0.35">
      <c r="H253" s="711"/>
      <c r="I253" s="711"/>
      <c r="J253" s="711"/>
      <c r="K253" s="711"/>
      <c r="L253" s="711"/>
      <c r="Q253" s="11"/>
      <c r="R253" s="11"/>
      <c r="S253" s="11"/>
      <c r="T253" s="11"/>
    </row>
    <row r="254" spans="8:20" x14ac:dyDescent="0.35">
      <c r="H254" s="711"/>
      <c r="I254" s="711"/>
      <c r="J254" s="711"/>
      <c r="K254" s="711"/>
      <c r="L254" s="711"/>
      <c r="Q254" s="11"/>
      <c r="R254" s="11"/>
      <c r="S254" s="11"/>
      <c r="T254" s="11"/>
    </row>
    <row r="255" spans="8:20" x14ac:dyDescent="0.35">
      <c r="H255" s="711"/>
      <c r="I255" s="711"/>
      <c r="J255" s="711"/>
      <c r="K255" s="711"/>
      <c r="L255" s="711"/>
      <c r="Q255" s="11"/>
      <c r="R255" s="11"/>
      <c r="S255" s="11"/>
      <c r="T255" s="11"/>
    </row>
    <row r="256" spans="8:20" x14ac:dyDescent="0.35">
      <c r="H256" s="711"/>
      <c r="I256" s="711"/>
      <c r="J256" s="711"/>
      <c r="K256" s="711"/>
      <c r="L256" s="711"/>
      <c r="Q256" s="11"/>
      <c r="R256" s="11"/>
      <c r="S256" s="11"/>
      <c r="T256" s="11"/>
    </row>
    <row r="257" spans="8:20" x14ac:dyDescent="0.35">
      <c r="H257" s="711"/>
      <c r="I257" s="711"/>
      <c r="J257" s="711"/>
      <c r="K257" s="711"/>
      <c r="L257" s="711"/>
      <c r="Q257" s="11"/>
      <c r="R257" s="11"/>
      <c r="S257" s="11"/>
      <c r="T257" s="11"/>
    </row>
    <row r="258" spans="8:20" x14ac:dyDescent="0.35">
      <c r="H258" s="711"/>
      <c r="I258" s="711"/>
      <c r="J258" s="711"/>
      <c r="K258" s="711"/>
      <c r="L258" s="711"/>
      <c r="Q258" s="11"/>
      <c r="R258" s="11"/>
      <c r="S258" s="11"/>
      <c r="T258" s="11"/>
    </row>
    <row r="259" spans="8:20" x14ac:dyDescent="0.35">
      <c r="H259" s="711"/>
      <c r="I259" s="711"/>
      <c r="J259" s="711"/>
      <c r="K259" s="711"/>
      <c r="L259" s="711"/>
      <c r="Q259" s="11"/>
      <c r="R259" s="11"/>
      <c r="S259" s="11"/>
      <c r="T259" s="11"/>
    </row>
    <row r="260" spans="8:20" x14ac:dyDescent="0.35">
      <c r="H260" s="711"/>
      <c r="I260" s="711"/>
      <c r="J260" s="711"/>
      <c r="K260" s="711"/>
      <c r="L260" s="711"/>
      <c r="Q260" s="11"/>
      <c r="R260" s="11"/>
      <c r="S260" s="11"/>
      <c r="T260" s="11"/>
    </row>
    <row r="261" spans="8:20" x14ac:dyDescent="0.35">
      <c r="H261" s="711"/>
      <c r="I261" s="711"/>
      <c r="J261" s="711"/>
      <c r="K261" s="711"/>
      <c r="L261" s="711"/>
      <c r="Q261" s="11"/>
      <c r="R261" s="11"/>
      <c r="S261" s="11"/>
      <c r="T261" s="11"/>
    </row>
    <row r="262" spans="8:20" x14ac:dyDescent="0.35">
      <c r="H262" s="711"/>
      <c r="I262" s="711"/>
      <c r="J262" s="711"/>
      <c r="K262" s="711"/>
      <c r="L262" s="711"/>
      <c r="Q262" s="11"/>
      <c r="R262" s="11"/>
      <c r="S262" s="11"/>
      <c r="T262" s="11"/>
    </row>
    <row r="263" spans="8:20" x14ac:dyDescent="0.35">
      <c r="H263" s="711"/>
      <c r="I263" s="711"/>
      <c r="J263" s="711"/>
      <c r="K263" s="711"/>
      <c r="L263" s="711"/>
      <c r="Q263" s="11"/>
      <c r="R263" s="11"/>
      <c r="S263" s="11"/>
      <c r="T263" s="11"/>
    </row>
    <row r="264" spans="8:20" x14ac:dyDescent="0.35">
      <c r="H264" s="711"/>
      <c r="I264" s="711"/>
      <c r="J264" s="711"/>
      <c r="K264" s="711"/>
      <c r="L264" s="711"/>
      <c r="Q264" s="11"/>
      <c r="R264" s="11"/>
      <c r="S264" s="11"/>
      <c r="T264" s="11"/>
    </row>
    <row r="265" spans="8:20" x14ac:dyDescent="0.35">
      <c r="H265" s="711"/>
      <c r="I265" s="711"/>
      <c r="J265" s="711"/>
      <c r="K265" s="711"/>
      <c r="L265" s="711"/>
      <c r="Q265" s="11"/>
      <c r="R265" s="11"/>
      <c r="S265" s="11"/>
      <c r="T265" s="11"/>
    </row>
    <row r="266" spans="8:20" x14ac:dyDescent="0.35">
      <c r="H266" s="711"/>
      <c r="I266" s="711"/>
      <c r="J266" s="711"/>
      <c r="K266" s="711"/>
      <c r="L266" s="711"/>
      <c r="Q266" s="11"/>
      <c r="R266" s="11"/>
      <c r="S266" s="11"/>
      <c r="T266" s="11"/>
    </row>
    <row r="267" spans="8:20" x14ac:dyDescent="0.35">
      <c r="H267" s="711"/>
      <c r="I267" s="711"/>
      <c r="J267" s="711"/>
      <c r="K267" s="711"/>
      <c r="L267" s="711"/>
      <c r="Q267" s="11"/>
      <c r="R267" s="11"/>
      <c r="S267" s="11"/>
      <c r="T267" s="11"/>
    </row>
    <row r="268" spans="8:20" x14ac:dyDescent="0.35">
      <c r="H268" s="711"/>
      <c r="I268" s="711"/>
      <c r="J268" s="711"/>
      <c r="K268" s="711"/>
      <c r="L268" s="711"/>
      <c r="Q268" s="11"/>
      <c r="R268" s="11"/>
      <c r="S268" s="11"/>
      <c r="T268" s="11"/>
    </row>
    <row r="269" spans="8:20" x14ac:dyDescent="0.35">
      <c r="H269" s="711"/>
      <c r="I269" s="711"/>
      <c r="J269" s="711"/>
      <c r="K269" s="711"/>
      <c r="L269" s="711"/>
      <c r="Q269" s="11"/>
      <c r="R269" s="11"/>
      <c r="S269" s="11"/>
      <c r="T269" s="11"/>
    </row>
    <row r="270" spans="8:20" x14ac:dyDescent="0.35">
      <c r="H270" s="711"/>
      <c r="I270" s="711"/>
      <c r="J270" s="711"/>
      <c r="K270" s="711"/>
      <c r="L270" s="711"/>
      <c r="Q270" s="11"/>
      <c r="R270" s="11"/>
      <c r="S270" s="11"/>
      <c r="T270" s="11"/>
    </row>
    <row r="271" spans="8:20" x14ac:dyDescent="0.35">
      <c r="H271" s="711"/>
      <c r="I271" s="711"/>
      <c r="J271" s="711"/>
      <c r="K271" s="711"/>
      <c r="L271" s="711"/>
      <c r="Q271" s="11"/>
      <c r="R271" s="11"/>
      <c r="S271" s="11"/>
      <c r="T271" s="11"/>
    </row>
    <row r="272" spans="8:20" x14ac:dyDescent="0.35">
      <c r="H272" s="711"/>
      <c r="I272" s="711"/>
      <c r="J272" s="711"/>
      <c r="K272" s="711"/>
      <c r="L272" s="711"/>
      <c r="Q272" s="11"/>
      <c r="R272" s="11"/>
      <c r="S272" s="11"/>
      <c r="T272" s="11"/>
    </row>
    <row r="273" spans="8:20" x14ac:dyDescent="0.35">
      <c r="H273" s="711"/>
      <c r="I273" s="711"/>
      <c r="J273" s="711"/>
      <c r="K273" s="711"/>
      <c r="L273" s="711"/>
      <c r="Q273" s="11"/>
      <c r="R273" s="11"/>
      <c r="S273" s="11"/>
      <c r="T273" s="11"/>
    </row>
    <row r="274" spans="8:20" x14ac:dyDescent="0.35">
      <c r="H274" s="711"/>
      <c r="I274" s="711"/>
      <c r="J274" s="711"/>
      <c r="K274" s="711"/>
      <c r="L274" s="711"/>
      <c r="Q274" s="11"/>
      <c r="R274" s="11"/>
      <c r="S274" s="11"/>
      <c r="T274" s="11"/>
    </row>
    <row r="275" spans="8:20" x14ac:dyDescent="0.35">
      <c r="H275" s="711"/>
      <c r="I275" s="711"/>
      <c r="J275" s="711"/>
      <c r="K275" s="711"/>
      <c r="L275" s="711"/>
      <c r="Q275" s="11"/>
      <c r="R275" s="11"/>
      <c r="S275" s="11"/>
      <c r="T275" s="11"/>
    </row>
    <row r="276" spans="8:20" x14ac:dyDescent="0.35">
      <c r="H276" s="711"/>
      <c r="I276" s="711"/>
      <c r="J276" s="711"/>
      <c r="K276" s="711"/>
      <c r="L276" s="711"/>
      <c r="Q276" s="11"/>
      <c r="R276" s="11"/>
      <c r="S276" s="11"/>
      <c r="T276" s="11"/>
    </row>
    <row r="277" spans="8:20" x14ac:dyDescent="0.35">
      <c r="H277" s="711"/>
      <c r="I277" s="711"/>
      <c r="J277" s="711"/>
      <c r="K277" s="711"/>
      <c r="L277" s="711"/>
      <c r="Q277" s="11"/>
      <c r="R277" s="11"/>
      <c r="S277" s="11"/>
      <c r="T277" s="11"/>
    </row>
    <row r="278" spans="8:20" x14ac:dyDescent="0.35">
      <c r="H278" s="711"/>
      <c r="I278" s="711"/>
      <c r="J278" s="711"/>
      <c r="K278" s="711"/>
      <c r="L278" s="711"/>
      <c r="Q278" s="11"/>
      <c r="R278" s="11"/>
      <c r="S278" s="11"/>
      <c r="T278" s="11"/>
    </row>
    <row r="279" spans="8:20" x14ac:dyDescent="0.35">
      <c r="H279" s="711"/>
      <c r="I279" s="711"/>
      <c r="J279" s="711"/>
      <c r="K279" s="711"/>
      <c r="L279" s="711"/>
      <c r="Q279" s="11"/>
      <c r="R279" s="11"/>
      <c r="S279" s="11"/>
      <c r="T279" s="11"/>
    </row>
    <row r="280" spans="8:20" x14ac:dyDescent="0.35">
      <c r="H280" s="711"/>
      <c r="I280" s="711"/>
      <c r="J280" s="711"/>
      <c r="K280" s="711"/>
      <c r="L280" s="711"/>
      <c r="Q280" s="11"/>
      <c r="R280" s="11"/>
      <c r="S280" s="11"/>
      <c r="T280" s="11"/>
    </row>
    <row r="281" spans="8:20" x14ac:dyDescent="0.35">
      <c r="H281" s="711"/>
      <c r="I281" s="711"/>
      <c r="J281" s="711"/>
      <c r="K281" s="711"/>
      <c r="L281" s="711"/>
      <c r="Q281" s="11"/>
      <c r="R281" s="11"/>
      <c r="S281" s="11"/>
      <c r="T281" s="11"/>
    </row>
    <row r="282" spans="8:20" x14ac:dyDescent="0.35">
      <c r="H282" s="711"/>
      <c r="I282" s="711"/>
      <c r="J282" s="711"/>
      <c r="K282" s="711"/>
      <c r="L282" s="711"/>
      <c r="Q282" s="11"/>
      <c r="R282" s="11"/>
      <c r="S282" s="11"/>
      <c r="T282" s="11"/>
    </row>
    <row r="283" spans="8:20" x14ac:dyDescent="0.35">
      <c r="H283" s="711"/>
      <c r="I283" s="711"/>
      <c r="J283" s="711"/>
      <c r="K283" s="711"/>
      <c r="L283" s="711"/>
      <c r="Q283" s="11"/>
      <c r="R283" s="11"/>
      <c r="S283" s="11"/>
      <c r="T283" s="11"/>
    </row>
    <row r="284" spans="8:20" x14ac:dyDescent="0.35">
      <c r="H284" s="711"/>
      <c r="I284" s="711"/>
      <c r="J284" s="711"/>
      <c r="K284" s="711"/>
      <c r="L284" s="711"/>
      <c r="Q284" s="11"/>
      <c r="R284" s="11"/>
      <c r="S284" s="11"/>
      <c r="T284" s="11"/>
    </row>
    <row r="285" spans="8:20" x14ac:dyDescent="0.35">
      <c r="H285" s="711"/>
      <c r="I285" s="711"/>
      <c r="J285" s="711"/>
      <c r="K285" s="711"/>
      <c r="L285" s="711"/>
      <c r="Q285" s="11"/>
      <c r="R285" s="11"/>
      <c r="S285" s="11"/>
      <c r="T285" s="11"/>
    </row>
    <row r="286" spans="8:20" x14ac:dyDescent="0.35">
      <c r="H286" s="711"/>
      <c r="I286" s="711"/>
      <c r="J286" s="711"/>
      <c r="K286" s="711"/>
      <c r="L286" s="711"/>
      <c r="Q286" s="11"/>
      <c r="R286" s="11"/>
      <c r="S286" s="11"/>
      <c r="T286" s="11"/>
    </row>
    <row r="287" spans="8:20" x14ac:dyDescent="0.35">
      <c r="H287" s="711"/>
      <c r="I287" s="711"/>
      <c r="J287" s="711"/>
      <c r="K287" s="711"/>
      <c r="L287" s="711"/>
      <c r="Q287" s="11"/>
      <c r="R287" s="11"/>
      <c r="S287" s="11"/>
      <c r="T287" s="11"/>
    </row>
    <row r="288" spans="8:20" x14ac:dyDescent="0.35">
      <c r="H288" s="711"/>
      <c r="I288" s="711"/>
      <c r="J288" s="711"/>
      <c r="K288" s="711"/>
      <c r="L288" s="711"/>
      <c r="Q288" s="11"/>
      <c r="R288" s="11"/>
      <c r="S288" s="11"/>
      <c r="T288" s="11"/>
    </row>
    <row r="289" spans="8:20" x14ac:dyDescent="0.35">
      <c r="H289" s="711"/>
      <c r="I289" s="711"/>
      <c r="J289" s="711"/>
      <c r="K289" s="711"/>
      <c r="L289" s="711"/>
      <c r="Q289" s="11"/>
      <c r="R289" s="11"/>
      <c r="S289" s="11"/>
      <c r="T289" s="11"/>
    </row>
    <row r="290" spans="8:20" x14ac:dyDescent="0.35">
      <c r="H290" s="711"/>
      <c r="I290" s="711"/>
      <c r="J290" s="711"/>
      <c r="K290" s="711"/>
      <c r="L290" s="711"/>
      <c r="Q290" s="11"/>
      <c r="R290" s="11"/>
      <c r="S290" s="11"/>
      <c r="T290" s="11"/>
    </row>
    <row r="291" spans="8:20" x14ac:dyDescent="0.35">
      <c r="H291" s="711"/>
      <c r="I291" s="711"/>
      <c r="J291" s="711"/>
      <c r="K291" s="711"/>
      <c r="L291" s="711"/>
      <c r="Q291" s="11"/>
      <c r="R291" s="11"/>
      <c r="S291" s="11"/>
      <c r="T291" s="11"/>
    </row>
    <row r="292" spans="8:20" x14ac:dyDescent="0.35">
      <c r="H292" s="711"/>
      <c r="I292" s="711"/>
      <c r="J292" s="711"/>
      <c r="K292" s="711"/>
      <c r="L292" s="711"/>
      <c r="Q292" s="11"/>
      <c r="R292" s="11"/>
      <c r="S292" s="11"/>
      <c r="T292" s="11"/>
    </row>
    <row r="293" spans="8:20" x14ac:dyDescent="0.35">
      <c r="H293" s="711"/>
      <c r="I293" s="711"/>
      <c r="J293" s="711"/>
      <c r="K293" s="711"/>
      <c r="L293" s="711"/>
      <c r="Q293" s="11"/>
      <c r="R293" s="11"/>
      <c r="S293" s="11"/>
      <c r="T293" s="11"/>
    </row>
    <row r="294" spans="8:20" x14ac:dyDescent="0.35">
      <c r="H294" s="711"/>
      <c r="I294" s="711"/>
      <c r="J294" s="711"/>
      <c r="K294" s="711"/>
      <c r="L294" s="711"/>
      <c r="Q294" s="11"/>
      <c r="R294" s="11"/>
      <c r="S294" s="11"/>
      <c r="T294" s="11"/>
    </row>
    <row r="295" spans="8:20" x14ac:dyDescent="0.35">
      <c r="H295" s="711"/>
      <c r="I295" s="711"/>
      <c r="J295" s="711"/>
      <c r="K295" s="711"/>
      <c r="L295" s="711"/>
      <c r="Q295" s="11"/>
      <c r="R295" s="11"/>
      <c r="S295" s="11"/>
      <c r="T295" s="11"/>
    </row>
    <row r="296" spans="8:20" x14ac:dyDescent="0.35">
      <c r="H296" s="711"/>
      <c r="I296" s="711"/>
      <c r="J296" s="711"/>
      <c r="K296" s="711"/>
      <c r="L296" s="711"/>
      <c r="Q296" s="11"/>
      <c r="R296" s="11"/>
      <c r="S296" s="11"/>
      <c r="T296" s="11"/>
    </row>
    <row r="297" spans="8:20" x14ac:dyDescent="0.35">
      <c r="H297" s="711"/>
      <c r="I297" s="711"/>
      <c r="J297" s="711"/>
      <c r="K297" s="711"/>
      <c r="L297" s="711"/>
      <c r="Q297" s="11"/>
      <c r="R297" s="11"/>
      <c r="S297" s="11"/>
      <c r="T297" s="11"/>
    </row>
    <row r="298" spans="8:20" x14ac:dyDescent="0.35">
      <c r="H298" s="711"/>
      <c r="I298" s="711"/>
      <c r="J298" s="711"/>
      <c r="K298" s="711"/>
      <c r="L298" s="711"/>
      <c r="Q298" s="11"/>
      <c r="R298" s="11"/>
      <c r="S298" s="11"/>
      <c r="T298" s="11"/>
    </row>
    <row r="299" spans="8:20" x14ac:dyDescent="0.35">
      <c r="H299" s="711"/>
      <c r="I299" s="711"/>
      <c r="J299" s="711"/>
      <c r="K299" s="711"/>
      <c r="L299" s="711"/>
      <c r="Q299" s="11"/>
      <c r="R299" s="11"/>
      <c r="S299" s="11"/>
      <c r="T299" s="11"/>
    </row>
    <row r="300" spans="8:20" x14ac:dyDescent="0.35">
      <c r="H300" s="711"/>
      <c r="I300" s="711"/>
      <c r="J300" s="711"/>
      <c r="K300" s="711"/>
      <c r="L300" s="711"/>
      <c r="Q300" s="11"/>
      <c r="R300" s="11"/>
      <c r="S300" s="11"/>
      <c r="T300" s="11"/>
    </row>
    <row r="301" spans="8:20" x14ac:dyDescent="0.35">
      <c r="H301" s="711"/>
      <c r="I301" s="711"/>
      <c r="J301" s="711"/>
      <c r="K301" s="711"/>
      <c r="L301" s="711"/>
      <c r="Q301" s="11"/>
      <c r="R301" s="11"/>
      <c r="S301" s="11"/>
      <c r="T301" s="11"/>
    </row>
    <row r="302" spans="8:20" x14ac:dyDescent="0.35">
      <c r="H302" s="711"/>
      <c r="I302" s="711"/>
      <c r="J302" s="711"/>
      <c r="K302" s="711"/>
      <c r="L302" s="711"/>
      <c r="Q302" s="11"/>
      <c r="R302" s="11"/>
      <c r="S302" s="11"/>
      <c r="T302" s="11"/>
    </row>
    <row r="303" spans="8:20" x14ac:dyDescent="0.35">
      <c r="H303" s="711"/>
      <c r="I303" s="711"/>
      <c r="J303" s="711"/>
      <c r="K303" s="711"/>
      <c r="L303" s="711"/>
      <c r="Q303" s="11"/>
      <c r="R303" s="11"/>
      <c r="S303" s="11"/>
      <c r="T303" s="11"/>
    </row>
    <row r="304" spans="8:20" x14ac:dyDescent="0.35">
      <c r="H304" s="711"/>
      <c r="I304" s="711"/>
      <c r="J304" s="711"/>
      <c r="K304" s="711"/>
      <c r="L304" s="711"/>
      <c r="Q304" s="11"/>
      <c r="R304" s="11"/>
      <c r="S304" s="11"/>
      <c r="T304" s="11"/>
    </row>
    <row r="305" spans="8:20" x14ac:dyDescent="0.35">
      <c r="H305" s="711"/>
      <c r="I305" s="711"/>
      <c r="J305" s="711"/>
      <c r="K305" s="711"/>
      <c r="L305" s="711"/>
      <c r="Q305" s="11"/>
      <c r="R305" s="11"/>
      <c r="S305" s="11"/>
      <c r="T305" s="11"/>
    </row>
    <row r="306" spans="8:20" x14ac:dyDescent="0.35">
      <c r="H306" s="711"/>
      <c r="I306" s="711"/>
      <c r="J306" s="711"/>
      <c r="K306" s="711"/>
      <c r="L306" s="711"/>
      <c r="Q306" s="11"/>
      <c r="R306" s="11"/>
      <c r="S306" s="11"/>
      <c r="T306" s="11"/>
    </row>
    <row r="307" spans="8:20" x14ac:dyDescent="0.35">
      <c r="H307" s="711"/>
      <c r="I307" s="711"/>
      <c r="J307" s="711"/>
      <c r="K307" s="711"/>
      <c r="L307" s="711"/>
      <c r="Q307" s="11"/>
      <c r="R307" s="11"/>
      <c r="S307" s="11"/>
      <c r="T307" s="11"/>
    </row>
    <row r="308" spans="8:20" x14ac:dyDescent="0.35">
      <c r="H308" s="711"/>
      <c r="I308" s="711"/>
      <c r="J308" s="711"/>
      <c r="K308" s="711"/>
      <c r="L308" s="711"/>
      <c r="Q308" s="11"/>
      <c r="R308" s="11"/>
      <c r="S308" s="11"/>
      <c r="T308" s="11"/>
    </row>
    <row r="309" spans="8:20" x14ac:dyDescent="0.35">
      <c r="H309" s="711"/>
      <c r="I309" s="711"/>
      <c r="J309" s="711"/>
      <c r="K309" s="711"/>
      <c r="L309" s="711"/>
      <c r="Q309" s="11"/>
      <c r="R309" s="11"/>
      <c r="S309" s="11"/>
      <c r="T309" s="11"/>
    </row>
    <row r="310" spans="8:20" x14ac:dyDescent="0.35">
      <c r="H310" s="711"/>
      <c r="I310" s="711"/>
      <c r="J310" s="711"/>
      <c r="K310" s="711"/>
      <c r="L310" s="711"/>
      <c r="Q310" s="11"/>
      <c r="R310" s="11"/>
      <c r="S310" s="11"/>
      <c r="T310" s="11"/>
    </row>
    <row r="311" spans="8:20" x14ac:dyDescent="0.35">
      <c r="H311" s="711"/>
      <c r="I311" s="711"/>
      <c r="J311" s="711"/>
      <c r="K311" s="711"/>
      <c r="L311" s="711"/>
      <c r="Q311" s="11"/>
      <c r="R311" s="11"/>
      <c r="S311" s="11"/>
      <c r="T311" s="11"/>
    </row>
    <row r="312" spans="8:20" x14ac:dyDescent="0.35">
      <c r="H312" s="711"/>
      <c r="I312" s="711"/>
      <c r="J312" s="711"/>
      <c r="K312" s="711"/>
      <c r="L312" s="711"/>
      <c r="Q312" s="11"/>
      <c r="R312" s="11"/>
      <c r="S312" s="11"/>
      <c r="T312" s="11"/>
    </row>
    <row r="313" spans="8:20" x14ac:dyDescent="0.35">
      <c r="H313" s="711"/>
      <c r="I313" s="711"/>
      <c r="J313" s="711"/>
      <c r="K313" s="711"/>
      <c r="L313" s="711"/>
      <c r="Q313" s="11"/>
      <c r="R313" s="11"/>
      <c r="S313" s="11"/>
      <c r="T313" s="11"/>
    </row>
    <row r="314" spans="8:20" x14ac:dyDescent="0.35">
      <c r="H314" s="711"/>
      <c r="I314" s="711"/>
      <c r="J314" s="711"/>
      <c r="K314" s="711"/>
      <c r="L314" s="711"/>
      <c r="Q314" s="11"/>
      <c r="R314" s="11"/>
      <c r="S314" s="11"/>
      <c r="T314" s="11"/>
    </row>
    <row r="315" spans="8:20" x14ac:dyDescent="0.35">
      <c r="H315" s="711"/>
      <c r="I315" s="711"/>
      <c r="J315" s="711"/>
      <c r="K315" s="711"/>
      <c r="L315" s="711"/>
      <c r="Q315" s="11"/>
      <c r="R315" s="11"/>
      <c r="S315" s="11"/>
      <c r="T315" s="11"/>
    </row>
    <row r="316" spans="8:20" x14ac:dyDescent="0.35">
      <c r="H316" s="711"/>
      <c r="I316" s="711"/>
      <c r="J316" s="711"/>
      <c r="K316" s="711"/>
      <c r="L316" s="711"/>
      <c r="Q316" s="11"/>
      <c r="R316" s="11"/>
      <c r="S316" s="11"/>
      <c r="T316" s="11"/>
    </row>
    <row r="317" spans="8:20" x14ac:dyDescent="0.35">
      <c r="H317" s="711"/>
      <c r="I317" s="711"/>
      <c r="J317" s="711"/>
      <c r="K317" s="711"/>
      <c r="L317" s="711"/>
      <c r="Q317" s="11"/>
      <c r="R317" s="11"/>
      <c r="S317" s="11"/>
      <c r="T317" s="11"/>
    </row>
    <row r="318" spans="8:20" x14ac:dyDescent="0.35">
      <c r="H318" s="711"/>
      <c r="I318" s="711"/>
      <c r="J318" s="711"/>
      <c r="K318" s="711"/>
      <c r="L318" s="711"/>
      <c r="Q318" s="11"/>
      <c r="R318" s="11"/>
      <c r="S318" s="11"/>
      <c r="T318" s="11"/>
    </row>
    <row r="319" spans="8:20" x14ac:dyDescent="0.35">
      <c r="H319" s="711"/>
      <c r="I319" s="711"/>
      <c r="J319" s="711"/>
      <c r="K319" s="711"/>
      <c r="L319" s="711"/>
      <c r="Q319" s="11"/>
      <c r="R319" s="11"/>
      <c r="S319" s="11"/>
      <c r="T319" s="11"/>
    </row>
    <row r="320" spans="8:20" x14ac:dyDescent="0.35">
      <c r="H320" s="711"/>
      <c r="I320" s="711"/>
      <c r="J320" s="711"/>
      <c r="K320" s="711"/>
      <c r="L320" s="711"/>
      <c r="Q320" s="11"/>
      <c r="R320" s="11"/>
      <c r="S320" s="11"/>
      <c r="T320" s="11"/>
    </row>
    <row r="321" spans="8:20" x14ac:dyDescent="0.35">
      <c r="H321" s="711"/>
      <c r="I321" s="711"/>
      <c r="J321" s="711"/>
      <c r="K321" s="711"/>
      <c r="L321" s="711"/>
      <c r="Q321" s="11"/>
      <c r="R321" s="11"/>
      <c r="S321" s="11"/>
      <c r="T321" s="11"/>
    </row>
    <row r="322" spans="8:20" x14ac:dyDescent="0.35">
      <c r="H322" s="711"/>
      <c r="I322" s="711"/>
      <c r="J322" s="711"/>
      <c r="K322" s="711"/>
      <c r="L322" s="711"/>
      <c r="Q322" s="11"/>
      <c r="R322" s="11"/>
      <c r="S322" s="11"/>
      <c r="T322" s="11"/>
    </row>
    <row r="323" spans="8:20" x14ac:dyDescent="0.35">
      <c r="H323" s="711"/>
      <c r="I323" s="711"/>
      <c r="J323" s="711"/>
      <c r="K323" s="711"/>
      <c r="L323" s="711"/>
      <c r="Q323" s="11"/>
      <c r="R323" s="11"/>
      <c r="S323" s="11"/>
      <c r="T323" s="11"/>
    </row>
    <row r="324" spans="8:20" x14ac:dyDescent="0.35">
      <c r="H324" s="711"/>
      <c r="I324" s="711"/>
      <c r="J324" s="711"/>
      <c r="K324" s="711"/>
      <c r="L324" s="711"/>
      <c r="Q324" s="11"/>
      <c r="R324" s="11"/>
      <c r="S324" s="11"/>
      <c r="T324" s="11"/>
    </row>
    <row r="325" spans="8:20" x14ac:dyDescent="0.35">
      <c r="H325" s="711"/>
      <c r="I325" s="711"/>
      <c r="J325" s="711"/>
      <c r="K325" s="711"/>
      <c r="L325" s="711"/>
      <c r="Q325" s="11"/>
      <c r="R325" s="11"/>
      <c r="S325" s="11"/>
      <c r="T325" s="11"/>
    </row>
    <row r="326" spans="8:20" x14ac:dyDescent="0.35">
      <c r="H326" s="711"/>
      <c r="I326" s="711"/>
      <c r="J326" s="711"/>
      <c r="K326" s="711"/>
      <c r="L326" s="711"/>
      <c r="Q326" s="11"/>
      <c r="R326" s="11"/>
      <c r="S326" s="11"/>
      <c r="T326" s="11"/>
    </row>
    <row r="327" spans="8:20" x14ac:dyDescent="0.35">
      <c r="H327" s="711"/>
      <c r="I327" s="711"/>
      <c r="J327" s="711"/>
      <c r="K327" s="711"/>
      <c r="L327" s="711"/>
      <c r="Q327" s="11"/>
      <c r="R327" s="11"/>
      <c r="S327" s="11"/>
      <c r="T327" s="11"/>
    </row>
    <row r="328" spans="8:20" x14ac:dyDescent="0.35">
      <c r="H328" s="711"/>
      <c r="I328" s="711"/>
      <c r="J328" s="711"/>
      <c r="K328" s="711"/>
      <c r="L328" s="711"/>
      <c r="Q328" s="11"/>
      <c r="R328" s="11"/>
      <c r="S328" s="11"/>
      <c r="T328" s="11"/>
    </row>
    <row r="329" spans="8:20" x14ac:dyDescent="0.35">
      <c r="H329" s="711"/>
      <c r="I329" s="711"/>
      <c r="J329" s="711"/>
      <c r="K329" s="711"/>
      <c r="L329" s="711"/>
      <c r="Q329" s="11"/>
      <c r="R329" s="11"/>
      <c r="S329" s="11"/>
      <c r="T329" s="11"/>
    </row>
    <row r="330" spans="8:20" x14ac:dyDescent="0.35">
      <c r="H330" s="711"/>
      <c r="I330" s="711"/>
      <c r="J330" s="711"/>
      <c r="K330" s="711"/>
      <c r="L330" s="711"/>
      <c r="Q330" s="11"/>
      <c r="R330" s="11"/>
      <c r="S330" s="11"/>
      <c r="T330" s="11"/>
    </row>
    <row r="331" spans="8:20" x14ac:dyDescent="0.35">
      <c r="H331" s="711"/>
      <c r="I331" s="711"/>
      <c r="J331" s="711"/>
      <c r="K331" s="711"/>
      <c r="L331" s="711"/>
      <c r="Q331" s="11"/>
      <c r="R331" s="11"/>
      <c r="S331" s="11"/>
      <c r="T331" s="11"/>
    </row>
    <row r="332" spans="8:20" x14ac:dyDescent="0.35">
      <c r="H332" s="711"/>
      <c r="I332" s="711"/>
      <c r="J332" s="711"/>
      <c r="K332" s="711"/>
      <c r="L332" s="711"/>
      <c r="Q332" s="11"/>
      <c r="R332" s="11"/>
      <c r="S332" s="11"/>
      <c r="T332" s="11"/>
    </row>
    <row r="333" spans="8:20" x14ac:dyDescent="0.35">
      <c r="H333" s="711"/>
      <c r="I333" s="711"/>
      <c r="J333" s="711"/>
      <c r="K333" s="711"/>
      <c r="L333" s="711"/>
      <c r="Q333" s="11"/>
      <c r="R333" s="11"/>
      <c r="S333" s="11"/>
      <c r="T333" s="11"/>
    </row>
    <row r="334" spans="8:20" x14ac:dyDescent="0.35">
      <c r="H334" s="711"/>
      <c r="I334" s="711"/>
      <c r="J334" s="711"/>
      <c r="K334" s="711"/>
      <c r="L334" s="711"/>
      <c r="Q334" s="11"/>
      <c r="R334" s="11"/>
      <c r="S334" s="11"/>
      <c r="T334" s="11"/>
    </row>
    <row r="335" spans="8:20" x14ac:dyDescent="0.35">
      <c r="H335" s="711"/>
      <c r="I335" s="711"/>
      <c r="J335" s="711"/>
      <c r="K335" s="711"/>
      <c r="L335" s="711"/>
      <c r="Q335" s="11"/>
      <c r="R335" s="11"/>
      <c r="S335" s="11"/>
      <c r="T335" s="11"/>
    </row>
    <row r="336" spans="8:20" x14ac:dyDescent="0.35">
      <c r="H336" s="711"/>
      <c r="I336" s="711"/>
      <c r="J336" s="711"/>
      <c r="K336" s="711"/>
      <c r="L336" s="711"/>
      <c r="Q336" s="11"/>
      <c r="R336" s="11"/>
      <c r="S336" s="11"/>
      <c r="T336" s="11"/>
    </row>
    <row r="337" spans="8:20" x14ac:dyDescent="0.35">
      <c r="H337" s="711"/>
      <c r="I337" s="711"/>
      <c r="J337" s="711"/>
      <c r="K337" s="711"/>
      <c r="L337" s="711"/>
      <c r="Q337" s="11"/>
      <c r="R337" s="11"/>
      <c r="S337" s="11"/>
      <c r="T337" s="11"/>
    </row>
    <row r="338" spans="8:20" x14ac:dyDescent="0.35">
      <c r="H338" s="711"/>
      <c r="I338" s="711"/>
      <c r="J338" s="711"/>
      <c r="K338" s="711"/>
      <c r="L338" s="711"/>
      <c r="Q338" s="11"/>
      <c r="R338" s="11"/>
      <c r="S338" s="11"/>
      <c r="T338" s="11"/>
    </row>
    <row r="339" spans="8:20" x14ac:dyDescent="0.35">
      <c r="H339" s="711"/>
      <c r="I339" s="711"/>
      <c r="J339" s="711"/>
      <c r="K339" s="711"/>
      <c r="L339" s="711"/>
      <c r="Q339" s="11"/>
      <c r="R339" s="11"/>
      <c r="S339" s="11"/>
      <c r="T339" s="11"/>
    </row>
    <row r="340" spans="8:20" x14ac:dyDescent="0.35">
      <c r="H340" s="711"/>
      <c r="I340" s="711"/>
      <c r="J340" s="711"/>
      <c r="K340" s="711"/>
      <c r="L340" s="711"/>
      <c r="Q340" s="11"/>
      <c r="R340" s="11"/>
      <c r="S340" s="11"/>
      <c r="T340" s="11"/>
    </row>
    <row r="341" spans="8:20" x14ac:dyDescent="0.35">
      <c r="H341" s="711"/>
      <c r="I341" s="711"/>
      <c r="J341" s="711"/>
      <c r="K341" s="711"/>
      <c r="L341" s="711"/>
      <c r="Q341" s="11"/>
      <c r="R341" s="11"/>
      <c r="S341" s="11"/>
      <c r="T341" s="11"/>
    </row>
    <row r="342" spans="8:20" x14ac:dyDescent="0.35">
      <c r="H342" s="711"/>
      <c r="I342" s="711"/>
      <c r="J342" s="711"/>
      <c r="K342" s="711"/>
      <c r="L342" s="711"/>
      <c r="Q342" s="11"/>
      <c r="R342" s="11"/>
      <c r="S342" s="11"/>
      <c r="T342" s="11"/>
    </row>
    <row r="343" spans="8:20" x14ac:dyDescent="0.35">
      <c r="H343" s="711"/>
      <c r="I343" s="711"/>
      <c r="J343" s="711"/>
      <c r="K343" s="711"/>
      <c r="L343" s="711"/>
      <c r="Q343" s="11"/>
      <c r="R343" s="11"/>
      <c r="S343" s="11"/>
      <c r="T343" s="11"/>
    </row>
    <row r="344" spans="8:20" x14ac:dyDescent="0.35">
      <c r="H344" s="711"/>
      <c r="I344" s="711"/>
      <c r="J344" s="711"/>
      <c r="K344" s="711"/>
      <c r="L344" s="711"/>
      <c r="Q344" s="11"/>
      <c r="R344" s="11"/>
      <c r="S344" s="11"/>
      <c r="T344" s="11"/>
    </row>
    <row r="345" spans="8:20" x14ac:dyDescent="0.35">
      <c r="H345" s="711"/>
      <c r="I345" s="711"/>
      <c r="J345" s="711"/>
      <c r="K345" s="711"/>
      <c r="L345" s="711"/>
      <c r="Q345" s="11"/>
      <c r="R345" s="11"/>
      <c r="S345" s="11"/>
      <c r="T345" s="11"/>
    </row>
    <row r="346" spans="8:20" x14ac:dyDescent="0.35">
      <c r="H346" s="711"/>
      <c r="I346" s="711"/>
      <c r="J346" s="711"/>
      <c r="K346" s="711"/>
      <c r="L346" s="711"/>
      <c r="Q346" s="11"/>
      <c r="R346" s="11"/>
      <c r="S346" s="11"/>
      <c r="T346" s="11"/>
    </row>
    <row r="347" spans="8:20" x14ac:dyDescent="0.35">
      <c r="H347" s="711"/>
      <c r="I347" s="711"/>
      <c r="J347" s="711"/>
      <c r="K347" s="711"/>
      <c r="L347" s="711"/>
      <c r="Q347" s="11"/>
      <c r="R347" s="11"/>
      <c r="S347" s="11"/>
      <c r="T347" s="11"/>
    </row>
    <row r="348" spans="8:20" x14ac:dyDescent="0.35">
      <c r="H348" s="711"/>
      <c r="I348" s="711"/>
      <c r="J348" s="711"/>
      <c r="K348" s="711"/>
      <c r="L348" s="711"/>
      <c r="Q348" s="11"/>
      <c r="R348" s="11"/>
      <c r="S348" s="11"/>
      <c r="T348" s="11"/>
    </row>
    <row r="349" spans="8:20" x14ac:dyDescent="0.35">
      <c r="H349" s="711"/>
      <c r="I349" s="711"/>
      <c r="J349" s="711"/>
      <c r="K349" s="711"/>
      <c r="L349" s="711"/>
      <c r="Q349" s="11"/>
      <c r="R349" s="11"/>
      <c r="S349" s="11"/>
      <c r="T349" s="11"/>
    </row>
    <row r="350" spans="8:20" x14ac:dyDescent="0.35">
      <c r="H350" s="711"/>
      <c r="I350" s="711"/>
      <c r="J350" s="711"/>
      <c r="K350" s="711"/>
      <c r="L350" s="711"/>
      <c r="Q350" s="11"/>
      <c r="R350" s="11"/>
      <c r="S350" s="11"/>
      <c r="T350" s="11"/>
    </row>
    <row r="351" spans="8:20" x14ac:dyDescent="0.35">
      <c r="H351" s="711"/>
      <c r="I351" s="711"/>
      <c r="J351" s="711"/>
      <c r="K351" s="711"/>
      <c r="L351" s="711"/>
      <c r="Q351" s="11"/>
      <c r="R351" s="11"/>
      <c r="S351" s="11"/>
      <c r="T351" s="11"/>
    </row>
    <row r="352" spans="8:20" x14ac:dyDescent="0.35">
      <c r="H352" s="711"/>
      <c r="I352" s="711"/>
      <c r="J352" s="711"/>
      <c r="K352" s="711"/>
      <c r="L352" s="711"/>
      <c r="Q352" s="11"/>
      <c r="R352" s="11"/>
      <c r="S352" s="11"/>
      <c r="T352" s="11"/>
    </row>
    <row r="353" spans="8:20" x14ac:dyDescent="0.35">
      <c r="H353" s="711"/>
      <c r="I353" s="711"/>
      <c r="J353" s="711"/>
      <c r="K353" s="711"/>
      <c r="L353" s="711"/>
      <c r="Q353" s="11"/>
      <c r="R353" s="11"/>
      <c r="S353" s="11"/>
      <c r="T353" s="11"/>
    </row>
    <row r="354" spans="8:20" x14ac:dyDescent="0.35">
      <c r="H354" s="711"/>
      <c r="I354" s="711"/>
      <c r="J354" s="711"/>
      <c r="K354" s="711"/>
      <c r="L354" s="711"/>
      <c r="Q354" s="11"/>
      <c r="R354" s="11"/>
      <c r="S354" s="11"/>
      <c r="T354" s="11"/>
    </row>
    <row r="355" spans="8:20" x14ac:dyDescent="0.35">
      <c r="H355" s="711"/>
      <c r="I355" s="711"/>
      <c r="J355" s="711"/>
      <c r="K355" s="711"/>
      <c r="L355" s="711"/>
      <c r="Q355" s="11"/>
      <c r="R355" s="11"/>
      <c r="S355" s="11"/>
      <c r="T355" s="11"/>
    </row>
    <row r="356" spans="8:20" x14ac:dyDescent="0.35">
      <c r="H356" s="711"/>
      <c r="I356" s="711"/>
      <c r="J356" s="711"/>
      <c r="K356" s="711"/>
      <c r="L356" s="711"/>
      <c r="Q356" s="11"/>
      <c r="R356" s="11"/>
      <c r="S356" s="11"/>
      <c r="T356" s="11"/>
    </row>
    <row r="357" spans="8:20" x14ac:dyDescent="0.35">
      <c r="H357" s="711"/>
      <c r="I357" s="711"/>
      <c r="J357" s="711"/>
      <c r="K357" s="711"/>
      <c r="L357" s="711"/>
      <c r="Q357" s="11"/>
      <c r="R357" s="11"/>
      <c r="S357" s="11"/>
      <c r="T357" s="11"/>
    </row>
    <row r="358" spans="8:20" x14ac:dyDescent="0.35">
      <c r="H358" s="711"/>
      <c r="I358" s="711"/>
      <c r="J358" s="711"/>
      <c r="K358" s="711"/>
      <c r="L358" s="711"/>
      <c r="Q358" s="11"/>
      <c r="R358" s="11"/>
      <c r="S358" s="11"/>
      <c r="T358" s="11"/>
    </row>
    <row r="359" spans="8:20" x14ac:dyDescent="0.35">
      <c r="H359" s="711"/>
      <c r="I359" s="711"/>
      <c r="J359" s="711"/>
      <c r="K359" s="711"/>
      <c r="L359" s="711"/>
      <c r="Q359" s="11"/>
      <c r="R359" s="11"/>
      <c r="S359" s="11"/>
      <c r="T359" s="11"/>
    </row>
    <row r="360" spans="8:20" x14ac:dyDescent="0.35">
      <c r="H360" s="711"/>
      <c r="I360" s="711"/>
      <c r="J360" s="711"/>
      <c r="K360" s="711"/>
      <c r="L360" s="711"/>
      <c r="Q360" s="11"/>
      <c r="R360" s="11"/>
      <c r="S360" s="11"/>
      <c r="T360" s="11"/>
    </row>
    <row r="361" spans="8:20" x14ac:dyDescent="0.35">
      <c r="H361" s="711"/>
      <c r="I361" s="711"/>
      <c r="J361" s="711"/>
      <c r="K361" s="711"/>
      <c r="L361" s="711"/>
      <c r="Q361" s="11"/>
      <c r="R361" s="11"/>
      <c r="S361" s="11"/>
      <c r="T361" s="11"/>
    </row>
    <row r="362" spans="8:20" x14ac:dyDescent="0.35">
      <c r="H362" s="711"/>
      <c r="I362" s="711"/>
      <c r="J362" s="711"/>
      <c r="K362" s="711"/>
      <c r="L362" s="711"/>
      <c r="Q362" s="11"/>
      <c r="R362" s="11"/>
      <c r="S362" s="11"/>
      <c r="T362" s="11"/>
    </row>
    <row r="363" spans="8:20" x14ac:dyDescent="0.35">
      <c r="H363" s="711"/>
      <c r="I363" s="711"/>
      <c r="J363" s="711"/>
      <c r="K363" s="711"/>
      <c r="L363" s="711"/>
      <c r="Q363" s="11"/>
      <c r="R363" s="11"/>
      <c r="S363" s="11"/>
      <c r="T363" s="11"/>
    </row>
    <row r="364" spans="8:20" x14ac:dyDescent="0.35">
      <c r="H364" s="711"/>
      <c r="I364" s="711"/>
      <c r="J364" s="711"/>
      <c r="K364" s="711"/>
      <c r="L364" s="711"/>
      <c r="Q364" s="11"/>
      <c r="R364" s="11"/>
      <c r="S364" s="11"/>
      <c r="T364" s="11"/>
    </row>
    <row r="365" spans="8:20" x14ac:dyDescent="0.35">
      <c r="H365" s="711"/>
      <c r="I365" s="711"/>
      <c r="J365" s="711"/>
      <c r="K365" s="711"/>
      <c r="L365" s="711"/>
      <c r="Q365" s="11"/>
      <c r="R365" s="11"/>
      <c r="S365" s="11"/>
      <c r="T365" s="11"/>
    </row>
    <row r="366" spans="8:20" x14ac:dyDescent="0.35">
      <c r="H366" s="711"/>
      <c r="I366" s="711"/>
      <c r="J366" s="711"/>
      <c r="K366" s="711"/>
      <c r="L366" s="711"/>
      <c r="Q366" s="11"/>
      <c r="R366" s="11"/>
      <c r="S366" s="11"/>
      <c r="T366" s="11"/>
    </row>
    <row r="367" spans="8:20" x14ac:dyDescent="0.35">
      <c r="H367" s="711"/>
      <c r="I367" s="711"/>
      <c r="J367" s="711"/>
      <c r="K367" s="711"/>
      <c r="L367" s="711"/>
      <c r="Q367" s="11"/>
      <c r="R367" s="11"/>
      <c r="S367" s="11"/>
      <c r="T367" s="11"/>
    </row>
    <row r="368" spans="8:20" x14ac:dyDescent="0.35">
      <c r="H368" s="711"/>
      <c r="I368" s="711"/>
      <c r="J368" s="711"/>
      <c r="K368" s="711"/>
      <c r="L368" s="711"/>
      <c r="Q368" s="11"/>
      <c r="R368" s="11"/>
      <c r="S368" s="11"/>
      <c r="T368" s="11"/>
    </row>
    <row r="369" spans="8:20" x14ac:dyDescent="0.35">
      <c r="H369" s="711"/>
      <c r="I369" s="711"/>
      <c r="J369" s="711"/>
      <c r="K369" s="711"/>
      <c r="L369" s="711"/>
      <c r="Q369" s="11"/>
      <c r="R369" s="11"/>
      <c r="S369" s="11"/>
      <c r="T369" s="11"/>
    </row>
    <row r="370" spans="8:20" x14ac:dyDescent="0.35">
      <c r="H370" s="711"/>
      <c r="I370" s="711"/>
      <c r="J370" s="711"/>
      <c r="K370" s="711"/>
      <c r="L370" s="711"/>
      <c r="Q370" s="11"/>
      <c r="R370" s="11"/>
      <c r="S370" s="11"/>
      <c r="T370" s="11"/>
    </row>
    <row r="371" spans="8:20" x14ac:dyDescent="0.35">
      <c r="H371" s="711"/>
      <c r="I371" s="711"/>
      <c r="J371" s="711"/>
      <c r="K371" s="711"/>
      <c r="L371" s="711"/>
      <c r="Q371" s="11"/>
      <c r="R371" s="11"/>
      <c r="S371" s="11"/>
      <c r="T371" s="11"/>
    </row>
    <row r="372" spans="8:20" x14ac:dyDescent="0.35">
      <c r="H372" s="711"/>
      <c r="I372" s="711"/>
      <c r="J372" s="711"/>
      <c r="K372" s="711"/>
      <c r="L372" s="711"/>
      <c r="Q372" s="11"/>
      <c r="R372" s="11"/>
      <c r="S372" s="11"/>
      <c r="T372" s="11"/>
    </row>
    <row r="373" spans="8:20" x14ac:dyDescent="0.35">
      <c r="H373" s="711"/>
      <c r="I373" s="711"/>
      <c r="J373" s="711"/>
      <c r="K373" s="711"/>
      <c r="L373" s="711"/>
      <c r="Q373" s="11"/>
      <c r="R373" s="11"/>
      <c r="S373" s="11"/>
      <c r="T373" s="11"/>
    </row>
    <row r="374" spans="8:20" x14ac:dyDescent="0.35">
      <c r="H374" s="711"/>
      <c r="I374" s="711"/>
      <c r="J374" s="711"/>
      <c r="K374" s="711"/>
      <c r="L374" s="711"/>
      <c r="Q374" s="11"/>
      <c r="R374" s="11"/>
      <c r="S374" s="11"/>
      <c r="T374" s="11"/>
    </row>
    <row r="375" spans="8:20" x14ac:dyDescent="0.35">
      <c r="H375" s="711"/>
      <c r="I375" s="711"/>
      <c r="J375" s="711"/>
      <c r="K375" s="711"/>
      <c r="L375" s="711"/>
      <c r="Q375" s="11"/>
      <c r="R375" s="11"/>
      <c r="S375" s="11"/>
      <c r="T375" s="11"/>
    </row>
    <row r="376" spans="8:20" x14ac:dyDescent="0.35">
      <c r="H376" s="711"/>
      <c r="I376" s="711"/>
      <c r="J376" s="711"/>
      <c r="K376" s="711"/>
      <c r="L376" s="711"/>
      <c r="Q376" s="11"/>
      <c r="R376" s="11"/>
      <c r="S376" s="11"/>
      <c r="T376" s="11"/>
    </row>
    <row r="377" spans="8:20" x14ac:dyDescent="0.35">
      <c r="H377" s="711"/>
      <c r="I377" s="711"/>
      <c r="J377" s="711"/>
      <c r="K377" s="711"/>
      <c r="L377" s="711"/>
      <c r="Q377" s="11"/>
      <c r="R377" s="11"/>
      <c r="S377" s="11"/>
      <c r="T377" s="11"/>
    </row>
    <row r="378" spans="8:20" x14ac:dyDescent="0.35">
      <c r="H378" s="711"/>
      <c r="I378" s="711"/>
      <c r="J378" s="711"/>
      <c r="K378" s="711"/>
      <c r="L378" s="711"/>
      <c r="Q378" s="11"/>
      <c r="R378" s="11"/>
      <c r="S378" s="11"/>
      <c r="T378" s="11"/>
    </row>
    <row r="379" spans="8:20" x14ac:dyDescent="0.35">
      <c r="H379" s="711"/>
      <c r="I379" s="711"/>
      <c r="J379" s="711"/>
      <c r="K379" s="711"/>
      <c r="L379" s="711"/>
      <c r="Q379" s="11"/>
      <c r="R379" s="11"/>
      <c r="S379" s="11"/>
      <c r="T379" s="11"/>
    </row>
    <row r="380" spans="8:20" x14ac:dyDescent="0.35">
      <c r="H380" s="711"/>
      <c r="I380" s="711"/>
      <c r="J380" s="711"/>
      <c r="K380" s="711"/>
      <c r="L380" s="711"/>
      <c r="Q380" s="11"/>
      <c r="R380" s="11"/>
      <c r="S380" s="11"/>
      <c r="T380" s="11"/>
    </row>
    <row r="381" spans="8:20" x14ac:dyDescent="0.35">
      <c r="H381" s="711"/>
      <c r="I381" s="711"/>
      <c r="J381" s="711"/>
      <c r="K381" s="711"/>
      <c r="L381" s="711"/>
      <c r="Q381" s="11"/>
      <c r="R381" s="11"/>
      <c r="S381" s="11"/>
      <c r="T381" s="11"/>
    </row>
    <row r="382" spans="8:20" x14ac:dyDescent="0.35">
      <c r="H382" s="711"/>
      <c r="I382" s="711"/>
      <c r="J382" s="711"/>
      <c r="K382" s="711"/>
      <c r="L382" s="711"/>
      <c r="Q382" s="11"/>
      <c r="R382" s="11"/>
      <c r="S382" s="11"/>
      <c r="T382" s="11"/>
    </row>
    <row r="383" spans="8:20" x14ac:dyDescent="0.35">
      <c r="H383" s="711"/>
      <c r="I383" s="711"/>
      <c r="J383" s="711"/>
      <c r="K383" s="711"/>
      <c r="L383" s="711"/>
      <c r="Q383" s="11"/>
      <c r="R383" s="11"/>
      <c r="S383" s="11"/>
      <c r="T383" s="11"/>
    </row>
    <row r="384" spans="8:20" x14ac:dyDescent="0.35">
      <c r="H384" s="711"/>
      <c r="I384" s="711"/>
      <c r="J384" s="711"/>
      <c r="K384" s="711"/>
      <c r="L384" s="711"/>
      <c r="Q384" s="11"/>
      <c r="R384" s="11"/>
      <c r="S384" s="11"/>
      <c r="T384" s="11"/>
    </row>
    <row r="385" spans="8:20" x14ac:dyDescent="0.35">
      <c r="H385" s="711"/>
      <c r="I385" s="711"/>
      <c r="J385" s="711"/>
      <c r="K385" s="711"/>
      <c r="L385" s="711"/>
      <c r="Q385" s="11"/>
      <c r="R385" s="11"/>
      <c r="S385" s="11"/>
      <c r="T385" s="11"/>
    </row>
    <row r="386" spans="8:20" x14ac:dyDescent="0.35">
      <c r="H386" s="711"/>
      <c r="I386" s="711"/>
      <c r="J386" s="711"/>
      <c r="K386" s="711"/>
      <c r="L386" s="711"/>
      <c r="Q386" s="11"/>
      <c r="R386" s="11"/>
      <c r="S386" s="11"/>
      <c r="T386" s="11"/>
    </row>
    <row r="387" spans="8:20" x14ac:dyDescent="0.35">
      <c r="H387" s="711"/>
      <c r="I387" s="711"/>
      <c r="J387" s="711"/>
      <c r="K387" s="711"/>
      <c r="L387" s="711"/>
      <c r="Q387" s="11"/>
      <c r="R387" s="11"/>
      <c r="S387" s="11"/>
      <c r="T387" s="11"/>
    </row>
    <row r="388" spans="8:20" x14ac:dyDescent="0.35">
      <c r="H388" s="711"/>
      <c r="I388" s="711"/>
      <c r="J388" s="711"/>
      <c r="K388" s="711"/>
      <c r="L388" s="711"/>
      <c r="Q388" s="11"/>
      <c r="R388" s="11"/>
      <c r="S388" s="11"/>
      <c r="T388" s="11"/>
    </row>
    <row r="389" spans="8:20" x14ac:dyDescent="0.35">
      <c r="H389" s="711"/>
      <c r="I389" s="711"/>
      <c r="J389" s="711"/>
      <c r="K389" s="711"/>
      <c r="L389" s="711"/>
      <c r="Q389" s="11"/>
      <c r="R389" s="11"/>
      <c r="S389" s="11"/>
      <c r="T389" s="11"/>
    </row>
    <row r="390" spans="8:20" x14ac:dyDescent="0.35">
      <c r="H390" s="711"/>
      <c r="I390" s="711"/>
      <c r="J390" s="711"/>
      <c r="K390" s="711"/>
      <c r="L390" s="711"/>
      <c r="Q390" s="11"/>
      <c r="R390" s="11"/>
      <c r="S390" s="11"/>
      <c r="T390" s="11"/>
    </row>
    <row r="391" spans="8:20" x14ac:dyDescent="0.35">
      <c r="H391" s="711"/>
      <c r="I391" s="711"/>
      <c r="J391" s="711"/>
      <c r="K391" s="711"/>
      <c r="L391" s="711"/>
      <c r="Q391" s="11"/>
      <c r="R391" s="11"/>
      <c r="S391" s="11"/>
      <c r="T391" s="11"/>
    </row>
    <row r="392" spans="8:20" x14ac:dyDescent="0.35">
      <c r="H392" s="711"/>
      <c r="I392" s="711"/>
      <c r="J392" s="711"/>
      <c r="K392" s="711"/>
      <c r="L392" s="711"/>
      <c r="Q392" s="11"/>
      <c r="R392" s="11"/>
      <c r="S392" s="11"/>
      <c r="T392" s="11"/>
    </row>
    <row r="393" spans="8:20" x14ac:dyDescent="0.35">
      <c r="H393" s="711"/>
      <c r="I393" s="711"/>
      <c r="J393" s="711"/>
      <c r="K393" s="711"/>
      <c r="L393" s="711"/>
      <c r="Q393" s="11"/>
      <c r="R393" s="11"/>
      <c r="S393" s="11"/>
      <c r="T393" s="11"/>
    </row>
    <row r="394" spans="8:20" x14ac:dyDescent="0.35">
      <c r="H394" s="711"/>
      <c r="I394" s="711"/>
      <c r="J394" s="711"/>
      <c r="K394" s="711"/>
      <c r="L394" s="711"/>
      <c r="Q394" s="11"/>
      <c r="R394" s="11"/>
      <c r="S394" s="11"/>
      <c r="T394" s="11"/>
    </row>
    <row r="395" spans="8:20" x14ac:dyDescent="0.35">
      <c r="H395" s="711"/>
      <c r="I395" s="711"/>
      <c r="J395" s="711"/>
      <c r="K395" s="711"/>
      <c r="L395" s="711"/>
      <c r="Q395" s="11"/>
      <c r="R395" s="11"/>
      <c r="S395" s="11"/>
      <c r="T395" s="11"/>
    </row>
    <row r="396" spans="8:20" x14ac:dyDescent="0.35">
      <c r="H396" s="711"/>
      <c r="I396" s="711"/>
      <c r="J396" s="711"/>
      <c r="K396" s="711"/>
      <c r="L396" s="711"/>
      <c r="Q396" s="11"/>
      <c r="R396" s="11"/>
      <c r="S396" s="11"/>
      <c r="T396" s="11"/>
    </row>
    <row r="397" spans="8:20" x14ac:dyDescent="0.35">
      <c r="H397" s="711"/>
      <c r="I397" s="711"/>
      <c r="J397" s="711"/>
      <c r="K397" s="711"/>
      <c r="L397" s="711"/>
      <c r="Q397" s="11"/>
      <c r="R397" s="11"/>
      <c r="S397" s="11"/>
      <c r="T397" s="11"/>
    </row>
    <row r="398" spans="8:20" x14ac:dyDescent="0.35">
      <c r="H398" s="711"/>
      <c r="I398" s="711"/>
      <c r="J398" s="711"/>
      <c r="K398" s="711"/>
      <c r="L398" s="711"/>
      <c r="Q398" s="11"/>
      <c r="R398" s="11"/>
      <c r="S398" s="11"/>
      <c r="T398" s="11"/>
    </row>
    <row r="399" spans="8:20" x14ac:dyDescent="0.35">
      <c r="H399" s="711"/>
      <c r="I399" s="711"/>
      <c r="J399" s="711"/>
      <c r="K399" s="711"/>
      <c r="L399" s="711"/>
      <c r="Q399" s="11"/>
      <c r="R399" s="11"/>
      <c r="S399" s="11"/>
      <c r="T399" s="11"/>
    </row>
    <row r="400" spans="8:20" x14ac:dyDescent="0.35">
      <c r="H400" s="711"/>
      <c r="I400" s="711"/>
      <c r="J400" s="711"/>
      <c r="K400" s="711"/>
      <c r="L400" s="711"/>
      <c r="Q400" s="11"/>
      <c r="R400" s="11"/>
      <c r="S400" s="11"/>
      <c r="T400" s="11"/>
    </row>
    <row r="401" spans="8:20" x14ac:dyDescent="0.35">
      <c r="H401" s="711"/>
      <c r="I401" s="711"/>
      <c r="J401" s="711"/>
      <c r="K401" s="711"/>
      <c r="L401" s="711"/>
      <c r="Q401" s="11"/>
      <c r="R401" s="11"/>
      <c r="S401" s="11"/>
      <c r="T401" s="11"/>
    </row>
    <row r="402" spans="8:20" x14ac:dyDescent="0.35">
      <c r="H402" s="711"/>
      <c r="I402" s="711"/>
      <c r="J402" s="711"/>
      <c r="K402" s="711"/>
      <c r="L402" s="711"/>
      <c r="Q402" s="11"/>
      <c r="R402" s="11"/>
      <c r="S402" s="11"/>
      <c r="T402" s="11"/>
    </row>
    <row r="403" spans="8:20" x14ac:dyDescent="0.35">
      <c r="H403" s="711"/>
      <c r="I403" s="711"/>
      <c r="J403" s="711"/>
      <c r="K403" s="711"/>
      <c r="L403" s="711"/>
      <c r="Q403" s="11"/>
      <c r="R403" s="11"/>
      <c r="S403" s="11"/>
      <c r="T403" s="11"/>
    </row>
    <row r="404" spans="8:20" x14ac:dyDescent="0.35">
      <c r="H404" s="711"/>
      <c r="I404" s="711"/>
      <c r="J404" s="711"/>
      <c r="K404" s="711"/>
      <c r="L404" s="711"/>
      <c r="Q404" s="11"/>
      <c r="R404" s="11"/>
      <c r="S404" s="11"/>
      <c r="T404" s="11"/>
    </row>
    <row r="405" spans="8:20" x14ac:dyDescent="0.35">
      <c r="H405" s="711"/>
      <c r="I405" s="711"/>
      <c r="J405" s="711"/>
      <c r="K405" s="711"/>
      <c r="L405" s="711"/>
      <c r="Q405" s="11"/>
      <c r="R405" s="11"/>
      <c r="S405" s="11"/>
      <c r="T405" s="11"/>
    </row>
    <row r="406" spans="8:20" x14ac:dyDescent="0.35">
      <c r="H406" s="711"/>
      <c r="I406" s="711"/>
      <c r="J406" s="711"/>
      <c r="K406" s="711"/>
      <c r="L406" s="711"/>
      <c r="Q406" s="11"/>
      <c r="R406" s="11"/>
      <c r="S406" s="11"/>
      <c r="T406" s="11"/>
    </row>
    <row r="407" spans="8:20" x14ac:dyDescent="0.35">
      <c r="H407" s="711"/>
      <c r="I407" s="711"/>
      <c r="J407" s="711"/>
      <c r="K407" s="711"/>
      <c r="L407" s="711"/>
      <c r="Q407" s="11"/>
      <c r="R407" s="11"/>
      <c r="S407" s="11"/>
      <c r="T407" s="11"/>
    </row>
    <row r="408" spans="8:20" x14ac:dyDescent="0.35">
      <c r="H408" s="711"/>
      <c r="I408" s="711"/>
      <c r="J408" s="711"/>
      <c r="K408" s="711"/>
      <c r="L408" s="711"/>
      <c r="Q408" s="11"/>
      <c r="R408" s="11"/>
      <c r="S408" s="11"/>
      <c r="T408" s="11"/>
    </row>
    <row r="409" spans="8:20" x14ac:dyDescent="0.35">
      <c r="H409" s="711"/>
      <c r="I409" s="711"/>
      <c r="J409" s="711"/>
      <c r="K409" s="711"/>
      <c r="L409" s="711"/>
      <c r="Q409" s="11"/>
      <c r="R409" s="11"/>
      <c r="S409" s="11"/>
      <c r="T409" s="11"/>
    </row>
    <row r="410" spans="8:20" x14ac:dyDescent="0.35">
      <c r="H410" s="711"/>
      <c r="I410" s="711"/>
      <c r="J410" s="711"/>
      <c r="K410" s="711"/>
      <c r="L410" s="711"/>
      <c r="Q410" s="11"/>
      <c r="R410" s="11"/>
      <c r="S410" s="11"/>
      <c r="T410" s="11"/>
    </row>
    <row r="411" spans="8:20" x14ac:dyDescent="0.35">
      <c r="H411" s="711"/>
      <c r="I411" s="711"/>
      <c r="J411" s="711"/>
      <c r="K411" s="711"/>
      <c r="L411" s="711"/>
      <c r="Q411" s="11"/>
      <c r="R411" s="11"/>
      <c r="S411" s="11"/>
      <c r="T411" s="11"/>
    </row>
    <row r="412" spans="8:20" x14ac:dyDescent="0.35">
      <c r="H412" s="711"/>
      <c r="I412" s="711"/>
      <c r="J412" s="711"/>
      <c r="K412" s="711"/>
      <c r="L412" s="711"/>
      <c r="Q412" s="11"/>
      <c r="R412" s="11"/>
      <c r="S412" s="11"/>
      <c r="T412" s="11"/>
    </row>
    <row r="413" spans="8:20" x14ac:dyDescent="0.35">
      <c r="H413" s="711"/>
      <c r="I413" s="711"/>
      <c r="J413" s="711"/>
      <c r="K413" s="711"/>
      <c r="L413" s="711"/>
      <c r="Q413" s="11"/>
      <c r="R413" s="11"/>
      <c r="S413" s="11"/>
      <c r="T413" s="11"/>
    </row>
    <row r="414" spans="8:20" x14ac:dyDescent="0.35">
      <c r="H414" s="711"/>
      <c r="I414" s="711"/>
      <c r="J414" s="711"/>
      <c r="K414" s="711"/>
      <c r="L414" s="711"/>
      <c r="Q414" s="11"/>
      <c r="R414" s="11"/>
      <c r="S414" s="11"/>
      <c r="T414" s="11"/>
    </row>
    <row r="415" spans="8:20" x14ac:dyDescent="0.35">
      <c r="H415" s="711"/>
      <c r="I415" s="711"/>
      <c r="J415" s="711"/>
      <c r="K415" s="711"/>
      <c r="L415" s="711"/>
      <c r="Q415" s="11"/>
      <c r="R415" s="11"/>
      <c r="S415" s="11"/>
      <c r="T415" s="11"/>
    </row>
    <row r="416" spans="8:20" x14ac:dyDescent="0.35">
      <c r="H416" s="711"/>
      <c r="I416" s="711"/>
      <c r="J416" s="711"/>
      <c r="K416" s="711"/>
      <c r="L416" s="711"/>
      <c r="Q416" s="11"/>
      <c r="R416" s="11"/>
      <c r="S416" s="11"/>
      <c r="T416" s="11"/>
    </row>
    <row r="417" spans="8:20" x14ac:dyDescent="0.35">
      <c r="H417" s="711"/>
      <c r="I417" s="711"/>
      <c r="J417" s="711"/>
      <c r="K417" s="711"/>
      <c r="L417" s="711"/>
      <c r="Q417" s="11"/>
      <c r="R417" s="11"/>
      <c r="S417" s="11"/>
      <c r="T417" s="11"/>
    </row>
    <row r="418" spans="8:20" x14ac:dyDescent="0.35">
      <c r="H418" s="711"/>
      <c r="I418" s="711"/>
      <c r="J418" s="711"/>
      <c r="K418" s="711"/>
      <c r="L418" s="711"/>
      <c r="Q418" s="11"/>
      <c r="R418" s="11"/>
      <c r="S418" s="11"/>
      <c r="T418" s="11"/>
    </row>
    <row r="419" spans="8:20" x14ac:dyDescent="0.35">
      <c r="H419" s="711"/>
      <c r="I419" s="711"/>
      <c r="J419" s="711"/>
      <c r="K419" s="711"/>
      <c r="L419" s="711"/>
      <c r="Q419" s="11"/>
      <c r="R419" s="11"/>
      <c r="S419" s="11"/>
      <c r="T419" s="11"/>
    </row>
    <row r="420" spans="8:20" x14ac:dyDescent="0.35">
      <c r="H420" s="711"/>
      <c r="I420" s="711"/>
      <c r="J420" s="711"/>
      <c r="K420" s="711"/>
      <c r="L420" s="711"/>
      <c r="Q420" s="11"/>
      <c r="R420" s="11"/>
      <c r="S420" s="11"/>
      <c r="T420" s="11"/>
    </row>
    <row r="421" spans="8:20" x14ac:dyDescent="0.35">
      <c r="H421" s="711"/>
      <c r="I421" s="711"/>
      <c r="J421" s="711"/>
      <c r="K421" s="711"/>
      <c r="L421" s="711"/>
      <c r="Q421" s="11"/>
      <c r="R421" s="11"/>
      <c r="S421" s="11"/>
      <c r="T421" s="11"/>
    </row>
    <row r="422" spans="8:20" x14ac:dyDescent="0.35">
      <c r="H422" s="711"/>
      <c r="I422" s="711"/>
      <c r="J422" s="711"/>
      <c r="K422" s="711"/>
      <c r="L422" s="711"/>
      <c r="Q422" s="11"/>
      <c r="R422" s="11"/>
      <c r="S422" s="11"/>
      <c r="T422" s="11"/>
    </row>
    <row r="423" spans="8:20" x14ac:dyDescent="0.35">
      <c r="H423" s="711"/>
      <c r="I423" s="711"/>
      <c r="J423" s="711"/>
      <c r="K423" s="711"/>
      <c r="L423" s="711"/>
      <c r="Q423" s="11"/>
      <c r="R423" s="11"/>
      <c r="S423" s="11"/>
      <c r="T423" s="11"/>
    </row>
    <row r="424" spans="8:20" x14ac:dyDescent="0.35">
      <c r="H424" s="711"/>
      <c r="I424" s="711"/>
      <c r="J424" s="711"/>
      <c r="K424" s="711"/>
      <c r="L424" s="711"/>
      <c r="Q424" s="11"/>
      <c r="R424" s="11"/>
      <c r="S424" s="11"/>
      <c r="T424" s="11"/>
    </row>
    <row r="425" spans="8:20" x14ac:dyDescent="0.35">
      <c r="H425" s="711"/>
      <c r="I425" s="711"/>
      <c r="J425" s="711"/>
      <c r="K425" s="711"/>
      <c r="L425" s="711"/>
      <c r="Q425" s="11"/>
      <c r="R425" s="11"/>
      <c r="S425" s="11"/>
      <c r="T425" s="11"/>
    </row>
    <row r="426" spans="8:20" x14ac:dyDescent="0.35">
      <c r="H426" s="711"/>
      <c r="I426" s="711"/>
      <c r="J426" s="711"/>
      <c r="K426" s="711"/>
      <c r="L426" s="711"/>
      <c r="Q426" s="11"/>
      <c r="R426" s="11"/>
      <c r="S426" s="11"/>
      <c r="T426" s="11"/>
    </row>
    <row r="427" spans="8:20" x14ac:dyDescent="0.35">
      <c r="H427" s="711"/>
      <c r="I427" s="711"/>
      <c r="J427" s="711"/>
      <c r="K427" s="711"/>
      <c r="L427" s="711"/>
      <c r="Q427" s="11"/>
      <c r="R427" s="11"/>
      <c r="S427" s="11"/>
      <c r="T427" s="11"/>
    </row>
    <row r="428" spans="8:20" x14ac:dyDescent="0.35">
      <c r="H428" s="711"/>
      <c r="I428" s="711"/>
      <c r="J428" s="711"/>
      <c r="K428" s="711"/>
      <c r="L428" s="711"/>
      <c r="Q428" s="11"/>
      <c r="R428" s="11"/>
      <c r="S428" s="11"/>
      <c r="T428" s="11"/>
    </row>
    <row r="429" spans="8:20" x14ac:dyDescent="0.35">
      <c r="H429" s="711"/>
      <c r="I429" s="711"/>
      <c r="J429" s="711"/>
      <c r="K429" s="711"/>
      <c r="L429" s="711"/>
      <c r="Q429" s="11"/>
      <c r="R429" s="11"/>
      <c r="S429" s="11"/>
      <c r="T429" s="11"/>
    </row>
    <row r="430" spans="8:20" x14ac:dyDescent="0.35">
      <c r="H430" s="711"/>
      <c r="I430" s="711"/>
      <c r="J430" s="711"/>
      <c r="K430" s="711"/>
      <c r="L430" s="711"/>
      <c r="Q430" s="11"/>
      <c r="R430" s="11"/>
      <c r="S430" s="11"/>
      <c r="T430" s="11"/>
    </row>
    <row r="431" spans="8:20" x14ac:dyDescent="0.35">
      <c r="H431" s="711"/>
      <c r="I431" s="711"/>
      <c r="J431" s="711"/>
      <c r="K431" s="711"/>
      <c r="L431" s="711"/>
      <c r="Q431" s="11"/>
      <c r="R431" s="11"/>
      <c r="S431" s="11"/>
      <c r="T431" s="11"/>
    </row>
    <row r="432" spans="8:20" x14ac:dyDescent="0.35">
      <c r="H432" s="711"/>
      <c r="I432" s="711"/>
      <c r="J432" s="711"/>
      <c r="K432" s="711"/>
      <c r="L432" s="711"/>
      <c r="Q432" s="11"/>
      <c r="R432" s="11"/>
      <c r="S432" s="11"/>
      <c r="T432" s="11"/>
    </row>
    <row r="433" spans="8:20" x14ac:dyDescent="0.35">
      <c r="H433" s="711"/>
      <c r="I433" s="711"/>
      <c r="J433" s="711"/>
      <c r="K433" s="711"/>
      <c r="L433" s="711"/>
      <c r="Q433" s="11"/>
      <c r="R433" s="11"/>
      <c r="S433" s="11"/>
      <c r="T433" s="11"/>
    </row>
    <row r="434" spans="8:20" x14ac:dyDescent="0.35">
      <c r="H434" s="711"/>
      <c r="I434" s="711"/>
      <c r="J434" s="711"/>
      <c r="K434" s="711"/>
      <c r="L434" s="711"/>
      <c r="Q434" s="11"/>
      <c r="R434" s="11"/>
      <c r="S434" s="11"/>
      <c r="T434" s="11"/>
    </row>
    <row r="435" spans="8:20" x14ac:dyDescent="0.35">
      <c r="H435" s="711"/>
      <c r="I435" s="711"/>
      <c r="J435" s="711"/>
      <c r="K435" s="711"/>
      <c r="L435" s="711"/>
      <c r="Q435" s="11"/>
      <c r="R435" s="11"/>
      <c r="S435" s="11"/>
      <c r="T435" s="11"/>
    </row>
    <row r="436" spans="8:20" x14ac:dyDescent="0.35">
      <c r="H436" s="711"/>
      <c r="I436" s="711"/>
      <c r="J436" s="711"/>
      <c r="K436" s="711"/>
      <c r="L436" s="711"/>
      <c r="Q436" s="11"/>
      <c r="R436" s="11"/>
      <c r="S436" s="11"/>
      <c r="T436" s="11"/>
    </row>
    <row r="437" spans="8:20" x14ac:dyDescent="0.35">
      <c r="H437" s="711"/>
      <c r="I437" s="711"/>
      <c r="J437" s="711"/>
      <c r="K437" s="711"/>
      <c r="L437" s="711"/>
      <c r="Q437" s="11"/>
      <c r="R437" s="11"/>
      <c r="S437" s="11"/>
      <c r="T437" s="11"/>
    </row>
    <row r="438" spans="8:20" x14ac:dyDescent="0.35">
      <c r="H438" s="711"/>
      <c r="I438" s="711"/>
      <c r="J438" s="711"/>
      <c r="K438" s="711"/>
      <c r="L438" s="711"/>
      <c r="Q438" s="11"/>
      <c r="R438" s="11"/>
      <c r="S438" s="11"/>
      <c r="T438" s="11"/>
    </row>
    <row r="439" spans="8:20" x14ac:dyDescent="0.35">
      <c r="H439" s="711"/>
      <c r="I439" s="711"/>
      <c r="J439" s="711"/>
      <c r="K439" s="711"/>
      <c r="L439" s="711"/>
      <c r="Q439" s="11"/>
      <c r="R439" s="11"/>
      <c r="S439" s="11"/>
      <c r="T439" s="11"/>
    </row>
    <row r="440" spans="8:20" x14ac:dyDescent="0.35">
      <c r="H440" s="711"/>
      <c r="I440" s="711"/>
      <c r="J440" s="711"/>
      <c r="K440" s="711"/>
      <c r="L440" s="711"/>
      <c r="Q440" s="11"/>
      <c r="R440" s="11"/>
      <c r="S440" s="11"/>
      <c r="T440" s="11"/>
    </row>
    <row r="441" spans="8:20" x14ac:dyDescent="0.35">
      <c r="H441" s="711"/>
      <c r="I441" s="711"/>
      <c r="J441" s="711"/>
      <c r="K441" s="711"/>
      <c r="L441" s="711"/>
      <c r="Q441" s="11"/>
      <c r="R441" s="11"/>
      <c r="S441" s="11"/>
      <c r="T441" s="11"/>
    </row>
    <row r="442" spans="8:20" x14ac:dyDescent="0.35">
      <c r="H442" s="711"/>
      <c r="I442" s="711"/>
      <c r="J442" s="711"/>
      <c r="K442" s="711"/>
      <c r="L442" s="711"/>
      <c r="Q442" s="11"/>
      <c r="R442" s="11"/>
      <c r="S442" s="11"/>
      <c r="T442" s="11"/>
    </row>
    <row r="443" spans="8:20" x14ac:dyDescent="0.35">
      <c r="H443" s="711"/>
      <c r="I443" s="711"/>
      <c r="J443" s="711"/>
      <c r="K443" s="711"/>
      <c r="L443" s="711"/>
      <c r="Q443" s="11"/>
      <c r="R443" s="11"/>
      <c r="S443" s="11"/>
      <c r="T443" s="11"/>
    </row>
    <row r="444" spans="8:20" x14ac:dyDescent="0.35">
      <c r="H444" s="711"/>
      <c r="I444" s="711"/>
      <c r="J444" s="711"/>
      <c r="K444" s="711"/>
      <c r="L444" s="711"/>
      <c r="Q444" s="11"/>
      <c r="R444" s="11"/>
      <c r="S444" s="11"/>
      <c r="T444" s="11"/>
    </row>
    <row r="445" spans="8:20" x14ac:dyDescent="0.35">
      <c r="H445" s="711"/>
      <c r="I445" s="711"/>
      <c r="J445" s="711"/>
      <c r="K445" s="711"/>
      <c r="L445" s="711"/>
      <c r="Q445" s="11"/>
      <c r="R445" s="11"/>
      <c r="S445" s="11"/>
      <c r="T445" s="11"/>
    </row>
    <row r="446" spans="8:20" x14ac:dyDescent="0.35">
      <c r="H446" s="711"/>
      <c r="I446" s="711"/>
      <c r="J446" s="711"/>
      <c r="K446" s="711"/>
      <c r="L446" s="711"/>
      <c r="Q446" s="11"/>
      <c r="R446" s="11"/>
      <c r="S446" s="11"/>
      <c r="T446" s="11"/>
    </row>
    <row r="447" spans="8:20" x14ac:dyDescent="0.35">
      <c r="H447" s="711"/>
      <c r="I447" s="711"/>
      <c r="J447" s="711"/>
      <c r="K447" s="711"/>
      <c r="L447" s="711"/>
      <c r="Q447" s="11"/>
      <c r="R447" s="11"/>
      <c r="S447" s="11"/>
      <c r="T447" s="11"/>
    </row>
    <row r="448" spans="8:20" x14ac:dyDescent="0.35">
      <c r="H448" s="711"/>
      <c r="I448" s="711"/>
      <c r="J448" s="711"/>
      <c r="K448" s="711"/>
      <c r="L448" s="711"/>
      <c r="Q448" s="11"/>
      <c r="R448" s="11"/>
      <c r="S448" s="11"/>
      <c r="T448" s="11"/>
    </row>
    <row r="449" spans="8:20" x14ac:dyDescent="0.35">
      <c r="H449" s="711"/>
      <c r="I449" s="711"/>
      <c r="J449" s="711"/>
      <c r="K449" s="711"/>
      <c r="L449" s="711"/>
      <c r="Q449" s="11"/>
      <c r="R449" s="11"/>
      <c r="S449" s="11"/>
      <c r="T449" s="11"/>
    </row>
    <row r="450" spans="8:20" x14ac:dyDescent="0.35">
      <c r="H450" s="711"/>
      <c r="I450" s="711"/>
      <c r="J450" s="711"/>
      <c r="K450" s="711"/>
      <c r="L450" s="711"/>
      <c r="Q450" s="11"/>
      <c r="R450" s="11"/>
      <c r="S450" s="11"/>
      <c r="T450" s="11"/>
    </row>
    <row r="451" spans="8:20" x14ac:dyDescent="0.35">
      <c r="H451" s="711"/>
      <c r="I451" s="711"/>
      <c r="J451" s="711"/>
      <c r="K451" s="711"/>
      <c r="L451" s="711"/>
      <c r="Q451" s="11"/>
      <c r="R451" s="11"/>
      <c r="S451" s="11"/>
      <c r="T451" s="11"/>
    </row>
    <row r="452" spans="8:20" x14ac:dyDescent="0.35">
      <c r="H452" s="711"/>
      <c r="I452" s="711"/>
      <c r="J452" s="711"/>
      <c r="K452" s="711"/>
      <c r="L452" s="711"/>
      <c r="Q452" s="11"/>
      <c r="R452" s="11"/>
      <c r="S452" s="11"/>
      <c r="T452" s="11"/>
    </row>
    <row r="453" spans="8:20" x14ac:dyDescent="0.35">
      <c r="H453" s="711"/>
      <c r="I453" s="711"/>
      <c r="J453" s="711"/>
      <c r="K453" s="711"/>
      <c r="L453" s="711"/>
      <c r="Q453" s="11"/>
      <c r="R453" s="11"/>
      <c r="S453" s="11"/>
      <c r="T453" s="11"/>
    </row>
    <row r="454" spans="8:20" x14ac:dyDescent="0.35">
      <c r="H454" s="711"/>
      <c r="I454" s="711"/>
      <c r="J454" s="711"/>
      <c r="K454" s="711"/>
      <c r="L454" s="711"/>
      <c r="Q454" s="11"/>
      <c r="R454" s="11"/>
      <c r="S454" s="11"/>
      <c r="T454" s="11"/>
    </row>
    <row r="455" spans="8:20" x14ac:dyDescent="0.35">
      <c r="H455" s="711"/>
      <c r="I455" s="711"/>
      <c r="J455" s="711"/>
      <c r="K455" s="711"/>
      <c r="L455" s="711"/>
      <c r="Q455" s="11"/>
      <c r="R455" s="11"/>
      <c r="S455" s="11"/>
      <c r="T455" s="11"/>
    </row>
    <row r="456" spans="8:20" x14ac:dyDescent="0.35">
      <c r="H456" s="711"/>
      <c r="I456" s="711"/>
      <c r="J456" s="711"/>
      <c r="K456" s="711"/>
      <c r="L456" s="711"/>
      <c r="Q456" s="11"/>
      <c r="R456" s="11"/>
      <c r="S456" s="11"/>
      <c r="T456" s="11"/>
    </row>
    <row r="457" spans="8:20" x14ac:dyDescent="0.35">
      <c r="H457" s="711"/>
      <c r="I457" s="711"/>
      <c r="J457" s="711"/>
      <c r="K457" s="711"/>
      <c r="L457" s="711"/>
      <c r="Q457" s="11"/>
      <c r="R457" s="11"/>
      <c r="S457" s="11"/>
      <c r="T457" s="11"/>
    </row>
    <row r="458" spans="8:20" x14ac:dyDescent="0.35">
      <c r="H458" s="711"/>
      <c r="I458" s="711"/>
      <c r="J458" s="711"/>
      <c r="K458" s="711"/>
      <c r="L458" s="711"/>
      <c r="Q458" s="11"/>
      <c r="R458" s="11"/>
      <c r="S458" s="11"/>
      <c r="T458" s="11"/>
    </row>
    <row r="459" spans="8:20" x14ac:dyDescent="0.35">
      <c r="H459" s="711"/>
      <c r="I459" s="711"/>
      <c r="J459" s="711"/>
      <c r="K459" s="711"/>
      <c r="L459" s="711"/>
      <c r="Q459" s="11"/>
      <c r="R459" s="11"/>
      <c r="S459" s="11"/>
      <c r="T459" s="11"/>
    </row>
    <row r="460" spans="8:20" x14ac:dyDescent="0.35">
      <c r="H460" s="711"/>
      <c r="I460" s="711"/>
      <c r="J460" s="711"/>
      <c r="K460" s="711"/>
      <c r="L460" s="711"/>
      <c r="Q460" s="11"/>
      <c r="R460" s="11"/>
      <c r="S460" s="11"/>
      <c r="T460" s="11"/>
    </row>
    <row r="461" spans="8:20" x14ac:dyDescent="0.35">
      <c r="H461" s="711"/>
      <c r="I461" s="711"/>
      <c r="J461" s="711"/>
      <c r="K461" s="711"/>
      <c r="L461" s="711"/>
      <c r="Q461" s="11"/>
      <c r="R461" s="11"/>
      <c r="S461" s="11"/>
      <c r="T461" s="11"/>
    </row>
    <row r="462" spans="8:20" x14ac:dyDescent="0.35">
      <c r="H462" s="711"/>
      <c r="I462" s="711"/>
      <c r="J462" s="711"/>
      <c r="K462" s="711"/>
      <c r="L462" s="711"/>
      <c r="Q462" s="11"/>
      <c r="R462" s="11"/>
      <c r="S462" s="11"/>
      <c r="T462" s="11"/>
    </row>
    <row r="463" spans="8:20" x14ac:dyDescent="0.35">
      <c r="H463" s="711"/>
      <c r="I463" s="711"/>
      <c r="J463" s="711"/>
      <c r="K463" s="711"/>
      <c r="L463" s="711"/>
      <c r="Q463" s="11"/>
      <c r="R463" s="11"/>
      <c r="S463" s="11"/>
      <c r="T463" s="11"/>
    </row>
    <row r="464" spans="8:20" x14ac:dyDescent="0.35">
      <c r="H464" s="711"/>
      <c r="I464" s="711"/>
      <c r="J464" s="711"/>
      <c r="K464" s="711"/>
      <c r="L464" s="711"/>
      <c r="Q464" s="11"/>
      <c r="R464" s="11"/>
      <c r="S464" s="11"/>
      <c r="T464" s="11"/>
    </row>
    <row r="465" spans="8:20" x14ac:dyDescent="0.35">
      <c r="H465" s="711"/>
      <c r="I465" s="711"/>
      <c r="J465" s="711"/>
      <c r="K465" s="711"/>
      <c r="L465" s="711"/>
      <c r="Q465" s="11"/>
      <c r="R465" s="11"/>
      <c r="S465" s="11"/>
      <c r="T465" s="11"/>
    </row>
    <row r="466" spans="8:20" x14ac:dyDescent="0.35">
      <c r="H466" s="711"/>
      <c r="I466" s="711"/>
      <c r="J466" s="711"/>
      <c r="K466" s="711"/>
      <c r="L466" s="711"/>
      <c r="Q466" s="11"/>
      <c r="R466" s="11"/>
      <c r="S466" s="11"/>
      <c r="T466" s="11"/>
    </row>
    <row r="467" spans="8:20" x14ac:dyDescent="0.35">
      <c r="H467" s="711"/>
      <c r="I467" s="711"/>
      <c r="J467" s="711"/>
      <c r="K467" s="711"/>
      <c r="L467" s="711"/>
      <c r="Q467" s="11"/>
      <c r="R467" s="11"/>
      <c r="S467" s="11"/>
      <c r="T467" s="11"/>
    </row>
    <row r="468" spans="8:20" x14ac:dyDescent="0.35">
      <c r="H468" s="711"/>
      <c r="I468" s="711"/>
      <c r="J468" s="711"/>
      <c r="K468" s="711"/>
      <c r="L468" s="711"/>
      <c r="Q468" s="11"/>
      <c r="R468" s="11"/>
      <c r="S468" s="11"/>
      <c r="T468" s="11"/>
    </row>
    <row r="469" spans="8:20" x14ac:dyDescent="0.35">
      <c r="H469" s="711"/>
      <c r="I469" s="711"/>
      <c r="J469" s="711"/>
      <c r="K469" s="711"/>
      <c r="L469" s="711"/>
      <c r="Q469" s="11"/>
      <c r="R469" s="11"/>
      <c r="S469" s="11"/>
      <c r="T469" s="11"/>
    </row>
    <row r="470" spans="8:20" x14ac:dyDescent="0.35">
      <c r="H470" s="711"/>
      <c r="I470" s="711"/>
      <c r="J470" s="711"/>
      <c r="K470" s="711"/>
      <c r="L470" s="711"/>
      <c r="Q470" s="11"/>
      <c r="R470" s="11"/>
      <c r="S470" s="11"/>
      <c r="T470" s="11"/>
    </row>
    <row r="471" spans="8:20" x14ac:dyDescent="0.35">
      <c r="H471" s="711"/>
      <c r="I471" s="711"/>
      <c r="J471" s="711"/>
      <c r="K471" s="711"/>
      <c r="L471" s="711"/>
      <c r="Q471" s="11"/>
      <c r="R471" s="11"/>
      <c r="S471" s="11"/>
      <c r="T471" s="11"/>
    </row>
    <row r="472" spans="8:20" x14ac:dyDescent="0.35">
      <c r="H472" s="711"/>
      <c r="I472" s="711"/>
      <c r="J472" s="711"/>
      <c r="K472" s="711"/>
      <c r="L472" s="711"/>
      <c r="Q472" s="11"/>
      <c r="R472" s="11"/>
      <c r="S472" s="11"/>
      <c r="T472" s="11"/>
    </row>
    <row r="473" spans="8:20" x14ac:dyDescent="0.35">
      <c r="H473" s="711"/>
      <c r="I473" s="711"/>
      <c r="J473" s="711"/>
      <c r="K473" s="711"/>
      <c r="L473" s="711"/>
      <c r="Q473" s="11"/>
      <c r="R473" s="11"/>
      <c r="S473" s="11"/>
      <c r="T473" s="11"/>
    </row>
    <row r="474" spans="8:20" x14ac:dyDescent="0.35">
      <c r="H474" s="711"/>
      <c r="I474" s="711"/>
      <c r="J474" s="711"/>
      <c r="K474" s="711"/>
      <c r="L474" s="711"/>
      <c r="Q474" s="11"/>
      <c r="R474" s="11"/>
      <c r="S474" s="11"/>
      <c r="T474" s="11"/>
    </row>
    <row r="475" spans="8:20" x14ac:dyDescent="0.35">
      <c r="H475" s="711"/>
      <c r="I475" s="711"/>
      <c r="J475" s="711"/>
      <c r="K475" s="711"/>
      <c r="L475" s="711"/>
      <c r="Q475" s="11"/>
      <c r="R475" s="11"/>
      <c r="S475" s="11"/>
      <c r="T475" s="11"/>
    </row>
    <row r="476" spans="8:20" x14ac:dyDescent="0.35">
      <c r="H476" s="711"/>
      <c r="I476" s="711"/>
      <c r="J476" s="711"/>
      <c r="K476" s="711"/>
      <c r="L476" s="711"/>
      <c r="Q476" s="11"/>
      <c r="R476" s="11"/>
      <c r="S476" s="11"/>
      <c r="T476" s="11"/>
    </row>
    <row r="477" spans="8:20" x14ac:dyDescent="0.35">
      <c r="H477" s="711"/>
      <c r="I477" s="711"/>
      <c r="J477" s="711"/>
      <c r="K477" s="711"/>
      <c r="L477" s="711"/>
      <c r="Q477" s="11"/>
      <c r="R477" s="11"/>
      <c r="S477" s="11"/>
      <c r="T477" s="11"/>
    </row>
    <row r="478" spans="8:20" x14ac:dyDescent="0.35">
      <c r="H478" s="711"/>
      <c r="I478" s="711"/>
      <c r="J478" s="711"/>
      <c r="K478" s="711"/>
      <c r="L478" s="711"/>
      <c r="Q478" s="11"/>
      <c r="R478" s="11"/>
      <c r="S478" s="11"/>
      <c r="T478" s="11"/>
    </row>
    <row r="479" spans="8:20" x14ac:dyDescent="0.35">
      <c r="H479" s="711"/>
      <c r="I479" s="711"/>
      <c r="J479" s="711"/>
      <c r="K479" s="711"/>
      <c r="L479" s="711"/>
      <c r="Q479" s="11"/>
      <c r="R479" s="11"/>
      <c r="S479" s="11"/>
      <c r="T479" s="11"/>
    </row>
    <row r="480" spans="8:20" x14ac:dyDescent="0.35">
      <c r="H480" s="711"/>
      <c r="I480" s="711"/>
      <c r="J480" s="711"/>
      <c r="K480" s="711"/>
      <c r="L480" s="711"/>
      <c r="Q480" s="11"/>
      <c r="R480" s="11"/>
      <c r="S480" s="11"/>
      <c r="T480" s="11"/>
    </row>
    <row r="481" spans="8:20" x14ac:dyDescent="0.35">
      <c r="H481" s="711"/>
      <c r="I481" s="711"/>
      <c r="J481" s="711"/>
      <c r="K481" s="711"/>
      <c r="L481" s="711"/>
      <c r="Q481" s="11"/>
      <c r="R481" s="11"/>
      <c r="S481" s="11"/>
      <c r="T481" s="11"/>
    </row>
    <row r="482" spans="8:20" x14ac:dyDescent="0.35">
      <c r="H482" s="711"/>
      <c r="I482" s="711"/>
      <c r="J482" s="711"/>
      <c r="K482" s="711"/>
      <c r="L482" s="711"/>
      <c r="Q482" s="11"/>
      <c r="R482" s="11"/>
      <c r="S482" s="11"/>
      <c r="T482" s="11"/>
    </row>
    <row r="483" spans="8:20" x14ac:dyDescent="0.35">
      <c r="H483" s="711"/>
      <c r="I483" s="711"/>
      <c r="J483" s="711"/>
      <c r="K483" s="711"/>
      <c r="L483" s="711"/>
      <c r="Q483" s="11"/>
      <c r="R483" s="11"/>
      <c r="S483" s="11"/>
      <c r="T483" s="11"/>
    </row>
    <row r="484" spans="8:20" x14ac:dyDescent="0.35">
      <c r="H484" s="711"/>
      <c r="I484" s="711"/>
      <c r="J484" s="711"/>
      <c r="K484" s="711"/>
      <c r="L484" s="711"/>
      <c r="Q484" s="11"/>
      <c r="R484" s="11"/>
      <c r="S484" s="11"/>
      <c r="T484" s="11"/>
    </row>
    <row r="485" spans="8:20" x14ac:dyDescent="0.35">
      <c r="H485" s="711"/>
      <c r="I485" s="711"/>
      <c r="J485" s="711"/>
      <c r="K485" s="711"/>
      <c r="L485" s="711"/>
      <c r="Q485" s="11"/>
      <c r="R485" s="11"/>
      <c r="S485" s="11"/>
      <c r="T485" s="11"/>
    </row>
    <row r="486" spans="8:20" x14ac:dyDescent="0.35">
      <c r="H486" s="711"/>
      <c r="I486" s="711"/>
      <c r="J486" s="711"/>
      <c r="K486" s="711"/>
      <c r="L486" s="711"/>
      <c r="Q486" s="11"/>
      <c r="R486" s="11"/>
      <c r="S486" s="11"/>
      <c r="T486" s="11"/>
    </row>
    <row r="487" spans="8:20" x14ac:dyDescent="0.35">
      <c r="H487" s="711"/>
      <c r="I487" s="711"/>
      <c r="J487" s="711"/>
      <c r="K487" s="711"/>
      <c r="L487" s="711"/>
      <c r="Q487" s="11"/>
      <c r="R487" s="11"/>
      <c r="S487" s="11"/>
      <c r="T487" s="11"/>
    </row>
    <row r="488" spans="8:20" x14ac:dyDescent="0.35">
      <c r="H488" s="711"/>
      <c r="I488" s="711"/>
      <c r="J488" s="711"/>
      <c r="K488" s="711"/>
      <c r="L488" s="711"/>
      <c r="Q488" s="11"/>
      <c r="R488" s="11"/>
      <c r="S488" s="11"/>
      <c r="T488" s="11"/>
    </row>
    <row r="489" spans="8:20" x14ac:dyDescent="0.35">
      <c r="H489" s="711"/>
      <c r="I489" s="711"/>
      <c r="J489" s="711"/>
      <c r="K489" s="711"/>
      <c r="L489" s="711"/>
      <c r="Q489" s="11"/>
      <c r="R489" s="11"/>
      <c r="S489" s="11"/>
      <c r="T489" s="11"/>
    </row>
    <row r="490" spans="8:20" x14ac:dyDescent="0.35">
      <c r="H490" s="711"/>
      <c r="I490" s="711"/>
      <c r="J490" s="711"/>
      <c r="K490" s="711"/>
      <c r="L490" s="711"/>
      <c r="Q490" s="11"/>
      <c r="R490" s="11"/>
      <c r="S490" s="11"/>
      <c r="T490" s="11"/>
    </row>
    <row r="491" spans="8:20" x14ac:dyDescent="0.35">
      <c r="H491" s="711"/>
      <c r="I491" s="711"/>
      <c r="J491" s="711"/>
      <c r="K491" s="711"/>
      <c r="L491" s="711"/>
      <c r="Q491" s="11"/>
      <c r="R491" s="11"/>
      <c r="S491" s="11"/>
      <c r="T491" s="11"/>
    </row>
    <row r="492" spans="8:20" x14ac:dyDescent="0.35">
      <c r="H492" s="711"/>
      <c r="I492" s="711"/>
      <c r="J492" s="711"/>
      <c r="K492" s="711"/>
      <c r="L492" s="711"/>
      <c r="Q492" s="11"/>
      <c r="R492" s="11"/>
      <c r="S492" s="11"/>
      <c r="T492" s="11"/>
    </row>
    <row r="493" spans="8:20" x14ac:dyDescent="0.35">
      <c r="H493" s="711"/>
      <c r="I493" s="711"/>
      <c r="J493" s="711"/>
      <c r="K493" s="711"/>
      <c r="L493" s="711"/>
      <c r="Q493" s="11"/>
      <c r="R493" s="11"/>
      <c r="S493" s="11"/>
      <c r="T493" s="11"/>
    </row>
    <row r="494" spans="8:20" x14ac:dyDescent="0.35">
      <c r="H494" s="711"/>
      <c r="I494" s="711"/>
      <c r="J494" s="711"/>
      <c r="K494" s="711"/>
      <c r="L494" s="711"/>
      <c r="Q494" s="11"/>
      <c r="R494" s="11"/>
      <c r="S494" s="11"/>
      <c r="T494" s="11"/>
    </row>
    <row r="495" spans="8:20" x14ac:dyDescent="0.35">
      <c r="H495" s="711"/>
      <c r="I495" s="711"/>
      <c r="J495" s="711"/>
      <c r="K495" s="711"/>
      <c r="L495" s="711"/>
      <c r="Q495" s="11"/>
      <c r="R495" s="11"/>
      <c r="S495" s="11"/>
      <c r="T495" s="11"/>
    </row>
    <row r="496" spans="8:20" x14ac:dyDescent="0.35">
      <c r="H496" s="711"/>
      <c r="I496" s="711"/>
      <c r="J496" s="711"/>
      <c r="K496" s="711"/>
      <c r="L496" s="711"/>
      <c r="Q496" s="11"/>
      <c r="R496" s="11"/>
      <c r="S496" s="11"/>
      <c r="T496" s="11"/>
    </row>
    <row r="497" spans="8:20" x14ac:dyDescent="0.35">
      <c r="H497" s="711"/>
      <c r="I497" s="711"/>
      <c r="J497" s="711"/>
      <c r="K497" s="711"/>
      <c r="L497" s="711"/>
      <c r="Q497" s="11"/>
      <c r="R497" s="11"/>
      <c r="S497" s="11"/>
      <c r="T497" s="11"/>
    </row>
    <row r="498" spans="8:20" x14ac:dyDescent="0.35">
      <c r="H498" s="711"/>
      <c r="I498" s="711"/>
      <c r="J498" s="711"/>
      <c r="K498" s="711"/>
      <c r="L498" s="711"/>
      <c r="Q498" s="11"/>
      <c r="R498" s="11"/>
      <c r="S498" s="11"/>
      <c r="T498" s="11"/>
    </row>
    <row r="499" spans="8:20" x14ac:dyDescent="0.35">
      <c r="H499" s="711"/>
      <c r="I499" s="711"/>
      <c r="J499" s="711"/>
      <c r="K499" s="711"/>
      <c r="L499" s="711"/>
      <c r="Q499" s="11"/>
      <c r="R499" s="11"/>
      <c r="S499" s="11"/>
      <c r="T499" s="11"/>
    </row>
    <row r="500" spans="8:20" x14ac:dyDescent="0.35">
      <c r="H500" s="711"/>
      <c r="I500" s="711"/>
      <c r="J500" s="711"/>
      <c r="K500" s="711"/>
      <c r="L500" s="711"/>
      <c r="Q500" s="11"/>
      <c r="R500" s="11"/>
      <c r="S500" s="11"/>
      <c r="T500" s="11"/>
    </row>
    <row r="501" spans="8:20" x14ac:dyDescent="0.35">
      <c r="H501" s="711"/>
      <c r="I501" s="711"/>
      <c r="J501" s="711"/>
      <c r="K501" s="711"/>
      <c r="L501" s="711"/>
      <c r="Q501" s="11"/>
      <c r="R501" s="11"/>
      <c r="S501" s="11"/>
      <c r="T501" s="11"/>
    </row>
    <row r="502" spans="8:20" x14ac:dyDescent="0.35">
      <c r="H502" s="711"/>
      <c r="I502" s="711"/>
      <c r="J502" s="711"/>
      <c r="K502" s="711"/>
      <c r="L502" s="711"/>
      <c r="Q502" s="11"/>
      <c r="R502" s="11"/>
      <c r="S502" s="11"/>
      <c r="T502" s="11"/>
    </row>
    <row r="503" spans="8:20" x14ac:dyDescent="0.35">
      <c r="H503" s="711"/>
      <c r="I503" s="711"/>
      <c r="J503" s="711"/>
      <c r="K503" s="711"/>
      <c r="L503" s="711"/>
      <c r="Q503" s="11"/>
      <c r="R503" s="11"/>
      <c r="S503" s="11"/>
      <c r="T503" s="11"/>
    </row>
    <row r="504" spans="8:20" x14ac:dyDescent="0.35">
      <c r="H504" s="711"/>
      <c r="I504" s="711"/>
      <c r="J504" s="711"/>
      <c r="K504" s="711"/>
      <c r="L504" s="711"/>
      <c r="Q504" s="11"/>
      <c r="R504" s="11"/>
      <c r="S504" s="11"/>
      <c r="T504" s="11"/>
    </row>
    <row r="505" spans="8:20" x14ac:dyDescent="0.35">
      <c r="H505" s="711"/>
      <c r="I505" s="711"/>
      <c r="J505" s="711"/>
      <c r="K505" s="711"/>
      <c r="L505" s="711"/>
      <c r="Q505" s="11"/>
      <c r="R505" s="11"/>
      <c r="S505" s="11"/>
      <c r="T505" s="11"/>
    </row>
    <row r="506" spans="8:20" x14ac:dyDescent="0.35">
      <c r="H506" s="711"/>
      <c r="I506" s="711"/>
      <c r="J506" s="711"/>
      <c r="K506" s="711"/>
      <c r="L506" s="711"/>
      <c r="Q506" s="11"/>
      <c r="R506" s="11"/>
      <c r="S506" s="11"/>
      <c r="T506" s="11"/>
    </row>
    <row r="507" spans="8:20" x14ac:dyDescent="0.35">
      <c r="H507" s="711"/>
      <c r="I507" s="711"/>
      <c r="J507" s="711"/>
      <c r="K507" s="711"/>
      <c r="L507" s="711"/>
      <c r="Q507" s="11"/>
      <c r="R507" s="11"/>
      <c r="S507" s="11"/>
      <c r="T507" s="11"/>
    </row>
    <row r="508" spans="8:20" x14ac:dyDescent="0.35">
      <c r="H508" s="711"/>
      <c r="I508" s="711"/>
      <c r="J508" s="711"/>
      <c r="K508" s="711"/>
      <c r="L508" s="711"/>
      <c r="Q508" s="11"/>
      <c r="R508" s="11"/>
      <c r="S508" s="11"/>
      <c r="T508" s="11"/>
    </row>
    <row r="509" spans="8:20" x14ac:dyDescent="0.35">
      <c r="H509" s="711"/>
      <c r="I509" s="711"/>
      <c r="J509" s="711"/>
      <c r="K509" s="711"/>
      <c r="L509" s="711"/>
      <c r="Q509" s="11"/>
      <c r="R509" s="11"/>
      <c r="S509" s="11"/>
      <c r="T509" s="11"/>
    </row>
    <row r="510" spans="8:20" x14ac:dyDescent="0.35">
      <c r="H510" s="711"/>
      <c r="I510" s="711"/>
      <c r="J510" s="711"/>
      <c r="K510" s="711"/>
      <c r="L510" s="711"/>
      <c r="Q510" s="11"/>
      <c r="R510" s="11"/>
      <c r="S510" s="11"/>
      <c r="T510" s="11"/>
    </row>
    <row r="511" spans="8:20" x14ac:dyDescent="0.35">
      <c r="H511" s="711"/>
      <c r="I511" s="711"/>
      <c r="J511" s="711"/>
      <c r="K511" s="711"/>
      <c r="L511" s="711"/>
      <c r="Q511" s="11"/>
      <c r="R511" s="11"/>
      <c r="S511" s="11"/>
      <c r="T511" s="11"/>
    </row>
    <row r="512" spans="8:20" x14ac:dyDescent="0.35">
      <c r="H512" s="711"/>
      <c r="I512" s="711"/>
      <c r="J512" s="711"/>
      <c r="K512" s="711"/>
      <c r="L512" s="711"/>
      <c r="Q512" s="11"/>
      <c r="R512" s="11"/>
      <c r="S512" s="11"/>
      <c r="T512" s="11"/>
    </row>
    <row r="513" spans="8:20" x14ac:dyDescent="0.35">
      <c r="H513" s="711"/>
      <c r="I513" s="711"/>
      <c r="J513" s="711"/>
      <c r="K513" s="711"/>
      <c r="L513" s="711"/>
      <c r="Q513" s="11"/>
      <c r="R513" s="11"/>
      <c r="S513" s="11"/>
      <c r="T513" s="11"/>
    </row>
    <row r="514" spans="8:20" x14ac:dyDescent="0.35">
      <c r="H514" s="711"/>
      <c r="I514" s="711"/>
      <c r="J514" s="711"/>
      <c r="K514" s="711"/>
      <c r="L514" s="711"/>
      <c r="Q514" s="11"/>
      <c r="R514" s="11"/>
      <c r="S514" s="11"/>
      <c r="T514" s="11"/>
    </row>
    <row r="515" spans="8:20" x14ac:dyDescent="0.35">
      <c r="H515" s="711"/>
      <c r="I515" s="711"/>
      <c r="J515" s="711"/>
      <c r="K515" s="711"/>
      <c r="L515" s="711"/>
      <c r="Q515" s="11"/>
      <c r="R515" s="11"/>
      <c r="S515" s="11"/>
      <c r="T515" s="11"/>
    </row>
    <row r="516" spans="8:20" x14ac:dyDescent="0.35">
      <c r="H516" s="711"/>
      <c r="I516" s="711"/>
      <c r="J516" s="711"/>
      <c r="K516" s="711"/>
      <c r="L516" s="711"/>
      <c r="Q516" s="11"/>
      <c r="R516" s="11"/>
      <c r="S516" s="11"/>
      <c r="T516" s="11"/>
    </row>
    <row r="517" spans="8:20" x14ac:dyDescent="0.35">
      <c r="H517" s="711"/>
      <c r="I517" s="711"/>
      <c r="J517" s="711"/>
      <c r="K517" s="711"/>
      <c r="L517" s="711"/>
      <c r="Q517" s="11"/>
      <c r="R517" s="11"/>
      <c r="S517" s="11"/>
      <c r="T517" s="11"/>
    </row>
    <row r="518" spans="8:20" x14ac:dyDescent="0.35">
      <c r="H518" s="711"/>
      <c r="I518" s="711"/>
      <c r="J518" s="711"/>
      <c r="K518" s="711"/>
      <c r="L518" s="711"/>
      <c r="Q518" s="11"/>
      <c r="R518" s="11"/>
      <c r="S518" s="11"/>
      <c r="T518" s="11"/>
    </row>
    <row r="519" spans="8:20" x14ac:dyDescent="0.35">
      <c r="H519" s="711"/>
      <c r="I519" s="711"/>
      <c r="J519" s="711"/>
      <c r="K519" s="711"/>
      <c r="L519" s="711"/>
      <c r="Q519" s="11"/>
      <c r="R519" s="11"/>
      <c r="S519" s="11"/>
      <c r="T519" s="11"/>
    </row>
    <row r="520" spans="8:20" x14ac:dyDescent="0.35">
      <c r="H520" s="711"/>
      <c r="I520" s="711"/>
      <c r="J520" s="711"/>
      <c r="K520" s="711"/>
      <c r="L520" s="711"/>
      <c r="Q520" s="11"/>
      <c r="R520" s="11"/>
      <c r="S520" s="11"/>
      <c r="T520" s="11"/>
    </row>
    <row r="521" spans="8:20" x14ac:dyDescent="0.35">
      <c r="H521" s="711"/>
      <c r="I521" s="711"/>
      <c r="J521" s="711"/>
      <c r="K521" s="711"/>
      <c r="L521" s="711"/>
      <c r="Q521" s="11"/>
      <c r="R521" s="11"/>
      <c r="S521" s="11"/>
      <c r="T521" s="11"/>
    </row>
    <row r="522" spans="8:20" x14ac:dyDescent="0.35">
      <c r="H522" s="711"/>
      <c r="I522" s="711"/>
      <c r="J522" s="711"/>
      <c r="K522" s="711"/>
      <c r="L522" s="711"/>
      <c r="Q522" s="11"/>
      <c r="R522" s="11"/>
      <c r="S522" s="11"/>
      <c r="T522" s="11"/>
    </row>
    <row r="523" spans="8:20" x14ac:dyDescent="0.35">
      <c r="H523" s="711"/>
      <c r="I523" s="711"/>
      <c r="J523" s="711"/>
      <c r="K523" s="711"/>
      <c r="L523" s="711"/>
      <c r="Q523" s="11"/>
      <c r="R523" s="11"/>
      <c r="S523" s="11"/>
      <c r="T523" s="11"/>
    </row>
    <row r="524" spans="8:20" x14ac:dyDescent="0.35">
      <c r="H524" s="711"/>
      <c r="I524" s="711"/>
      <c r="J524" s="711"/>
      <c r="K524" s="711"/>
      <c r="L524" s="711"/>
      <c r="Q524" s="11"/>
      <c r="R524" s="11"/>
      <c r="S524" s="11"/>
      <c r="T524" s="11"/>
    </row>
    <row r="525" spans="8:20" x14ac:dyDescent="0.35">
      <c r="H525" s="711"/>
      <c r="I525" s="711"/>
      <c r="J525" s="711"/>
      <c r="K525" s="711"/>
      <c r="L525" s="711"/>
      <c r="Q525" s="11"/>
      <c r="R525" s="11"/>
      <c r="S525" s="11"/>
      <c r="T525" s="11"/>
    </row>
    <row r="526" spans="8:20" x14ac:dyDescent="0.35">
      <c r="H526" s="711"/>
      <c r="I526" s="711"/>
      <c r="J526" s="711"/>
      <c r="K526" s="711"/>
      <c r="L526" s="711"/>
      <c r="Q526" s="11"/>
      <c r="R526" s="11"/>
      <c r="S526" s="11"/>
      <c r="T526" s="11"/>
    </row>
    <row r="527" spans="8:20" x14ac:dyDescent="0.35">
      <c r="H527" s="711"/>
      <c r="I527" s="711"/>
      <c r="J527" s="711"/>
      <c r="K527" s="711"/>
      <c r="L527" s="711"/>
      <c r="Q527" s="11"/>
      <c r="R527" s="11"/>
      <c r="S527" s="11"/>
      <c r="T527" s="11"/>
    </row>
    <row r="528" spans="8:20" x14ac:dyDescent="0.35">
      <c r="H528" s="711"/>
      <c r="I528" s="711"/>
      <c r="J528" s="711"/>
      <c r="K528" s="711"/>
      <c r="L528" s="711"/>
      <c r="Q528" s="11"/>
      <c r="R528" s="11"/>
      <c r="S528" s="11"/>
      <c r="T528" s="11"/>
    </row>
    <row r="529" spans="8:20" x14ac:dyDescent="0.35">
      <c r="H529" s="711"/>
      <c r="I529" s="711"/>
      <c r="J529" s="711"/>
      <c r="K529" s="711"/>
      <c r="L529" s="711"/>
      <c r="Q529" s="11"/>
      <c r="R529" s="11"/>
      <c r="S529" s="11"/>
      <c r="T529" s="11"/>
    </row>
    <row r="530" spans="8:20" x14ac:dyDescent="0.35">
      <c r="H530" s="711"/>
      <c r="I530" s="711"/>
      <c r="J530" s="711"/>
      <c r="K530" s="711"/>
      <c r="L530" s="711"/>
      <c r="Q530" s="11"/>
      <c r="R530" s="11"/>
      <c r="S530" s="11"/>
      <c r="T530" s="11"/>
    </row>
    <row r="531" spans="8:20" x14ac:dyDescent="0.35">
      <c r="H531" s="711"/>
      <c r="I531" s="711"/>
      <c r="J531" s="711"/>
      <c r="K531" s="711"/>
      <c r="L531" s="711"/>
      <c r="Q531" s="11"/>
      <c r="R531" s="11"/>
      <c r="S531" s="11"/>
      <c r="T531" s="11"/>
    </row>
    <row r="532" spans="8:20" x14ac:dyDescent="0.35">
      <c r="H532" s="711"/>
      <c r="I532" s="711"/>
      <c r="J532" s="711"/>
      <c r="K532" s="711"/>
      <c r="L532" s="711"/>
      <c r="Q532" s="11"/>
      <c r="R532" s="11"/>
      <c r="S532" s="11"/>
      <c r="T532" s="11"/>
    </row>
    <row r="533" spans="8:20" x14ac:dyDescent="0.35">
      <c r="H533" s="711"/>
      <c r="I533" s="711"/>
      <c r="J533" s="711"/>
      <c r="K533" s="711"/>
      <c r="L533" s="711"/>
      <c r="Q533" s="11"/>
      <c r="R533" s="11"/>
      <c r="S533" s="11"/>
      <c r="T533" s="11"/>
    </row>
    <row r="534" spans="8:20" x14ac:dyDescent="0.35">
      <c r="H534" s="711"/>
      <c r="I534" s="711"/>
      <c r="J534" s="711"/>
      <c r="K534" s="711"/>
      <c r="L534" s="711"/>
      <c r="Q534" s="11"/>
      <c r="R534" s="11"/>
      <c r="S534" s="11"/>
      <c r="T534" s="11"/>
    </row>
    <row r="535" spans="8:20" x14ac:dyDescent="0.35">
      <c r="H535" s="711"/>
      <c r="I535" s="711"/>
      <c r="J535" s="711"/>
      <c r="K535" s="711"/>
      <c r="L535" s="711"/>
      <c r="Q535" s="11"/>
      <c r="R535" s="11"/>
      <c r="S535" s="11"/>
      <c r="T535" s="11"/>
    </row>
    <row r="536" spans="8:20" x14ac:dyDescent="0.35">
      <c r="H536" s="711"/>
      <c r="I536" s="711"/>
      <c r="J536" s="711"/>
      <c r="K536" s="711"/>
      <c r="L536" s="711"/>
      <c r="Q536" s="11"/>
      <c r="R536" s="11"/>
      <c r="S536" s="11"/>
      <c r="T536" s="11"/>
    </row>
    <row r="537" spans="8:20" x14ac:dyDescent="0.35">
      <c r="H537" s="711"/>
      <c r="I537" s="711"/>
      <c r="J537" s="711"/>
      <c r="K537" s="711"/>
      <c r="L537" s="711"/>
      <c r="Q537" s="11"/>
      <c r="R537" s="11"/>
      <c r="S537" s="11"/>
      <c r="T537" s="11"/>
    </row>
    <row r="538" spans="8:20" x14ac:dyDescent="0.35">
      <c r="H538" s="711"/>
      <c r="I538" s="711"/>
      <c r="J538" s="711"/>
      <c r="K538" s="711"/>
      <c r="L538" s="711"/>
      <c r="Q538" s="11"/>
      <c r="R538" s="11"/>
      <c r="S538" s="11"/>
      <c r="T538" s="11"/>
    </row>
    <row r="539" spans="8:20" x14ac:dyDescent="0.35">
      <c r="H539" s="711"/>
      <c r="I539" s="711"/>
      <c r="J539" s="711"/>
      <c r="K539" s="711"/>
      <c r="L539" s="711"/>
      <c r="Q539" s="11"/>
      <c r="R539" s="11"/>
      <c r="S539" s="11"/>
      <c r="T539" s="11"/>
    </row>
    <row r="540" spans="8:20" x14ac:dyDescent="0.35">
      <c r="H540" s="711"/>
      <c r="I540" s="711"/>
      <c r="J540" s="711"/>
      <c r="K540" s="711"/>
      <c r="L540" s="711"/>
      <c r="Q540" s="11"/>
      <c r="R540" s="11"/>
      <c r="S540" s="11"/>
      <c r="T540" s="11"/>
    </row>
    <row r="541" spans="8:20" x14ac:dyDescent="0.35">
      <c r="H541" s="711"/>
      <c r="I541" s="711"/>
      <c r="J541" s="711"/>
      <c r="K541" s="711"/>
      <c r="L541" s="711"/>
      <c r="Q541" s="11"/>
      <c r="R541" s="11"/>
      <c r="S541" s="11"/>
      <c r="T541" s="11"/>
    </row>
    <row r="542" spans="8:20" x14ac:dyDescent="0.35">
      <c r="H542" s="711"/>
      <c r="I542" s="711"/>
      <c r="J542" s="711"/>
      <c r="K542" s="711"/>
      <c r="L542" s="711"/>
      <c r="Q542" s="11"/>
      <c r="R542" s="11"/>
      <c r="S542" s="11"/>
      <c r="T542" s="11"/>
    </row>
    <row r="543" spans="8:20" x14ac:dyDescent="0.35">
      <c r="H543" s="711"/>
      <c r="I543" s="711"/>
      <c r="J543" s="711"/>
      <c r="K543" s="711"/>
      <c r="L543" s="711"/>
      <c r="Q543" s="11"/>
      <c r="R543" s="11"/>
      <c r="S543" s="11"/>
      <c r="T543" s="11"/>
    </row>
    <row r="544" spans="8:20" x14ac:dyDescent="0.35">
      <c r="H544" s="711"/>
      <c r="I544" s="711"/>
      <c r="J544" s="711"/>
      <c r="K544" s="711"/>
      <c r="L544" s="711"/>
      <c r="Q544" s="11"/>
      <c r="R544" s="11"/>
      <c r="S544" s="11"/>
      <c r="T544" s="11"/>
    </row>
    <row r="545" spans="8:20" x14ac:dyDescent="0.35">
      <c r="H545" s="711"/>
      <c r="I545" s="711"/>
      <c r="J545" s="711"/>
      <c r="K545" s="711"/>
      <c r="L545" s="711"/>
      <c r="Q545" s="11"/>
      <c r="R545" s="11"/>
      <c r="S545" s="11"/>
      <c r="T545" s="11"/>
    </row>
    <row r="546" spans="8:20" x14ac:dyDescent="0.35">
      <c r="H546" s="711"/>
      <c r="I546" s="711"/>
      <c r="J546" s="711"/>
      <c r="K546" s="711"/>
      <c r="L546" s="711"/>
      <c r="Q546" s="11"/>
      <c r="R546" s="11"/>
      <c r="S546" s="11"/>
      <c r="T546" s="11"/>
    </row>
    <row r="547" spans="8:20" x14ac:dyDescent="0.35">
      <c r="H547" s="711"/>
      <c r="I547" s="711"/>
      <c r="J547" s="711"/>
      <c r="K547" s="711"/>
      <c r="L547" s="711"/>
      <c r="Q547" s="11"/>
      <c r="R547" s="11"/>
      <c r="S547" s="11"/>
      <c r="T547" s="11"/>
    </row>
    <row r="548" spans="8:20" x14ac:dyDescent="0.35">
      <c r="H548" s="711"/>
      <c r="I548" s="711"/>
      <c r="J548" s="711"/>
      <c r="K548" s="711"/>
      <c r="L548" s="711"/>
      <c r="Q548" s="11"/>
      <c r="R548" s="11"/>
      <c r="S548" s="11"/>
      <c r="T548" s="11"/>
    </row>
    <row r="549" spans="8:20" x14ac:dyDescent="0.35">
      <c r="H549" s="711"/>
      <c r="I549" s="711"/>
      <c r="J549" s="711"/>
      <c r="K549" s="711"/>
      <c r="L549" s="711"/>
      <c r="Q549" s="11"/>
      <c r="R549" s="11"/>
      <c r="S549" s="11"/>
      <c r="T549" s="11"/>
    </row>
    <row r="550" spans="8:20" x14ac:dyDescent="0.35">
      <c r="H550" s="711"/>
      <c r="I550" s="711"/>
      <c r="J550" s="711"/>
      <c r="K550" s="711"/>
      <c r="L550" s="711"/>
      <c r="Q550" s="11"/>
      <c r="R550" s="11"/>
      <c r="S550" s="11"/>
      <c r="T550" s="11"/>
    </row>
    <row r="551" spans="8:20" x14ac:dyDescent="0.35">
      <c r="H551" s="711"/>
      <c r="I551" s="711"/>
      <c r="J551" s="711"/>
      <c r="K551" s="711"/>
      <c r="L551" s="711"/>
      <c r="Q551" s="11"/>
      <c r="R551" s="11"/>
      <c r="S551" s="11"/>
      <c r="T551" s="11"/>
    </row>
    <row r="552" spans="8:20" x14ac:dyDescent="0.35">
      <c r="H552" s="711"/>
      <c r="I552" s="711"/>
      <c r="J552" s="711"/>
      <c r="K552" s="711"/>
      <c r="L552" s="711"/>
      <c r="Q552" s="11"/>
      <c r="R552" s="11"/>
      <c r="S552" s="11"/>
      <c r="T552" s="11"/>
    </row>
    <row r="553" spans="8:20" x14ac:dyDescent="0.35">
      <c r="H553" s="711"/>
      <c r="I553" s="711"/>
      <c r="J553" s="711"/>
      <c r="K553" s="711"/>
      <c r="L553" s="711"/>
      <c r="Q553" s="11"/>
      <c r="R553" s="11"/>
      <c r="S553" s="11"/>
      <c r="T553" s="11"/>
    </row>
    <row r="554" spans="8:20" x14ac:dyDescent="0.35">
      <c r="H554" s="711"/>
      <c r="I554" s="711"/>
      <c r="J554" s="711"/>
      <c r="K554" s="711"/>
      <c r="L554" s="711"/>
      <c r="Q554" s="11"/>
      <c r="R554" s="11"/>
      <c r="S554" s="11"/>
      <c r="T554" s="11"/>
    </row>
    <row r="555" spans="8:20" x14ac:dyDescent="0.35">
      <c r="H555" s="711"/>
      <c r="I555" s="711"/>
      <c r="J555" s="711"/>
      <c r="K555" s="711"/>
      <c r="L555" s="711"/>
      <c r="Q555" s="11"/>
      <c r="R555" s="11"/>
      <c r="S555" s="11"/>
      <c r="T555" s="11"/>
    </row>
    <row r="556" spans="8:20" x14ac:dyDescent="0.35">
      <c r="H556" s="711"/>
      <c r="I556" s="711"/>
      <c r="J556" s="711"/>
      <c r="K556" s="711"/>
      <c r="L556" s="711"/>
      <c r="Q556" s="11"/>
      <c r="R556" s="11"/>
      <c r="S556" s="11"/>
      <c r="T556" s="11"/>
    </row>
    <row r="557" spans="8:20" x14ac:dyDescent="0.35">
      <c r="H557" s="711"/>
      <c r="I557" s="711"/>
      <c r="J557" s="711"/>
      <c r="K557" s="711"/>
      <c r="L557" s="711"/>
      <c r="Q557" s="11"/>
      <c r="R557" s="11"/>
      <c r="S557" s="11"/>
      <c r="T557" s="11"/>
    </row>
    <row r="558" spans="8:20" x14ac:dyDescent="0.35">
      <c r="H558" s="711"/>
      <c r="I558" s="711"/>
      <c r="J558" s="711"/>
      <c r="K558" s="711"/>
      <c r="L558" s="711"/>
      <c r="Q558" s="11"/>
      <c r="R558" s="11"/>
      <c r="S558" s="11"/>
      <c r="T558" s="11"/>
    </row>
    <row r="559" spans="8:20" x14ac:dyDescent="0.35">
      <c r="H559" s="711"/>
      <c r="I559" s="711"/>
      <c r="J559" s="711"/>
      <c r="K559" s="711"/>
      <c r="L559" s="711"/>
      <c r="Q559" s="11"/>
      <c r="R559" s="11"/>
      <c r="S559" s="11"/>
      <c r="T559" s="11"/>
    </row>
    <row r="560" spans="8:20" x14ac:dyDescent="0.35">
      <c r="H560" s="711"/>
      <c r="I560" s="711"/>
      <c r="J560" s="711"/>
      <c r="K560" s="711"/>
      <c r="L560" s="711"/>
      <c r="Q560" s="11"/>
      <c r="R560" s="11"/>
      <c r="S560" s="11"/>
      <c r="T560" s="11"/>
    </row>
    <row r="561" spans="8:20" x14ac:dyDescent="0.35">
      <c r="H561" s="711"/>
      <c r="I561" s="711"/>
      <c r="J561" s="711"/>
      <c r="K561" s="711"/>
      <c r="L561" s="711"/>
      <c r="Q561" s="11"/>
      <c r="R561" s="11"/>
      <c r="S561" s="11"/>
      <c r="T561" s="11"/>
    </row>
    <row r="562" spans="8:20" x14ac:dyDescent="0.35">
      <c r="H562" s="711"/>
      <c r="I562" s="711"/>
      <c r="J562" s="711"/>
      <c r="K562" s="711"/>
      <c r="L562" s="711"/>
      <c r="Q562" s="11"/>
      <c r="R562" s="11"/>
      <c r="S562" s="11"/>
      <c r="T562" s="11"/>
    </row>
    <row r="563" spans="8:20" x14ac:dyDescent="0.35">
      <c r="H563" s="711"/>
      <c r="I563" s="711"/>
      <c r="J563" s="711"/>
      <c r="K563" s="711"/>
      <c r="L563" s="711"/>
      <c r="Q563" s="11"/>
      <c r="R563" s="11"/>
      <c r="S563" s="11"/>
      <c r="T563" s="11"/>
    </row>
    <row r="564" spans="8:20" x14ac:dyDescent="0.35">
      <c r="H564" s="711"/>
      <c r="I564" s="711"/>
      <c r="J564" s="711"/>
      <c r="K564" s="711"/>
      <c r="L564" s="711"/>
      <c r="Q564" s="11"/>
      <c r="R564" s="11"/>
      <c r="S564" s="11"/>
      <c r="T564" s="11"/>
    </row>
    <row r="565" spans="8:20" x14ac:dyDescent="0.35">
      <c r="H565" s="711"/>
      <c r="I565" s="711"/>
      <c r="J565" s="711"/>
      <c r="K565" s="711"/>
      <c r="L565" s="711"/>
      <c r="Q565" s="11"/>
      <c r="R565" s="11"/>
      <c r="S565" s="11"/>
      <c r="T565" s="11"/>
    </row>
    <row r="566" spans="8:20" x14ac:dyDescent="0.35">
      <c r="H566" s="711"/>
      <c r="I566" s="711"/>
      <c r="J566" s="711"/>
      <c r="K566" s="711"/>
      <c r="L566" s="711"/>
      <c r="Q566" s="11"/>
      <c r="R566" s="11"/>
      <c r="S566" s="11"/>
      <c r="T566" s="11"/>
    </row>
    <row r="567" spans="8:20" x14ac:dyDescent="0.35">
      <c r="H567" s="711"/>
      <c r="I567" s="711"/>
      <c r="J567" s="711"/>
      <c r="K567" s="711"/>
      <c r="L567" s="711"/>
      <c r="Q567" s="11"/>
      <c r="R567" s="11"/>
      <c r="S567" s="11"/>
      <c r="T567" s="11"/>
    </row>
    <row r="568" spans="8:20" x14ac:dyDescent="0.35">
      <c r="H568" s="711"/>
      <c r="I568" s="711"/>
      <c r="J568" s="711"/>
      <c r="K568" s="711"/>
      <c r="L568" s="711"/>
      <c r="Q568" s="11"/>
      <c r="R568" s="11"/>
      <c r="S568" s="11"/>
      <c r="T568" s="11"/>
    </row>
    <row r="569" spans="8:20" x14ac:dyDescent="0.35">
      <c r="H569" s="711"/>
      <c r="I569" s="711"/>
      <c r="J569" s="711"/>
      <c r="K569" s="711"/>
      <c r="L569" s="711"/>
      <c r="Q569" s="11"/>
      <c r="R569" s="11"/>
      <c r="S569" s="11"/>
      <c r="T569" s="11"/>
    </row>
    <row r="570" spans="8:20" x14ac:dyDescent="0.35">
      <c r="H570" s="711"/>
      <c r="I570" s="711"/>
      <c r="J570" s="711"/>
      <c r="K570" s="711"/>
      <c r="L570" s="711"/>
      <c r="Q570" s="11"/>
      <c r="R570" s="11"/>
      <c r="S570" s="11"/>
      <c r="T570" s="11"/>
    </row>
    <row r="571" spans="8:20" x14ac:dyDescent="0.35">
      <c r="H571" s="711"/>
      <c r="I571" s="711"/>
      <c r="J571" s="711"/>
      <c r="K571" s="711"/>
      <c r="L571" s="711"/>
      <c r="Q571" s="11"/>
      <c r="R571" s="11"/>
      <c r="S571" s="11"/>
      <c r="T571" s="11"/>
    </row>
    <row r="572" spans="8:20" x14ac:dyDescent="0.35">
      <c r="H572" s="711"/>
      <c r="I572" s="711"/>
      <c r="J572" s="711"/>
      <c r="K572" s="711"/>
      <c r="L572" s="711"/>
      <c r="Q572" s="11"/>
      <c r="R572" s="11"/>
      <c r="S572" s="11"/>
      <c r="T572" s="11"/>
    </row>
    <row r="573" spans="8:20" x14ac:dyDescent="0.35">
      <c r="H573" s="711"/>
      <c r="I573" s="711"/>
      <c r="J573" s="711"/>
      <c r="K573" s="711"/>
      <c r="L573" s="711"/>
      <c r="Q573" s="11"/>
      <c r="R573" s="11"/>
      <c r="S573" s="11"/>
      <c r="T573" s="11"/>
    </row>
    <row r="574" spans="8:20" x14ac:dyDescent="0.35">
      <c r="H574" s="711"/>
      <c r="I574" s="711"/>
      <c r="J574" s="711"/>
      <c r="K574" s="711"/>
      <c r="L574" s="711"/>
      <c r="Q574" s="11"/>
      <c r="R574" s="11"/>
      <c r="S574" s="11"/>
      <c r="T574" s="11"/>
    </row>
    <row r="575" spans="8:20" x14ac:dyDescent="0.35">
      <c r="H575" s="711"/>
      <c r="I575" s="711"/>
      <c r="J575" s="711"/>
      <c r="K575" s="711"/>
      <c r="L575" s="711"/>
      <c r="Q575" s="11"/>
      <c r="R575" s="11"/>
      <c r="S575" s="11"/>
      <c r="T575" s="11"/>
    </row>
    <row r="576" spans="8:20" x14ac:dyDescent="0.35">
      <c r="H576" s="711"/>
      <c r="I576" s="711"/>
      <c r="J576" s="711"/>
      <c r="K576" s="711"/>
      <c r="L576" s="711"/>
      <c r="Q576" s="11"/>
      <c r="R576" s="11"/>
      <c r="S576" s="11"/>
      <c r="T576" s="11"/>
    </row>
    <row r="577" spans="8:20" x14ac:dyDescent="0.35">
      <c r="H577" s="711"/>
      <c r="I577" s="711"/>
      <c r="J577" s="711"/>
      <c r="K577" s="711"/>
      <c r="L577" s="711"/>
      <c r="Q577" s="11"/>
      <c r="R577" s="11"/>
      <c r="S577" s="11"/>
      <c r="T577" s="11"/>
    </row>
    <row r="578" spans="8:20" x14ac:dyDescent="0.35">
      <c r="H578" s="711"/>
      <c r="I578" s="711"/>
      <c r="J578" s="711"/>
      <c r="K578" s="711"/>
      <c r="L578" s="711"/>
      <c r="Q578" s="11"/>
      <c r="R578" s="11"/>
      <c r="S578" s="11"/>
      <c r="T578" s="11"/>
    </row>
    <row r="579" spans="8:20" x14ac:dyDescent="0.35">
      <c r="H579" s="711"/>
      <c r="I579" s="711"/>
      <c r="J579" s="711"/>
      <c r="K579" s="711"/>
      <c r="L579" s="711"/>
      <c r="Q579" s="11"/>
      <c r="R579" s="11"/>
      <c r="S579" s="11"/>
      <c r="T579" s="11"/>
    </row>
    <row r="580" spans="8:20" x14ac:dyDescent="0.35">
      <c r="H580" s="711"/>
      <c r="I580" s="711"/>
      <c r="J580" s="711"/>
      <c r="K580" s="711"/>
      <c r="L580" s="711"/>
      <c r="Q580" s="11"/>
      <c r="R580" s="11"/>
      <c r="S580" s="11"/>
      <c r="T580" s="11"/>
    </row>
    <row r="581" spans="8:20" x14ac:dyDescent="0.35">
      <c r="H581" s="711"/>
      <c r="I581" s="711"/>
      <c r="J581" s="711"/>
      <c r="K581" s="711"/>
      <c r="L581" s="711"/>
      <c r="Q581" s="11"/>
      <c r="R581" s="11"/>
      <c r="S581" s="11"/>
      <c r="T581" s="11"/>
    </row>
    <row r="582" spans="8:20" x14ac:dyDescent="0.35">
      <c r="H582" s="711"/>
      <c r="I582" s="711"/>
      <c r="J582" s="711"/>
      <c r="K582" s="711"/>
      <c r="L582" s="711"/>
      <c r="Q582" s="11"/>
      <c r="R582" s="11"/>
      <c r="S582" s="11"/>
      <c r="T582" s="11"/>
    </row>
    <row r="583" spans="8:20" x14ac:dyDescent="0.35">
      <c r="H583" s="711"/>
      <c r="I583" s="711"/>
      <c r="J583" s="711"/>
      <c r="K583" s="711"/>
      <c r="L583" s="711"/>
      <c r="Q583" s="11"/>
      <c r="R583" s="11"/>
      <c r="S583" s="11"/>
      <c r="T583" s="11"/>
    </row>
    <row r="584" spans="8:20" x14ac:dyDescent="0.35">
      <c r="H584" s="711"/>
      <c r="I584" s="711"/>
      <c r="J584" s="711"/>
      <c r="K584" s="711"/>
      <c r="L584" s="711"/>
      <c r="Q584" s="11"/>
      <c r="R584" s="11"/>
      <c r="S584" s="11"/>
      <c r="T584" s="11"/>
    </row>
    <row r="585" spans="8:20" x14ac:dyDescent="0.35">
      <c r="H585" s="711"/>
      <c r="I585" s="711"/>
      <c r="J585" s="711"/>
      <c r="K585" s="711"/>
      <c r="L585" s="711"/>
      <c r="Q585" s="11"/>
      <c r="R585" s="11"/>
      <c r="S585" s="11"/>
      <c r="T585" s="11"/>
    </row>
    <row r="586" spans="8:20" x14ac:dyDescent="0.35">
      <c r="H586" s="711"/>
      <c r="I586" s="711"/>
      <c r="J586" s="711"/>
      <c r="K586" s="711"/>
      <c r="L586" s="711"/>
      <c r="Q586" s="11"/>
      <c r="R586" s="11"/>
      <c r="S586" s="11"/>
      <c r="T586" s="11"/>
    </row>
    <row r="587" spans="8:20" x14ac:dyDescent="0.35">
      <c r="H587" s="711"/>
      <c r="I587" s="711"/>
      <c r="J587" s="711"/>
      <c r="K587" s="711"/>
      <c r="L587" s="711"/>
      <c r="Q587" s="11"/>
      <c r="R587" s="11"/>
      <c r="S587" s="11"/>
      <c r="T587" s="11"/>
    </row>
    <row r="588" spans="8:20" x14ac:dyDescent="0.35">
      <c r="H588" s="711"/>
      <c r="I588" s="711"/>
      <c r="J588" s="711"/>
      <c r="K588" s="711"/>
      <c r="L588" s="711"/>
      <c r="Q588" s="11"/>
      <c r="R588" s="11"/>
      <c r="S588" s="11"/>
      <c r="T588" s="11"/>
    </row>
    <row r="589" spans="8:20" x14ac:dyDescent="0.35">
      <c r="H589" s="711"/>
      <c r="I589" s="711"/>
      <c r="J589" s="711"/>
      <c r="K589" s="711"/>
      <c r="L589" s="711"/>
      <c r="Q589" s="11"/>
      <c r="R589" s="11"/>
      <c r="S589" s="11"/>
      <c r="T589" s="11"/>
    </row>
    <row r="590" spans="8:20" x14ac:dyDescent="0.35">
      <c r="H590" s="711"/>
      <c r="I590" s="711"/>
      <c r="J590" s="711"/>
      <c r="K590" s="711"/>
      <c r="L590" s="711"/>
      <c r="Q590" s="11"/>
      <c r="R590" s="11"/>
      <c r="S590" s="11"/>
      <c r="T590" s="11"/>
    </row>
    <row r="591" spans="8:20" x14ac:dyDescent="0.35">
      <c r="H591" s="711"/>
      <c r="I591" s="711"/>
      <c r="J591" s="711"/>
      <c r="K591" s="711"/>
      <c r="L591" s="711"/>
      <c r="Q591" s="11"/>
      <c r="R591" s="11"/>
      <c r="S591" s="11"/>
      <c r="T591" s="11"/>
    </row>
    <row r="592" spans="8:20" x14ac:dyDescent="0.35">
      <c r="H592" s="711"/>
      <c r="I592" s="711"/>
      <c r="J592" s="711"/>
      <c r="K592" s="711"/>
      <c r="L592" s="711"/>
      <c r="Q592" s="11"/>
      <c r="R592" s="11"/>
      <c r="S592" s="11"/>
      <c r="T592" s="11"/>
    </row>
    <row r="593" spans="8:20" x14ac:dyDescent="0.35">
      <c r="H593" s="711"/>
      <c r="I593" s="711"/>
      <c r="J593" s="711"/>
      <c r="K593" s="711"/>
      <c r="L593" s="711"/>
      <c r="Q593" s="11"/>
      <c r="R593" s="11"/>
      <c r="S593" s="11"/>
      <c r="T593" s="11"/>
    </row>
    <row r="594" spans="8:20" x14ac:dyDescent="0.35">
      <c r="H594" s="711"/>
      <c r="I594" s="711"/>
      <c r="J594" s="711"/>
      <c r="K594" s="711"/>
      <c r="L594" s="711"/>
      <c r="Q594" s="11"/>
      <c r="R594" s="11"/>
      <c r="S594" s="11"/>
      <c r="T594" s="11"/>
    </row>
    <row r="595" spans="8:20" x14ac:dyDescent="0.35">
      <c r="H595" s="711"/>
      <c r="I595" s="711"/>
      <c r="J595" s="711"/>
      <c r="K595" s="711"/>
      <c r="L595" s="711"/>
      <c r="Q595" s="11"/>
      <c r="R595" s="11"/>
      <c r="S595" s="11"/>
      <c r="T595" s="11"/>
    </row>
    <row r="596" spans="8:20" x14ac:dyDescent="0.35">
      <c r="H596" s="711"/>
      <c r="I596" s="711"/>
      <c r="J596" s="711"/>
      <c r="K596" s="711"/>
      <c r="L596" s="711"/>
      <c r="Q596" s="11"/>
      <c r="R596" s="11"/>
      <c r="S596" s="11"/>
      <c r="T596" s="11"/>
    </row>
    <row r="597" spans="8:20" x14ac:dyDescent="0.35">
      <c r="H597" s="711"/>
      <c r="I597" s="711"/>
      <c r="J597" s="711"/>
      <c r="K597" s="711"/>
      <c r="L597" s="711"/>
      <c r="Q597" s="11"/>
      <c r="R597" s="11"/>
      <c r="S597" s="11"/>
      <c r="T597" s="11"/>
    </row>
    <row r="598" spans="8:20" x14ac:dyDescent="0.35">
      <c r="H598" s="711"/>
      <c r="I598" s="711"/>
      <c r="J598" s="711"/>
      <c r="K598" s="711"/>
      <c r="L598" s="711"/>
      <c r="Q598" s="11"/>
      <c r="R598" s="11"/>
      <c r="S598" s="11"/>
      <c r="T598" s="11"/>
    </row>
    <row r="599" spans="8:20" x14ac:dyDescent="0.35">
      <c r="H599" s="711"/>
      <c r="I599" s="711"/>
      <c r="J599" s="711"/>
      <c r="K599" s="711"/>
      <c r="L599" s="711"/>
      <c r="Q599" s="11"/>
      <c r="R599" s="11"/>
      <c r="S599" s="11"/>
      <c r="T599" s="11"/>
    </row>
    <row r="600" spans="8:20" x14ac:dyDescent="0.35">
      <c r="H600" s="711"/>
      <c r="I600" s="711"/>
      <c r="J600" s="711"/>
      <c r="K600" s="711"/>
      <c r="L600" s="711"/>
      <c r="Q600" s="11"/>
      <c r="R600" s="11"/>
      <c r="S600" s="11"/>
      <c r="T600" s="11"/>
    </row>
    <row r="601" spans="8:20" x14ac:dyDescent="0.35">
      <c r="H601" s="711"/>
      <c r="I601" s="711"/>
      <c r="J601" s="711"/>
      <c r="K601" s="711"/>
      <c r="L601" s="711"/>
      <c r="Q601" s="11"/>
      <c r="R601" s="11"/>
      <c r="S601" s="11"/>
      <c r="T601" s="11"/>
    </row>
    <row r="602" spans="8:20" x14ac:dyDescent="0.35">
      <c r="H602" s="711"/>
      <c r="I602" s="711"/>
      <c r="J602" s="711"/>
      <c r="K602" s="711"/>
      <c r="L602" s="711"/>
      <c r="Q602" s="11"/>
      <c r="R602" s="11"/>
      <c r="S602" s="11"/>
      <c r="T602" s="11"/>
    </row>
    <row r="603" spans="8:20" x14ac:dyDescent="0.35">
      <c r="H603" s="711"/>
      <c r="I603" s="711"/>
      <c r="J603" s="711"/>
      <c r="K603" s="711"/>
      <c r="L603" s="711"/>
      <c r="Q603" s="11"/>
      <c r="R603" s="11"/>
      <c r="S603" s="11"/>
      <c r="T603" s="11"/>
    </row>
    <row r="604" spans="8:20" x14ac:dyDescent="0.35">
      <c r="H604" s="711"/>
      <c r="I604" s="711"/>
      <c r="J604" s="711"/>
      <c r="K604" s="711"/>
      <c r="L604" s="711"/>
      <c r="Q604" s="11"/>
      <c r="R604" s="11"/>
      <c r="S604" s="11"/>
      <c r="T604" s="11"/>
    </row>
    <row r="605" spans="8:20" x14ac:dyDescent="0.35">
      <c r="H605" s="711"/>
      <c r="I605" s="711"/>
      <c r="J605" s="711"/>
      <c r="K605" s="711"/>
      <c r="L605" s="711"/>
      <c r="Q605" s="11"/>
      <c r="R605" s="11"/>
      <c r="S605" s="11"/>
      <c r="T605" s="11"/>
    </row>
    <row r="606" spans="8:20" x14ac:dyDescent="0.35">
      <c r="H606" s="711"/>
      <c r="I606" s="711"/>
      <c r="J606" s="711"/>
      <c r="K606" s="711"/>
      <c r="L606" s="711"/>
      <c r="Q606" s="11"/>
      <c r="R606" s="11"/>
      <c r="S606" s="11"/>
      <c r="T606" s="11"/>
    </row>
    <row r="607" spans="8:20" x14ac:dyDescent="0.35">
      <c r="H607" s="711"/>
      <c r="I607" s="711"/>
      <c r="J607" s="711"/>
      <c r="K607" s="711"/>
      <c r="L607" s="711"/>
      <c r="Q607" s="11"/>
      <c r="R607" s="11"/>
      <c r="S607" s="11"/>
      <c r="T607" s="11"/>
    </row>
    <row r="608" spans="8:20" x14ac:dyDescent="0.35">
      <c r="H608" s="711"/>
      <c r="I608" s="711"/>
      <c r="J608" s="711"/>
      <c r="K608" s="711"/>
      <c r="L608" s="711"/>
      <c r="Q608" s="11"/>
      <c r="R608" s="11"/>
      <c r="S608" s="11"/>
      <c r="T608" s="11"/>
    </row>
    <row r="609" spans="8:20" x14ac:dyDescent="0.35">
      <c r="H609" s="711"/>
      <c r="I609" s="711"/>
      <c r="J609" s="711"/>
      <c r="K609" s="711"/>
      <c r="L609" s="711"/>
      <c r="Q609" s="11"/>
      <c r="R609" s="11"/>
      <c r="S609" s="11"/>
      <c r="T609" s="11"/>
    </row>
    <row r="610" spans="8:20" x14ac:dyDescent="0.35">
      <c r="H610" s="711"/>
      <c r="I610" s="711"/>
      <c r="J610" s="711"/>
      <c r="K610" s="711"/>
      <c r="L610" s="711"/>
      <c r="Q610" s="11"/>
      <c r="R610" s="11"/>
      <c r="S610" s="11"/>
      <c r="T610" s="11"/>
    </row>
    <row r="611" spans="8:20" x14ac:dyDescent="0.35">
      <c r="H611" s="711"/>
      <c r="I611" s="711"/>
      <c r="J611" s="711"/>
      <c r="K611" s="711"/>
      <c r="L611" s="711"/>
      <c r="Q611" s="11"/>
      <c r="R611" s="11"/>
      <c r="S611" s="11"/>
      <c r="T611" s="11"/>
    </row>
    <row r="612" spans="8:20" x14ac:dyDescent="0.35">
      <c r="H612" s="711"/>
      <c r="I612" s="711"/>
      <c r="J612" s="711"/>
      <c r="K612" s="711"/>
      <c r="L612" s="711"/>
      <c r="Q612" s="11"/>
      <c r="R612" s="11"/>
      <c r="S612" s="11"/>
      <c r="T612" s="11"/>
    </row>
    <row r="613" spans="8:20" x14ac:dyDescent="0.35">
      <c r="H613" s="711"/>
      <c r="I613" s="711"/>
      <c r="J613" s="711"/>
      <c r="K613" s="711"/>
      <c r="L613" s="711"/>
      <c r="Q613" s="11"/>
      <c r="R613" s="11"/>
      <c r="S613" s="11"/>
      <c r="T613" s="11"/>
    </row>
    <row r="614" spans="8:20" x14ac:dyDescent="0.35">
      <c r="H614" s="711"/>
      <c r="I614" s="711"/>
      <c r="J614" s="711"/>
      <c r="K614" s="711"/>
      <c r="L614" s="711"/>
      <c r="Q614" s="11"/>
      <c r="R614" s="11"/>
      <c r="S614" s="11"/>
      <c r="T614" s="11"/>
    </row>
    <row r="615" spans="8:20" x14ac:dyDescent="0.35">
      <c r="H615" s="711"/>
      <c r="I615" s="711"/>
      <c r="J615" s="711"/>
      <c r="K615" s="711"/>
      <c r="L615" s="711"/>
      <c r="Q615" s="11"/>
      <c r="R615" s="11"/>
      <c r="S615" s="11"/>
      <c r="T615" s="11"/>
    </row>
    <row r="616" spans="8:20" x14ac:dyDescent="0.35">
      <c r="H616" s="711"/>
      <c r="I616" s="711"/>
      <c r="J616" s="711"/>
      <c r="K616" s="711"/>
      <c r="L616" s="711"/>
      <c r="Q616" s="11"/>
      <c r="R616" s="11"/>
      <c r="S616" s="11"/>
      <c r="T616" s="11"/>
    </row>
    <row r="617" spans="8:20" x14ac:dyDescent="0.35">
      <c r="H617" s="711"/>
      <c r="I617" s="711"/>
      <c r="J617" s="711"/>
      <c r="K617" s="711"/>
      <c r="L617" s="711"/>
      <c r="Q617" s="11"/>
      <c r="R617" s="11"/>
      <c r="S617" s="11"/>
      <c r="T617" s="11"/>
    </row>
    <row r="618" spans="8:20" x14ac:dyDescent="0.35">
      <c r="H618" s="711"/>
      <c r="I618" s="711"/>
      <c r="J618" s="711"/>
      <c r="K618" s="711"/>
      <c r="L618" s="711"/>
      <c r="Q618" s="11"/>
      <c r="R618" s="11"/>
      <c r="S618" s="11"/>
      <c r="T618" s="11"/>
    </row>
    <row r="619" spans="8:20" x14ac:dyDescent="0.35">
      <c r="H619" s="711"/>
      <c r="I619" s="711"/>
      <c r="J619" s="711"/>
      <c r="K619" s="711"/>
      <c r="L619" s="711"/>
      <c r="Q619" s="11"/>
      <c r="R619" s="11"/>
      <c r="S619" s="11"/>
      <c r="T619" s="11"/>
    </row>
    <row r="620" spans="8:20" x14ac:dyDescent="0.35">
      <c r="H620" s="711"/>
      <c r="I620" s="711"/>
      <c r="J620" s="711"/>
      <c r="K620" s="711"/>
      <c r="L620" s="711"/>
      <c r="Q620" s="11"/>
      <c r="R620" s="11"/>
      <c r="S620" s="11"/>
      <c r="T620" s="11"/>
    </row>
    <row r="621" spans="8:20" x14ac:dyDescent="0.35">
      <c r="H621" s="711"/>
      <c r="I621" s="711"/>
      <c r="J621" s="711"/>
      <c r="K621" s="711"/>
      <c r="L621" s="711"/>
      <c r="Q621" s="11"/>
      <c r="R621" s="11"/>
      <c r="S621" s="11"/>
      <c r="T621" s="11"/>
    </row>
    <row r="622" spans="8:20" x14ac:dyDescent="0.35">
      <c r="H622" s="711"/>
      <c r="I622" s="711"/>
      <c r="J622" s="711"/>
      <c r="K622" s="711"/>
      <c r="L622" s="711"/>
      <c r="Q622" s="11"/>
      <c r="R622" s="11"/>
      <c r="S622" s="11"/>
      <c r="T622" s="11"/>
    </row>
    <row r="623" spans="8:20" x14ac:dyDescent="0.35">
      <c r="H623" s="711"/>
      <c r="I623" s="711"/>
      <c r="J623" s="711"/>
      <c r="K623" s="711"/>
      <c r="L623" s="711"/>
      <c r="Q623" s="11"/>
      <c r="R623" s="11"/>
      <c r="S623" s="11"/>
      <c r="T623" s="11"/>
    </row>
    <row r="624" spans="8:20" x14ac:dyDescent="0.35">
      <c r="H624" s="711"/>
      <c r="I624" s="711"/>
      <c r="J624" s="711"/>
      <c r="K624" s="711"/>
      <c r="L624" s="711"/>
      <c r="Q624" s="11"/>
      <c r="R624" s="11"/>
      <c r="S624" s="11"/>
      <c r="T624" s="11"/>
    </row>
    <row r="625" spans="8:20" x14ac:dyDescent="0.35">
      <c r="H625" s="711"/>
      <c r="I625" s="711"/>
      <c r="J625" s="711"/>
      <c r="K625" s="711"/>
      <c r="L625" s="711"/>
      <c r="Q625" s="11"/>
      <c r="R625" s="11"/>
      <c r="S625" s="11"/>
      <c r="T625" s="11"/>
    </row>
    <row r="626" spans="8:20" x14ac:dyDescent="0.35">
      <c r="H626" s="711"/>
      <c r="I626" s="711"/>
      <c r="J626" s="711"/>
      <c r="K626" s="711"/>
      <c r="L626" s="711"/>
      <c r="Q626" s="11"/>
      <c r="R626" s="11"/>
      <c r="S626" s="11"/>
      <c r="T626" s="11"/>
    </row>
    <row r="627" spans="8:20" x14ac:dyDescent="0.35">
      <c r="H627" s="711"/>
      <c r="I627" s="711"/>
      <c r="J627" s="711"/>
      <c r="K627" s="711"/>
      <c r="L627" s="711"/>
      <c r="Q627" s="11"/>
      <c r="R627" s="11"/>
      <c r="S627" s="11"/>
      <c r="T627" s="11"/>
    </row>
    <row r="628" spans="8:20" x14ac:dyDescent="0.35">
      <c r="H628" s="711"/>
      <c r="I628" s="711"/>
      <c r="J628" s="711"/>
      <c r="K628" s="711"/>
      <c r="L628" s="711"/>
      <c r="Q628" s="11"/>
      <c r="R628" s="11"/>
      <c r="S628" s="11"/>
      <c r="T628" s="11"/>
    </row>
    <row r="629" spans="8:20" x14ac:dyDescent="0.35">
      <c r="H629" s="711"/>
      <c r="I629" s="711"/>
      <c r="J629" s="711"/>
      <c r="K629" s="711"/>
      <c r="L629" s="711"/>
      <c r="Q629" s="11"/>
      <c r="R629" s="11"/>
      <c r="S629" s="11"/>
      <c r="T629" s="11"/>
    </row>
    <row r="630" spans="8:20" x14ac:dyDescent="0.35">
      <c r="H630" s="711"/>
      <c r="I630" s="711"/>
      <c r="J630" s="711"/>
      <c r="K630" s="711"/>
      <c r="L630" s="711"/>
      <c r="Q630" s="11"/>
      <c r="R630" s="11"/>
      <c r="S630" s="11"/>
      <c r="T630" s="11"/>
    </row>
    <row r="631" spans="8:20" x14ac:dyDescent="0.35">
      <c r="H631" s="711"/>
      <c r="I631" s="711"/>
      <c r="J631" s="711"/>
      <c r="K631" s="711"/>
      <c r="L631" s="711"/>
      <c r="Q631" s="11"/>
      <c r="R631" s="11"/>
      <c r="S631" s="11"/>
      <c r="T631" s="11"/>
    </row>
    <row r="632" spans="8:20" x14ac:dyDescent="0.35">
      <c r="H632" s="711"/>
      <c r="I632" s="711"/>
      <c r="J632" s="711"/>
      <c r="K632" s="711"/>
      <c r="L632" s="711"/>
      <c r="Q632" s="11"/>
      <c r="R632" s="11"/>
      <c r="S632" s="11"/>
      <c r="T632" s="11"/>
    </row>
    <row r="633" spans="8:20" x14ac:dyDescent="0.35">
      <c r="H633" s="711"/>
      <c r="I633" s="711"/>
      <c r="J633" s="711"/>
      <c r="K633" s="711"/>
      <c r="L633" s="711"/>
      <c r="Q633" s="11"/>
      <c r="R633" s="11"/>
      <c r="S633" s="11"/>
      <c r="T633" s="11"/>
    </row>
    <row r="634" spans="8:20" x14ac:dyDescent="0.35">
      <c r="H634" s="711"/>
      <c r="I634" s="711"/>
      <c r="J634" s="711"/>
      <c r="K634" s="711"/>
      <c r="L634" s="711"/>
      <c r="Q634" s="11"/>
      <c r="R634" s="11"/>
      <c r="S634" s="11"/>
      <c r="T634" s="11"/>
    </row>
    <row r="635" spans="8:20" x14ac:dyDescent="0.35">
      <c r="H635" s="711"/>
      <c r="I635" s="711"/>
      <c r="J635" s="711"/>
      <c r="K635" s="711"/>
      <c r="L635" s="711"/>
      <c r="Q635" s="11"/>
      <c r="R635" s="11"/>
      <c r="S635" s="11"/>
      <c r="T635" s="11"/>
    </row>
    <row r="636" spans="8:20" x14ac:dyDescent="0.35">
      <c r="H636" s="711"/>
      <c r="I636" s="711"/>
      <c r="J636" s="711"/>
      <c r="K636" s="711"/>
      <c r="L636" s="711"/>
      <c r="Q636" s="11"/>
      <c r="R636" s="11"/>
      <c r="S636" s="11"/>
      <c r="T636" s="11"/>
    </row>
    <row r="637" spans="8:20" x14ac:dyDescent="0.35">
      <c r="H637" s="711"/>
      <c r="I637" s="711"/>
      <c r="J637" s="711"/>
      <c r="K637" s="711"/>
      <c r="L637" s="711"/>
      <c r="Q637" s="11"/>
      <c r="R637" s="11"/>
      <c r="S637" s="11"/>
      <c r="T637" s="11"/>
    </row>
    <row r="638" spans="8:20" x14ac:dyDescent="0.35">
      <c r="H638" s="711"/>
      <c r="I638" s="711"/>
      <c r="J638" s="711"/>
      <c r="K638" s="711"/>
      <c r="L638" s="711"/>
      <c r="Q638" s="11"/>
      <c r="R638" s="11"/>
      <c r="S638" s="11"/>
      <c r="T638" s="11"/>
    </row>
    <row r="639" spans="8:20" x14ac:dyDescent="0.35">
      <c r="H639" s="711"/>
      <c r="I639" s="711"/>
      <c r="J639" s="711"/>
      <c r="K639" s="711"/>
      <c r="L639" s="711"/>
      <c r="Q639" s="11"/>
      <c r="R639" s="11"/>
      <c r="S639" s="11"/>
      <c r="T639" s="11"/>
    </row>
    <row r="640" spans="8:20" x14ac:dyDescent="0.35">
      <c r="H640" s="711"/>
      <c r="I640" s="711"/>
      <c r="J640" s="711"/>
      <c r="K640" s="711"/>
      <c r="L640" s="711"/>
      <c r="Q640" s="11"/>
      <c r="R640" s="11"/>
      <c r="S640" s="11"/>
      <c r="T640" s="11"/>
    </row>
    <row r="641" spans="8:20" x14ac:dyDescent="0.35">
      <c r="H641" s="711"/>
      <c r="I641" s="711"/>
      <c r="J641" s="711"/>
      <c r="K641" s="711"/>
      <c r="L641" s="711"/>
      <c r="Q641" s="11"/>
      <c r="R641" s="11"/>
      <c r="S641" s="11"/>
      <c r="T641" s="11"/>
    </row>
    <row r="642" spans="8:20" x14ac:dyDescent="0.35">
      <c r="H642" s="711"/>
      <c r="I642" s="711"/>
      <c r="J642" s="711"/>
      <c r="K642" s="711"/>
      <c r="L642" s="711"/>
      <c r="Q642" s="11"/>
      <c r="R642" s="11"/>
      <c r="S642" s="11"/>
      <c r="T642" s="11"/>
    </row>
    <row r="643" spans="8:20" x14ac:dyDescent="0.35">
      <c r="H643" s="711"/>
      <c r="I643" s="711"/>
      <c r="J643" s="711"/>
      <c r="K643" s="711"/>
      <c r="L643" s="711"/>
      <c r="Q643" s="11"/>
      <c r="R643" s="11"/>
      <c r="S643" s="11"/>
      <c r="T643" s="11"/>
    </row>
    <row r="644" spans="8:20" x14ac:dyDescent="0.35">
      <c r="H644" s="711"/>
      <c r="I644" s="711"/>
      <c r="J644" s="711"/>
      <c r="K644" s="711"/>
      <c r="L644" s="711"/>
      <c r="Q644" s="11"/>
      <c r="R644" s="11"/>
      <c r="S644" s="11"/>
      <c r="T644" s="11"/>
    </row>
    <row r="645" spans="8:20" x14ac:dyDescent="0.35">
      <c r="H645" s="711"/>
      <c r="I645" s="711"/>
      <c r="J645" s="711"/>
      <c r="K645" s="711"/>
      <c r="L645" s="711"/>
      <c r="Q645" s="11"/>
      <c r="R645" s="11"/>
      <c r="S645" s="11"/>
      <c r="T645" s="11"/>
    </row>
    <row r="646" spans="8:20" x14ac:dyDescent="0.35">
      <c r="H646" s="711"/>
      <c r="I646" s="711"/>
      <c r="J646" s="711"/>
      <c r="K646" s="711"/>
      <c r="L646" s="711"/>
      <c r="Q646" s="11"/>
      <c r="R646" s="11"/>
      <c r="S646" s="11"/>
      <c r="T646" s="11"/>
    </row>
    <row r="647" spans="8:20" x14ac:dyDescent="0.35">
      <c r="H647" s="711"/>
      <c r="I647" s="711"/>
      <c r="J647" s="711"/>
      <c r="K647" s="711"/>
      <c r="L647" s="711"/>
      <c r="Q647" s="11"/>
      <c r="R647" s="11"/>
      <c r="S647" s="11"/>
      <c r="T647" s="11"/>
    </row>
    <row r="648" spans="8:20" x14ac:dyDescent="0.35">
      <c r="H648" s="711"/>
      <c r="I648" s="711"/>
      <c r="J648" s="711"/>
      <c r="K648" s="711"/>
      <c r="L648" s="711"/>
      <c r="Q648" s="11"/>
      <c r="R648" s="11"/>
      <c r="S648" s="11"/>
      <c r="T648" s="11"/>
    </row>
    <row r="649" spans="8:20" x14ac:dyDescent="0.35">
      <c r="H649" s="711"/>
      <c r="I649" s="711"/>
      <c r="J649" s="711"/>
      <c r="K649" s="711"/>
      <c r="L649" s="711"/>
      <c r="Q649" s="11"/>
      <c r="R649" s="11"/>
      <c r="S649" s="11"/>
      <c r="T649" s="11"/>
    </row>
    <row r="650" spans="8:20" x14ac:dyDescent="0.35">
      <c r="H650" s="711"/>
      <c r="I650" s="711"/>
      <c r="J650" s="711"/>
      <c r="K650" s="711"/>
      <c r="L650" s="711"/>
      <c r="Q650" s="11"/>
      <c r="R650" s="11"/>
      <c r="S650" s="11"/>
      <c r="T650" s="11"/>
    </row>
    <row r="651" spans="8:20" x14ac:dyDescent="0.35">
      <c r="H651" s="711"/>
      <c r="I651" s="711"/>
      <c r="J651" s="711"/>
      <c r="K651" s="711"/>
      <c r="L651" s="711"/>
      <c r="Q651" s="11"/>
      <c r="R651" s="11"/>
      <c r="S651" s="11"/>
      <c r="T651" s="11"/>
    </row>
    <row r="652" spans="8:20" x14ac:dyDescent="0.35">
      <c r="H652" s="711"/>
      <c r="I652" s="711"/>
      <c r="J652" s="711"/>
      <c r="K652" s="711"/>
      <c r="L652" s="711"/>
      <c r="Q652" s="11"/>
      <c r="R652" s="11"/>
      <c r="S652" s="11"/>
      <c r="T652" s="11"/>
    </row>
    <row r="653" spans="8:20" x14ac:dyDescent="0.35">
      <c r="H653" s="711"/>
      <c r="I653" s="711"/>
      <c r="J653" s="711"/>
      <c r="K653" s="711"/>
      <c r="L653" s="711"/>
      <c r="Q653" s="11"/>
      <c r="R653" s="11"/>
      <c r="S653" s="11"/>
      <c r="T653" s="11"/>
    </row>
    <row r="654" spans="8:20" x14ac:dyDescent="0.35">
      <c r="H654" s="711"/>
      <c r="I654" s="711"/>
      <c r="J654" s="711"/>
      <c r="K654" s="711"/>
      <c r="L654" s="711"/>
      <c r="Q654" s="11"/>
      <c r="R654" s="11"/>
      <c r="S654" s="11"/>
      <c r="T654" s="11"/>
    </row>
    <row r="655" spans="8:20" x14ac:dyDescent="0.35">
      <c r="H655" s="711"/>
      <c r="I655" s="711"/>
      <c r="J655" s="711"/>
      <c r="K655" s="711"/>
      <c r="L655" s="711"/>
      <c r="Q655" s="11"/>
      <c r="R655" s="11"/>
      <c r="S655" s="11"/>
      <c r="T655" s="11"/>
    </row>
    <row r="656" spans="8:20" x14ac:dyDescent="0.35">
      <c r="H656" s="711"/>
      <c r="I656" s="711"/>
      <c r="J656" s="711"/>
      <c r="K656" s="711"/>
      <c r="L656" s="711"/>
      <c r="Q656" s="11"/>
      <c r="R656" s="11"/>
      <c r="S656" s="11"/>
      <c r="T656" s="11"/>
    </row>
    <row r="657" spans="8:20" x14ac:dyDescent="0.35">
      <c r="H657" s="711"/>
      <c r="I657" s="711"/>
      <c r="J657" s="711"/>
      <c r="K657" s="711"/>
      <c r="L657" s="711"/>
      <c r="Q657" s="11"/>
      <c r="R657" s="11"/>
      <c r="S657" s="11"/>
      <c r="T657" s="11"/>
    </row>
    <row r="658" spans="8:20" x14ac:dyDescent="0.35">
      <c r="H658" s="711"/>
      <c r="I658" s="711"/>
      <c r="J658" s="711"/>
      <c r="K658" s="711"/>
      <c r="L658" s="711"/>
      <c r="Q658" s="11"/>
      <c r="R658" s="11"/>
      <c r="S658" s="11"/>
      <c r="T658" s="11"/>
    </row>
    <row r="659" spans="8:20" x14ac:dyDescent="0.35">
      <c r="H659" s="711"/>
      <c r="I659" s="711"/>
      <c r="J659" s="711"/>
      <c r="K659" s="711"/>
      <c r="L659" s="711"/>
      <c r="Q659" s="11"/>
      <c r="R659" s="11"/>
      <c r="S659" s="11"/>
      <c r="T659" s="11"/>
    </row>
    <row r="660" spans="8:20" x14ac:dyDescent="0.35">
      <c r="H660" s="711"/>
      <c r="I660" s="711"/>
      <c r="J660" s="711"/>
      <c r="K660" s="711"/>
      <c r="L660" s="711"/>
      <c r="Q660" s="11"/>
      <c r="R660" s="11"/>
      <c r="S660" s="11"/>
      <c r="T660" s="11"/>
    </row>
    <row r="661" spans="8:20" x14ac:dyDescent="0.35">
      <c r="H661" s="711"/>
      <c r="I661" s="711"/>
      <c r="J661" s="711"/>
      <c r="K661" s="711"/>
      <c r="L661" s="711"/>
      <c r="Q661" s="11"/>
      <c r="R661" s="11"/>
      <c r="S661" s="11"/>
      <c r="T661" s="11"/>
    </row>
    <row r="662" spans="8:20" x14ac:dyDescent="0.35">
      <c r="H662" s="711"/>
      <c r="I662" s="711"/>
      <c r="J662" s="711"/>
      <c r="K662" s="711"/>
      <c r="L662" s="711"/>
      <c r="Q662" s="11"/>
      <c r="R662" s="11"/>
      <c r="S662" s="11"/>
      <c r="T662" s="11"/>
    </row>
    <row r="663" spans="8:20" x14ac:dyDescent="0.35">
      <c r="H663" s="711"/>
      <c r="I663" s="711"/>
      <c r="J663" s="711"/>
      <c r="K663" s="711"/>
      <c r="L663" s="711"/>
      <c r="Q663" s="11"/>
      <c r="R663" s="11"/>
      <c r="S663" s="11"/>
      <c r="T663" s="11"/>
    </row>
    <row r="664" spans="8:20" x14ac:dyDescent="0.35">
      <c r="H664" s="711"/>
      <c r="I664" s="711"/>
      <c r="J664" s="711"/>
      <c r="K664" s="711"/>
      <c r="L664" s="711"/>
      <c r="Q664" s="11"/>
      <c r="R664" s="11"/>
      <c r="S664" s="11"/>
      <c r="T664" s="11"/>
    </row>
    <row r="665" spans="8:20" x14ac:dyDescent="0.35">
      <c r="H665" s="711"/>
      <c r="I665" s="711"/>
      <c r="J665" s="711"/>
      <c r="K665" s="711"/>
      <c r="L665" s="711"/>
      <c r="Q665" s="11"/>
      <c r="R665" s="11"/>
      <c r="S665" s="11"/>
      <c r="T665" s="11"/>
    </row>
    <row r="666" spans="8:20" x14ac:dyDescent="0.35">
      <c r="H666" s="711"/>
      <c r="I666" s="711"/>
      <c r="J666" s="711"/>
      <c r="K666" s="711"/>
      <c r="L666" s="711"/>
      <c r="Q666" s="11"/>
      <c r="R666" s="11"/>
      <c r="S666" s="11"/>
      <c r="T666" s="11"/>
    </row>
    <row r="667" spans="8:20" x14ac:dyDescent="0.35">
      <c r="H667" s="711"/>
      <c r="I667" s="711"/>
      <c r="J667" s="711"/>
      <c r="K667" s="711"/>
      <c r="L667" s="711"/>
      <c r="Q667" s="11"/>
      <c r="R667" s="11"/>
      <c r="S667" s="11"/>
      <c r="T667" s="11"/>
    </row>
    <row r="668" spans="8:20" x14ac:dyDescent="0.35">
      <c r="H668" s="711"/>
      <c r="I668" s="711"/>
      <c r="J668" s="711"/>
      <c r="K668" s="711"/>
      <c r="L668" s="711"/>
      <c r="Q668" s="11"/>
      <c r="R668" s="11"/>
      <c r="S668" s="11"/>
      <c r="T668" s="11"/>
    </row>
    <row r="669" spans="8:20" x14ac:dyDescent="0.35">
      <c r="H669" s="711"/>
      <c r="I669" s="711"/>
      <c r="J669" s="711"/>
      <c r="K669" s="711"/>
      <c r="L669" s="711"/>
      <c r="Q669" s="11"/>
      <c r="R669" s="11"/>
      <c r="S669" s="11"/>
      <c r="T669" s="11"/>
    </row>
    <row r="670" spans="8:20" x14ac:dyDescent="0.35">
      <c r="H670" s="711"/>
      <c r="I670" s="711"/>
      <c r="J670" s="711"/>
      <c r="K670" s="711"/>
      <c r="L670" s="711"/>
      <c r="Q670" s="11"/>
      <c r="R670" s="11"/>
      <c r="S670" s="11"/>
      <c r="T670" s="11"/>
    </row>
    <row r="671" spans="8:20" x14ac:dyDescent="0.35">
      <c r="H671" s="711"/>
      <c r="I671" s="711"/>
      <c r="J671" s="711"/>
      <c r="K671" s="711"/>
      <c r="L671" s="711"/>
      <c r="Q671" s="11"/>
      <c r="R671" s="11"/>
      <c r="S671" s="11"/>
      <c r="T671" s="11"/>
    </row>
    <row r="672" spans="8:20" x14ac:dyDescent="0.35">
      <c r="H672" s="711"/>
      <c r="I672" s="711"/>
      <c r="J672" s="711"/>
      <c r="K672" s="711"/>
      <c r="L672" s="711"/>
      <c r="Q672" s="11"/>
      <c r="R672" s="11"/>
      <c r="S672" s="11"/>
      <c r="T672" s="11"/>
    </row>
    <row r="673" spans="8:20" x14ac:dyDescent="0.35">
      <c r="H673" s="711"/>
      <c r="I673" s="711"/>
      <c r="J673" s="711"/>
      <c r="K673" s="711"/>
      <c r="L673" s="711"/>
      <c r="Q673" s="11"/>
      <c r="R673" s="11"/>
      <c r="S673" s="11"/>
      <c r="T673" s="11"/>
    </row>
    <row r="674" spans="8:20" x14ac:dyDescent="0.35">
      <c r="H674" s="711"/>
      <c r="I674" s="711"/>
      <c r="J674" s="711"/>
      <c r="K674" s="711"/>
      <c r="L674" s="711"/>
      <c r="Q674" s="11"/>
      <c r="R674" s="11"/>
      <c r="S674" s="11"/>
      <c r="T674" s="11"/>
    </row>
    <row r="675" spans="8:20" x14ac:dyDescent="0.35">
      <c r="H675" s="711"/>
      <c r="I675" s="711"/>
      <c r="J675" s="711"/>
      <c r="K675" s="711"/>
      <c r="L675" s="711"/>
      <c r="Q675" s="11"/>
      <c r="R675" s="11"/>
      <c r="S675" s="11"/>
      <c r="T675" s="11"/>
    </row>
    <row r="676" spans="8:20" x14ac:dyDescent="0.35">
      <c r="H676" s="711"/>
      <c r="I676" s="711"/>
      <c r="J676" s="711"/>
      <c r="K676" s="711"/>
      <c r="L676" s="711"/>
      <c r="Q676" s="11"/>
      <c r="R676" s="11"/>
      <c r="S676" s="11"/>
      <c r="T676" s="11"/>
    </row>
    <row r="677" spans="8:20" x14ac:dyDescent="0.35">
      <c r="H677" s="711"/>
      <c r="I677" s="711"/>
      <c r="J677" s="711"/>
      <c r="K677" s="711"/>
      <c r="L677" s="711"/>
      <c r="Q677" s="11"/>
      <c r="R677" s="11"/>
      <c r="S677" s="11"/>
      <c r="T677" s="11"/>
    </row>
    <row r="678" spans="8:20" x14ac:dyDescent="0.35">
      <c r="H678" s="711"/>
      <c r="I678" s="711"/>
      <c r="J678" s="711"/>
      <c r="K678" s="711"/>
      <c r="L678" s="711"/>
      <c r="Q678" s="11"/>
      <c r="R678" s="11"/>
      <c r="S678" s="11"/>
      <c r="T678" s="11"/>
    </row>
    <row r="679" spans="8:20" x14ac:dyDescent="0.35">
      <c r="H679" s="711"/>
      <c r="I679" s="711"/>
      <c r="J679" s="711"/>
      <c r="K679" s="711"/>
      <c r="L679" s="711"/>
      <c r="Q679" s="11"/>
      <c r="R679" s="11"/>
      <c r="S679" s="11"/>
      <c r="T679" s="11"/>
    </row>
    <row r="680" spans="8:20" x14ac:dyDescent="0.35">
      <c r="H680" s="711"/>
      <c r="I680" s="711"/>
      <c r="J680" s="711"/>
      <c r="K680" s="711"/>
      <c r="L680" s="711"/>
      <c r="Q680" s="11"/>
      <c r="R680" s="11"/>
      <c r="S680" s="11"/>
      <c r="T680" s="11"/>
    </row>
    <row r="681" spans="8:20" x14ac:dyDescent="0.35">
      <c r="H681" s="711"/>
      <c r="I681" s="711"/>
      <c r="J681" s="711"/>
      <c r="K681" s="711"/>
      <c r="L681" s="711"/>
      <c r="Q681" s="11"/>
      <c r="R681" s="11"/>
      <c r="S681" s="11"/>
      <c r="T681" s="11"/>
    </row>
    <row r="682" spans="8:20" x14ac:dyDescent="0.35">
      <c r="H682" s="711"/>
      <c r="I682" s="711"/>
      <c r="J682" s="711"/>
      <c r="K682" s="711"/>
      <c r="L682" s="711"/>
      <c r="Q682" s="11"/>
      <c r="R682" s="11"/>
      <c r="S682" s="11"/>
      <c r="T682" s="11"/>
    </row>
    <row r="683" spans="8:20" x14ac:dyDescent="0.35">
      <c r="H683" s="711"/>
      <c r="I683" s="711"/>
      <c r="J683" s="711"/>
      <c r="K683" s="711"/>
      <c r="L683" s="711"/>
      <c r="Q683" s="11"/>
      <c r="R683" s="11"/>
      <c r="S683" s="11"/>
      <c r="T683" s="11"/>
    </row>
    <row r="684" spans="8:20" x14ac:dyDescent="0.35">
      <c r="H684" s="711"/>
      <c r="I684" s="711"/>
      <c r="J684" s="711"/>
      <c r="K684" s="711"/>
      <c r="L684" s="711"/>
      <c r="Q684" s="11"/>
      <c r="R684" s="11"/>
      <c r="S684" s="11"/>
      <c r="T684" s="11"/>
    </row>
    <row r="685" spans="8:20" x14ac:dyDescent="0.35">
      <c r="H685" s="711"/>
      <c r="I685" s="711"/>
      <c r="J685" s="711"/>
      <c r="K685" s="711"/>
      <c r="L685" s="711"/>
      <c r="Q685" s="11"/>
      <c r="R685" s="11"/>
      <c r="S685" s="11"/>
      <c r="T685" s="11"/>
    </row>
    <row r="686" spans="8:20" x14ac:dyDescent="0.35">
      <c r="H686" s="711"/>
      <c r="I686" s="711"/>
      <c r="J686" s="711"/>
      <c r="K686" s="711"/>
      <c r="L686" s="711"/>
      <c r="Q686" s="11"/>
      <c r="R686" s="11"/>
      <c r="S686" s="11"/>
      <c r="T686" s="11"/>
    </row>
    <row r="687" spans="8:20" x14ac:dyDescent="0.35">
      <c r="H687" s="711"/>
      <c r="I687" s="711"/>
      <c r="J687" s="711"/>
      <c r="K687" s="711"/>
      <c r="L687" s="711"/>
      <c r="Q687" s="11"/>
      <c r="R687" s="11"/>
      <c r="S687" s="11"/>
      <c r="T687" s="11"/>
    </row>
    <row r="688" spans="8:20" x14ac:dyDescent="0.35">
      <c r="H688" s="711"/>
      <c r="I688" s="711"/>
      <c r="J688" s="711"/>
      <c r="K688" s="711"/>
      <c r="L688" s="711"/>
      <c r="Q688" s="11"/>
      <c r="R688" s="11"/>
      <c r="S688" s="11"/>
      <c r="T688" s="11"/>
    </row>
    <row r="689" spans="8:20" x14ac:dyDescent="0.35">
      <c r="H689" s="711"/>
      <c r="I689" s="711"/>
      <c r="J689" s="711"/>
      <c r="K689" s="711"/>
      <c r="L689" s="711"/>
      <c r="Q689" s="11"/>
      <c r="R689" s="11"/>
      <c r="S689" s="11"/>
      <c r="T689" s="11"/>
    </row>
    <row r="690" spans="8:20" x14ac:dyDescent="0.35">
      <c r="H690" s="711"/>
      <c r="I690" s="711"/>
      <c r="J690" s="711"/>
      <c r="K690" s="711"/>
      <c r="L690" s="711"/>
      <c r="Q690" s="11"/>
      <c r="R690" s="11"/>
      <c r="S690" s="11"/>
      <c r="T690" s="11"/>
    </row>
    <row r="691" spans="8:20" x14ac:dyDescent="0.35">
      <c r="H691" s="711"/>
      <c r="I691" s="711"/>
      <c r="J691" s="711"/>
      <c r="K691" s="711"/>
      <c r="L691" s="711"/>
      <c r="Q691" s="11"/>
      <c r="R691" s="11"/>
      <c r="S691" s="11"/>
      <c r="T691" s="11"/>
    </row>
    <row r="692" spans="8:20" x14ac:dyDescent="0.35">
      <c r="H692" s="711"/>
      <c r="I692" s="711"/>
      <c r="J692" s="711"/>
      <c r="K692" s="711"/>
      <c r="L692" s="711"/>
      <c r="Q692" s="11"/>
      <c r="R692" s="11"/>
      <c r="S692" s="11"/>
      <c r="T692" s="11"/>
    </row>
    <row r="693" spans="8:20" x14ac:dyDescent="0.35">
      <c r="H693" s="711"/>
      <c r="I693" s="711"/>
      <c r="J693" s="711"/>
      <c r="K693" s="711"/>
      <c r="L693" s="711"/>
      <c r="Q693" s="11"/>
      <c r="R693" s="11"/>
      <c r="S693" s="11"/>
      <c r="T693" s="11"/>
    </row>
    <row r="694" spans="8:20" x14ac:dyDescent="0.35">
      <c r="H694" s="711"/>
      <c r="I694" s="711"/>
      <c r="J694" s="711"/>
      <c r="K694" s="711"/>
      <c r="L694" s="711"/>
      <c r="Q694" s="11"/>
      <c r="R694" s="11"/>
      <c r="S694" s="11"/>
      <c r="T694" s="11"/>
    </row>
    <row r="695" spans="8:20" x14ac:dyDescent="0.35">
      <c r="H695" s="711"/>
      <c r="I695" s="711"/>
      <c r="J695" s="711"/>
      <c r="K695" s="711"/>
      <c r="L695" s="711"/>
      <c r="Q695" s="11"/>
      <c r="R695" s="11"/>
      <c r="S695" s="11"/>
      <c r="T695" s="11"/>
    </row>
    <row r="696" spans="8:20" x14ac:dyDescent="0.35">
      <c r="H696" s="711"/>
      <c r="I696" s="711"/>
      <c r="J696" s="711"/>
      <c r="K696" s="711"/>
      <c r="L696" s="711"/>
      <c r="Q696" s="11"/>
      <c r="R696" s="11"/>
      <c r="S696" s="11"/>
      <c r="T696" s="11"/>
    </row>
    <row r="697" spans="8:20" x14ac:dyDescent="0.35">
      <c r="H697" s="711"/>
      <c r="I697" s="711"/>
      <c r="J697" s="711"/>
      <c r="K697" s="711"/>
      <c r="L697" s="711"/>
      <c r="Q697" s="11"/>
      <c r="R697" s="11"/>
      <c r="S697" s="11"/>
      <c r="T697" s="11"/>
    </row>
    <row r="698" spans="8:20" x14ac:dyDescent="0.35">
      <c r="H698" s="711"/>
      <c r="I698" s="711"/>
      <c r="J698" s="711"/>
      <c r="K698" s="711"/>
      <c r="L698" s="711"/>
      <c r="Q698" s="11"/>
      <c r="R698" s="11"/>
      <c r="S698" s="11"/>
      <c r="T698" s="11"/>
    </row>
    <row r="699" spans="8:20" x14ac:dyDescent="0.35">
      <c r="H699" s="711"/>
      <c r="I699" s="711"/>
      <c r="J699" s="711"/>
      <c r="K699" s="711"/>
      <c r="L699" s="711"/>
      <c r="Q699" s="11"/>
      <c r="R699" s="11"/>
      <c r="S699" s="11"/>
      <c r="T699" s="11"/>
    </row>
    <row r="700" spans="8:20" x14ac:dyDescent="0.35">
      <c r="H700" s="711"/>
      <c r="I700" s="711"/>
      <c r="J700" s="711"/>
      <c r="K700" s="711"/>
      <c r="L700" s="711"/>
      <c r="Q700" s="11"/>
      <c r="R700" s="11"/>
      <c r="S700" s="11"/>
      <c r="T700" s="11"/>
    </row>
    <row r="701" spans="8:20" x14ac:dyDescent="0.35">
      <c r="H701" s="711"/>
      <c r="I701" s="711"/>
      <c r="J701" s="711"/>
      <c r="K701" s="711"/>
      <c r="L701" s="711"/>
      <c r="Q701" s="11"/>
      <c r="R701" s="11"/>
      <c r="S701" s="11"/>
      <c r="T701" s="11"/>
    </row>
    <row r="702" spans="8:20" x14ac:dyDescent="0.35">
      <c r="H702" s="711"/>
      <c r="I702" s="711"/>
      <c r="J702" s="711"/>
      <c r="K702" s="711"/>
      <c r="L702" s="711"/>
      <c r="Q702" s="11"/>
      <c r="R702" s="11"/>
      <c r="S702" s="11"/>
      <c r="T702" s="11"/>
    </row>
    <row r="703" spans="8:20" x14ac:dyDescent="0.35">
      <c r="H703" s="711"/>
      <c r="I703" s="711"/>
      <c r="J703" s="711"/>
      <c r="K703" s="711"/>
      <c r="L703" s="711"/>
      <c r="Q703" s="11"/>
      <c r="R703" s="11"/>
      <c r="S703" s="11"/>
      <c r="T703" s="11"/>
    </row>
    <row r="704" spans="8:20" x14ac:dyDescent="0.35">
      <c r="H704" s="711"/>
      <c r="I704" s="711"/>
      <c r="J704" s="711"/>
      <c r="K704" s="711"/>
      <c r="L704" s="711"/>
      <c r="Q704" s="11"/>
      <c r="R704" s="11"/>
      <c r="S704" s="11"/>
      <c r="T704" s="11"/>
    </row>
    <row r="705" spans="8:20" x14ac:dyDescent="0.35">
      <c r="H705" s="711"/>
      <c r="I705" s="711"/>
      <c r="J705" s="711"/>
      <c r="K705" s="711"/>
      <c r="L705" s="711"/>
      <c r="Q705" s="11"/>
      <c r="R705" s="11"/>
      <c r="S705" s="11"/>
      <c r="T705" s="11"/>
    </row>
    <row r="706" spans="8:20" x14ac:dyDescent="0.35">
      <c r="H706" s="711"/>
      <c r="I706" s="711"/>
      <c r="J706" s="711"/>
      <c r="K706" s="711"/>
      <c r="L706" s="711"/>
      <c r="Q706" s="11"/>
      <c r="R706" s="11"/>
      <c r="S706" s="11"/>
      <c r="T706" s="11"/>
    </row>
    <row r="707" spans="8:20" x14ac:dyDescent="0.35">
      <c r="H707" s="711"/>
      <c r="I707" s="711"/>
      <c r="J707" s="711"/>
      <c r="K707" s="711"/>
      <c r="L707" s="711"/>
      <c r="Q707" s="11"/>
      <c r="R707" s="11"/>
      <c r="S707" s="11"/>
      <c r="T707" s="11"/>
    </row>
    <row r="708" spans="8:20" x14ac:dyDescent="0.35">
      <c r="H708" s="711"/>
      <c r="I708" s="711"/>
      <c r="J708" s="711"/>
      <c r="K708" s="711"/>
      <c r="L708" s="711"/>
      <c r="Q708" s="11"/>
      <c r="R708" s="11"/>
      <c r="S708" s="11"/>
      <c r="T708" s="11"/>
    </row>
    <row r="709" spans="8:20" x14ac:dyDescent="0.35">
      <c r="H709" s="711"/>
      <c r="I709" s="711"/>
      <c r="J709" s="711"/>
      <c r="K709" s="711"/>
      <c r="L709" s="711"/>
      <c r="Q709" s="11"/>
      <c r="R709" s="11"/>
      <c r="S709" s="11"/>
      <c r="T709" s="11"/>
    </row>
    <row r="710" spans="8:20" x14ac:dyDescent="0.35">
      <c r="H710" s="711"/>
      <c r="I710" s="711"/>
      <c r="J710" s="711"/>
      <c r="K710" s="711"/>
      <c r="L710" s="711"/>
      <c r="Q710" s="11"/>
      <c r="R710" s="11"/>
      <c r="S710" s="11"/>
      <c r="T710" s="11"/>
    </row>
    <row r="711" spans="8:20" x14ac:dyDescent="0.35">
      <c r="H711" s="711"/>
      <c r="I711" s="711"/>
      <c r="J711" s="711"/>
      <c r="K711" s="711"/>
      <c r="L711" s="711"/>
      <c r="Q711" s="11"/>
      <c r="R711" s="11"/>
      <c r="S711" s="11"/>
      <c r="T711" s="11"/>
    </row>
    <row r="712" spans="8:20" x14ac:dyDescent="0.35">
      <c r="H712" s="711"/>
      <c r="I712" s="711"/>
      <c r="J712" s="711"/>
      <c r="K712" s="711"/>
      <c r="L712" s="711"/>
      <c r="Q712" s="11"/>
      <c r="R712" s="11"/>
      <c r="S712" s="11"/>
      <c r="T712" s="11"/>
    </row>
    <row r="713" spans="8:20" x14ac:dyDescent="0.35">
      <c r="H713" s="711"/>
      <c r="I713" s="711"/>
      <c r="J713" s="711"/>
      <c r="K713" s="711"/>
      <c r="L713" s="711"/>
      <c r="Q713" s="11"/>
      <c r="R713" s="11"/>
      <c r="S713" s="11"/>
      <c r="T713" s="11"/>
    </row>
    <row r="714" spans="8:20" x14ac:dyDescent="0.35">
      <c r="H714" s="711"/>
      <c r="I714" s="711"/>
      <c r="J714" s="711"/>
      <c r="K714" s="711"/>
      <c r="L714" s="711"/>
      <c r="Q714" s="11"/>
      <c r="R714" s="11"/>
      <c r="S714" s="11"/>
      <c r="T714" s="11"/>
    </row>
    <row r="715" spans="8:20" x14ac:dyDescent="0.35">
      <c r="H715" s="711"/>
      <c r="I715" s="711"/>
      <c r="J715" s="711"/>
      <c r="K715" s="711"/>
      <c r="L715" s="711"/>
      <c r="Q715" s="11"/>
      <c r="R715" s="11"/>
      <c r="S715" s="11"/>
      <c r="T715" s="11"/>
    </row>
    <row r="716" spans="8:20" x14ac:dyDescent="0.35">
      <c r="H716" s="711"/>
      <c r="I716" s="711"/>
      <c r="J716" s="711"/>
      <c r="K716" s="711"/>
      <c r="L716" s="711"/>
      <c r="Q716" s="11"/>
      <c r="R716" s="11"/>
      <c r="S716" s="11"/>
      <c r="T716" s="11"/>
    </row>
    <row r="717" spans="8:20" x14ac:dyDescent="0.35">
      <c r="H717" s="711"/>
      <c r="I717" s="711"/>
      <c r="J717" s="711"/>
      <c r="K717" s="711"/>
      <c r="L717" s="711"/>
      <c r="Q717" s="11"/>
      <c r="R717" s="11"/>
      <c r="S717" s="11"/>
      <c r="T717" s="11"/>
    </row>
    <row r="718" spans="8:20" x14ac:dyDescent="0.35">
      <c r="H718" s="711"/>
      <c r="I718" s="711"/>
      <c r="J718" s="711"/>
      <c r="K718" s="711"/>
      <c r="L718" s="711"/>
      <c r="Q718" s="11"/>
      <c r="R718" s="11"/>
      <c r="S718" s="11"/>
      <c r="T718" s="11"/>
    </row>
    <row r="719" spans="8:20" x14ac:dyDescent="0.35">
      <c r="H719" s="711"/>
      <c r="I719" s="711"/>
      <c r="J719" s="711"/>
      <c r="K719" s="711"/>
      <c r="L719" s="711"/>
      <c r="Q719" s="11"/>
      <c r="R719" s="11"/>
      <c r="S719" s="11"/>
      <c r="T719" s="11"/>
    </row>
    <row r="720" spans="8:20" x14ac:dyDescent="0.35">
      <c r="H720" s="711"/>
      <c r="I720" s="711"/>
      <c r="J720" s="711"/>
      <c r="K720" s="711"/>
      <c r="L720" s="711"/>
      <c r="Q720" s="11"/>
      <c r="R720" s="11"/>
      <c r="S720" s="11"/>
      <c r="T720" s="11"/>
    </row>
    <row r="721" spans="8:20" x14ac:dyDescent="0.35">
      <c r="H721" s="711"/>
      <c r="I721" s="711"/>
      <c r="J721" s="711"/>
      <c r="K721" s="711"/>
      <c r="L721" s="711"/>
      <c r="Q721" s="11"/>
      <c r="R721" s="11"/>
      <c r="S721" s="11"/>
      <c r="T721" s="11"/>
    </row>
    <row r="722" spans="8:20" x14ac:dyDescent="0.35">
      <c r="H722" s="711"/>
      <c r="I722" s="711"/>
      <c r="J722" s="711"/>
      <c r="K722" s="711"/>
      <c r="L722" s="711"/>
      <c r="Q722" s="11"/>
      <c r="R722" s="11"/>
      <c r="S722" s="11"/>
      <c r="T722" s="11"/>
    </row>
    <row r="723" spans="8:20" x14ac:dyDescent="0.35">
      <c r="H723" s="711"/>
      <c r="I723" s="711"/>
      <c r="J723" s="711"/>
      <c r="K723" s="711"/>
      <c r="L723" s="711"/>
      <c r="Q723" s="11"/>
      <c r="R723" s="11"/>
      <c r="S723" s="11"/>
      <c r="T723" s="11"/>
    </row>
    <row r="724" spans="8:20" x14ac:dyDescent="0.35">
      <c r="H724" s="711"/>
      <c r="I724" s="711"/>
      <c r="J724" s="711"/>
      <c r="K724" s="711"/>
      <c r="L724" s="711"/>
      <c r="Q724" s="11"/>
      <c r="R724" s="11"/>
      <c r="S724" s="11"/>
      <c r="T724" s="11"/>
    </row>
    <row r="725" spans="8:20" x14ac:dyDescent="0.35">
      <c r="H725" s="711"/>
      <c r="I725" s="711"/>
      <c r="J725" s="711"/>
      <c r="K725" s="711"/>
      <c r="L725" s="711"/>
      <c r="Q725" s="11"/>
      <c r="R725" s="11"/>
      <c r="S725" s="11"/>
      <c r="T725" s="11"/>
    </row>
    <row r="726" spans="8:20" x14ac:dyDescent="0.35">
      <c r="H726" s="711"/>
      <c r="I726" s="711"/>
      <c r="J726" s="711"/>
      <c r="K726" s="711"/>
      <c r="L726" s="711"/>
      <c r="Q726" s="11"/>
      <c r="R726" s="11"/>
      <c r="S726" s="11"/>
      <c r="T726" s="11"/>
    </row>
    <row r="727" spans="8:20" x14ac:dyDescent="0.35">
      <c r="H727" s="711"/>
      <c r="I727" s="711"/>
      <c r="J727" s="711"/>
      <c r="K727" s="711"/>
      <c r="L727" s="711"/>
      <c r="Q727" s="11"/>
      <c r="R727" s="11"/>
      <c r="S727" s="11"/>
      <c r="T727" s="11"/>
    </row>
    <row r="728" spans="8:20" x14ac:dyDescent="0.35">
      <c r="H728" s="711"/>
      <c r="I728" s="711"/>
      <c r="J728" s="711"/>
      <c r="K728" s="711"/>
      <c r="L728" s="711"/>
      <c r="Q728" s="11"/>
      <c r="R728" s="11"/>
      <c r="S728" s="11"/>
      <c r="T728" s="11"/>
    </row>
    <row r="729" spans="8:20" x14ac:dyDescent="0.35">
      <c r="H729" s="711"/>
      <c r="I729" s="711"/>
      <c r="J729" s="711"/>
      <c r="K729" s="711"/>
      <c r="L729" s="711"/>
      <c r="Q729" s="11"/>
      <c r="R729" s="11"/>
      <c r="S729" s="11"/>
      <c r="T729" s="11"/>
    </row>
    <row r="730" spans="8:20" x14ac:dyDescent="0.35">
      <c r="H730" s="711"/>
      <c r="I730" s="711"/>
      <c r="J730" s="711"/>
      <c r="K730" s="711"/>
      <c r="L730" s="711"/>
      <c r="Q730" s="11"/>
      <c r="R730" s="11"/>
      <c r="S730" s="11"/>
      <c r="T730" s="11"/>
    </row>
    <row r="731" spans="8:20" x14ac:dyDescent="0.35">
      <c r="H731" s="711"/>
      <c r="I731" s="711"/>
      <c r="J731" s="711"/>
      <c r="K731" s="711"/>
      <c r="L731" s="711"/>
      <c r="Q731" s="11"/>
      <c r="R731" s="11"/>
      <c r="S731" s="11"/>
      <c r="T731" s="11"/>
    </row>
    <row r="732" spans="8:20" x14ac:dyDescent="0.35">
      <c r="H732" s="711"/>
      <c r="I732" s="711"/>
      <c r="J732" s="711"/>
      <c r="K732" s="711"/>
      <c r="L732" s="711"/>
      <c r="Q732" s="11"/>
      <c r="R732" s="11"/>
      <c r="S732" s="11"/>
      <c r="T732" s="11"/>
    </row>
    <row r="733" spans="8:20" x14ac:dyDescent="0.35">
      <c r="H733" s="711"/>
      <c r="I733" s="711"/>
      <c r="J733" s="711"/>
      <c r="K733" s="711"/>
      <c r="L733" s="711"/>
      <c r="Q733" s="11"/>
      <c r="R733" s="11"/>
      <c r="S733" s="11"/>
      <c r="T733" s="11"/>
    </row>
    <row r="734" spans="8:20" x14ac:dyDescent="0.35">
      <c r="H734" s="711"/>
      <c r="I734" s="711"/>
      <c r="J734" s="711"/>
      <c r="K734" s="711"/>
      <c r="L734" s="711"/>
      <c r="Q734" s="11"/>
      <c r="R734" s="11"/>
      <c r="S734" s="11"/>
      <c r="T734" s="11"/>
    </row>
    <row r="735" spans="8:20" x14ac:dyDescent="0.35">
      <c r="H735" s="711"/>
      <c r="I735" s="711"/>
      <c r="J735" s="711"/>
      <c r="K735" s="711"/>
      <c r="L735" s="711"/>
      <c r="Q735" s="11"/>
      <c r="R735" s="11"/>
      <c r="S735" s="11"/>
      <c r="T735" s="11"/>
    </row>
    <row r="736" spans="8:20" x14ac:dyDescent="0.35">
      <c r="H736" s="711"/>
      <c r="I736" s="711"/>
      <c r="J736" s="711"/>
      <c r="K736" s="711"/>
      <c r="L736" s="711"/>
      <c r="Q736" s="11"/>
      <c r="R736" s="11"/>
      <c r="S736" s="11"/>
      <c r="T736" s="11"/>
    </row>
    <row r="737" spans="8:20" x14ac:dyDescent="0.35">
      <c r="H737" s="711"/>
      <c r="I737" s="711"/>
      <c r="J737" s="711"/>
      <c r="K737" s="711"/>
      <c r="L737" s="711"/>
      <c r="Q737" s="11"/>
      <c r="R737" s="11"/>
      <c r="S737" s="11"/>
      <c r="T737" s="11"/>
    </row>
    <row r="738" spans="8:20" x14ac:dyDescent="0.35">
      <c r="H738" s="711"/>
      <c r="I738" s="711"/>
      <c r="J738" s="711"/>
      <c r="K738" s="711"/>
      <c r="L738" s="711"/>
      <c r="Q738" s="11"/>
      <c r="R738" s="11"/>
      <c r="S738" s="11"/>
      <c r="T738" s="11"/>
    </row>
    <row r="739" spans="8:20" x14ac:dyDescent="0.35">
      <c r="H739" s="711"/>
      <c r="I739" s="711"/>
      <c r="J739" s="711"/>
      <c r="K739" s="711"/>
      <c r="L739" s="711"/>
      <c r="Q739" s="11"/>
      <c r="R739" s="11"/>
      <c r="S739" s="11"/>
      <c r="T739" s="11"/>
    </row>
    <row r="740" spans="8:20" x14ac:dyDescent="0.35">
      <c r="H740" s="711"/>
      <c r="I740" s="711"/>
      <c r="J740" s="711"/>
      <c r="K740" s="711"/>
      <c r="L740" s="711"/>
      <c r="Q740" s="11"/>
      <c r="R740" s="11"/>
      <c r="S740" s="11"/>
      <c r="T740" s="11"/>
    </row>
    <row r="741" spans="8:20" x14ac:dyDescent="0.35">
      <c r="H741" s="711"/>
      <c r="I741" s="711"/>
      <c r="J741" s="711"/>
      <c r="K741" s="711"/>
      <c r="L741" s="711"/>
      <c r="Q741" s="11"/>
      <c r="R741" s="11"/>
      <c r="S741" s="11"/>
      <c r="T741" s="11"/>
    </row>
    <row r="742" spans="8:20" x14ac:dyDescent="0.35">
      <c r="H742" s="711"/>
      <c r="I742" s="711"/>
      <c r="J742" s="711"/>
      <c r="K742" s="711"/>
      <c r="L742" s="711"/>
      <c r="Q742" s="11"/>
      <c r="R742" s="11"/>
      <c r="S742" s="11"/>
      <c r="T742" s="11"/>
    </row>
    <row r="743" spans="8:20" x14ac:dyDescent="0.35">
      <c r="H743" s="711"/>
      <c r="I743" s="711"/>
      <c r="J743" s="711"/>
      <c r="K743" s="711"/>
      <c r="L743" s="711"/>
      <c r="Q743" s="11"/>
      <c r="R743" s="11"/>
      <c r="S743" s="11"/>
      <c r="T743" s="11"/>
    </row>
    <row r="744" spans="8:20" x14ac:dyDescent="0.35">
      <c r="H744" s="711"/>
      <c r="I744" s="711"/>
      <c r="J744" s="711"/>
      <c r="K744" s="711"/>
      <c r="L744" s="711"/>
      <c r="Q744" s="11"/>
      <c r="R744" s="11"/>
      <c r="S744" s="11"/>
      <c r="T744" s="11"/>
    </row>
    <row r="745" spans="8:20" x14ac:dyDescent="0.35">
      <c r="H745" s="711"/>
      <c r="I745" s="711"/>
      <c r="J745" s="711"/>
      <c r="K745" s="711"/>
      <c r="L745" s="711"/>
      <c r="Q745" s="11"/>
      <c r="R745" s="11"/>
      <c r="S745" s="11"/>
      <c r="T745" s="11"/>
    </row>
    <row r="746" spans="8:20" x14ac:dyDescent="0.35">
      <c r="H746" s="711"/>
      <c r="I746" s="711"/>
      <c r="J746" s="711"/>
      <c r="K746" s="711"/>
      <c r="L746" s="711"/>
      <c r="Q746" s="11"/>
      <c r="R746" s="11"/>
      <c r="S746" s="11"/>
      <c r="T746" s="11"/>
    </row>
    <row r="747" spans="8:20" x14ac:dyDescent="0.35">
      <c r="H747" s="711"/>
      <c r="I747" s="711"/>
      <c r="J747" s="711"/>
      <c r="K747" s="711"/>
      <c r="L747" s="711"/>
      <c r="Q747" s="11"/>
      <c r="R747" s="11"/>
      <c r="S747" s="11"/>
      <c r="T747" s="11"/>
    </row>
    <row r="748" spans="8:20" x14ac:dyDescent="0.35">
      <c r="H748" s="711"/>
      <c r="I748" s="711"/>
      <c r="J748" s="711"/>
      <c r="K748" s="711"/>
      <c r="L748" s="711"/>
      <c r="Q748" s="11"/>
      <c r="R748" s="11"/>
      <c r="S748" s="11"/>
      <c r="T748" s="11"/>
    </row>
    <row r="749" spans="8:20" x14ac:dyDescent="0.35">
      <c r="H749" s="711"/>
      <c r="I749" s="711"/>
      <c r="J749" s="711"/>
      <c r="K749" s="711"/>
      <c r="L749" s="711"/>
      <c r="Q749" s="11"/>
      <c r="R749" s="11"/>
      <c r="S749" s="11"/>
      <c r="T749" s="11"/>
    </row>
    <row r="750" spans="8:20" x14ac:dyDescent="0.35">
      <c r="H750" s="711"/>
      <c r="I750" s="711"/>
      <c r="J750" s="711"/>
      <c r="K750" s="711"/>
      <c r="L750" s="711"/>
      <c r="Q750" s="11"/>
      <c r="R750" s="11"/>
      <c r="S750" s="11"/>
      <c r="T750" s="11"/>
    </row>
    <row r="751" spans="8:20" x14ac:dyDescent="0.35">
      <c r="H751" s="711"/>
      <c r="I751" s="711"/>
      <c r="J751" s="711"/>
      <c r="K751" s="711"/>
      <c r="L751" s="711"/>
      <c r="Q751" s="11"/>
      <c r="R751" s="11"/>
      <c r="S751" s="11"/>
      <c r="T751" s="11"/>
    </row>
    <row r="752" spans="8:20" x14ac:dyDescent="0.35">
      <c r="H752" s="711"/>
      <c r="I752" s="711"/>
      <c r="J752" s="711"/>
      <c r="K752" s="711"/>
      <c r="L752" s="711"/>
      <c r="Q752" s="11"/>
      <c r="R752" s="11"/>
      <c r="S752" s="11"/>
      <c r="T752" s="11"/>
    </row>
    <row r="753" spans="8:20" x14ac:dyDescent="0.35">
      <c r="H753" s="711"/>
      <c r="I753" s="711"/>
      <c r="J753" s="711"/>
      <c r="K753" s="711"/>
      <c r="L753" s="711"/>
      <c r="Q753" s="11"/>
      <c r="R753" s="11"/>
      <c r="S753" s="11"/>
      <c r="T753" s="11"/>
    </row>
    <row r="754" spans="8:20" x14ac:dyDescent="0.35">
      <c r="H754" s="711"/>
      <c r="I754" s="711"/>
      <c r="J754" s="711"/>
      <c r="K754" s="711"/>
      <c r="L754" s="711"/>
      <c r="Q754" s="11"/>
      <c r="R754" s="11"/>
      <c r="S754" s="11"/>
      <c r="T754" s="11"/>
    </row>
    <row r="755" spans="8:20" x14ac:dyDescent="0.35">
      <c r="H755" s="711"/>
      <c r="I755" s="711"/>
      <c r="J755" s="711"/>
      <c r="K755" s="711"/>
      <c r="L755" s="711"/>
      <c r="Q755" s="11"/>
      <c r="R755" s="11"/>
      <c r="S755" s="11"/>
      <c r="T755" s="11"/>
    </row>
    <row r="756" spans="8:20" x14ac:dyDescent="0.35">
      <c r="H756" s="711"/>
      <c r="I756" s="711"/>
      <c r="J756" s="711"/>
      <c r="K756" s="711"/>
      <c r="L756" s="711"/>
      <c r="Q756" s="11"/>
      <c r="R756" s="11"/>
      <c r="S756" s="11"/>
      <c r="T756" s="11"/>
    </row>
    <row r="757" spans="8:20" x14ac:dyDescent="0.35">
      <c r="H757" s="711"/>
      <c r="I757" s="711"/>
      <c r="J757" s="711"/>
      <c r="K757" s="711"/>
      <c r="L757" s="711"/>
      <c r="Q757" s="11"/>
      <c r="R757" s="11"/>
      <c r="S757" s="11"/>
      <c r="T757" s="11"/>
    </row>
    <row r="758" spans="8:20" x14ac:dyDescent="0.35">
      <c r="H758" s="711"/>
      <c r="I758" s="711"/>
      <c r="J758" s="711"/>
      <c r="K758" s="711"/>
      <c r="L758" s="711"/>
      <c r="Q758" s="11"/>
      <c r="R758" s="11"/>
      <c r="S758" s="11"/>
      <c r="T758" s="11"/>
    </row>
    <row r="759" spans="8:20" x14ac:dyDescent="0.35">
      <c r="H759" s="711"/>
      <c r="I759" s="711"/>
      <c r="J759" s="711"/>
      <c r="K759" s="711"/>
      <c r="L759" s="711"/>
      <c r="Q759" s="11"/>
      <c r="R759" s="11"/>
      <c r="S759" s="11"/>
      <c r="T759" s="11"/>
    </row>
    <row r="760" spans="8:20" x14ac:dyDescent="0.35">
      <c r="H760" s="711"/>
      <c r="I760" s="711"/>
      <c r="J760" s="711"/>
      <c r="K760" s="711"/>
      <c r="L760" s="711"/>
      <c r="Q760" s="11"/>
      <c r="R760" s="11"/>
      <c r="S760" s="11"/>
      <c r="T760" s="11"/>
    </row>
    <row r="761" spans="8:20" x14ac:dyDescent="0.35">
      <c r="H761" s="711"/>
      <c r="I761" s="711"/>
      <c r="J761" s="711"/>
      <c r="K761" s="711"/>
      <c r="L761" s="711"/>
      <c r="Q761" s="11"/>
      <c r="R761" s="11"/>
      <c r="S761" s="11"/>
      <c r="T761" s="11"/>
    </row>
    <row r="762" spans="8:20" x14ac:dyDescent="0.35">
      <c r="H762" s="711"/>
      <c r="I762" s="711"/>
      <c r="J762" s="711"/>
      <c r="K762" s="711"/>
      <c r="L762" s="711"/>
      <c r="Q762" s="11"/>
      <c r="R762" s="11"/>
      <c r="S762" s="11"/>
      <c r="T762" s="11"/>
    </row>
    <row r="763" spans="8:20" x14ac:dyDescent="0.35">
      <c r="H763" s="711"/>
      <c r="I763" s="711"/>
      <c r="J763" s="711"/>
      <c r="K763" s="711"/>
      <c r="L763" s="711"/>
      <c r="Q763" s="11"/>
      <c r="R763" s="11"/>
      <c r="S763" s="11"/>
      <c r="T763" s="11"/>
    </row>
    <row r="764" spans="8:20" x14ac:dyDescent="0.35">
      <c r="H764" s="711"/>
      <c r="I764" s="711"/>
      <c r="J764" s="711"/>
      <c r="K764" s="711"/>
      <c r="L764" s="711"/>
      <c r="Q764" s="11"/>
      <c r="R764" s="11"/>
      <c r="S764" s="11"/>
      <c r="T764" s="11"/>
    </row>
    <row r="765" spans="8:20" x14ac:dyDescent="0.35">
      <c r="H765" s="711"/>
      <c r="I765" s="711"/>
      <c r="J765" s="711"/>
      <c r="K765" s="711"/>
      <c r="L765" s="711"/>
      <c r="Q765" s="11"/>
      <c r="R765" s="11"/>
      <c r="S765" s="11"/>
      <c r="T765" s="11"/>
    </row>
    <row r="766" spans="8:20" x14ac:dyDescent="0.35">
      <c r="H766" s="711"/>
      <c r="I766" s="711"/>
      <c r="J766" s="711"/>
      <c r="K766" s="711"/>
      <c r="L766" s="711"/>
      <c r="Q766" s="11"/>
      <c r="R766" s="11"/>
      <c r="S766" s="11"/>
      <c r="T766" s="11"/>
    </row>
    <row r="767" spans="8:20" x14ac:dyDescent="0.35">
      <c r="H767" s="711"/>
      <c r="I767" s="711"/>
      <c r="J767" s="711"/>
      <c r="K767" s="711"/>
      <c r="L767" s="711"/>
      <c r="Q767" s="11"/>
      <c r="R767" s="11"/>
      <c r="S767" s="11"/>
      <c r="T767" s="11"/>
    </row>
    <row r="768" spans="8:20" x14ac:dyDescent="0.35">
      <c r="H768" s="711"/>
      <c r="I768" s="711"/>
      <c r="J768" s="711"/>
      <c r="K768" s="711"/>
      <c r="L768" s="711"/>
      <c r="Q768" s="11"/>
      <c r="R768" s="11"/>
      <c r="S768" s="11"/>
      <c r="T768" s="11"/>
    </row>
    <row r="769" spans="8:20" x14ac:dyDescent="0.35">
      <c r="H769" s="711"/>
      <c r="I769" s="711"/>
      <c r="J769" s="711"/>
      <c r="K769" s="711"/>
      <c r="L769" s="711"/>
      <c r="Q769" s="11"/>
      <c r="R769" s="11"/>
      <c r="S769" s="11"/>
      <c r="T769" s="11"/>
    </row>
    <row r="770" spans="8:20" x14ac:dyDescent="0.35">
      <c r="H770" s="711"/>
      <c r="I770" s="711"/>
      <c r="J770" s="711"/>
      <c r="K770" s="711"/>
      <c r="L770" s="711"/>
      <c r="Q770" s="11"/>
      <c r="R770" s="11"/>
      <c r="S770" s="11"/>
      <c r="T770" s="11"/>
    </row>
    <row r="771" spans="8:20" x14ac:dyDescent="0.35">
      <c r="H771" s="711"/>
      <c r="I771" s="711"/>
      <c r="J771" s="711"/>
      <c r="K771" s="711"/>
      <c r="L771" s="711"/>
      <c r="Q771" s="11"/>
      <c r="R771" s="11"/>
      <c r="S771" s="11"/>
      <c r="T771" s="11"/>
    </row>
    <row r="772" spans="8:20" x14ac:dyDescent="0.35">
      <c r="H772" s="711"/>
      <c r="I772" s="711"/>
      <c r="J772" s="711"/>
      <c r="K772" s="711"/>
      <c r="L772" s="711"/>
      <c r="Q772" s="11"/>
      <c r="R772" s="11"/>
      <c r="S772" s="11"/>
      <c r="T772" s="11"/>
    </row>
    <row r="773" spans="8:20" x14ac:dyDescent="0.35">
      <c r="H773" s="711"/>
      <c r="I773" s="711"/>
      <c r="J773" s="711"/>
      <c r="K773" s="711"/>
      <c r="L773" s="711"/>
      <c r="Q773" s="11"/>
      <c r="R773" s="11"/>
      <c r="S773" s="11"/>
      <c r="T773" s="11"/>
    </row>
    <row r="774" spans="8:20" x14ac:dyDescent="0.35">
      <c r="H774" s="711"/>
      <c r="I774" s="711"/>
      <c r="J774" s="711"/>
      <c r="K774" s="711"/>
      <c r="L774" s="711"/>
      <c r="Q774" s="11"/>
      <c r="R774" s="11"/>
      <c r="S774" s="11"/>
      <c r="T774" s="11"/>
    </row>
    <row r="775" spans="8:20" x14ac:dyDescent="0.35">
      <c r="H775" s="711"/>
      <c r="I775" s="711"/>
      <c r="J775" s="711"/>
      <c r="K775" s="711"/>
      <c r="L775" s="711"/>
      <c r="Q775" s="11"/>
      <c r="R775" s="11"/>
      <c r="S775" s="11"/>
      <c r="T775" s="11"/>
    </row>
    <row r="776" spans="8:20" x14ac:dyDescent="0.35">
      <c r="H776" s="711"/>
      <c r="I776" s="711"/>
      <c r="J776" s="711"/>
      <c r="K776" s="711"/>
      <c r="L776" s="711"/>
      <c r="Q776" s="11"/>
      <c r="R776" s="11"/>
      <c r="S776" s="11"/>
      <c r="T776" s="11"/>
    </row>
    <row r="777" spans="8:20" x14ac:dyDescent="0.35">
      <c r="H777" s="711"/>
      <c r="I777" s="711"/>
      <c r="J777" s="711"/>
      <c r="K777" s="711"/>
      <c r="L777" s="711"/>
      <c r="Q777" s="11"/>
      <c r="R777" s="11"/>
      <c r="S777" s="11"/>
      <c r="T777" s="11"/>
    </row>
    <row r="778" spans="8:20" x14ac:dyDescent="0.35">
      <c r="H778" s="711"/>
      <c r="I778" s="711"/>
      <c r="J778" s="711"/>
      <c r="K778" s="711"/>
      <c r="L778" s="711"/>
      <c r="Q778" s="11"/>
      <c r="R778" s="11"/>
      <c r="S778" s="11"/>
      <c r="T778" s="11"/>
    </row>
    <row r="779" spans="8:20" x14ac:dyDescent="0.35">
      <c r="H779" s="711"/>
      <c r="I779" s="711"/>
      <c r="J779" s="711"/>
      <c r="K779" s="711"/>
      <c r="L779" s="711"/>
      <c r="Q779" s="11"/>
      <c r="R779" s="11"/>
      <c r="S779" s="11"/>
      <c r="T779" s="11"/>
    </row>
    <row r="780" spans="8:20" x14ac:dyDescent="0.35">
      <c r="H780" s="711"/>
      <c r="I780" s="711"/>
      <c r="J780" s="711"/>
      <c r="K780" s="711"/>
      <c r="L780" s="711"/>
      <c r="Q780" s="11"/>
      <c r="R780" s="11"/>
      <c r="S780" s="11"/>
      <c r="T780" s="11"/>
    </row>
    <row r="781" spans="8:20" x14ac:dyDescent="0.35">
      <c r="H781" s="711"/>
      <c r="I781" s="711"/>
      <c r="J781" s="711"/>
      <c r="K781" s="711"/>
      <c r="L781" s="711"/>
      <c r="Q781" s="11"/>
      <c r="R781" s="11"/>
      <c r="S781" s="11"/>
      <c r="T781" s="11"/>
    </row>
    <row r="782" spans="8:20" x14ac:dyDescent="0.35">
      <c r="H782" s="711"/>
      <c r="I782" s="711"/>
      <c r="J782" s="711"/>
      <c r="K782" s="711"/>
      <c r="L782" s="711"/>
      <c r="Q782" s="11"/>
      <c r="R782" s="11"/>
      <c r="S782" s="11"/>
      <c r="T782" s="11"/>
    </row>
    <row r="783" spans="8:20" x14ac:dyDescent="0.35">
      <c r="H783" s="711"/>
      <c r="I783" s="711"/>
      <c r="J783" s="711"/>
      <c r="K783" s="711"/>
      <c r="L783" s="711"/>
      <c r="Q783" s="11"/>
      <c r="R783" s="11"/>
      <c r="S783" s="11"/>
      <c r="T783" s="11"/>
    </row>
    <row r="784" spans="8:20" x14ac:dyDescent="0.35">
      <c r="H784" s="711"/>
      <c r="I784" s="711"/>
      <c r="J784" s="711"/>
      <c r="K784" s="711"/>
      <c r="L784" s="711"/>
      <c r="Q784" s="11"/>
      <c r="R784" s="11"/>
      <c r="S784" s="11"/>
      <c r="T784" s="11"/>
    </row>
    <row r="785" spans="8:20" x14ac:dyDescent="0.35">
      <c r="H785" s="711"/>
      <c r="I785" s="711"/>
      <c r="J785" s="711"/>
      <c r="K785" s="711"/>
      <c r="L785" s="711"/>
      <c r="Q785" s="11"/>
      <c r="R785" s="11"/>
      <c r="S785" s="11"/>
      <c r="T785" s="11"/>
    </row>
    <row r="786" spans="8:20" x14ac:dyDescent="0.35">
      <c r="H786" s="711"/>
      <c r="I786" s="711"/>
      <c r="J786" s="711"/>
      <c r="K786" s="711"/>
      <c r="L786" s="711"/>
      <c r="Q786" s="11"/>
      <c r="R786" s="11"/>
      <c r="S786" s="11"/>
      <c r="T786" s="11"/>
    </row>
    <row r="787" spans="8:20" x14ac:dyDescent="0.35">
      <c r="H787" s="711"/>
      <c r="I787" s="711"/>
      <c r="J787" s="711"/>
      <c r="K787" s="711"/>
      <c r="L787" s="711"/>
      <c r="Q787" s="11"/>
      <c r="R787" s="11"/>
      <c r="S787" s="11"/>
      <c r="T787" s="11"/>
    </row>
    <row r="788" spans="8:20" x14ac:dyDescent="0.35">
      <c r="H788" s="711"/>
      <c r="I788" s="711"/>
      <c r="J788" s="711"/>
      <c r="K788" s="711"/>
      <c r="L788" s="711"/>
      <c r="Q788" s="11"/>
      <c r="R788" s="11"/>
      <c r="S788" s="11"/>
      <c r="T788" s="11"/>
    </row>
    <row r="789" spans="8:20" x14ac:dyDescent="0.35">
      <c r="H789" s="711"/>
      <c r="I789" s="711"/>
      <c r="J789" s="711"/>
      <c r="K789" s="711"/>
      <c r="L789" s="711"/>
      <c r="Q789" s="11"/>
      <c r="R789" s="11"/>
      <c r="S789" s="11"/>
      <c r="T789" s="11"/>
    </row>
    <row r="790" spans="8:20" x14ac:dyDescent="0.35">
      <c r="H790" s="711"/>
      <c r="I790" s="711"/>
      <c r="J790" s="711"/>
      <c r="K790" s="711"/>
      <c r="L790" s="711"/>
      <c r="Q790" s="11"/>
      <c r="R790" s="11"/>
      <c r="S790" s="11"/>
      <c r="T790" s="11"/>
    </row>
    <row r="791" spans="8:20" x14ac:dyDescent="0.35">
      <c r="H791" s="711"/>
      <c r="I791" s="711"/>
      <c r="J791" s="711"/>
      <c r="K791" s="711"/>
      <c r="L791" s="711"/>
      <c r="Q791" s="11"/>
      <c r="R791" s="11"/>
      <c r="S791" s="11"/>
      <c r="T791" s="11"/>
    </row>
    <row r="792" spans="8:20" x14ac:dyDescent="0.35">
      <c r="H792" s="711"/>
      <c r="I792" s="711"/>
      <c r="J792" s="711"/>
      <c r="K792" s="711"/>
      <c r="L792" s="711"/>
      <c r="Q792" s="11"/>
      <c r="R792" s="11"/>
      <c r="S792" s="11"/>
      <c r="T792" s="11"/>
    </row>
    <row r="793" spans="8:20" x14ac:dyDescent="0.35">
      <c r="H793" s="711"/>
      <c r="I793" s="711"/>
      <c r="J793" s="711"/>
      <c r="K793" s="711"/>
      <c r="L793" s="711"/>
      <c r="Q793" s="11"/>
      <c r="R793" s="11"/>
      <c r="S793" s="11"/>
      <c r="T793" s="11"/>
    </row>
    <row r="794" spans="8:20" x14ac:dyDescent="0.35">
      <c r="H794" s="711"/>
      <c r="I794" s="711"/>
      <c r="J794" s="711"/>
      <c r="K794" s="711"/>
      <c r="L794" s="711"/>
      <c r="Q794" s="11"/>
      <c r="R794" s="11"/>
      <c r="S794" s="11"/>
      <c r="T794" s="11"/>
    </row>
    <row r="795" spans="8:20" x14ac:dyDescent="0.35">
      <c r="H795" s="711"/>
      <c r="I795" s="711"/>
      <c r="J795" s="711"/>
      <c r="K795" s="711"/>
      <c r="L795" s="711"/>
      <c r="Q795" s="11"/>
      <c r="R795" s="11"/>
      <c r="S795" s="11"/>
      <c r="T795" s="11"/>
    </row>
    <row r="796" spans="8:20" x14ac:dyDescent="0.35">
      <c r="H796" s="711"/>
      <c r="I796" s="711"/>
      <c r="J796" s="711"/>
      <c r="K796" s="711"/>
      <c r="L796" s="711"/>
      <c r="Q796" s="11"/>
      <c r="R796" s="11"/>
      <c r="S796" s="11"/>
      <c r="T796" s="11"/>
    </row>
    <row r="797" spans="8:20" x14ac:dyDescent="0.35">
      <c r="H797" s="711"/>
      <c r="I797" s="711"/>
      <c r="J797" s="711"/>
      <c r="K797" s="711"/>
      <c r="L797" s="711"/>
      <c r="Q797" s="11"/>
      <c r="R797" s="11"/>
      <c r="S797" s="11"/>
      <c r="T797" s="11"/>
    </row>
    <row r="798" spans="8:20" x14ac:dyDescent="0.35">
      <c r="H798" s="711"/>
      <c r="I798" s="711"/>
      <c r="J798" s="711"/>
      <c r="K798" s="711"/>
      <c r="L798" s="711"/>
      <c r="Q798" s="11"/>
      <c r="R798" s="11"/>
      <c r="S798" s="11"/>
      <c r="T798" s="11"/>
    </row>
    <row r="799" spans="8:20" x14ac:dyDescent="0.35">
      <c r="H799" s="711"/>
      <c r="I799" s="711"/>
      <c r="J799" s="711"/>
      <c r="K799" s="711"/>
      <c r="L799" s="711"/>
      <c r="Q799" s="11"/>
      <c r="R799" s="11"/>
      <c r="S799" s="11"/>
      <c r="T799" s="11"/>
    </row>
    <row r="800" spans="8:20" x14ac:dyDescent="0.35">
      <c r="H800" s="711"/>
      <c r="I800" s="711"/>
      <c r="J800" s="711"/>
      <c r="K800" s="711"/>
      <c r="L800" s="711"/>
      <c r="Q800" s="11"/>
      <c r="R800" s="11"/>
      <c r="S800" s="11"/>
      <c r="T800" s="11"/>
    </row>
    <row r="801" spans="8:20" x14ac:dyDescent="0.35">
      <c r="H801" s="711"/>
      <c r="I801" s="711"/>
      <c r="J801" s="711"/>
      <c r="K801" s="711"/>
      <c r="L801" s="711"/>
      <c r="Q801" s="11"/>
      <c r="R801" s="11"/>
      <c r="S801" s="11"/>
      <c r="T801" s="11"/>
    </row>
    <row r="802" spans="8:20" x14ac:dyDescent="0.35">
      <c r="H802" s="711"/>
      <c r="I802" s="711"/>
      <c r="J802" s="711"/>
      <c r="K802" s="711"/>
      <c r="L802" s="711"/>
      <c r="Q802" s="11"/>
      <c r="R802" s="11"/>
      <c r="S802" s="11"/>
      <c r="T802" s="11"/>
    </row>
    <row r="803" spans="8:20" x14ac:dyDescent="0.35">
      <c r="H803" s="711"/>
      <c r="I803" s="711"/>
      <c r="J803" s="711"/>
      <c r="K803" s="711"/>
      <c r="L803" s="711"/>
      <c r="Q803" s="11"/>
      <c r="R803" s="11"/>
      <c r="S803" s="11"/>
      <c r="T803" s="11"/>
    </row>
    <row r="804" spans="8:20" x14ac:dyDescent="0.35">
      <c r="H804" s="711"/>
      <c r="I804" s="711"/>
      <c r="J804" s="711"/>
      <c r="K804" s="711"/>
      <c r="L804" s="711"/>
      <c r="Q804" s="11"/>
      <c r="R804" s="11"/>
      <c r="S804" s="11"/>
      <c r="T804" s="11"/>
    </row>
    <row r="805" spans="8:20" x14ac:dyDescent="0.35">
      <c r="H805" s="711"/>
      <c r="I805" s="711"/>
      <c r="J805" s="711"/>
      <c r="K805" s="711"/>
      <c r="L805" s="711"/>
      <c r="Q805" s="11"/>
      <c r="R805" s="11"/>
      <c r="S805" s="11"/>
      <c r="T805" s="11"/>
    </row>
    <row r="806" spans="8:20" x14ac:dyDescent="0.35">
      <c r="H806" s="711"/>
      <c r="I806" s="711"/>
      <c r="J806" s="711"/>
      <c r="K806" s="711"/>
      <c r="L806" s="711"/>
      <c r="Q806" s="11"/>
      <c r="R806" s="11"/>
      <c r="S806" s="11"/>
      <c r="T806" s="11"/>
    </row>
    <row r="807" spans="8:20" x14ac:dyDescent="0.35">
      <c r="H807" s="711"/>
      <c r="I807" s="711"/>
      <c r="J807" s="711"/>
      <c r="K807" s="711"/>
      <c r="L807" s="711"/>
      <c r="Q807" s="11"/>
      <c r="R807" s="11"/>
      <c r="S807" s="11"/>
      <c r="T807" s="11"/>
    </row>
    <row r="808" spans="8:20" x14ac:dyDescent="0.35">
      <c r="H808" s="711"/>
      <c r="I808" s="711"/>
      <c r="J808" s="711"/>
      <c r="K808" s="711"/>
      <c r="L808" s="711"/>
      <c r="Q808" s="11"/>
      <c r="R808" s="11"/>
      <c r="S808" s="11"/>
      <c r="T808" s="11"/>
    </row>
    <row r="809" spans="8:20" x14ac:dyDescent="0.35">
      <c r="H809" s="711"/>
      <c r="I809" s="711"/>
      <c r="J809" s="711"/>
      <c r="K809" s="711"/>
      <c r="L809" s="711"/>
      <c r="Q809" s="11"/>
      <c r="R809" s="11"/>
      <c r="S809" s="11"/>
      <c r="T809" s="11"/>
    </row>
    <row r="810" spans="8:20" x14ac:dyDescent="0.35">
      <c r="H810" s="711"/>
      <c r="I810" s="711"/>
      <c r="J810" s="711"/>
      <c r="K810" s="711"/>
      <c r="L810" s="711"/>
      <c r="Q810" s="11"/>
      <c r="R810" s="11"/>
      <c r="S810" s="11"/>
      <c r="T810" s="11"/>
    </row>
    <row r="811" spans="8:20" x14ac:dyDescent="0.35">
      <c r="H811" s="711"/>
      <c r="I811" s="711"/>
      <c r="J811" s="711"/>
      <c r="K811" s="711"/>
      <c r="L811" s="711"/>
      <c r="Q811" s="11"/>
      <c r="R811" s="11"/>
      <c r="S811" s="11"/>
      <c r="T811" s="11"/>
    </row>
    <row r="812" spans="8:20" x14ac:dyDescent="0.35">
      <c r="H812" s="711"/>
      <c r="I812" s="711"/>
      <c r="J812" s="711"/>
      <c r="K812" s="711"/>
      <c r="L812" s="711"/>
      <c r="Q812" s="11"/>
      <c r="R812" s="11"/>
      <c r="S812" s="11"/>
      <c r="T812" s="11"/>
    </row>
    <row r="813" spans="8:20" x14ac:dyDescent="0.35">
      <c r="H813" s="711"/>
      <c r="I813" s="711"/>
      <c r="J813" s="711"/>
      <c r="K813" s="711"/>
      <c r="L813" s="711"/>
      <c r="Q813" s="11"/>
      <c r="R813" s="11"/>
      <c r="S813" s="11"/>
      <c r="T813" s="11"/>
    </row>
    <row r="814" spans="8:20" x14ac:dyDescent="0.35">
      <c r="H814" s="711"/>
      <c r="I814" s="711"/>
      <c r="J814" s="711"/>
      <c r="K814" s="711"/>
      <c r="L814" s="711"/>
      <c r="Q814" s="11"/>
      <c r="R814" s="11"/>
      <c r="S814" s="11"/>
      <c r="T814" s="11"/>
    </row>
    <row r="815" spans="8:20" x14ac:dyDescent="0.35">
      <c r="H815" s="711"/>
      <c r="I815" s="711"/>
      <c r="J815" s="711"/>
      <c r="K815" s="711"/>
      <c r="L815" s="711"/>
      <c r="Q815" s="11"/>
      <c r="R815" s="11"/>
      <c r="S815" s="11"/>
      <c r="T815" s="11"/>
    </row>
    <row r="816" spans="8:20" x14ac:dyDescent="0.35">
      <c r="H816" s="711"/>
      <c r="I816" s="711"/>
      <c r="J816" s="711"/>
      <c r="K816" s="711"/>
      <c r="L816" s="711"/>
      <c r="Q816" s="11"/>
      <c r="R816" s="11"/>
      <c r="S816" s="11"/>
      <c r="T816" s="11"/>
    </row>
    <row r="817" spans="8:20" x14ac:dyDescent="0.35">
      <c r="H817" s="711"/>
      <c r="I817" s="711"/>
      <c r="J817" s="711"/>
      <c r="K817" s="711"/>
      <c r="L817" s="711"/>
      <c r="Q817" s="11"/>
      <c r="R817" s="11"/>
      <c r="S817" s="11"/>
      <c r="T817" s="11"/>
    </row>
    <row r="818" spans="8:20" x14ac:dyDescent="0.35">
      <c r="H818" s="711"/>
      <c r="I818" s="711"/>
      <c r="J818" s="711"/>
      <c r="K818" s="711"/>
      <c r="L818" s="711"/>
      <c r="Q818" s="11"/>
      <c r="R818" s="11"/>
      <c r="S818" s="11"/>
      <c r="T818" s="11"/>
    </row>
    <row r="819" spans="8:20" x14ac:dyDescent="0.35">
      <c r="H819" s="711"/>
      <c r="I819" s="711"/>
      <c r="J819" s="711"/>
      <c r="K819" s="711"/>
      <c r="L819" s="711"/>
      <c r="Q819" s="11"/>
      <c r="R819" s="11"/>
      <c r="S819" s="11"/>
      <c r="T819" s="11"/>
    </row>
    <row r="820" spans="8:20" x14ac:dyDescent="0.35">
      <c r="H820" s="711"/>
      <c r="I820" s="711"/>
      <c r="J820" s="711"/>
      <c r="K820" s="711"/>
      <c r="L820" s="711"/>
      <c r="Q820" s="11"/>
      <c r="R820" s="11"/>
      <c r="S820" s="11"/>
      <c r="T820" s="11"/>
    </row>
    <row r="821" spans="8:20" x14ac:dyDescent="0.35">
      <c r="H821" s="711"/>
      <c r="I821" s="711"/>
      <c r="J821" s="711"/>
      <c r="K821" s="711"/>
      <c r="L821" s="711"/>
      <c r="Q821" s="11"/>
      <c r="R821" s="11"/>
      <c r="S821" s="11"/>
      <c r="T821" s="11"/>
    </row>
    <row r="822" spans="8:20" x14ac:dyDescent="0.35">
      <c r="H822" s="711"/>
      <c r="I822" s="711"/>
      <c r="J822" s="711"/>
      <c r="K822" s="711"/>
      <c r="L822" s="711"/>
      <c r="Q822" s="11"/>
      <c r="R822" s="11"/>
      <c r="S822" s="11"/>
      <c r="T822" s="11"/>
    </row>
    <row r="823" spans="8:20" x14ac:dyDescent="0.35">
      <c r="H823" s="711"/>
      <c r="I823" s="711"/>
      <c r="J823" s="711"/>
      <c r="K823" s="711"/>
      <c r="L823" s="711"/>
      <c r="Q823" s="11"/>
      <c r="R823" s="11"/>
      <c r="S823" s="11"/>
      <c r="T823" s="11"/>
    </row>
    <row r="824" spans="8:20" x14ac:dyDescent="0.35">
      <c r="H824" s="711"/>
      <c r="I824" s="711"/>
      <c r="J824" s="711"/>
      <c r="K824" s="711"/>
      <c r="L824" s="711"/>
      <c r="Q824" s="11"/>
      <c r="R824" s="11"/>
      <c r="S824" s="11"/>
      <c r="T824" s="11"/>
    </row>
    <row r="825" spans="8:20" x14ac:dyDescent="0.35">
      <c r="H825" s="711"/>
      <c r="I825" s="711"/>
      <c r="J825" s="711"/>
      <c r="K825" s="711"/>
      <c r="L825" s="711"/>
      <c r="Q825" s="11"/>
      <c r="R825" s="11"/>
      <c r="S825" s="11"/>
      <c r="T825" s="11"/>
    </row>
    <row r="826" spans="8:20" x14ac:dyDescent="0.35">
      <c r="H826" s="711"/>
      <c r="I826" s="711"/>
      <c r="J826" s="711"/>
      <c r="K826" s="711"/>
      <c r="L826" s="711"/>
      <c r="Q826" s="11"/>
      <c r="R826" s="11"/>
      <c r="S826" s="11"/>
      <c r="T826" s="11"/>
    </row>
    <row r="827" spans="8:20" x14ac:dyDescent="0.35">
      <c r="H827" s="711"/>
      <c r="I827" s="711"/>
      <c r="J827" s="711"/>
      <c r="K827" s="711"/>
      <c r="L827" s="711"/>
      <c r="Q827" s="11"/>
      <c r="R827" s="11"/>
      <c r="S827" s="11"/>
      <c r="T827" s="11"/>
    </row>
    <row r="828" spans="8:20" x14ac:dyDescent="0.35">
      <c r="H828" s="711"/>
      <c r="I828" s="711"/>
      <c r="J828" s="711"/>
      <c r="K828" s="711"/>
      <c r="L828" s="711"/>
      <c r="Q828" s="11"/>
      <c r="R828" s="11"/>
      <c r="S828" s="11"/>
      <c r="T828" s="11"/>
    </row>
    <row r="829" spans="8:20" x14ac:dyDescent="0.35">
      <c r="H829" s="711"/>
      <c r="I829" s="711"/>
      <c r="J829" s="711"/>
      <c r="K829" s="711"/>
      <c r="L829" s="711"/>
      <c r="Q829" s="11"/>
      <c r="R829" s="11"/>
      <c r="S829" s="11"/>
      <c r="T829" s="11"/>
    </row>
    <row r="830" spans="8:20" x14ac:dyDescent="0.35">
      <c r="H830" s="711"/>
      <c r="I830" s="711"/>
      <c r="J830" s="711"/>
      <c r="K830" s="711"/>
      <c r="L830" s="711"/>
      <c r="Q830" s="11"/>
      <c r="R830" s="11"/>
      <c r="S830" s="11"/>
      <c r="T830" s="11"/>
    </row>
    <row r="831" spans="8:20" x14ac:dyDescent="0.35">
      <c r="H831" s="711"/>
      <c r="I831" s="711"/>
      <c r="J831" s="711"/>
      <c r="K831" s="711"/>
      <c r="L831" s="711"/>
      <c r="Q831" s="11"/>
      <c r="R831" s="11"/>
      <c r="S831" s="11"/>
      <c r="T831" s="11"/>
    </row>
    <row r="832" spans="8:20" x14ac:dyDescent="0.35">
      <c r="H832" s="711"/>
      <c r="I832" s="711"/>
      <c r="J832" s="711"/>
      <c r="K832" s="711"/>
      <c r="L832" s="711"/>
      <c r="Q832" s="11"/>
      <c r="R832" s="11"/>
      <c r="S832" s="11"/>
      <c r="T832" s="11"/>
    </row>
    <row r="833" spans="8:20" x14ac:dyDescent="0.35">
      <c r="H833" s="711"/>
      <c r="I833" s="711"/>
      <c r="J833" s="711"/>
      <c r="K833" s="711"/>
      <c r="L833" s="711"/>
      <c r="Q833" s="11"/>
      <c r="R833" s="11"/>
      <c r="S833" s="11"/>
      <c r="T833" s="11"/>
    </row>
    <row r="834" spans="8:20" x14ac:dyDescent="0.35">
      <c r="H834" s="711"/>
      <c r="I834" s="711"/>
      <c r="J834" s="711"/>
      <c r="K834" s="711"/>
      <c r="L834" s="711"/>
      <c r="Q834" s="11"/>
      <c r="R834" s="11"/>
      <c r="S834" s="11"/>
      <c r="T834" s="11"/>
    </row>
    <row r="835" spans="8:20" x14ac:dyDescent="0.35">
      <c r="H835" s="711"/>
      <c r="I835" s="711"/>
      <c r="J835" s="711"/>
      <c r="K835" s="711"/>
      <c r="L835" s="711"/>
      <c r="Q835" s="11"/>
      <c r="R835" s="11"/>
      <c r="S835" s="11"/>
      <c r="T835" s="11"/>
    </row>
    <row r="836" spans="8:20" x14ac:dyDescent="0.35">
      <c r="H836" s="711"/>
      <c r="I836" s="711"/>
      <c r="J836" s="711"/>
      <c r="K836" s="711"/>
      <c r="L836" s="711"/>
      <c r="Q836" s="11"/>
      <c r="R836" s="11"/>
      <c r="S836" s="11"/>
      <c r="T836" s="11"/>
    </row>
    <row r="837" spans="8:20" x14ac:dyDescent="0.35">
      <c r="H837" s="711"/>
      <c r="I837" s="711"/>
      <c r="J837" s="711"/>
      <c r="K837" s="711"/>
      <c r="L837" s="711"/>
      <c r="Q837" s="11"/>
      <c r="R837" s="11"/>
      <c r="S837" s="11"/>
      <c r="T837" s="11"/>
    </row>
    <row r="838" spans="8:20" x14ac:dyDescent="0.35">
      <c r="H838" s="711"/>
      <c r="I838" s="711"/>
      <c r="J838" s="711"/>
      <c r="K838" s="711"/>
      <c r="L838" s="711"/>
      <c r="Q838" s="11"/>
      <c r="R838" s="11"/>
      <c r="S838" s="11"/>
      <c r="T838" s="11"/>
    </row>
    <row r="839" spans="8:20" x14ac:dyDescent="0.35">
      <c r="H839" s="711"/>
      <c r="I839" s="711"/>
      <c r="J839" s="711"/>
      <c r="K839" s="711"/>
      <c r="L839" s="711"/>
      <c r="Q839" s="11"/>
      <c r="R839" s="11"/>
      <c r="S839" s="11"/>
      <c r="T839" s="11"/>
    </row>
    <row r="840" spans="8:20" x14ac:dyDescent="0.35">
      <c r="H840" s="711"/>
      <c r="I840" s="711"/>
      <c r="J840" s="711"/>
      <c r="K840" s="711"/>
      <c r="L840" s="711"/>
      <c r="Q840" s="11"/>
      <c r="R840" s="11"/>
      <c r="S840" s="11"/>
      <c r="T840" s="11"/>
    </row>
    <row r="841" spans="8:20" x14ac:dyDescent="0.35">
      <c r="H841" s="711"/>
      <c r="I841" s="711"/>
      <c r="J841" s="711"/>
      <c r="K841" s="711"/>
      <c r="L841" s="711"/>
      <c r="Q841" s="11"/>
      <c r="R841" s="11"/>
      <c r="S841" s="11"/>
      <c r="T841" s="11"/>
    </row>
    <row r="842" spans="8:20" x14ac:dyDescent="0.35">
      <c r="H842" s="711"/>
      <c r="I842" s="711"/>
      <c r="J842" s="711"/>
      <c r="K842" s="711"/>
      <c r="L842" s="711"/>
      <c r="Q842" s="11"/>
      <c r="R842" s="11"/>
      <c r="S842" s="11"/>
      <c r="T842" s="11"/>
    </row>
    <row r="843" spans="8:20" x14ac:dyDescent="0.35">
      <c r="H843" s="711"/>
      <c r="I843" s="711"/>
      <c r="J843" s="711"/>
      <c r="K843" s="711"/>
      <c r="L843" s="711"/>
      <c r="Q843" s="11"/>
      <c r="R843" s="11"/>
      <c r="S843" s="11"/>
      <c r="T843" s="11"/>
    </row>
    <row r="844" spans="8:20" x14ac:dyDescent="0.35">
      <c r="H844" s="711"/>
      <c r="I844" s="711"/>
      <c r="J844" s="711"/>
      <c r="K844" s="711"/>
      <c r="L844" s="711"/>
      <c r="Q844" s="11"/>
      <c r="R844" s="11"/>
      <c r="S844" s="11"/>
      <c r="T844" s="11"/>
    </row>
    <row r="845" spans="8:20" x14ac:dyDescent="0.35">
      <c r="H845" s="711"/>
      <c r="I845" s="711"/>
      <c r="J845" s="711"/>
      <c r="K845" s="711"/>
      <c r="L845" s="711"/>
      <c r="Q845" s="11"/>
      <c r="R845" s="11"/>
      <c r="S845" s="11"/>
      <c r="T845" s="11"/>
    </row>
    <row r="846" spans="8:20" x14ac:dyDescent="0.35">
      <c r="H846" s="711"/>
      <c r="I846" s="711"/>
      <c r="J846" s="711"/>
      <c r="K846" s="711"/>
      <c r="L846" s="711"/>
      <c r="Q846" s="11"/>
      <c r="R846" s="11"/>
      <c r="S846" s="11"/>
      <c r="T846" s="11"/>
    </row>
    <row r="847" spans="8:20" x14ac:dyDescent="0.35">
      <c r="H847" s="711"/>
      <c r="I847" s="711"/>
      <c r="J847" s="711"/>
      <c r="K847" s="711"/>
      <c r="L847" s="711"/>
      <c r="Q847" s="11"/>
      <c r="R847" s="11"/>
      <c r="S847" s="11"/>
      <c r="T847" s="11"/>
    </row>
    <row r="848" spans="8:20" x14ac:dyDescent="0.35">
      <c r="H848" s="711"/>
      <c r="I848" s="711"/>
      <c r="J848" s="711"/>
      <c r="K848" s="711"/>
      <c r="L848" s="711"/>
      <c r="Q848" s="11"/>
      <c r="R848" s="11"/>
      <c r="S848" s="11"/>
      <c r="T848" s="11"/>
    </row>
    <row r="849" spans="8:20" x14ac:dyDescent="0.35">
      <c r="H849" s="711"/>
      <c r="I849" s="711"/>
      <c r="J849" s="711"/>
      <c r="K849" s="711"/>
      <c r="L849" s="711"/>
      <c r="Q849" s="11"/>
      <c r="R849" s="11"/>
      <c r="S849" s="11"/>
      <c r="T849" s="11"/>
    </row>
    <row r="850" spans="8:20" x14ac:dyDescent="0.35">
      <c r="H850" s="711"/>
      <c r="I850" s="711"/>
      <c r="J850" s="711"/>
      <c r="K850" s="711"/>
      <c r="L850" s="711"/>
      <c r="Q850" s="11"/>
      <c r="R850" s="11"/>
      <c r="S850" s="11"/>
      <c r="T850" s="11"/>
    </row>
    <row r="851" spans="8:20" x14ac:dyDescent="0.35">
      <c r="H851" s="711"/>
      <c r="I851" s="711"/>
      <c r="J851" s="711"/>
      <c r="K851" s="711"/>
      <c r="L851" s="711"/>
      <c r="Q851" s="11"/>
      <c r="R851" s="11"/>
      <c r="S851" s="11"/>
      <c r="T851" s="11"/>
    </row>
    <row r="852" spans="8:20" x14ac:dyDescent="0.35">
      <c r="H852" s="711"/>
      <c r="I852" s="711"/>
      <c r="J852" s="711"/>
      <c r="K852" s="711"/>
      <c r="L852" s="711"/>
      <c r="Q852" s="11"/>
      <c r="R852" s="11"/>
      <c r="S852" s="11"/>
      <c r="T852" s="11"/>
    </row>
    <row r="853" spans="8:20" x14ac:dyDescent="0.35">
      <c r="H853" s="711"/>
      <c r="I853" s="711"/>
      <c r="J853" s="711"/>
      <c r="K853" s="711"/>
      <c r="L853" s="711"/>
      <c r="Q853" s="11"/>
      <c r="R853" s="11"/>
      <c r="S853" s="11"/>
      <c r="T853" s="11"/>
    </row>
    <row r="854" spans="8:20" x14ac:dyDescent="0.35">
      <c r="H854" s="711"/>
      <c r="I854" s="711"/>
      <c r="J854" s="711"/>
      <c r="K854" s="711"/>
      <c r="L854" s="711"/>
      <c r="Q854" s="11"/>
      <c r="R854" s="11"/>
      <c r="S854" s="11"/>
      <c r="T854" s="11"/>
    </row>
    <row r="855" spans="8:20" x14ac:dyDescent="0.35">
      <c r="H855" s="711"/>
      <c r="I855" s="711"/>
      <c r="J855" s="711"/>
      <c r="K855" s="711"/>
      <c r="L855" s="711"/>
      <c r="Q855" s="11"/>
      <c r="R855" s="11"/>
      <c r="S855" s="11"/>
      <c r="T855" s="11"/>
    </row>
    <row r="856" spans="8:20" x14ac:dyDescent="0.35">
      <c r="H856" s="711"/>
      <c r="I856" s="711"/>
      <c r="J856" s="711"/>
      <c r="K856" s="711"/>
      <c r="L856" s="711"/>
      <c r="Q856" s="11"/>
      <c r="R856" s="11"/>
      <c r="S856" s="11"/>
      <c r="T856" s="11"/>
    </row>
    <row r="857" spans="8:20" x14ac:dyDescent="0.35">
      <c r="H857" s="711"/>
      <c r="I857" s="711"/>
      <c r="J857" s="711"/>
      <c r="K857" s="711"/>
      <c r="L857" s="711"/>
      <c r="Q857" s="11"/>
      <c r="R857" s="11"/>
      <c r="S857" s="11"/>
      <c r="T857" s="11"/>
    </row>
    <row r="858" spans="8:20" x14ac:dyDescent="0.35">
      <c r="H858" s="711"/>
      <c r="I858" s="711"/>
      <c r="J858" s="711"/>
      <c r="K858" s="711"/>
      <c r="L858" s="711"/>
      <c r="Q858" s="11"/>
      <c r="R858" s="11"/>
      <c r="S858" s="11"/>
      <c r="T858" s="11"/>
    </row>
    <row r="859" spans="8:20" x14ac:dyDescent="0.35">
      <c r="H859" s="711"/>
      <c r="I859" s="711"/>
      <c r="J859" s="711"/>
      <c r="K859" s="711"/>
      <c r="L859" s="711"/>
      <c r="Q859" s="11"/>
      <c r="R859" s="11"/>
      <c r="S859" s="11"/>
      <c r="T859" s="11"/>
    </row>
    <row r="860" spans="8:20" x14ac:dyDescent="0.35">
      <c r="H860" s="711"/>
      <c r="I860" s="711"/>
      <c r="J860" s="711"/>
      <c r="K860" s="711"/>
      <c r="L860" s="711"/>
      <c r="Q860" s="11"/>
      <c r="R860" s="11"/>
      <c r="S860" s="11"/>
      <c r="T860" s="11"/>
    </row>
    <row r="861" spans="8:20" x14ac:dyDescent="0.35">
      <c r="H861" s="711"/>
      <c r="I861" s="711"/>
      <c r="J861" s="711"/>
      <c r="K861" s="711"/>
      <c r="L861" s="711"/>
      <c r="Q861" s="11"/>
      <c r="R861" s="11"/>
      <c r="S861" s="11"/>
      <c r="T861" s="11"/>
    </row>
    <row r="862" spans="8:20" x14ac:dyDescent="0.35">
      <c r="H862" s="711"/>
      <c r="I862" s="711"/>
      <c r="J862" s="711"/>
      <c r="K862" s="711"/>
      <c r="L862" s="711"/>
      <c r="Q862" s="11"/>
      <c r="R862" s="11"/>
      <c r="S862" s="11"/>
      <c r="T862" s="11"/>
    </row>
    <row r="863" spans="8:20" x14ac:dyDescent="0.35">
      <c r="H863" s="711"/>
      <c r="I863" s="711"/>
      <c r="J863" s="711"/>
      <c r="K863" s="711"/>
      <c r="L863" s="711"/>
      <c r="Q863" s="11"/>
      <c r="R863" s="11"/>
      <c r="S863" s="11"/>
      <c r="T863" s="11"/>
    </row>
    <row r="864" spans="8:20" x14ac:dyDescent="0.35">
      <c r="H864" s="711"/>
      <c r="I864" s="711"/>
      <c r="J864" s="711"/>
      <c r="K864" s="711"/>
      <c r="L864" s="711"/>
      <c r="Q864" s="11"/>
      <c r="R864" s="11"/>
      <c r="S864" s="11"/>
      <c r="T864" s="11"/>
    </row>
    <row r="865" spans="8:20" x14ac:dyDescent="0.35">
      <c r="H865" s="711"/>
      <c r="I865" s="711"/>
      <c r="J865" s="711"/>
      <c r="K865" s="711"/>
      <c r="L865" s="711"/>
      <c r="Q865" s="11"/>
      <c r="R865" s="11"/>
      <c r="S865" s="11"/>
      <c r="T865" s="11"/>
    </row>
    <row r="866" spans="8:20" x14ac:dyDescent="0.35">
      <c r="H866" s="711"/>
      <c r="I866" s="711"/>
      <c r="J866" s="711"/>
      <c r="K866" s="711"/>
      <c r="L866" s="711"/>
      <c r="Q866" s="11"/>
      <c r="R866" s="11"/>
      <c r="S866" s="11"/>
      <c r="T866" s="11"/>
    </row>
    <row r="867" spans="8:20" x14ac:dyDescent="0.35">
      <c r="H867" s="711"/>
      <c r="I867" s="711"/>
      <c r="J867" s="711"/>
      <c r="K867" s="711"/>
      <c r="L867" s="711"/>
      <c r="Q867" s="11"/>
      <c r="R867" s="11"/>
      <c r="S867" s="11"/>
      <c r="T867" s="11"/>
    </row>
    <row r="868" spans="8:20" x14ac:dyDescent="0.35">
      <c r="H868" s="711"/>
      <c r="I868" s="711"/>
      <c r="J868" s="711"/>
      <c r="K868" s="711"/>
      <c r="L868" s="711"/>
      <c r="Q868" s="11"/>
      <c r="R868" s="11"/>
      <c r="S868" s="11"/>
      <c r="T868" s="11"/>
    </row>
    <row r="869" spans="8:20" x14ac:dyDescent="0.35">
      <c r="H869" s="711"/>
      <c r="I869" s="711"/>
      <c r="J869" s="711"/>
      <c r="K869" s="711"/>
      <c r="L869" s="711"/>
      <c r="Q869" s="11"/>
      <c r="R869" s="11"/>
      <c r="S869" s="11"/>
      <c r="T869" s="11"/>
    </row>
    <row r="870" spans="8:20" x14ac:dyDescent="0.35">
      <c r="H870" s="711"/>
      <c r="I870" s="711"/>
      <c r="J870" s="711"/>
      <c r="K870" s="711"/>
      <c r="L870" s="711"/>
      <c r="Q870" s="11"/>
      <c r="R870" s="11"/>
      <c r="S870" s="11"/>
      <c r="T870" s="11"/>
    </row>
    <row r="871" spans="8:20" x14ac:dyDescent="0.35">
      <c r="H871" s="711"/>
      <c r="I871" s="711"/>
      <c r="J871" s="711"/>
      <c r="K871" s="711"/>
      <c r="L871" s="711"/>
      <c r="Q871" s="11"/>
      <c r="R871" s="11"/>
      <c r="S871" s="11"/>
      <c r="T871" s="11"/>
    </row>
    <row r="872" spans="8:20" x14ac:dyDescent="0.35">
      <c r="H872" s="711"/>
      <c r="I872" s="711"/>
      <c r="J872" s="711"/>
      <c r="K872" s="711"/>
      <c r="L872" s="711"/>
      <c r="Q872" s="11"/>
      <c r="R872" s="11"/>
      <c r="S872" s="11"/>
      <c r="T872" s="11"/>
    </row>
    <row r="873" spans="8:20" x14ac:dyDescent="0.35">
      <c r="H873" s="711"/>
      <c r="I873" s="711"/>
      <c r="J873" s="711"/>
      <c r="K873" s="711"/>
      <c r="L873" s="711"/>
      <c r="Q873" s="11"/>
      <c r="R873" s="11"/>
      <c r="S873" s="11"/>
      <c r="T873" s="11"/>
    </row>
    <row r="874" spans="8:20" x14ac:dyDescent="0.35">
      <c r="H874" s="711"/>
      <c r="I874" s="711"/>
      <c r="J874" s="711"/>
      <c r="K874" s="711"/>
      <c r="L874" s="711"/>
      <c r="Q874" s="11"/>
      <c r="R874" s="11"/>
      <c r="S874" s="11"/>
      <c r="T874" s="11"/>
    </row>
    <row r="875" spans="8:20" x14ac:dyDescent="0.35">
      <c r="H875" s="711"/>
      <c r="I875" s="711"/>
      <c r="J875" s="711"/>
      <c r="K875" s="711"/>
      <c r="L875" s="711"/>
      <c r="Q875" s="11"/>
      <c r="R875" s="11"/>
      <c r="S875" s="11"/>
      <c r="T875" s="11"/>
    </row>
    <row r="876" spans="8:20" x14ac:dyDescent="0.35">
      <c r="H876" s="711"/>
      <c r="I876" s="711"/>
      <c r="J876" s="711"/>
      <c r="K876" s="711"/>
      <c r="L876" s="711"/>
      <c r="Q876" s="11"/>
      <c r="R876" s="11"/>
      <c r="S876" s="11"/>
      <c r="T876" s="11"/>
    </row>
    <row r="877" spans="8:20" x14ac:dyDescent="0.35">
      <c r="H877" s="711"/>
      <c r="I877" s="711"/>
      <c r="J877" s="711"/>
      <c r="K877" s="711"/>
      <c r="L877" s="711"/>
      <c r="Q877" s="11"/>
      <c r="R877" s="11"/>
      <c r="S877" s="11"/>
      <c r="T877" s="11"/>
    </row>
    <row r="878" spans="8:20" x14ac:dyDescent="0.35">
      <c r="H878" s="711"/>
      <c r="I878" s="711"/>
      <c r="J878" s="711"/>
      <c r="K878" s="711"/>
      <c r="L878" s="711"/>
      <c r="Q878" s="11"/>
      <c r="R878" s="11"/>
      <c r="S878" s="11"/>
      <c r="T878" s="11"/>
    </row>
    <row r="879" spans="8:20" x14ac:dyDescent="0.35">
      <c r="H879" s="711"/>
      <c r="I879" s="711"/>
      <c r="J879" s="711"/>
      <c r="K879" s="711"/>
      <c r="L879" s="711"/>
      <c r="Q879" s="11"/>
      <c r="R879" s="11"/>
      <c r="S879" s="11"/>
      <c r="T879" s="11"/>
    </row>
    <row r="880" spans="8:20" x14ac:dyDescent="0.35">
      <c r="H880" s="711"/>
      <c r="I880" s="711"/>
      <c r="J880" s="711"/>
      <c r="K880" s="711"/>
      <c r="L880" s="711"/>
      <c r="Q880" s="11"/>
      <c r="R880" s="11"/>
      <c r="S880" s="11"/>
      <c r="T880" s="11"/>
    </row>
    <row r="881" spans="8:20" x14ac:dyDescent="0.35">
      <c r="H881" s="711"/>
      <c r="I881" s="711"/>
      <c r="J881" s="711"/>
      <c r="K881" s="711"/>
      <c r="L881" s="711"/>
      <c r="Q881" s="11"/>
      <c r="R881" s="11"/>
      <c r="S881" s="11"/>
      <c r="T881" s="11"/>
    </row>
    <row r="882" spans="8:20" x14ac:dyDescent="0.35">
      <c r="H882" s="711"/>
      <c r="I882" s="711"/>
      <c r="J882" s="711"/>
      <c r="K882" s="711"/>
      <c r="L882" s="711"/>
      <c r="Q882" s="11"/>
      <c r="R882" s="11"/>
      <c r="S882" s="11"/>
      <c r="T882" s="11"/>
    </row>
    <row r="883" spans="8:20" x14ac:dyDescent="0.35">
      <c r="H883" s="711"/>
      <c r="I883" s="711"/>
      <c r="J883" s="711"/>
      <c r="K883" s="711"/>
      <c r="L883" s="711"/>
      <c r="Q883" s="11"/>
      <c r="R883" s="11"/>
      <c r="S883" s="11"/>
      <c r="T883" s="11"/>
    </row>
    <row r="884" spans="8:20" x14ac:dyDescent="0.35">
      <c r="H884" s="711"/>
      <c r="I884" s="711"/>
      <c r="J884" s="711"/>
      <c r="K884" s="711"/>
      <c r="L884" s="711"/>
      <c r="Q884" s="11"/>
      <c r="R884" s="11"/>
      <c r="S884" s="11"/>
      <c r="T884" s="11"/>
    </row>
    <row r="885" spans="8:20" x14ac:dyDescent="0.35">
      <c r="H885" s="711"/>
      <c r="I885" s="711"/>
      <c r="J885" s="711"/>
      <c r="K885" s="711"/>
      <c r="L885" s="711"/>
      <c r="Q885" s="11"/>
      <c r="R885" s="11"/>
      <c r="S885" s="11"/>
      <c r="T885" s="11"/>
    </row>
    <row r="886" spans="8:20" x14ac:dyDescent="0.35">
      <c r="H886" s="711"/>
      <c r="I886" s="711"/>
      <c r="J886" s="711"/>
      <c r="K886" s="711"/>
      <c r="L886" s="711"/>
      <c r="Q886" s="11"/>
      <c r="R886" s="11"/>
      <c r="S886" s="11"/>
      <c r="T886" s="11"/>
    </row>
    <row r="887" spans="8:20" x14ac:dyDescent="0.35">
      <c r="H887" s="711"/>
      <c r="I887" s="711"/>
      <c r="J887" s="711"/>
      <c r="K887" s="711"/>
      <c r="L887" s="711"/>
      <c r="Q887" s="11"/>
      <c r="R887" s="11"/>
      <c r="S887" s="11"/>
      <c r="T887" s="11"/>
    </row>
    <row r="888" spans="8:20" x14ac:dyDescent="0.35">
      <c r="H888" s="711"/>
      <c r="I888" s="711"/>
      <c r="J888" s="711"/>
      <c r="K888" s="711"/>
      <c r="L888" s="711"/>
      <c r="Q888" s="11"/>
      <c r="R888" s="11"/>
      <c r="S888" s="11"/>
      <c r="T888" s="11"/>
    </row>
    <row r="889" spans="8:20" x14ac:dyDescent="0.35">
      <c r="H889" s="711"/>
      <c r="I889" s="711"/>
      <c r="J889" s="711"/>
      <c r="K889" s="711"/>
      <c r="L889" s="711"/>
      <c r="Q889" s="11"/>
      <c r="R889" s="11"/>
      <c r="S889" s="11"/>
      <c r="T889" s="11"/>
    </row>
    <row r="890" spans="8:20" x14ac:dyDescent="0.35">
      <c r="H890" s="711"/>
      <c r="I890" s="711"/>
      <c r="J890" s="711"/>
      <c r="K890" s="711"/>
      <c r="L890" s="711"/>
      <c r="Q890" s="11"/>
      <c r="R890" s="11"/>
      <c r="S890" s="11"/>
      <c r="T890" s="11"/>
    </row>
    <row r="891" spans="8:20" x14ac:dyDescent="0.35">
      <c r="H891" s="711"/>
      <c r="I891" s="711"/>
      <c r="J891" s="711"/>
      <c r="K891" s="711"/>
      <c r="L891" s="711"/>
      <c r="Q891" s="11"/>
      <c r="R891" s="11"/>
      <c r="S891" s="11"/>
      <c r="T891" s="11"/>
    </row>
    <row r="892" spans="8:20" x14ac:dyDescent="0.35">
      <c r="H892" s="711"/>
      <c r="I892" s="711"/>
      <c r="J892" s="711"/>
      <c r="K892" s="711"/>
      <c r="L892" s="711"/>
      <c r="Q892" s="11"/>
      <c r="R892" s="11"/>
      <c r="S892" s="11"/>
      <c r="T892" s="11"/>
    </row>
    <row r="893" spans="8:20" x14ac:dyDescent="0.35">
      <c r="H893" s="711"/>
      <c r="I893" s="711"/>
      <c r="J893" s="711"/>
      <c r="K893" s="711"/>
      <c r="L893" s="711"/>
      <c r="Q893" s="11"/>
      <c r="R893" s="11"/>
      <c r="S893" s="11"/>
      <c r="T893" s="11"/>
    </row>
    <row r="894" spans="8:20" x14ac:dyDescent="0.35">
      <c r="H894" s="711"/>
      <c r="I894" s="711"/>
      <c r="J894" s="711"/>
      <c r="K894" s="711"/>
      <c r="L894" s="711"/>
      <c r="Q894" s="11"/>
      <c r="R894" s="11"/>
      <c r="S894" s="11"/>
      <c r="T894" s="11"/>
    </row>
    <row r="895" spans="8:20" x14ac:dyDescent="0.35">
      <c r="H895" s="711"/>
      <c r="I895" s="711"/>
      <c r="J895" s="711"/>
      <c r="K895" s="711"/>
      <c r="L895" s="711"/>
      <c r="Q895" s="11"/>
      <c r="R895" s="11"/>
      <c r="S895" s="11"/>
      <c r="T895" s="11"/>
    </row>
    <row r="896" spans="8:20" x14ac:dyDescent="0.35">
      <c r="H896" s="711"/>
      <c r="I896" s="711"/>
      <c r="J896" s="711"/>
      <c r="K896" s="711"/>
      <c r="L896" s="711"/>
      <c r="Q896" s="11"/>
      <c r="R896" s="11"/>
      <c r="S896" s="11"/>
      <c r="T896" s="11"/>
    </row>
    <row r="897" spans="8:20" x14ac:dyDescent="0.35">
      <c r="H897" s="711"/>
      <c r="I897" s="711"/>
      <c r="J897" s="711"/>
      <c r="K897" s="711"/>
      <c r="L897" s="711"/>
      <c r="Q897" s="11"/>
      <c r="R897" s="11"/>
      <c r="S897" s="11"/>
      <c r="T897" s="11"/>
    </row>
    <row r="898" spans="8:20" x14ac:dyDescent="0.35">
      <c r="H898" s="711"/>
      <c r="I898" s="711"/>
      <c r="J898" s="711"/>
      <c r="K898" s="711"/>
      <c r="L898" s="711"/>
      <c r="Q898" s="11"/>
      <c r="R898" s="11"/>
      <c r="S898" s="11"/>
      <c r="T898" s="11"/>
    </row>
    <row r="899" spans="8:20" x14ac:dyDescent="0.35">
      <c r="H899" s="711"/>
      <c r="I899" s="711"/>
      <c r="J899" s="711"/>
      <c r="K899" s="711"/>
      <c r="L899" s="711"/>
      <c r="Q899" s="11"/>
      <c r="R899" s="11"/>
      <c r="S899" s="11"/>
      <c r="T899" s="11"/>
    </row>
    <row r="900" spans="8:20" x14ac:dyDescent="0.35">
      <c r="H900" s="711"/>
      <c r="I900" s="711"/>
      <c r="J900" s="711"/>
      <c r="K900" s="711"/>
      <c r="L900" s="711"/>
      <c r="Q900" s="11"/>
      <c r="R900" s="11"/>
      <c r="S900" s="11"/>
      <c r="T900" s="11"/>
    </row>
    <row r="901" spans="8:20" x14ac:dyDescent="0.35">
      <c r="H901" s="711"/>
      <c r="I901" s="711"/>
      <c r="J901" s="711"/>
      <c r="K901" s="711"/>
      <c r="L901" s="711"/>
      <c r="Q901" s="11"/>
      <c r="R901" s="11"/>
      <c r="S901" s="11"/>
      <c r="T901" s="11"/>
    </row>
    <row r="902" spans="8:20" x14ac:dyDescent="0.35">
      <c r="H902" s="711"/>
      <c r="I902" s="711"/>
      <c r="J902" s="711"/>
      <c r="K902" s="711"/>
      <c r="L902" s="711"/>
      <c r="Q902" s="11"/>
      <c r="R902" s="11"/>
      <c r="S902" s="11"/>
      <c r="T902" s="11"/>
    </row>
    <row r="903" spans="8:20" x14ac:dyDescent="0.35">
      <c r="H903" s="711"/>
      <c r="I903" s="711"/>
      <c r="J903" s="711"/>
      <c r="K903" s="711"/>
      <c r="L903" s="711"/>
      <c r="Q903" s="11"/>
      <c r="R903" s="11"/>
      <c r="S903" s="11"/>
      <c r="T903" s="11"/>
    </row>
    <row r="904" spans="8:20" x14ac:dyDescent="0.35">
      <c r="H904" s="711"/>
      <c r="I904" s="711"/>
      <c r="J904" s="711"/>
      <c r="K904" s="711"/>
      <c r="L904" s="711"/>
      <c r="Q904" s="11"/>
      <c r="R904" s="11"/>
      <c r="S904" s="11"/>
      <c r="T904" s="11"/>
    </row>
    <row r="905" spans="8:20" x14ac:dyDescent="0.35">
      <c r="H905" s="711"/>
      <c r="I905" s="711"/>
      <c r="J905" s="711"/>
      <c r="K905" s="711"/>
      <c r="L905" s="711"/>
      <c r="Q905" s="11"/>
      <c r="R905" s="11"/>
      <c r="S905" s="11"/>
      <c r="T905" s="11"/>
    </row>
    <row r="906" spans="8:20" x14ac:dyDescent="0.35">
      <c r="H906" s="711"/>
      <c r="I906" s="711"/>
      <c r="J906" s="711"/>
      <c r="K906" s="711"/>
      <c r="L906" s="711"/>
      <c r="Q906" s="11"/>
      <c r="R906" s="11"/>
      <c r="S906" s="11"/>
      <c r="T906" s="11"/>
    </row>
    <row r="907" spans="8:20" x14ac:dyDescent="0.35">
      <c r="H907" s="711"/>
      <c r="I907" s="711"/>
      <c r="J907" s="711"/>
      <c r="K907" s="711"/>
      <c r="L907" s="711"/>
      <c r="Q907" s="11"/>
      <c r="R907" s="11"/>
      <c r="S907" s="11"/>
      <c r="T907" s="11"/>
    </row>
    <row r="908" spans="8:20" x14ac:dyDescent="0.35">
      <c r="H908" s="711"/>
      <c r="I908" s="711"/>
      <c r="J908" s="711"/>
      <c r="K908" s="711"/>
      <c r="L908" s="711"/>
      <c r="Q908" s="11"/>
      <c r="R908" s="11"/>
      <c r="S908" s="11"/>
      <c r="T908" s="11"/>
    </row>
    <row r="909" spans="8:20" x14ac:dyDescent="0.35">
      <c r="H909" s="711"/>
      <c r="I909" s="711"/>
      <c r="J909" s="711"/>
      <c r="K909" s="711"/>
      <c r="L909" s="711"/>
      <c r="Q909" s="11"/>
      <c r="R909" s="11"/>
      <c r="S909" s="11"/>
      <c r="T909" s="11"/>
    </row>
    <row r="910" spans="8:20" x14ac:dyDescent="0.35">
      <c r="H910" s="711"/>
      <c r="I910" s="711"/>
      <c r="J910" s="711"/>
      <c r="K910" s="711"/>
      <c r="L910" s="711"/>
      <c r="Q910" s="11"/>
      <c r="R910" s="11"/>
      <c r="S910" s="11"/>
      <c r="T910" s="11"/>
    </row>
    <row r="911" spans="8:20" x14ac:dyDescent="0.35">
      <c r="H911" s="711"/>
      <c r="I911" s="711"/>
      <c r="J911" s="711"/>
      <c r="K911" s="711"/>
      <c r="L911" s="711"/>
      <c r="Q911" s="11"/>
      <c r="R911" s="11"/>
      <c r="S911" s="11"/>
      <c r="T911" s="11"/>
    </row>
    <row r="912" spans="8:20" x14ac:dyDescent="0.35">
      <c r="H912" s="711"/>
      <c r="I912" s="711"/>
      <c r="J912" s="711"/>
      <c r="K912" s="711"/>
      <c r="L912" s="711"/>
      <c r="Q912" s="11"/>
      <c r="R912" s="11"/>
      <c r="S912" s="11"/>
      <c r="T912" s="11"/>
    </row>
    <row r="913" spans="8:20" x14ac:dyDescent="0.35">
      <c r="H913" s="711"/>
      <c r="I913" s="711"/>
      <c r="J913" s="711"/>
      <c r="K913" s="711"/>
      <c r="L913" s="711"/>
      <c r="Q913" s="11"/>
      <c r="R913" s="11"/>
      <c r="S913" s="11"/>
      <c r="T913" s="11"/>
    </row>
    <row r="914" spans="8:20" x14ac:dyDescent="0.35">
      <c r="H914" s="711"/>
      <c r="I914" s="711"/>
      <c r="J914" s="711"/>
      <c r="K914" s="711"/>
      <c r="L914" s="711"/>
      <c r="Q914" s="11"/>
      <c r="R914" s="11"/>
      <c r="S914" s="11"/>
      <c r="T914" s="11"/>
    </row>
    <row r="915" spans="8:20" x14ac:dyDescent="0.35">
      <c r="H915" s="711"/>
      <c r="I915" s="711"/>
      <c r="J915" s="711"/>
      <c r="K915" s="711"/>
      <c r="L915" s="711"/>
      <c r="Q915" s="11"/>
      <c r="R915" s="11"/>
      <c r="S915" s="11"/>
      <c r="T915" s="11"/>
    </row>
    <row r="916" spans="8:20" x14ac:dyDescent="0.35">
      <c r="H916" s="711"/>
      <c r="I916" s="711"/>
      <c r="J916" s="711"/>
      <c r="K916" s="711"/>
      <c r="L916" s="711"/>
      <c r="Q916" s="11"/>
      <c r="R916" s="11"/>
      <c r="S916" s="11"/>
      <c r="T916" s="11"/>
    </row>
    <row r="917" spans="8:20" x14ac:dyDescent="0.35">
      <c r="H917" s="711"/>
      <c r="I917" s="711"/>
      <c r="J917" s="711"/>
      <c r="K917" s="711"/>
      <c r="L917" s="711"/>
      <c r="Q917" s="11"/>
      <c r="R917" s="11"/>
      <c r="S917" s="11"/>
      <c r="T917" s="11"/>
    </row>
    <row r="918" spans="8:20" x14ac:dyDescent="0.35">
      <c r="H918" s="711"/>
      <c r="I918" s="711"/>
      <c r="J918" s="711"/>
      <c r="K918" s="711"/>
      <c r="L918" s="711"/>
      <c r="Q918" s="11"/>
      <c r="R918" s="11"/>
      <c r="S918" s="11"/>
      <c r="T918" s="11"/>
    </row>
    <row r="919" spans="8:20" x14ac:dyDescent="0.35">
      <c r="H919" s="711"/>
      <c r="I919" s="711"/>
      <c r="J919" s="711"/>
      <c r="K919" s="711"/>
      <c r="L919" s="711"/>
      <c r="Q919" s="11"/>
      <c r="R919" s="11"/>
      <c r="S919" s="11"/>
      <c r="T919" s="11"/>
    </row>
    <row r="920" spans="8:20" x14ac:dyDescent="0.35">
      <c r="H920" s="711"/>
      <c r="I920" s="711"/>
      <c r="J920" s="711"/>
      <c r="K920" s="711"/>
      <c r="L920" s="711"/>
      <c r="Q920" s="11"/>
      <c r="R920" s="11"/>
      <c r="S920" s="11"/>
      <c r="T920" s="11"/>
    </row>
    <row r="921" spans="8:20" x14ac:dyDescent="0.35">
      <c r="H921" s="711"/>
      <c r="I921" s="711"/>
      <c r="J921" s="711"/>
      <c r="K921" s="711"/>
      <c r="L921" s="711"/>
      <c r="Q921" s="11"/>
      <c r="R921" s="11"/>
      <c r="S921" s="11"/>
      <c r="T921" s="11"/>
    </row>
    <row r="922" spans="8:20" x14ac:dyDescent="0.35">
      <c r="H922" s="711"/>
      <c r="I922" s="711"/>
      <c r="J922" s="711"/>
      <c r="K922" s="711"/>
      <c r="L922" s="711"/>
      <c r="Q922" s="11"/>
      <c r="R922" s="11"/>
      <c r="S922" s="11"/>
      <c r="T922" s="11"/>
    </row>
    <row r="923" spans="8:20" x14ac:dyDescent="0.35">
      <c r="H923" s="711"/>
      <c r="I923" s="711"/>
      <c r="J923" s="711"/>
      <c r="K923" s="711"/>
      <c r="L923" s="711"/>
      <c r="Q923" s="11"/>
      <c r="R923" s="11"/>
      <c r="S923" s="11"/>
      <c r="T923" s="11"/>
    </row>
    <row r="924" spans="8:20" x14ac:dyDescent="0.35">
      <c r="H924" s="711"/>
      <c r="I924" s="711"/>
      <c r="J924" s="711"/>
      <c r="K924" s="711"/>
      <c r="L924" s="711"/>
      <c r="Q924" s="11"/>
      <c r="R924" s="11"/>
      <c r="S924" s="11"/>
      <c r="T924" s="11"/>
    </row>
    <row r="925" spans="8:20" x14ac:dyDescent="0.35">
      <c r="H925" s="711"/>
      <c r="I925" s="711"/>
      <c r="J925" s="711"/>
      <c r="K925" s="711"/>
      <c r="L925" s="711"/>
      <c r="Q925" s="11"/>
      <c r="R925" s="11"/>
      <c r="S925" s="11"/>
      <c r="T925" s="11"/>
    </row>
    <row r="926" spans="8:20" x14ac:dyDescent="0.35">
      <c r="H926" s="711"/>
      <c r="I926" s="711"/>
      <c r="J926" s="711"/>
      <c r="K926" s="711"/>
      <c r="L926" s="711"/>
      <c r="Q926" s="11"/>
      <c r="R926" s="11"/>
      <c r="S926" s="11"/>
      <c r="T926" s="11"/>
    </row>
    <row r="927" spans="8:20" x14ac:dyDescent="0.35">
      <c r="H927" s="711"/>
      <c r="I927" s="711"/>
      <c r="J927" s="711"/>
      <c r="K927" s="711"/>
      <c r="L927" s="711"/>
      <c r="Q927" s="11"/>
      <c r="R927" s="11"/>
      <c r="S927" s="11"/>
      <c r="T927" s="11"/>
    </row>
    <row r="928" spans="8:20" x14ac:dyDescent="0.35">
      <c r="H928" s="711"/>
      <c r="I928" s="711"/>
      <c r="J928" s="711"/>
      <c r="K928" s="711"/>
      <c r="L928" s="711"/>
      <c r="Q928" s="11"/>
      <c r="R928" s="11"/>
      <c r="S928" s="11"/>
      <c r="T928" s="11"/>
    </row>
    <row r="929" spans="8:20" x14ac:dyDescent="0.35">
      <c r="H929" s="711"/>
      <c r="I929" s="711"/>
      <c r="J929" s="711"/>
      <c r="K929" s="711"/>
      <c r="L929" s="711"/>
      <c r="Q929" s="11"/>
      <c r="R929" s="11"/>
      <c r="S929" s="11"/>
      <c r="T929" s="11"/>
    </row>
    <row r="930" spans="8:20" x14ac:dyDescent="0.35">
      <c r="H930" s="711"/>
      <c r="I930" s="711"/>
      <c r="J930" s="711"/>
      <c r="K930" s="711"/>
      <c r="L930" s="711"/>
      <c r="Q930" s="11"/>
      <c r="R930" s="11"/>
      <c r="S930" s="11"/>
      <c r="T930" s="11"/>
    </row>
    <row r="931" spans="8:20" x14ac:dyDescent="0.35">
      <c r="H931" s="711"/>
      <c r="I931" s="711"/>
      <c r="J931" s="711"/>
      <c r="K931" s="711"/>
      <c r="L931" s="711"/>
      <c r="Q931" s="11"/>
      <c r="R931" s="11"/>
      <c r="S931" s="11"/>
      <c r="T931" s="11"/>
    </row>
    <row r="932" spans="8:20" x14ac:dyDescent="0.35">
      <c r="H932" s="711"/>
      <c r="I932" s="711"/>
      <c r="J932" s="711"/>
      <c r="K932" s="711"/>
      <c r="L932" s="711"/>
      <c r="Q932" s="11"/>
      <c r="R932" s="11"/>
      <c r="S932" s="11"/>
      <c r="T932" s="11"/>
    </row>
    <row r="933" spans="8:20" x14ac:dyDescent="0.35">
      <c r="H933" s="711"/>
      <c r="I933" s="711"/>
      <c r="J933" s="711"/>
      <c r="K933" s="711"/>
      <c r="L933" s="711"/>
      <c r="Q933" s="11"/>
      <c r="R933" s="11"/>
      <c r="S933" s="11"/>
      <c r="T933" s="11"/>
    </row>
    <row r="934" spans="8:20" x14ac:dyDescent="0.35">
      <c r="H934" s="711"/>
      <c r="I934" s="711"/>
      <c r="J934" s="711"/>
      <c r="K934" s="711"/>
      <c r="L934" s="711"/>
      <c r="Q934" s="11"/>
      <c r="R934" s="11"/>
      <c r="S934" s="11"/>
      <c r="T934" s="11"/>
    </row>
    <row r="935" spans="8:20" x14ac:dyDescent="0.35">
      <c r="H935" s="711"/>
      <c r="I935" s="711"/>
      <c r="J935" s="711"/>
      <c r="K935" s="711"/>
      <c r="L935" s="711"/>
      <c r="Q935" s="11"/>
      <c r="R935" s="11"/>
      <c r="S935" s="11"/>
      <c r="T935" s="11"/>
    </row>
    <row r="936" spans="8:20" x14ac:dyDescent="0.35">
      <c r="H936" s="711"/>
      <c r="I936" s="711"/>
      <c r="J936" s="711"/>
      <c r="K936" s="711"/>
      <c r="L936" s="711"/>
      <c r="Q936" s="11"/>
      <c r="R936" s="11"/>
      <c r="S936" s="11"/>
      <c r="T936" s="11"/>
    </row>
    <row r="937" spans="8:20" x14ac:dyDescent="0.35">
      <c r="H937" s="711"/>
      <c r="I937" s="711"/>
      <c r="J937" s="711"/>
      <c r="K937" s="711"/>
      <c r="L937" s="711"/>
      <c r="Q937" s="11"/>
      <c r="R937" s="11"/>
      <c r="S937" s="11"/>
      <c r="T937" s="11"/>
    </row>
    <row r="938" spans="8:20" x14ac:dyDescent="0.35">
      <c r="H938" s="711"/>
      <c r="I938" s="711"/>
      <c r="J938" s="711"/>
      <c r="K938" s="711"/>
      <c r="L938" s="711"/>
      <c r="Q938" s="11"/>
      <c r="R938" s="11"/>
      <c r="S938" s="11"/>
      <c r="T938" s="11"/>
    </row>
    <row r="939" spans="8:20" x14ac:dyDescent="0.35">
      <c r="H939" s="711"/>
      <c r="I939" s="711"/>
      <c r="J939" s="711"/>
      <c r="K939" s="711"/>
      <c r="L939" s="711"/>
      <c r="Q939" s="11"/>
      <c r="R939" s="11"/>
      <c r="S939" s="11"/>
      <c r="T939" s="11"/>
    </row>
    <row r="940" spans="8:20" x14ac:dyDescent="0.35">
      <c r="H940" s="711"/>
      <c r="I940" s="711"/>
      <c r="J940" s="711"/>
      <c r="K940" s="711"/>
      <c r="L940" s="711"/>
      <c r="Q940" s="11"/>
      <c r="R940" s="11"/>
      <c r="S940" s="11"/>
      <c r="T940" s="11"/>
    </row>
    <row r="941" spans="8:20" x14ac:dyDescent="0.35">
      <c r="H941" s="711"/>
      <c r="I941" s="711"/>
      <c r="J941" s="711"/>
      <c r="K941" s="711"/>
      <c r="L941" s="711"/>
      <c r="Q941" s="11"/>
      <c r="R941" s="11"/>
      <c r="S941" s="11"/>
      <c r="T941" s="11"/>
    </row>
    <row r="942" spans="8:20" x14ac:dyDescent="0.35">
      <c r="H942" s="711"/>
      <c r="I942" s="711"/>
      <c r="J942" s="711"/>
      <c r="K942" s="711"/>
      <c r="L942" s="711"/>
      <c r="Q942" s="11"/>
      <c r="R942" s="11"/>
      <c r="S942" s="11"/>
      <c r="T942" s="11"/>
    </row>
    <row r="943" spans="8:20" x14ac:dyDescent="0.35">
      <c r="H943" s="711"/>
      <c r="I943" s="711"/>
      <c r="J943" s="711"/>
      <c r="K943" s="711"/>
      <c r="L943" s="711"/>
      <c r="Q943" s="11"/>
      <c r="R943" s="11"/>
      <c r="S943" s="11"/>
      <c r="T943" s="11"/>
    </row>
    <row r="944" spans="8:20" x14ac:dyDescent="0.35">
      <c r="H944" s="711"/>
      <c r="I944" s="711"/>
      <c r="J944" s="711"/>
      <c r="K944" s="711"/>
      <c r="L944" s="711"/>
      <c r="Q944" s="11"/>
      <c r="R944" s="11"/>
      <c r="S944" s="11"/>
      <c r="T944" s="11"/>
    </row>
    <row r="945" spans="8:20" x14ac:dyDescent="0.35">
      <c r="H945" s="711"/>
      <c r="I945" s="711"/>
      <c r="J945" s="711"/>
      <c r="K945" s="711"/>
      <c r="L945" s="711"/>
      <c r="Q945" s="11"/>
      <c r="R945" s="11"/>
      <c r="S945" s="11"/>
      <c r="T945" s="11"/>
    </row>
    <row r="946" spans="8:20" x14ac:dyDescent="0.35">
      <c r="H946" s="711"/>
      <c r="I946" s="711"/>
      <c r="J946" s="711"/>
      <c r="K946" s="711"/>
      <c r="L946" s="711"/>
      <c r="Q946" s="11"/>
      <c r="R946" s="11"/>
      <c r="S946" s="11"/>
      <c r="T946" s="11"/>
    </row>
    <row r="947" spans="8:20" x14ac:dyDescent="0.35">
      <c r="H947" s="711"/>
      <c r="I947" s="711"/>
      <c r="J947" s="711"/>
      <c r="K947" s="711"/>
      <c r="L947" s="711"/>
      <c r="Q947" s="11"/>
      <c r="R947" s="11"/>
      <c r="S947" s="11"/>
      <c r="T947" s="11"/>
    </row>
    <row r="948" spans="8:20" x14ac:dyDescent="0.35">
      <c r="H948" s="711"/>
      <c r="I948" s="711"/>
      <c r="J948" s="711"/>
      <c r="K948" s="711"/>
      <c r="L948" s="711"/>
      <c r="Q948" s="11"/>
      <c r="R948" s="11"/>
      <c r="S948" s="11"/>
      <c r="T948" s="11"/>
    </row>
    <row r="949" spans="8:20" x14ac:dyDescent="0.35">
      <c r="H949" s="711"/>
      <c r="I949" s="711"/>
      <c r="J949" s="711"/>
      <c r="K949" s="711"/>
      <c r="L949" s="711"/>
      <c r="Q949" s="11"/>
      <c r="R949" s="11"/>
      <c r="S949" s="11"/>
      <c r="T949" s="11"/>
    </row>
    <row r="950" spans="8:20" x14ac:dyDescent="0.35">
      <c r="H950" s="711"/>
      <c r="I950" s="711"/>
      <c r="J950" s="711"/>
      <c r="K950" s="711"/>
      <c r="L950" s="711"/>
      <c r="Q950" s="11"/>
      <c r="R950" s="11"/>
      <c r="S950" s="11"/>
      <c r="T950" s="11"/>
    </row>
    <row r="951" spans="8:20" x14ac:dyDescent="0.35">
      <c r="H951" s="711"/>
      <c r="I951" s="711"/>
      <c r="J951" s="711"/>
      <c r="K951" s="711"/>
      <c r="L951" s="711"/>
      <c r="Q951" s="11"/>
      <c r="R951" s="11"/>
      <c r="S951" s="11"/>
      <c r="T951" s="11"/>
    </row>
    <row r="952" spans="8:20" x14ac:dyDescent="0.35">
      <c r="H952" s="711"/>
      <c r="I952" s="711"/>
      <c r="J952" s="711"/>
      <c r="K952" s="711"/>
      <c r="L952" s="711"/>
      <c r="Q952" s="11"/>
      <c r="R952" s="11"/>
      <c r="S952" s="11"/>
      <c r="T952" s="11"/>
    </row>
    <row r="953" spans="8:20" x14ac:dyDescent="0.35">
      <c r="H953" s="711"/>
      <c r="I953" s="711"/>
      <c r="J953" s="711"/>
      <c r="K953" s="711"/>
      <c r="L953" s="711"/>
      <c r="Q953" s="11"/>
      <c r="R953" s="11"/>
      <c r="S953" s="11"/>
      <c r="T953" s="11"/>
    </row>
    <row r="954" spans="8:20" x14ac:dyDescent="0.35">
      <c r="H954" s="711"/>
      <c r="I954" s="711"/>
      <c r="J954" s="711"/>
      <c r="K954" s="711"/>
      <c r="L954" s="711"/>
      <c r="Q954" s="11"/>
      <c r="R954" s="11"/>
      <c r="S954" s="11"/>
      <c r="T954" s="11"/>
    </row>
    <row r="955" spans="8:20" x14ac:dyDescent="0.35">
      <c r="H955" s="711"/>
      <c r="I955" s="711"/>
      <c r="J955" s="711"/>
      <c r="K955" s="711"/>
      <c r="L955" s="711"/>
      <c r="Q955" s="11"/>
      <c r="R955" s="11"/>
      <c r="S955" s="11"/>
      <c r="T955" s="11"/>
    </row>
    <row r="956" spans="8:20" x14ac:dyDescent="0.35">
      <c r="H956" s="711"/>
      <c r="I956" s="711"/>
      <c r="J956" s="711"/>
      <c r="K956" s="711"/>
      <c r="L956" s="711"/>
      <c r="Q956" s="11"/>
      <c r="R956" s="11"/>
      <c r="S956" s="11"/>
      <c r="T956" s="11"/>
    </row>
    <row r="957" spans="8:20" x14ac:dyDescent="0.35">
      <c r="H957" s="711"/>
      <c r="I957" s="711"/>
      <c r="J957" s="711"/>
      <c r="K957" s="711"/>
      <c r="L957" s="711"/>
      <c r="Q957" s="11"/>
      <c r="R957" s="11"/>
      <c r="S957" s="11"/>
      <c r="T957" s="11"/>
    </row>
    <row r="958" spans="8:20" x14ac:dyDescent="0.35">
      <c r="H958" s="711"/>
      <c r="I958" s="711"/>
      <c r="J958" s="711"/>
      <c r="K958" s="711"/>
      <c r="L958" s="711"/>
      <c r="Q958" s="11"/>
      <c r="R958" s="11"/>
      <c r="S958" s="11"/>
      <c r="T958" s="11"/>
    </row>
    <row r="959" spans="8:20" x14ac:dyDescent="0.35">
      <c r="H959" s="711"/>
      <c r="I959" s="711"/>
      <c r="J959" s="711"/>
      <c r="K959" s="711"/>
      <c r="L959" s="711"/>
      <c r="Q959" s="11"/>
      <c r="R959" s="11"/>
      <c r="S959" s="11"/>
      <c r="T959" s="11"/>
    </row>
    <row r="960" spans="8:20" x14ac:dyDescent="0.35">
      <c r="H960" s="711"/>
      <c r="I960" s="711"/>
      <c r="J960" s="711"/>
      <c r="K960" s="711"/>
      <c r="L960" s="711"/>
      <c r="Q960" s="11"/>
      <c r="R960" s="11"/>
      <c r="S960" s="11"/>
      <c r="T960" s="11"/>
    </row>
    <row r="961" spans="8:20" x14ac:dyDescent="0.35">
      <c r="H961" s="711"/>
      <c r="I961" s="711"/>
      <c r="J961" s="711"/>
      <c r="K961" s="711"/>
      <c r="L961" s="711"/>
      <c r="Q961" s="11"/>
      <c r="R961" s="11"/>
      <c r="S961" s="11"/>
      <c r="T961" s="11"/>
    </row>
    <row r="962" spans="8:20" x14ac:dyDescent="0.35">
      <c r="H962" s="711"/>
      <c r="I962" s="711"/>
      <c r="J962" s="711"/>
      <c r="K962" s="711"/>
      <c r="L962" s="711"/>
      <c r="Q962" s="11"/>
      <c r="R962" s="11"/>
      <c r="S962" s="11"/>
      <c r="T962" s="11"/>
    </row>
    <row r="963" spans="8:20" x14ac:dyDescent="0.35">
      <c r="H963" s="711"/>
      <c r="I963" s="711"/>
      <c r="J963" s="711"/>
      <c r="K963" s="711"/>
      <c r="L963" s="711"/>
      <c r="Q963" s="11"/>
      <c r="R963" s="11"/>
      <c r="S963" s="11"/>
      <c r="T963" s="11"/>
    </row>
    <row r="964" spans="8:20" x14ac:dyDescent="0.35">
      <c r="H964" s="711"/>
      <c r="I964" s="711"/>
      <c r="J964" s="711"/>
      <c r="K964" s="711"/>
      <c r="L964" s="711"/>
      <c r="Q964" s="11"/>
      <c r="R964" s="11"/>
      <c r="S964" s="11"/>
      <c r="T964" s="11"/>
    </row>
    <row r="965" spans="8:20" x14ac:dyDescent="0.35">
      <c r="H965" s="711"/>
      <c r="I965" s="711"/>
      <c r="J965" s="711"/>
      <c r="K965" s="711"/>
      <c r="L965" s="711"/>
      <c r="Q965" s="11"/>
      <c r="R965" s="11"/>
      <c r="S965" s="11"/>
      <c r="T965" s="11"/>
    </row>
    <row r="966" spans="8:20" x14ac:dyDescent="0.35">
      <c r="H966" s="711"/>
      <c r="I966" s="711"/>
      <c r="J966" s="711"/>
      <c r="K966" s="711"/>
      <c r="L966" s="711"/>
      <c r="Q966" s="11"/>
      <c r="R966" s="11"/>
      <c r="S966" s="11"/>
      <c r="T966" s="11"/>
    </row>
    <row r="967" spans="8:20" x14ac:dyDescent="0.35">
      <c r="H967" s="711"/>
      <c r="I967" s="711"/>
      <c r="J967" s="711"/>
      <c r="K967" s="711"/>
      <c r="L967" s="711"/>
      <c r="Q967" s="11"/>
      <c r="R967" s="11"/>
      <c r="S967" s="11"/>
      <c r="T967" s="11"/>
    </row>
    <row r="968" spans="8:20" x14ac:dyDescent="0.35">
      <c r="H968" s="711"/>
      <c r="I968" s="711"/>
      <c r="J968" s="711"/>
      <c r="K968" s="711"/>
      <c r="L968" s="711"/>
      <c r="Q968" s="11"/>
      <c r="R968" s="11"/>
      <c r="S968" s="11"/>
      <c r="T968" s="11"/>
    </row>
    <row r="969" spans="8:20" x14ac:dyDescent="0.35">
      <c r="H969" s="711"/>
      <c r="I969" s="711"/>
      <c r="J969" s="711"/>
      <c r="K969" s="711"/>
      <c r="L969" s="711"/>
      <c r="Q969" s="11"/>
      <c r="R969" s="11"/>
      <c r="S969" s="11"/>
      <c r="T969" s="11"/>
    </row>
    <row r="970" spans="8:20" x14ac:dyDescent="0.35">
      <c r="H970" s="711"/>
      <c r="I970" s="711"/>
      <c r="J970" s="711"/>
      <c r="K970" s="711"/>
      <c r="L970" s="711"/>
      <c r="Q970" s="11"/>
      <c r="R970" s="11"/>
      <c r="S970" s="11"/>
      <c r="T970" s="11"/>
    </row>
    <row r="971" spans="8:20" x14ac:dyDescent="0.35">
      <c r="H971" s="711"/>
      <c r="I971" s="711"/>
      <c r="J971" s="711"/>
      <c r="K971" s="711"/>
      <c r="L971" s="711"/>
      <c r="Q971" s="11"/>
      <c r="R971" s="11"/>
      <c r="S971" s="11"/>
      <c r="T971" s="11"/>
    </row>
    <row r="972" spans="8:20" x14ac:dyDescent="0.35">
      <c r="H972" s="711"/>
      <c r="I972" s="711"/>
      <c r="J972" s="711"/>
      <c r="K972" s="711"/>
      <c r="L972" s="711"/>
      <c r="Q972" s="11"/>
      <c r="R972" s="11"/>
      <c r="S972" s="11"/>
      <c r="T972" s="11"/>
    </row>
    <row r="973" spans="8:20" x14ac:dyDescent="0.35">
      <c r="H973" s="711"/>
      <c r="I973" s="711"/>
      <c r="J973" s="711"/>
      <c r="K973" s="711"/>
      <c r="L973" s="711"/>
      <c r="Q973" s="11"/>
      <c r="R973" s="11"/>
      <c r="S973" s="11"/>
      <c r="T973" s="11"/>
    </row>
    <row r="974" spans="8:20" x14ac:dyDescent="0.35">
      <c r="H974" s="711"/>
      <c r="I974" s="711"/>
      <c r="J974" s="711"/>
      <c r="K974" s="711"/>
      <c r="L974" s="711"/>
      <c r="Q974" s="11"/>
      <c r="R974" s="11"/>
      <c r="S974" s="11"/>
      <c r="T974" s="11"/>
    </row>
    <row r="975" spans="8:20" x14ac:dyDescent="0.35">
      <c r="H975" s="711"/>
      <c r="I975" s="711"/>
      <c r="J975" s="711"/>
      <c r="K975" s="711"/>
      <c r="L975" s="711"/>
      <c r="Q975" s="11"/>
      <c r="R975" s="11"/>
      <c r="S975" s="11"/>
      <c r="T975" s="11"/>
    </row>
    <row r="976" spans="8:20" x14ac:dyDescent="0.35">
      <c r="H976" s="711"/>
      <c r="I976" s="711"/>
      <c r="J976" s="711"/>
      <c r="K976" s="711"/>
      <c r="L976" s="711"/>
      <c r="Q976" s="11"/>
      <c r="R976" s="11"/>
      <c r="S976" s="11"/>
      <c r="T976" s="11"/>
    </row>
    <row r="977" spans="8:20" x14ac:dyDescent="0.35">
      <c r="H977" s="711"/>
      <c r="I977" s="711"/>
      <c r="J977" s="711"/>
      <c r="K977" s="711"/>
      <c r="L977" s="711"/>
      <c r="Q977" s="11"/>
      <c r="R977" s="11"/>
      <c r="S977" s="11"/>
      <c r="T977" s="11"/>
    </row>
    <row r="978" spans="8:20" x14ac:dyDescent="0.35">
      <c r="H978" s="711"/>
      <c r="I978" s="711"/>
      <c r="J978" s="711"/>
      <c r="K978" s="711"/>
      <c r="L978" s="711"/>
      <c r="Q978" s="11"/>
      <c r="R978" s="11"/>
      <c r="S978" s="11"/>
      <c r="T978" s="11"/>
    </row>
    <row r="979" spans="8:20" x14ac:dyDescent="0.35">
      <c r="H979" s="711"/>
      <c r="I979" s="711"/>
      <c r="J979" s="711"/>
      <c r="K979" s="711"/>
      <c r="L979" s="711"/>
      <c r="Q979" s="11"/>
      <c r="R979" s="11"/>
      <c r="S979" s="11"/>
      <c r="T979" s="11"/>
    </row>
    <row r="980" spans="8:20" x14ac:dyDescent="0.35">
      <c r="H980" s="711"/>
      <c r="I980" s="711"/>
      <c r="J980" s="711"/>
      <c r="K980" s="711"/>
      <c r="L980" s="711"/>
      <c r="Q980" s="11"/>
      <c r="R980" s="11"/>
      <c r="S980" s="11"/>
      <c r="T980" s="11"/>
    </row>
    <row r="981" spans="8:20" x14ac:dyDescent="0.35">
      <c r="H981" s="711"/>
      <c r="I981" s="711"/>
      <c r="J981" s="711"/>
      <c r="K981" s="711"/>
      <c r="L981" s="711"/>
      <c r="Q981" s="11"/>
      <c r="R981" s="11"/>
      <c r="S981" s="11"/>
      <c r="T981" s="11"/>
    </row>
    <row r="982" spans="8:20" x14ac:dyDescent="0.35">
      <c r="H982" s="711"/>
      <c r="I982" s="711"/>
      <c r="J982" s="711"/>
      <c r="K982" s="711"/>
      <c r="L982" s="711"/>
      <c r="Q982" s="11"/>
      <c r="R982" s="11"/>
      <c r="S982" s="11"/>
      <c r="T982" s="11"/>
    </row>
    <row r="983" spans="8:20" x14ac:dyDescent="0.35">
      <c r="H983" s="711"/>
      <c r="I983" s="711"/>
      <c r="J983" s="711"/>
      <c r="K983" s="711"/>
      <c r="L983" s="711"/>
      <c r="Q983" s="11"/>
      <c r="R983" s="11"/>
      <c r="S983" s="11"/>
      <c r="T983" s="11"/>
    </row>
    <row r="984" spans="8:20" x14ac:dyDescent="0.35">
      <c r="H984" s="711"/>
      <c r="I984" s="711"/>
      <c r="J984" s="711"/>
      <c r="K984" s="711"/>
      <c r="L984" s="711"/>
      <c r="Q984" s="11"/>
      <c r="R984" s="11"/>
      <c r="S984" s="11"/>
      <c r="T984" s="11"/>
    </row>
    <row r="985" spans="8:20" x14ac:dyDescent="0.35">
      <c r="H985" s="711"/>
      <c r="I985" s="711"/>
      <c r="J985" s="711"/>
      <c r="K985" s="711"/>
      <c r="L985" s="711"/>
      <c r="Q985" s="11"/>
      <c r="R985" s="11"/>
      <c r="S985" s="11"/>
      <c r="T985" s="11"/>
    </row>
    <row r="986" spans="8:20" x14ac:dyDescent="0.35">
      <c r="H986" s="711"/>
      <c r="I986" s="711"/>
      <c r="J986" s="711"/>
      <c r="K986" s="711"/>
      <c r="L986" s="711"/>
      <c r="Q986" s="11"/>
      <c r="R986" s="11"/>
      <c r="S986" s="11"/>
      <c r="T986" s="11"/>
    </row>
    <row r="987" spans="8:20" x14ac:dyDescent="0.35">
      <c r="H987" s="711"/>
      <c r="I987" s="711"/>
      <c r="J987" s="711"/>
      <c r="K987" s="711"/>
      <c r="L987" s="711"/>
      <c r="Q987" s="11"/>
      <c r="R987" s="11"/>
      <c r="S987" s="11"/>
      <c r="T987" s="11"/>
    </row>
    <row r="988" spans="8:20" x14ac:dyDescent="0.35">
      <c r="H988" s="711"/>
      <c r="I988" s="711"/>
      <c r="J988" s="711"/>
      <c r="K988" s="711"/>
      <c r="L988" s="711"/>
      <c r="Q988" s="11"/>
      <c r="R988" s="11"/>
      <c r="S988" s="11"/>
      <c r="T988" s="11"/>
    </row>
    <row r="989" spans="8:20" x14ac:dyDescent="0.35">
      <c r="H989" s="711"/>
      <c r="I989" s="711"/>
      <c r="J989" s="711"/>
      <c r="K989" s="711"/>
      <c r="L989" s="711"/>
      <c r="Q989" s="11"/>
      <c r="R989" s="11"/>
      <c r="S989" s="11"/>
      <c r="T989" s="11"/>
    </row>
    <row r="990" spans="8:20" x14ac:dyDescent="0.35">
      <c r="H990" s="711"/>
      <c r="I990" s="711"/>
      <c r="J990" s="711"/>
      <c r="K990" s="711"/>
      <c r="L990" s="711"/>
      <c r="Q990" s="11"/>
      <c r="R990" s="11"/>
      <c r="S990" s="11"/>
      <c r="T990" s="11"/>
    </row>
    <row r="991" spans="8:20" x14ac:dyDescent="0.35">
      <c r="H991" s="711"/>
      <c r="I991" s="711"/>
      <c r="J991" s="711"/>
      <c r="K991" s="711"/>
      <c r="L991" s="711"/>
      <c r="Q991" s="11"/>
      <c r="R991" s="11"/>
      <c r="S991" s="11"/>
      <c r="T991" s="11"/>
    </row>
    <row r="992" spans="8:20" x14ac:dyDescent="0.35">
      <c r="H992" s="711"/>
      <c r="I992" s="711"/>
      <c r="J992" s="711"/>
      <c r="K992" s="711"/>
      <c r="L992" s="711"/>
      <c r="Q992" s="11"/>
      <c r="R992" s="11"/>
      <c r="S992" s="11"/>
      <c r="T992" s="11"/>
    </row>
    <row r="993" spans="8:20" x14ac:dyDescent="0.35">
      <c r="H993" s="711"/>
      <c r="I993" s="711"/>
      <c r="J993" s="711"/>
      <c r="K993" s="711"/>
      <c r="L993" s="711"/>
      <c r="Q993" s="11"/>
      <c r="R993" s="11"/>
      <c r="S993" s="11"/>
      <c r="T993" s="11"/>
    </row>
    <row r="994" spans="8:20" x14ac:dyDescent="0.35">
      <c r="H994" s="711"/>
      <c r="I994" s="711"/>
      <c r="J994" s="711"/>
      <c r="K994" s="711"/>
      <c r="L994" s="711"/>
      <c r="Q994" s="11"/>
      <c r="R994" s="11"/>
      <c r="S994" s="11"/>
      <c r="T994" s="11"/>
    </row>
    <row r="995" spans="8:20" x14ac:dyDescent="0.35">
      <c r="H995" s="711"/>
      <c r="I995" s="711"/>
      <c r="J995" s="711"/>
      <c r="K995" s="711"/>
      <c r="L995" s="711"/>
      <c r="Q995" s="11"/>
      <c r="R995" s="11"/>
      <c r="S995" s="11"/>
      <c r="T995" s="11"/>
    </row>
    <row r="996" spans="8:20" x14ac:dyDescent="0.35">
      <c r="H996" s="711"/>
      <c r="I996" s="711"/>
      <c r="J996" s="711"/>
      <c r="K996" s="711"/>
      <c r="L996" s="711"/>
      <c r="Q996" s="11"/>
      <c r="R996" s="11"/>
      <c r="S996" s="11"/>
      <c r="T996" s="11"/>
    </row>
    <row r="997" spans="8:20" x14ac:dyDescent="0.35">
      <c r="H997" s="711"/>
      <c r="I997" s="711"/>
      <c r="J997" s="711"/>
      <c r="K997" s="711"/>
      <c r="L997" s="711"/>
      <c r="Q997" s="11"/>
      <c r="R997" s="11"/>
      <c r="S997" s="11"/>
      <c r="T997" s="11"/>
    </row>
    <row r="998" spans="8:20" x14ac:dyDescent="0.35">
      <c r="H998" s="711"/>
      <c r="I998" s="711"/>
      <c r="J998" s="711"/>
      <c r="K998" s="711"/>
      <c r="L998" s="711"/>
      <c r="Q998" s="11"/>
      <c r="R998" s="11"/>
      <c r="S998" s="11"/>
      <c r="T998" s="11"/>
    </row>
    <row r="999" spans="8:20" x14ac:dyDescent="0.35">
      <c r="H999" s="711"/>
      <c r="I999" s="711"/>
      <c r="J999" s="711"/>
      <c r="K999" s="711"/>
      <c r="L999" s="711"/>
      <c r="Q999" s="11"/>
      <c r="R999" s="11"/>
      <c r="S999" s="11"/>
      <c r="T999" s="11"/>
    </row>
    <row r="1000" spans="8:20" x14ac:dyDescent="0.35">
      <c r="H1000" s="711"/>
      <c r="I1000" s="711"/>
      <c r="J1000" s="711"/>
      <c r="K1000" s="711"/>
      <c r="L1000" s="711"/>
      <c r="Q1000" s="11"/>
      <c r="R1000" s="11"/>
      <c r="S1000" s="11"/>
      <c r="T1000" s="11"/>
    </row>
    <row r="1001" spans="8:20" x14ac:dyDescent="0.35">
      <c r="H1001" s="711"/>
      <c r="I1001" s="711"/>
      <c r="J1001" s="711"/>
      <c r="K1001" s="711"/>
      <c r="L1001" s="711"/>
      <c r="Q1001" s="11"/>
      <c r="R1001" s="11"/>
      <c r="S1001" s="11"/>
      <c r="T1001" s="11"/>
    </row>
    <row r="1002" spans="8:20" x14ac:dyDescent="0.35">
      <c r="H1002" s="711"/>
      <c r="I1002" s="711"/>
      <c r="J1002" s="711"/>
      <c r="K1002" s="711"/>
      <c r="L1002" s="711"/>
      <c r="Q1002" s="11"/>
      <c r="R1002" s="11"/>
      <c r="S1002" s="11"/>
      <c r="T1002" s="11"/>
    </row>
    <row r="1003" spans="8:20" x14ac:dyDescent="0.35">
      <c r="H1003" s="711"/>
      <c r="I1003" s="711"/>
      <c r="J1003" s="711"/>
      <c r="K1003" s="711"/>
      <c r="L1003" s="711"/>
      <c r="Q1003" s="11"/>
      <c r="R1003" s="11"/>
      <c r="S1003" s="11"/>
      <c r="T1003" s="11"/>
    </row>
    <row r="1004" spans="8:20" x14ac:dyDescent="0.35">
      <c r="H1004" s="711"/>
      <c r="I1004" s="711"/>
      <c r="J1004" s="711"/>
      <c r="K1004" s="711"/>
      <c r="L1004" s="711"/>
      <c r="Q1004" s="11"/>
      <c r="R1004" s="11"/>
      <c r="S1004" s="11"/>
      <c r="T1004" s="11"/>
    </row>
    <row r="1005" spans="8:20" x14ac:dyDescent="0.35">
      <c r="H1005" s="711"/>
      <c r="I1005" s="711"/>
      <c r="J1005" s="711"/>
      <c r="K1005" s="711"/>
      <c r="L1005" s="711"/>
      <c r="Q1005" s="11"/>
      <c r="R1005" s="11"/>
      <c r="S1005" s="11"/>
      <c r="T1005" s="11"/>
    </row>
    <row r="1006" spans="8:20" x14ac:dyDescent="0.35">
      <c r="H1006" s="711"/>
      <c r="I1006" s="711"/>
      <c r="J1006" s="711"/>
      <c r="K1006" s="711"/>
      <c r="L1006" s="711"/>
      <c r="Q1006" s="11"/>
      <c r="R1006" s="11"/>
      <c r="S1006" s="11"/>
      <c r="T1006" s="11"/>
    </row>
    <row r="1007" spans="8:20" x14ac:dyDescent="0.35">
      <c r="H1007" s="711"/>
      <c r="I1007" s="711"/>
      <c r="J1007" s="711"/>
      <c r="K1007" s="711"/>
      <c r="L1007" s="711"/>
      <c r="Q1007" s="11"/>
      <c r="R1007" s="11"/>
      <c r="S1007" s="11"/>
      <c r="T1007" s="11"/>
    </row>
    <row r="1008" spans="8:20" x14ac:dyDescent="0.35">
      <c r="H1008" s="711"/>
      <c r="I1008" s="711"/>
      <c r="J1008" s="711"/>
      <c r="K1008" s="711"/>
      <c r="L1008" s="711"/>
      <c r="Q1008" s="11"/>
      <c r="R1008" s="11"/>
      <c r="S1008" s="11"/>
      <c r="T1008" s="11"/>
    </row>
    <row r="1009" spans="8:20" x14ac:dyDescent="0.35">
      <c r="H1009" s="711"/>
      <c r="I1009" s="711"/>
      <c r="J1009" s="711"/>
      <c r="K1009" s="711"/>
      <c r="L1009" s="711"/>
      <c r="Q1009" s="11"/>
      <c r="R1009" s="11"/>
      <c r="S1009" s="11"/>
      <c r="T1009" s="11"/>
    </row>
    <row r="1010" spans="8:20" x14ac:dyDescent="0.35">
      <c r="H1010" s="711"/>
      <c r="I1010" s="711"/>
      <c r="J1010" s="711"/>
      <c r="K1010" s="711"/>
      <c r="L1010" s="711"/>
      <c r="Q1010" s="11"/>
      <c r="R1010" s="11"/>
      <c r="S1010" s="11"/>
      <c r="T1010" s="11"/>
    </row>
    <row r="1011" spans="8:20" x14ac:dyDescent="0.35">
      <c r="H1011" s="711"/>
      <c r="I1011" s="711"/>
      <c r="J1011" s="711"/>
      <c r="K1011" s="711"/>
      <c r="L1011" s="711"/>
      <c r="Q1011" s="11"/>
      <c r="R1011" s="11"/>
      <c r="S1011" s="11"/>
      <c r="T1011" s="11"/>
    </row>
    <row r="1012" spans="8:20" x14ac:dyDescent="0.35">
      <c r="H1012" s="711"/>
      <c r="I1012" s="711"/>
      <c r="J1012" s="711"/>
      <c r="K1012" s="711"/>
      <c r="L1012" s="711"/>
      <c r="Q1012" s="11"/>
      <c r="R1012" s="11"/>
      <c r="S1012" s="11"/>
      <c r="T1012" s="11"/>
    </row>
    <row r="1013" spans="8:20" x14ac:dyDescent="0.35">
      <c r="H1013" s="711"/>
      <c r="I1013" s="711"/>
      <c r="J1013" s="711"/>
      <c r="K1013" s="711"/>
      <c r="L1013" s="711"/>
      <c r="Q1013" s="11"/>
      <c r="R1013" s="11"/>
      <c r="S1013" s="11"/>
      <c r="T1013" s="11"/>
    </row>
    <row r="1014" spans="8:20" x14ac:dyDescent="0.35">
      <c r="H1014" s="711"/>
      <c r="I1014" s="711"/>
      <c r="J1014" s="711"/>
      <c r="K1014" s="711"/>
      <c r="L1014" s="711"/>
      <c r="Q1014" s="11"/>
      <c r="R1014" s="11"/>
      <c r="S1014" s="11"/>
      <c r="T1014" s="11"/>
    </row>
    <row r="1015" spans="8:20" x14ac:dyDescent="0.35">
      <c r="H1015" s="711"/>
      <c r="I1015" s="711"/>
      <c r="J1015" s="711"/>
      <c r="K1015" s="711"/>
      <c r="L1015" s="711"/>
      <c r="Q1015" s="11"/>
      <c r="R1015" s="11"/>
      <c r="S1015" s="11"/>
      <c r="T1015" s="11"/>
    </row>
    <row r="1016" spans="8:20" x14ac:dyDescent="0.35">
      <c r="H1016" s="711"/>
      <c r="I1016" s="711"/>
      <c r="J1016" s="711"/>
      <c r="K1016" s="711"/>
      <c r="L1016" s="711"/>
      <c r="Q1016" s="11"/>
      <c r="R1016" s="11"/>
      <c r="S1016" s="11"/>
      <c r="T1016" s="11"/>
    </row>
    <row r="1017" spans="8:20" x14ac:dyDescent="0.35">
      <c r="H1017" s="711"/>
      <c r="I1017" s="711"/>
      <c r="J1017" s="711"/>
      <c r="K1017" s="711"/>
      <c r="L1017" s="711"/>
      <c r="Q1017" s="11"/>
      <c r="R1017" s="11"/>
      <c r="S1017" s="11"/>
      <c r="T1017" s="11"/>
    </row>
    <row r="1018" spans="8:20" x14ac:dyDescent="0.35">
      <c r="H1018" s="711"/>
      <c r="I1018" s="711"/>
      <c r="J1018" s="711"/>
      <c r="K1018" s="711"/>
      <c r="L1018" s="711"/>
      <c r="Q1018" s="11"/>
      <c r="R1018" s="11"/>
      <c r="S1018" s="11"/>
      <c r="T1018" s="11"/>
    </row>
    <row r="1019" spans="8:20" x14ac:dyDescent="0.35">
      <c r="H1019" s="711"/>
      <c r="I1019" s="711"/>
      <c r="J1019" s="711"/>
      <c r="K1019" s="711"/>
      <c r="L1019" s="711"/>
      <c r="Q1019" s="11"/>
      <c r="R1019" s="11"/>
      <c r="S1019" s="11"/>
      <c r="T1019" s="11"/>
    </row>
    <row r="1020" spans="8:20" x14ac:dyDescent="0.35">
      <c r="H1020" s="711"/>
      <c r="I1020" s="711"/>
      <c r="J1020" s="711"/>
      <c r="K1020" s="711"/>
      <c r="L1020" s="711"/>
      <c r="Q1020" s="11"/>
      <c r="R1020" s="11"/>
      <c r="S1020" s="11"/>
      <c r="T1020" s="11"/>
    </row>
    <row r="1021" spans="8:20" x14ac:dyDescent="0.35">
      <c r="H1021" s="711"/>
      <c r="I1021" s="711"/>
      <c r="J1021" s="711"/>
      <c r="K1021" s="711"/>
      <c r="L1021" s="711"/>
      <c r="Q1021" s="11"/>
      <c r="R1021" s="11"/>
      <c r="S1021" s="11"/>
      <c r="T1021" s="11"/>
    </row>
    <row r="1022" spans="8:20" x14ac:dyDescent="0.35">
      <c r="H1022" s="711"/>
      <c r="I1022" s="711"/>
      <c r="J1022" s="711"/>
      <c r="K1022" s="711"/>
      <c r="L1022" s="711"/>
      <c r="Q1022" s="11"/>
      <c r="R1022" s="11"/>
      <c r="S1022" s="11"/>
      <c r="T1022" s="11"/>
    </row>
    <row r="1023" spans="8:20" x14ac:dyDescent="0.35">
      <c r="H1023" s="711"/>
      <c r="I1023" s="711"/>
      <c r="J1023" s="711"/>
      <c r="K1023" s="711"/>
      <c r="L1023" s="711"/>
      <c r="Q1023" s="11"/>
      <c r="R1023" s="11"/>
      <c r="S1023" s="11"/>
      <c r="T1023" s="11"/>
    </row>
    <row r="1024" spans="8:20" x14ac:dyDescent="0.35">
      <c r="H1024" s="711"/>
      <c r="I1024" s="711"/>
      <c r="J1024" s="711"/>
      <c r="K1024" s="711"/>
      <c r="L1024" s="711"/>
      <c r="Q1024" s="11"/>
      <c r="R1024" s="11"/>
      <c r="S1024" s="11"/>
      <c r="T1024" s="11"/>
    </row>
    <row r="1025" spans="8:20" x14ac:dyDescent="0.35">
      <c r="H1025" s="711"/>
      <c r="I1025" s="711"/>
      <c r="J1025" s="711"/>
      <c r="K1025" s="711"/>
      <c r="L1025" s="711"/>
      <c r="Q1025" s="11"/>
      <c r="R1025" s="11"/>
      <c r="S1025" s="11"/>
      <c r="T1025" s="11"/>
    </row>
    <row r="1026" spans="8:20" x14ac:dyDescent="0.35">
      <c r="H1026" s="711"/>
      <c r="I1026" s="711"/>
      <c r="J1026" s="711"/>
      <c r="K1026" s="711"/>
      <c r="L1026" s="711"/>
      <c r="Q1026" s="11"/>
      <c r="R1026" s="11"/>
      <c r="S1026" s="11"/>
      <c r="T1026" s="11"/>
    </row>
    <row r="1027" spans="8:20" x14ac:dyDescent="0.35">
      <c r="H1027" s="711"/>
      <c r="I1027" s="711"/>
      <c r="J1027" s="711"/>
      <c r="K1027" s="711"/>
      <c r="L1027" s="711"/>
      <c r="Q1027" s="11"/>
      <c r="R1027" s="11"/>
      <c r="S1027" s="11"/>
      <c r="T1027" s="11"/>
    </row>
    <row r="1028" spans="8:20" x14ac:dyDescent="0.35">
      <c r="H1028" s="711"/>
      <c r="I1028" s="711"/>
      <c r="J1028" s="711"/>
      <c r="K1028" s="711"/>
      <c r="L1028" s="711"/>
      <c r="Q1028" s="11"/>
      <c r="R1028" s="11"/>
      <c r="S1028" s="11"/>
      <c r="T1028" s="11"/>
    </row>
    <row r="1029" spans="8:20" x14ac:dyDescent="0.35">
      <c r="H1029" s="711"/>
      <c r="I1029" s="711"/>
      <c r="J1029" s="711"/>
      <c r="K1029" s="711"/>
      <c r="L1029" s="711"/>
      <c r="Q1029" s="11"/>
      <c r="R1029" s="11"/>
      <c r="S1029" s="11"/>
      <c r="T1029" s="11"/>
    </row>
    <row r="1030" spans="8:20" x14ac:dyDescent="0.35">
      <c r="H1030" s="711"/>
      <c r="I1030" s="711"/>
      <c r="J1030" s="711"/>
      <c r="K1030" s="711"/>
      <c r="L1030" s="711"/>
      <c r="Q1030" s="11"/>
      <c r="R1030" s="11"/>
      <c r="S1030" s="11"/>
      <c r="T1030" s="11"/>
    </row>
    <row r="1031" spans="8:20" x14ac:dyDescent="0.35">
      <c r="H1031" s="711"/>
      <c r="I1031" s="711"/>
      <c r="J1031" s="711"/>
      <c r="K1031" s="711"/>
      <c r="L1031" s="711"/>
      <c r="Q1031" s="11"/>
      <c r="R1031" s="11"/>
      <c r="S1031" s="11"/>
      <c r="T1031" s="11"/>
    </row>
    <row r="1032" spans="8:20" x14ac:dyDescent="0.35">
      <c r="H1032" s="711"/>
      <c r="I1032" s="711"/>
      <c r="J1032" s="711"/>
      <c r="K1032" s="711"/>
      <c r="L1032" s="711"/>
      <c r="Q1032" s="11"/>
      <c r="R1032" s="11"/>
      <c r="S1032" s="11"/>
      <c r="T1032" s="11"/>
    </row>
    <row r="1033" spans="8:20" x14ac:dyDescent="0.35">
      <c r="H1033" s="711"/>
      <c r="I1033" s="711"/>
      <c r="J1033" s="711"/>
      <c r="K1033" s="711"/>
      <c r="L1033" s="711"/>
      <c r="Q1033" s="11"/>
      <c r="R1033" s="11"/>
      <c r="S1033" s="11"/>
      <c r="T1033" s="11"/>
    </row>
    <row r="1034" spans="8:20" x14ac:dyDescent="0.35">
      <c r="H1034" s="711"/>
      <c r="I1034" s="711"/>
      <c r="J1034" s="711"/>
      <c r="K1034" s="711"/>
      <c r="L1034" s="711"/>
      <c r="Q1034" s="11"/>
      <c r="R1034" s="11"/>
      <c r="S1034" s="11"/>
      <c r="T1034" s="11"/>
    </row>
    <row r="1035" spans="8:20" x14ac:dyDescent="0.35">
      <c r="H1035" s="711"/>
      <c r="I1035" s="711"/>
      <c r="J1035" s="711"/>
      <c r="K1035" s="711"/>
      <c r="L1035" s="711"/>
      <c r="Q1035" s="11"/>
      <c r="R1035" s="11"/>
      <c r="S1035" s="11"/>
      <c r="T1035" s="11"/>
    </row>
    <row r="1036" spans="8:20" x14ac:dyDescent="0.35">
      <c r="H1036" s="711"/>
      <c r="I1036" s="711"/>
      <c r="J1036" s="711"/>
      <c r="K1036" s="711"/>
      <c r="L1036" s="711"/>
      <c r="Q1036" s="11"/>
      <c r="R1036" s="11"/>
      <c r="S1036" s="11"/>
      <c r="T1036" s="11"/>
    </row>
    <row r="1037" spans="8:20" x14ac:dyDescent="0.35">
      <c r="H1037" s="711"/>
      <c r="I1037" s="711"/>
      <c r="J1037" s="711"/>
      <c r="K1037" s="711"/>
      <c r="L1037" s="711"/>
      <c r="Q1037" s="11"/>
      <c r="R1037" s="11"/>
      <c r="S1037" s="11"/>
      <c r="T1037" s="11"/>
    </row>
    <row r="1038" spans="8:20" x14ac:dyDescent="0.35">
      <c r="H1038" s="711"/>
      <c r="I1038" s="711"/>
      <c r="J1038" s="711"/>
      <c r="K1038" s="711"/>
      <c r="L1038" s="711"/>
      <c r="Q1038" s="11"/>
      <c r="R1038" s="11"/>
      <c r="S1038" s="11"/>
      <c r="T1038" s="11"/>
    </row>
    <row r="1039" spans="8:20" x14ac:dyDescent="0.35">
      <c r="H1039" s="711"/>
      <c r="I1039" s="711"/>
      <c r="J1039" s="711"/>
      <c r="K1039" s="711"/>
      <c r="L1039" s="711"/>
      <c r="Q1039" s="11"/>
      <c r="R1039" s="11"/>
      <c r="S1039" s="11"/>
      <c r="T1039" s="11"/>
    </row>
    <row r="1040" spans="8:20" x14ac:dyDescent="0.35">
      <c r="H1040" s="711"/>
      <c r="I1040" s="711"/>
      <c r="J1040" s="711"/>
      <c r="K1040" s="711"/>
      <c r="L1040" s="711"/>
      <c r="Q1040" s="11"/>
      <c r="R1040" s="11"/>
      <c r="S1040" s="11"/>
      <c r="T1040" s="11"/>
    </row>
    <row r="1041" spans="8:20" x14ac:dyDescent="0.35">
      <c r="H1041" s="711"/>
      <c r="I1041" s="711"/>
      <c r="J1041" s="711"/>
      <c r="K1041" s="711"/>
      <c r="L1041" s="711"/>
      <c r="Q1041" s="11"/>
      <c r="R1041" s="11"/>
      <c r="S1041" s="11"/>
      <c r="T1041" s="11"/>
    </row>
    <row r="1042" spans="8:20" x14ac:dyDescent="0.35">
      <c r="H1042" s="711"/>
      <c r="I1042" s="711"/>
      <c r="J1042" s="711"/>
      <c r="K1042" s="711"/>
      <c r="L1042" s="711"/>
      <c r="Q1042" s="11"/>
      <c r="R1042" s="11"/>
      <c r="S1042" s="11"/>
      <c r="T1042" s="11"/>
    </row>
    <row r="1043" spans="8:20" x14ac:dyDescent="0.35">
      <c r="H1043" s="711"/>
      <c r="I1043" s="711"/>
      <c r="J1043" s="711"/>
      <c r="K1043" s="711"/>
      <c r="L1043" s="711"/>
      <c r="Q1043" s="11"/>
      <c r="R1043" s="11"/>
      <c r="S1043" s="11"/>
      <c r="T1043" s="11"/>
    </row>
    <row r="1044" spans="8:20" x14ac:dyDescent="0.35">
      <c r="H1044" s="711"/>
      <c r="I1044" s="711"/>
      <c r="J1044" s="711"/>
      <c r="K1044" s="711"/>
      <c r="L1044" s="711"/>
      <c r="Q1044" s="11"/>
      <c r="R1044" s="11"/>
      <c r="S1044" s="11"/>
      <c r="T1044" s="11"/>
    </row>
    <row r="1045" spans="8:20" x14ac:dyDescent="0.35">
      <c r="H1045" s="711"/>
      <c r="I1045" s="711"/>
      <c r="J1045" s="711"/>
      <c r="K1045" s="711"/>
      <c r="L1045" s="711"/>
      <c r="Q1045" s="11"/>
      <c r="R1045" s="11"/>
      <c r="S1045" s="11"/>
      <c r="T1045" s="11"/>
    </row>
    <row r="1046" spans="8:20" x14ac:dyDescent="0.35">
      <c r="H1046" s="711"/>
      <c r="I1046" s="711"/>
      <c r="J1046" s="711"/>
      <c r="K1046" s="711"/>
      <c r="L1046" s="711"/>
      <c r="Q1046" s="11"/>
      <c r="R1046" s="11"/>
      <c r="S1046" s="11"/>
      <c r="T1046" s="11"/>
    </row>
    <row r="1047" spans="8:20" x14ac:dyDescent="0.35">
      <c r="H1047" s="711"/>
      <c r="I1047" s="711"/>
      <c r="J1047" s="711"/>
      <c r="K1047" s="711"/>
      <c r="L1047" s="711"/>
      <c r="Q1047" s="11"/>
      <c r="R1047" s="11"/>
      <c r="S1047" s="11"/>
      <c r="T1047" s="11"/>
    </row>
    <row r="1048" spans="8:20" x14ac:dyDescent="0.35">
      <c r="H1048" s="711"/>
      <c r="I1048" s="711"/>
      <c r="J1048" s="711"/>
      <c r="K1048" s="711"/>
      <c r="L1048" s="711"/>
      <c r="Q1048" s="11"/>
      <c r="R1048" s="11"/>
      <c r="S1048" s="11"/>
      <c r="T1048" s="11"/>
    </row>
    <row r="1049" spans="8:20" x14ac:dyDescent="0.35">
      <c r="H1049" s="711"/>
      <c r="I1049" s="711"/>
      <c r="J1049" s="711"/>
      <c r="K1049" s="711"/>
      <c r="L1049" s="711"/>
      <c r="Q1049" s="11"/>
      <c r="R1049" s="11"/>
      <c r="S1049" s="11"/>
      <c r="T1049" s="11"/>
    </row>
    <row r="1050" spans="8:20" x14ac:dyDescent="0.35">
      <c r="H1050" s="711"/>
      <c r="I1050" s="711"/>
      <c r="J1050" s="711"/>
      <c r="K1050" s="711"/>
      <c r="L1050" s="711"/>
      <c r="Q1050" s="11"/>
      <c r="R1050" s="11"/>
      <c r="S1050" s="11"/>
      <c r="T1050" s="11"/>
    </row>
    <row r="1051" spans="8:20" x14ac:dyDescent="0.35">
      <c r="H1051" s="711"/>
      <c r="I1051" s="711"/>
      <c r="J1051" s="711"/>
      <c r="K1051" s="711"/>
      <c r="L1051" s="711"/>
      <c r="Q1051" s="11"/>
      <c r="R1051" s="11"/>
      <c r="S1051" s="11"/>
      <c r="T1051" s="11"/>
    </row>
    <row r="1052" spans="8:20" x14ac:dyDescent="0.35">
      <c r="H1052" s="711"/>
      <c r="I1052" s="711"/>
      <c r="J1052" s="711"/>
      <c r="K1052" s="711"/>
      <c r="L1052" s="711"/>
      <c r="Q1052" s="11"/>
      <c r="R1052" s="11"/>
      <c r="S1052" s="11"/>
      <c r="T1052" s="11"/>
    </row>
    <row r="1053" spans="8:20" x14ac:dyDescent="0.35">
      <c r="H1053" s="711"/>
      <c r="I1053" s="711"/>
      <c r="J1053" s="711"/>
      <c r="K1053" s="711"/>
      <c r="L1053" s="711"/>
      <c r="Q1053" s="11"/>
      <c r="R1053" s="11"/>
      <c r="S1053" s="11"/>
      <c r="T1053" s="11"/>
    </row>
    <row r="1054" spans="8:20" x14ac:dyDescent="0.35">
      <c r="H1054" s="711"/>
      <c r="I1054" s="711"/>
      <c r="J1054" s="711"/>
      <c r="K1054" s="711"/>
      <c r="L1054" s="711"/>
      <c r="Q1054" s="11"/>
      <c r="R1054" s="11"/>
      <c r="S1054" s="11"/>
      <c r="T1054" s="11"/>
    </row>
    <row r="1055" spans="8:20" x14ac:dyDescent="0.35">
      <c r="H1055" s="711"/>
      <c r="I1055" s="711"/>
      <c r="J1055" s="711"/>
      <c r="K1055" s="711"/>
      <c r="L1055" s="711"/>
      <c r="Q1055" s="11"/>
      <c r="R1055" s="11"/>
      <c r="S1055" s="11"/>
      <c r="T1055" s="11"/>
    </row>
    <row r="1056" spans="8:20" x14ac:dyDescent="0.35">
      <c r="H1056" s="711"/>
      <c r="I1056" s="711"/>
      <c r="J1056" s="711"/>
      <c r="K1056" s="711"/>
      <c r="L1056" s="711"/>
      <c r="Q1056" s="11"/>
      <c r="R1056" s="11"/>
      <c r="S1056" s="11"/>
      <c r="T1056" s="11"/>
    </row>
    <row r="1057" spans="8:20" x14ac:dyDescent="0.35">
      <c r="H1057" s="711"/>
      <c r="I1057" s="711"/>
      <c r="J1057" s="711"/>
      <c r="K1057" s="711"/>
      <c r="L1057" s="711"/>
      <c r="Q1057" s="11"/>
      <c r="R1057" s="11"/>
      <c r="S1057" s="11"/>
      <c r="T1057" s="11"/>
    </row>
    <row r="1058" spans="8:20" x14ac:dyDescent="0.35">
      <c r="H1058" s="711"/>
      <c r="I1058" s="711"/>
      <c r="J1058" s="711"/>
      <c r="K1058" s="711"/>
      <c r="L1058" s="711"/>
      <c r="Q1058" s="11"/>
      <c r="R1058" s="11"/>
      <c r="S1058" s="11"/>
      <c r="T1058" s="11"/>
    </row>
    <row r="1059" spans="8:20" x14ac:dyDescent="0.35">
      <c r="H1059" s="711"/>
      <c r="I1059" s="711"/>
      <c r="J1059" s="711"/>
      <c r="K1059" s="711"/>
      <c r="L1059" s="711"/>
      <c r="Q1059" s="11"/>
      <c r="R1059" s="11"/>
      <c r="S1059" s="11"/>
      <c r="T1059" s="11"/>
    </row>
    <row r="1060" spans="8:20" x14ac:dyDescent="0.35">
      <c r="H1060" s="711"/>
      <c r="I1060" s="711"/>
      <c r="J1060" s="711"/>
      <c r="K1060" s="711"/>
      <c r="L1060" s="711"/>
      <c r="Q1060" s="11"/>
      <c r="R1060" s="11"/>
      <c r="S1060" s="11"/>
      <c r="T1060" s="11"/>
    </row>
    <row r="1061" spans="8:20" x14ac:dyDescent="0.35">
      <c r="H1061" s="711"/>
      <c r="I1061" s="711"/>
      <c r="J1061" s="711"/>
      <c r="K1061" s="711"/>
      <c r="L1061" s="711"/>
      <c r="Q1061" s="11"/>
      <c r="R1061" s="11"/>
      <c r="S1061" s="11"/>
      <c r="T1061" s="11"/>
    </row>
    <row r="1062" spans="8:20" x14ac:dyDescent="0.35">
      <c r="H1062" s="711"/>
      <c r="I1062" s="711"/>
      <c r="J1062" s="711"/>
      <c r="K1062" s="711"/>
      <c r="L1062" s="711"/>
      <c r="Q1062" s="11"/>
      <c r="R1062" s="11"/>
      <c r="S1062" s="11"/>
      <c r="T1062" s="11"/>
    </row>
    <row r="1063" spans="8:20" x14ac:dyDescent="0.35">
      <c r="H1063" s="711"/>
      <c r="I1063" s="711"/>
      <c r="J1063" s="711"/>
      <c r="K1063" s="711"/>
      <c r="L1063" s="711"/>
      <c r="Q1063" s="11"/>
      <c r="R1063" s="11"/>
      <c r="S1063" s="11"/>
      <c r="T1063" s="11"/>
    </row>
    <row r="1064" spans="8:20" x14ac:dyDescent="0.35">
      <c r="H1064" s="711"/>
      <c r="I1064" s="711"/>
      <c r="J1064" s="711"/>
      <c r="K1064" s="711"/>
      <c r="L1064" s="711"/>
      <c r="Q1064" s="11"/>
      <c r="R1064" s="11"/>
      <c r="S1064" s="11"/>
      <c r="T1064" s="11"/>
    </row>
    <row r="1065" spans="8:20" x14ac:dyDescent="0.35">
      <c r="H1065" s="711"/>
      <c r="I1065" s="711"/>
      <c r="J1065" s="711"/>
      <c r="K1065" s="711"/>
      <c r="L1065" s="711"/>
      <c r="Q1065" s="11"/>
      <c r="R1065" s="11"/>
      <c r="S1065" s="11"/>
      <c r="T1065" s="11"/>
    </row>
    <row r="1066" spans="8:20" x14ac:dyDescent="0.35">
      <c r="H1066" s="711"/>
      <c r="I1066" s="711"/>
      <c r="J1066" s="711"/>
      <c r="K1066" s="711"/>
      <c r="L1066" s="711"/>
      <c r="Q1066" s="11"/>
      <c r="R1066" s="11"/>
      <c r="S1066" s="11"/>
      <c r="T1066" s="11"/>
    </row>
    <row r="1067" spans="8:20" x14ac:dyDescent="0.35">
      <c r="H1067" s="711"/>
      <c r="I1067" s="711"/>
      <c r="J1067" s="711"/>
      <c r="K1067" s="711"/>
      <c r="L1067" s="711"/>
      <c r="Q1067" s="11"/>
      <c r="R1067" s="11"/>
      <c r="S1067" s="11"/>
      <c r="T1067" s="11"/>
    </row>
    <row r="1068" spans="8:20" x14ac:dyDescent="0.35">
      <c r="H1068" s="711"/>
      <c r="I1068" s="711"/>
      <c r="J1068" s="711"/>
      <c r="K1068" s="711"/>
      <c r="L1068" s="711"/>
      <c r="Q1068" s="11"/>
      <c r="R1068" s="11"/>
      <c r="S1068" s="11"/>
      <c r="T1068" s="11"/>
    </row>
    <row r="1069" spans="8:20" x14ac:dyDescent="0.35">
      <c r="H1069" s="711"/>
      <c r="I1069" s="711"/>
      <c r="J1069" s="711"/>
      <c r="K1069" s="711"/>
      <c r="L1069" s="711"/>
      <c r="Q1069" s="11"/>
      <c r="R1069" s="11"/>
      <c r="S1069" s="11"/>
      <c r="T1069" s="11"/>
    </row>
    <row r="1070" spans="8:20" x14ac:dyDescent="0.35">
      <c r="H1070" s="711"/>
      <c r="I1070" s="711"/>
      <c r="J1070" s="711"/>
      <c r="K1070" s="711"/>
      <c r="L1070" s="711"/>
      <c r="Q1070" s="11"/>
      <c r="R1070" s="11"/>
      <c r="S1070" s="11"/>
      <c r="T1070" s="11"/>
    </row>
    <row r="1071" spans="8:20" x14ac:dyDescent="0.35">
      <c r="H1071" s="711"/>
      <c r="I1071" s="711"/>
      <c r="J1071" s="711"/>
      <c r="K1071" s="711"/>
      <c r="L1071" s="711"/>
      <c r="Q1071" s="11"/>
      <c r="R1071" s="11"/>
      <c r="S1071" s="11"/>
      <c r="T1071" s="11"/>
    </row>
    <row r="1072" spans="8:20" x14ac:dyDescent="0.35">
      <c r="H1072" s="711"/>
      <c r="I1072" s="711"/>
      <c r="J1072" s="711"/>
      <c r="K1072" s="711"/>
      <c r="L1072" s="711"/>
      <c r="Q1072" s="11"/>
      <c r="R1072" s="11"/>
      <c r="S1072" s="11"/>
      <c r="T1072" s="11"/>
    </row>
    <row r="1073" spans="8:20" x14ac:dyDescent="0.35">
      <c r="H1073" s="711"/>
      <c r="I1073" s="711"/>
      <c r="J1073" s="711"/>
      <c r="K1073" s="711"/>
      <c r="L1073" s="711"/>
      <c r="Q1073" s="11"/>
      <c r="R1073" s="11"/>
      <c r="S1073" s="11"/>
      <c r="T1073" s="11"/>
    </row>
    <row r="1074" spans="8:20" x14ac:dyDescent="0.35">
      <c r="H1074" s="711"/>
      <c r="I1074" s="711"/>
      <c r="J1074" s="711"/>
      <c r="K1074" s="711"/>
      <c r="L1074" s="711"/>
      <c r="Q1074" s="11"/>
      <c r="R1074" s="11"/>
      <c r="S1074" s="11"/>
      <c r="T1074" s="11"/>
    </row>
    <row r="1075" spans="8:20" x14ac:dyDescent="0.35">
      <c r="H1075" s="711"/>
      <c r="I1075" s="711"/>
      <c r="J1075" s="711"/>
      <c r="K1075" s="711"/>
      <c r="L1075" s="711"/>
      <c r="Q1075" s="11"/>
      <c r="R1075" s="11"/>
      <c r="S1075" s="11"/>
      <c r="T1075" s="11"/>
    </row>
    <row r="1076" spans="8:20" x14ac:dyDescent="0.35">
      <c r="H1076" s="711"/>
      <c r="I1076" s="711"/>
      <c r="J1076" s="711"/>
      <c r="K1076" s="711"/>
      <c r="L1076" s="711"/>
      <c r="Q1076" s="11"/>
      <c r="R1076" s="11"/>
      <c r="S1076" s="11"/>
      <c r="T1076" s="11"/>
    </row>
    <row r="1077" spans="8:20" x14ac:dyDescent="0.35">
      <c r="H1077" s="711"/>
      <c r="I1077" s="711"/>
      <c r="J1077" s="711"/>
      <c r="K1077" s="711"/>
      <c r="L1077" s="711"/>
      <c r="Q1077" s="11"/>
      <c r="R1077" s="11"/>
      <c r="S1077" s="11"/>
      <c r="T1077" s="11"/>
    </row>
    <row r="1078" spans="8:20" x14ac:dyDescent="0.35">
      <c r="H1078" s="711"/>
      <c r="I1078" s="711"/>
      <c r="J1078" s="711"/>
      <c r="K1078" s="711"/>
      <c r="L1078" s="711"/>
      <c r="Q1078" s="11"/>
      <c r="R1078" s="11"/>
      <c r="S1078" s="11"/>
      <c r="T1078" s="11"/>
    </row>
    <row r="1079" spans="8:20" x14ac:dyDescent="0.35">
      <c r="H1079" s="711"/>
      <c r="I1079" s="711"/>
      <c r="J1079" s="711"/>
      <c r="K1079" s="711"/>
      <c r="L1079" s="711"/>
      <c r="Q1079" s="11"/>
      <c r="R1079" s="11"/>
      <c r="S1079" s="11"/>
      <c r="T1079" s="11"/>
    </row>
    <row r="1080" spans="8:20" x14ac:dyDescent="0.35">
      <c r="H1080" s="711"/>
      <c r="I1080" s="711"/>
      <c r="J1080" s="711"/>
      <c r="K1080" s="711"/>
      <c r="L1080" s="711"/>
      <c r="Q1080" s="11"/>
      <c r="R1080" s="11"/>
      <c r="S1080" s="11"/>
      <c r="T1080" s="11"/>
    </row>
    <row r="1081" spans="8:20" x14ac:dyDescent="0.35">
      <c r="H1081" s="711"/>
      <c r="I1081" s="711"/>
      <c r="J1081" s="711"/>
      <c r="K1081" s="711"/>
      <c r="L1081" s="711"/>
      <c r="Q1081" s="11"/>
      <c r="R1081" s="11"/>
      <c r="S1081" s="11"/>
      <c r="T1081" s="11"/>
    </row>
    <row r="1082" spans="8:20" x14ac:dyDescent="0.35">
      <c r="H1082" s="711"/>
      <c r="I1082" s="711"/>
      <c r="J1082" s="711"/>
      <c r="K1082" s="711"/>
      <c r="L1082" s="711"/>
      <c r="Q1082" s="11"/>
      <c r="R1082" s="11"/>
      <c r="S1082" s="11"/>
      <c r="T1082" s="11"/>
    </row>
    <row r="1083" spans="8:20" x14ac:dyDescent="0.35">
      <c r="H1083" s="711"/>
      <c r="I1083" s="711"/>
      <c r="J1083" s="711"/>
      <c r="K1083" s="711"/>
      <c r="L1083" s="711"/>
      <c r="Q1083" s="11"/>
      <c r="R1083" s="11"/>
      <c r="S1083" s="11"/>
      <c r="T1083" s="11"/>
    </row>
    <row r="1084" spans="8:20" x14ac:dyDescent="0.35">
      <c r="H1084" s="711"/>
      <c r="I1084" s="711"/>
      <c r="J1084" s="711"/>
      <c r="K1084" s="711"/>
      <c r="L1084" s="711"/>
      <c r="Q1084" s="11"/>
      <c r="R1084" s="11"/>
      <c r="S1084" s="11"/>
      <c r="T1084" s="11"/>
    </row>
    <row r="1085" spans="8:20" x14ac:dyDescent="0.35">
      <c r="H1085" s="711"/>
      <c r="I1085" s="711"/>
      <c r="J1085" s="711"/>
      <c r="K1085" s="711"/>
      <c r="L1085" s="711"/>
      <c r="Q1085" s="11"/>
      <c r="R1085" s="11"/>
      <c r="S1085" s="11"/>
      <c r="T1085" s="11"/>
    </row>
    <row r="1086" spans="8:20" x14ac:dyDescent="0.35">
      <c r="H1086" s="711"/>
      <c r="I1086" s="711"/>
      <c r="J1086" s="711"/>
      <c r="K1086" s="711"/>
      <c r="L1086" s="711"/>
      <c r="Q1086" s="11"/>
      <c r="R1086" s="11"/>
      <c r="S1086" s="11"/>
      <c r="T1086" s="11"/>
    </row>
    <row r="1087" spans="8:20" x14ac:dyDescent="0.35">
      <c r="H1087" s="711"/>
      <c r="I1087" s="711"/>
      <c r="J1087" s="711"/>
      <c r="K1087" s="711"/>
      <c r="L1087" s="711"/>
      <c r="Q1087" s="11"/>
      <c r="R1087" s="11"/>
      <c r="S1087" s="11"/>
      <c r="T1087" s="11"/>
    </row>
    <row r="1088" spans="8:20" x14ac:dyDescent="0.35">
      <c r="H1088" s="711"/>
      <c r="I1088" s="711"/>
      <c r="J1088" s="711"/>
      <c r="K1088" s="711"/>
      <c r="L1088" s="711"/>
      <c r="Q1088" s="11"/>
      <c r="R1088" s="11"/>
      <c r="S1088" s="11"/>
      <c r="T1088" s="11"/>
    </row>
    <row r="1089" spans="8:20" x14ac:dyDescent="0.35">
      <c r="H1089" s="711"/>
      <c r="I1089" s="711"/>
      <c r="J1089" s="711"/>
      <c r="K1089" s="711"/>
      <c r="L1089" s="711"/>
      <c r="Q1089" s="11"/>
      <c r="R1089" s="11"/>
      <c r="S1089" s="11"/>
      <c r="T1089" s="11"/>
    </row>
    <row r="1090" spans="8:20" x14ac:dyDescent="0.35">
      <c r="H1090" s="711"/>
      <c r="I1090" s="711"/>
      <c r="J1090" s="711"/>
      <c r="K1090" s="711"/>
      <c r="L1090" s="711"/>
      <c r="Q1090" s="11"/>
      <c r="R1090" s="11"/>
      <c r="S1090" s="11"/>
      <c r="T1090" s="11"/>
    </row>
    <row r="1091" spans="8:20" x14ac:dyDescent="0.35">
      <c r="H1091" s="711"/>
      <c r="I1091" s="711"/>
      <c r="J1091" s="711"/>
      <c r="K1091" s="711"/>
      <c r="L1091" s="711"/>
      <c r="Q1091" s="11"/>
      <c r="R1091" s="11"/>
      <c r="S1091" s="11"/>
      <c r="T1091" s="11"/>
    </row>
    <row r="1092" spans="8:20" x14ac:dyDescent="0.35">
      <c r="H1092" s="711"/>
      <c r="I1092" s="711"/>
      <c r="J1092" s="711"/>
      <c r="K1092" s="711"/>
      <c r="L1092" s="711"/>
      <c r="Q1092" s="11"/>
      <c r="R1092" s="11"/>
      <c r="S1092" s="11"/>
      <c r="T1092" s="11"/>
    </row>
    <row r="1093" spans="8:20" x14ac:dyDescent="0.35">
      <c r="H1093" s="711"/>
      <c r="I1093" s="711"/>
      <c r="J1093" s="711"/>
      <c r="K1093" s="711"/>
      <c r="L1093" s="711"/>
      <c r="Q1093" s="11"/>
      <c r="R1093" s="11"/>
      <c r="S1093" s="11"/>
      <c r="T1093" s="11"/>
    </row>
    <row r="1094" spans="8:20" x14ac:dyDescent="0.35">
      <c r="H1094" s="711"/>
      <c r="I1094" s="711"/>
      <c r="J1094" s="711"/>
      <c r="K1094" s="711"/>
      <c r="L1094" s="711"/>
      <c r="Q1094" s="11"/>
      <c r="R1094" s="11"/>
      <c r="S1094" s="11"/>
      <c r="T1094" s="11"/>
    </row>
    <row r="1095" spans="8:20" x14ac:dyDescent="0.35">
      <c r="H1095" s="711"/>
      <c r="I1095" s="711"/>
      <c r="J1095" s="711"/>
      <c r="K1095" s="711"/>
      <c r="L1095" s="711"/>
      <c r="Q1095" s="11"/>
      <c r="R1095" s="11"/>
      <c r="S1095" s="11"/>
      <c r="T1095" s="11"/>
    </row>
    <row r="1096" spans="8:20" x14ac:dyDescent="0.35">
      <c r="H1096" s="711"/>
      <c r="I1096" s="711"/>
      <c r="J1096" s="711"/>
      <c r="K1096" s="711"/>
      <c r="L1096" s="711"/>
      <c r="Q1096" s="11"/>
      <c r="R1096" s="11"/>
      <c r="S1096" s="11"/>
      <c r="T1096" s="11"/>
    </row>
    <row r="1097" spans="8:20" x14ac:dyDescent="0.35">
      <c r="H1097" s="711"/>
      <c r="I1097" s="711"/>
      <c r="J1097" s="711"/>
      <c r="K1097" s="711"/>
      <c r="L1097" s="711"/>
      <c r="Q1097" s="11"/>
      <c r="R1097" s="11"/>
      <c r="S1097" s="11"/>
      <c r="T1097" s="11"/>
    </row>
    <row r="1098" spans="8:20" x14ac:dyDescent="0.35">
      <c r="H1098" s="711"/>
      <c r="I1098" s="711"/>
      <c r="J1098" s="711"/>
      <c r="K1098" s="711"/>
      <c r="L1098" s="711"/>
      <c r="Q1098" s="11"/>
      <c r="R1098" s="11"/>
      <c r="S1098" s="11"/>
      <c r="T1098" s="11"/>
    </row>
    <row r="1099" spans="8:20" x14ac:dyDescent="0.35">
      <c r="H1099" s="711"/>
      <c r="I1099" s="711"/>
      <c r="J1099" s="711"/>
      <c r="K1099" s="711"/>
      <c r="L1099" s="711"/>
      <c r="Q1099" s="11"/>
      <c r="R1099" s="11"/>
      <c r="S1099" s="11"/>
      <c r="T1099" s="11"/>
    </row>
    <row r="1100" spans="8:20" x14ac:dyDescent="0.35">
      <c r="H1100" s="711"/>
      <c r="I1100" s="711"/>
      <c r="J1100" s="711"/>
      <c r="K1100" s="711"/>
      <c r="L1100" s="711"/>
      <c r="Q1100" s="11"/>
      <c r="R1100" s="11"/>
      <c r="S1100" s="11"/>
      <c r="T1100" s="11"/>
    </row>
    <row r="1101" spans="8:20" x14ac:dyDescent="0.35">
      <c r="H1101" s="711"/>
      <c r="I1101" s="711"/>
      <c r="J1101" s="711"/>
      <c r="K1101" s="711"/>
      <c r="L1101" s="711"/>
      <c r="Q1101" s="11"/>
      <c r="R1101" s="11"/>
      <c r="S1101" s="11"/>
      <c r="T1101" s="11"/>
    </row>
    <row r="1102" spans="8:20" x14ac:dyDescent="0.35">
      <c r="H1102" s="711"/>
      <c r="I1102" s="711"/>
      <c r="J1102" s="711"/>
      <c r="K1102" s="711"/>
      <c r="L1102" s="711"/>
      <c r="Q1102" s="11"/>
      <c r="R1102" s="11"/>
      <c r="S1102" s="11"/>
      <c r="T1102" s="11"/>
    </row>
    <row r="1103" spans="8:20" x14ac:dyDescent="0.35">
      <c r="H1103" s="711"/>
      <c r="I1103" s="711"/>
      <c r="J1103" s="711"/>
      <c r="K1103" s="711"/>
      <c r="L1103" s="711"/>
      <c r="Q1103" s="11"/>
      <c r="R1103" s="11"/>
      <c r="S1103" s="11"/>
      <c r="T1103" s="11"/>
    </row>
    <row r="1104" spans="8:20" x14ac:dyDescent="0.35">
      <c r="H1104" s="711"/>
      <c r="I1104" s="711"/>
      <c r="J1104" s="711"/>
      <c r="K1104" s="711"/>
      <c r="L1104" s="711"/>
      <c r="Q1104" s="11"/>
      <c r="R1104" s="11"/>
      <c r="S1104" s="11"/>
      <c r="T1104" s="11"/>
    </row>
    <row r="1105" spans="8:20" x14ac:dyDescent="0.35">
      <c r="H1105" s="711"/>
      <c r="I1105" s="711"/>
      <c r="J1105" s="711"/>
      <c r="K1105" s="711"/>
      <c r="L1105" s="711"/>
      <c r="Q1105" s="11"/>
      <c r="R1105" s="11"/>
      <c r="S1105" s="11"/>
      <c r="T1105" s="11"/>
    </row>
    <row r="1106" spans="8:20" x14ac:dyDescent="0.35">
      <c r="H1106" s="711"/>
      <c r="I1106" s="711"/>
      <c r="J1106" s="711"/>
      <c r="K1106" s="711"/>
      <c r="L1106" s="711"/>
      <c r="Q1106" s="11"/>
      <c r="R1106" s="11"/>
      <c r="S1106" s="11"/>
      <c r="T1106" s="11"/>
    </row>
    <row r="1107" spans="8:20" x14ac:dyDescent="0.35">
      <c r="H1107" s="711"/>
      <c r="I1107" s="711"/>
      <c r="J1107" s="711"/>
      <c r="K1107" s="711"/>
      <c r="L1107" s="711"/>
      <c r="Q1107" s="11"/>
      <c r="R1107" s="11"/>
      <c r="S1107" s="11"/>
      <c r="T1107" s="11"/>
    </row>
    <row r="1108" spans="8:20" x14ac:dyDescent="0.35">
      <c r="H1108" s="711"/>
      <c r="I1108" s="711"/>
      <c r="J1108" s="711"/>
      <c r="K1108" s="711"/>
      <c r="L1108" s="711"/>
      <c r="Q1108" s="11"/>
      <c r="R1108" s="11"/>
      <c r="S1108" s="11"/>
      <c r="T1108" s="11"/>
    </row>
    <row r="1109" spans="8:20" x14ac:dyDescent="0.35">
      <c r="H1109" s="711"/>
      <c r="I1109" s="711"/>
      <c r="J1109" s="711"/>
      <c r="K1109" s="711"/>
      <c r="L1109" s="711"/>
      <c r="Q1109" s="11"/>
      <c r="R1109" s="11"/>
      <c r="S1109" s="11"/>
      <c r="T1109" s="11"/>
    </row>
    <row r="1110" spans="8:20" x14ac:dyDescent="0.35">
      <c r="H1110" s="711"/>
      <c r="I1110" s="711"/>
      <c r="J1110" s="711"/>
      <c r="K1110" s="711"/>
      <c r="L1110" s="711"/>
      <c r="Q1110" s="11"/>
      <c r="R1110" s="11"/>
      <c r="S1110" s="11"/>
      <c r="T1110" s="11"/>
    </row>
    <row r="1111" spans="8:20" x14ac:dyDescent="0.35">
      <c r="H1111" s="711"/>
      <c r="I1111" s="711"/>
      <c r="J1111" s="711"/>
      <c r="K1111" s="711"/>
      <c r="L1111" s="711"/>
      <c r="Q1111" s="11"/>
      <c r="R1111" s="11"/>
      <c r="S1111" s="11"/>
      <c r="T1111" s="11"/>
    </row>
    <row r="1112" spans="8:20" x14ac:dyDescent="0.35">
      <c r="H1112" s="711"/>
      <c r="I1112" s="711"/>
      <c r="J1112" s="711"/>
      <c r="K1112" s="711"/>
      <c r="L1112" s="711"/>
      <c r="Q1112" s="11"/>
      <c r="R1112" s="11"/>
      <c r="S1112" s="11"/>
      <c r="T1112" s="11"/>
    </row>
    <row r="1113" spans="8:20" x14ac:dyDescent="0.35">
      <c r="H1113" s="711"/>
      <c r="I1113" s="711"/>
      <c r="J1113" s="711"/>
      <c r="K1113" s="711"/>
      <c r="L1113" s="711"/>
      <c r="Q1113" s="11"/>
      <c r="R1113" s="11"/>
      <c r="S1113" s="11"/>
      <c r="T1113" s="11"/>
    </row>
    <row r="1114" spans="8:20" x14ac:dyDescent="0.35">
      <c r="H1114" s="711"/>
      <c r="I1114" s="711"/>
      <c r="J1114" s="711"/>
      <c r="K1114" s="711"/>
      <c r="L1114" s="711"/>
      <c r="Q1114" s="11"/>
      <c r="R1114" s="11"/>
      <c r="S1114" s="11"/>
      <c r="T1114" s="11"/>
    </row>
    <row r="1115" spans="8:20" x14ac:dyDescent="0.35">
      <c r="H1115" s="711"/>
      <c r="I1115" s="711"/>
      <c r="J1115" s="711"/>
      <c r="K1115" s="711"/>
      <c r="L1115" s="711"/>
      <c r="Q1115" s="11"/>
      <c r="R1115" s="11"/>
      <c r="S1115" s="11"/>
      <c r="T1115" s="11"/>
    </row>
    <row r="1116" spans="8:20" x14ac:dyDescent="0.35">
      <c r="H1116" s="711"/>
      <c r="I1116" s="711"/>
      <c r="J1116" s="711"/>
      <c r="K1116" s="711"/>
      <c r="L1116" s="711"/>
      <c r="Q1116" s="11"/>
      <c r="R1116" s="11"/>
      <c r="S1116" s="11"/>
      <c r="T1116" s="11"/>
    </row>
    <row r="1117" spans="8:20" x14ac:dyDescent="0.35">
      <c r="H1117" s="711"/>
      <c r="I1117" s="711"/>
      <c r="J1117" s="711"/>
      <c r="K1117" s="711"/>
      <c r="L1117" s="711"/>
      <c r="Q1117" s="11"/>
      <c r="R1117" s="11"/>
      <c r="S1117" s="11"/>
      <c r="T1117" s="11"/>
    </row>
    <row r="1118" spans="8:20" x14ac:dyDescent="0.35">
      <c r="H1118" s="711"/>
      <c r="I1118" s="711"/>
      <c r="J1118" s="711"/>
      <c r="K1118" s="711"/>
      <c r="L1118" s="711"/>
      <c r="Q1118" s="11"/>
      <c r="R1118" s="11"/>
      <c r="S1118" s="11"/>
      <c r="T1118" s="11"/>
    </row>
    <row r="1119" spans="8:20" x14ac:dyDescent="0.35">
      <c r="H1119" s="711"/>
      <c r="I1119" s="711"/>
      <c r="J1119" s="711"/>
      <c r="K1119" s="711"/>
      <c r="L1119" s="711"/>
      <c r="Q1119" s="11"/>
      <c r="R1119" s="11"/>
      <c r="S1119" s="11"/>
      <c r="T1119" s="11"/>
    </row>
    <row r="1120" spans="8:20" x14ac:dyDescent="0.35">
      <c r="H1120" s="711"/>
      <c r="I1120" s="711"/>
      <c r="J1120" s="711"/>
      <c r="K1120" s="711"/>
      <c r="L1120" s="711"/>
      <c r="Q1120" s="11"/>
      <c r="R1120" s="11"/>
      <c r="S1120" s="11"/>
      <c r="T1120" s="11"/>
    </row>
    <row r="1121" spans="8:20" x14ac:dyDescent="0.35">
      <c r="H1121" s="711"/>
      <c r="I1121" s="711"/>
      <c r="J1121" s="711"/>
      <c r="K1121" s="711"/>
      <c r="L1121" s="711"/>
      <c r="Q1121" s="11"/>
      <c r="R1121" s="11"/>
      <c r="S1121" s="11"/>
      <c r="T1121" s="11"/>
    </row>
    <row r="1122" spans="8:20" x14ac:dyDescent="0.35">
      <c r="H1122" s="711"/>
      <c r="I1122" s="711"/>
      <c r="J1122" s="711"/>
      <c r="K1122" s="711"/>
      <c r="L1122" s="711"/>
      <c r="Q1122" s="11"/>
      <c r="R1122" s="11"/>
      <c r="S1122" s="11"/>
      <c r="T1122" s="11"/>
    </row>
    <row r="1123" spans="8:20" x14ac:dyDescent="0.35">
      <c r="H1123" s="711"/>
      <c r="I1123" s="711"/>
      <c r="J1123" s="711"/>
      <c r="K1123" s="711"/>
      <c r="L1123" s="711"/>
      <c r="Q1123" s="11"/>
      <c r="R1123" s="11"/>
      <c r="S1123" s="11"/>
      <c r="T1123" s="11"/>
    </row>
    <row r="1124" spans="8:20" x14ac:dyDescent="0.35">
      <c r="H1124" s="711"/>
      <c r="I1124" s="711"/>
      <c r="J1124" s="711"/>
      <c r="K1124" s="711"/>
      <c r="L1124" s="711"/>
      <c r="Q1124" s="11"/>
      <c r="R1124" s="11"/>
      <c r="S1124" s="11"/>
      <c r="T1124" s="11"/>
    </row>
    <row r="1125" spans="8:20" x14ac:dyDescent="0.35">
      <c r="H1125" s="711"/>
      <c r="I1125" s="711"/>
      <c r="J1125" s="711"/>
      <c r="K1125" s="711"/>
      <c r="L1125" s="711"/>
      <c r="Q1125" s="11"/>
      <c r="R1125" s="11"/>
      <c r="S1125" s="11"/>
      <c r="T1125" s="11"/>
    </row>
    <row r="1126" spans="8:20" x14ac:dyDescent="0.35">
      <c r="H1126" s="711"/>
      <c r="I1126" s="711"/>
      <c r="J1126" s="711"/>
      <c r="K1126" s="711"/>
      <c r="L1126" s="711"/>
      <c r="Q1126" s="11"/>
      <c r="R1126" s="11"/>
      <c r="S1126" s="11"/>
      <c r="T1126" s="11"/>
    </row>
    <row r="1127" spans="8:20" x14ac:dyDescent="0.35">
      <c r="H1127" s="711"/>
      <c r="I1127" s="711"/>
      <c r="J1127" s="711"/>
      <c r="K1127" s="711"/>
      <c r="L1127" s="711"/>
      <c r="Q1127" s="11"/>
      <c r="R1127" s="11"/>
      <c r="S1127" s="11"/>
      <c r="T1127" s="11"/>
    </row>
    <row r="1128" spans="8:20" x14ac:dyDescent="0.35">
      <c r="H1128" s="711"/>
      <c r="I1128" s="711"/>
      <c r="J1128" s="711"/>
      <c r="K1128" s="711"/>
      <c r="L1128" s="711"/>
      <c r="Q1128" s="11"/>
      <c r="R1128" s="11"/>
      <c r="S1128" s="11"/>
      <c r="T1128" s="11"/>
    </row>
    <row r="1129" spans="8:20" x14ac:dyDescent="0.35">
      <c r="H1129" s="711"/>
      <c r="I1129" s="711"/>
      <c r="J1129" s="711"/>
      <c r="K1129" s="711"/>
      <c r="L1129" s="711"/>
      <c r="Q1129" s="11"/>
      <c r="R1129" s="11"/>
      <c r="S1129" s="11"/>
      <c r="T1129" s="11"/>
    </row>
    <row r="1130" spans="8:20" x14ac:dyDescent="0.35">
      <c r="H1130" s="711"/>
      <c r="I1130" s="711"/>
      <c r="J1130" s="711"/>
      <c r="K1130" s="711"/>
      <c r="L1130" s="711"/>
      <c r="Q1130" s="11"/>
      <c r="R1130" s="11"/>
      <c r="S1130" s="11"/>
      <c r="T1130" s="11"/>
    </row>
    <row r="1131" spans="8:20" x14ac:dyDescent="0.35">
      <c r="H1131" s="711"/>
      <c r="I1131" s="711"/>
      <c r="J1131" s="711"/>
      <c r="K1131" s="711"/>
      <c r="L1131" s="711"/>
      <c r="Q1131" s="11"/>
      <c r="R1131" s="11"/>
      <c r="S1131" s="11"/>
      <c r="T1131" s="11"/>
    </row>
    <row r="1132" spans="8:20" x14ac:dyDescent="0.35">
      <c r="H1132" s="711"/>
      <c r="I1132" s="711"/>
      <c r="J1132" s="711"/>
      <c r="K1132" s="711"/>
      <c r="L1132" s="711"/>
      <c r="Q1132" s="11"/>
      <c r="R1132" s="11"/>
      <c r="S1132" s="11"/>
      <c r="T1132" s="11"/>
    </row>
    <row r="1133" spans="8:20" x14ac:dyDescent="0.35">
      <c r="H1133" s="711"/>
      <c r="I1133" s="711"/>
      <c r="J1133" s="711"/>
      <c r="K1133" s="711"/>
      <c r="L1133" s="711"/>
      <c r="Q1133" s="11"/>
      <c r="R1133" s="11"/>
      <c r="S1133" s="11"/>
      <c r="T1133" s="11"/>
    </row>
    <row r="1134" spans="8:20" x14ac:dyDescent="0.35">
      <c r="H1134" s="711"/>
      <c r="I1134" s="711"/>
      <c r="J1134" s="711"/>
      <c r="K1134" s="711"/>
      <c r="L1134" s="711"/>
      <c r="Q1134" s="11"/>
      <c r="R1134" s="11"/>
      <c r="S1134" s="11"/>
      <c r="T1134" s="11"/>
    </row>
    <row r="1135" spans="8:20" x14ac:dyDescent="0.35">
      <c r="H1135" s="711"/>
      <c r="I1135" s="711"/>
      <c r="J1135" s="711"/>
      <c r="K1135" s="711"/>
      <c r="L1135" s="711"/>
      <c r="Q1135" s="11"/>
      <c r="R1135" s="11"/>
      <c r="S1135" s="11"/>
      <c r="T1135" s="11"/>
    </row>
    <row r="1136" spans="8:20" x14ac:dyDescent="0.35">
      <c r="H1136" s="711"/>
      <c r="I1136" s="711"/>
      <c r="J1136" s="711"/>
      <c r="K1136" s="711"/>
      <c r="L1136" s="711"/>
      <c r="Q1136" s="11"/>
      <c r="R1136" s="11"/>
      <c r="S1136" s="11"/>
      <c r="T1136" s="11"/>
    </row>
    <row r="1137" spans="8:20" x14ac:dyDescent="0.35">
      <c r="H1137" s="711"/>
      <c r="I1137" s="711"/>
      <c r="J1137" s="711"/>
      <c r="K1137" s="711"/>
      <c r="L1137" s="711"/>
      <c r="Q1137" s="11"/>
      <c r="R1137" s="11"/>
      <c r="S1137" s="11"/>
      <c r="T1137" s="11"/>
    </row>
    <row r="1138" spans="8:20" x14ac:dyDescent="0.35">
      <c r="H1138" s="711"/>
      <c r="I1138" s="711"/>
      <c r="J1138" s="711"/>
      <c r="K1138" s="711"/>
      <c r="L1138" s="711"/>
      <c r="Q1138" s="11"/>
      <c r="R1138" s="11"/>
      <c r="S1138" s="11"/>
      <c r="T1138" s="11"/>
    </row>
    <row r="1139" spans="8:20" x14ac:dyDescent="0.35">
      <c r="H1139" s="711"/>
      <c r="I1139" s="711"/>
      <c r="J1139" s="711"/>
      <c r="K1139" s="711"/>
      <c r="L1139" s="711"/>
      <c r="Q1139" s="11"/>
      <c r="R1139" s="11"/>
      <c r="S1139" s="11"/>
      <c r="T1139" s="11"/>
    </row>
    <row r="1140" spans="8:20" x14ac:dyDescent="0.35">
      <c r="H1140" s="711"/>
      <c r="I1140" s="711"/>
      <c r="J1140" s="711"/>
      <c r="K1140" s="711"/>
      <c r="L1140" s="711"/>
      <c r="Q1140" s="11"/>
      <c r="R1140" s="11"/>
      <c r="S1140" s="11"/>
      <c r="T1140" s="11"/>
    </row>
    <row r="1141" spans="8:20" x14ac:dyDescent="0.35">
      <c r="H1141" s="711"/>
      <c r="I1141" s="711"/>
      <c r="J1141" s="711"/>
      <c r="K1141" s="711"/>
      <c r="L1141" s="711"/>
      <c r="Q1141" s="11"/>
      <c r="R1141" s="11"/>
      <c r="S1141" s="11"/>
      <c r="T1141" s="11"/>
    </row>
    <row r="1142" spans="8:20" x14ac:dyDescent="0.35">
      <c r="H1142" s="711"/>
      <c r="I1142" s="711"/>
      <c r="J1142" s="711"/>
      <c r="K1142" s="711"/>
      <c r="L1142" s="711"/>
      <c r="Q1142" s="11"/>
      <c r="R1142" s="11"/>
      <c r="S1142" s="11"/>
      <c r="T1142" s="11"/>
    </row>
    <row r="1143" spans="8:20" x14ac:dyDescent="0.35">
      <c r="H1143" s="711"/>
      <c r="I1143" s="711"/>
      <c r="J1143" s="711"/>
      <c r="K1143" s="711"/>
      <c r="L1143" s="711"/>
      <c r="Q1143" s="11"/>
      <c r="R1143" s="11"/>
      <c r="S1143" s="11"/>
      <c r="T1143" s="11"/>
    </row>
    <row r="1144" spans="8:20" x14ac:dyDescent="0.35">
      <c r="H1144" s="711"/>
      <c r="I1144" s="711"/>
      <c r="J1144" s="711"/>
      <c r="K1144" s="711"/>
      <c r="L1144" s="711"/>
      <c r="Q1144" s="11"/>
      <c r="R1144" s="11"/>
      <c r="S1144" s="11"/>
      <c r="T1144" s="11"/>
    </row>
    <row r="1145" spans="8:20" x14ac:dyDescent="0.35">
      <c r="H1145" s="711"/>
      <c r="I1145" s="711"/>
      <c r="J1145" s="711"/>
      <c r="K1145" s="711"/>
      <c r="L1145" s="711"/>
      <c r="Q1145" s="11"/>
      <c r="R1145" s="11"/>
      <c r="S1145" s="11"/>
      <c r="T1145" s="11"/>
    </row>
    <row r="1146" spans="8:20" x14ac:dyDescent="0.35">
      <c r="H1146" s="711"/>
      <c r="I1146" s="711"/>
      <c r="J1146" s="711"/>
      <c r="K1146" s="711"/>
      <c r="L1146" s="711"/>
      <c r="Q1146" s="11"/>
      <c r="R1146" s="11"/>
      <c r="S1146" s="11"/>
      <c r="T1146" s="11"/>
    </row>
    <row r="1147" spans="8:20" x14ac:dyDescent="0.35">
      <c r="H1147" s="711"/>
      <c r="I1147" s="711"/>
      <c r="J1147" s="711"/>
      <c r="K1147" s="711"/>
      <c r="L1147" s="711"/>
      <c r="Q1147" s="11"/>
      <c r="R1147" s="11"/>
      <c r="S1147" s="11"/>
      <c r="T1147" s="11"/>
    </row>
    <row r="1148" spans="8:20" x14ac:dyDescent="0.35">
      <c r="H1148" s="711"/>
      <c r="I1148" s="711"/>
      <c r="J1148" s="711"/>
      <c r="K1148" s="711"/>
      <c r="L1148" s="711"/>
      <c r="Q1148" s="11"/>
      <c r="R1148" s="11"/>
      <c r="S1148" s="11"/>
      <c r="T1148" s="11"/>
    </row>
    <row r="1149" spans="8:20" x14ac:dyDescent="0.35">
      <c r="H1149" s="711"/>
      <c r="I1149" s="711"/>
      <c r="J1149" s="711"/>
      <c r="K1149" s="711"/>
      <c r="L1149" s="711"/>
      <c r="Q1149" s="11"/>
      <c r="R1149" s="11"/>
      <c r="S1149" s="11"/>
      <c r="T1149" s="11"/>
    </row>
    <row r="1150" spans="8:20" x14ac:dyDescent="0.35">
      <c r="H1150" s="711"/>
      <c r="I1150" s="711"/>
      <c r="J1150" s="711"/>
      <c r="K1150" s="711"/>
      <c r="L1150" s="711"/>
      <c r="Q1150" s="11"/>
      <c r="R1150" s="11"/>
      <c r="S1150" s="11"/>
      <c r="T1150" s="11"/>
    </row>
    <row r="1151" spans="8:20" x14ac:dyDescent="0.35">
      <c r="H1151" s="711"/>
      <c r="I1151" s="711"/>
      <c r="J1151" s="711"/>
      <c r="K1151" s="711"/>
      <c r="L1151" s="711"/>
      <c r="Q1151" s="11"/>
      <c r="R1151" s="11"/>
      <c r="S1151" s="11"/>
      <c r="T1151" s="11"/>
    </row>
    <row r="1152" spans="8:20" x14ac:dyDescent="0.35">
      <c r="H1152" s="711"/>
      <c r="I1152" s="711"/>
      <c r="J1152" s="711"/>
      <c r="K1152" s="711"/>
      <c r="L1152" s="711"/>
      <c r="Q1152" s="11"/>
      <c r="R1152" s="11"/>
      <c r="S1152" s="11"/>
      <c r="T1152" s="11"/>
    </row>
    <row r="1153" spans="8:20" x14ac:dyDescent="0.35">
      <c r="H1153" s="711"/>
      <c r="I1153" s="711"/>
      <c r="J1153" s="711"/>
      <c r="K1153" s="711"/>
      <c r="L1153" s="711"/>
      <c r="Q1153" s="11"/>
      <c r="R1153" s="11"/>
      <c r="S1153" s="11"/>
      <c r="T1153" s="11"/>
    </row>
    <row r="1154" spans="8:20" x14ac:dyDescent="0.35">
      <c r="H1154" s="711"/>
      <c r="I1154" s="711"/>
      <c r="J1154" s="711"/>
      <c r="K1154" s="711"/>
      <c r="L1154" s="711"/>
      <c r="Q1154" s="11"/>
      <c r="R1154" s="11"/>
      <c r="S1154" s="11"/>
      <c r="T1154" s="11"/>
    </row>
    <row r="1155" spans="8:20" x14ac:dyDescent="0.35">
      <c r="H1155" s="711"/>
      <c r="I1155" s="711"/>
      <c r="J1155" s="711"/>
      <c r="K1155" s="711"/>
      <c r="L1155" s="711"/>
      <c r="Q1155" s="11"/>
      <c r="R1155" s="11"/>
      <c r="S1155" s="11"/>
      <c r="T1155" s="11"/>
    </row>
    <row r="1156" spans="8:20" x14ac:dyDescent="0.35">
      <c r="H1156" s="711"/>
      <c r="I1156" s="711"/>
      <c r="J1156" s="711"/>
      <c r="K1156" s="711"/>
      <c r="L1156" s="711"/>
      <c r="Q1156" s="11"/>
      <c r="R1156" s="11"/>
      <c r="S1156" s="11"/>
      <c r="T1156" s="11"/>
    </row>
    <row r="1157" spans="8:20" x14ac:dyDescent="0.35">
      <c r="H1157" s="711"/>
      <c r="I1157" s="711"/>
      <c r="J1157" s="711"/>
      <c r="K1157" s="711"/>
      <c r="L1157" s="711"/>
      <c r="Q1157" s="11"/>
      <c r="R1157" s="11"/>
      <c r="S1157" s="11"/>
      <c r="T1157" s="11"/>
    </row>
    <row r="1158" spans="8:20" x14ac:dyDescent="0.35">
      <c r="H1158" s="711"/>
      <c r="I1158" s="711"/>
      <c r="J1158" s="711"/>
      <c r="K1158" s="711"/>
      <c r="L1158" s="711"/>
      <c r="Q1158" s="11"/>
      <c r="R1158" s="11"/>
      <c r="S1158" s="11"/>
      <c r="T1158" s="11"/>
    </row>
    <row r="1159" spans="8:20" x14ac:dyDescent="0.35">
      <c r="H1159" s="711"/>
      <c r="I1159" s="711"/>
      <c r="J1159" s="711"/>
      <c r="K1159" s="711"/>
      <c r="L1159" s="711"/>
      <c r="Q1159" s="11"/>
      <c r="R1159" s="11"/>
      <c r="S1159" s="11"/>
      <c r="T1159" s="11"/>
    </row>
    <row r="1160" spans="8:20" x14ac:dyDescent="0.35">
      <c r="H1160" s="711"/>
      <c r="I1160" s="711"/>
      <c r="J1160" s="711"/>
      <c r="K1160" s="711"/>
      <c r="L1160" s="711"/>
      <c r="Q1160" s="11"/>
      <c r="R1160" s="11"/>
      <c r="S1160" s="11"/>
      <c r="T1160" s="11"/>
    </row>
    <row r="1161" spans="8:20" x14ac:dyDescent="0.35">
      <c r="H1161" s="711"/>
      <c r="I1161" s="711"/>
      <c r="J1161" s="711"/>
      <c r="K1161" s="711"/>
      <c r="L1161" s="711"/>
      <c r="Q1161" s="11"/>
      <c r="R1161" s="11"/>
      <c r="S1161" s="11"/>
      <c r="T1161" s="11"/>
    </row>
    <row r="1162" spans="8:20" x14ac:dyDescent="0.35">
      <c r="H1162" s="711"/>
      <c r="I1162" s="711"/>
      <c r="J1162" s="711"/>
      <c r="K1162" s="711"/>
      <c r="L1162" s="711"/>
      <c r="Q1162" s="11"/>
      <c r="R1162" s="11"/>
      <c r="S1162" s="11"/>
      <c r="T1162" s="11"/>
    </row>
    <row r="1163" spans="8:20" x14ac:dyDescent="0.35">
      <c r="H1163" s="711"/>
      <c r="I1163" s="711"/>
      <c r="J1163" s="711"/>
      <c r="K1163" s="711"/>
      <c r="L1163" s="711"/>
      <c r="Q1163" s="11"/>
      <c r="R1163" s="11"/>
      <c r="S1163" s="11"/>
      <c r="T1163" s="11"/>
    </row>
    <row r="1164" spans="8:20" x14ac:dyDescent="0.35">
      <c r="H1164" s="711"/>
      <c r="I1164" s="711"/>
      <c r="J1164" s="711"/>
      <c r="K1164" s="711"/>
      <c r="L1164" s="711"/>
      <c r="Q1164" s="11"/>
      <c r="R1164" s="11"/>
      <c r="S1164" s="11"/>
      <c r="T1164" s="11"/>
    </row>
    <row r="1165" spans="8:20" x14ac:dyDescent="0.35">
      <c r="H1165" s="711"/>
      <c r="I1165" s="711"/>
      <c r="J1165" s="711"/>
      <c r="K1165" s="711"/>
      <c r="L1165" s="711"/>
      <c r="Q1165" s="11"/>
      <c r="R1165" s="11"/>
      <c r="S1165" s="11"/>
      <c r="T1165" s="11"/>
    </row>
    <row r="1166" spans="8:20" x14ac:dyDescent="0.35">
      <c r="H1166" s="711"/>
      <c r="I1166" s="711"/>
      <c r="J1166" s="711"/>
      <c r="K1166" s="711"/>
      <c r="L1166" s="711"/>
      <c r="Q1166" s="11"/>
      <c r="R1166" s="11"/>
      <c r="S1166" s="11"/>
      <c r="T1166" s="11"/>
    </row>
    <row r="1167" spans="8:20" x14ac:dyDescent="0.35">
      <c r="H1167" s="711"/>
      <c r="I1167" s="711"/>
      <c r="J1167" s="711"/>
      <c r="K1167" s="711"/>
      <c r="L1167" s="711"/>
      <c r="Q1167" s="11"/>
      <c r="R1167" s="11"/>
      <c r="S1167" s="11"/>
      <c r="T1167" s="11"/>
    </row>
    <row r="1168" spans="8:20" x14ac:dyDescent="0.35">
      <c r="H1168" s="711"/>
      <c r="I1168" s="711"/>
      <c r="J1168" s="711"/>
      <c r="K1168" s="711"/>
      <c r="L1168" s="711"/>
      <c r="Q1168" s="11"/>
      <c r="R1168" s="11"/>
      <c r="S1168" s="11"/>
      <c r="T1168" s="11"/>
    </row>
    <row r="1169" spans="8:20" x14ac:dyDescent="0.35">
      <c r="H1169" s="711"/>
      <c r="I1169" s="711"/>
      <c r="J1169" s="711"/>
      <c r="K1169" s="711"/>
      <c r="L1169" s="711"/>
      <c r="Q1169" s="11"/>
      <c r="R1169" s="11"/>
      <c r="S1169" s="11"/>
      <c r="T1169" s="11"/>
    </row>
    <row r="1170" spans="8:20" x14ac:dyDescent="0.35">
      <c r="H1170" s="711"/>
      <c r="I1170" s="711"/>
      <c r="J1170" s="711"/>
      <c r="K1170" s="711"/>
      <c r="L1170" s="711"/>
      <c r="Q1170" s="11"/>
      <c r="R1170" s="11"/>
      <c r="S1170" s="11"/>
      <c r="T1170" s="11"/>
    </row>
    <row r="1171" spans="8:20" x14ac:dyDescent="0.35">
      <c r="H1171" s="711"/>
      <c r="I1171" s="711"/>
      <c r="J1171" s="711"/>
      <c r="K1171" s="711"/>
      <c r="L1171" s="711"/>
      <c r="Q1171" s="11"/>
      <c r="R1171" s="11"/>
      <c r="S1171" s="11"/>
      <c r="T1171" s="11"/>
    </row>
    <row r="1172" spans="8:20" x14ac:dyDescent="0.35">
      <c r="H1172" s="711"/>
      <c r="I1172" s="711"/>
      <c r="J1172" s="711"/>
      <c r="K1172" s="711"/>
      <c r="L1172" s="711"/>
      <c r="Q1172" s="11"/>
      <c r="R1172" s="11"/>
      <c r="S1172" s="11"/>
      <c r="T1172" s="11"/>
    </row>
    <row r="1173" spans="8:20" x14ac:dyDescent="0.35">
      <c r="H1173" s="711"/>
      <c r="I1173" s="711"/>
      <c r="J1173" s="711"/>
      <c r="K1173" s="711"/>
      <c r="L1173" s="711"/>
      <c r="Q1173" s="11"/>
      <c r="R1173" s="11"/>
      <c r="S1173" s="11"/>
      <c r="T1173" s="11"/>
    </row>
    <row r="1174" spans="8:20" x14ac:dyDescent="0.35">
      <c r="H1174" s="711"/>
      <c r="I1174" s="711"/>
      <c r="J1174" s="711"/>
      <c r="K1174" s="711"/>
      <c r="L1174" s="711"/>
      <c r="Q1174" s="11"/>
      <c r="R1174" s="11"/>
      <c r="S1174" s="11"/>
      <c r="T1174" s="11"/>
    </row>
    <row r="1175" spans="8:20" x14ac:dyDescent="0.35">
      <c r="H1175" s="711"/>
      <c r="I1175" s="711"/>
      <c r="J1175" s="711"/>
      <c r="K1175" s="711"/>
      <c r="L1175" s="711"/>
      <c r="Q1175" s="11"/>
      <c r="R1175" s="11"/>
      <c r="S1175" s="11"/>
      <c r="T1175" s="11"/>
    </row>
    <row r="1176" spans="8:20" x14ac:dyDescent="0.35">
      <c r="H1176" s="711"/>
      <c r="I1176" s="711"/>
      <c r="J1176" s="711"/>
      <c r="K1176" s="711"/>
      <c r="L1176" s="711"/>
      <c r="Q1176" s="11"/>
      <c r="R1176" s="11"/>
      <c r="S1176" s="11"/>
      <c r="T1176" s="11"/>
    </row>
    <row r="1177" spans="8:20" x14ac:dyDescent="0.35">
      <c r="H1177" s="711"/>
      <c r="I1177" s="711"/>
      <c r="J1177" s="711"/>
      <c r="K1177" s="711"/>
      <c r="L1177" s="711"/>
      <c r="Q1177" s="11"/>
      <c r="R1177" s="11"/>
      <c r="S1177" s="11"/>
      <c r="T1177" s="11"/>
    </row>
    <row r="1178" spans="8:20" x14ac:dyDescent="0.35">
      <c r="H1178" s="711"/>
      <c r="I1178" s="711"/>
      <c r="J1178" s="711"/>
      <c r="K1178" s="711"/>
      <c r="L1178" s="711"/>
      <c r="Q1178" s="11"/>
      <c r="R1178" s="11"/>
      <c r="S1178" s="11"/>
      <c r="T1178" s="11"/>
    </row>
    <row r="1179" spans="8:20" x14ac:dyDescent="0.35">
      <c r="H1179" s="711"/>
      <c r="I1179" s="711"/>
      <c r="J1179" s="711"/>
      <c r="K1179" s="711"/>
      <c r="L1179" s="711"/>
      <c r="Q1179" s="11"/>
      <c r="R1179" s="11"/>
      <c r="S1179" s="11"/>
      <c r="T1179" s="11"/>
    </row>
    <row r="1180" spans="8:20" x14ac:dyDescent="0.35">
      <c r="H1180" s="711"/>
      <c r="I1180" s="711"/>
      <c r="J1180" s="711"/>
      <c r="K1180" s="711"/>
      <c r="L1180" s="711"/>
      <c r="Q1180" s="11"/>
      <c r="R1180" s="11"/>
      <c r="S1180" s="11"/>
      <c r="T1180" s="11"/>
    </row>
    <row r="1181" spans="8:20" x14ac:dyDescent="0.35">
      <c r="H1181" s="711"/>
      <c r="I1181" s="711"/>
      <c r="J1181" s="711"/>
      <c r="K1181" s="711"/>
      <c r="L1181" s="711"/>
      <c r="Q1181" s="11"/>
      <c r="R1181" s="11"/>
      <c r="S1181" s="11"/>
      <c r="T1181" s="11"/>
    </row>
    <row r="1182" spans="8:20" x14ac:dyDescent="0.35">
      <c r="H1182" s="711"/>
      <c r="I1182" s="711"/>
      <c r="J1182" s="711"/>
      <c r="K1182" s="711"/>
      <c r="L1182" s="711"/>
      <c r="Q1182" s="11"/>
      <c r="R1182" s="11"/>
      <c r="S1182" s="11"/>
      <c r="T1182" s="11"/>
    </row>
    <row r="1183" spans="8:20" x14ac:dyDescent="0.35">
      <c r="H1183" s="711"/>
      <c r="I1183" s="711"/>
      <c r="J1183" s="711"/>
      <c r="K1183" s="711"/>
      <c r="L1183" s="711"/>
      <c r="Q1183" s="11"/>
      <c r="R1183" s="11"/>
      <c r="S1183" s="11"/>
      <c r="T1183" s="11"/>
    </row>
    <row r="1184" spans="8:20" x14ac:dyDescent="0.35">
      <c r="H1184" s="711"/>
      <c r="I1184" s="711"/>
      <c r="J1184" s="711"/>
      <c r="K1184" s="711"/>
      <c r="L1184" s="711"/>
      <c r="Q1184" s="11"/>
      <c r="R1184" s="11"/>
      <c r="S1184" s="11"/>
      <c r="T1184" s="11"/>
    </row>
    <row r="1185" spans="8:20" x14ac:dyDescent="0.35">
      <c r="H1185" s="711"/>
      <c r="I1185" s="711"/>
      <c r="J1185" s="711"/>
      <c r="K1185" s="711"/>
      <c r="L1185" s="711"/>
      <c r="Q1185" s="11"/>
      <c r="R1185" s="11"/>
      <c r="S1185" s="11"/>
      <c r="T1185" s="11"/>
    </row>
    <row r="1186" spans="8:20" x14ac:dyDescent="0.35">
      <c r="H1186" s="711"/>
      <c r="I1186" s="711"/>
      <c r="J1186" s="711"/>
      <c r="K1186" s="711"/>
      <c r="L1186" s="711"/>
      <c r="Q1186" s="11"/>
      <c r="R1186" s="11"/>
      <c r="S1186" s="11"/>
      <c r="T1186" s="11"/>
    </row>
    <row r="1187" spans="8:20" x14ac:dyDescent="0.35">
      <c r="H1187" s="711"/>
      <c r="I1187" s="711"/>
      <c r="J1187" s="711"/>
      <c r="K1187" s="711"/>
      <c r="L1187" s="711"/>
      <c r="Q1187" s="11"/>
      <c r="R1187" s="11"/>
      <c r="S1187" s="11"/>
      <c r="T1187" s="11"/>
    </row>
    <row r="1188" spans="8:20" x14ac:dyDescent="0.35">
      <c r="H1188" s="711"/>
      <c r="I1188" s="711"/>
      <c r="J1188" s="711"/>
      <c r="K1188" s="711"/>
      <c r="L1188" s="711"/>
      <c r="Q1188" s="11"/>
      <c r="R1188" s="11"/>
      <c r="S1188" s="11"/>
      <c r="T1188" s="11"/>
    </row>
    <row r="1189" spans="8:20" x14ac:dyDescent="0.35">
      <c r="H1189" s="711"/>
      <c r="I1189" s="711"/>
      <c r="J1189" s="711"/>
      <c r="K1189" s="711"/>
      <c r="L1189" s="711"/>
      <c r="Q1189" s="11"/>
      <c r="R1189" s="11"/>
      <c r="S1189" s="11"/>
      <c r="T1189" s="11"/>
    </row>
    <row r="1190" spans="8:20" x14ac:dyDescent="0.35">
      <c r="H1190" s="711"/>
      <c r="I1190" s="711"/>
      <c r="J1190" s="711"/>
      <c r="K1190" s="711"/>
      <c r="L1190" s="711"/>
      <c r="Q1190" s="11"/>
      <c r="R1190" s="11"/>
      <c r="S1190" s="11"/>
      <c r="T1190" s="11"/>
    </row>
    <row r="1191" spans="8:20" x14ac:dyDescent="0.35">
      <c r="H1191" s="711"/>
      <c r="I1191" s="711"/>
      <c r="J1191" s="711"/>
      <c r="K1191" s="711"/>
      <c r="L1191" s="711"/>
      <c r="Q1191" s="11"/>
      <c r="R1191" s="11"/>
      <c r="S1191" s="11"/>
      <c r="T1191" s="11"/>
    </row>
    <row r="1192" spans="8:20" x14ac:dyDescent="0.35">
      <c r="H1192" s="711"/>
      <c r="I1192" s="711"/>
      <c r="J1192" s="711"/>
      <c r="K1192" s="711"/>
      <c r="L1192" s="711"/>
      <c r="Q1192" s="11"/>
      <c r="R1192" s="11"/>
      <c r="S1192" s="11"/>
      <c r="T1192" s="11"/>
    </row>
    <row r="1193" spans="8:20" x14ac:dyDescent="0.35">
      <c r="H1193" s="711"/>
      <c r="I1193" s="711"/>
      <c r="J1193" s="711"/>
      <c r="K1193" s="711"/>
      <c r="L1193" s="711"/>
      <c r="Q1193" s="11"/>
      <c r="R1193" s="11"/>
      <c r="S1193" s="11"/>
      <c r="T1193" s="11"/>
    </row>
    <row r="1194" spans="8:20" x14ac:dyDescent="0.35">
      <c r="H1194" s="711"/>
      <c r="I1194" s="711"/>
      <c r="J1194" s="711"/>
      <c r="K1194" s="711"/>
      <c r="L1194" s="711"/>
      <c r="Q1194" s="11"/>
      <c r="R1194" s="11"/>
      <c r="S1194" s="11"/>
      <c r="T1194" s="11"/>
    </row>
    <row r="1195" spans="8:20" x14ac:dyDescent="0.35">
      <c r="H1195" s="711"/>
      <c r="I1195" s="711"/>
      <c r="J1195" s="711"/>
      <c r="K1195" s="711"/>
      <c r="L1195" s="711"/>
      <c r="Q1195" s="11"/>
      <c r="R1195" s="11"/>
      <c r="S1195" s="11"/>
      <c r="T1195" s="11"/>
    </row>
    <row r="1196" spans="8:20" x14ac:dyDescent="0.35">
      <c r="H1196" s="711"/>
      <c r="I1196" s="711"/>
      <c r="J1196" s="711"/>
      <c r="K1196" s="711"/>
      <c r="L1196" s="711"/>
      <c r="Q1196" s="11"/>
      <c r="R1196" s="11"/>
      <c r="S1196" s="11"/>
      <c r="T1196" s="11"/>
    </row>
    <row r="1197" spans="8:20" x14ac:dyDescent="0.35">
      <c r="H1197" s="711"/>
      <c r="I1197" s="711"/>
      <c r="J1197" s="711"/>
      <c r="K1197" s="711"/>
      <c r="L1197" s="711"/>
      <c r="Q1197" s="11"/>
      <c r="R1197" s="11"/>
      <c r="S1197" s="11"/>
      <c r="T1197" s="11"/>
    </row>
    <row r="1198" spans="8:20" x14ac:dyDescent="0.35">
      <c r="H1198" s="711"/>
      <c r="I1198" s="711"/>
      <c r="J1198" s="711"/>
      <c r="K1198" s="711"/>
      <c r="L1198" s="711"/>
      <c r="Q1198" s="11"/>
      <c r="R1198" s="11"/>
      <c r="S1198" s="11"/>
      <c r="T1198" s="11"/>
    </row>
    <row r="1199" spans="8:20" x14ac:dyDescent="0.35">
      <c r="H1199" s="711"/>
      <c r="I1199" s="711"/>
      <c r="J1199" s="711"/>
      <c r="K1199" s="711"/>
      <c r="L1199" s="711"/>
      <c r="Q1199" s="11"/>
      <c r="R1199" s="11"/>
      <c r="S1199" s="11"/>
      <c r="T1199" s="11"/>
    </row>
    <row r="1200" spans="8:20" x14ac:dyDescent="0.35">
      <c r="H1200" s="711"/>
      <c r="I1200" s="711"/>
      <c r="J1200" s="711"/>
      <c r="K1200" s="711"/>
      <c r="L1200" s="711"/>
      <c r="Q1200" s="11"/>
      <c r="R1200" s="11"/>
      <c r="S1200" s="11"/>
      <c r="T1200" s="11"/>
    </row>
    <row r="1201" spans="8:20" x14ac:dyDescent="0.35">
      <c r="H1201" s="711"/>
      <c r="I1201" s="711"/>
      <c r="J1201" s="711"/>
      <c r="K1201" s="711"/>
      <c r="L1201" s="711"/>
      <c r="Q1201" s="11"/>
      <c r="R1201" s="11"/>
      <c r="S1201" s="11"/>
      <c r="T1201" s="11"/>
    </row>
    <row r="1202" spans="8:20" x14ac:dyDescent="0.35">
      <c r="H1202" s="711"/>
      <c r="I1202" s="711"/>
      <c r="J1202" s="711"/>
      <c r="K1202" s="711"/>
      <c r="L1202" s="711"/>
      <c r="Q1202" s="11"/>
      <c r="R1202" s="11"/>
      <c r="S1202" s="11"/>
      <c r="T1202" s="11"/>
    </row>
    <row r="1203" spans="8:20" x14ac:dyDescent="0.35">
      <c r="H1203" s="711"/>
      <c r="I1203" s="711"/>
      <c r="J1203" s="711"/>
      <c r="K1203" s="711"/>
      <c r="L1203" s="711"/>
      <c r="Q1203" s="11"/>
      <c r="R1203" s="11"/>
      <c r="S1203" s="11"/>
      <c r="T1203" s="11"/>
    </row>
    <row r="1204" spans="8:20" x14ac:dyDescent="0.35">
      <c r="H1204" s="711"/>
      <c r="I1204" s="711"/>
      <c r="J1204" s="711"/>
      <c r="K1204" s="711"/>
      <c r="L1204" s="711"/>
      <c r="Q1204" s="11"/>
      <c r="R1204" s="11"/>
      <c r="S1204" s="11"/>
      <c r="T1204" s="11"/>
    </row>
    <row r="1205" spans="8:20" x14ac:dyDescent="0.35">
      <c r="H1205" s="711"/>
      <c r="I1205" s="711"/>
      <c r="J1205" s="711"/>
      <c r="K1205" s="711"/>
      <c r="L1205" s="711"/>
      <c r="Q1205" s="11"/>
      <c r="R1205" s="11"/>
      <c r="S1205" s="11"/>
      <c r="T1205" s="11"/>
    </row>
    <row r="1206" spans="8:20" x14ac:dyDescent="0.35">
      <c r="H1206" s="711"/>
      <c r="I1206" s="711"/>
      <c r="J1206" s="711"/>
      <c r="K1206" s="711"/>
      <c r="L1206" s="711"/>
      <c r="Q1206" s="11"/>
      <c r="R1206" s="11"/>
      <c r="S1206" s="11"/>
      <c r="T1206" s="11"/>
    </row>
    <row r="1207" spans="8:20" x14ac:dyDescent="0.35">
      <c r="H1207" s="711"/>
      <c r="I1207" s="711"/>
      <c r="J1207" s="711"/>
      <c r="K1207" s="711"/>
      <c r="L1207" s="711"/>
      <c r="Q1207" s="11"/>
      <c r="R1207" s="11"/>
      <c r="S1207" s="11"/>
      <c r="T1207" s="11"/>
    </row>
    <row r="1208" spans="8:20" x14ac:dyDescent="0.35">
      <c r="H1208" s="711"/>
      <c r="I1208" s="711"/>
      <c r="J1208" s="711"/>
      <c r="K1208" s="711"/>
      <c r="L1208" s="711"/>
      <c r="Q1208" s="11"/>
      <c r="R1208" s="11"/>
      <c r="S1208" s="11"/>
      <c r="T1208" s="11"/>
    </row>
    <row r="1209" spans="8:20" x14ac:dyDescent="0.35">
      <c r="H1209" s="711"/>
      <c r="I1209" s="711"/>
      <c r="J1209" s="711"/>
      <c r="K1209" s="711"/>
      <c r="L1209" s="711"/>
      <c r="Q1209" s="11"/>
      <c r="R1209" s="11"/>
      <c r="S1209" s="11"/>
      <c r="T1209" s="11"/>
    </row>
    <row r="1210" spans="8:20" x14ac:dyDescent="0.35">
      <c r="H1210" s="711"/>
      <c r="I1210" s="711"/>
      <c r="J1210" s="711"/>
      <c r="K1210" s="711"/>
      <c r="L1210" s="711"/>
      <c r="Q1210" s="11"/>
      <c r="R1210" s="11"/>
      <c r="S1210" s="11"/>
      <c r="T1210" s="11"/>
    </row>
    <row r="1211" spans="8:20" x14ac:dyDescent="0.35">
      <c r="H1211" s="711"/>
      <c r="I1211" s="711"/>
      <c r="J1211" s="711"/>
      <c r="K1211" s="711"/>
      <c r="L1211" s="711"/>
      <c r="Q1211" s="11"/>
      <c r="R1211" s="11"/>
      <c r="S1211" s="11"/>
      <c r="T1211" s="11"/>
    </row>
    <row r="1212" spans="8:20" x14ac:dyDescent="0.35">
      <c r="H1212" s="711"/>
      <c r="I1212" s="711"/>
      <c r="J1212" s="711"/>
      <c r="K1212" s="711"/>
      <c r="L1212" s="711"/>
      <c r="Q1212" s="11"/>
      <c r="R1212" s="11"/>
      <c r="S1212" s="11"/>
      <c r="T1212" s="11"/>
    </row>
    <row r="1213" spans="8:20" x14ac:dyDescent="0.35">
      <c r="H1213" s="711"/>
      <c r="I1213" s="711"/>
      <c r="J1213" s="711"/>
      <c r="K1213" s="711"/>
      <c r="L1213" s="711"/>
      <c r="Q1213" s="11"/>
      <c r="R1213" s="11"/>
      <c r="S1213" s="11"/>
      <c r="T1213" s="11"/>
    </row>
    <row r="1214" spans="8:20" x14ac:dyDescent="0.35">
      <c r="H1214" s="711"/>
      <c r="I1214" s="711"/>
      <c r="J1214" s="711"/>
      <c r="K1214" s="711"/>
      <c r="L1214" s="711"/>
      <c r="Q1214" s="11"/>
      <c r="R1214" s="11"/>
      <c r="S1214" s="11"/>
      <c r="T1214" s="11"/>
    </row>
    <row r="1215" spans="8:20" x14ac:dyDescent="0.35">
      <c r="H1215" s="711"/>
      <c r="I1215" s="711"/>
      <c r="J1215" s="711"/>
      <c r="K1215" s="711"/>
      <c r="L1215" s="711"/>
      <c r="Q1215" s="11"/>
      <c r="R1215" s="11"/>
      <c r="S1215" s="11"/>
      <c r="T1215" s="11"/>
    </row>
    <row r="1216" spans="8:20" x14ac:dyDescent="0.35">
      <c r="H1216" s="711"/>
      <c r="I1216" s="711"/>
      <c r="J1216" s="711"/>
      <c r="K1216" s="711"/>
      <c r="L1216" s="711"/>
      <c r="Q1216" s="11"/>
      <c r="R1216" s="11"/>
      <c r="S1216" s="11"/>
      <c r="T1216" s="11"/>
    </row>
    <row r="1217" spans="8:20" x14ac:dyDescent="0.35">
      <c r="H1217" s="711"/>
      <c r="I1217" s="711"/>
      <c r="J1217" s="711"/>
      <c r="K1217" s="711"/>
      <c r="L1217" s="711"/>
      <c r="Q1217" s="11"/>
      <c r="R1217" s="11"/>
      <c r="S1217" s="11"/>
      <c r="T1217" s="11"/>
    </row>
    <row r="1218" spans="8:20" x14ac:dyDescent="0.35">
      <c r="H1218" s="711"/>
      <c r="I1218" s="711"/>
      <c r="J1218" s="711"/>
      <c r="K1218" s="711"/>
      <c r="L1218" s="711"/>
      <c r="Q1218" s="11"/>
      <c r="R1218" s="11"/>
      <c r="S1218" s="11"/>
      <c r="T1218" s="11"/>
    </row>
    <row r="1219" spans="8:20" x14ac:dyDescent="0.35">
      <c r="H1219" s="711"/>
      <c r="I1219" s="711"/>
      <c r="J1219" s="711"/>
      <c r="K1219" s="711"/>
      <c r="L1219" s="711"/>
      <c r="Q1219" s="11"/>
      <c r="R1219" s="11"/>
      <c r="S1219" s="11"/>
      <c r="T1219" s="11"/>
    </row>
    <row r="1220" spans="8:20" x14ac:dyDescent="0.35">
      <c r="H1220" s="711"/>
      <c r="I1220" s="711"/>
      <c r="J1220" s="711"/>
      <c r="K1220" s="711"/>
      <c r="L1220" s="711"/>
      <c r="Q1220" s="11"/>
      <c r="R1220" s="11"/>
      <c r="S1220" s="11"/>
      <c r="T1220" s="11"/>
    </row>
    <row r="1221" spans="8:20" x14ac:dyDescent="0.35">
      <c r="H1221" s="711"/>
      <c r="I1221" s="711"/>
      <c r="J1221" s="711"/>
      <c r="K1221" s="711"/>
      <c r="L1221" s="711"/>
      <c r="Q1221" s="11"/>
      <c r="R1221" s="11"/>
      <c r="S1221" s="11"/>
      <c r="T1221" s="11"/>
    </row>
    <row r="1222" spans="8:20" x14ac:dyDescent="0.35">
      <c r="H1222" s="711"/>
      <c r="I1222" s="711"/>
      <c r="J1222" s="711"/>
      <c r="K1222" s="711"/>
      <c r="L1222" s="711"/>
      <c r="Q1222" s="11"/>
      <c r="R1222" s="11"/>
      <c r="S1222" s="11"/>
      <c r="T1222" s="11"/>
    </row>
    <row r="1223" spans="8:20" x14ac:dyDescent="0.35">
      <c r="H1223" s="711"/>
      <c r="I1223" s="711"/>
      <c r="J1223" s="711"/>
      <c r="K1223" s="711"/>
      <c r="L1223" s="711"/>
      <c r="Q1223" s="11"/>
      <c r="R1223" s="11"/>
      <c r="S1223" s="11"/>
      <c r="T1223" s="11"/>
    </row>
    <row r="1224" spans="8:20" x14ac:dyDescent="0.35">
      <c r="H1224" s="711"/>
      <c r="I1224" s="711"/>
      <c r="J1224" s="711"/>
      <c r="K1224" s="711"/>
      <c r="L1224" s="711"/>
      <c r="Q1224" s="11"/>
      <c r="R1224" s="11"/>
      <c r="S1224" s="11"/>
      <c r="T1224" s="11"/>
    </row>
    <row r="1225" spans="8:20" x14ac:dyDescent="0.35">
      <c r="H1225" s="711"/>
      <c r="I1225" s="711"/>
      <c r="J1225" s="711"/>
      <c r="K1225" s="711"/>
      <c r="L1225" s="711"/>
      <c r="Q1225" s="11"/>
      <c r="R1225" s="11"/>
      <c r="S1225" s="11"/>
      <c r="T1225" s="11"/>
    </row>
    <row r="1226" spans="8:20" x14ac:dyDescent="0.35">
      <c r="H1226" s="711"/>
      <c r="I1226" s="711"/>
      <c r="J1226" s="711"/>
      <c r="K1226" s="711"/>
      <c r="L1226" s="711"/>
      <c r="Q1226" s="11"/>
      <c r="R1226" s="11"/>
      <c r="S1226" s="11"/>
      <c r="T1226" s="11"/>
    </row>
    <row r="1227" spans="8:20" x14ac:dyDescent="0.35">
      <c r="H1227" s="711"/>
      <c r="I1227" s="711"/>
      <c r="J1227" s="711"/>
      <c r="K1227" s="711"/>
      <c r="L1227" s="711"/>
      <c r="Q1227" s="11"/>
      <c r="R1227" s="11"/>
      <c r="S1227" s="11"/>
      <c r="T1227" s="11"/>
    </row>
    <row r="1228" spans="8:20" x14ac:dyDescent="0.35">
      <c r="H1228" s="711"/>
      <c r="I1228" s="711"/>
      <c r="J1228" s="711"/>
      <c r="K1228" s="711"/>
      <c r="L1228" s="711"/>
      <c r="Q1228" s="11"/>
      <c r="R1228" s="11"/>
      <c r="S1228" s="11"/>
      <c r="T1228" s="11"/>
    </row>
    <row r="1229" spans="8:20" x14ac:dyDescent="0.35">
      <c r="H1229" s="711"/>
      <c r="I1229" s="711"/>
      <c r="J1229" s="711"/>
      <c r="K1229" s="711"/>
      <c r="L1229" s="711"/>
      <c r="Q1229" s="11"/>
      <c r="R1229" s="11"/>
      <c r="S1229" s="11"/>
      <c r="T1229" s="11"/>
    </row>
    <row r="1230" spans="8:20" x14ac:dyDescent="0.35">
      <c r="H1230" s="711"/>
      <c r="I1230" s="711"/>
      <c r="J1230" s="711"/>
      <c r="K1230" s="711"/>
      <c r="L1230" s="711"/>
      <c r="Q1230" s="11"/>
      <c r="R1230" s="11"/>
      <c r="S1230" s="11"/>
      <c r="T1230" s="11"/>
    </row>
    <row r="1231" spans="8:20" x14ac:dyDescent="0.35">
      <c r="H1231" s="711"/>
      <c r="I1231" s="711"/>
      <c r="J1231" s="711"/>
      <c r="K1231" s="711"/>
      <c r="L1231" s="711"/>
      <c r="Q1231" s="11"/>
      <c r="R1231" s="11"/>
      <c r="S1231" s="11"/>
      <c r="T1231" s="11"/>
    </row>
    <row r="1232" spans="8:20" x14ac:dyDescent="0.35">
      <c r="H1232" s="711"/>
      <c r="I1232" s="711"/>
      <c r="J1232" s="711"/>
      <c r="K1232" s="711"/>
      <c r="L1232" s="711"/>
      <c r="Q1232" s="11"/>
      <c r="R1232" s="11"/>
      <c r="S1232" s="11"/>
      <c r="T1232" s="11"/>
    </row>
    <row r="1233" spans="8:20" x14ac:dyDescent="0.35">
      <c r="H1233" s="711"/>
      <c r="I1233" s="711"/>
      <c r="J1233" s="711"/>
      <c r="K1233" s="711"/>
      <c r="L1233" s="711"/>
      <c r="Q1233" s="11"/>
      <c r="R1233" s="11"/>
      <c r="S1233" s="11"/>
      <c r="T1233" s="11"/>
    </row>
    <row r="1234" spans="8:20" x14ac:dyDescent="0.35">
      <c r="H1234" s="711"/>
      <c r="I1234" s="711"/>
      <c r="J1234" s="711"/>
      <c r="K1234" s="711"/>
      <c r="L1234" s="711"/>
      <c r="Q1234" s="11"/>
      <c r="R1234" s="11"/>
      <c r="S1234" s="11"/>
      <c r="T1234" s="11"/>
    </row>
    <row r="1235" spans="8:20" x14ac:dyDescent="0.35">
      <c r="H1235" s="711"/>
      <c r="I1235" s="711"/>
      <c r="J1235" s="711"/>
      <c r="K1235" s="711"/>
      <c r="L1235" s="711"/>
      <c r="Q1235" s="11"/>
      <c r="R1235" s="11"/>
      <c r="S1235" s="11"/>
      <c r="T1235" s="11"/>
    </row>
    <row r="1236" spans="8:20" x14ac:dyDescent="0.35">
      <c r="H1236" s="711"/>
      <c r="I1236" s="711"/>
      <c r="J1236" s="711"/>
      <c r="K1236" s="711"/>
      <c r="L1236" s="711"/>
      <c r="Q1236" s="11"/>
      <c r="R1236" s="11"/>
      <c r="S1236" s="11"/>
      <c r="T1236" s="11"/>
    </row>
    <row r="1237" spans="8:20" x14ac:dyDescent="0.35">
      <c r="H1237" s="711"/>
      <c r="I1237" s="711"/>
      <c r="J1237" s="711"/>
      <c r="K1237" s="711"/>
      <c r="L1237" s="711"/>
      <c r="Q1237" s="11"/>
      <c r="R1237" s="11"/>
      <c r="S1237" s="11"/>
      <c r="T1237" s="11"/>
    </row>
    <row r="1238" spans="8:20" x14ac:dyDescent="0.35">
      <c r="H1238" s="711"/>
      <c r="I1238" s="711"/>
      <c r="J1238" s="711"/>
      <c r="K1238" s="711"/>
      <c r="L1238" s="711"/>
      <c r="Q1238" s="11"/>
      <c r="R1238" s="11"/>
      <c r="S1238" s="11"/>
      <c r="T1238" s="11"/>
    </row>
    <row r="1239" spans="8:20" x14ac:dyDescent="0.35">
      <c r="H1239" s="711"/>
      <c r="I1239" s="711"/>
      <c r="J1239" s="711"/>
      <c r="K1239" s="711"/>
      <c r="L1239" s="711"/>
      <c r="Q1239" s="11"/>
      <c r="R1239" s="11"/>
      <c r="S1239" s="11"/>
      <c r="T1239" s="11"/>
    </row>
    <row r="1240" spans="8:20" x14ac:dyDescent="0.35">
      <c r="H1240" s="711"/>
      <c r="I1240" s="711"/>
      <c r="J1240" s="711"/>
      <c r="K1240" s="711"/>
      <c r="L1240" s="711"/>
      <c r="Q1240" s="11"/>
      <c r="R1240" s="11"/>
      <c r="S1240" s="11"/>
      <c r="T1240" s="11"/>
    </row>
    <row r="1241" spans="8:20" x14ac:dyDescent="0.35">
      <c r="H1241" s="711"/>
      <c r="I1241" s="711"/>
      <c r="J1241" s="711"/>
      <c r="K1241" s="711"/>
      <c r="L1241" s="711"/>
      <c r="Q1241" s="11"/>
      <c r="R1241" s="11"/>
      <c r="S1241" s="11"/>
      <c r="T1241" s="11"/>
    </row>
    <row r="1242" spans="8:20" x14ac:dyDescent="0.35">
      <c r="H1242" s="711"/>
      <c r="I1242" s="711"/>
      <c r="J1242" s="711"/>
      <c r="K1242" s="711"/>
      <c r="L1242" s="711"/>
      <c r="Q1242" s="11"/>
      <c r="R1242" s="11"/>
      <c r="S1242" s="11"/>
      <c r="T1242" s="11"/>
    </row>
    <row r="1243" spans="8:20" x14ac:dyDescent="0.35">
      <c r="H1243" s="711"/>
      <c r="I1243" s="711"/>
      <c r="J1243" s="711"/>
      <c r="K1243" s="711"/>
      <c r="L1243" s="711"/>
      <c r="Q1243" s="11"/>
      <c r="R1243" s="11"/>
      <c r="S1243" s="11"/>
      <c r="T1243" s="11"/>
    </row>
    <row r="1244" spans="8:20" x14ac:dyDescent="0.35">
      <c r="H1244" s="711"/>
      <c r="I1244" s="711"/>
      <c r="J1244" s="711"/>
      <c r="K1244" s="711"/>
      <c r="L1244" s="711"/>
      <c r="Q1244" s="11"/>
      <c r="R1244" s="11"/>
      <c r="S1244" s="11"/>
      <c r="T1244" s="11"/>
    </row>
    <row r="1245" spans="8:20" x14ac:dyDescent="0.35">
      <c r="H1245" s="711"/>
      <c r="I1245" s="711"/>
      <c r="J1245" s="711"/>
      <c r="K1245" s="711"/>
      <c r="L1245" s="711"/>
      <c r="Q1245" s="11"/>
      <c r="R1245" s="11"/>
      <c r="S1245" s="11"/>
      <c r="T1245" s="11"/>
    </row>
    <row r="1246" spans="8:20" x14ac:dyDescent="0.35">
      <c r="H1246" s="711"/>
      <c r="I1246" s="711"/>
      <c r="J1246" s="711"/>
      <c r="K1246" s="711"/>
      <c r="L1246" s="711"/>
      <c r="Q1246" s="11"/>
      <c r="R1246" s="11"/>
      <c r="S1246" s="11"/>
      <c r="T1246" s="11"/>
    </row>
    <row r="1247" spans="8:20" x14ac:dyDescent="0.35">
      <c r="H1247" s="711"/>
      <c r="I1247" s="711"/>
      <c r="J1247" s="711"/>
      <c r="K1247" s="711"/>
      <c r="L1247" s="711"/>
      <c r="Q1247" s="11"/>
      <c r="R1247" s="11"/>
      <c r="S1247" s="11"/>
      <c r="T1247" s="11"/>
    </row>
    <row r="1248" spans="8:20" x14ac:dyDescent="0.35">
      <c r="H1248" s="711"/>
      <c r="I1248" s="711"/>
      <c r="J1248" s="711"/>
      <c r="K1248" s="711"/>
      <c r="L1248" s="711"/>
      <c r="Q1248" s="11"/>
      <c r="R1248" s="11"/>
      <c r="S1248" s="11"/>
      <c r="T1248" s="11"/>
    </row>
    <row r="1249" spans="8:20" x14ac:dyDescent="0.35">
      <c r="H1249" s="711"/>
      <c r="I1249" s="711"/>
      <c r="J1249" s="711"/>
      <c r="K1249" s="711"/>
      <c r="L1249" s="711"/>
      <c r="Q1249" s="11"/>
      <c r="R1249" s="11"/>
      <c r="S1249" s="11"/>
      <c r="T1249" s="11"/>
    </row>
    <row r="1250" spans="8:20" x14ac:dyDescent="0.35">
      <c r="H1250" s="711"/>
      <c r="I1250" s="711"/>
      <c r="J1250" s="711"/>
      <c r="K1250" s="711"/>
      <c r="L1250" s="711"/>
      <c r="Q1250" s="11"/>
      <c r="R1250" s="11"/>
      <c r="S1250" s="11"/>
      <c r="T1250" s="11"/>
    </row>
    <row r="1251" spans="8:20" x14ac:dyDescent="0.35">
      <c r="H1251" s="711"/>
      <c r="I1251" s="711"/>
      <c r="J1251" s="711"/>
      <c r="K1251" s="711"/>
      <c r="L1251" s="711"/>
      <c r="Q1251" s="11"/>
      <c r="R1251" s="11"/>
      <c r="S1251" s="11"/>
      <c r="T1251" s="11"/>
    </row>
    <row r="1252" spans="8:20" x14ac:dyDescent="0.35">
      <c r="H1252" s="711"/>
      <c r="I1252" s="711"/>
      <c r="J1252" s="711"/>
      <c r="K1252" s="711"/>
      <c r="L1252" s="711"/>
      <c r="Q1252" s="11"/>
      <c r="R1252" s="11"/>
      <c r="S1252" s="11"/>
      <c r="T1252" s="11"/>
    </row>
    <row r="1253" spans="8:20" x14ac:dyDescent="0.35">
      <c r="H1253" s="711"/>
      <c r="I1253" s="711"/>
      <c r="J1253" s="711"/>
      <c r="K1253" s="711"/>
      <c r="L1253" s="711"/>
      <c r="Q1253" s="11"/>
      <c r="R1253" s="11"/>
      <c r="S1253" s="11"/>
      <c r="T1253" s="11"/>
    </row>
    <row r="1254" spans="8:20" x14ac:dyDescent="0.35">
      <c r="H1254" s="711"/>
      <c r="I1254" s="711"/>
      <c r="J1254" s="711"/>
      <c r="K1254" s="711"/>
      <c r="L1254" s="711"/>
      <c r="Q1254" s="11"/>
      <c r="R1254" s="11"/>
      <c r="S1254" s="11"/>
      <c r="T1254" s="11"/>
    </row>
    <row r="1255" spans="8:20" x14ac:dyDescent="0.35">
      <c r="H1255" s="711"/>
      <c r="I1255" s="711"/>
      <c r="J1255" s="711"/>
      <c r="K1255" s="711"/>
      <c r="L1255" s="711"/>
      <c r="Q1255" s="11"/>
      <c r="R1255" s="11"/>
      <c r="S1255" s="11"/>
      <c r="T1255" s="11"/>
    </row>
    <row r="1256" spans="8:20" x14ac:dyDescent="0.35">
      <c r="H1256" s="711"/>
      <c r="I1256" s="711"/>
      <c r="J1256" s="711"/>
      <c r="K1256" s="711"/>
      <c r="L1256" s="711"/>
      <c r="Q1256" s="11"/>
      <c r="R1256" s="11"/>
      <c r="S1256" s="11"/>
      <c r="T1256" s="11"/>
    </row>
    <row r="1257" spans="8:20" x14ac:dyDescent="0.35">
      <c r="H1257" s="711"/>
      <c r="I1257" s="711"/>
      <c r="J1257" s="711"/>
      <c r="K1257" s="711"/>
      <c r="L1257" s="711"/>
      <c r="Q1257" s="11"/>
      <c r="R1257" s="11"/>
      <c r="S1257" s="11"/>
      <c r="T1257" s="11"/>
    </row>
    <row r="1258" spans="8:20" x14ac:dyDescent="0.35">
      <c r="H1258" s="711"/>
      <c r="I1258" s="711"/>
      <c r="J1258" s="711"/>
      <c r="K1258" s="711"/>
      <c r="L1258" s="711"/>
      <c r="Q1258" s="11"/>
      <c r="R1258" s="11"/>
      <c r="S1258" s="11"/>
      <c r="T1258" s="11"/>
    </row>
    <row r="1259" spans="8:20" x14ac:dyDescent="0.35">
      <c r="H1259" s="711"/>
      <c r="I1259" s="711"/>
      <c r="J1259" s="711"/>
      <c r="K1259" s="711"/>
      <c r="L1259" s="711"/>
      <c r="Q1259" s="11"/>
      <c r="R1259" s="11"/>
      <c r="S1259" s="11"/>
      <c r="T1259" s="11"/>
    </row>
    <row r="1260" spans="8:20" x14ac:dyDescent="0.35">
      <c r="H1260" s="711"/>
      <c r="I1260" s="711"/>
      <c r="J1260" s="711"/>
      <c r="K1260" s="711"/>
      <c r="L1260" s="711"/>
      <c r="Q1260" s="11"/>
      <c r="R1260" s="11"/>
      <c r="S1260" s="11"/>
      <c r="T1260" s="11"/>
    </row>
    <row r="1261" spans="8:20" x14ac:dyDescent="0.35">
      <c r="H1261" s="711"/>
      <c r="I1261" s="711"/>
      <c r="J1261" s="711"/>
      <c r="K1261" s="711"/>
      <c r="L1261" s="711"/>
      <c r="Q1261" s="11"/>
      <c r="R1261" s="11"/>
      <c r="S1261" s="11"/>
      <c r="T1261" s="11"/>
    </row>
    <row r="1262" spans="8:20" x14ac:dyDescent="0.35">
      <c r="H1262" s="711"/>
      <c r="I1262" s="711"/>
      <c r="J1262" s="711"/>
      <c r="K1262" s="711"/>
      <c r="L1262" s="711"/>
      <c r="Q1262" s="11"/>
      <c r="R1262" s="11"/>
      <c r="S1262" s="11"/>
      <c r="T1262" s="11"/>
    </row>
    <row r="1263" spans="8:20" x14ac:dyDescent="0.35">
      <c r="H1263" s="711"/>
      <c r="I1263" s="711"/>
      <c r="J1263" s="711"/>
      <c r="K1263" s="711"/>
      <c r="L1263" s="711"/>
      <c r="Q1263" s="11"/>
      <c r="R1263" s="11"/>
      <c r="S1263" s="11"/>
      <c r="T1263" s="11"/>
    </row>
    <row r="1264" spans="8:20" x14ac:dyDescent="0.35">
      <c r="H1264" s="711"/>
      <c r="I1264" s="711"/>
      <c r="J1264" s="711"/>
      <c r="K1264" s="711"/>
      <c r="L1264" s="711"/>
      <c r="Q1264" s="11"/>
      <c r="R1264" s="11"/>
      <c r="S1264" s="11"/>
      <c r="T1264" s="11"/>
    </row>
    <row r="1265" spans="8:20" x14ac:dyDescent="0.35">
      <c r="H1265" s="711"/>
      <c r="I1265" s="711"/>
      <c r="J1265" s="711"/>
      <c r="K1265" s="711"/>
      <c r="L1265" s="711"/>
      <c r="Q1265" s="11"/>
      <c r="R1265" s="11"/>
      <c r="S1265" s="11"/>
      <c r="T1265" s="11"/>
    </row>
    <row r="1266" spans="8:20" x14ac:dyDescent="0.35">
      <c r="H1266" s="711"/>
      <c r="I1266" s="711"/>
      <c r="J1266" s="711"/>
      <c r="K1266" s="711"/>
      <c r="L1266" s="711"/>
      <c r="Q1266" s="11"/>
      <c r="R1266" s="11"/>
      <c r="S1266" s="11"/>
      <c r="T1266" s="11"/>
    </row>
    <row r="1267" spans="8:20" x14ac:dyDescent="0.35">
      <c r="H1267" s="711"/>
      <c r="I1267" s="711"/>
      <c r="J1267" s="711"/>
      <c r="K1267" s="711"/>
      <c r="L1267" s="711"/>
      <c r="Q1267" s="11"/>
      <c r="R1267" s="11"/>
      <c r="S1267" s="11"/>
      <c r="T1267" s="11"/>
    </row>
    <row r="1268" spans="8:20" x14ac:dyDescent="0.35">
      <c r="H1268" s="711"/>
      <c r="I1268" s="711"/>
      <c r="J1268" s="711"/>
      <c r="K1268" s="711"/>
      <c r="L1268" s="711"/>
      <c r="Q1268" s="11"/>
      <c r="R1268" s="11"/>
      <c r="S1268" s="11"/>
      <c r="T1268" s="11"/>
    </row>
    <row r="1269" spans="8:20" x14ac:dyDescent="0.35">
      <c r="H1269" s="711"/>
      <c r="I1269" s="711"/>
      <c r="J1269" s="711"/>
      <c r="K1269" s="711"/>
      <c r="L1269" s="711"/>
      <c r="Q1269" s="11"/>
      <c r="R1269" s="11"/>
      <c r="S1269" s="11"/>
      <c r="T1269" s="11"/>
    </row>
    <row r="1270" spans="8:20" x14ac:dyDescent="0.35">
      <c r="H1270" s="711"/>
      <c r="I1270" s="711"/>
      <c r="J1270" s="711"/>
      <c r="K1270" s="711"/>
      <c r="L1270" s="711"/>
      <c r="Q1270" s="11"/>
      <c r="R1270" s="11"/>
      <c r="S1270" s="11"/>
      <c r="T1270" s="11"/>
    </row>
    <row r="1271" spans="8:20" x14ac:dyDescent="0.35">
      <c r="H1271" s="711"/>
      <c r="I1271" s="711"/>
      <c r="J1271" s="711"/>
      <c r="K1271" s="711"/>
      <c r="L1271" s="711"/>
      <c r="Q1271" s="11"/>
      <c r="R1271" s="11"/>
      <c r="S1271" s="11"/>
      <c r="T1271" s="11"/>
    </row>
    <row r="1272" spans="8:20" x14ac:dyDescent="0.35">
      <c r="H1272" s="711"/>
      <c r="I1272" s="711"/>
      <c r="J1272" s="711"/>
      <c r="K1272" s="711"/>
      <c r="L1272" s="711"/>
      <c r="Q1272" s="11"/>
      <c r="R1272" s="11"/>
      <c r="S1272" s="11"/>
      <c r="T1272" s="11"/>
    </row>
    <row r="1273" spans="8:20" x14ac:dyDescent="0.35">
      <c r="H1273" s="711"/>
      <c r="I1273" s="711"/>
      <c r="J1273" s="711"/>
      <c r="K1273" s="711"/>
      <c r="L1273" s="711"/>
      <c r="Q1273" s="11"/>
      <c r="R1273" s="11"/>
      <c r="S1273" s="11"/>
      <c r="T1273" s="11"/>
    </row>
    <row r="1274" spans="8:20" x14ac:dyDescent="0.35">
      <c r="H1274" s="711"/>
      <c r="I1274" s="711"/>
      <c r="J1274" s="711"/>
      <c r="K1274" s="711"/>
      <c r="L1274" s="711"/>
      <c r="Q1274" s="11"/>
      <c r="R1274" s="11"/>
      <c r="S1274" s="11"/>
      <c r="T1274" s="11"/>
    </row>
    <row r="1275" spans="8:20" x14ac:dyDescent="0.35">
      <c r="H1275" s="711"/>
      <c r="I1275" s="711"/>
      <c r="J1275" s="711"/>
      <c r="K1275" s="711"/>
      <c r="L1275" s="711"/>
      <c r="Q1275" s="11"/>
      <c r="R1275" s="11"/>
      <c r="S1275" s="11"/>
      <c r="T1275" s="11"/>
    </row>
    <row r="1276" spans="8:20" x14ac:dyDescent="0.35">
      <c r="H1276" s="711"/>
      <c r="I1276" s="711"/>
      <c r="J1276" s="711"/>
      <c r="K1276" s="711"/>
      <c r="L1276" s="711"/>
      <c r="Q1276" s="11"/>
      <c r="R1276" s="11"/>
      <c r="S1276" s="11"/>
      <c r="T1276" s="11"/>
    </row>
    <row r="1277" spans="8:20" x14ac:dyDescent="0.35">
      <c r="H1277" s="711"/>
      <c r="I1277" s="711"/>
      <c r="J1277" s="711"/>
      <c r="K1277" s="711"/>
      <c r="L1277" s="711"/>
      <c r="Q1277" s="11"/>
      <c r="R1277" s="11"/>
      <c r="S1277" s="11"/>
      <c r="T1277" s="11"/>
    </row>
    <row r="1278" spans="8:20" x14ac:dyDescent="0.35">
      <c r="H1278" s="711"/>
      <c r="I1278" s="711"/>
      <c r="J1278" s="711"/>
      <c r="K1278" s="711"/>
      <c r="L1278" s="711"/>
      <c r="Q1278" s="11"/>
      <c r="R1278" s="11"/>
      <c r="S1278" s="11"/>
      <c r="T1278" s="11"/>
    </row>
    <row r="1279" spans="8:20" x14ac:dyDescent="0.35">
      <c r="H1279" s="711"/>
      <c r="I1279" s="711"/>
      <c r="J1279" s="711"/>
      <c r="K1279" s="711"/>
      <c r="L1279" s="711"/>
      <c r="Q1279" s="11"/>
      <c r="R1279" s="11"/>
      <c r="S1279" s="11"/>
      <c r="T1279" s="11"/>
    </row>
    <row r="1280" spans="8:20" x14ac:dyDescent="0.35">
      <c r="H1280" s="711"/>
      <c r="I1280" s="711"/>
      <c r="J1280" s="711"/>
      <c r="K1280" s="711"/>
      <c r="L1280" s="711"/>
      <c r="Q1280" s="11"/>
      <c r="R1280" s="11"/>
      <c r="S1280" s="11"/>
      <c r="T1280" s="11"/>
    </row>
    <row r="1281" spans="8:20" x14ac:dyDescent="0.35">
      <c r="H1281" s="711"/>
      <c r="I1281" s="711"/>
      <c r="J1281" s="711"/>
      <c r="K1281" s="711"/>
      <c r="L1281" s="711"/>
      <c r="Q1281" s="11"/>
      <c r="R1281" s="11"/>
      <c r="S1281" s="11"/>
      <c r="T1281" s="11"/>
    </row>
    <row r="1282" spans="8:20" x14ac:dyDescent="0.35">
      <c r="H1282" s="711"/>
      <c r="I1282" s="711"/>
      <c r="J1282" s="711"/>
      <c r="K1282" s="711"/>
      <c r="L1282" s="711"/>
      <c r="Q1282" s="11"/>
      <c r="R1282" s="11"/>
      <c r="S1282" s="11"/>
      <c r="T1282" s="11"/>
    </row>
    <row r="1283" spans="8:20" x14ac:dyDescent="0.35">
      <c r="H1283" s="711"/>
      <c r="I1283" s="711"/>
      <c r="J1283" s="711"/>
      <c r="K1283" s="711"/>
      <c r="L1283" s="711"/>
      <c r="Q1283" s="11"/>
      <c r="R1283" s="11"/>
      <c r="S1283" s="11"/>
      <c r="T1283" s="11"/>
    </row>
    <row r="1284" spans="8:20" x14ac:dyDescent="0.35">
      <c r="H1284" s="711"/>
      <c r="I1284" s="711"/>
      <c r="J1284" s="711"/>
      <c r="K1284" s="711"/>
      <c r="L1284" s="711"/>
      <c r="Q1284" s="11"/>
      <c r="R1284" s="11"/>
      <c r="S1284" s="11"/>
      <c r="T1284" s="11"/>
    </row>
    <row r="1285" spans="8:20" x14ac:dyDescent="0.35">
      <c r="H1285" s="711"/>
      <c r="I1285" s="711"/>
      <c r="J1285" s="711"/>
      <c r="K1285" s="711"/>
      <c r="L1285" s="711"/>
      <c r="Q1285" s="11"/>
      <c r="R1285" s="11"/>
      <c r="S1285" s="11"/>
      <c r="T1285" s="11"/>
    </row>
    <row r="1286" spans="8:20" x14ac:dyDescent="0.35">
      <c r="H1286" s="711"/>
      <c r="I1286" s="711"/>
      <c r="J1286" s="711"/>
      <c r="K1286" s="711"/>
      <c r="L1286" s="711"/>
      <c r="Q1286" s="11"/>
      <c r="R1286" s="11"/>
      <c r="S1286" s="11"/>
      <c r="T1286" s="11"/>
    </row>
    <row r="1287" spans="8:20" x14ac:dyDescent="0.35">
      <c r="H1287" s="711"/>
      <c r="I1287" s="711"/>
      <c r="J1287" s="711"/>
      <c r="K1287" s="711"/>
      <c r="L1287" s="711"/>
      <c r="Q1287" s="11"/>
      <c r="R1287" s="11"/>
      <c r="S1287" s="11"/>
      <c r="T1287" s="11"/>
    </row>
    <row r="1288" spans="8:20" x14ac:dyDescent="0.35">
      <c r="H1288" s="711"/>
      <c r="I1288" s="711"/>
      <c r="J1288" s="711"/>
      <c r="K1288" s="711"/>
      <c r="L1288" s="711"/>
      <c r="Q1288" s="11"/>
      <c r="R1288" s="11"/>
      <c r="S1288" s="11"/>
      <c r="T1288" s="11"/>
    </row>
    <row r="1289" spans="8:20" x14ac:dyDescent="0.35">
      <c r="H1289" s="711"/>
      <c r="I1289" s="711"/>
      <c r="J1289" s="711"/>
      <c r="K1289" s="711"/>
      <c r="L1289" s="711"/>
      <c r="Q1289" s="11"/>
      <c r="R1289" s="11"/>
      <c r="S1289" s="11"/>
      <c r="T1289" s="11"/>
    </row>
    <row r="1290" spans="8:20" x14ac:dyDescent="0.35">
      <c r="H1290" s="711"/>
      <c r="I1290" s="711"/>
      <c r="J1290" s="711"/>
      <c r="K1290" s="711"/>
      <c r="L1290" s="711"/>
      <c r="Q1290" s="11"/>
      <c r="R1290" s="11"/>
      <c r="S1290" s="11"/>
      <c r="T1290" s="11"/>
    </row>
    <row r="1291" spans="8:20" x14ac:dyDescent="0.35">
      <c r="H1291" s="711"/>
      <c r="I1291" s="711"/>
      <c r="J1291" s="711"/>
      <c r="K1291" s="711"/>
      <c r="L1291" s="711"/>
      <c r="Q1291" s="11"/>
      <c r="R1291" s="11"/>
      <c r="S1291" s="11"/>
      <c r="T1291" s="11"/>
    </row>
    <row r="1292" spans="8:20" x14ac:dyDescent="0.35">
      <c r="H1292" s="711"/>
      <c r="I1292" s="711"/>
      <c r="J1292" s="711"/>
      <c r="K1292" s="711"/>
      <c r="L1292" s="711"/>
      <c r="Q1292" s="11"/>
      <c r="R1292" s="11"/>
      <c r="S1292" s="11"/>
      <c r="T1292" s="11"/>
    </row>
    <row r="1293" spans="8:20" x14ac:dyDescent="0.35">
      <c r="H1293" s="711"/>
      <c r="I1293" s="711"/>
      <c r="J1293" s="711"/>
      <c r="K1293" s="711"/>
      <c r="L1293" s="711"/>
      <c r="Q1293" s="11"/>
      <c r="R1293" s="11"/>
      <c r="S1293" s="11"/>
      <c r="T1293" s="11"/>
    </row>
    <row r="1294" spans="8:20" x14ac:dyDescent="0.35">
      <c r="H1294" s="711"/>
      <c r="I1294" s="711"/>
      <c r="J1294" s="711"/>
      <c r="K1294" s="711"/>
      <c r="L1294" s="711"/>
      <c r="Q1294" s="11"/>
      <c r="R1294" s="11"/>
      <c r="S1294" s="11"/>
      <c r="T1294" s="11"/>
    </row>
    <row r="1295" spans="8:20" x14ac:dyDescent="0.35">
      <c r="H1295" s="711"/>
      <c r="I1295" s="711"/>
      <c r="J1295" s="711"/>
      <c r="K1295" s="711"/>
      <c r="L1295" s="711"/>
      <c r="Q1295" s="11"/>
      <c r="R1295" s="11"/>
      <c r="S1295" s="11"/>
      <c r="T1295" s="11"/>
    </row>
    <row r="1296" spans="8:20" x14ac:dyDescent="0.35">
      <c r="H1296" s="711"/>
      <c r="I1296" s="711"/>
      <c r="J1296" s="711"/>
      <c r="K1296" s="711"/>
      <c r="L1296" s="711"/>
      <c r="Q1296" s="11"/>
      <c r="R1296" s="11"/>
      <c r="S1296" s="11"/>
      <c r="T1296" s="11"/>
    </row>
    <row r="1297" spans="8:20" x14ac:dyDescent="0.35">
      <c r="H1297" s="711"/>
      <c r="I1297" s="711"/>
      <c r="J1297" s="711"/>
      <c r="K1297" s="711"/>
      <c r="L1297" s="711"/>
      <c r="Q1297" s="11"/>
      <c r="R1297" s="11"/>
      <c r="S1297" s="11"/>
      <c r="T1297" s="11"/>
    </row>
    <row r="1298" spans="8:20" x14ac:dyDescent="0.35">
      <c r="H1298" s="711"/>
      <c r="I1298" s="711"/>
      <c r="J1298" s="711"/>
      <c r="K1298" s="711"/>
      <c r="L1298" s="711"/>
      <c r="Q1298" s="11"/>
      <c r="R1298" s="11"/>
      <c r="S1298" s="11"/>
      <c r="T1298" s="11"/>
    </row>
    <row r="1299" spans="8:20" x14ac:dyDescent="0.35">
      <c r="H1299" s="711"/>
      <c r="I1299" s="711"/>
      <c r="J1299" s="711"/>
      <c r="K1299" s="711"/>
      <c r="L1299" s="711"/>
      <c r="Q1299" s="11"/>
      <c r="R1299" s="11"/>
      <c r="S1299" s="11"/>
      <c r="T1299" s="11"/>
    </row>
    <row r="1300" spans="8:20" x14ac:dyDescent="0.35">
      <c r="H1300" s="711"/>
      <c r="I1300" s="711"/>
      <c r="J1300" s="711"/>
      <c r="K1300" s="711"/>
      <c r="L1300" s="711"/>
      <c r="Q1300" s="11"/>
      <c r="R1300" s="11"/>
      <c r="S1300" s="11"/>
      <c r="T1300" s="11"/>
    </row>
    <row r="1301" spans="8:20" x14ac:dyDescent="0.35">
      <c r="H1301" s="711"/>
      <c r="I1301" s="711"/>
      <c r="J1301" s="711"/>
      <c r="K1301" s="711"/>
      <c r="L1301" s="711"/>
      <c r="Q1301" s="11"/>
      <c r="R1301" s="11"/>
      <c r="S1301" s="11"/>
      <c r="T1301" s="11"/>
    </row>
    <row r="1302" spans="8:20" x14ac:dyDescent="0.35">
      <c r="H1302" s="711"/>
      <c r="I1302" s="711"/>
      <c r="J1302" s="711"/>
      <c r="K1302" s="711"/>
      <c r="L1302" s="711"/>
      <c r="Q1302" s="11"/>
      <c r="R1302" s="11"/>
      <c r="S1302" s="11"/>
      <c r="T1302" s="11"/>
    </row>
    <row r="1303" spans="8:20" x14ac:dyDescent="0.35">
      <c r="H1303" s="711"/>
      <c r="I1303" s="711"/>
      <c r="J1303" s="711"/>
      <c r="K1303" s="711"/>
      <c r="L1303" s="711"/>
      <c r="Q1303" s="11"/>
      <c r="R1303" s="11"/>
      <c r="S1303" s="11"/>
      <c r="T1303" s="11"/>
    </row>
    <row r="1304" spans="8:20" x14ac:dyDescent="0.35">
      <c r="H1304" s="711"/>
      <c r="I1304" s="711"/>
      <c r="J1304" s="711"/>
      <c r="K1304" s="711"/>
      <c r="L1304" s="711"/>
      <c r="Q1304" s="11"/>
      <c r="R1304" s="11"/>
      <c r="S1304" s="11"/>
      <c r="T1304" s="11"/>
    </row>
    <row r="1305" spans="8:20" x14ac:dyDescent="0.35">
      <c r="H1305" s="711"/>
      <c r="I1305" s="711"/>
      <c r="J1305" s="711"/>
      <c r="K1305" s="711"/>
      <c r="L1305" s="711"/>
      <c r="Q1305" s="11"/>
      <c r="R1305" s="11"/>
      <c r="S1305" s="11"/>
      <c r="T1305" s="11"/>
    </row>
    <row r="1306" spans="8:20" x14ac:dyDescent="0.35">
      <c r="H1306" s="711"/>
      <c r="I1306" s="711"/>
      <c r="J1306" s="711"/>
      <c r="K1306" s="711"/>
      <c r="L1306" s="711"/>
      <c r="Q1306" s="11"/>
      <c r="R1306" s="11"/>
      <c r="S1306" s="11"/>
      <c r="T1306" s="11"/>
    </row>
    <row r="1307" spans="8:20" x14ac:dyDescent="0.35">
      <c r="H1307" s="711"/>
      <c r="I1307" s="711"/>
      <c r="J1307" s="711"/>
      <c r="K1307" s="711"/>
      <c r="L1307" s="711"/>
      <c r="Q1307" s="11"/>
      <c r="R1307" s="11"/>
      <c r="S1307" s="11"/>
      <c r="T1307" s="11"/>
    </row>
    <row r="1308" spans="8:20" x14ac:dyDescent="0.35">
      <c r="H1308" s="711"/>
      <c r="I1308" s="711"/>
      <c r="J1308" s="711"/>
      <c r="K1308" s="711"/>
      <c r="L1308" s="711"/>
      <c r="Q1308" s="11"/>
      <c r="R1308" s="11"/>
      <c r="S1308" s="11"/>
      <c r="T1308" s="11"/>
    </row>
    <row r="1309" spans="8:20" x14ac:dyDescent="0.35">
      <c r="H1309" s="711"/>
      <c r="I1309" s="711"/>
      <c r="J1309" s="711"/>
      <c r="K1309" s="711"/>
      <c r="L1309" s="711"/>
      <c r="Q1309" s="11"/>
      <c r="R1309" s="11"/>
      <c r="S1309" s="11"/>
      <c r="T1309" s="11"/>
    </row>
    <row r="1310" spans="8:20" x14ac:dyDescent="0.35">
      <c r="H1310" s="711"/>
      <c r="I1310" s="711"/>
      <c r="J1310" s="711"/>
      <c r="K1310" s="711"/>
      <c r="L1310" s="711"/>
      <c r="Q1310" s="11"/>
      <c r="R1310" s="11"/>
      <c r="S1310" s="11"/>
      <c r="T1310" s="11"/>
    </row>
    <row r="1311" spans="8:20" x14ac:dyDescent="0.35">
      <c r="H1311" s="711"/>
      <c r="I1311" s="711"/>
      <c r="J1311" s="711"/>
      <c r="K1311" s="711"/>
      <c r="L1311" s="711"/>
      <c r="Q1311" s="11"/>
      <c r="R1311" s="11"/>
      <c r="S1311" s="11"/>
      <c r="T1311" s="11"/>
    </row>
    <row r="1312" spans="8:20" x14ac:dyDescent="0.35">
      <c r="H1312" s="711"/>
      <c r="I1312" s="711"/>
      <c r="J1312" s="711"/>
      <c r="K1312" s="711"/>
      <c r="L1312" s="711"/>
      <c r="Q1312" s="11"/>
      <c r="R1312" s="11"/>
      <c r="S1312" s="11"/>
      <c r="T1312" s="11"/>
    </row>
    <row r="1313" spans="8:20" x14ac:dyDescent="0.35">
      <c r="H1313" s="711"/>
      <c r="I1313" s="711"/>
      <c r="J1313" s="711"/>
      <c r="K1313" s="711"/>
      <c r="L1313" s="711"/>
      <c r="Q1313" s="11"/>
      <c r="R1313" s="11"/>
      <c r="S1313" s="11"/>
      <c r="T1313" s="11"/>
    </row>
    <row r="1314" spans="8:20" x14ac:dyDescent="0.35">
      <c r="H1314" s="711"/>
      <c r="I1314" s="711"/>
      <c r="J1314" s="711"/>
      <c r="K1314" s="711"/>
      <c r="L1314" s="711"/>
      <c r="Q1314" s="11"/>
      <c r="R1314" s="11"/>
      <c r="S1314" s="11"/>
      <c r="T1314" s="11"/>
    </row>
    <row r="1315" spans="8:20" x14ac:dyDescent="0.35">
      <c r="H1315" s="711"/>
      <c r="I1315" s="711"/>
      <c r="J1315" s="711"/>
      <c r="K1315" s="711"/>
      <c r="L1315" s="711"/>
      <c r="Q1315" s="11"/>
      <c r="R1315" s="11"/>
      <c r="S1315" s="11"/>
      <c r="T1315" s="11"/>
    </row>
    <row r="1316" spans="8:20" x14ac:dyDescent="0.35">
      <c r="H1316" s="711"/>
      <c r="I1316" s="711"/>
      <c r="J1316" s="711"/>
      <c r="K1316" s="711"/>
      <c r="L1316" s="711"/>
      <c r="Q1316" s="11"/>
      <c r="R1316" s="11"/>
      <c r="S1316" s="11"/>
      <c r="T1316" s="11"/>
    </row>
    <row r="1317" spans="8:20" x14ac:dyDescent="0.35">
      <c r="H1317" s="711"/>
      <c r="I1317" s="711"/>
      <c r="J1317" s="711"/>
      <c r="K1317" s="711"/>
      <c r="L1317" s="711"/>
      <c r="Q1317" s="11"/>
      <c r="R1317" s="11"/>
      <c r="S1317" s="11"/>
      <c r="T1317" s="11"/>
    </row>
    <row r="1318" spans="8:20" x14ac:dyDescent="0.35">
      <c r="H1318" s="711"/>
      <c r="I1318" s="711"/>
      <c r="J1318" s="711"/>
      <c r="K1318" s="711"/>
      <c r="L1318" s="711"/>
      <c r="Q1318" s="11"/>
      <c r="R1318" s="11"/>
      <c r="S1318" s="11"/>
      <c r="T1318" s="11"/>
    </row>
    <row r="1319" spans="8:20" x14ac:dyDescent="0.35">
      <c r="H1319" s="711"/>
      <c r="I1319" s="711"/>
      <c r="J1319" s="711"/>
      <c r="K1319" s="711"/>
      <c r="L1319" s="711"/>
      <c r="Q1319" s="11"/>
      <c r="R1319" s="11"/>
      <c r="S1319" s="11"/>
      <c r="T1319" s="11"/>
    </row>
    <row r="1320" spans="8:20" x14ac:dyDescent="0.35">
      <c r="H1320" s="711"/>
      <c r="I1320" s="711"/>
      <c r="J1320" s="711"/>
      <c r="K1320" s="711"/>
      <c r="L1320" s="711"/>
      <c r="Q1320" s="11"/>
      <c r="R1320" s="11"/>
      <c r="S1320" s="11"/>
      <c r="T1320" s="11"/>
    </row>
    <row r="1321" spans="8:20" x14ac:dyDescent="0.35">
      <c r="H1321" s="711"/>
      <c r="I1321" s="711"/>
      <c r="J1321" s="711"/>
      <c r="K1321" s="711"/>
      <c r="L1321" s="711"/>
      <c r="Q1321" s="11"/>
      <c r="R1321" s="11"/>
      <c r="S1321" s="11"/>
      <c r="T1321" s="11"/>
    </row>
    <row r="1322" spans="8:20" x14ac:dyDescent="0.35">
      <c r="H1322" s="711"/>
      <c r="I1322" s="711"/>
      <c r="J1322" s="711"/>
      <c r="K1322" s="711"/>
      <c r="L1322" s="711"/>
      <c r="Q1322" s="11"/>
      <c r="R1322" s="11"/>
      <c r="S1322" s="11"/>
      <c r="T1322" s="11"/>
    </row>
    <row r="1323" spans="8:20" x14ac:dyDescent="0.35">
      <c r="H1323" s="711"/>
      <c r="I1323" s="711"/>
      <c r="J1323" s="711"/>
      <c r="K1323" s="711"/>
      <c r="L1323" s="711"/>
      <c r="Q1323" s="11"/>
      <c r="R1323" s="11"/>
      <c r="S1323" s="11"/>
      <c r="T1323" s="11"/>
    </row>
    <row r="1324" spans="8:20" x14ac:dyDescent="0.35">
      <c r="H1324" s="711"/>
      <c r="I1324" s="711"/>
      <c r="J1324" s="711"/>
      <c r="K1324" s="711"/>
      <c r="L1324" s="711"/>
      <c r="Q1324" s="11"/>
      <c r="R1324" s="11"/>
      <c r="S1324" s="11"/>
      <c r="T1324" s="11"/>
    </row>
    <row r="1325" spans="8:20" x14ac:dyDescent="0.35">
      <c r="H1325" s="711"/>
      <c r="I1325" s="711"/>
      <c r="J1325" s="711"/>
      <c r="K1325" s="711"/>
      <c r="L1325" s="711"/>
      <c r="Q1325" s="11"/>
      <c r="R1325" s="11"/>
      <c r="S1325" s="11"/>
      <c r="T1325" s="11"/>
    </row>
    <row r="1326" spans="8:20" x14ac:dyDescent="0.35">
      <c r="H1326" s="711"/>
      <c r="I1326" s="711"/>
      <c r="J1326" s="711"/>
      <c r="K1326" s="711"/>
      <c r="L1326" s="711"/>
      <c r="Q1326" s="11"/>
      <c r="R1326" s="11"/>
      <c r="S1326" s="11"/>
      <c r="T1326" s="11"/>
    </row>
    <row r="1327" spans="8:20" x14ac:dyDescent="0.35">
      <c r="H1327" s="711"/>
      <c r="I1327" s="711"/>
      <c r="J1327" s="711"/>
      <c r="K1327" s="711"/>
      <c r="L1327" s="711"/>
      <c r="Q1327" s="11"/>
      <c r="R1327" s="11"/>
      <c r="S1327" s="11"/>
      <c r="T1327" s="11"/>
    </row>
    <row r="1328" spans="8:20" x14ac:dyDescent="0.35">
      <c r="H1328" s="711"/>
      <c r="I1328" s="711"/>
      <c r="J1328" s="711"/>
      <c r="K1328" s="711"/>
      <c r="L1328" s="711"/>
      <c r="Q1328" s="11"/>
      <c r="R1328" s="11"/>
      <c r="S1328" s="11"/>
      <c r="T1328" s="11"/>
    </row>
    <row r="1329" spans="8:20" x14ac:dyDescent="0.35">
      <c r="H1329" s="711"/>
      <c r="I1329" s="711"/>
      <c r="J1329" s="711"/>
      <c r="K1329" s="711"/>
      <c r="L1329" s="711"/>
      <c r="Q1329" s="11"/>
      <c r="R1329" s="11"/>
      <c r="S1329" s="11"/>
      <c r="T1329" s="11"/>
    </row>
    <row r="1330" spans="8:20" x14ac:dyDescent="0.35">
      <c r="H1330" s="711"/>
      <c r="I1330" s="711"/>
      <c r="J1330" s="711"/>
      <c r="K1330" s="711"/>
      <c r="L1330" s="711"/>
      <c r="Q1330" s="11"/>
      <c r="R1330" s="11"/>
      <c r="S1330" s="11"/>
      <c r="T1330" s="11"/>
    </row>
    <row r="1331" spans="8:20" x14ac:dyDescent="0.35">
      <c r="H1331" s="711"/>
      <c r="I1331" s="711"/>
      <c r="J1331" s="711"/>
      <c r="K1331" s="711"/>
      <c r="L1331" s="711"/>
      <c r="Q1331" s="11"/>
      <c r="R1331" s="11"/>
      <c r="S1331" s="11"/>
      <c r="T1331" s="11"/>
    </row>
    <row r="1332" spans="8:20" x14ac:dyDescent="0.35">
      <c r="H1332" s="711"/>
      <c r="I1332" s="711"/>
      <c r="J1332" s="711"/>
      <c r="K1332" s="711"/>
      <c r="L1332" s="711"/>
      <c r="Q1332" s="11"/>
      <c r="R1332" s="11"/>
      <c r="S1332" s="11"/>
      <c r="T1332" s="11"/>
    </row>
    <row r="1333" spans="8:20" x14ac:dyDescent="0.35">
      <c r="H1333" s="711"/>
      <c r="I1333" s="711"/>
      <c r="J1333" s="711"/>
      <c r="K1333" s="711"/>
      <c r="L1333" s="711"/>
      <c r="Q1333" s="11"/>
      <c r="R1333" s="11"/>
      <c r="S1333" s="11"/>
      <c r="T1333" s="11"/>
    </row>
    <row r="1334" spans="8:20" x14ac:dyDescent="0.35">
      <c r="H1334" s="711"/>
      <c r="I1334" s="711"/>
      <c r="J1334" s="711"/>
      <c r="K1334" s="711"/>
      <c r="L1334" s="711"/>
      <c r="Q1334" s="11"/>
      <c r="R1334" s="11"/>
      <c r="S1334" s="11"/>
      <c r="T1334" s="11"/>
    </row>
    <row r="1335" spans="8:20" x14ac:dyDescent="0.35">
      <c r="H1335" s="711"/>
      <c r="I1335" s="711"/>
      <c r="J1335" s="711"/>
      <c r="K1335" s="711"/>
      <c r="L1335" s="711"/>
      <c r="Q1335" s="11"/>
      <c r="R1335" s="11"/>
      <c r="S1335" s="11"/>
      <c r="T1335" s="11"/>
    </row>
    <row r="1336" spans="8:20" x14ac:dyDescent="0.35">
      <c r="H1336" s="711"/>
      <c r="I1336" s="711"/>
      <c r="J1336" s="711"/>
      <c r="K1336" s="711"/>
      <c r="L1336" s="711"/>
      <c r="Q1336" s="11"/>
      <c r="R1336" s="11"/>
      <c r="S1336" s="11"/>
      <c r="T1336" s="11"/>
    </row>
    <row r="1337" spans="8:20" x14ac:dyDescent="0.35">
      <c r="H1337" s="711"/>
      <c r="I1337" s="711"/>
      <c r="J1337" s="711"/>
      <c r="K1337" s="711"/>
      <c r="L1337" s="711"/>
      <c r="Q1337" s="11"/>
      <c r="R1337" s="11"/>
      <c r="S1337" s="11"/>
      <c r="T1337" s="11"/>
    </row>
    <row r="1338" spans="8:20" x14ac:dyDescent="0.35">
      <c r="H1338" s="711"/>
      <c r="I1338" s="711"/>
      <c r="J1338" s="711"/>
      <c r="K1338" s="711"/>
      <c r="L1338" s="711"/>
      <c r="Q1338" s="11"/>
      <c r="R1338" s="11"/>
      <c r="S1338" s="11"/>
      <c r="T1338" s="11"/>
    </row>
    <row r="1339" spans="8:20" x14ac:dyDescent="0.35">
      <c r="H1339" s="711"/>
      <c r="I1339" s="711"/>
      <c r="J1339" s="711"/>
      <c r="K1339" s="711"/>
      <c r="L1339" s="711"/>
      <c r="Q1339" s="11"/>
      <c r="R1339" s="11"/>
      <c r="S1339" s="11"/>
      <c r="T1339" s="11"/>
    </row>
    <row r="1340" spans="8:20" x14ac:dyDescent="0.35">
      <c r="H1340" s="711"/>
      <c r="I1340" s="711"/>
      <c r="J1340" s="711"/>
      <c r="K1340" s="711"/>
      <c r="L1340" s="711"/>
      <c r="Q1340" s="11"/>
      <c r="R1340" s="11"/>
      <c r="S1340" s="11"/>
      <c r="T1340" s="11"/>
    </row>
    <row r="1341" spans="8:20" x14ac:dyDescent="0.35">
      <c r="H1341" s="711"/>
      <c r="I1341" s="711"/>
      <c r="J1341" s="711"/>
      <c r="K1341" s="711"/>
      <c r="L1341" s="711"/>
      <c r="Q1341" s="11"/>
      <c r="R1341" s="11"/>
      <c r="S1341" s="11"/>
      <c r="T1341" s="11"/>
    </row>
    <row r="1342" spans="8:20" x14ac:dyDescent="0.35">
      <c r="H1342" s="711"/>
      <c r="I1342" s="711"/>
      <c r="J1342" s="711"/>
      <c r="K1342" s="711"/>
      <c r="L1342" s="711"/>
      <c r="Q1342" s="11"/>
      <c r="R1342" s="11"/>
      <c r="S1342" s="11"/>
      <c r="T1342" s="11"/>
    </row>
    <row r="1343" spans="8:20" x14ac:dyDescent="0.35">
      <c r="H1343" s="711"/>
      <c r="I1343" s="711"/>
      <c r="J1343" s="711"/>
      <c r="K1343" s="711"/>
      <c r="L1343" s="711"/>
      <c r="Q1343" s="11"/>
      <c r="R1343" s="11"/>
      <c r="S1343" s="11"/>
      <c r="T1343" s="11"/>
    </row>
    <row r="1344" spans="8:20" x14ac:dyDescent="0.35">
      <c r="H1344" s="711"/>
      <c r="I1344" s="711"/>
      <c r="J1344" s="711"/>
      <c r="K1344" s="711"/>
      <c r="L1344" s="711"/>
      <c r="Q1344" s="11"/>
      <c r="R1344" s="11"/>
      <c r="S1344" s="11"/>
      <c r="T1344" s="11"/>
    </row>
    <row r="1345" spans="8:20" x14ac:dyDescent="0.35">
      <c r="H1345" s="711"/>
      <c r="I1345" s="711"/>
      <c r="J1345" s="711"/>
      <c r="K1345" s="711"/>
      <c r="L1345" s="711"/>
      <c r="Q1345" s="11"/>
      <c r="R1345" s="11"/>
      <c r="S1345" s="11"/>
      <c r="T1345" s="11"/>
    </row>
    <row r="1346" spans="8:20" x14ac:dyDescent="0.35">
      <c r="H1346" s="711"/>
      <c r="I1346" s="711"/>
      <c r="J1346" s="711"/>
      <c r="K1346" s="711"/>
      <c r="L1346" s="711"/>
      <c r="Q1346" s="11"/>
      <c r="R1346" s="11"/>
      <c r="S1346" s="11"/>
      <c r="T1346" s="11"/>
    </row>
    <row r="1347" spans="8:20" x14ac:dyDescent="0.35">
      <c r="H1347" s="711"/>
      <c r="I1347" s="711"/>
      <c r="J1347" s="711"/>
      <c r="K1347" s="711"/>
      <c r="L1347" s="711"/>
      <c r="Q1347" s="11"/>
      <c r="R1347" s="11"/>
      <c r="S1347" s="11"/>
      <c r="T1347" s="11"/>
    </row>
    <row r="1348" spans="8:20" x14ac:dyDescent="0.35">
      <c r="H1348" s="711"/>
      <c r="I1348" s="711"/>
      <c r="J1348" s="711"/>
      <c r="K1348" s="711"/>
      <c r="L1348" s="711"/>
      <c r="Q1348" s="11"/>
      <c r="R1348" s="11"/>
      <c r="S1348" s="11"/>
      <c r="T1348" s="11"/>
    </row>
    <row r="1349" spans="8:20" x14ac:dyDescent="0.35">
      <c r="H1349" s="711"/>
      <c r="I1349" s="711"/>
      <c r="J1349" s="711"/>
      <c r="K1349" s="711"/>
      <c r="L1349" s="711"/>
      <c r="Q1349" s="11"/>
      <c r="R1349" s="11"/>
      <c r="S1349" s="11"/>
      <c r="T1349" s="11"/>
    </row>
    <row r="1350" spans="8:20" x14ac:dyDescent="0.35">
      <c r="H1350" s="711"/>
      <c r="I1350" s="711"/>
      <c r="J1350" s="711"/>
      <c r="K1350" s="711"/>
      <c r="L1350" s="711"/>
      <c r="Q1350" s="11"/>
      <c r="R1350" s="11"/>
      <c r="S1350" s="11"/>
      <c r="T1350" s="11"/>
    </row>
    <row r="1351" spans="8:20" x14ac:dyDescent="0.35">
      <c r="H1351" s="711"/>
      <c r="I1351" s="711"/>
      <c r="J1351" s="711"/>
      <c r="K1351" s="711"/>
      <c r="L1351" s="711"/>
      <c r="Q1351" s="11"/>
      <c r="R1351" s="11"/>
      <c r="S1351" s="11"/>
      <c r="T1351" s="11"/>
    </row>
    <row r="1352" spans="8:20" x14ac:dyDescent="0.35">
      <c r="H1352" s="711"/>
      <c r="I1352" s="711"/>
      <c r="J1352" s="711"/>
      <c r="K1352" s="711"/>
      <c r="L1352" s="711"/>
      <c r="Q1352" s="11"/>
      <c r="R1352" s="11"/>
      <c r="S1352" s="11"/>
      <c r="T1352" s="11"/>
    </row>
    <row r="1353" spans="8:20" x14ac:dyDescent="0.35">
      <c r="H1353" s="711"/>
      <c r="I1353" s="711"/>
      <c r="J1353" s="711"/>
      <c r="K1353" s="711"/>
      <c r="L1353" s="711"/>
      <c r="Q1353" s="11"/>
      <c r="R1353" s="11"/>
      <c r="S1353" s="11"/>
      <c r="T1353" s="11"/>
    </row>
    <row r="1354" spans="8:20" x14ac:dyDescent="0.35">
      <c r="H1354" s="711"/>
      <c r="I1354" s="711"/>
      <c r="J1354" s="711"/>
      <c r="K1354" s="711"/>
      <c r="L1354" s="711"/>
      <c r="Q1354" s="11"/>
      <c r="R1354" s="11"/>
      <c r="S1354" s="11"/>
      <c r="T1354" s="11"/>
    </row>
    <row r="1355" spans="8:20" x14ac:dyDescent="0.35">
      <c r="H1355" s="711"/>
      <c r="I1355" s="711"/>
      <c r="J1355" s="711"/>
      <c r="K1355" s="711"/>
      <c r="L1355" s="711"/>
      <c r="Q1355" s="11"/>
      <c r="R1355" s="11"/>
      <c r="S1355" s="11"/>
      <c r="T1355" s="11"/>
    </row>
    <row r="1356" spans="8:20" x14ac:dyDescent="0.35">
      <c r="H1356" s="711"/>
      <c r="I1356" s="711"/>
      <c r="J1356" s="711"/>
      <c r="K1356" s="711"/>
      <c r="L1356" s="711"/>
      <c r="Q1356" s="11"/>
      <c r="R1356" s="11"/>
      <c r="S1356" s="11"/>
      <c r="T1356" s="11"/>
    </row>
    <row r="1357" spans="8:20" x14ac:dyDescent="0.35">
      <c r="H1357" s="711"/>
      <c r="I1357" s="711"/>
      <c r="J1357" s="711"/>
      <c r="K1357" s="711"/>
      <c r="L1357" s="711"/>
      <c r="Q1357" s="11"/>
      <c r="R1357" s="11"/>
      <c r="S1357" s="11"/>
      <c r="T1357" s="11"/>
    </row>
    <row r="1358" spans="8:20" x14ac:dyDescent="0.35">
      <c r="H1358" s="711"/>
      <c r="I1358" s="711"/>
      <c r="J1358" s="711"/>
      <c r="K1358" s="711"/>
      <c r="L1358" s="711"/>
      <c r="Q1358" s="11"/>
      <c r="R1358" s="11"/>
      <c r="S1358" s="11"/>
      <c r="T1358" s="11"/>
    </row>
    <row r="1359" spans="8:20" x14ac:dyDescent="0.35">
      <c r="H1359" s="711"/>
      <c r="I1359" s="711"/>
      <c r="J1359" s="711"/>
      <c r="K1359" s="711"/>
      <c r="L1359" s="711"/>
      <c r="Q1359" s="11"/>
      <c r="R1359" s="11"/>
      <c r="S1359" s="11"/>
      <c r="T1359" s="11"/>
    </row>
    <row r="1360" spans="8:20" x14ac:dyDescent="0.35">
      <c r="H1360" s="711"/>
      <c r="I1360" s="711"/>
      <c r="J1360" s="711"/>
      <c r="K1360" s="711"/>
      <c r="L1360" s="711"/>
      <c r="Q1360" s="11"/>
      <c r="R1360" s="11"/>
      <c r="S1360" s="11"/>
      <c r="T1360" s="11"/>
    </row>
    <row r="1361" spans="8:20" x14ac:dyDescent="0.35">
      <c r="H1361" s="711"/>
      <c r="I1361" s="711"/>
      <c r="J1361" s="711"/>
      <c r="K1361" s="711"/>
      <c r="L1361" s="711"/>
      <c r="Q1361" s="11"/>
      <c r="R1361" s="11"/>
      <c r="S1361" s="11"/>
      <c r="T1361" s="11"/>
    </row>
    <row r="1362" spans="8:20" x14ac:dyDescent="0.35">
      <c r="H1362" s="711"/>
      <c r="I1362" s="711"/>
      <c r="J1362" s="711"/>
      <c r="K1362" s="711"/>
      <c r="L1362" s="711"/>
      <c r="Q1362" s="11"/>
      <c r="R1362" s="11"/>
      <c r="S1362" s="11"/>
      <c r="T1362" s="11"/>
    </row>
    <row r="1363" spans="8:20" x14ac:dyDescent="0.35">
      <c r="H1363" s="711"/>
      <c r="I1363" s="711"/>
      <c r="J1363" s="711"/>
      <c r="K1363" s="711"/>
      <c r="L1363" s="711"/>
      <c r="Q1363" s="11"/>
      <c r="R1363" s="11"/>
      <c r="S1363" s="11"/>
      <c r="T1363" s="11"/>
    </row>
    <row r="1364" spans="8:20" x14ac:dyDescent="0.35">
      <c r="H1364" s="711"/>
      <c r="I1364" s="711"/>
      <c r="J1364" s="711"/>
      <c r="K1364" s="711"/>
      <c r="L1364" s="711"/>
      <c r="Q1364" s="11"/>
      <c r="R1364" s="11"/>
      <c r="S1364" s="11"/>
      <c r="T1364" s="11"/>
    </row>
    <row r="1365" spans="8:20" x14ac:dyDescent="0.35">
      <c r="H1365" s="711"/>
      <c r="I1365" s="711"/>
      <c r="J1365" s="711"/>
      <c r="K1365" s="711"/>
      <c r="L1365" s="711"/>
      <c r="Q1365" s="11"/>
      <c r="R1365" s="11"/>
      <c r="S1365" s="11"/>
      <c r="T1365" s="11"/>
    </row>
    <row r="1366" spans="8:20" x14ac:dyDescent="0.35">
      <c r="H1366" s="711"/>
      <c r="I1366" s="711"/>
      <c r="J1366" s="711"/>
      <c r="K1366" s="711"/>
      <c r="L1366" s="711"/>
      <c r="Q1366" s="11"/>
      <c r="R1366" s="11"/>
      <c r="S1366" s="11"/>
      <c r="T1366" s="11"/>
    </row>
    <row r="1367" spans="8:20" x14ac:dyDescent="0.35">
      <c r="H1367" s="711"/>
      <c r="I1367" s="711"/>
      <c r="J1367" s="711"/>
      <c r="K1367" s="711"/>
      <c r="L1367" s="711"/>
      <c r="Q1367" s="11"/>
      <c r="R1367" s="11"/>
      <c r="S1367" s="11"/>
      <c r="T1367" s="11"/>
    </row>
    <row r="1368" spans="8:20" x14ac:dyDescent="0.35">
      <c r="H1368" s="711"/>
      <c r="I1368" s="711"/>
      <c r="J1368" s="711"/>
      <c r="K1368" s="711"/>
      <c r="L1368" s="711"/>
      <c r="Q1368" s="11"/>
      <c r="R1368" s="11"/>
      <c r="S1368" s="11"/>
      <c r="T1368" s="11"/>
    </row>
    <row r="1369" spans="8:20" x14ac:dyDescent="0.35">
      <c r="H1369" s="711"/>
      <c r="I1369" s="711"/>
      <c r="J1369" s="711"/>
      <c r="K1369" s="711"/>
      <c r="L1369" s="711"/>
      <c r="Q1369" s="11"/>
      <c r="R1369" s="11"/>
      <c r="S1369" s="11"/>
      <c r="T1369" s="11"/>
    </row>
    <row r="1370" spans="8:20" x14ac:dyDescent="0.35">
      <c r="H1370" s="711"/>
      <c r="I1370" s="711"/>
      <c r="J1370" s="711"/>
      <c r="K1370" s="711"/>
      <c r="L1370" s="711"/>
      <c r="Q1370" s="11"/>
      <c r="R1370" s="11"/>
      <c r="S1370" s="11"/>
      <c r="T1370" s="11"/>
    </row>
    <row r="1371" spans="8:20" x14ac:dyDescent="0.35">
      <c r="H1371" s="711"/>
      <c r="I1371" s="711"/>
      <c r="J1371" s="711"/>
      <c r="K1371" s="711"/>
      <c r="L1371" s="711"/>
      <c r="Q1371" s="11"/>
      <c r="R1371" s="11"/>
      <c r="S1371" s="11"/>
      <c r="T1371" s="11"/>
    </row>
    <row r="1372" spans="8:20" x14ac:dyDescent="0.35">
      <c r="H1372" s="711"/>
      <c r="I1372" s="711"/>
      <c r="J1372" s="711"/>
      <c r="K1372" s="711"/>
      <c r="L1372" s="711"/>
      <c r="Q1372" s="11"/>
      <c r="R1372" s="11"/>
      <c r="S1372" s="11"/>
      <c r="T1372" s="11"/>
    </row>
    <row r="1373" spans="8:20" x14ac:dyDescent="0.35">
      <c r="H1373" s="711"/>
      <c r="I1373" s="711"/>
      <c r="J1373" s="711"/>
      <c r="K1373" s="711"/>
      <c r="L1373" s="711"/>
      <c r="Q1373" s="11"/>
      <c r="R1373" s="11"/>
      <c r="S1373" s="11"/>
      <c r="T1373" s="11"/>
    </row>
    <row r="1374" spans="8:20" x14ac:dyDescent="0.35">
      <c r="H1374" s="711"/>
      <c r="I1374" s="711"/>
      <c r="J1374" s="711"/>
      <c r="K1374" s="711"/>
      <c r="L1374" s="711"/>
      <c r="Q1374" s="11"/>
      <c r="R1374" s="11"/>
      <c r="S1374" s="11"/>
      <c r="T1374" s="11"/>
    </row>
    <row r="1375" spans="8:20" x14ac:dyDescent="0.35">
      <c r="H1375" s="711"/>
      <c r="I1375" s="711"/>
      <c r="J1375" s="711"/>
      <c r="K1375" s="711"/>
      <c r="L1375" s="711"/>
      <c r="Q1375" s="11"/>
      <c r="R1375" s="11"/>
      <c r="S1375" s="11"/>
      <c r="T1375" s="11"/>
    </row>
    <row r="1376" spans="8:20" x14ac:dyDescent="0.35">
      <c r="H1376" s="711"/>
      <c r="I1376" s="711"/>
      <c r="J1376" s="711"/>
      <c r="K1376" s="711"/>
      <c r="L1376" s="711"/>
      <c r="Q1376" s="11"/>
      <c r="R1376" s="11"/>
      <c r="S1376" s="11"/>
      <c r="T1376" s="11"/>
    </row>
    <row r="1377" spans="8:20" x14ac:dyDescent="0.35">
      <c r="H1377" s="711"/>
      <c r="I1377" s="711"/>
      <c r="J1377" s="711"/>
      <c r="K1377" s="711"/>
      <c r="L1377" s="711"/>
      <c r="Q1377" s="11"/>
      <c r="R1377" s="11"/>
      <c r="S1377" s="11"/>
      <c r="T1377" s="11"/>
    </row>
    <row r="1378" spans="8:20" x14ac:dyDescent="0.35">
      <c r="H1378" s="711"/>
      <c r="I1378" s="711"/>
      <c r="J1378" s="711"/>
      <c r="K1378" s="711"/>
      <c r="L1378" s="711"/>
      <c r="Q1378" s="11"/>
      <c r="R1378" s="11"/>
      <c r="S1378" s="11"/>
      <c r="T1378" s="11"/>
    </row>
    <row r="1379" spans="8:20" x14ac:dyDescent="0.35">
      <c r="H1379" s="711"/>
      <c r="I1379" s="711"/>
      <c r="J1379" s="711"/>
      <c r="K1379" s="711"/>
      <c r="L1379" s="711"/>
      <c r="Q1379" s="11"/>
      <c r="R1379" s="11"/>
      <c r="S1379" s="11"/>
      <c r="T1379" s="11"/>
    </row>
    <row r="1380" spans="8:20" x14ac:dyDescent="0.35">
      <c r="H1380" s="711"/>
      <c r="I1380" s="711"/>
      <c r="J1380" s="711"/>
      <c r="K1380" s="711"/>
      <c r="L1380" s="711"/>
      <c r="Q1380" s="11"/>
      <c r="R1380" s="11"/>
      <c r="S1380" s="11"/>
      <c r="T1380" s="11"/>
    </row>
    <row r="1381" spans="8:20" x14ac:dyDescent="0.35">
      <c r="H1381" s="711"/>
      <c r="I1381" s="711"/>
      <c r="J1381" s="711"/>
      <c r="K1381" s="711"/>
      <c r="L1381" s="711"/>
      <c r="Q1381" s="11"/>
      <c r="R1381" s="11"/>
      <c r="S1381" s="11"/>
      <c r="T1381" s="11"/>
    </row>
    <row r="1382" spans="8:20" x14ac:dyDescent="0.35">
      <c r="H1382" s="711"/>
      <c r="I1382" s="711"/>
      <c r="J1382" s="711"/>
      <c r="K1382" s="711"/>
      <c r="L1382" s="711"/>
      <c r="Q1382" s="11"/>
      <c r="R1382" s="11"/>
      <c r="S1382" s="11"/>
      <c r="T1382" s="11"/>
    </row>
    <row r="1383" spans="8:20" x14ac:dyDescent="0.35">
      <c r="H1383" s="711"/>
      <c r="I1383" s="711"/>
      <c r="J1383" s="711"/>
      <c r="K1383" s="711"/>
      <c r="L1383" s="711"/>
      <c r="Q1383" s="11"/>
      <c r="R1383" s="11"/>
      <c r="S1383" s="11"/>
      <c r="T1383" s="11"/>
    </row>
    <row r="1384" spans="8:20" x14ac:dyDescent="0.35">
      <c r="H1384" s="711"/>
      <c r="I1384" s="711"/>
      <c r="J1384" s="711"/>
      <c r="K1384" s="711"/>
      <c r="L1384" s="711"/>
      <c r="Q1384" s="11"/>
      <c r="R1384" s="11"/>
      <c r="S1384" s="11"/>
      <c r="T1384" s="11"/>
    </row>
    <row r="1385" spans="8:20" x14ac:dyDescent="0.35">
      <c r="H1385" s="711"/>
      <c r="I1385" s="711"/>
      <c r="J1385" s="711"/>
      <c r="K1385" s="711"/>
      <c r="L1385" s="711"/>
      <c r="Q1385" s="11"/>
      <c r="R1385" s="11"/>
      <c r="S1385" s="11"/>
      <c r="T1385" s="11"/>
    </row>
    <row r="1386" spans="8:20" x14ac:dyDescent="0.35">
      <c r="H1386" s="711"/>
      <c r="I1386" s="711"/>
      <c r="J1386" s="711"/>
      <c r="K1386" s="711"/>
      <c r="L1386" s="711"/>
      <c r="Q1386" s="11"/>
      <c r="R1386" s="11"/>
      <c r="S1386" s="11"/>
      <c r="T1386" s="11"/>
    </row>
    <row r="1387" spans="8:20" x14ac:dyDescent="0.35">
      <c r="H1387" s="711"/>
      <c r="I1387" s="711"/>
      <c r="J1387" s="711"/>
      <c r="K1387" s="711"/>
      <c r="L1387" s="711"/>
      <c r="Q1387" s="11"/>
      <c r="R1387" s="11"/>
      <c r="S1387" s="11"/>
      <c r="T1387" s="11"/>
    </row>
    <row r="1388" spans="8:20" x14ac:dyDescent="0.35">
      <c r="H1388" s="711"/>
      <c r="I1388" s="711"/>
      <c r="J1388" s="711"/>
      <c r="K1388" s="711"/>
      <c r="L1388" s="711"/>
      <c r="Q1388" s="11"/>
      <c r="R1388" s="11"/>
      <c r="S1388" s="11"/>
      <c r="T1388" s="11"/>
    </row>
    <row r="1389" spans="8:20" x14ac:dyDescent="0.35">
      <c r="H1389" s="711"/>
      <c r="I1389" s="711"/>
      <c r="J1389" s="711"/>
      <c r="K1389" s="711"/>
      <c r="L1389" s="711"/>
      <c r="Q1389" s="11"/>
      <c r="R1389" s="11"/>
      <c r="S1389" s="11"/>
      <c r="T1389" s="11"/>
    </row>
    <row r="1390" spans="8:20" x14ac:dyDescent="0.35">
      <c r="H1390" s="711"/>
      <c r="I1390" s="711"/>
      <c r="J1390" s="711"/>
      <c r="K1390" s="711"/>
      <c r="L1390" s="711"/>
      <c r="Q1390" s="11"/>
      <c r="R1390" s="11"/>
      <c r="S1390" s="11"/>
      <c r="T1390" s="11"/>
    </row>
    <row r="1391" spans="8:20" x14ac:dyDescent="0.35">
      <c r="H1391" s="711"/>
      <c r="I1391" s="711"/>
      <c r="J1391" s="711"/>
      <c r="K1391" s="711"/>
      <c r="L1391" s="711"/>
      <c r="Q1391" s="11"/>
      <c r="R1391" s="11"/>
      <c r="S1391" s="11"/>
      <c r="T1391" s="11"/>
    </row>
    <row r="1392" spans="8:20" x14ac:dyDescent="0.35">
      <c r="H1392" s="711"/>
      <c r="I1392" s="711"/>
      <c r="J1392" s="711"/>
      <c r="K1392" s="711"/>
      <c r="L1392" s="711"/>
      <c r="Q1392" s="11"/>
      <c r="R1392" s="11"/>
      <c r="S1392" s="11"/>
      <c r="T1392" s="11"/>
    </row>
    <row r="1393" spans="8:20" x14ac:dyDescent="0.35">
      <c r="H1393" s="711"/>
      <c r="I1393" s="711"/>
      <c r="J1393" s="711"/>
      <c r="K1393" s="711"/>
      <c r="L1393" s="711"/>
      <c r="Q1393" s="11"/>
      <c r="R1393" s="11"/>
      <c r="S1393" s="11"/>
      <c r="T1393" s="11"/>
    </row>
    <row r="1394" spans="8:20" x14ac:dyDescent="0.35">
      <c r="H1394" s="711"/>
      <c r="I1394" s="711"/>
      <c r="J1394" s="711"/>
      <c r="K1394" s="711"/>
      <c r="L1394" s="711"/>
      <c r="Q1394" s="11"/>
      <c r="R1394" s="11"/>
      <c r="S1394" s="11"/>
      <c r="T1394" s="11"/>
    </row>
    <row r="1395" spans="8:20" x14ac:dyDescent="0.35">
      <c r="H1395" s="711"/>
      <c r="I1395" s="711"/>
      <c r="J1395" s="711"/>
      <c r="K1395" s="711"/>
      <c r="L1395" s="711"/>
      <c r="Q1395" s="11"/>
      <c r="R1395" s="11"/>
      <c r="S1395" s="11"/>
      <c r="T1395" s="11"/>
    </row>
    <row r="1396" spans="8:20" x14ac:dyDescent="0.35">
      <c r="H1396" s="711"/>
      <c r="I1396" s="711"/>
      <c r="J1396" s="711"/>
      <c r="K1396" s="711"/>
      <c r="L1396" s="711"/>
      <c r="Q1396" s="11"/>
      <c r="R1396" s="11"/>
      <c r="S1396" s="11"/>
      <c r="T1396" s="11"/>
    </row>
    <row r="1397" spans="8:20" x14ac:dyDescent="0.35">
      <c r="H1397" s="711"/>
      <c r="I1397" s="711"/>
      <c r="J1397" s="711"/>
      <c r="K1397" s="711"/>
      <c r="L1397" s="711"/>
      <c r="Q1397" s="11"/>
      <c r="R1397" s="11"/>
      <c r="S1397" s="11"/>
      <c r="T1397" s="11"/>
    </row>
    <row r="1398" spans="8:20" x14ac:dyDescent="0.35">
      <c r="H1398" s="711"/>
      <c r="I1398" s="711"/>
      <c r="J1398" s="711"/>
      <c r="K1398" s="711"/>
      <c r="L1398" s="711"/>
      <c r="Q1398" s="11"/>
      <c r="R1398" s="11"/>
      <c r="S1398" s="11"/>
      <c r="T1398" s="11"/>
    </row>
    <row r="1399" spans="8:20" x14ac:dyDescent="0.35">
      <c r="H1399" s="711"/>
      <c r="I1399" s="711"/>
      <c r="J1399" s="711"/>
      <c r="K1399" s="711"/>
      <c r="L1399" s="711"/>
      <c r="Q1399" s="11"/>
      <c r="R1399" s="11"/>
      <c r="S1399" s="11"/>
      <c r="T1399" s="11"/>
    </row>
    <row r="1400" spans="8:20" x14ac:dyDescent="0.35">
      <c r="H1400" s="711"/>
      <c r="I1400" s="711"/>
      <c r="J1400" s="711"/>
      <c r="K1400" s="711"/>
      <c r="L1400" s="711"/>
      <c r="Q1400" s="11"/>
      <c r="R1400" s="11"/>
      <c r="S1400" s="11"/>
      <c r="T1400" s="11"/>
    </row>
    <row r="1401" spans="8:20" x14ac:dyDescent="0.35">
      <c r="H1401" s="711"/>
      <c r="I1401" s="711"/>
      <c r="J1401" s="711"/>
      <c r="K1401" s="711"/>
      <c r="L1401" s="711"/>
      <c r="Q1401" s="11"/>
      <c r="R1401" s="11"/>
      <c r="S1401" s="11"/>
      <c r="T1401" s="11"/>
    </row>
    <row r="1402" spans="8:20" x14ac:dyDescent="0.35">
      <c r="H1402" s="711"/>
      <c r="I1402" s="711"/>
      <c r="J1402" s="711"/>
      <c r="K1402" s="711"/>
      <c r="L1402" s="711"/>
      <c r="Q1402" s="11"/>
      <c r="R1402" s="11"/>
      <c r="S1402" s="11"/>
      <c r="T1402" s="11"/>
    </row>
    <row r="1403" spans="8:20" x14ac:dyDescent="0.35">
      <c r="H1403" s="711"/>
      <c r="I1403" s="711"/>
      <c r="J1403" s="711"/>
      <c r="K1403" s="711"/>
      <c r="L1403" s="711"/>
      <c r="Q1403" s="11"/>
      <c r="R1403" s="11"/>
      <c r="S1403" s="11"/>
      <c r="T1403" s="11"/>
    </row>
    <row r="1404" spans="8:20" x14ac:dyDescent="0.35">
      <c r="H1404" s="711"/>
      <c r="I1404" s="711"/>
      <c r="J1404" s="711"/>
      <c r="K1404" s="711"/>
      <c r="L1404" s="711"/>
      <c r="Q1404" s="11"/>
      <c r="R1404" s="11"/>
      <c r="S1404" s="11"/>
      <c r="T1404" s="11"/>
    </row>
    <row r="1405" spans="8:20" x14ac:dyDescent="0.35">
      <c r="H1405" s="711"/>
      <c r="I1405" s="711"/>
      <c r="J1405" s="711"/>
      <c r="K1405" s="711"/>
      <c r="L1405" s="711"/>
      <c r="Q1405" s="11"/>
      <c r="R1405" s="11"/>
      <c r="S1405" s="11"/>
      <c r="T1405" s="11"/>
    </row>
    <row r="1406" spans="8:20" x14ac:dyDescent="0.35">
      <c r="H1406" s="711"/>
      <c r="I1406" s="711"/>
      <c r="J1406" s="711"/>
      <c r="K1406" s="711"/>
      <c r="L1406" s="711"/>
      <c r="Q1406" s="11"/>
      <c r="R1406" s="11"/>
      <c r="S1406" s="11"/>
      <c r="T1406" s="11"/>
    </row>
    <row r="1407" spans="8:20" x14ac:dyDescent="0.35">
      <c r="H1407" s="711"/>
      <c r="I1407" s="711"/>
      <c r="J1407" s="711"/>
      <c r="K1407" s="711"/>
      <c r="L1407" s="711"/>
      <c r="Q1407" s="11"/>
      <c r="R1407" s="11"/>
      <c r="S1407" s="11"/>
      <c r="T1407" s="11"/>
    </row>
    <row r="1408" spans="8:20" x14ac:dyDescent="0.35">
      <c r="H1408" s="711"/>
      <c r="I1408" s="711"/>
      <c r="J1408" s="711"/>
      <c r="K1408" s="711"/>
      <c r="L1408" s="711"/>
      <c r="Q1408" s="11"/>
      <c r="R1408" s="11"/>
      <c r="S1408" s="11"/>
      <c r="T1408" s="11"/>
    </row>
    <row r="1409" spans="8:20" x14ac:dyDescent="0.35">
      <c r="H1409" s="711"/>
      <c r="I1409" s="711"/>
      <c r="J1409" s="711"/>
      <c r="K1409" s="711"/>
      <c r="L1409" s="711"/>
      <c r="Q1409" s="11"/>
      <c r="R1409" s="11"/>
      <c r="S1409" s="11"/>
      <c r="T1409" s="11"/>
    </row>
    <row r="1410" spans="8:20" x14ac:dyDescent="0.35">
      <c r="H1410" s="711"/>
      <c r="I1410" s="711"/>
      <c r="J1410" s="711"/>
      <c r="K1410" s="711"/>
      <c r="L1410" s="711"/>
      <c r="Q1410" s="11"/>
      <c r="R1410" s="11"/>
      <c r="S1410" s="11"/>
      <c r="T1410" s="11"/>
    </row>
    <row r="1411" spans="8:20" x14ac:dyDescent="0.35">
      <c r="H1411" s="711"/>
      <c r="I1411" s="711"/>
      <c r="J1411" s="711"/>
      <c r="K1411" s="711"/>
      <c r="L1411" s="711"/>
      <c r="Q1411" s="11"/>
      <c r="R1411" s="11"/>
      <c r="S1411" s="11"/>
      <c r="T1411" s="11"/>
    </row>
    <row r="1412" spans="8:20" x14ac:dyDescent="0.35">
      <c r="H1412" s="711"/>
      <c r="I1412" s="711"/>
      <c r="J1412" s="711"/>
      <c r="K1412" s="711"/>
      <c r="L1412" s="711"/>
      <c r="Q1412" s="11"/>
      <c r="R1412" s="11"/>
      <c r="S1412" s="11"/>
      <c r="T1412" s="11"/>
    </row>
    <row r="1413" spans="8:20" x14ac:dyDescent="0.35">
      <c r="H1413" s="711"/>
      <c r="I1413" s="711"/>
      <c r="J1413" s="711"/>
      <c r="K1413" s="711"/>
      <c r="L1413" s="711"/>
      <c r="Q1413" s="11"/>
      <c r="R1413" s="11"/>
      <c r="S1413" s="11"/>
      <c r="T1413" s="11"/>
    </row>
    <row r="1414" spans="8:20" x14ac:dyDescent="0.35">
      <c r="H1414" s="711"/>
      <c r="I1414" s="711"/>
      <c r="J1414" s="711"/>
      <c r="K1414" s="711"/>
      <c r="L1414" s="711"/>
      <c r="Q1414" s="11"/>
      <c r="R1414" s="11"/>
      <c r="S1414" s="11"/>
      <c r="T1414" s="11"/>
    </row>
    <row r="1415" spans="8:20" x14ac:dyDescent="0.35">
      <c r="H1415" s="711"/>
      <c r="I1415" s="711"/>
      <c r="J1415" s="711"/>
      <c r="K1415" s="711"/>
      <c r="L1415" s="711"/>
      <c r="Q1415" s="11"/>
      <c r="R1415" s="11"/>
      <c r="S1415" s="11"/>
      <c r="T1415" s="11"/>
    </row>
    <row r="1416" spans="8:20" x14ac:dyDescent="0.35">
      <c r="H1416" s="711"/>
      <c r="I1416" s="711"/>
      <c r="J1416" s="711"/>
      <c r="K1416" s="711"/>
      <c r="L1416" s="711"/>
      <c r="Q1416" s="11"/>
      <c r="R1416" s="11"/>
      <c r="S1416" s="11"/>
      <c r="T1416" s="11"/>
    </row>
    <row r="1417" spans="8:20" x14ac:dyDescent="0.35">
      <c r="H1417" s="711"/>
      <c r="I1417" s="711"/>
      <c r="J1417" s="711"/>
      <c r="K1417" s="711"/>
      <c r="L1417" s="711"/>
      <c r="Q1417" s="11"/>
      <c r="R1417" s="11"/>
      <c r="S1417" s="11"/>
      <c r="T1417" s="11"/>
    </row>
    <row r="1418" spans="8:20" x14ac:dyDescent="0.35">
      <c r="H1418" s="711"/>
      <c r="I1418" s="711"/>
      <c r="J1418" s="711"/>
      <c r="K1418" s="711"/>
      <c r="L1418" s="711"/>
      <c r="Q1418" s="11"/>
      <c r="R1418" s="11"/>
      <c r="S1418" s="11"/>
      <c r="T1418" s="11"/>
    </row>
    <row r="1419" spans="8:20" x14ac:dyDescent="0.35">
      <c r="H1419" s="711"/>
      <c r="I1419" s="711"/>
      <c r="J1419" s="711"/>
      <c r="K1419" s="711"/>
      <c r="L1419" s="711"/>
      <c r="Q1419" s="11"/>
      <c r="R1419" s="11"/>
      <c r="S1419" s="11"/>
      <c r="T1419" s="11"/>
    </row>
    <row r="1420" spans="8:20" x14ac:dyDescent="0.35">
      <c r="H1420" s="711"/>
      <c r="I1420" s="711"/>
      <c r="J1420" s="711"/>
      <c r="K1420" s="711"/>
      <c r="L1420" s="711"/>
      <c r="Q1420" s="11"/>
      <c r="R1420" s="11"/>
      <c r="S1420" s="11"/>
      <c r="T1420" s="11"/>
    </row>
    <row r="1421" spans="8:20" x14ac:dyDescent="0.35">
      <c r="H1421" s="711"/>
      <c r="I1421" s="711"/>
      <c r="J1421" s="711"/>
      <c r="K1421" s="711"/>
      <c r="L1421" s="711"/>
      <c r="Q1421" s="11"/>
      <c r="R1421" s="11"/>
      <c r="S1421" s="11"/>
      <c r="T1421" s="11"/>
    </row>
    <row r="1422" spans="8:20" x14ac:dyDescent="0.35">
      <c r="H1422" s="711"/>
      <c r="I1422" s="711"/>
      <c r="J1422" s="711"/>
      <c r="K1422" s="711"/>
      <c r="L1422" s="711"/>
      <c r="Q1422" s="11"/>
      <c r="R1422" s="11"/>
      <c r="S1422" s="11"/>
      <c r="T1422" s="11"/>
    </row>
    <row r="1423" spans="8:20" x14ac:dyDescent="0.35">
      <c r="H1423" s="711"/>
      <c r="I1423" s="711"/>
      <c r="J1423" s="711"/>
      <c r="K1423" s="711"/>
      <c r="L1423" s="711"/>
      <c r="Q1423" s="11"/>
      <c r="R1423" s="11"/>
      <c r="S1423" s="11"/>
      <c r="T1423" s="11"/>
    </row>
    <row r="1424" spans="8:20" x14ac:dyDescent="0.35">
      <c r="H1424" s="711"/>
      <c r="I1424" s="711"/>
      <c r="J1424" s="711"/>
      <c r="K1424" s="711"/>
      <c r="L1424" s="711"/>
      <c r="Q1424" s="11"/>
      <c r="R1424" s="11"/>
      <c r="S1424" s="11"/>
      <c r="T1424" s="11"/>
    </row>
    <row r="1425" spans="8:20" x14ac:dyDescent="0.35">
      <c r="H1425" s="711"/>
      <c r="I1425" s="711"/>
      <c r="J1425" s="711"/>
      <c r="K1425" s="711"/>
      <c r="L1425" s="711"/>
      <c r="Q1425" s="11"/>
      <c r="R1425" s="11"/>
      <c r="S1425" s="11"/>
      <c r="T1425" s="11"/>
    </row>
    <row r="1426" spans="8:20" x14ac:dyDescent="0.35">
      <c r="H1426" s="711"/>
      <c r="I1426" s="711"/>
      <c r="J1426" s="711"/>
      <c r="K1426" s="711"/>
      <c r="L1426" s="711"/>
      <c r="Q1426" s="11"/>
      <c r="R1426" s="11"/>
      <c r="S1426" s="11"/>
      <c r="T1426" s="11"/>
    </row>
    <row r="1427" spans="8:20" x14ac:dyDescent="0.35">
      <c r="H1427" s="711"/>
      <c r="I1427" s="711"/>
      <c r="J1427" s="711"/>
      <c r="K1427" s="711"/>
      <c r="L1427" s="711"/>
      <c r="Q1427" s="11"/>
      <c r="R1427" s="11"/>
      <c r="S1427" s="11"/>
      <c r="T1427" s="11"/>
    </row>
    <row r="1428" spans="8:20" x14ac:dyDescent="0.35">
      <c r="H1428" s="711"/>
      <c r="I1428" s="711"/>
      <c r="J1428" s="711"/>
      <c r="K1428" s="711"/>
      <c r="L1428" s="711"/>
      <c r="Q1428" s="11"/>
      <c r="R1428" s="11"/>
      <c r="S1428" s="11"/>
      <c r="T1428" s="11"/>
    </row>
    <row r="1429" spans="8:20" x14ac:dyDescent="0.35">
      <c r="H1429" s="711"/>
      <c r="I1429" s="711"/>
      <c r="J1429" s="711"/>
      <c r="K1429" s="711"/>
      <c r="L1429" s="711"/>
      <c r="Q1429" s="11"/>
      <c r="R1429" s="11"/>
      <c r="S1429" s="11"/>
      <c r="T1429" s="11"/>
    </row>
    <row r="1430" spans="8:20" x14ac:dyDescent="0.35">
      <c r="H1430" s="711"/>
      <c r="I1430" s="711"/>
      <c r="J1430" s="711"/>
      <c r="K1430" s="711"/>
      <c r="L1430" s="711"/>
      <c r="Q1430" s="11"/>
      <c r="R1430" s="11"/>
      <c r="S1430" s="11"/>
      <c r="T1430" s="11"/>
    </row>
    <row r="1431" spans="8:20" x14ac:dyDescent="0.35">
      <c r="H1431" s="711"/>
      <c r="I1431" s="711"/>
      <c r="J1431" s="711"/>
      <c r="K1431" s="711"/>
      <c r="L1431" s="711"/>
      <c r="Q1431" s="11"/>
      <c r="R1431" s="11"/>
      <c r="S1431" s="11"/>
      <c r="T1431" s="11"/>
    </row>
    <row r="1432" spans="8:20" x14ac:dyDescent="0.35">
      <c r="H1432" s="711"/>
      <c r="I1432" s="711"/>
      <c r="J1432" s="711"/>
      <c r="K1432" s="711"/>
      <c r="L1432" s="711"/>
      <c r="Q1432" s="11"/>
      <c r="R1432" s="11"/>
      <c r="S1432" s="11"/>
      <c r="T1432" s="11"/>
    </row>
    <row r="1433" spans="8:20" x14ac:dyDescent="0.35">
      <c r="H1433" s="711"/>
      <c r="I1433" s="711"/>
      <c r="J1433" s="711"/>
      <c r="K1433" s="711"/>
      <c r="L1433" s="711"/>
      <c r="Q1433" s="11"/>
      <c r="R1433" s="11"/>
      <c r="S1433" s="11"/>
      <c r="T1433" s="11"/>
    </row>
    <row r="1434" spans="8:20" x14ac:dyDescent="0.35">
      <c r="H1434" s="711"/>
      <c r="I1434" s="711"/>
      <c r="J1434" s="711"/>
      <c r="K1434" s="711"/>
      <c r="L1434" s="711"/>
      <c r="Q1434" s="11"/>
      <c r="R1434" s="11"/>
      <c r="S1434" s="11"/>
      <c r="T1434" s="11"/>
    </row>
    <row r="1435" spans="8:20" x14ac:dyDescent="0.35">
      <c r="H1435" s="711"/>
      <c r="I1435" s="711"/>
      <c r="J1435" s="711"/>
      <c r="K1435" s="711"/>
      <c r="L1435" s="711"/>
      <c r="Q1435" s="11"/>
      <c r="R1435" s="11"/>
      <c r="S1435" s="11"/>
      <c r="T1435" s="11"/>
    </row>
    <row r="1436" spans="8:20" x14ac:dyDescent="0.35">
      <c r="H1436" s="711"/>
      <c r="I1436" s="711"/>
      <c r="J1436" s="711"/>
      <c r="K1436" s="711"/>
      <c r="L1436" s="711"/>
      <c r="Q1436" s="11"/>
      <c r="R1436" s="11"/>
      <c r="S1436" s="11"/>
      <c r="T1436" s="11"/>
    </row>
    <row r="1437" spans="8:20" x14ac:dyDescent="0.35">
      <c r="H1437" s="711"/>
      <c r="I1437" s="711"/>
      <c r="J1437" s="711"/>
      <c r="K1437" s="711"/>
      <c r="L1437" s="711"/>
      <c r="Q1437" s="11"/>
      <c r="R1437" s="11"/>
      <c r="S1437" s="11"/>
      <c r="T1437" s="11"/>
    </row>
    <row r="1438" spans="8:20" x14ac:dyDescent="0.35">
      <c r="H1438" s="711"/>
      <c r="I1438" s="711"/>
      <c r="J1438" s="711"/>
      <c r="K1438" s="711"/>
      <c r="L1438" s="711"/>
      <c r="Q1438" s="11"/>
      <c r="R1438" s="11"/>
      <c r="S1438" s="11"/>
      <c r="T1438" s="11"/>
    </row>
    <row r="1439" spans="8:20" x14ac:dyDescent="0.35">
      <c r="H1439" s="711"/>
      <c r="I1439" s="711"/>
      <c r="J1439" s="711"/>
      <c r="K1439" s="711"/>
      <c r="L1439" s="711"/>
      <c r="Q1439" s="11"/>
      <c r="R1439" s="11"/>
      <c r="S1439" s="11"/>
      <c r="T1439" s="11"/>
    </row>
    <row r="1440" spans="8:20" x14ac:dyDescent="0.35">
      <c r="H1440" s="711"/>
      <c r="I1440" s="711"/>
      <c r="J1440" s="711"/>
      <c r="K1440" s="711"/>
      <c r="L1440" s="711"/>
      <c r="Q1440" s="11"/>
      <c r="R1440" s="11"/>
      <c r="S1440" s="11"/>
      <c r="T1440" s="11"/>
    </row>
    <row r="1441" spans="8:20" x14ac:dyDescent="0.35">
      <c r="H1441" s="711"/>
      <c r="I1441" s="711"/>
      <c r="J1441" s="711"/>
      <c r="K1441" s="711"/>
      <c r="L1441" s="711"/>
      <c r="Q1441" s="11"/>
      <c r="R1441" s="11"/>
      <c r="S1441" s="11"/>
      <c r="T1441" s="11"/>
    </row>
    <row r="1442" spans="8:20" x14ac:dyDescent="0.35">
      <c r="H1442" s="711"/>
      <c r="I1442" s="711"/>
      <c r="J1442" s="711"/>
      <c r="K1442" s="711"/>
      <c r="L1442" s="711"/>
      <c r="Q1442" s="11"/>
      <c r="R1442" s="11"/>
      <c r="S1442" s="11"/>
      <c r="T1442" s="11"/>
    </row>
    <row r="1443" spans="8:20" x14ac:dyDescent="0.35">
      <c r="H1443" s="711"/>
      <c r="I1443" s="711"/>
      <c r="J1443" s="711"/>
      <c r="K1443" s="711"/>
      <c r="L1443" s="711"/>
      <c r="Q1443" s="11"/>
      <c r="R1443" s="11"/>
      <c r="S1443" s="11"/>
      <c r="T1443" s="11"/>
    </row>
    <row r="1444" spans="8:20" x14ac:dyDescent="0.35">
      <c r="H1444" s="711"/>
      <c r="I1444" s="711"/>
      <c r="J1444" s="711"/>
      <c r="K1444" s="711"/>
      <c r="L1444" s="711"/>
      <c r="Q1444" s="11"/>
      <c r="R1444" s="11"/>
      <c r="S1444" s="11"/>
      <c r="T1444" s="11"/>
    </row>
    <row r="1445" spans="8:20" x14ac:dyDescent="0.35">
      <c r="H1445" s="711"/>
      <c r="I1445" s="711"/>
      <c r="J1445" s="711"/>
      <c r="K1445" s="711"/>
      <c r="L1445" s="711"/>
      <c r="Q1445" s="11"/>
      <c r="R1445" s="11"/>
      <c r="S1445" s="11"/>
      <c r="T1445" s="11"/>
    </row>
    <row r="1446" spans="8:20" x14ac:dyDescent="0.35">
      <c r="H1446" s="711"/>
      <c r="I1446" s="711"/>
      <c r="J1446" s="711"/>
      <c r="K1446" s="711"/>
      <c r="L1446" s="711"/>
      <c r="Q1446" s="11"/>
      <c r="R1446" s="11"/>
      <c r="S1446" s="11"/>
      <c r="T1446" s="11"/>
    </row>
    <row r="1447" spans="8:20" x14ac:dyDescent="0.35">
      <c r="H1447" s="711"/>
      <c r="I1447" s="711"/>
      <c r="J1447" s="711"/>
      <c r="K1447" s="711"/>
      <c r="L1447" s="711"/>
      <c r="Q1447" s="11"/>
      <c r="R1447" s="11"/>
      <c r="S1447" s="11"/>
      <c r="T1447" s="11"/>
    </row>
    <row r="1448" spans="8:20" x14ac:dyDescent="0.35">
      <c r="H1448" s="711"/>
      <c r="I1448" s="711"/>
      <c r="J1448" s="711"/>
      <c r="K1448" s="711"/>
      <c r="L1448" s="711"/>
      <c r="Q1448" s="11"/>
      <c r="R1448" s="11"/>
      <c r="S1448" s="11"/>
      <c r="T1448" s="11"/>
    </row>
    <row r="1449" spans="8:20" x14ac:dyDescent="0.35">
      <c r="H1449" s="711"/>
      <c r="I1449" s="711"/>
      <c r="J1449" s="711"/>
      <c r="K1449" s="711"/>
      <c r="L1449" s="711"/>
      <c r="Q1449" s="11"/>
      <c r="R1449" s="11"/>
      <c r="S1449" s="11"/>
      <c r="T1449" s="11"/>
    </row>
    <row r="1450" spans="8:20" x14ac:dyDescent="0.35">
      <c r="H1450" s="711"/>
      <c r="I1450" s="711"/>
      <c r="J1450" s="711"/>
      <c r="K1450" s="711"/>
      <c r="L1450" s="711"/>
      <c r="Q1450" s="11"/>
      <c r="R1450" s="11"/>
      <c r="S1450" s="11"/>
      <c r="T1450" s="11"/>
    </row>
    <row r="1451" spans="8:20" x14ac:dyDescent="0.35">
      <c r="H1451" s="711"/>
      <c r="I1451" s="711"/>
      <c r="J1451" s="711"/>
      <c r="K1451" s="711"/>
      <c r="L1451" s="711"/>
      <c r="Q1451" s="11"/>
      <c r="R1451" s="11"/>
      <c r="S1451" s="11"/>
      <c r="T1451" s="11"/>
    </row>
    <row r="1452" spans="8:20" x14ac:dyDescent="0.35">
      <c r="H1452" s="711"/>
      <c r="I1452" s="711"/>
      <c r="J1452" s="711"/>
      <c r="K1452" s="711"/>
      <c r="L1452" s="711"/>
      <c r="Q1452" s="11"/>
      <c r="R1452" s="11"/>
      <c r="S1452" s="11"/>
      <c r="T1452" s="11"/>
    </row>
    <row r="1453" spans="8:20" x14ac:dyDescent="0.35">
      <c r="H1453" s="711"/>
      <c r="I1453" s="711"/>
      <c r="J1453" s="711"/>
      <c r="K1453" s="711"/>
      <c r="L1453" s="711"/>
      <c r="Q1453" s="11"/>
      <c r="R1453" s="11"/>
      <c r="S1453" s="11"/>
      <c r="T1453" s="11"/>
    </row>
    <row r="1454" spans="8:20" x14ac:dyDescent="0.35">
      <c r="H1454" s="711"/>
      <c r="I1454" s="711"/>
      <c r="J1454" s="711"/>
      <c r="K1454" s="711"/>
      <c r="L1454" s="711"/>
      <c r="Q1454" s="11"/>
      <c r="R1454" s="11"/>
      <c r="S1454" s="11"/>
      <c r="T1454" s="11"/>
    </row>
    <row r="1455" spans="8:20" x14ac:dyDescent="0.35">
      <c r="H1455" s="711"/>
      <c r="I1455" s="711"/>
      <c r="J1455" s="711"/>
      <c r="K1455" s="711"/>
      <c r="L1455" s="711"/>
      <c r="Q1455" s="11"/>
      <c r="R1455" s="11"/>
      <c r="S1455" s="11"/>
      <c r="T1455" s="11"/>
    </row>
    <row r="1456" spans="8:20" x14ac:dyDescent="0.35">
      <c r="H1456" s="711"/>
      <c r="I1456" s="711"/>
      <c r="J1456" s="711"/>
      <c r="K1456" s="711"/>
      <c r="L1456" s="711"/>
      <c r="Q1456" s="11"/>
      <c r="R1456" s="11"/>
      <c r="S1456" s="11"/>
      <c r="T1456" s="11"/>
    </row>
    <row r="1457" spans="8:20" x14ac:dyDescent="0.35">
      <c r="H1457" s="711"/>
      <c r="I1457" s="711"/>
      <c r="J1457" s="711"/>
      <c r="K1457" s="711"/>
      <c r="L1457" s="711"/>
      <c r="Q1457" s="11"/>
      <c r="R1457" s="11"/>
      <c r="S1457" s="11"/>
      <c r="T1457" s="11"/>
    </row>
    <row r="1458" spans="8:20" x14ac:dyDescent="0.35">
      <c r="H1458" s="711"/>
      <c r="I1458" s="711"/>
      <c r="J1458" s="711"/>
      <c r="K1458" s="711"/>
      <c r="L1458" s="711"/>
      <c r="Q1458" s="11"/>
      <c r="R1458" s="11"/>
      <c r="S1458" s="11"/>
      <c r="T1458" s="11"/>
    </row>
    <row r="1459" spans="8:20" x14ac:dyDescent="0.35">
      <c r="H1459" s="711"/>
      <c r="I1459" s="711"/>
      <c r="J1459" s="711"/>
      <c r="K1459" s="711"/>
      <c r="L1459" s="711"/>
      <c r="Q1459" s="11"/>
      <c r="R1459" s="11"/>
      <c r="S1459" s="11"/>
      <c r="T1459" s="11"/>
    </row>
    <row r="1460" spans="8:20" x14ac:dyDescent="0.35">
      <c r="H1460" s="711"/>
      <c r="I1460" s="711"/>
      <c r="J1460" s="711"/>
      <c r="K1460" s="711"/>
      <c r="L1460" s="711"/>
      <c r="Q1460" s="11"/>
      <c r="R1460" s="11"/>
      <c r="S1460" s="11"/>
      <c r="T1460" s="11"/>
    </row>
    <row r="1461" spans="8:20" x14ac:dyDescent="0.35">
      <c r="H1461" s="711"/>
      <c r="I1461" s="711"/>
      <c r="J1461" s="711"/>
      <c r="K1461" s="711"/>
      <c r="L1461" s="711"/>
      <c r="Q1461" s="11"/>
      <c r="R1461" s="11"/>
      <c r="S1461" s="11"/>
      <c r="T1461" s="11"/>
    </row>
    <row r="1462" spans="8:20" x14ac:dyDescent="0.35">
      <c r="H1462" s="711"/>
      <c r="I1462" s="711"/>
      <c r="J1462" s="711"/>
      <c r="K1462" s="711"/>
      <c r="L1462" s="711"/>
      <c r="Q1462" s="11"/>
      <c r="R1462" s="11"/>
      <c r="S1462" s="11"/>
      <c r="T1462" s="11"/>
    </row>
    <row r="1463" spans="8:20" x14ac:dyDescent="0.35">
      <c r="H1463" s="711"/>
      <c r="I1463" s="711"/>
      <c r="J1463" s="711"/>
      <c r="K1463" s="711"/>
      <c r="L1463" s="711"/>
      <c r="Q1463" s="11"/>
      <c r="R1463" s="11"/>
      <c r="S1463" s="11"/>
      <c r="T1463" s="11"/>
    </row>
    <row r="1464" spans="8:20" x14ac:dyDescent="0.35">
      <c r="H1464" s="711"/>
      <c r="I1464" s="711"/>
      <c r="J1464" s="711"/>
      <c r="K1464" s="711"/>
      <c r="L1464" s="711"/>
      <c r="Q1464" s="11"/>
      <c r="R1464" s="11"/>
      <c r="S1464" s="11"/>
      <c r="T1464" s="11"/>
    </row>
    <row r="1465" spans="8:20" x14ac:dyDescent="0.35">
      <c r="H1465" s="711"/>
      <c r="I1465" s="711"/>
      <c r="J1465" s="711"/>
      <c r="K1465" s="711"/>
      <c r="L1465" s="711"/>
      <c r="Q1465" s="11"/>
      <c r="R1465" s="11"/>
      <c r="S1465" s="11"/>
      <c r="T1465" s="11"/>
    </row>
    <row r="1466" spans="8:20" x14ac:dyDescent="0.35">
      <c r="H1466" s="711"/>
      <c r="I1466" s="711"/>
      <c r="J1466" s="711"/>
      <c r="K1466" s="711"/>
      <c r="L1466" s="711"/>
      <c r="Q1466" s="11"/>
      <c r="R1466" s="11"/>
      <c r="S1466" s="11"/>
      <c r="T1466" s="11"/>
    </row>
    <row r="1467" spans="8:20" x14ac:dyDescent="0.35">
      <c r="H1467" s="711"/>
      <c r="I1467" s="711"/>
      <c r="J1467" s="711"/>
      <c r="K1467" s="711"/>
      <c r="L1467" s="711"/>
      <c r="Q1467" s="11"/>
      <c r="R1467" s="11"/>
      <c r="S1467" s="11"/>
      <c r="T1467" s="11"/>
    </row>
    <row r="1468" spans="8:20" x14ac:dyDescent="0.35">
      <c r="H1468" s="711"/>
      <c r="I1468" s="711"/>
      <c r="J1468" s="711"/>
      <c r="K1468" s="711"/>
      <c r="L1468" s="711"/>
      <c r="Q1468" s="11"/>
      <c r="R1468" s="11"/>
      <c r="S1468" s="11"/>
      <c r="T1468" s="11"/>
    </row>
    <row r="1469" spans="8:20" x14ac:dyDescent="0.35">
      <c r="H1469" s="711"/>
      <c r="I1469" s="711"/>
      <c r="J1469" s="711"/>
      <c r="K1469" s="711"/>
      <c r="L1469" s="711"/>
      <c r="Q1469" s="11"/>
      <c r="R1469" s="11"/>
      <c r="S1469" s="11"/>
      <c r="T1469" s="11"/>
    </row>
    <row r="1470" spans="8:20" x14ac:dyDescent="0.35">
      <c r="H1470" s="711"/>
      <c r="I1470" s="711"/>
      <c r="J1470" s="711"/>
      <c r="K1470" s="711"/>
      <c r="L1470" s="711"/>
      <c r="Q1470" s="11"/>
      <c r="R1470" s="11"/>
      <c r="S1470" s="11"/>
      <c r="T1470" s="11"/>
    </row>
    <row r="1471" spans="8:20" x14ac:dyDescent="0.35">
      <c r="H1471" s="711"/>
      <c r="I1471" s="711"/>
      <c r="J1471" s="711"/>
      <c r="K1471" s="711"/>
      <c r="L1471" s="711"/>
      <c r="Q1471" s="11"/>
      <c r="R1471" s="11"/>
      <c r="S1471" s="11"/>
      <c r="T1471" s="11"/>
    </row>
    <row r="1472" spans="8:20" x14ac:dyDescent="0.35">
      <c r="H1472" s="711"/>
      <c r="I1472" s="711"/>
      <c r="J1472" s="711"/>
      <c r="K1472" s="711"/>
      <c r="L1472" s="711"/>
      <c r="Q1472" s="11"/>
      <c r="R1472" s="11"/>
      <c r="S1472" s="11"/>
      <c r="T1472" s="11"/>
    </row>
    <row r="1473" spans="8:20" x14ac:dyDescent="0.35">
      <c r="H1473" s="711"/>
      <c r="I1473" s="711"/>
      <c r="J1473" s="711"/>
      <c r="K1473" s="711"/>
      <c r="L1473" s="711"/>
      <c r="Q1473" s="11"/>
      <c r="R1473" s="11"/>
      <c r="S1473" s="11"/>
      <c r="T1473" s="11"/>
    </row>
    <row r="1474" spans="8:20" x14ac:dyDescent="0.35">
      <c r="H1474" s="711"/>
      <c r="I1474" s="711"/>
      <c r="J1474" s="711"/>
      <c r="K1474" s="711"/>
      <c r="L1474" s="711"/>
      <c r="Q1474" s="11"/>
      <c r="R1474" s="11"/>
      <c r="S1474" s="11"/>
      <c r="T1474" s="11"/>
    </row>
    <row r="1475" spans="8:20" x14ac:dyDescent="0.35">
      <c r="H1475" s="711"/>
      <c r="I1475" s="711"/>
      <c r="J1475" s="711"/>
      <c r="K1475" s="711"/>
      <c r="L1475" s="711"/>
      <c r="Q1475" s="11"/>
      <c r="R1475" s="11"/>
      <c r="S1475" s="11"/>
      <c r="T1475" s="11"/>
    </row>
    <row r="1476" spans="8:20" x14ac:dyDescent="0.35">
      <c r="H1476" s="711"/>
      <c r="I1476" s="711"/>
      <c r="J1476" s="711"/>
      <c r="K1476" s="711"/>
      <c r="L1476" s="711"/>
      <c r="Q1476" s="11"/>
      <c r="R1476" s="11"/>
      <c r="S1476" s="11"/>
      <c r="T1476" s="11"/>
    </row>
    <row r="1477" spans="8:20" x14ac:dyDescent="0.35">
      <c r="H1477" s="711"/>
      <c r="I1477" s="711"/>
      <c r="J1477" s="711"/>
      <c r="K1477" s="711"/>
      <c r="L1477" s="711"/>
      <c r="Q1477" s="11"/>
      <c r="R1477" s="11"/>
      <c r="S1477" s="11"/>
      <c r="T1477" s="11"/>
    </row>
    <row r="1478" spans="8:20" x14ac:dyDescent="0.35">
      <c r="H1478" s="711"/>
      <c r="I1478" s="711"/>
      <c r="J1478" s="711"/>
      <c r="K1478" s="711"/>
      <c r="L1478" s="711"/>
      <c r="Q1478" s="11"/>
      <c r="R1478" s="11"/>
      <c r="S1478" s="11"/>
      <c r="T1478" s="11"/>
    </row>
    <row r="1479" spans="8:20" x14ac:dyDescent="0.35">
      <c r="H1479" s="711"/>
      <c r="I1479" s="711"/>
      <c r="J1479" s="711"/>
      <c r="K1479" s="711"/>
      <c r="L1479" s="711"/>
      <c r="Q1479" s="11"/>
      <c r="R1479" s="11"/>
      <c r="S1479" s="11"/>
      <c r="T1479" s="11"/>
    </row>
    <row r="1480" spans="8:20" x14ac:dyDescent="0.35">
      <c r="H1480" s="711"/>
      <c r="I1480" s="711"/>
      <c r="J1480" s="711"/>
      <c r="K1480" s="711"/>
      <c r="L1480" s="711"/>
      <c r="Q1480" s="11"/>
      <c r="R1480" s="11"/>
      <c r="S1480" s="11"/>
      <c r="T1480" s="11"/>
    </row>
    <row r="1481" spans="8:20" x14ac:dyDescent="0.35">
      <c r="H1481" s="711"/>
      <c r="I1481" s="711"/>
      <c r="J1481" s="711"/>
      <c r="K1481" s="711"/>
      <c r="L1481" s="711"/>
      <c r="Q1481" s="11"/>
      <c r="R1481" s="11"/>
      <c r="S1481" s="11"/>
      <c r="T1481" s="11"/>
    </row>
    <row r="1482" spans="8:20" x14ac:dyDescent="0.35">
      <c r="H1482" s="711"/>
      <c r="I1482" s="711"/>
      <c r="J1482" s="711"/>
      <c r="K1482" s="711"/>
      <c r="L1482" s="711"/>
      <c r="Q1482" s="11"/>
      <c r="R1482" s="11"/>
      <c r="S1482" s="11"/>
      <c r="T1482" s="11"/>
    </row>
    <row r="1483" spans="8:20" x14ac:dyDescent="0.35">
      <c r="H1483" s="711"/>
      <c r="I1483" s="711"/>
      <c r="J1483" s="711"/>
      <c r="K1483" s="711"/>
      <c r="L1483" s="711"/>
      <c r="Q1483" s="11"/>
      <c r="R1483" s="11"/>
      <c r="S1483" s="11"/>
      <c r="T1483" s="11"/>
    </row>
    <row r="1484" spans="8:20" x14ac:dyDescent="0.35">
      <c r="H1484" s="711"/>
      <c r="I1484" s="711"/>
      <c r="J1484" s="711"/>
      <c r="K1484" s="711"/>
      <c r="L1484" s="711"/>
      <c r="Q1484" s="11"/>
      <c r="R1484" s="11"/>
      <c r="S1484" s="11"/>
      <c r="T1484" s="11"/>
    </row>
    <row r="1485" spans="8:20" x14ac:dyDescent="0.35">
      <c r="H1485" s="711"/>
      <c r="I1485" s="711"/>
      <c r="J1485" s="711"/>
      <c r="K1485" s="711"/>
      <c r="L1485" s="711"/>
      <c r="Q1485" s="11"/>
      <c r="R1485" s="11"/>
      <c r="S1485" s="11"/>
      <c r="T1485" s="11"/>
    </row>
    <row r="1486" spans="8:20" x14ac:dyDescent="0.35">
      <c r="H1486" s="711"/>
      <c r="I1486" s="711"/>
      <c r="J1486" s="711"/>
      <c r="K1486" s="711"/>
      <c r="L1486" s="711"/>
      <c r="Q1486" s="11"/>
      <c r="R1486" s="11"/>
      <c r="S1486" s="11"/>
      <c r="T1486" s="11"/>
    </row>
    <row r="1487" spans="8:20" x14ac:dyDescent="0.35">
      <c r="H1487" s="711"/>
      <c r="I1487" s="711"/>
      <c r="J1487" s="711"/>
      <c r="K1487" s="711"/>
      <c r="L1487" s="711"/>
      <c r="Q1487" s="11"/>
      <c r="R1487" s="11"/>
      <c r="S1487" s="11"/>
      <c r="T1487" s="11"/>
    </row>
    <row r="1488" spans="8:20" x14ac:dyDescent="0.35">
      <c r="H1488" s="711"/>
      <c r="I1488" s="711"/>
      <c r="J1488" s="711"/>
      <c r="K1488" s="711"/>
      <c r="L1488" s="711"/>
      <c r="Q1488" s="11"/>
      <c r="R1488" s="11"/>
      <c r="S1488" s="11"/>
      <c r="T1488" s="11"/>
    </row>
    <row r="1489" spans="8:20" x14ac:dyDescent="0.35">
      <c r="H1489" s="711"/>
      <c r="I1489" s="711"/>
      <c r="J1489" s="711"/>
      <c r="K1489" s="711"/>
      <c r="L1489" s="711"/>
      <c r="Q1489" s="11"/>
      <c r="R1489" s="11"/>
      <c r="S1489" s="11"/>
      <c r="T1489" s="11"/>
    </row>
    <row r="1490" spans="8:20" x14ac:dyDescent="0.35">
      <c r="H1490" s="711"/>
      <c r="I1490" s="711"/>
      <c r="J1490" s="711"/>
      <c r="K1490" s="711"/>
      <c r="L1490" s="711"/>
      <c r="Q1490" s="11"/>
      <c r="R1490" s="11"/>
      <c r="S1490" s="11"/>
      <c r="T1490" s="11"/>
    </row>
    <row r="1491" spans="8:20" x14ac:dyDescent="0.35">
      <c r="H1491" s="711"/>
      <c r="I1491" s="711"/>
      <c r="J1491" s="711"/>
      <c r="K1491" s="711"/>
      <c r="L1491" s="711"/>
      <c r="Q1491" s="11"/>
      <c r="R1491" s="11"/>
      <c r="S1491" s="11"/>
      <c r="T1491" s="11"/>
    </row>
    <row r="1492" spans="8:20" x14ac:dyDescent="0.35">
      <c r="H1492" s="711"/>
      <c r="I1492" s="711"/>
      <c r="J1492" s="711"/>
      <c r="K1492" s="711"/>
      <c r="L1492" s="711"/>
      <c r="Q1492" s="11"/>
      <c r="R1492" s="11"/>
      <c r="S1492" s="11"/>
      <c r="T1492" s="11"/>
    </row>
    <row r="1493" spans="8:20" x14ac:dyDescent="0.35">
      <c r="H1493" s="711"/>
      <c r="I1493" s="711"/>
      <c r="J1493" s="711"/>
      <c r="K1493" s="711"/>
      <c r="L1493" s="711"/>
      <c r="Q1493" s="11"/>
      <c r="R1493" s="11"/>
      <c r="S1493" s="11"/>
      <c r="T1493" s="11"/>
    </row>
    <row r="1494" spans="8:20" x14ac:dyDescent="0.35">
      <c r="H1494" s="711"/>
      <c r="I1494" s="711"/>
      <c r="J1494" s="711"/>
      <c r="K1494" s="711"/>
      <c r="L1494" s="711"/>
      <c r="Q1494" s="11"/>
      <c r="R1494" s="11"/>
      <c r="S1494" s="11"/>
      <c r="T1494" s="11"/>
    </row>
    <row r="1495" spans="8:20" x14ac:dyDescent="0.35">
      <c r="H1495" s="711"/>
      <c r="I1495" s="711"/>
      <c r="J1495" s="711"/>
      <c r="K1495" s="711"/>
      <c r="L1495" s="711"/>
      <c r="Q1495" s="11"/>
      <c r="R1495" s="11"/>
      <c r="S1495" s="11"/>
      <c r="T1495" s="11"/>
    </row>
    <row r="1496" spans="8:20" x14ac:dyDescent="0.35">
      <c r="H1496" s="711"/>
      <c r="I1496" s="711"/>
      <c r="J1496" s="711"/>
      <c r="K1496" s="711"/>
      <c r="L1496" s="711"/>
      <c r="Q1496" s="11"/>
      <c r="R1496" s="11"/>
      <c r="S1496" s="11"/>
      <c r="T1496" s="11"/>
    </row>
    <row r="1497" spans="8:20" x14ac:dyDescent="0.35">
      <c r="H1497" s="711"/>
      <c r="I1497" s="711"/>
      <c r="J1497" s="711"/>
      <c r="K1497" s="711"/>
      <c r="L1497" s="711"/>
      <c r="Q1497" s="11"/>
      <c r="R1497" s="11"/>
      <c r="S1497" s="11"/>
      <c r="T1497" s="11"/>
    </row>
    <row r="1498" spans="8:20" x14ac:dyDescent="0.35">
      <c r="H1498" s="711"/>
      <c r="I1498" s="711"/>
      <c r="J1498" s="711"/>
      <c r="K1498" s="711"/>
      <c r="L1498" s="711"/>
      <c r="Q1498" s="11"/>
      <c r="R1498" s="11"/>
      <c r="S1498" s="11"/>
      <c r="T1498" s="11"/>
    </row>
    <row r="1499" spans="8:20" x14ac:dyDescent="0.35">
      <c r="H1499" s="711"/>
      <c r="I1499" s="711"/>
      <c r="J1499" s="711"/>
      <c r="K1499" s="711"/>
      <c r="L1499" s="711"/>
      <c r="Q1499" s="11"/>
      <c r="R1499" s="11"/>
      <c r="S1499" s="11"/>
      <c r="T1499" s="11"/>
    </row>
    <row r="1500" spans="8:20" x14ac:dyDescent="0.35">
      <c r="H1500" s="711"/>
      <c r="I1500" s="711"/>
      <c r="J1500" s="711"/>
      <c r="K1500" s="711"/>
      <c r="L1500" s="711"/>
      <c r="Q1500" s="11"/>
      <c r="R1500" s="11"/>
      <c r="S1500" s="11"/>
      <c r="T1500" s="11"/>
    </row>
    <row r="1501" spans="8:20" x14ac:dyDescent="0.35">
      <c r="H1501" s="711"/>
      <c r="I1501" s="711"/>
      <c r="J1501" s="711"/>
      <c r="K1501" s="711"/>
      <c r="L1501" s="711"/>
      <c r="Q1501" s="11"/>
      <c r="R1501" s="11"/>
      <c r="S1501" s="11"/>
      <c r="T1501" s="11"/>
    </row>
    <row r="1502" spans="8:20" x14ac:dyDescent="0.35">
      <c r="H1502" s="711"/>
      <c r="I1502" s="711"/>
      <c r="J1502" s="711"/>
      <c r="K1502" s="711"/>
      <c r="L1502" s="711"/>
      <c r="Q1502" s="11"/>
      <c r="R1502" s="11"/>
      <c r="S1502" s="11"/>
      <c r="T1502" s="11"/>
    </row>
    <row r="1503" spans="8:20" x14ac:dyDescent="0.35">
      <c r="H1503" s="711"/>
      <c r="I1503" s="711"/>
      <c r="J1503" s="711"/>
      <c r="K1503" s="711"/>
      <c r="L1503" s="711"/>
      <c r="Q1503" s="11"/>
      <c r="R1503" s="11"/>
      <c r="S1503" s="11"/>
      <c r="T1503" s="11"/>
    </row>
    <row r="1504" spans="8:20" x14ac:dyDescent="0.35">
      <c r="H1504" s="711"/>
      <c r="I1504" s="711"/>
      <c r="J1504" s="711"/>
      <c r="K1504" s="711"/>
      <c r="L1504" s="711"/>
      <c r="Q1504" s="11"/>
      <c r="R1504" s="11"/>
      <c r="S1504" s="11"/>
      <c r="T1504" s="11"/>
    </row>
    <row r="1505" spans="8:20" x14ac:dyDescent="0.35">
      <c r="H1505" s="711"/>
      <c r="I1505" s="711"/>
      <c r="J1505" s="711"/>
      <c r="K1505" s="711"/>
      <c r="L1505" s="711"/>
      <c r="Q1505" s="11"/>
      <c r="R1505" s="11"/>
      <c r="S1505" s="11"/>
      <c r="T1505" s="11"/>
    </row>
    <row r="1506" spans="8:20" x14ac:dyDescent="0.35">
      <c r="H1506" s="711"/>
      <c r="I1506" s="711"/>
      <c r="J1506" s="711"/>
      <c r="K1506" s="711"/>
      <c r="L1506" s="711"/>
      <c r="Q1506" s="11"/>
      <c r="R1506" s="11"/>
      <c r="S1506" s="11"/>
      <c r="T1506" s="11"/>
    </row>
    <row r="1507" spans="8:20" x14ac:dyDescent="0.35">
      <c r="H1507" s="711"/>
      <c r="I1507" s="711"/>
      <c r="J1507" s="711"/>
      <c r="K1507" s="711"/>
      <c r="L1507" s="711"/>
      <c r="Q1507" s="11"/>
      <c r="R1507" s="11"/>
      <c r="S1507" s="11"/>
      <c r="T1507" s="11"/>
    </row>
    <row r="1508" spans="8:20" x14ac:dyDescent="0.35">
      <c r="H1508" s="711"/>
      <c r="I1508" s="711"/>
      <c r="J1508" s="711"/>
      <c r="K1508" s="711"/>
      <c r="L1508" s="711"/>
      <c r="Q1508" s="11"/>
      <c r="R1508" s="11"/>
      <c r="S1508" s="11"/>
      <c r="T1508" s="11"/>
    </row>
    <row r="1509" spans="8:20" x14ac:dyDescent="0.35">
      <c r="H1509" s="711"/>
      <c r="I1509" s="711"/>
      <c r="J1509" s="711"/>
      <c r="K1509" s="711"/>
      <c r="L1509" s="711"/>
      <c r="Q1509" s="11"/>
      <c r="R1509" s="11"/>
      <c r="S1509" s="11"/>
      <c r="T1509" s="11"/>
    </row>
    <row r="1510" spans="8:20" x14ac:dyDescent="0.35">
      <c r="H1510" s="711"/>
      <c r="I1510" s="711"/>
      <c r="J1510" s="711"/>
      <c r="K1510" s="711"/>
      <c r="L1510" s="711"/>
      <c r="Q1510" s="11"/>
      <c r="R1510" s="11"/>
      <c r="S1510" s="11"/>
      <c r="T1510" s="11"/>
    </row>
    <row r="1511" spans="8:20" x14ac:dyDescent="0.35">
      <c r="H1511" s="711"/>
      <c r="I1511" s="711"/>
      <c r="J1511" s="711"/>
      <c r="K1511" s="711"/>
      <c r="L1511" s="711"/>
      <c r="Q1511" s="11"/>
      <c r="R1511" s="11"/>
      <c r="S1511" s="11"/>
      <c r="T1511" s="11"/>
    </row>
    <row r="1512" spans="8:20" x14ac:dyDescent="0.35">
      <c r="H1512" s="711"/>
      <c r="I1512" s="711"/>
      <c r="J1512" s="711"/>
      <c r="K1512" s="711"/>
      <c r="L1512" s="711"/>
      <c r="Q1512" s="11"/>
      <c r="R1512" s="11"/>
      <c r="S1512" s="11"/>
      <c r="T1512" s="11"/>
    </row>
    <row r="1513" spans="8:20" x14ac:dyDescent="0.35">
      <c r="H1513" s="711"/>
      <c r="I1513" s="711"/>
      <c r="J1513" s="711"/>
      <c r="K1513" s="711"/>
      <c r="L1513" s="711"/>
      <c r="Q1513" s="11"/>
      <c r="R1513" s="11"/>
      <c r="S1513" s="11"/>
      <c r="T1513" s="11"/>
    </row>
    <row r="1514" spans="8:20" x14ac:dyDescent="0.35">
      <c r="H1514" s="711"/>
      <c r="I1514" s="711"/>
      <c r="J1514" s="711"/>
      <c r="K1514" s="711"/>
      <c r="L1514" s="711"/>
      <c r="Q1514" s="11"/>
      <c r="R1514" s="11"/>
      <c r="S1514" s="11"/>
      <c r="T1514" s="11"/>
    </row>
    <row r="1515" spans="8:20" x14ac:dyDescent="0.35">
      <c r="H1515" s="711"/>
      <c r="I1515" s="711"/>
      <c r="J1515" s="711"/>
      <c r="K1515" s="711"/>
      <c r="L1515" s="711"/>
      <c r="Q1515" s="11"/>
      <c r="R1515" s="11"/>
      <c r="S1515" s="11"/>
      <c r="T1515" s="11"/>
    </row>
    <row r="1516" spans="8:20" x14ac:dyDescent="0.35">
      <c r="H1516" s="711"/>
      <c r="I1516" s="711"/>
      <c r="J1516" s="711"/>
      <c r="K1516" s="711"/>
      <c r="L1516" s="711"/>
      <c r="Q1516" s="11"/>
      <c r="R1516" s="11"/>
      <c r="S1516" s="11"/>
      <c r="T1516" s="11"/>
    </row>
    <row r="1517" spans="8:20" x14ac:dyDescent="0.35">
      <c r="H1517" s="711"/>
      <c r="I1517" s="711"/>
      <c r="J1517" s="711"/>
      <c r="K1517" s="711"/>
      <c r="L1517" s="711"/>
      <c r="Q1517" s="11"/>
      <c r="R1517" s="11"/>
      <c r="S1517" s="11"/>
      <c r="T1517" s="11"/>
    </row>
    <row r="1518" spans="8:20" x14ac:dyDescent="0.35">
      <c r="H1518" s="711"/>
      <c r="I1518" s="711"/>
      <c r="J1518" s="711"/>
      <c r="K1518" s="711"/>
      <c r="L1518" s="711"/>
      <c r="Q1518" s="11"/>
      <c r="R1518" s="11"/>
      <c r="S1518" s="11"/>
      <c r="T1518" s="11"/>
    </row>
    <row r="1519" spans="8:20" x14ac:dyDescent="0.35">
      <c r="H1519" s="711"/>
      <c r="I1519" s="711"/>
      <c r="J1519" s="711"/>
      <c r="K1519" s="711"/>
      <c r="L1519" s="711"/>
      <c r="Q1519" s="11"/>
      <c r="R1519" s="11"/>
      <c r="S1519" s="11"/>
      <c r="T1519" s="11"/>
    </row>
    <row r="1520" spans="8:20" x14ac:dyDescent="0.35">
      <c r="H1520" s="711"/>
      <c r="I1520" s="711"/>
      <c r="J1520" s="711"/>
      <c r="K1520" s="711"/>
      <c r="L1520" s="711"/>
      <c r="Q1520" s="11"/>
      <c r="R1520" s="11"/>
      <c r="S1520" s="11"/>
      <c r="T1520" s="11"/>
    </row>
    <row r="1521" spans="8:20" x14ac:dyDescent="0.35">
      <c r="H1521" s="711"/>
      <c r="I1521" s="711"/>
      <c r="J1521" s="711"/>
      <c r="K1521" s="711"/>
      <c r="L1521" s="711"/>
      <c r="Q1521" s="11"/>
      <c r="R1521" s="11"/>
      <c r="S1521" s="11"/>
      <c r="T1521" s="11"/>
    </row>
    <row r="1522" spans="8:20" x14ac:dyDescent="0.35">
      <c r="H1522" s="711"/>
      <c r="I1522" s="711"/>
      <c r="J1522" s="711"/>
      <c r="K1522" s="711"/>
      <c r="L1522" s="711"/>
      <c r="Q1522" s="11"/>
      <c r="R1522" s="11"/>
      <c r="S1522" s="11"/>
      <c r="T1522" s="11"/>
    </row>
    <row r="1523" spans="8:20" x14ac:dyDescent="0.35">
      <c r="H1523" s="711"/>
      <c r="I1523" s="711"/>
      <c r="J1523" s="711"/>
      <c r="K1523" s="711"/>
      <c r="L1523" s="711"/>
      <c r="Q1523" s="11"/>
      <c r="R1523" s="11"/>
      <c r="S1523" s="11"/>
      <c r="T1523" s="11"/>
    </row>
    <row r="1524" spans="8:20" x14ac:dyDescent="0.35">
      <c r="H1524" s="711"/>
      <c r="I1524" s="711"/>
      <c r="J1524" s="711"/>
      <c r="K1524" s="711"/>
      <c r="L1524" s="711"/>
      <c r="Q1524" s="11"/>
      <c r="R1524" s="11"/>
      <c r="S1524" s="11"/>
      <c r="T1524" s="11"/>
    </row>
    <row r="1525" spans="8:20" x14ac:dyDescent="0.35">
      <c r="H1525" s="711"/>
      <c r="I1525" s="711"/>
      <c r="J1525" s="711"/>
      <c r="K1525" s="711"/>
      <c r="L1525" s="711"/>
      <c r="Q1525" s="11"/>
      <c r="R1525" s="11"/>
      <c r="S1525" s="11"/>
      <c r="T1525" s="11"/>
    </row>
    <row r="1526" spans="8:20" x14ac:dyDescent="0.35">
      <c r="H1526" s="711"/>
      <c r="I1526" s="711"/>
      <c r="J1526" s="711"/>
      <c r="K1526" s="711"/>
      <c r="L1526" s="711"/>
      <c r="Q1526" s="11"/>
      <c r="R1526" s="11"/>
      <c r="S1526" s="11"/>
      <c r="T1526" s="11"/>
    </row>
    <row r="1527" spans="8:20" x14ac:dyDescent="0.35">
      <c r="H1527" s="711"/>
      <c r="I1527" s="711"/>
      <c r="J1527" s="711"/>
      <c r="K1527" s="711"/>
      <c r="L1527" s="711"/>
      <c r="Q1527" s="11"/>
      <c r="R1527" s="11"/>
      <c r="S1527" s="11"/>
      <c r="T1527" s="11"/>
    </row>
    <row r="1528" spans="8:20" x14ac:dyDescent="0.35">
      <c r="H1528" s="711"/>
      <c r="I1528" s="711"/>
      <c r="J1528" s="711"/>
      <c r="K1528" s="711"/>
      <c r="L1528" s="711"/>
      <c r="Q1528" s="11"/>
      <c r="R1528" s="11"/>
      <c r="S1528" s="11"/>
      <c r="T1528" s="11"/>
    </row>
    <row r="1529" spans="8:20" x14ac:dyDescent="0.35">
      <c r="H1529" s="711"/>
      <c r="I1529" s="711"/>
      <c r="J1529" s="711"/>
      <c r="K1529" s="711"/>
      <c r="L1529" s="711"/>
      <c r="Q1529" s="11"/>
      <c r="R1529" s="11"/>
      <c r="S1529" s="11"/>
      <c r="T1529" s="11"/>
    </row>
    <row r="1530" spans="8:20" x14ac:dyDescent="0.35">
      <c r="H1530" s="711"/>
      <c r="I1530" s="711"/>
      <c r="J1530" s="711"/>
      <c r="K1530" s="711"/>
      <c r="L1530" s="711"/>
      <c r="Q1530" s="11"/>
      <c r="R1530" s="11"/>
      <c r="S1530" s="11"/>
      <c r="T1530" s="11"/>
    </row>
    <row r="1531" spans="8:20" x14ac:dyDescent="0.35">
      <c r="H1531" s="711"/>
      <c r="I1531" s="711"/>
      <c r="J1531" s="711"/>
      <c r="K1531" s="711"/>
      <c r="L1531" s="711"/>
      <c r="Q1531" s="11"/>
      <c r="R1531" s="11"/>
      <c r="S1531" s="11"/>
      <c r="T1531" s="11"/>
    </row>
    <row r="1532" spans="8:20" x14ac:dyDescent="0.35">
      <c r="H1532" s="711"/>
      <c r="I1532" s="711"/>
      <c r="J1532" s="711"/>
      <c r="K1532" s="711"/>
      <c r="L1532" s="711"/>
      <c r="Q1532" s="11"/>
      <c r="R1532" s="11"/>
      <c r="S1532" s="11"/>
      <c r="T1532" s="11"/>
    </row>
    <row r="1533" spans="8:20" x14ac:dyDescent="0.35">
      <c r="H1533" s="711"/>
      <c r="I1533" s="711"/>
      <c r="J1533" s="711"/>
      <c r="K1533" s="711"/>
      <c r="L1533" s="711"/>
      <c r="Q1533" s="11"/>
      <c r="R1533" s="11"/>
      <c r="S1533" s="11"/>
      <c r="T1533" s="11"/>
    </row>
    <row r="1534" spans="8:20" x14ac:dyDescent="0.35">
      <c r="H1534" s="711"/>
      <c r="I1534" s="711"/>
      <c r="J1534" s="711"/>
      <c r="K1534" s="711"/>
      <c r="L1534" s="711"/>
      <c r="Q1534" s="11"/>
      <c r="R1534" s="11"/>
      <c r="S1534" s="11"/>
      <c r="T1534" s="11"/>
    </row>
    <row r="1535" spans="8:20" x14ac:dyDescent="0.35">
      <c r="H1535" s="711"/>
      <c r="I1535" s="711"/>
      <c r="J1535" s="711"/>
      <c r="K1535" s="711"/>
      <c r="L1535" s="711"/>
      <c r="Q1535" s="11"/>
      <c r="R1535" s="11"/>
      <c r="S1535" s="11"/>
      <c r="T1535" s="11"/>
    </row>
    <row r="1536" spans="8:20" x14ac:dyDescent="0.35">
      <c r="H1536" s="711"/>
      <c r="I1536" s="711"/>
      <c r="J1536" s="711"/>
      <c r="K1536" s="711"/>
      <c r="L1536" s="711"/>
      <c r="Q1536" s="11"/>
      <c r="R1536" s="11"/>
      <c r="S1536" s="11"/>
      <c r="T1536" s="11"/>
    </row>
    <row r="1537" spans="8:20" x14ac:dyDescent="0.35">
      <c r="H1537" s="711"/>
      <c r="I1537" s="711"/>
      <c r="J1537" s="711"/>
      <c r="K1537" s="711"/>
      <c r="L1537" s="711"/>
      <c r="Q1537" s="11"/>
      <c r="R1537" s="11"/>
      <c r="S1537" s="11"/>
      <c r="T1537" s="11"/>
    </row>
    <row r="1538" spans="8:20" x14ac:dyDescent="0.35">
      <c r="H1538" s="711"/>
      <c r="I1538" s="711"/>
      <c r="J1538" s="711"/>
      <c r="K1538" s="711"/>
      <c r="L1538" s="711"/>
      <c r="Q1538" s="11"/>
      <c r="R1538" s="11"/>
      <c r="S1538" s="11"/>
      <c r="T1538" s="11"/>
    </row>
    <row r="1539" spans="8:20" x14ac:dyDescent="0.35">
      <c r="H1539" s="711"/>
      <c r="I1539" s="711"/>
      <c r="J1539" s="711"/>
      <c r="K1539" s="711"/>
      <c r="L1539" s="711"/>
      <c r="Q1539" s="11"/>
      <c r="R1539" s="11"/>
      <c r="S1539" s="11"/>
      <c r="T1539" s="11"/>
    </row>
    <row r="1540" spans="8:20" x14ac:dyDescent="0.35">
      <c r="H1540" s="711"/>
      <c r="I1540" s="711"/>
      <c r="J1540" s="711"/>
      <c r="K1540" s="711"/>
      <c r="L1540" s="711"/>
      <c r="Q1540" s="11"/>
      <c r="R1540" s="11"/>
      <c r="S1540" s="11"/>
      <c r="T1540" s="11"/>
    </row>
    <row r="1541" spans="8:20" x14ac:dyDescent="0.35">
      <c r="H1541" s="711"/>
      <c r="I1541" s="711"/>
      <c r="J1541" s="711"/>
      <c r="K1541" s="711"/>
      <c r="L1541" s="711"/>
      <c r="Q1541" s="11"/>
      <c r="R1541" s="11"/>
      <c r="S1541" s="11"/>
      <c r="T1541" s="11"/>
    </row>
    <row r="1542" spans="8:20" x14ac:dyDescent="0.35">
      <c r="H1542" s="711"/>
      <c r="I1542" s="711"/>
      <c r="J1542" s="711"/>
      <c r="K1542" s="711"/>
      <c r="L1542" s="711"/>
      <c r="Q1542" s="11"/>
      <c r="R1542" s="11"/>
      <c r="S1542" s="11"/>
      <c r="T1542" s="11"/>
    </row>
    <row r="1543" spans="8:20" x14ac:dyDescent="0.35">
      <c r="H1543" s="711"/>
      <c r="I1543" s="711"/>
      <c r="J1543" s="711"/>
      <c r="K1543" s="711"/>
      <c r="L1543" s="711"/>
      <c r="Q1543" s="11"/>
      <c r="R1543" s="11"/>
      <c r="S1543" s="11"/>
      <c r="T1543" s="11"/>
    </row>
    <row r="1544" spans="8:20" x14ac:dyDescent="0.35">
      <c r="H1544" s="711"/>
      <c r="I1544" s="711"/>
      <c r="J1544" s="711"/>
      <c r="K1544" s="711"/>
      <c r="L1544" s="711"/>
      <c r="Q1544" s="11"/>
      <c r="R1544" s="11"/>
      <c r="S1544" s="11"/>
      <c r="T1544" s="11"/>
    </row>
    <row r="1545" spans="8:20" x14ac:dyDescent="0.35">
      <c r="H1545" s="711"/>
      <c r="I1545" s="711"/>
      <c r="J1545" s="711"/>
      <c r="K1545" s="711"/>
      <c r="L1545" s="711"/>
      <c r="Q1545" s="11"/>
      <c r="R1545" s="11"/>
      <c r="S1545" s="11"/>
      <c r="T1545" s="11"/>
    </row>
    <row r="1546" spans="8:20" x14ac:dyDescent="0.35">
      <c r="H1546" s="711"/>
      <c r="I1546" s="711"/>
      <c r="J1546" s="711"/>
      <c r="K1546" s="711"/>
      <c r="L1546" s="711"/>
      <c r="Q1546" s="11"/>
      <c r="R1546" s="11"/>
      <c r="S1546" s="11"/>
      <c r="T1546" s="11"/>
    </row>
    <row r="1547" spans="8:20" x14ac:dyDescent="0.35">
      <c r="H1547" s="711"/>
      <c r="I1547" s="711"/>
      <c r="J1547" s="711"/>
      <c r="K1547" s="711"/>
      <c r="L1547" s="711"/>
      <c r="Q1547" s="11"/>
      <c r="R1547" s="11"/>
      <c r="S1547" s="11"/>
      <c r="T1547" s="11"/>
    </row>
    <row r="1548" spans="8:20" x14ac:dyDescent="0.35">
      <c r="H1548" s="711"/>
      <c r="I1548" s="711"/>
      <c r="J1548" s="711"/>
      <c r="K1548" s="711"/>
      <c r="L1548" s="711"/>
      <c r="Q1548" s="11"/>
      <c r="R1548" s="11"/>
      <c r="S1548" s="11"/>
      <c r="T1548" s="11"/>
    </row>
    <row r="1549" spans="8:20" x14ac:dyDescent="0.35">
      <c r="H1549" s="711"/>
      <c r="I1549" s="711"/>
      <c r="J1549" s="711"/>
      <c r="K1549" s="711"/>
      <c r="L1549" s="711"/>
      <c r="Q1549" s="11"/>
      <c r="R1549" s="11"/>
      <c r="S1549" s="11"/>
      <c r="T1549" s="11"/>
    </row>
    <row r="1550" spans="8:20" x14ac:dyDescent="0.35">
      <c r="H1550" s="711"/>
      <c r="I1550" s="711"/>
      <c r="J1550" s="711"/>
      <c r="K1550" s="711"/>
      <c r="L1550" s="711"/>
      <c r="Q1550" s="11"/>
      <c r="R1550" s="11"/>
      <c r="S1550" s="11"/>
      <c r="T1550" s="11"/>
    </row>
    <row r="1551" spans="8:20" x14ac:dyDescent="0.35">
      <c r="H1551" s="711"/>
      <c r="I1551" s="711"/>
      <c r="J1551" s="711"/>
      <c r="K1551" s="711"/>
      <c r="L1551" s="711"/>
      <c r="Q1551" s="11"/>
      <c r="R1551" s="11"/>
      <c r="S1551" s="11"/>
      <c r="T1551" s="11"/>
    </row>
    <row r="1552" spans="8:20" x14ac:dyDescent="0.35">
      <c r="H1552" s="711"/>
      <c r="I1552" s="711"/>
      <c r="J1552" s="711"/>
      <c r="K1552" s="711"/>
      <c r="L1552" s="711"/>
      <c r="Q1552" s="11"/>
      <c r="R1552" s="11"/>
      <c r="S1552" s="11"/>
      <c r="T1552" s="11"/>
    </row>
    <row r="1553" spans="8:20" x14ac:dyDescent="0.35">
      <c r="H1553" s="711"/>
      <c r="I1553" s="711"/>
      <c r="J1553" s="711"/>
      <c r="K1553" s="711"/>
      <c r="L1553" s="711"/>
      <c r="Q1553" s="11"/>
      <c r="R1553" s="11"/>
      <c r="S1553" s="11"/>
      <c r="T1553" s="11"/>
    </row>
    <row r="1554" spans="8:20" x14ac:dyDescent="0.35">
      <c r="H1554" s="711"/>
      <c r="I1554" s="711"/>
      <c r="J1554" s="711"/>
      <c r="K1554" s="711"/>
      <c r="L1554" s="711"/>
      <c r="Q1554" s="11"/>
      <c r="R1554" s="11"/>
      <c r="S1554" s="11"/>
      <c r="T1554" s="11"/>
    </row>
    <row r="1555" spans="8:20" x14ac:dyDescent="0.35">
      <c r="H1555" s="711"/>
      <c r="I1555" s="711"/>
      <c r="J1555" s="711"/>
      <c r="K1555" s="711"/>
      <c r="L1555" s="711"/>
      <c r="Q1555" s="11"/>
      <c r="R1555" s="11"/>
      <c r="S1555" s="11"/>
      <c r="T1555" s="11"/>
    </row>
    <row r="1556" spans="8:20" x14ac:dyDescent="0.35">
      <c r="H1556" s="711"/>
      <c r="I1556" s="711"/>
      <c r="J1556" s="711"/>
      <c r="K1556" s="711"/>
      <c r="L1556" s="711"/>
      <c r="Q1556" s="11"/>
      <c r="R1556" s="11"/>
      <c r="S1556" s="11"/>
      <c r="T1556" s="11"/>
    </row>
    <row r="1557" spans="8:20" x14ac:dyDescent="0.35">
      <c r="H1557" s="711"/>
      <c r="I1557" s="711"/>
      <c r="J1557" s="711"/>
      <c r="K1557" s="711"/>
      <c r="L1557" s="711"/>
      <c r="Q1557" s="11"/>
      <c r="R1557" s="11"/>
      <c r="S1557" s="11"/>
      <c r="T1557" s="11"/>
    </row>
    <row r="1558" spans="8:20" x14ac:dyDescent="0.35">
      <c r="H1558" s="711"/>
      <c r="I1558" s="711"/>
      <c r="J1558" s="711"/>
      <c r="K1558" s="711"/>
      <c r="L1558" s="711"/>
      <c r="Q1558" s="11"/>
      <c r="R1558" s="11"/>
      <c r="S1558" s="11"/>
      <c r="T1558" s="11"/>
    </row>
    <row r="1559" spans="8:20" x14ac:dyDescent="0.35">
      <c r="H1559" s="711"/>
      <c r="I1559" s="711"/>
      <c r="J1559" s="711"/>
      <c r="K1559" s="711"/>
      <c r="L1559" s="711"/>
      <c r="Q1559" s="11"/>
      <c r="R1559" s="11"/>
      <c r="S1559" s="11"/>
      <c r="T1559" s="11"/>
    </row>
    <row r="1560" spans="8:20" x14ac:dyDescent="0.35">
      <c r="H1560" s="711"/>
      <c r="I1560" s="711"/>
      <c r="J1560" s="711"/>
      <c r="K1560" s="711"/>
      <c r="L1560" s="711"/>
      <c r="Q1560" s="11"/>
      <c r="R1560" s="11"/>
      <c r="S1560" s="11"/>
      <c r="T1560" s="11"/>
    </row>
    <row r="1561" spans="8:20" x14ac:dyDescent="0.35">
      <c r="H1561" s="711"/>
      <c r="I1561" s="711"/>
      <c r="J1561" s="711"/>
      <c r="K1561" s="711"/>
      <c r="L1561" s="711"/>
      <c r="Q1561" s="11"/>
      <c r="R1561" s="11"/>
      <c r="S1561" s="11"/>
      <c r="T1561" s="11"/>
    </row>
    <row r="1562" spans="8:20" x14ac:dyDescent="0.35">
      <c r="H1562" s="711"/>
      <c r="I1562" s="711"/>
      <c r="J1562" s="711"/>
      <c r="K1562" s="711"/>
      <c r="L1562" s="711"/>
      <c r="Q1562" s="11"/>
      <c r="R1562" s="11"/>
      <c r="S1562" s="11"/>
      <c r="T1562" s="11"/>
    </row>
    <row r="1563" spans="8:20" x14ac:dyDescent="0.35">
      <c r="H1563" s="711"/>
      <c r="I1563" s="711"/>
      <c r="J1563" s="711"/>
      <c r="K1563" s="711"/>
      <c r="L1563" s="711"/>
      <c r="Q1563" s="11"/>
      <c r="R1563" s="11"/>
      <c r="S1563" s="11"/>
      <c r="T1563" s="11"/>
    </row>
    <row r="1564" spans="8:20" x14ac:dyDescent="0.35">
      <c r="H1564" s="711"/>
      <c r="I1564" s="711"/>
      <c r="J1564" s="711"/>
      <c r="K1564" s="711"/>
      <c r="L1564" s="711"/>
      <c r="Q1564" s="11"/>
      <c r="R1564" s="11"/>
      <c r="S1564" s="11"/>
      <c r="T1564" s="11"/>
    </row>
    <row r="1565" spans="8:20" x14ac:dyDescent="0.35">
      <c r="H1565" s="711"/>
      <c r="I1565" s="711"/>
      <c r="J1565" s="711"/>
      <c r="K1565" s="711"/>
      <c r="L1565" s="711"/>
      <c r="Q1565" s="11"/>
      <c r="R1565" s="11"/>
      <c r="S1565" s="11"/>
      <c r="T1565" s="11"/>
    </row>
    <row r="1566" spans="8:20" x14ac:dyDescent="0.35">
      <c r="H1566" s="711"/>
      <c r="I1566" s="711"/>
      <c r="J1566" s="711"/>
      <c r="K1566" s="711"/>
      <c r="L1566" s="711"/>
      <c r="Q1566" s="11"/>
      <c r="R1566" s="11"/>
      <c r="S1566" s="11"/>
      <c r="T1566" s="11"/>
    </row>
    <row r="1567" spans="8:20" x14ac:dyDescent="0.35">
      <c r="H1567" s="711"/>
      <c r="I1567" s="711"/>
      <c r="J1567" s="711"/>
      <c r="K1567" s="711"/>
      <c r="L1567" s="711"/>
      <c r="Q1567" s="11"/>
      <c r="R1567" s="11"/>
      <c r="S1567" s="11"/>
      <c r="T1567" s="11"/>
    </row>
    <row r="1568" spans="8:20" x14ac:dyDescent="0.35">
      <c r="H1568" s="711"/>
      <c r="I1568" s="711"/>
      <c r="J1568" s="711"/>
      <c r="K1568" s="711"/>
      <c r="L1568" s="711"/>
      <c r="Q1568" s="11"/>
      <c r="R1568" s="11"/>
      <c r="S1568" s="11"/>
      <c r="T1568" s="11"/>
    </row>
    <row r="1569" spans="8:20" x14ac:dyDescent="0.35">
      <c r="H1569" s="711"/>
      <c r="I1569" s="711"/>
      <c r="J1569" s="711"/>
      <c r="K1569" s="711"/>
      <c r="L1569" s="711"/>
      <c r="Q1569" s="11"/>
      <c r="R1569" s="11"/>
      <c r="S1569" s="11"/>
      <c r="T1569" s="11"/>
    </row>
    <row r="1570" spans="8:20" x14ac:dyDescent="0.35">
      <c r="H1570" s="711"/>
      <c r="I1570" s="711"/>
      <c r="J1570" s="711"/>
      <c r="K1570" s="711"/>
      <c r="L1570" s="711"/>
      <c r="Q1570" s="11"/>
      <c r="R1570" s="11"/>
      <c r="S1570" s="11"/>
      <c r="T1570" s="11"/>
    </row>
    <row r="1571" spans="8:20" x14ac:dyDescent="0.35">
      <c r="H1571" s="711"/>
      <c r="I1571" s="711"/>
      <c r="J1571" s="711"/>
      <c r="K1571" s="711"/>
      <c r="L1571" s="711"/>
      <c r="Q1571" s="11"/>
      <c r="R1571" s="11"/>
      <c r="S1571" s="11"/>
      <c r="T1571" s="11"/>
    </row>
    <row r="1572" spans="8:20" x14ac:dyDescent="0.35">
      <c r="H1572" s="711"/>
      <c r="I1572" s="711"/>
      <c r="J1572" s="711"/>
      <c r="K1572" s="711"/>
      <c r="L1572" s="711"/>
      <c r="Q1572" s="11"/>
      <c r="R1572" s="11"/>
      <c r="S1572" s="11"/>
      <c r="T1572" s="11"/>
    </row>
    <row r="1573" spans="8:20" x14ac:dyDescent="0.35">
      <c r="H1573" s="711"/>
      <c r="I1573" s="711"/>
      <c r="J1573" s="711"/>
      <c r="K1573" s="711"/>
      <c r="L1573" s="711"/>
      <c r="Q1573" s="11"/>
      <c r="R1573" s="11"/>
      <c r="S1573" s="11"/>
      <c r="T1573" s="11"/>
    </row>
    <row r="1574" spans="8:20" x14ac:dyDescent="0.35">
      <c r="H1574" s="711"/>
      <c r="I1574" s="711"/>
      <c r="J1574" s="711"/>
      <c r="K1574" s="711"/>
      <c r="L1574" s="711"/>
      <c r="Q1574" s="11"/>
      <c r="R1574" s="11"/>
      <c r="S1574" s="11"/>
      <c r="T1574" s="11"/>
    </row>
    <row r="1575" spans="8:20" x14ac:dyDescent="0.35">
      <c r="H1575" s="711"/>
      <c r="I1575" s="711"/>
      <c r="J1575" s="711"/>
      <c r="K1575" s="711"/>
      <c r="L1575" s="711"/>
      <c r="Q1575" s="11"/>
      <c r="R1575" s="11"/>
      <c r="S1575" s="11"/>
      <c r="T1575" s="11"/>
    </row>
    <row r="1576" spans="8:20" x14ac:dyDescent="0.35">
      <c r="H1576" s="711"/>
      <c r="I1576" s="711"/>
      <c r="J1576" s="711"/>
      <c r="K1576" s="711"/>
      <c r="L1576" s="711"/>
      <c r="Q1576" s="11"/>
      <c r="R1576" s="11"/>
      <c r="S1576" s="11"/>
      <c r="T1576" s="11"/>
    </row>
    <row r="1577" spans="8:20" x14ac:dyDescent="0.35">
      <c r="H1577" s="711"/>
      <c r="I1577" s="711"/>
      <c r="J1577" s="711"/>
      <c r="K1577" s="711"/>
      <c r="L1577" s="711"/>
      <c r="Q1577" s="11"/>
      <c r="R1577" s="11"/>
      <c r="S1577" s="11"/>
      <c r="T1577" s="11"/>
    </row>
    <row r="1578" spans="8:20" x14ac:dyDescent="0.35">
      <c r="H1578" s="711"/>
      <c r="I1578" s="711"/>
      <c r="J1578" s="711"/>
      <c r="K1578" s="711"/>
      <c r="L1578" s="711"/>
      <c r="Q1578" s="11"/>
      <c r="R1578" s="11"/>
      <c r="S1578" s="11"/>
      <c r="T1578" s="11"/>
    </row>
    <row r="1579" spans="8:20" x14ac:dyDescent="0.35">
      <c r="H1579" s="711"/>
      <c r="I1579" s="711"/>
      <c r="J1579" s="711"/>
      <c r="K1579" s="711"/>
      <c r="L1579" s="711"/>
      <c r="Q1579" s="11"/>
      <c r="R1579" s="11"/>
      <c r="S1579" s="11"/>
      <c r="T1579" s="11"/>
    </row>
    <row r="1580" spans="8:20" x14ac:dyDescent="0.35">
      <c r="H1580" s="711"/>
      <c r="I1580" s="711"/>
      <c r="J1580" s="711"/>
      <c r="K1580" s="711"/>
      <c r="L1580" s="711"/>
      <c r="Q1580" s="11"/>
      <c r="R1580" s="11"/>
      <c r="S1580" s="11"/>
      <c r="T1580" s="11"/>
    </row>
    <row r="1581" spans="8:20" x14ac:dyDescent="0.35">
      <c r="H1581" s="711"/>
      <c r="I1581" s="711"/>
      <c r="J1581" s="711"/>
      <c r="K1581" s="711"/>
      <c r="L1581" s="711"/>
      <c r="Q1581" s="11"/>
      <c r="R1581" s="11"/>
      <c r="S1581" s="11"/>
      <c r="T1581" s="11"/>
    </row>
    <row r="1582" spans="8:20" x14ac:dyDescent="0.35">
      <c r="H1582" s="711"/>
      <c r="I1582" s="711"/>
      <c r="J1582" s="711"/>
      <c r="K1582" s="711"/>
      <c r="L1582" s="711"/>
      <c r="Q1582" s="11"/>
      <c r="R1582" s="11"/>
      <c r="S1582" s="11"/>
      <c r="T1582" s="11"/>
    </row>
    <row r="1583" spans="8:20" x14ac:dyDescent="0.35">
      <c r="H1583" s="711"/>
      <c r="I1583" s="711"/>
      <c r="J1583" s="711"/>
      <c r="K1583" s="711"/>
      <c r="L1583" s="711"/>
      <c r="Q1583" s="11"/>
      <c r="R1583" s="11"/>
      <c r="S1583" s="11"/>
      <c r="T1583" s="11"/>
    </row>
    <row r="1584" spans="8:20" x14ac:dyDescent="0.35">
      <c r="H1584" s="711"/>
      <c r="I1584" s="711"/>
      <c r="J1584" s="711"/>
      <c r="K1584" s="711"/>
      <c r="L1584" s="711"/>
      <c r="Q1584" s="11"/>
      <c r="R1584" s="11"/>
      <c r="S1584" s="11"/>
      <c r="T1584" s="11"/>
    </row>
    <row r="1585" spans="8:20" x14ac:dyDescent="0.35">
      <c r="H1585" s="711"/>
      <c r="I1585" s="711"/>
      <c r="J1585" s="711"/>
      <c r="K1585" s="711"/>
      <c r="L1585" s="711"/>
      <c r="Q1585" s="11"/>
      <c r="R1585" s="11"/>
      <c r="S1585" s="11"/>
      <c r="T1585" s="11"/>
    </row>
    <row r="1586" spans="8:20" x14ac:dyDescent="0.35">
      <c r="H1586" s="711"/>
      <c r="I1586" s="711"/>
      <c r="J1586" s="711"/>
      <c r="K1586" s="711"/>
      <c r="L1586" s="711"/>
      <c r="Q1586" s="11"/>
      <c r="R1586" s="11"/>
      <c r="S1586" s="11"/>
      <c r="T1586" s="11"/>
    </row>
    <row r="1587" spans="8:20" x14ac:dyDescent="0.35">
      <c r="H1587" s="711"/>
      <c r="I1587" s="711"/>
      <c r="J1587" s="711"/>
      <c r="K1587" s="711"/>
      <c r="L1587" s="711"/>
      <c r="Q1587" s="11"/>
      <c r="R1587" s="11"/>
      <c r="S1587" s="11"/>
      <c r="T1587" s="11"/>
    </row>
    <row r="1588" spans="8:20" x14ac:dyDescent="0.35">
      <c r="H1588" s="711"/>
      <c r="I1588" s="711"/>
      <c r="J1588" s="711"/>
      <c r="K1588" s="711"/>
      <c r="L1588" s="711"/>
      <c r="Q1588" s="11"/>
      <c r="R1588" s="11"/>
      <c r="S1588" s="11"/>
      <c r="T1588" s="11"/>
    </row>
    <row r="1589" spans="8:20" x14ac:dyDescent="0.35">
      <c r="H1589" s="711"/>
      <c r="I1589" s="711"/>
      <c r="J1589" s="711"/>
      <c r="K1589" s="711"/>
      <c r="L1589" s="711"/>
      <c r="Q1589" s="11"/>
      <c r="R1589" s="11"/>
      <c r="S1589" s="11"/>
      <c r="T1589" s="11"/>
    </row>
    <row r="1590" spans="8:20" x14ac:dyDescent="0.35">
      <c r="H1590" s="711"/>
      <c r="I1590" s="711"/>
      <c r="J1590" s="711"/>
      <c r="K1590" s="711"/>
      <c r="L1590" s="711"/>
      <c r="Q1590" s="11"/>
      <c r="R1590" s="11"/>
      <c r="S1590" s="11"/>
      <c r="T1590" s="11"/>
    </row>
    <row r="1591" spans="8:20" x14ac:dyDescent="0.35">
      <c r="H1591" s="711"/>
      <c r="I1591" s="711"/>
      <c r="J1591" s="711"/>
      <c r="K1591" s="711"/>
      <c r="L1591" s="711"/>
      <c r="Q1591" s="11"/>
      <c r="R1591" s="11"/>
      <c r="S1591" s="11"/>
      <c r="T1591" s="11"/>
    </row>
    <row r="1592" spans="8:20" x14ac:dyDescent="0.35">
      <c r="H1592" s="711"/>
      <c r="I1592" s="711"/>
      <c r="J1592" s="711"/>
      <c r="K1592" s="711"/>
      <c r="L1592" s="711"/>
      <c r="Q1592" s="11"/>
      <c r="R1592" s="11"/>
      <c r="S1592" s="11"/>
      <c r="T1592" s="11"/>
    </row>
    <row r="1593" spans="8:20" x14ac:dyDescent="0.35">
      <c r="H1593" s="711"/>
      <c r="I1593" s="711"/>
      <c r="J1593" s="711"/>
      <c r="K1593" s="711"/>
      <c r="L1593" s="711"/>
      <c r="Q1593" s="11"/>
      <c r="R1593" s="11"/>
      <c r="S1593" s="11"/>
      <c r="T1593" s="11"/>
    </row>
    <row r="1594" spans="8:20" x14ac:dyDescent="0.35">
      <c r="H1594" s="711"/>
      <c r="I1594" s="711"/>
      <c r="J1594" s="711"/>
      <c r="K1594" s="711"/>
      <c r="L1594" s="711"/>
      <c r="Q1594" s="11"/>
      <c r="R1594" s="11"/>
      <c r="S1594" s="11"/>
      <c r="T1594" s="11"/>
    </row>
    <row r="1595" spans="8:20" x14ac:dyDescent="0.35">
      <c r="H1595" s="711"/>
      <c r="I1595" s="711"/>
      <c r="J1595" s="711"/>
      <c r="K1595" s="711"/>
      <c r="L1595" s="711"/>
      <c r="Q1595" s="11"/>
      <c r="R1595" s="11"/>
      <c r="S1595" s="11"/>
      <c r="T1595" s="11"/>
    </row>
    <row r="1596" spans="8:20" x14ac:dyDescent="0.35">
      <c r="H1596" s="711"/>
      <c r="I1596" s="711"/>
      <c r="J1596" s="711"/>
      <c r="K1596" s="711"/>
      <c r="L1596" s="711"/>
      <c r="Q1596" s="11"/>
      <c r="R1596" s="11"/>
      <c r="S1596" s="11"/>
      <c r="T1596" s="11"/>
    </row>
    <row r="1597" spans="8:20" x14ac:dyDescent="0.35">
      <c r="H1597" s="711"/>
      <c r="I1597" s="711"/>
      <c r="J1597" s="711"/>
      <c r="K1597" s="711"/>
      <c r="L1597" s="711"/>
      <c r="Q1597" s="11"/>
      <c r="R1597" s="11"/>
      <c r="S1597" s="11"/>
      <c r="T1597" s="11"/>
    </row>
    <row r="1598" spans="8:20" x14ac:dyDescent="0.35">
      <c r="H1598" s="711"/>
      <c r="I1598" s="711"/>
      <c r="J1598" s="711"/>
      <c r="K1598" s="711"/>
      <c r="L1598" s="711"/>
      <c r="Q1598" s="11"/>
      <c r="R1598" s="11"/>
      <c r="S1598" s="11"/>
      <c r="T1598" s="11"/>
    </row>
    <row r="1599" spans="8:20" x14ac:dyDescent="0.35">
      <c r="H1599" s="711"/>
      <c r="I1599" s="711"/>
      <c r="J1599" s="711"/>
      <c r="K1599" s="711"/>
      <c r="L1599" s="711"/>
      <c r="Q1599" s="11"/>
      <c r="R1599" s="11"/>
      <c r="S1599" s="11"/>
      <c r="T1599" s="11"/>
    </row>
    <row r="1600" spans="8:20" x14ac:dyDescent="0.35">
      <c r="H1600" s="711"/>
      <c r="I1600" s="711"/>
      <c r="J1600" s="711"/>
      <c r="K1600" s="711"/>
      <c r="L1600" s="711"/>
      <c r="Q1600" s="11"/>
      <c r="R1600" s="11"/>
      <c r="S1600" s="11"/>
      <c r="T1600" s="11"/>
    </row>
    <row r="1601" spans="8:20" x14ac:dyDescent="0.35">
      <c r="H1601" s="711"/>
      <c r="I1601" s="711"/>
      <c r="J1601" s="711"/>
      <c r="K1601" s="711"/>
      <c r="L1601" s="711"/>
      <c r="Q1601" s="11"/>
      <c r="R1601" s="11"/>
      <c r="S1601" s="11"/>
      <c r="T1601" s="11"/>
    </row>
    <row r="1602" spans="8:20" x14ac:dyDescent="0.35">
      <c r="H1602" s="711"/>
      <c r="I1602" s="711"/>
      <c r="J1602" s="711"/>
      <c r="K1602" s="711"/>
      <c r="L1602" s="711"/>
      <c r="Q1602" s="11"/>
      <c r="R1602" s="11"/>
      <c r="S1602" s="11"/>
      <c r="T1602" s="11"/>
    </row>
    <row r="1603" spans="8:20" x14ac:dyDescent="0.35">
      <c r="H1603" s="711"/>
      <c r="I1603" s="711"/>
      <c r="J1603" s="711"/>
      <c r="K1603" s="711"/>
      <c r="L1603" s="711"/>
      <c r="Q1603" s="11"/>
      <c r="R1603" s="11"/>
      <c r="S1603" s="11"/>
      <c r="T1603" s="11"/>
    </row>
    <row r="1604" spans="8:20" x14ac:dyDescent="0.35">
      <c r="H1604" s="711"/>
      <c r="I1604" s="711"/>
      <c r="J1604" s="711"/>
      <c r="K1604" s="711"/>
      <c r="L1604" s="711"/>
      <c r="Q1604" s="11"/>
      <c r="R1604" s="11"/>
      <c r="S1604" s="11"/>
      <c r="T1604" s="11"/>
    </row>
    <row r="1605" spans="8:20" x14ac:dyDescent="0.35">
      <c r="H1605" s="711"/>
      <c r="I1605" s="711"/>
      <c r="J1605" s="711"/>
      <c r="K1605" s="711"/>
      <c r="L1605" s="711"/>
      <c r="Q1605" s="11"/>
      <c r="R1605" s="11"/>
      <c r="S1605" s="11"/>
      <c r="T1605" s="11"/>
    </row>
    <row r="1606" spans="8:20" x14ac:dyDescent="0.35">
      <c r="H1606" s="711"/>
      <c r="I1606" s="711"/>
      <c r="J1606" s="711"/>
      <c r="K1606" s="711"/>
      <c r="L1606" s="711"/>
      <c r="Q1606" s="11"/>
      <c r="R1606" s="11"/>
      <c r="S1606" s="11"/>
      <c r="T1606" s="11"/>
    </row>
    <row r="1607" spans="8:20" x14ac:dyDescent="0.35">
      <c r="H1607" s="711"/>
      <c r="I1607" s="711"/>
      <c r="J1607" s="711"/>
      <c r="K1607" s="711"/>
      <c r="L1607" s="711"/>
      <c r="Q1607" s="11"/>
      <c r="R1607" s="11"/>
      <c r="S1607" s="11"/>
      <c r="T1607" s="11"/>
    </row>
    <row r="1608" spans="8:20" x14ac:dyDescent="0.35">
      <c r="H1608" s="711"/>
      <c r="I1608" s="711"/>
      <c r="J1608" s="711"/>
      <c r="K1608" s="711"/>
      <c r="L1608" s="711"/>
      <c r="Q1608" s="11"/>
      <c r="R1608" s="11"/>
      <c r="S1608" s="11"/>
      <c r="T1608" s="11"/>
    </row>
    <row r="1609" spans="8:20" x14ac:dyDescent="0.35">
      <c r="H1609" s="711"/>
      <c r="I1609" s="711"/>
      <c r="J1609" s="711"/>
      <c r="K1609" s="711"/>
      <c r="L1609" s="711"/>
      <c r="Q1609" s="11"/>
      <c r="R1609" s="11"/>
      <c r="S1609" s="11"/>
      <c r="T1609" s="11"/>
    </row>
    <row r="1610" spans="8:20" x14ac:dyDescent="0.35">
      <c r="H1610" s="711"/>
      <c r="I1610" s="711"/>
      <c r="J1610" s="711"/>
      <c r="K1610" s="711"/>
      <c r="L1610" s="711"/>
      <c r="Q1610" s="11"/>
      <c r="R1610" s="11"/>
      <c r="S1610" s="11"/>
      <c r="T1610" s="11"/>
    </row>
    <row r="1611" spans="8:20" x14ac:dyDescent="0.35">
      <c r="H1611" s="711"/>
      <c r="I1611" s="711"/>
      <c r="J1611" s="711"/>
      <c r="K1611" s="711"/>
      <c r="L1611" s="711"/>
      <c r="Q1611" s="11"/>
      <c r="R1611" s="11"/>
      <c r="S1611" s="11"/>
      <c r="T1611" s="11"/>
    </row>
    <row r="1612" spans="8:20" x14ac:dyDescent="0.35">
      <c r="H1612" s="711"/>
      <c r="I1612" s="711"/>
      <c r="J1612" s="711"/>
      <c r="K1612" s="711"/>
      <c r="L1612" s="711"/>
      <c r="Q1612" s="11"/>
      <c r="R1612" s="11"/>
      <c r="S1612" s="11"/>
      <c r="T1612" s="11"/>
    </row>
    <row r="1613" spans="8:20" x14ac:dyDescent="0.35">
      <c r="H1613" s="711"/>
      <c r="I1613" s="711"/>
      <c r="J1613" s="711"/>
      <c r="K1613" s="711"/>
      <c r="L1613" s="711"/>
      <c r="Q1613" s="11"/>
      <c r="R1613" s="11"/>
      <c r="S1613" s="11"/>
      <c r="T1613" s="11"/>
    </row>
    <row r="1614" spans="8:20" x14ac:dyDescent="0.35">
      <c r="H1614" s="711"/>
      <c r="I1614" s="711"/>
      <c r="J1614" s="711"/>
      <c r="K1614" s="711"/>
      <c r="L1614" s="711"/>
      <c r="Q1614" s="11"/>
      <c r="R1614" s="11"/>
      <c r="S1614" s="11"/>
      <c r="T1614" s="11"/>
    </row>
    <row r="1615" spans="8:20" x14ac:dyDescent="0.35">
      <c r="H1615" s="711"/>
      <c r="I1615" s="711"/>
      <c r="J1615" s="711"/>
      <c r="K1615" s="711"/>
      <c r="L1615" s="711"/>
      <c r="Q1615" s="11"/>
      <c r="R1615" s="11"/>
      <c r="S1615" s="11"/>
      <c r="T1615" s="11"/>
    </row>
    <row r="1616" spans="8:20" x14ac:dyDescent="0.35">
      <c r="H1616" s="711"/>
      <c r="I1616" s="711"/>
      <c r="J1616" s="711"/>
      <c r="K1616" s="711"/>
      <c r="L1616" s="711"/>
      <c r="Q1616" s="11"/>
      <c r="R1616" s="11"/>
      <c r="S1616" s="11"/>
      <c r="T1616" s="11"/>
    </row>
    <row r="1617" spans="8:20" x14ac:dyDescent="0.35">
      <c r="H1617" s="711"/>
      <c r="I1617" s="711"/>
      <c r="J1617" s="711"/>
      <c r="K1617" s="711"/>
      <c r="L1617" s="711"/>
      <c r="Q1617" s="11"/>
      <c r="R1617" s="11"/>
      <c r="S1617" s="11"/>
      <c r="T1617" s="11"/>
    </row>
    <row r="1618" spans="8:20" x14ac:dyDescent="0.35">
      <c r="H1618" s="711"/>
      <c r="I1618" s="711"/>
      <c r="J1618" s="711"/>
      <c r="K1618" s="711"/>
      <c r="L1618" s="711"/>
      <c r="Q1618" s="11"/>
      <c r="R1618" s="11"/>
      <c r="S1618" s="11"/>
      <c r="T1618" s="11"/>
    </row>
    <row r="1619" spans="8:20" x14ac:dyDescent="0.35">
      <c r="H1619" s="711"/>
      <c r="I1619" s="711"/>
      <c r="J1619" s="711"/>
      <c r="K1619" s="711"/>
      <c r="L1619" s="711"/>
      <c r="Q1619" s="11"/>
      <c r="R1619" s="11"/>
      <c r="S1619" s="11"/>
      <c r="T1619" s="11"/>
    </row>
    <row r="1620" spans="8:20" x14ac:dyDescent="0.35">
      <c r="H1620" s="711"/>
      <c r="I1620" s="711"/>
      <c r="J1620" s="711"/>
      <c r="K1620" s="711"/>
      <c r="L1620" s="711"/>
      <c r="Q1620" s="11"/>
      <c r="R1620" s="11"/>
      <c r="S1620" s="11"/>
      <c r="T1620" s="11"/>
    </row>
    <row r="1621" spans="8:20" x14ac:dyDescent="0.35">
      <c r="H1621" s="711"/>
      <c r="I1621" s="711"/>
      <c r="J1621" s="711"/>
      <c r="K1621" s="711"/>
      <c r="L1621" s="711"/>
      <c r="Q1621" s="11"/>
      <c r="R1621" s="11"/>
      <c r="S1621" s="11"/>
      <c r="T1621" s="11"/>
    </row>
    <row r="1622" spans="8:20" x14ac:dyDescent="0.35">
      <c r="H1622" s="711"/>
      <c r="I1622" s="711"/>
      <c r="J1622" s="711"/>
      <c r="K1622" s="711"/>
      <c r="L1622" s="711"/>
      <c r="Q1622" s="11"/>
      <c r="R1622" s="11"/>
      <c r="S1622" s="11"/>
      <c r="T1622" s="11"/>
    </row>
    <row r="1623" spans="8:20" x14ac:dyDescent="0.35">
      <c r="H1623" s="711"/>
      <c r="I1623" s="711"/>
      <c r="J1623" s="711"/>
      <c r="K1623" s="711"/>
      <c r="L1623" s="711"/>
      <c r="Q1623" s="11"/>
      <c r="R1623" s="11"/>
      <c r="S1623" s="11"/>
      <c r="T1623" s="11"/>
    </row>
    <row r="1624" spans="8:20" x14ac:dyDescent="0.35">
      <c r="H1624" s="711"/>
      <c r="I1624" s="711"/>
      <c r="J1624" s="711"/>
      <c r="K1624" s="711"/>
      <c r="L1624" s="711"/>
      <c r="Q1624" s="11"/>
      <c r="R1624" s="11"/>
      <c r="S1624" s="11"/>
      <c r="T1624" s="11"/>
    </row>
    <row r="1625" spans="8:20" x14ac:dyDescent="0.35">
      <c r="H1625" s="711"/>
      <c r="I1625" s="711"/>
      <c r="J1625" s="711"/>
      <c r="K1625" s="711"/>
      <c r="L1625" s="711"/>
      <c r="Q1625" s="11"/>
      <c r="R1625" s="11"/>
      <c r="S1625" s="11"/>
      <c r="T1625" s="11"/>
    </row>
    <row r="1626" spans="8:20" x14ac:dyDescent="0.35">
      <c r="H1626" s="711"/>
      <c r="I1626" s="711"/>
      <c r="J1626" s="711"/>
      <c r="K1626" s="711"/>
      <c r="L1626" s="711"/>
      <c r="Q1626" s="11"/>
      <c r="R1626" s="11"/>
      <c r="S1626" s="11"/>
      <c r="T1626" s="11"/>
    </row>
    <row r="1627" spans="8:20" x14ac:dyDescent="0.35">
      <c r="H1627" s="711"/>
      <c r="I1627" s="711"/>
      <c r="J1627" s="711"/>
      <c r="K1627" s="711"/>
      <c r="L1627" s="711"/>
      <c r="Q1627" s="11"/>
      <c r="R1627" s="11"/>
      <c r="S1627" s="11"/>
      <c r="T1627" s="11"/>
    </row>
    <row r="1628" spans="8:20" x14ac:dyDescent="0.35">
      <c r="H1628" s="711"/>
      <c r="I1628" s="711"/>
      <c r="J1628" s="711"/>
      <c r="K1628" s="711"/>
      <c r="L1628" s="711"/>
      <c r="Q1628" s="11"/>
      <c r="R1628" s="11"/>
      <c r="S1628" s="11"/>
      <c r="T1628" s="11"/>
    </row>
    <row r="1629" spans="8:20" x14ac:dyDescent="0.35">
      <c r="H1629" s="711"/>
      <c r="I1629" s="711"/>
      <c r="J1629" s="711"/>
      <c r="K1629" s="711"/>
      <c r="L1629" s="711"/>
      <c r="Q1629" s="11"/>
      <c r="R1629" s="11"/>
      <c r="S1629" s="11"/>
      <c r="T1629" s="11"/>
    </row>
    <row r="1630" spans="8:20" x14ac:dyDescent="0.35">
      <c r="H1630" s="711"/>
      <c r="I1630" s="711"/>
      <c r="J1630" s="711"/>
      <c r="K1630" s="711"/>
      <c r="L1630" s="711"/>
      <c r="Q1630" s="11"/>
      <c r="R1630" s="11"/>
      <c r="S1630" s="11"/>
      <c r="T1630" s="11"/>
    </row>
    <row r="1631" spans="8:20" x14ac:dyDescent="0.35">
      <c r="H1631" s="711"/>
      <c r="I1631" s="711"/>
      <c r="J1631" s="711"/>
      <c r="K1631" s="711"/>
      <c r="L1631" s="711"/>
      <c r="Q1631" s="11"/>
      <c r="R1631" s="11"/>
      <c r="S1631" s="11"/>
      <c r="T1631" s="11"/>
    </row>
    <row r="1632" spans="8:20" x14ac:dyDescent="0.35">
      <c r="H1632" s="711"/>
      <c r="I1632" s="711"/>
      <c r="J1632" s="711"/>
      <c r="K1632" s="711"/>
      <c r="L1632" s="711"/>
      <c r="Q1632" s="11"/>
      <c r="R1632" s="11"/>
      <c r="S1632" s="11"/>
      <c r="T1632" s="11"/>
    </row>
    <row r="1633" spans="8:20" x14ac:dyDescent="0.35">
      <c r="H1633" s="711"/>
      <c r="I1633" s="711"/>
      <c r="J1633" s="711"/>
      <c r="K1633" s="711"/>
      <c r="L1633" s="711"/>
      <c r="Q1633" s="11"/>
      <c r="R1633" s="11"/>
      <c r="S1633" s="11"/>
      <c r="T1633" s="11"/>
    </row>
    <row r="1634" spans="8:20" x14ac:dyDescent="0.35">
      <c r="H1634" s="711"/>
      <c r="I1634" s="711"/>
      <c r="J1634" s="711"/>
      <c r="K1634" s="711"/>
      <c r="L1634" s="711"/>
      <c r="Q1634" s="11"/>
      <c r="R1634" s="11"/>
      <c r="S1634" s="11"/>
      <c r="T1634" s="11"/>
    </row>
    <row r="1635" spans="8:20" x14ac:dyDescent="0.35">
      <c r="H1635" s="711"/>
      <c r="I1635" s="711"/>
      <c r="J1635" s="711"/>
      <c r="K1635" s="711"/>
      <c r="L1635" s="711"/>
      <c r="Q1635" s="11"/>
      <c r="R1635" s="11"/>
      <c r="S1635" s="11"/>
      <c r="T1635" s="11"/>
    </row>
    <row r="1636" spans="8:20" x14ac:dyDescent="0.35">
      <c r="H1636" s="711"/>
      <c r="I1636" s="711"/>
      <c r="J1636" s="711"/>
      <c r="K1636" s="711"/>
      <c r="L1636" s="711"/>
      <c r="Q1636" s="11"/>
      <c r="R1636" s="11"/>
      <c r="S1636" s="11"/>
      <c r="T1636" s="11"/>
    </row>
    <row r="1637" spans="8:20" x14ac:dyDescent="0.35">
      <c r="H1637" s="711"/>
      <c r="I1637" s="711"/>
      <c r="J1637" s="711"/>
      <c r="K1637" s="711"/>
      <c r="L1637" s="711"/>
      <c r="Q1637" s="11"/>
      <c r="R1637" s="11"/>
      <c r="S1637" s="11"/>
      <c r="T1637" s="11"/>
    </row>
    <row r="1638" spans="8:20" x14ac:dyDescent="0.35">
      <c r="H1638" s="711"/>
      <c r="I1638" s="711"/>
      <c r="J1638" s="711"/>
      <c r="K1638" s="711"/>
      <c r="L1638" s="711"/>
      <c r="Q1638" s="11"/>
      <c r="R1638" s="11"/>
      <c r="S1638" s="11"/>
      <c r="T1638" s="11"/>
    </row>
    <row r="1639" spans="8:20" x14ac:dyDescent="0.35">
      <c r="H1639" s="711"/>
      <c r="I1639" s="711"/>
      <c r="J1639" s="711"/>
      <c r="K1639" s="711"/>
      <c r="L1639" s="711"/>
      <c r="Q1639" s="11"/>
      <c r="R1639" s="11"/>
      <c r="S1639" s="11"/>
      <c r="T1639" s="11"/>
    </row>
    <row r="1640" spans="8:20" x14ac:dyDescent="0.35">
      <c r="H1640" s="711"/>
      <c r="I1640" s="711"/>
      <c r="J1640" s="711"/>
      <c r="K1640" s="711"/>
      <c r="L1640" s="711"/>
      <c r="Q1640" s="11"/>
      <c r="R1640" s="11"/>
      <c r="S1640" s="11"/>
      <c r="T1640" s="11"/>
    </row>
    <row r="1641" spans="8:20" x14ac:dyDescent="0.35">
      <c r="H1641" s="711"/>
      <c r="I1641" s="711"/>
      <c r="J1641" s="711"/>
      <c r="K1641" s="711"/>
      <c r="L1641" s="711"/>
      <c r="Q1641" s="11"/>
      <c r="R1641" s="11"/>
      <c r="S1641" s="11"/>
      <c r="T1641" s="11"/>
    </row>
    <row r="1642" spans="8:20" x14ac:dyDescent="0.35">
      <c r="H1642" s="711"/>
      <c r="I1642" s="711"/>
      <c r="J1642" s="711"/>
      <c r="K1642" s="711"/>
      <c r="L1642" s="711"/>
      <c r="Q1642" s="11"/>
      <c r="R1642" s="11"/>
      <c r="S1642" s="11"/>
      <c r="T1642" s="11"/>
    </row>
    <row r="1643" spans="8:20" x14ac:dyDescent="0.35">
      <c r="H1643" s="711"/>
      <c r="I1643" s="711"/>
      <c r="J1643" s="711"/>
      <c r="K1643" s="711"/>
      <c r="L1643" s="711"/>
      <c r="Q1643" s="11"/>
      <c r="R1643" s="11"/>
      <c r="S1643" s="11"/>
      <c r="T1643" s="11"/>
    </row>
    <row r="1644" spans="8:20" x14ac:dyDescent="0.35">
      <c r="H1644" s="711"/>
      <c r="I1644" s="711"/>
      <c r="J1644" s="711"/>
      <c r="K1644" s="711"/>
      <c r="L1644" s="711"/>
      <c r="Q1644" s="11"/>
      <c r="R1644" s="11"/>
      <c r="S1644" s="11"/>
      <c r="T1644" s="11"/>
    </row>
    <row r="1645" spans="8:20" x14ac:dyDescent="0.35">
      <c r="H1645" s="711"/>
      <c r="I1645" s="711"/>
      <c r="J1645" s="711"/>
      <c r="K1645" s="711"/>
      <c r="L1645" s="711"/>
      <c r="Q1645" s="11"/>
      <c r="R1645" s="11"/>
      <c r="S1645" s="11"/>
      <c r="T1645" s="11"/>
    </row>
    <row r="1646" spans="8:20" x14ac:dyDescent="0.35">
      <c r="H1646" s="711"/>
      <c r="I1646" s="711"/>
      <c r="J1646" s="711"/>
      <c r="K1646" s="711"/>
      <c r="L1646" s="711"/>
      <c r="Q1646" s="11"/>
      <c r="R1646" s="11"/>
      <c r="S1646" s="11"/>
      <c r="T1646" s="11"/>
    </row>
    <row r="1647" spans="8:20" x14ac:dyDescent="0.35">
      <c r="H1647" s="711"/>
      <c r="I1647" s="711"/>
      <c r="J1647" s="711"/>
      <c r="K1647" s="711"/>
      <c r="L1647" s="711"/>
      <c r="Q1647" s="11"/>
      <c r="R1647" s="11"/>
      <c r="S1647" s="11"/>
      <c r="T1647" s="11"/>
    </row>
    <row r="1648" spans="8:20" x14ac:dyDescent="0.35">
      <c r="H1648" s="711"/>
      <c r="I1648" s="711"/>
      <c r="J1648" s="711"/>
      <c r="K1648" s="711"/>
      <c r="L1648" s="711"/>
      <c r="Q1648" s="11"/>
      <c r="R1648" s="11"/>
      <c r="S1648" s="11"/>
      <c r="T1648" s="11"/>
    </row>
    <row r="1649" spans="8:20" x14ac:dyDescent="0.35">
      <c r="H1649" s="711"/>
      <c r="I1649" s="711"/>
      <c r="J1649" s="711"/>
      <c r="K1649" s="711"/>
      <c r="L1649" s="711"/>
      <c r="Q1649" s="11"/>
      <c r="R1649" s="11"/>
      <c r="S1649" s="11"/>
      <c r="T1649" s="11"/>
    </row>
    <row r="1650" spans="8:20" x14ac:dyDescent="0.35">
      <c r="H1650" s="711"/>
      <c r="I1650" s="711"/>
      <c r="J1650" s="711"/>
      <c r="K1650" s="711"/>
      <c r="L1650" s="711"/>
      <c r="Q1650" s="11"/>
      <c r="R1650" s="11"/>
      <c r="S1650" s="11"/>
      <c r="T1650" s="11"/>
    </row>
    <row r="1651" spans="8:20" x14ac:dyDescent="0.35">
      <c r="H1651" s="711"/>
      <c r="I1651" s="711"/>
      <c r="J1651" s="711"/>
      <c r="K1651" s="711"/>
      <c r="L1651" s="711"/>
      <c r="Q1651" s="11"/>
      <c r="R1651" s="11"/>
      <c r="S1651" s="11"/>
      <c r="T1651" s="11"/>
    </row>
    <row r="1652" spans="8:20" x14ac:dyDescent="0.35">
      <c r="H1652" s="711"/>
      <c r="I1652" s="711"/>
      <c r="J1652" s="711"/>
      <c r="K1652" s="711"/>
      <c r="L1652" s="711"/>
      <c r="Q1652" s="11"/>
      <c r="R1652" s="11"/>
      <c r="S1652" s="11"/>
      <c r="T1652" s="11"/>
    </row>
    <row r="1653" spans="8:20" x14ac:dyDescent="0.35">
      <c r="H1653" s="711"/>
      <c r="I1653" s="711"/>
      <c r="J1653" s="711"/>
      <c r="K1653" s="711"/>
      <c r="L1653" s="711"/>
      <c r="Q1653" s="11"/>
      <c r="R1653" s="11"/>
      <c r="S1653" s="11"/>
      <c r="T1653" s="11"/>
    </row>
    <row r="1654" spans="8:20" x14ac:dyDescent="0.35">
      <c r="H1654" s="711"/>
      <c r="I1654" s="711"/>
      <c r="J1654" s="711"/>
      <c r="K1654" s="711"/>
      <c r="L1654" s="711"/>
      <c r="Q1654" s="11"/>
      <c r="R1654" s="11"/>
      <c r="S1654" s="11"/>
      <c r="T1654" s="11"/>
    </row>
    <row r="1655" spans="8:20" x14ac:dyDescent="0.35">
      <c r="H1655" s="711"/>
      <c r="I1655" s="711"/>
      <c r="J1655" s="711"/>
      <c r="K1655" s="711"/>
      <c r="L1655" s="711"/>
      <c r="Q1655" s="11"/>
      <c r="R1655" s="11"/>
      <c r="S1655" s="11"/>
      <c r="T1655" s="11"/>
    </row>
    <row r="1656" spans="8:20" x14ac:dyDescent="0.35">
      <c r="H1656" s="711"/>
      <c r="I1656" s="711"/>
      <c r="J1656" s="711"/>
      <c r="K1656" s="711"/>
      <c r="L1656" s="711"/>
      <c r="Q1656" s="11"/>
      <c r="R1656" s="11"/>
      <c r="S1656" s="11"/>
      <c r="T1656" s="11"/>
    </row>
    <row r="1657" spans="8:20" x14ac:dyDescent="0.35">
      <c r="H1657" s="711"/>
      <c r="I1657" s="711"/>
      <c r="J1657" s="711"/>
      <c r="K1657" s="711"/>
      <c r="L1657" s="711"/>
      <c r="Q1657" s="11"/>
      <c r="R1657" s="11"/>
      <c r="S1657" s="11"/>
      <c r="T1657" s="11"/>
    </row>
    <row r="1658" spans="8:20" x14ac:dyDescent="0.35">
      <c r="H1658" s="711"/>
      <c r="I1658" s="711"/>
      <c r="J1658" s="711"/>
      <c r="K1658" s="711"/>
      <c r="L1658" s="711"/>
      <c r="Q1658" s="11"/>
      <c r="R1658" s="11"/>
      <c r="S1658" s="11"/>
      <c r="T1658" s="11"/>
    </row>
    <row r="1659" spans="8:20" x14ac:dyDescent="0.35">
      <c r="H1659" s="711"/>
      <c r="I1659" s="711"/>
      <c r="J1659" s="711"/>
      <c r="K1659" s="711"/>
      <c r="L1659" s="711"/>
      <c r="Q1659" s="11"/>
      <c r="R1659" s="11"/>
      <c r="S1659" s="11"/>
      <c r="T1659" s="11"/>
    </row>
    <row r="1660" spans="8:20" x14ac:dyDescent="0.35">
      <c r="H1660" s="711"/>
      <c r="I1660" s="711"/>
      <c r="J1660" s="711"/>
      <c r="K1660" s="711"/>
      <c r="L1660" s="711"/>
      <c r="Q1660" s="11"/>
      <c r="R1660" s="11"/>
      <c r="S1660" s="11"/>
      <c r="T1660" s="11"/>
    </row>
    <row r="1661" spans="8:20" x14ac:dyDescent="0.35">
      <c r="H1661" s="711"/>
      <c r="I1661" s="711"/>
      <c r="J1661" s="711"/>
      <c r="K1661" s="711"/>
      <c r="L1661" s="711"/>
      <c r="Q1661" s="11"/>
      <c r="R1661" s="11"/>
      <c r="S1661" s="11"/>
      <c r="T1661" s="11"/>
    </row>
    <row r="1662" spans="8:20" x14ac:dyDescent="0.35">
      <c r="H1662" s="711"/>
      <c r="I1662" s="711"/>
      <c r="J1662" s="711"/>
      <c r="K1662" s="711"/>
      <c r="L1662" s="711"/>
      <c r="Q1662" s="11"/>
      <c r="R1662" s="11"/>
      <c r="S1662" s="11"/>
      <c r="T1662" s="11"/>
    </row>
    <row r="1663" spans="8:20" x14ac:dyDescent="0.35">
      <c r="H1663" s="711"/>
      <c r="I1663" s="711"/>
      <c r="J1663" s="711"/>
      <c r="K1663" s="711"/>
      <c r="L1663" s="711"/>
      <c r="Q1663" s="11"/>
      <c r="R1663" s="11"/>
      <c r="S1663" s="11"/>
      <c r="T1663" s="11"/>
    </row>
    <row r="1664" spans="8:20" x14ac:dyDescent="0.35">
      <c r="H1664" s="711"/>
      <c r="I1664" s="711"/>
      <c r="J1664" s="711"/>
      <c r="K1664" s="711"/>
      <c r="L1664" s="711"/>
      <c r="Q1664" s="11"/>
      <c r="R1664" s="11"/>
      <c r="S1664" s="11"/>
      <c r="T1664" s="11"/>
    </row>
    <row r="1665" spans="8:20" x14ac:dyDescent="0.35">
      <c r="H1665" s="711"/>
      <c r="I1665" s="711"/>
      <c r="J1665" s="711"/>
      <c r="K1665" s="711"/>
      <c r="L1665" s="711"/>
      <c r="Q1665" s="11"/>
      <c r="R1665" s="11"/>
      <c r="S1665" s="11"/>
      <c r="T1665" s="11"/>
    </row>
    <row r="1666" spans="8:20" x14ac:dyDescent="0.35">
      <c r="H1666" s="711"/>
      <c r="I1666" s="711"/>
      <c r="J1666" s="711"/>
      <c r="K1666" s="711"/>
      <c r="L1666" s="711"/>
      <c r="Q1666" s="11"/>
      <c r="R1666" s="11"/>
      <c r="S1666" s="11"/>
      <c r="T1666" s="11"/>
    </row>
    <row r="1667" spans="8:20" x14ac:dyDescent="0.35">
      <c r="H1667" s="711"/>
      <c r="I1667" s="711"/>
      <c r="J1667" s="711"/>
      <c r="K1667" s="711"/>
      <c r="L1667" s="711"/>
      <c r="Q1667" s="11"/>
      <c r="R1667" s="11"/>
      <c r="S1667" s="11"/>
      <c r="T1667" s="11"/>
    </row>
    <row r="1668" spans="8:20" x14ac:dyDescent="0.35">
      <c r="H1668" s="711"/>
      <c r="I1668" s="711"/>
      <c r="J1668" s="711"/>
      <c r="K1668" s="711"/>
      <c r="L1668" s="711"/>
      <c r="Q1668" s="11"/>
      <c r="R1668" s="11"/>
      <c r="S1668" s="11"/>
      <c r="T1668" s="11"/>
    </row>
    <row r="1669" spans="8:20" x14ac:dyDescent="0.35">
      <c r="H1669" s="711"/>
      <c r="I1669" s="711"/>
      <c r="J1669" s="711"/>
      <c r="K1669" s="711"/>
      <c r="L1669" s="711"/>
      <c r="Q1669" s="11"/>
      <c r="R1669" s="11"/>
      <c r="S1669" s="11"/>
      <c r="T1669" s="11"/>
    </row>
    <row r="1670" spans="8:20" x14ac:dyDescent="0.35">
      <c r="H1670" s="711"/>
      <c r="I1670" s="711"/>
      <c r="J1670" s="711"/>
      <c r="K1670" s="711"/>
      <c r="L1670" s="711"/>
      <c r="Q1670" s="11"/>
      <c r="R1670" s="11"/>
      <c r="S1670" s="11"/>
      <c r="T1670" s="11"/>
    </row>
    <row r="1671" spans="8:20" x14ac:dyDescent="0.35">
      <c r="H1671" s="711"/>
      <c r="I1671" s="711"/>
      <c r="J1671" s="711"/>
      <c r="K1671" s="711"/>
      <c r="L1671" s="711"/>
      <c r="Q1671" s="11"/>
      <c r="R1671" s="11"/>
      <c r="S1671" s="11"/>
      <c r="T1671" s="11"/>
    </row>
    <row r="1672" spans="8:20" x14ac:dyDescent="0.35">
      <c r="H1672" s="711"/>
      <c r="I1672" s="711"/>
      <c r="J1672" s="711"/>
      <c r="K1672" s="711"/>
      <c r="L1672" s="711"/>
      <c r="Q1672" s="11"/>
      <c r="R1672" s="11"/>
      <c r="S1672" s="11"/>
      <c r="T1672" s="11"/>
    </row>
    <row r="1673" spans="8:20" x14ac:dyDescent="0.35">
      <c r="H1673" s="711"/>
      <c r="I1673" s="711"/>
      <c r="J1673" s="711"/>
      <c r="K1673" s="711"/>
      <c r="L1673" s="711"/>
      <c r="Q1673" s="11"/>
      <c r="R1673" s="11"/>
      <c r="S1673" s="11"/>
      <c r="T1673" s="11"/>
    </row>
    <row r="1674" spans="8:20" x14ac:dyDescent="0.35">
      <c r="H1674" s="711"/>
      <c r="I1674" s="711"/>
      <c r="J1674" s="711"/>
      <c r="K1674" s="711"/>
      <c r="L1674" s="711"/>
      <c r="Q1674" s="11"/>
      <c r="R1674" s="11"/>
      <c r="S1674" s="11"/>
      <c r="T1674" s="11"/>
    </row>
    <row r="1675" spans="8:20" x14ac:dyDescent="0.35">
      <c r="H1675" s="711"/>
      <c r="I1675" s="711"/>
      <c r="J1675" s="711"/>
      <c r="K1675" s="711"/>
      <c r="L1675" s="711"/>
      <c r="Q1675" s="11"/>
      <c r="R1675" s="11"/>
      <c r="S1675" s="11"/>
      <c r="T1675" s="11"/>
    </row>
    <row r="1676" spans="8:20" x14ac:dyDescent="0.35">
      <c r="H1676" s="711"/>
      <c r="I1676" s="711"/>
      <c r="J1676" s="711"/>
      <c r="K1676" s="711"/>
      <c r="L1676" s="711"/>
      <c r="Q1676" s="11"/>
      <c r="R1676" s="11"/>
      <c r="S1676" s="11"/>
      <c r="T1676" s="11"/>
    </row>
    <row r="1677" spans="8:20" x14ac:dyDescent="0.35">
      <c r="H1677" s="711"/>
      <c r="I1677" s="711"/>
      <c r="J1677" s="711"/>
      <c r="K1677" s="711"/>
      <c r="L1677" s="711"/>
      <c r="Q1677" s="11"/>
      <c r="R1677" s="11"/>
      <c r="S1677" s="11"/>
      <c r="T1677" s="11"/>
    </row>
    <row r="1678" spans="8:20" x14ac:dyDescent="0.35">
      <c r="H1678" s="711"/>
      <c r="I1678" s="711"/>
      <c r="J1678" s="711"/>
      <c r="K1678" s="711"/>
      <c r="L1678" s="711"/>
      <c r="Q1678" s="11"/>
      <c r="R1678" s="11"/>
      <c r="S1678" s="11"/>
      <c r="T1678" s="11"/>
    </row>
    <row r="1679" spans="8:20" x14ac:dyDescent="0.35">
      <c r="H1679" s="711"/>
      <c r="I1679" s="711"/>
      <c r="J1679" s="711"/>
      <c r="K1679" s="711"/>
      <c r="L1679" s="711"/>
      <c r="Q1679" s="11"/>
      <c r="R1679" s="11"/>
      <c r="S1679" s="11"/>
      <c r="T1679" s="11"/>
    </row>
    <row r="1680" spans="8:20" x14ac:dyDescent="0.35">
      <c r="H1680" s="711"/>
      <c r="I1680" s="711"/>
      <c r="J1680" s="711"/>
      <c r="K1680" s="711"/>
      <c r="L1680" s="711"/>
      <c r="Q1680" s="11"/>
      <c r="R1680" s="11"/>
      <c r="S1680" s="11"/>
      <c r="T1680" s="11"/>
    </row>
    <row r="1681" spans="8:20" x14ac:dyDescent="0.35">
      <c r="H1681" s="711"/>
      <c r="I1681" s="711"/>
      <c r="J1681" s="711"/>
      <c r="K1681" s="711"/>
      <c r="L1681" s="711"/>
      <c r="Q1681" s="11"/>
      <c r="R1681" s="11"/>
      <c r="S1681" s="11"/>
      <c r="T1681" s="11"/>
    </row>
    <row r="1682" spans="8:20" x14ac:dyDescent="0.35">
      <c r="H1682" s="711"/>
      <c r="I1682" s="711"/>
      <c r="J1682" s="711"/>
      <c r="K1682" s="711"/>
      <c r="L1682" s="711"/>
      <c r="Q1682" s="11"/>
      <c r="R1682" s="11"/>
      <c r="S1682" s="11"/>
      <c r="T1682" s="11"/>
    </row>
    <row r="1683" spans="8:20" x14ac:dyDescent="0.35">
      <c r="H1683" s="711"/>
      <c r="I1683" s="711"/>
      <c r="J1683" s="711"/>
      <c r="K1683" s="711"/>
      <c r="L1683" s="711"/>
      <c r="Q1683" s="11"/>
      <c r="R1683" s="11"/>
      <c r="S1683" s="11"/>
      <c r="T1683" s="11"/>
    </row>
    <row r="1684" spans="8:20" x14ac:dyDescent="0.35">
      <c r="H1684" s="711"/>
      <c r="I1684" s="711"/>
      <c r="J1684" s="711"/>
      <c r="K1684" s="711"/>
      <c r="L1684" s="711"/>
      <c r="Q1684" s="11"/>
      <c r="R1684" s="11"/>
      <c r="S1684" s="11"/>
      <c r="T1684" s="11"/>
    </row>
    <row r="1685" spans="8:20" x14ac:dyDescent="0.35">
      <c r="H1685" s="711"/>
      <c r="I1685" s="711"/>
      <c r="J1685" s="711"/>
      <c r="K1685" s="711"/>
      <c r="L1685" s="711"/>
      <c r="Q1685" s="11"/>
      <c r="R1685" s="11"/>
      <c r="S1685" s="11"/>
      <c r="T1685" s="11"/>
    </row>
    <row r="1686" spans="8:20" x14ac:dyDescent="0.35">
      <c r="H1686" s="711"/>
      <c r="I1686" s="711"/>
      <c r="J1686" s="711"/>
      <c r="K1686" s="711"/>
      <c r="L1686" s="711"/>
      <c r="Q1686" s="11"/>
      <c r="R1686" s="11"/>
      <c r="S1686" s="11"/>
      <c r="T1686" s="11"/>
    </row>
    <row r="1687" spans="8:20" x14ac:dyDescent="0.35">
      <c r="H1687" s="711"/>
      <c r="I1687" s="711"/>
      <c r="J1687" s="711"/>
      <c r="K1687" s="711"/>
      <c r="L1687" s="711"/>
      <c r="Q1687" s="11"/>
      <c r="R1687" s="11"/>
      <c r="S1687" s="11"/>
      <c r="T1687" s="11"/>
    </row>
    <row r="1688" spans="8:20" x14ac:dyDescent="0.35">
      <c r="H1688" s="711"/>
      <c r="I1688" s="711"/>
      <c r="J1688" s="711"/>
      <c r="K1688" s="711"/>
      <c r="L1688" s="711"/>
      <c r="Q1688" s="11"/>
      <c r="R1688" s="11"/>
      <c r="S1688" s="11"/>
      <c r="T1688" s="11"/>
    </row>
    <row r="1689" spans="8:20" x14ac:dyDescent="0.35">
      <c r="H1689" s="711"/>
      <c r="I1689" s="711"/>
      <c r="J1689" s="711"/>
      <c r="K1689" s="711"/>
      <c r="L1689" s="711"/>
      <c r="Q1689" s="11"/>
      <c r="R1689" s="11"/>
      <c r="S1689" s="11"/>
      <c r="T1689" s="11"/>
    </row>
    <row r="1690" spans="8:20" x14ac:dyDescent="0.35">
      <c r="H1690" s="711"/>
      <c r="I1690" s="711"/>
      <c r="J1690" s="711"/>
      <c r="K1690" s="711"/>
      <c r="L1690" s="711"/>
      <c r="Q1690" s="11"/>
      <c r="R1690" s="11"/>
      <c r="S1690" s="11"/>
      <c r="T1690" s="11"/>
    </row>
    <row r="1691" spans="8:20" x14ac:dyDescent="0.35">
      <c r="H1691" s="711"/>
      <c r="I1691" s="711"/>
      <c r="J1691" s="711"/>
      <c r="K1691" s="711"/>
      <c r="L1691" s="711"/>
      <c r="Q1691" s="11"/>
      <c r="R1691" s="11"/>
      <c r="S1691" s="11"/>
      <c r="T1691" s="11"/>
    </row>
    <row r="1692" spans="8:20" x14ac:dyDescent="0.35">
      <c r="H1692" s="711"/>
      <c r="I1692" s="711"/>
      <c r="J1692" s="711"/>
      <c r="K1692" s="711"/>
      <c r="L1692" s="711"/>
      <c r="Q1692" s="11"/>
      <c r="R1692" s="11"/>
      <c r="S1692" s="11"/>
      <c r="T1692" s="11"/>
    </row>
    <row r="1693" spans="8:20" x14ac:dyDescent="0.35">
      <c r="H1693" s="711"/>
      <c r="I1693" s="711"/>
      <c r="J1693" s="711"/>
      <c r="K1693" s="711"/>
      <c r="L1693" s="711"/>
      <c r="Q1693" s="11"/>
      <c r="R1693" s="11"/>
      <c r="S1693" s="11"/>
      <c r="T1693" s="11"/>
    </row>
    <row r="1694" spans="8:20" x14ac:dyDescent="0.35">
      <c r="H1694" s="711"/>
      <c r="I1694" s="711"/>
      <c r="J1694" s="711"/>
      <c r="K1694" s="711"/>
      <c r="L1694" s="711"/>
      <c r="Q1694" s="11"/>
      <c r="R1694" s="11"/>
      <c r="S1694" s="11"/>
      <c r="T1694" s="11"/>
    </row>
    <row r="1695" spans="8:20" x14ac:dyDescent="0.35">
      <c r="H1695" s="711"/>
      <c r="I1695" s="711"/>
      <c r="J1695" s="711"/>
      <c r="K1695" s="711"/>
      <c r="L1695" s="711"/>
      <c r="Q1695" s="11"/>
      <c r="R1695" s="11"/>
      <c r="S1695" s="11"/>
      <c r="T1695" s="11"/>
    </row>
    <row r="1696" spans="8:20" x14ac:dyDescent="0.35">
      <c r="H1696" s="711"/>
      <c r="I1696" s="711"/>
      <c r="J1696" s="711"/>
      <c r="K1696" s="711"/>
      <c r="L1696" s="711"/>
      <c r="Q1696" s="11"/>
      <c r="R1696" s="11"/>
      <c r="S1696" s="11"/>
      <c r="T1696" s="11"/>
    </row>
    <row r="1697" spans="8:20" x14ac:dyDescent="0.35">
      <c r="H1697" s="711"/>
      <c r="I1697" s="711"/>
      <c r="J1697" s="711"/>
      <c r="K1697" s="711"/>
      <c r="L1697" s="711"/>
      <c r="Q1697" s="11"/>
      <c r="R1697" s="11"/>
      <c r="S1697" s="11"/>
      <c r="T1697" s="11"/>
    </row>
    <row r="1698" spans="8:20" x14ac:dyDescent="0.35">
      <c r="H1698" s="711"/>
      <c r="I1698" s="711"/>
      <c r="J1698" s="711"/>
      <c r="K1698" s="711"/>
      <c r="L1698" s="711"/>
      <c r="Q1698" s="11"/>
      <c r="R1698" s="11"/>
      <c r="S1698" s="11"/>
      <c r="T1698" s="11"/>
    </row>
    <row r="1699" spans="8:20" x14ac:dyDescent="0.35">
      <c r="H1699" s="711"/>
      <c r="I1699" s="711"/>
      <c r="J1699" s="711"/>
      <c r="K1699" s="711"/>
      <c r="L1699" s="711"/>
      <c r="Q1699" s="11"/>
      <c r="R1699" s="11"/>
      <c r="S1699" s="11"/>
      <c r="T1699" s="11"/>
    </row>
    <row r="1700" spans="8:20" x14ac:dyDescent="0.35">
      <c r="H1700" s="711"/>
      <c r="I1700" s="711"/>
      <c r="J1700" s="711"/>
      <c r="K1700" s="711"/>
      <c r="L1700" s="711"/>
      <c r="Q1700" s="11"/>
      <c r="R1700" s="11"/>
      <c r="S1700" s="11"/>
      <c r="T1700" s="11"/>
    </row>
    <row r="1701" spans="8:20" x14ac:dyDescent="0.35">
      <c r="H1701" s="711"/>
      <c r="I1701" s="711"/>
      <c r="J1701" s="711"/>
      <c r="K1701" s="711"/>
      <c r="L1701" s="711"/>
      <c r="Q1701" s="11"/>
      <c r="R1701" s="11"/>
      <c r="S1701" s="11"/>
      <c r="T1701" s="11"/>
    </row>
    <row r="1702" spans="8:20" x14ac:dyDescent="0.35">
      <c r="H1702" s="711"/>
      <c r="I1702" s="711"/>
      <c r="J1702" s="711"/>
      <c r="K1702" s="711"/>
      <c r="L1702" s="711"/>
      <c r="Q1702" s="11"/>
      <c r="R1702" s="11"/>
      <c r="S1702" s="11"/>
      <c r="T1702" s="11"/>
    </row>
    <row r="1703" spans="8:20" x14ac:dyDescent="0.35">
      <c r="H1703" s="711"/>
      <c r="I1703" s="711"/>
      <c r="J1703" s="711"/>
      <c r="K1703" s="711"/>
      <c r="L1703" s="711"/>
      <c r="Q1703" s="11"/>
      <c r="R1703" s="11"/>
      <c r="S1703" s="11"/>
      <c r="T1703" s="11"/>
    </row>
    <row r="1704" spans="8:20" x14ac:dyDescent="0.35">
      <c r="H1704" s="711"/>
      <c r="I1704" s="711"/>
      <c r="J1704" s="711"/>
      <c r="K1704" s="711"/>
      <c r="L1704" s="711"/>
      <c r="Q1704" s="11"/>
      <c r="R1704" s="11"/>
      <c r="S1704" s="11"/>
      <c r="T1704" s="11"/>
    </row>
    <row r="1705" spans="8:20" x14ac:dyDescent="0.35">
      <c r="H1705" s="711"/>
      <c r="I1705" s="711"/>
      <c r="J1705" s="711"/>
      <c r="K1705" s="711"/>
      <c r="L1705" s="711"/>
      <c r="Q1705" s="11"/>
      <c r="R1705" s="11"/>
      <c r="S1705" s="11"/>
      <c r="T1705" s="11"/>
    </row>
    <row r="1706" spans="8:20" x14ac:dyDescent="0.35">
      <c r="H1706" s="711"/>
      <c r="I1706" s="711"/>
      <c r="J1706" s="711"/>
      <c r="K1706" s="711"/>
      <c r="L1706" s="711"/>
      <c r="Q1706" s="11"/>
      <c r="R1706" s="11"/>
      <c r="S1706" s="11"/>
      <c r="T1706" s="11"/>
    </row>
    <row r="1707" spans="8:20" x14ac:dyDescent="0.35">
      <c r="H1707" s="711"/>
      <c r="I1707" s="711"/>
      <c r="J1707" s="711"/>
      <c r="K1707" s="711"/>
      <c r="L1707" s="711"/>
      <c r="Q1707" s="11"/>
      <c r="R1707" s="11"/>
      <c r="S1707" s="11"/>
      <c r="T1707" s="11"/>
    </row>
    <row r="1708" spans="8:20" x14ac:dyDescent="0.35">
      <c r="H1708" s="711"/>
      <c r="I1708" s="711"/>
      <c r="J1708" s="711"/>
      <c r="K1708" s="711"/>
      <c r="L1708" s="711"/>
      <c r="Q1708" s="11"/>
      <c r="R1708" s="11"/>
      <c r="S1708" s="11"/>
      <c r="T1708" s="11"/>
    </row>
    <row r="1709" spans="8:20" x14ac:dyDescent="0.35">
      <c r="H1709" s="711"/>
      <c r="I1709" s="711"/>
      <c r="J1709" s="711"/>
      <c r="K1709" s="711"/>
      <c r="L1709" s="711"/>
      <c r="Q1709" s="11"/>
      <c r="R1709" s="11"/>
      <c r="S1709" s="11"/>
      <c r="T1709" s="11"/>
    </row>
    <row r="1710" spans="8:20" x14ac:dyDescent="0.35">
      <c r="H1710" s="711"/>
      <c r="I1710" s="711"/>
      <c r="J1710" s="711"/>
      <c r="K1710" s="711"/>
      <c r="L1710" s="711"/>
      <c r="Q1710" s="11"/>
      <c r="R1710" s="11"/>
      <c r="S1710" s="11"/>
      <c r="T1710" s="11"/>
    </row>
    <row r="1711" spans="8:20" x14ac:dyDescent="0.35">
      <c r="H1711" s="711"/>
      <c r="I1711" s="711"/>
      <c r="J1711" s="711"/>
      <c r="K1711" s="711"/>
      <c r="L1711" s="711"/>
      <c r="Q1711" s="11"/>
      <c r="R1711" s="11"/>
      <c r="S1711" s="11"/>
      <c r="T1711" s="11"/>
    </row>
    <row r="1712" spans="8:20" x14ac:dyDescent="0.35">
      <c r="H1712" s="711"/>
      <c r="I1712" s="711"/>
      <c r="J1712" s="711"/>
      <c r="K1712" s="711"/>
      <c r="L1712" s="711"/>
      <c r="Q1712" s="11"/>
      <c r="R1712" s="11"/>
      <c r="S1712" s="11"/>
      <c r="T1712" s="11"/>
    </row>
    <row r="1713" spans="8:20" x14ac:dyDescent="0.35">
      <c r="H1713" s="711"/>
      <c r="I1713" s="711"/>
      <c r="J1713" s="711"/>
      <c r="K1713" s="711"/>
      <c r="L1713" s="711"/>
      <c r="Q1713" s="11"/>
      <c r="R1713" s="11"/>
      <c r="S1713" s="11"/>
      <c r="T1713" s="11"/>
    </row>
    <row r="1714" spans="8:20" x14ac:dyDescent="0.35">
      <c r="H1714" s="711"/>
      <c r="I1714" s="711"/>
      <c r="J1714" s="711"/>
      <c r="K1714" s="711"/>
      <c r="L1714" s="711"/>
      <c r="Q1714" s="11"/>
      <c r="R1714" s="11"/>
      <c r="S1714" s="11"/>
      <c r="T1714" s="11"/>
    </row>
    <row r="1715" spans="8:20" x14ac:dyDescent="0.35">
      <c r="H1715" s="711"/>
      <c r="I1715" s="711"/>
      <c r="J1715" s="711"/>
      <c r="K1715" s="711"/>
      <c r="L1715" s="711"/>
      <c r="Q1715" s="11"/>
      <c r="R1715" s="11"/>
      <c r="S1715" s="11"/>
      <c r="T1715" s="11"/>
    </row>
    <row r="1716" spans="8:20" x14ac:dyDescent="0.35">
      <c r="H1716" s="711"/>
      <c r="I1716" s="711"/>
      <c r="J1716" s="711"/>
      <c r="K1716" s="711"/>
      <c r="L1716" s="711"/>
      <c r="Q1716" s="11"/>
      <c r="R1716" s="11"/>
      <c r="S1716" s="11"/>
      <c r="T1716" s="11"/>
    </row>
    <row r="1717" spans="8:20" x14ac:dyDescent="0.35">
      <c r="H1717" s="711"/>
      <c r="I1717" s="711"/>
      <c r="J1717" s="711"/>
      <c r="K1717" s="711"/>
      <c r="L1717" s="711"/>
      <c r="Q1717" s="11"/>
      <c r="R1717" s="11"/>
      <c r="S1717" s="11"/>
      <c r="T1717" s="11"/>
    </row>
    <row r="1718" spans="8:20" x14ac:dyDescent="0.35">
      <c r="H1718" s="711"/>
      <c r="I1718" s="711"/>
      <c r="J1718" s="711"/>
      <c r="K1718" s="711"/>
      <c r="L1718" s="711"/>
      <c r="Q1718" s="11"/>
      <c r="R1718" s="11"/>
      <c r="S1718" s="11"/>
      <c r="T1718" s="11"/>
    </row>
    <row r="1719" spans="8:20" x14ac:dyDescent="0.35">
      <c r="H1719" s="711"/>
      <c r="I1719" s="711"/>
      <c r="J1719" s="711"/>
      <c r="K1719" s="711"/>
      <c r="L1719" s="711"/>
      <c r="Q1719" s="11"/>
      <c r="R1719" s="11"/>
      <c r="S1719" s="11"/>
      <c r="T1719" s="11"/>
    </row>
    <row r="1720" spans="8:20" x14ac:dyDescent="0.35">
      <c r="H1720" s="711"/>
      <c r="I1720" s="711"/>
      <c r="J1720" s="711"/>
      <c r="K1720" s="711"/>
      <c r="L1720" s="711"/>
      <c r="Q1720" s="11"/>
      <c r="R1720" s="11"/>
      <c r="S1720" s="11"/>
      <c r="T1720" s="11"/>
    </row>
    <row r="1721" spans="8:20" x14ac:dyDescent="0.35">
      <c r="H1721" s="711"/>
      <c r="I1721" s="711"/>
      <c r="J1721" s="711"/>
      <c r="K1721" s="711"/>
      <c r="L1721" s="711"/>
      <c r="Q1721" s="11"/>
      <c r="R1721" s="11"/>
      <c r="S1721" s="11"/>
      <c r="T1721" s="11"/>
    </row>
    <row r="1722" spans="8:20" x14ac:dyDescent="0.35">
      <c r="H1722" s="711"/>
      <c r="I1722" s="711"/>
      <c r="J1722" s="711"/>
      <c r="K1722" s="711"/>
      <c r="L1722" s="711"/>
      <c r="Q1722" s="11"/>
      <c r="R1722" s="11"/>
      <c r="S1722" s="11"/>
      <c r="T1722" s="11"/>
    </row>
    <row r="1723" spans="8:20" x14ac:dyDescent="0.35">
      <c r="H1723" s="711"/>
      <c r="I1723" s="711"/>
      <c r="J1723" s="711"/>
      <c r="K1723" s="711"/>
      <c r="L1723" s="711"/>
      <c r="Q1723" s="11"/>
      <c r="R1723" s="11"/>
      <c r="S1723" s="11"/>
      <c r="T1723" s="11"/>
    </row>
    <row r="1724" spans="8:20" x14ac:dyDescent="0.35">
      <c r="H1724" s="711"/>
      <c r="I1724" s="711"/>
      <c r="J1724" s="711"/>
      <c r="K1724" s="711"/>
      <c r="L1724" s="711"/>
      <c r="Q1724" s="11"/>
      <c r="R1724" s="11"/>
      <c r="S1724" s="11"/>
      <c r="T1724" s="11"/>
    </row>
    <row r="1725" spans="8:20" x14ac:dyDescent="0.35">
      <c r="H1725" s="711"/>
      <c r="I1725" s="711"/>
      <c r="J1725" s="711"/>
      <c r="K1725" s="711"/>
      <c r="L1725" s="711"/>
      <c r="Q1725" s="11"/>
      <c r="R1725" s="11"/>
      <c r="S1725" s="11"/>
      <c r="T1725" s="11"/>
    </row>
    <row r="1726" spans="8:20" x14ac:dyDescent="0.35">
      <c r="H1726" s="711"/>
      <c r="I1726" s="711"/>
      <c r="J1726" s="711"/>
      <c r="K1726" s="711"/>
      <c r="L1726" s="711"/>
      <c r="Q1726" s="11"/>
      <c r="R1726" s="11"/>
      <c r="S1726" s="11"/>
      <c r="T1726" s="11"/>
    </row>
    <row r="1727" spans="8:20" x14ac:dyDescent="0.35">
      <c r="H1727" s="711"/>
      <c r="I1727" s="711"/>
      <c r="J1727" s="711"/>
      <c r="K1727" s="711"/>
      <c r="L1727" s="711"/>
      <c r="Q1727" s="11"/>
      <c r="R1727" s="11"/>
      <c r="S1727" s="11"/>
      <c r="T1727" s="11"/>
    </row>
    <row r="1728" spans="8:20" x14ac:dyDescent="0.35">
      <c r="H1728" s="711"/>
      <c r="I1728" s="711"/>
      <c r="J1728" s="711"/>
      <c r="K1728" s="711"/>
      <c r="L1728" s="711"/>
      <c r="Q1728" s="11"/>
      <c r="R1728" s="11"/>
      <c r="S1728" s="11"/>
      <c r="T1728" s="11"/>
    </row>
    <row r="1729" spans="8:20" x14ac:dyDescent="0.35">
      <c r="H1729" s="711"/>
      <c r="I1729" s="711"/>
      <c r="J1729" s="711"/>
      <c r="K1729" s="711"/>
      <c r="L1729" s="711"/>
      <c r="Q1729" s="11"/>
      <c r="R1729" s="11"/>
      <c r="S1729" s="11"/>
      <c r="T1729" s="11"/>
    </row>
    <row r="1730" spans="8:20" x14ac:dyDescent="0.35">
      <c r="H1730" s="711"/>
      <c r="I1730" s="711"/>
      <c r="J1730" s="711"/>
      <c r="K1730" s="711"/>
      <c r="L1730" s="711"/>
      <c r="Q1730" s="11"/>
      <c r="R1730" s="11"/>
      <c r="S1730" s="11"/>
      <c r="T1730" s="11"/>
    </row>
    <row r="1731" spans="8:20" x14ac:dyDescent="0.35">
      <c r="H1731" s="711"/>
      <c r="I1731" s="711"/>
      <c r="J1731" s="711"/>
      <c r="K1731" s="711"/>
      <c r="L1731" s="711"/>
      <c r="Q1731" s="11"/>
      <c r="R1731" s="11"/>
      <c r="S1731" s="11"/>
      <c r="T1731" s="11"/>
    </row>
    <row r="1732" spans="8:20" x14ac:dyDescent="0.35">
      <c r="H1732" s="711"/>
      <c r="I1732" s="711"/>
      <c r="J1732" s="711"/>
      <c r="K1732" s="711"/>
      <c r="L1732" s="711"/>
      <c r="Q1732" s="11"/>
      <c r="R1732" s="11"/>
      <c r="S1732" s="11"/>
      <c r="T1732" s="11"/>
    </row>
    <row r="1733" spans="8:20" x14ac:dyDescent="0.35">
      <c r="H1733" s="711"/>
      <c r="I1733" s="711"/>
      <c r="J1733" s="711"/>
      <c r="K1733" s="711"/>
      <c r="L1733" s="711"/>
      <c r="Q1733" s="11"/>
      <c r="R1733" s="11"/>
      <c r="S1733" s="11"/>
      <c r="T1733" s="11"/>
    </row>
    <row r="1734" spans="8:20" x14ac:dyDescent="0.35">
      <c r="H1734" s="711"/>
      <c r="I1734" s="711"/>
      <c r="J1734" s="711"/>
      <c r="K1734" s="711"/>
      <c r="L1734" s="711"/>
      <c r="Q1734" s="11"/>
      <c r="R1734" s="11"/>
      <c r="S1734" s="11"/>
      <c r="T1734" s="11"/>
    </row>
    <row r="1735" spans="8:20" x14ac:dyDescent="0.35">
      <c r="H1735" s="711"/>
      <c r="I1735" s="711"/>
      <c r="J1735" s="711"/>
      <c r="K1735" s="711"/>
      <c r="L1735" s="711"/>
      <c r="Q1735" s="11"/>
      <c r="R1735" s="11"/>
      <c r="S1735" s="11"/>
      <c r="T1735" s="11"/>
    </row>
    <row r="1736" spans="8:20" x14ac:dyDescent="0.35">
      <c r="H1736" s="711"/>
      <c r="I1736" s="711"/>
      <c r="J1736" s="711"/>
      <c r="K1736" s="711"/>
      <c r="L1736" s="711"/>
      <c r="Q1736" s="11"/>
      <c r="R1736" s="11"/>
      <c r="S1736" s="11"/>
      <c r="T1736" s="11"/>
    </row>
    <row r="1737" spans="8:20" x14ac:dyDescent="0.35">
      <c r="H1737" s="711"/>
      <c r="I1737" s="711"/>
      <c r="J1737" s="711"/>
      <c r="K1737" s="711"/>
      <c r="L1737" s="711"/>
      <c r="Q1737" s="11"/>
      <c r="R1737" s="11"/>
      <c r="S1737" s="11"/>
      <c r="T1737" s="11"/>
    </row>
    <row r="1738" spans="8:20" x14ac:dyDescent="0.35">
      <c r="H1738" s="711"/>
      <c r="I1738" s="711"/>
      <c r="J1738" s="711"/>
      <c r="K1738" s="711"/>
      <c r="L1738" s="711"/>
      <c r="Q1738" s="11"/>
      <c r="R1738" s="11"/>
      <c r="S1738" s="11"/>
      <c r="T1738" s="11"/>
    </row>
    <row r="1739" spans="8:20" x14ac:dyDescent="0.35">
      <c r="H1739" s="711"/>
      <c r="I1739" s="711"/>
      <c r="J1739" s="711"/>
      <c r="K1739" s="711"/>
      <c r="L1739" s="711"/>
      <c r="Q1739" s="11"/>
      <c r="R1739" s="11"/>
      <c r="S1739" s="11"/>
      <c r="T1739" s="11"/>
    </row>
    <row r="1740" spans="8:20" x14ac:dyDescent="0.35">
      <c r="H1740" s="711"/>
      <c r="I1740" s="711"/>
      <c r="J1740" s="711"/>
      <c r="K1740" s="711"/>
      <c r="L1740" s="711"/>
      <c r="Q1740" s="11"/>
      <c r="R1740" s="11"/>
      <c r="S1740" s="11"/>
      <c r="T1740" s="11"/>
    </row>
    <row r="1741" spans="8:20" x14ac:dyDescent="0.35">
      <c r="H1741" s="711"/>
      <c r="I1741" s="711"/>
      <c r="J1741" s="711"/>
      <c r="K1741" s="711"/>
      <c r="L1741" s="711"/>
      <c r="Q1741" s="11"/>
      <c r="R1741" s="11"/>
      <c r="S1741" s="11"/>
      <c r="T1741" s="11"/>
    </row>
    <row r="1742" spans="8:20" x14ac:dyDescent="0.35">
      <c r="H1742" s="711"/>
      <c r="I1742" s="711"/>
      <c r="J1742" s="711"/>
      <c r="K1742" s="711"/>
      <c r="L1742" s="711"/>
      <c r="Q1742" s="11"/>
      <c r="R1742" s="11"/>
      <c r="S1742" s="11"/>
      <c r="T1742" s="11"/>
    </row>
    <row r="1743" spans="8:20" x14ac:dyDescent="0.35">
      <c r="H1743" s="711"/>
      <c r="I1743" s="711"/>
      <c r="J1743" s="711"/>
      <c r="K1743" s="711"/>
      <c r="L1743" s="711"/>
      <c r="Q1743" s="11"/>
      <c r="R1743" s="11"/>
      <c r="S1743" s="11"/>
      <c r="T1743" s="11"/>
    </row>
    <row r="1744" spans="8:20" x14ac:dyDescent="0.35">
      <c r="H1744" s="711"/>
      <c r="I1744" s="711"/>
      <c r="J1744" s="711"/>
      <c r="K1744" s="711"/>
      <c r="L1744" s="711"/>
      <c r="Q1744" s="11"/>
      <c r="R1744" s="11"/>
      <c r="S1744" s="11"/>
      <c r="T1744" s="11"/>
    </row>
    <row r="1745" spans="8:20" x14ac:dyDescent="0.35">
      <c r="H1745" s="711"/>
      <c r="I1745" s="711"/>
      <c r="J1745" s="711"/>
      <c r="K1745" s="711"/>
      <c r="L1745" s="711"/>
      <c r="Q1745" s="11"/>
      <c r="R1745" s="11"/>
      <c r="S1745" s="11"/>
      <c r="T1745" s="11"/>
    </row>
    <row r="1746" spans="8:20" x14ac:dyDescent="0.35">
      <c r="H1746" s="711"/>
      <c r="I1746" s="711"/>
      <c r="J1746" s="711"/>
      <c r="K1746" s="711"/>
      <c r="L1746" s="711"/>
      <c r="Q1746" s="11"/>
      <c r="R1746" s="11"/>
      <c r="S1746" s="11"/>
      <c r="T1746" s="11"/>
    </row>
    <row r="1747" spans="8:20" x14ac:dyDescent="0.35">
      <c r="H1747" s="711"/>
      <c r="I1747" s="711"/>
      <c r="J1747" s="711"/>
      <c r="K1747" s="711"/>
      <c r="L1747" s="711"/>
      <c r="Q1747" s="11"/>
      <c r="R1747" s="11"/>
      <c r="S1747" s="11"/>
      <c r="T1747" s="11"/>
    </row>
    <row r="1748" spans="8:20" x14ac:dyDescent="0.35">
      <c r="H1748" s="711"/>
      <c r="I1748" s="711"/>
      <c r="J1748" s="711"/>
      <c r="K1748" s="711"/>
      <c r="L1748" s="711"/>
      <c r="Q1748" s="11"/>
      <c r="R1748" s="11"/>
      <c r="S1748" s="11"/>
      <c r="T1748" s="11"/>
    </row>
    <row r="1749" spans="8:20" x14ac:dyDescent="0.35">
      <c r="H1749" s="711"/>
      <c r="I1749" s="711"/>
      <c r="J1749" s="711"/>
      <c r="K1749" s="711"/>
      <c r="L1749" s="711"/>
      <c r="Q1749" s="11"/>
      <c r="R1749" s="11"/>
      <c r="S1749" s="11"/>
      <c r="T1749" s="11"/>
    </row>
    <row r="1750" spans="8:20" x14ac:dyDescent="0.35">
      <c r="H1750" s="711"/>
      <c r="I1750" s="711"/>
      <c r="J1750" s="711"/>
      <c r="K1750" s="711"/>
      <c r="L1750" s="711"/>
      <c r="Q1750" s="11"/>
      <c r="R1750" s="11"/>
      <c r="S1750" s="11"/>
      <c r="T1750" s="11"/>
    </row>
    <row r="1751" spans="8:20" x14ac:dyDescent="0.35">
      <c r="H1751" s="711"/>
      <c r="I1751" s="711"/>
      <c r="J1751" s="711"/>
      <c r="K1751" s="711"/>
      <c r="L1751" s="711"/>
      <c r="Q1751" s="11"/>
      <c r="R1751" s="11"/>
      <c r="S1751" s="11"/>
      <c r="T1751" s="11"/>
    </row>
    <row r="1752" spans="8:20" x14ac:dyDescent="0.35">
      <c r="H1752" s="711"/>
      <c r="I1752" s="711"/>
      <c r="J1752" s="711"/>
      <c r="K1752" s="711"/>
      <c r="L1752" s="711"/>
      <c r="Q1752" s="11"/>
      <c r="R1752" s="11"/>
      <c r="S1752" s="11"/>
      <c r="T1752" s="11"/>
    </row>
    <row r="1753" spans="8:20" x14ac:dyDescent="0.35">
      <c r="H1753" s="711"/>
      <c r="I1753" s="711"/>
      <c r="J1753" s="711"/>
      <c r="K1753" s="711"/>
      <c r="L1753" s="711"/>
      <c r="Q1753" s="11"/>
      <c r="R1753" s="11"/>
      <c r="S1753" s="11"/>
      <c r="T1753" s="11"/>
    </row>
    <row r="1754" spans="8:20" x14ac:dyDescent="0.35">
      <c r="H1754" s="711"/>
      <c r="I1754" s="711"/>
      <c r="J1754" s="711"/>
      <c r="K1754" s="711"/>
      <c r="L1754" s="711"/>
      <c r="Q1754" s="11"/>
      <c r="R1754" s="11"/>
      <c r="S1754" s="11"/>
      <c r="T1754" s="11"/>
    </row>
    <row r="1755" spans="8:20" x14ac:dyDescent="0.35">
      <c r="H1755" s="711"/>
      <c r="I1755" s="711"/>
      <c r="J1755" s="711"/>
      <c r="K1755" s="711"/>
      <c r="L1755" s="711"/>
      <c r="Q1755" s="11"/>
      <c r="R1755" s="11"/>
      <c r="S1755" s="11"/>
      <c r="T1755" s="11"/>
    </row>
    <row r="1756" spans="8:20" x14ac:dyDescent="0.35">
      <c r="H1756" s="711"/>
      <c r="I1756" s="711"/>
      <c r="J1756" s="711"/>
      <c r="K1756" s="711"/>
      <c r="L1756" s="711"/>
      <c r="Q1756" s="11"/>
      <c r="R1756" s="11"/>
      <c r="S1756" s="11"/>
      <c r="T1756" s="11"/>
    </row>
    <row r="1757" spans="8:20" x14ac:dyDescent="0.35">
      <c r="H1757" s="711"/>
      <c r="I1757" s="711"/>
      <c r="J1757" s="711"/>
      <c r="K1757" s="711"/>
      <c r="L1757" s="711"/>
      <c r="Q1757" s="11"/>
      <c r="R1757" s="11"/>
      <c r="S1757" s="11"/>
      <c r="T1757" s="11"/>
    </row>
    <row r="1758" spans="8:20" x14ac:dyDescent="0.35">
      <c r="H1758" s="711"/>
      <c r="I1758" s="711"/>
      <c r="J1758" s="711"/>
      <c r="K1758" s="711"/>
      <c r="L1758" s="711"/>
      <c r="Q1758" s="11"/>
      <c r="R1758" s="11"/>
      <c r="S1758" s="11"/>
      <c r="T1758" s="11"/>
    </row>
    <row r="1759" spans="8:20" x14ac:dyDescent="0.35">
      <c r="H1759" s="711"/>
      <c r="I1759" s="711"/>
      <c r="J1759" s="711"/>
      <c r="K1759" s="711"/>
      <c r="L1759" s="711"/>
      <c r="Q1759" s="11"/>
      <c r="R1759" s="11"/>
      <c r="S1759" s="11"/>
      <c r="T1759" s="11"/>
    </row>
    <row r="1760" spans="8:20" x14ac:dyDescent="0.35">
      <c r="H1760" s="711"/>
      <c r="I1760" s="711"/>
      <c r="J1760" s="711"/>
      <c r="K1760" s="711"/>
      <c r="L1760" s="711"/>
      <c r="Q1760" s="11"/>
      <c r="R1760" s="11"/>
      <c r="S1760" s="11"/>
      <c r="T1760" s="11"/>
    </row>
    <row r="1761" spans="8:20" x14ac:dyDescent="0.35">
      <c r="H1761" s="711"/>
      <c r="I1761" s="711"/>
      <c r="J1761" s="711"/>
      <c r="K1761" s="711"/>
      <c r="L1761" s="711"/>
      <c r="Q1761" s="11"/>
      <c r="R1761" s="11"/>
      <c r="S1761" s="11"/>
      <c r="T1761" s="11"/>
    </row>
    <row r="1762" spans="8:20" x14ac:dyDescent="0.35">
      <c r="H1762" s="711"/>
      <c r="I1762" s="711"/>
      <c r="J1762" s="711"/>
      <c r="K1762" s="711"/>
      <c r="L1762" s="711"/>
      <c r="Q1762" s="11"/>
      <c r="R1762" s="11"/>
      <c r="S1762" s="11"/>
      <c r="T1762" s="11"/>
    </row>
    <row r="1763" spans="8:20" x14ac:dyDescent="0.35">
      <c r="H1763" s="711"/>
      <c r="I1763" s="711"/>
      <c r="J1763" s="711"/>
      <c r="K1763" s="711"/>
      <c r="L1763" s="711"/>
      <c r="Q1763" s="11"/>
      <c r="R1763" s="11"/>
      <c r="S1763" s="11"/>
      <c r="T1763" s="11"/>
    </row>
    <row r="1764" spans="8:20" x14ac:dyDescent="0.35">
      <c r="H1764" s="711"/>
      <c r="I1764" s="711"/>
      <c r="J1764" s="711"/>
      <c r="K1764" s="711"/>
      <c r="L1764" s="711"/>
      <c r="Q1764" s="11"/>
      <c r="R1764" s="11"/>
      <c r="S1764" s="11"/>
      <c r="T1764" s="11"/>
    </row>
    <row r="1765" spans="8:20" x14ac:dyDescent="0.35">
      <c r="H1765" s="711"/>
      <c r="I1765" s="711"/>
      <c r="J1765" s="711"/>
      <c r="K1765" s="711"/>
      <c r="L1765" s="711"/>
      <c r="Q1765" s="11"/>
      <c r="R1765" s="11"/>
      <c r="S1765" s="11"/>
      <c r="T1765" s="11"/>
    </row>
    <row r="1766" spans="8:20" x14ac:dyDescent="0.35">
      <c r="H1766" s="711"/>
      <c r="I1766" s="711"/>
      <c r="J1766" s="711"/>
      <c r="K1766" s="711"/>
      <c r="L1766" s="711"/>
      <c r="Q1766" s="11"/>
      <c r="R1766" s="11"/>
      <c r="S1766" s="11"/>
      <c r="T1766" s="11"/>
    </row>
    <row r="1767" spans="8:20" x14ac:dyDescent="0.35">
      <c r="H1767" s="711"/>
      <c r="I1767" s="711"/>
      <c r="J1767" s="711"/>
      <c r="K1767" s="711"/>
      <c r="L1767" s="711"/>
      <c r="Q1767" s="11"/>
      <c r="R1767" s="11"/>
      <c r="S1767" s="11"/>
      <c r="T1767" s="11"/>
    </row>
    <row r="1768" spans="8:20" x14ac:dyDescent="0.35">
      <c r="H1768" s="711"/>
      <c r="I1768" s="711"/>
      <c r="J1768" s="711"/>
      <c r="K1768" s="711"/>
      <c r="L1768" s="711"/>
      <c r="Q1768" s="11"/>
      <c r="R1768" s="11"/>
      <c r="S1768" s="11"/>
      <c r="T1768" s="11"/>
    </row>
    <row r="1769" spans="8:20" x14ac:dyDescent="0.35">
      <c r="H1769" s="711"/>
      <c r="I1769" s="711"/>
      <c r="J1769" s="711"/>
      <c r="K1769" s="711"/>
      <c r="L1769" s="711"/>
      <c r="Q1769" s="11"/>
      <c r="R1769" s="11"/>
      <c r="S1769" s="11"/>
      <c r="T1769" s="11"/>
    </row>
    <row r="1770" spans="8:20" x14ac:dyDescent="0.35">
      <c r="H1770" s="711"/>
      <c r="I1770" s="711"/>
      <c r="J1770" s="711"/>
      <c r="K1770" s="711"/>
      <c r="L1770" s="711"/>
      <c r="Q1770" s="11"/>
      <c r="R1770" s="11"/>
      <c r="S1770" s="11"/>
      <c r="T1770" s="11"/>
    </row>
    <row r="1771" spans="8:20" x14ac:dyDescent="0.35">
      <c r="H1771" s="711"/>
      <c r="I1771" s="711"/>
      <c r="J1771" s="711"/>
      <c r="K1771" s="711"/>
      <c r="L1771" s="711"/>
      <c r="Q1771" s="11"/>
      <c r="R1771" s="11"/>
      <c r="S1771" s="11"/>
      <c r="T1771" s="11"/>
    </row>
    <row r="1772" spans="8:20" x14ac:dyDescent="0.35">
      <c r="H1772" s="711"/>
      <c r="I1772" s="711"/>
      <c r="J1772" s="711"/>
      <c r="K1772" s="711"/>
      <c r="L1772" s="711"/>
      <c r="Q1772" s="11"/>
      <c r="R1772" s="11"/>
      <c r="S1772" s="11"/>
      <c r="T1772" s="11"/>
    </row>
    <row r="1773" spans="8:20" x14ac:dyDescent="0.35">
      <c r="H1773" s="711"/>
      <c r="I1773" s="711"/>
      <c r="J1773" s="711"/>
      <c r="K1773" s="711"/>
      <c r="L1773" s="711"/>
      <c r="Q1773" s="11"/>
      <c r="R1773" s="11"/>
      <c r="S1773" s="11"/>
      <c r="T1773" s="11"/>
    </row>
    <row r="1774" spans="8:20" x14ac:dyDescent="0.35">
      <c r="H1774" s="711"/>
      <c r="I1774" s="711"/>
      <c r="J1774" s="711"/>
      <c r="K1774" s="711"/>
      <c r="L1774" s="711"/>
      <c r="Q1774" s="11"/>
      <c r="R1774" s="11"/>
      <c r="S1774" s="11"/>
      <c r="T1774" s="11"/>
    </row>
    <row r="1775" spans="8:20" x14ac:dyDescent="0.35">
      <c r="H1775" s="711"/>
      <c r="I1775" s="711"/>
      <c r="J1775" s="711"/>
      <c r="K1775" s="711"/>
      <c r="L1775" s="711"/>
      <c r="Q1775" s="11"/>
      <c r="R1775" s="11"/>
      <c r="S1775" s="11"/>
      <c r="T1775" s="11"/>
    </row>
    <row r="1776" spans="8:20" x14ac:dyDescent="0.35">
      <c r="H1776" s="711"/>
      <c r="I1776" s="711"/>
      <c r="J1776" s="711"/>
      <c r="K1776" s="711"/>
      <c r="L1776" s="711"/>
      <c r="Q1776" s="11"/>
      <c r="R1776" s="11"/>
      <c r="S1776" s="11"/>
      <c r="T1776" s="11"/>
    </row>
    <row r="1777" spans="8:20" x14ac:dyDescent="0.35">
      <c r="H1777" s="711"/>
      <c r="I1777" s="711"/>
      <c r="J1777" s="711"/>
      <c r="K1777" s="711"/>
      <c r="L1777" s="711"/>
      <c r="Q1777" s="11"/>
      <c r="R1777" s="11"/>
      <c r="S1777" s="11"/>
      <c r="T1777" s="11"/>
    </row>
    <row r="1778" spans="8:20" x14ac:dyDescent="0.35">
      <c r="H1778" s="711"/>
      <c r="I1778" s="711"/>
      <c r="J1778" s="711"/>
      <c r="K1778" s="711"/>
      <c r="L1778" s="711"/>
      <c r="Q1778" s="11"/>
      <c r="R1778" s="11"/>
      <c r="S1778" s="11"/>
      <c r="T1778" s="11"/>
    </row>
    <row r="1779" spans="8:20" x14ac:dyDescent="0.35">
      <c r="H1779" s="711"/>
      <c r="I1779" s="711"/>
      <c r="J1779" s="711"/>
      <c r="K1779" s="711"/>
      <c r="L1779" s="711"/>
      <c r="Q1779" s="11"/>
      <c r="R1779" s="11"/>
      <c r="S1779" s="11"/>
      <c r="T1779" s="11"/>
    </row>
    <row r="1780" spans="8:20" x14ac:dyDescent="0.35">
      <c r="H1780" s="711"/>
      <c r="I1780" s="711"/>
      <c r="J1780" s="711"/>
      <c r="K1780" s="711"/>
      <c r="L1780" s="711"/>
      <c r="Q1780" s="11"/>
      <c r="R1780" s="11"/>
      <c r="S1780" s="11"/>
      <c r="T1780" s="11"/>
    </row>
    <row r="1781" spans="8:20" x14ac:dyDescent="0.35">
      <c r="H1781" s="711"/>
      <c r="I1781" s="711"/>
      <c r="J1781" s="711"/>
      <c r="K1781" s="711"/>
      <c r="L1781" s="711"/>
      <c r="Q1781" s="11"/>
      <c r="R1781" s="11"/>
      <c r="S1781" s="11"/>
      <c r="T1781" s="11"/>
    </row>
    <row r="1782" spans="8:20" x14ac:dyDescent="0.35">
      <c r="H1782" s="711"/>
      <c r="I1782" s="711"/>
      <c r="J1782" s="711"/>
      <c r="K1782" s="711"/>
      <c r="L1782" s="711"/>
      <c r="Q1782" s="11"/>
      <c r="R1782" s="11"/>
      <c r="S1782" s="11"/>
      <c r="T1782" s="11"/>
    </row>
    <row r="1783" spans="8:20" x14ac:dyDescent="0.35">
      <c r="H1783" s="711"/>
      <c r="I1783" s="711"/>
      <c r="J1783" s="711"/>
      <c r="K1783" s="711"/>
      <c r="L1783" s="711"/>
      <c r="Q1783" s="11"/>
      <c r="R1783" s="11"/>
      <c r="S1783" s="11"/>
      <c r="T1783" s="11"/>
    </row>
    <row r="1784" spans="8:20" x14ac:dyDescent="0.35">
      <c r="H1784" s="711"/>
      <c r="I1784" s="711"/>
      <c r="J1784" s="711"/>
      <c r="K1784" s="711"/>
      <c r="L1784" s="711"/>
      <c r="Q1784" s="11"/>
      <c r="R1784" s="11"/>
      <c r="S1784" s="11"/>
      <c r="T1784" s="11"/>
    </row>
    <row r="1785" spans="8:20" x14ac:dyDescent="0.35">
      <c r="H1785" s="711"/>
      <c r="I1785" s="711"/>
      <c r="J1785" s="711"/>
      <c r="K1785" s="711"/>
      <c r="L1785" s="711"/>
      <c r="Q1785" s="11"/>
      <c r="R1785" s="11"/>
      <c r="S1785" s="11"/>
      <c r="T1785" s="11"/>
    </row>
    <row r="1786" spans="8:20" x14ac:dyDescent="0.35">
      <c r="H1786" s="711"/>
      <c r="I1786" s="711"/>
      <c r="J1786" s="711"/>
      <c r="K1786" s="711"/>
      <c r="L1786" s="711"/>
      <c r="Q1786" s="11"/>
      <c r="R1786" s="11"/>
      <c r="S1786" s="11"/>
      <c r="T1786" s="11"/>
    </row>
    <row r="1787" spans="8:20" x14ac:dyDescent="0.35">
      <c r="H1787" s="711"/>
      <c r="I1787" s="711"/>
      <c r="J1787" s="711"/>
      <c r="K1787" s="711"/>
      <c r="L1787" s="711"/>
      <c r="Q1787" s="11"/>
      <c r="R1787" s="11"/>
      <c r="S1787" s="11"/>
      <c r="T1787" s="11"/>
    </row>
    <row r="1788" spans="8:20" x14ac:dyDescent="0.35">
      <c r="H1788" s="711"/>
      <c r="I1788" s="711"/>
      <c r="J1788" s="711"/>
      <c r="K1788" s="711"/>
      <c r="L1788" s="711"/>
      <c r="Q1788" s="11"/>
      <c r="R1788" s="11"/>
      <c r="S1788" s="11"/>
      <c r="T1788" s="11"/>
    </row>
    <row r="1789" spans="8:20" x14ac:dyDescent="0.35">
      <c r="H1789" s="711"/>
      <c r="I1789" s="711"/>
      <c r="J1789" s="711"/>
      <c r="K1789" s="711"/>
      <c r="L1789" s="711"/>
      <c r="Q1789" s="11"/>
      <c r="R1789" s="11"/>
      <c r="S1789" s="11"/>
      <c r="T1789" s="11"/>
    </row>
    <row r="1790" spans="8:20" x14ac:dyDescent="0.35">
      <c r="H1790" s="711"/>
      <c r="I1790" s="711"/>
      <c r="J1790" s="711"/>
      <c r="K1790" s="711"/>
      <c r="L1790" s="711"/>
      <c r="Q1790" s="11"/>
      <c r="R1790" s="11"/>
      <c r="S1790" s="11"/>
      <c r="T1790" s="11"/>
    </row>
    <row r="1791" spans="8:20" x14ac:dyDescent="0.35">
      <c r="H1791" s="711"/>
      <c r="I1791" s="711"/>
      <c r="J1791" s="711"/>
      <c r="K1791" s="711"/>
      <c r="L1791" s="711"/>
      <c r="Q1791" s="11"/>
      <c r="R1791" s="11"/>
      <c r="S1791" s="11"/>
      <c r="T1791" s="11"/>
    </row>
    <row r="1792" spans="8:20" x14ac:dyDescent="0.35">
      <c r="H1792" s="711"/>
      <c r="I1792" s="711"/>
      <c r="J1792" s="711"/>
      <c r="K1792" s="711"/>
      <c r="L1792" s="711"/>
      <c r="Q1792" s="11"/>
      <c r="R1792" s="11"/>
      <c r="S1792" s="11"/>
      <c r="T1792" s="11"/>
    </row>
    <row r="1793" spans="8:20" x14ac:dyDescent="0.35">
      <c r="H1793" s="711"/>
      <c r="I1793" s="711"/>
      <c r="J1793" s="711"/>
      <c r="K1793" s="711"/>
      <c r="L1793" s="711"/>
      <c r="Q1793" s="11"/>
      <c r="R1793" s="11"/>
      <c r="S1793" s="11"/>
      <c r="T1793" s="11"/>
    </row>
    <row r="1794" spans="8:20" x14ac:dyDescent="0.35">
      <c r="H1794" s="711"/>
      <c r="I1794" s="711"/>
      <c r="J1794" s="711"/>
      <c r="K1794" s="711"/>
      <c r="L1794" s="711"/>
      <c r="Q1794" s="11"/>
      <c r="R1794" s="11"/>
      <c r="S1794" s="11"/>
      <c r="T1794" s="11"/>
    </row>
    <row r="1795" spans="8:20" x14ac:dyDescent="0.35">
      <c r="H1795" s="711"/>
      <c r="I1795" s="711"/>
      <c r="J1795" s="711"/>
      <c r="K1795" s="711"/>
      <c r="L1795" s="711"/>
      <c r="Q1795" s="11"/>
      <c r="R1795" s="11"/>
      <c r="S1795" s="11"/>
      <c r="T1795" s="11"/>
    </row>
    <row r="1796" spans="8:20" x14ac:dyDescent="0.35">
      <c r="H1796" s="711"/>
      <c r="I1796" s="711"/>
      <c r="J1796" s="711"/>
      <c r="K1796" s="711"/>
      <c r="L1796" s="711"/>
      <c r="Q1796" s="11"/>
      <c r="R1796" s="11"/>
      <c r="S1796" s="11"/>
      <c r="T1796" s="11"/>
    </row>
    <row r="1797" spans="8:20" x14ac:dyDescent="0.35">
      <c r="H1797" s="711"/>
      <c r="I1797" s="711"/>
      <c r="J1797" s="711"/>
      <c r="K1797" s="711"/>
      <c r="L1797" s="711"/>
      <c r="Q1797" s="11"/>
      <c r="R1797" s="11"/>
      <c r="S1797" s="11"/>
      <c r="T1797" s="11"/>
    </row>
    <row r="1798" spans="8:20" x14ac:dyDescent="0.35">
      <c r="H1798" s="711"/>
      <c r="I1798" s="711"/>
      <c r="J1798" s="711"/>
      <c r="K1798" s="711"/>
      <c r="L1798" s="711"/>
      <c r="Q1798" s="11"/>
      <c r="R1798" s="11"/>
      <c r="S1798" s="11"/>
      <c r="T1798" s="11"/>
    </row>
    <row r="1799" spans="8:20" x14ac:dyDescent="0.35">
      <c r="H1799" s="711"/>
      <c r="I1799" s="711"/>
      <c r="J1799" s="711"/>
      <c r="K1799" s="711"/>
      <c r="L1799" s="711"/>
      <c r="Q1799" s="11"/>
      <c r="R1799" s="11"/>
      <c r="S1799" s="11"/>
      <c r="T1799" s="11"/>
    </row>
    <row r="1800" spans="8:20" x14ac:dyDescent="0.35">
      <c r="H1800" s="711"/>
      <c r="I1800" s="711"/>
      <c r="J1800" s="711"/>
      <c r="K1800" s="711"/>
      <c r="L1800" s="711"/>
      <c r="Q1800" s="11"/>
      <c r="R1800" s="11"/>
      <c r="S1800" s="11"/>
      <c r="T1800" s="11"/>
    </row>
    <row r="1801" spans="8:20" x14ac:dyDescent="0.35">
      <c r="H1801" s="711"/>
      <c r="I1801" s="711"/>
      <c r="J1801" s="711"/>
      <c r="K1801" s="711"/>
      <c r="L1801" s="711"/>
      <c r="Q1801" s="11"/>
      <c r="R1801" s="11"/>
      <c r="S1801" s="11"/>
      <c r="T1801" s="11"/>
    </row>
    <row r="1802" spans="8:20" x14ac:dyDescent="0.35">
      <c r="H1802" s="711"/>
      <c r="I1802" s="711"/>
      <c r="J1802" s="711"/>
      <c r="K1802" s="711"/>
      <c r="L1802" s="711"/>
      <c r="Q1802" s="11"/>
      <c r="R1802" s="11"/>
      <c r="S1802" s="11"/>
      <c r="T1802" s="11"/>
    </row>
    <row r="1803" spans="8:20" x14ac:dyDescent="0.35">
      <c r="H1803" s="711"/>
      <c r="I1803" s="711"/>
      <c r="J1803" s="711"/>
      <c r="K1803" s="711"/>
      <c r="L1803" s="711"/>
      <c r="Q1803" s="11"/>
      <c r="R1803" s="11"/>
      <c r="S1803" s="11"/>
      <c r="T1803" s="11"/>
    </row>
    <row r="1804" spans="8:20" x14ac:dyDescent="0.35">
      <c r="H1804" s="711"/>
      <c r="I1804" s="711"/>
      <c r="J1804" s="711"/>
      <c r="K1804" s="711"/>
      <c r="L1804" s="711"/>
      <c r="Q1804" s="11"/>
      <c r="R1804" s="11"/>
      <c r="S1804" s="11"/>
      <c r="T1804" s="11"/>
    </row>
    <row r="1805" spans="8:20" x14ac:dyDescent="0.35">
      <c r="H1805" s="711"/>
      <c r="I1805" s="711"/>
      <c r="J1805" s="711"/>
      <c r="K1805" s="711"/>
      <c r="L1805" s="711"/>
      <c r="Q1805" s="11"/>
      <c r="R1805" s="11"/>
      <c r="S1805" s="11"/>
      <c r="T1805" s="11"/>
    </row>
    <row r="1806" spans="8:20" x14ac:dyDescent="0.35">
      <c r="H1806" s="711"/>
      <c r="I1806" s="711"/>
      <c r="J1806" s="711"/>
      <c r="K1806" s="711"/>
      <c r="L1806" s="711"/>
      <c r="Q1806" s="11"/>
      <c r="R1806" s="11"/>
      <c r="S1806" s="11"/>
      <c r="T1806" s="11"/>
    </row>
    <row r="1807" spans="8:20" x14ac:dyDescent="0.35">
      <c r="H1807" s="711"/>
      <c r="I1807" s="711"/>
      <c r="J1807" s="711"/>
      <c r="K1807" s="711"/>
      <c r="L1807" s="711"/>
      <c r="Q1807" s="11"/>
      <c r="R1807" s="11"/>
      <c r="S1807" s="11"/>
      <c r="T1807" s="11"/>
    </row>
    <row r="1808" spans="8:20" x14ac:dyDescent="0.35">
      <c r="H1808" s="711"/>
      <c r="I1808" s="711"/>
      <c r="J1808" s="711"/>
      <c r="K1808" s="711"/>
      <c r="L1808" s="711"/>
      <c r="Q1808" s="11"/>
      <c r="R1808" s="11"/>
      <c r="S1808" s="11"/>
      <c r="T1808" s="11"/>
    </row>
    <row r="1809" spans="8:20" x14ac:dyDescent="0.35">
      <c r="H1809" s="711"/>
      <c r="I1809" s="711"/>
      <c r="J1809" s="711"/>
      <c r="K1809" s="711"/>
      <c r="L1809" s="711"/>
      <c r="Q1809" s="11"/>
      <c r="R1809" s="11"/>
      <c r="S1809" s="11"/>
      <c r="T1809" s="11"/>
    </row>
    <row r="1810" spans="8:20" x14ac:dyDescent="0.35">
      <c r="H1810" s="711"/>
      <c r="I1810" s="711"/>
      <c r="J1810" s="711"/>
      <c r="K1810" s="711"/>
      <c r="L1810" s="711"/>
      <c r="Q1810" s="11"/>
      <c r="R1810" s="11"/>
      <c r="S1810" s="11"/>
      <c r="T1810" s="11"/>
    </row>
    <row r="1811" spans="8:20" x14ac:dyDescent="0.35">
      <c r="H1811" s="711"/>
      <c r="I1811" s="711"/>
      <c r="J1811" s="711"/>
      <c r="K1811" s="711"/>
      <c r="L1811" s="711"/>
      <c r="Q1811" s="11"/>
      <c r="R1811" s="11"/>
      <c r="S1811" s="11"/>
      <c r="T1811" s="11"/>
    </row>
    <row r="1812" spans="8:20" x14ac:dyDescent="0.35">
      <c r="H1812" s="711"/>
      <c r="I1812" s="711"/>
      <c r="J1812" s="711"/>
      <c r="K1812" s="711"/>
      <c r="L1812" s="711"/>
      <c r="Q1812" s="11"/>
      <c r="R1812" s="11"/>
      <c r="S1812" s="11"/>
      <c r="T1812" s="11"/>
    </row>
    <row r="1813" spans="8:20" x14ac:dyDescent="0.35">
      <c r="H1813" s="711"/>
      <c r="I1813" s="711"/>
      <c r="J1813" s="711"/>
      <c r="K1813" s="711"/>
      <c r="L1813" s="711"/>
      <c r="Q1813" s="11"/>
      <c r="R1813" s="11"/>
      <c r="S1813" s="11"/>
      <c r="T1813" s="11"/>
    </row>
    <row r="1814" spans="8:20" x14ac:dyDescent="0.35">
      <c r="H1814" s="711"/>
      <c r="I1814" s="711"/>
      <c r="J1814" s="711"/>
      <c r="K1814" s="711"/>
      <c r="L1814" s="711"/>
      <c r="Q1814" s="11"/>
      <c r="R1814" s="11"/>
      <c r="S1814" s="11"/>
      <c r="T1814" s="11"/>
    </row>
    <row r="1815" spans="8:20" x14ac:dyDescent="0.35">
      <c r="H1815" s="711"/>
      <c r="I1815" s="711"/>
      <c r="J1815" s="711"/>
      <c r="K1815" s="711"/>
      <c r="L1815" s="711"/>
      <c r="Q1815" s="11"/>
      <c r="R1815" s="11"/>
      <c r="S1815" s="11"/>
      <c r="T1815" s="11"/>
    </row>
    <row r="1816" spans="8:20" x14ac:dyDescent="0.35">
      <c r="H1816" s="711"/>
      <c r="I1816" s="711"/>
      <c r="J1816" s="711"/>
      <c r="K1816" s="711"/>
      <c r="L1816" s="711"/>
      <c r="Q1816" s="11"/>
      <c r="R1816" s="11"/>
      <c r="S1816" s="11"/>
      <c r="T1816" s="11"/>
    </row>
    <row r="1817" spans="8:20" x14ac:dyDescent="0.35">
      <c r="H1817" s="711"/>
      <c r="I1817" s="711"/>
      <c r="J1817" s="711"/>
      <c r="K1817" s="711"/>
      <c r="L1817" s="711"/>
      <c r="Q1817" s="11"/>
      <c r="R1817" s="11"/>
      <c r="S1817" s="11"/>
      <c r="T1817" s="11"/>
    </row>
    <row r="1818" spans="8:20" x14ac:dyDescent="0.35">
      <c r="H1818" s="711"/>
      <c r="I1818" s="711"/>
      <c r="J1818" s="711"/>
      <c r="K1818" s="711"/>
      <c r="L1818" s="711"/>
      <c r="Q1818" s="11"/>
      <c r="R1818" s="11"/>
      <c r="S1818" s="11"/>
      <c r="T1818" s="11"/>
    </row>
    <row r="1819" spans="8:20" x14ac:dyDescent="0.35">
      <c r="H1819" s="711"/>
      <c r="I1819" s="711"/>
      <c r="J1819" s="711"/>
      <c r="K1819" s="711"/>
      <c r="L1819" s="711"/>
      <c r="Q1819" s="11"/>
      <c r="R1819" s="11"/>
      <c r="S1819" s="11"/>
      <c r="T1819" s="11"/>
    </row>
    <row r="1820" spans="8:20" x14ac:dyDescent="0.35">
      <c r="H1820" s="711"/>
      <c r="I1820" s="711"/>
      <c r="J1820" s="711"/>
      <c r="K1820" s="711"/>
      <c r="L1820" s="711"/>
      <c r="Q1820" s="11"/>
      <c r="R1820" s="11"/>
      <c r="S1820" s="11"/>
      <c r="T1820" s="11"/>
    </row>
    <row r="1821" spans="8:20" x14ac:dyDescent="0.35">
      <c r="H1821" s="711"/>
      <c r="I1821" s="711"/>
      <c r="J1821" s="711"/>
      <c r="K1821" s="711"/>
      <c r="L1821" s="711"/>
      <c r="Q1821" s="11"/>
      <c r="R1821" s="11"/>
      <c r="S1821" s="11"/>
      <c r="T1821" s="11"/>
    </row>
    <row r="1822" spans="8:20" x14ac:dyDescent="0.35">
      <c r="H1822" s="711"/>
      <c r="I1822" s="711"/>
      <c r="J1822" s="711"/>
      <c r="K1822" s="711"/>
      <c r="L1822" s="711"/>
      <c r="Q1822" s="11"/>
      <c r="R1822" s="11"/>
      <c r="S1822" s="11"/>
      <c r="T1822" s="11"/>
    </row>
    <row r="1823" spans="8:20" x14ac:dyDescent="0.35">
      <c r="H1823" s="711"/>
      <c r="I1823" s="711"/>
      <c r="J1823" s="711"/>
      <c r="K1823" s="711"/>
      <c r="L1823" s="711"/>
      <c r="Q1823" s="11"/>
      <c r="R1823" s="11"/>
      <c r="S1823" s="11"/>
      <c r="T1823" s="11"/>
    </row>
    <row r="1824" spans="8:20" x14ac:dyDescent="0.35">
      <c r="H1824" s="711"/>
      <c r="I1824" s="711"/>
      <c r="J1824" s="711"/>
      <c r="K1824" s="711"/>
      <c r="L1824" s="711"/>
      <c r="Q1824" s="11"/>
      <c r="R1824" s="11"/>
      <c r="S1824" s="11"/>
      <c r="T1824" s="11"/>
    </row>
    <row r="1825" spans="8:20" x14ac:dyDescent="0.35">
      <c r="H1825" s="711"/>
      <c r="I1825" s="711"/>
      <c r="J1825" s="711"/>
      <c r="K1825" s="711"/>
      <c r="L1825" s="711"/>
      <c r="Q1825" s="11"/>
      <c r="R1825" s="11"/>
      <c r="S1825" s="11"/>
      <c r="T1825" s="11"/>
    </row>
    <row r="1826" spans="8:20" x14ac:dyDescent="0.35">
      <c r="H1826" s="711"/>
      <c r="I1826" s="711"/>
      <c r="J1826" s="711"/>
      <c r="K1826" s="711"/>
      <c r="L1826" s="711"/>
      <c r="Q1826" s="11"/>
      <c r="R1826" s="11"/>
      <c r="S1826" s="11"/>
      <c r="T1826" s="11"/>
    </row>
    <row r="1827" spans="8:20" x14ac:dyDescent="0.35">
      <c r="H1827" s="711"/>
      <c r="I1827" s="711"/>
      <c r="J1827" s="711"/>
      <c r="K1827" s="711"/>
      <c r="L1827" s="711"/>
      <c r="Q1827" s="11"/>
      <c r="R1827" s="11"/>
      <c r="S1827" s="11"/>
      <c r="T1827" s="11"/>
    </row>
    <row r="1828" spans="8:20" x14ac:dyDescent="0.35">
      <c r="H1828" s="711"/>
      <c r="I1828" s="711"/>
      <c r="J1828" s="711"/>
      <c r="K1828" s="711"/>
      <c r="L1828" s="711"/>
      <c r="Q1828" s="11"/>
      <c r="R1828" s="11"/>
      <c r="S1828" s="11"/>
      <c r="T1828" s="11"/>
    </row>
    <row r="1829" spans="8:20" x14ac:dyDescent="0.35">
      <c r="H1829" s="711"/>
      <c r="I1829" s="711"/>
      <c r="J1829" s="711"/>
      <c r="K1829" s="711"/>
      <c r="L1829" s="711"/>
      <c r="Q1829" s="11"/>
      <c r="R1829" s="11"/>
      <c r="S1829" s="11"/>
      <c r="T1829" s="11"/>
    </row>
    <row r="1830" spans="8:20" x14ac:dyDescent="0.35">
      <c r="H1830" s="711"/>
      <c r="I1830" s="711"/>
      <c r="J1830" s="711"/>
      <c r="K1830" s="711"/>
      <c r="L1830" s="711"/>
      <c r="Q1830" s="11"/>
      <c r="R1830" s="11"/>
      <c r="S1830" s="11"/>
      <c r="T1830" s="11"/>
    </row>
    <row r="1831" spans="8:20" x14ac:dyDescent="0.35">
      <c r="H1831" s="711"/>
      <c r="I1831" s="711"/>
      <c r="J1831" s="711"/>
      <c r="K1831" s="711"/>
      <c r="L1831" s="711"/>
      <c r="Q1831" s="11"/>
      <c r="R1831" s="11"/>
      <c r="S1831" s="11"/>
      <c r="T1831" s="11"/>
    </row>
    <row r="1832" spans="8:20" x14ac:dyDescent="0.35">
      <c r="H1832" s="711"/>
      <c r="I1832" s="711"/>
      <c r="J1832" s="711"/>
      <c r="K1832" s="711"/>
      <c r="L1832" s="711"/>
      <c r="Q1832" s="11"/>
      <c r="R1832" s="11"/>
      <c r="S1832" s="11"/>
      <c r="T1832" s="11"/>
    </row>
    <row r="1833" spans="8:20" x14ac:dyDescent="0.35">
      <c r="H1833" s="711"/>
      <c r="I1833" s="711"/>
      <c r="J1833" s="711"/>
      <c r="K1833" s="711"/>
      <c r="L1833" s="711"/>
      <c r="Q1833" s="11"/>
      <c r="R1833" s="11"/>
      <c r="S1833" s="11"/>
      <c r="T1833" s="11"/>
    </row>
    <row r="1834" spans="8:20" x14ac:dyDescent="0.35">
      <c r="H1834" s="711"/>
      <c r="I1834" s="711"/>
      <c r="J1834" s="711"/>
      <c r="K1834" s="711"/>
      <c r="L1834" s="711"/>
      <c r="Q1834" s="11"/>
      <c r="R1834" s="11"/>
      <c r="S1834" s="11"/>
      <c r="T1834" s="11"/>
    </row>
    <row r="1835" spans="8:20" x14ac:dyDescent="0.35">
      <c r="H1835" s="711"/>
      <c r="I1835" s="711"/>
      <c r="J1835" s="711"/>
      <c r="K1835" s="711"/>
      <c r="L1835" s="711"/>
      <c r="Q1835" s="11"/>
      <c r="R1835" s="11"/>
      <c r="S1835" s="11"/>
      <c r="T1835" s="11"/>
    </row>
    <row r="1836" spans="8:20" x14ac:dyDescent="0.35">
      <c r="H1836" s="711"/>
      <c r="I1836" s="711"/>
      <c r="J1836" s="711"/>
      <c r="K1836" s="711"/>
      <c r="L1836" s="711"/>
      <c r="Q1836" s="11"/>
      <c r="R1836" s="11"/>
      <c r="S1836" s="11"/>
      <c r="T1836" s="11"/>
    </row>
    <row r="1837" spans="8:20" x14ac:dyDescent="0.35">
      <c r="H1837" s="711"/>
      <c r="I1837" s="711"/>
      <c r="J1837" s="711"/>
      <c r="K1837" s="711"/>
      <c r="L1837" s="711"/>
      <c r="Q1837" s="11"/>
      <c r="R1837" s="11"/>
      <c r="S1837" s="11"/>
      <c r="T1837" s="11"/>
    </row>
    <row r="1838" spans="8:20" x14ac:dyDescent="0.35">
      <c r="H1838" s="711"/>
      <c r="I1838" s="711"/>
      <c r="J1838" s="711"/>
      <c r="K1838" s="711"/>
      <c r="L1838" s="711"/>
      <c r="Q1838" s="11"/>
      <c r="R1838" s="11"/>
      <c r="S1838" s="11"/>
      <c r="T1838" s="11"/>
    </row>
    <row r="1839" spans="8:20" x14ac:dyDescent="0.35">
      <c r="H1839" s="711"/>
      <c r="I1839" s="711"/>
      <c r="J1839" s="711"/>
      <c r="K1839" s="711"/>
      <c r="L1839" s="711"/>
      <c r="Q1839" s="11"/>
      <c r="R1839" s="11"/>
      <c r="S1839" s="11"/>
      <c r="T1839" s="11"/>
    </row>
    <row r="1840" spans="8:20" x14ac:dyDescent="0.35">
      <c r="H1840" s="711"/>
      <c r="I1840" s="711"/>
      <c r="J1840" s="711"/>
      <c r="K1840" s="711"/>
      <c r="L1840" s="711"/>
      <c r="Q1840" s="11"/>
      <c r="R1840" s="11"/>
      <c r="S1840" s="11"/>
      <c r="T1840" s="11"/>
    </row>
    <row r="1841" spans="8:20" x14ac:dyDescent="0.35">
      <c r="H1841" s="711"/>
      <c r="I1841" s="711"/>
      <c r="J1841" s="711"/>
      <c r="K1841" s="711"/>
      <c r="L1841" s="711"/>
      <c r="Q1841" s="11"/>
      <c r="R1841" s="11"/>
      <c r="S1841" s="11"/>
      <c r="T1841" s="11"/>
    </row>
    <row r="1842" spans="8:20" x14ac:dyDescent="0.35">
      <c r="H1842" s="711"/>
      <c r="I1842" s="711"/>
      <c r="J1842" s="711"/>
      <c r="K1842" s="711"/>
      <c r="L1842" s="711"/>
      <c r="Q1842" s="11"/>
      <c r="R1842" s="11"/>
      <c r="S1842" s="11"/>
      <c r="T1842" s="11"/>
    </row>
    <row r="1843" spans="8:20" x14ac:dyDescent="0.35">
      <c r="H1843" s="711"/>
      <c r="I1843" s="711"/>
      <c r="J1843" s="711"/>
      <c r="K1843" s="711"/>
      <c r="L1843" s="711"/>
      <c r="Q1843" s="11"/>
      <c r="R1843" s="11"/>
      <c r="S1843" s="11"/>
      <c r="T1843" s="11"/>
    </row>
    <row r="1844" spans="8:20" x14ac:dyDescent="0.35">
      <c r="H1844" s="711"/>
      <c r="I1844" s="711"/>
      <c r="J1844" s="711"/>
      <c r="K1844" s="711"/>
      <c r="L1844" s="711"/>
      <c r="Q1844" s="11"/>
      <c r="R1844" s="11"/>
      <c r="S1844" s="11"/>
      <c r="T1844" s="11"/>
    </row>
    <row r="1845" spans="8:20" x14ac:dyDescent="0.35">
      <c r="H1845" s="711"/>
      <c r="I1845" s="711"/>
      <c r="J1845" s="711"/>
      <c r="K1845" s="711"/>
      <c r="L1845" s="711"/>
      <c r="Q1845" s="11"/>
      <c r="R1845" s="11"/>
      <c r="S1845" s="11"/>
      <c r="T1845" s="11"/>
    </row>
    <row r="1846" spans="8:20" x14ac:dyDescent="0.35">
      <c r="H1846" s="711"/>
      <c r="I1846" s="711"/>
      <c r="J1846" s="711"/>
      <c r="K1846" s="711"/>
      <c r="L1846" s="711"/>
      <c r="Q1846" s="11"/>
      <c r="R1846" s="11"/>
      <c r="S1846" s="11"/>
      <c r="T1846" s="11"/>
    </row>
    <row r="1847" spans="8:20" x14ac:dyDescent="0.35">
      <c r="H1847" s="711"/>
      <c r="I1847" s="711"/>
      <c r="J1847" s="711"/>
      <c r="K1847" s="711"/>
      <c r="L1847" s="711"/>
      <c r="Q1847" s="11"/>
      <c r="R1847" s="11"/>
      <c r="S1847" s="11"/>
      <c r="T1847" s="11"/>
    </row>
    <row r="1848" spans="8:20" x14ac:dyDescent="0.35">
      <c r="H1848" s="711"/>
      <c r="I1848" s="711"/>
      <c r="J1848" s="711"/>
      <c r="K1848" s="711"/>
      <c r="L1848" s="711"/>
      <c r="Q1848" s="11"/>
      <c r="R1848" s="11"/>
      <c r="S1848" s="11"/>
      <c r="T1848" s="11"/>
    </row>
    <row r="1849" spans="8:20" x14ac:dyDescent="0.35">
      <c r="H1849" s="711"/>
      <c r="I1849" s="711"/>
      <c r="J1849" s="711"/>
      <c r="K1849" s="711"/>
      <c r="L1849" s="711"/>
      <c r="Q1849" s="11"/>
      <c r="R1849" s="11"/>
      <c r="S1849" s="11"/>
      <c r="T1849" s="11"/>
    </row>
    <row r="1850" spans="8:20" x14ac:dyDescent="0.35">
      <c r="H1850" s="711"/>
      <c r="I1850" s="711"/>
      <c r="J1850" s="711"/>
      <c r="K1850" s="711"/>
      <c r="L1850" s="711"/>
      <c r="Q1850" s="11"/>
      <c r="R1850" s="11"/>
      <c r="S1850" s="11"/>
      <c r="T1850" s="11"/>
    </row>
    <row r="1851" spans="8:20" x14ac:dyDescent="0.35">
      <c r="H1851" s="711"/>
      <c r="I1851" s="711"/>
      <c r="J1851" s="711"/>
      <c r="K1851" s="711"/>
      <c r="L1851" s="711"/>
      <c r="Q1851" s="11"/>
      <c r="R1851" s="11"/>
      <c r="S1851" s="11"/>
      <c r="T1851" s="11"/>
    </row>
    <row r="1852" spans="8:20" x14ac:dyDescent="0.35">
      <c r="H1852" s="711"/>
      <c r="I1852" s="711"/>
      <c r="J1852" s="711"/>
      <c r="K1852" s="711"/>
      <c r="L1852" s="711"/>
      <c r="Q1852" s="11"/>
      <c r="R1852" s="11"/>
      <c r="S1852" s="11"/>
      <c r="T1852" s="11"/>
    </row>
    <row r="1853" spans="8:20" x14ac:dyDescent="0.35">
      <c r="H1853" s="711"/>
      <c r="I1853" s="711"/>
      <c r="J1853" s="711"/>
      <c r="K1853" s="711"/>
      <c r="L1853" s="711"/>
      <c r="Q1853" s="11"/>
      <c r="R1853" s="11"/>
      <c r="S1853" s="11"/>
      <c r="T1853" s="11"/>
    </row>
    <row r="1854" spans="8:20" x14ac:dyDescent="0.35">
      <c r="H1854" s="711"/>
      <c r="I1854" s="711"/>
      <c r="J1854" s="711"/>
      <c r="K1854" s="711"/>
      <c r="L1854" s="711"/>
      <c r="Q1854" s="11"/>
      <c r="R1854" s="11"/>
      <c r="S1854" s="11"/>
      <c r="T1854" s="11"/>
    </row>
    <row r="1855" spans="8:20" x14ac:dyDescent="0.35">
      <c r="H1855" s="711"/>
      <c r="I1855" s="711"/>
      <c r="J1855" s="711"/>
      <c r="K1855" s="711"/>
      <c r="L1855" s="711"/>
      <c r="Q1855" s="11"/>
      <c r="R1855" s="11"/>
      <c r="S1855" s="11"/>
      <c r="T1855" s="11"/>
    </row>
    <row r="1856" spans="8:20" x14ac:dyDescent="0.35">
      <c r="H1856" s="711"/>
      <c r="I1856" s="711"/>
      <c r="J1856" s="711"/>
      <c r="K1856" s="711"/>
      <c r="L1856" s="711"/>
      <c r="Q1856" s="11"/>
      <c r="R1856" s="11"/>
      <c r="S1856" s="11"/>
      <c r="T1856" s="11"/>
    </row>
    <row r="1857" spans="8:20" x14ac:dyDescent="0.35">
      <c r="H1857" s="711"/>
      <c r="I1857" s="711"/>
      <c r="J1857" s="711"/>
      <c r="K1857" s="711"/>
      <c r="L1857" s="711"/>
      <c r="Q1857" s="11"/>
      <c r="R1857" s="11"/>
      <c r="S1857" s="11"/>
      <c r="T1857" s="11"/>
    </row>
    <row r="1858" spans="8:20" x14ac:dyDescent="0.35">
      <c r="H1858" s="711"/>
      <c r="I1858" s="711"/>
      <c r="J1858" s="711"/>
      <c r="K1858" s="711"/>
      <c r="L1858" s="711"/>
      <c r="Q1858" s="11"/>
      <c r="R1858" s="11"/>
      <c r="S1858" s="11"/>
      <c r="T1858" s="11"/>
    </row>
    <row r="1859" spans="8:20" x14ac:dyDescent="0.35">
      <c r="H1859" s="711"/>
      <c r="I1859" s="711"/>
      <c r="J1859" s="711"/>
      <c r="K1859" s="711"/>
      <c r="L1859" s="711"/>
      <c r="Q1859" s="11"/>
      <c r="R1859" s="11"/>
      <c r="S1859" s="11"/>
      <c r="T1859" s="11"/>
    </row>
    <row r="1860" spans="8:20" x14ac:dyDescent="0.35">
      <c r="H1860" s="711"/>
      <c r="I1860" s="711"/>
      <c r="J1860" s="711"/>
      <c r="K1860" s="711"/>
      <c r="L1860" s="711"/>
      <c r="Q1860" s="11"/>
      <c r="R1860" s="11"/>
      <c r="S1860" s="11"/>
      <c r="T1860" s="11"/>
    </row>
    <row r="1861" spans="8:20" x14ac:dyDescent="0.35">
      <c r="H1861" s="711"/>
      <c r="I1861" s="711"/>
      <c r="J1861" s="711"/>
      <c r="K1861" s="711"/>
      <c r="L1861" s="711"/>
      <c r="Q1861" s="11"/>
      <c r="R1861" s="11"/>
      <c r="S1861" s="11"/>
      <c r="T1861" s="11"/>
    </row>
    <row r="1862" spans="8:20" x14ac:dyDescent="0.35">
      <c r="H1862" s="711"/>
      <c r="I1862" s="711"/>
      <c r="J1862" s="711"/>
      <c r="K1862" s="711"/>
      <c r="L1862" s="711"/>
      <c r="Q1862" s="11"/>
      <c r="R1862" s="11"/>
      <c r="S1862" s="11"/>
      <c r="T1862" s="11"/>
    </row>
    <row r="1863" spans="8:20" x14ac:dyDescent="0.35">
      <c r="H1863" s="711"/>
      <c r="I1863" s="711"/>
      <c r="J1863" s="711"/>
      <c r="K1863" s="711"/>
      <c r="L1863" s="711"/>
      <c r="Q1863" s="11"/>
      <c r="R1863" s="11"/>
      <c r="S1863" s="11"/>
      <c r="T1863" s="11"/>
    </row>
    <row r="1864" spans="8:20" x14ac:dyDescent="0.35">
      <c r="H1864" s="711"/>
      <c r="I1864" s="711"/>
      <c r="J1864" s="711"/>
      <c r="K1864" s="711"/>
      <c r="L1864" s="711"/>
      <c r="Q1864" s="11"/>
      <c r="R1864" s="11"/>
      <c r="S1864" s="11"/>
      <c r="T1864" s="11"/>
    </row>
    <row r="1865" spans="8:20" x14ac:dyDescent="0.35">
      <c r="H1865" s="711"/>
      <c r="I1865" s="711"/>
      <c r="J1865" s="711"/>
      <c r="K1865" s="711"/>
      <c r="L1865" s="711"/>
      <c r="Q1865" s="11"/>
      <c r="R1865" s="11"/>
      <c r="S1865" s="11"/>
      <c r="T1865" s="11"/>
    </row>
    <row r="1866" spans="8:20" x14ac:dyDescent="0.35">
      <c r="H1866" s="711"/>
      <c r="I1866" s="711"/>
      <c r="J1866" s="711"/>
      <c r="K1866" s="711"/>
      <c r="L1866" s="711"/>
      <c r="Q1866" s="11"/>
      <c r="R1866" s="11"/>
      <c r="S1866" s="11"/>
      <c r="T1866" s="11"/>
    </row>
    <row r="1867" spans="8:20" x14ac:dyDescent="0.35">
      <c r="H1867" s="711"/>
      <c r="I1867" s="711"/>
      <c r="J1867" s="711"/>
      <c r="K1867" s="711"/>
      <c r="L1867" s="711"/>
      <c r="Q1867" s="11"/>
      <c r="R1867" s="11"/>
      <c r="S1867" s="11"/>
      <c r="T1867" s="11"/>
    </row>
    <row r="1868" spans="8:20" x14ac:dyDescent="0.35">
      <c r="H1868" s="711"/>
      <c r="I1868" s="711"/>
      <c r="J1868" s="711"/>
      <c r="K1868" s="711"/>
      <c r="L1868" s="711"/>
      <c r="Q1868" s="11"/>
      <c r="R1868" s="11"/>
      <c r="S1868" s="11"/>
      <c r="T1868" s="11"/>
    </row>
    <row r="1869" spans="8:20" x14ac:dyDescent="0.35">
      <c r="H1869" s="711"/>
      <c r="I1869" s="711"/>
      <c r="J1869" s="711"/>
      <c r="K1869" s="711"/>
      <c r="L1869" s="711"/>
      <c r="Q1869" s="11"/>
      <c r="R1869" s="11"/>
      <c r="S1869" s="11"/>
      <c r="T1869" s="11"/>
    </row>
    <row r="1870" spans="8:20" x14ac:dyDescent="0.35">
      <c r="H1870" s="711"/>
      <c r="I1870" s="711"/>
      <c r="J1870" s="711"/>
      <c r="K1870" s="711"/>
      <c r="L1870" s="711"/>
      <c r="Q1870" s="11"/>
      <c r="R1870" s="11"/>
      <c r="S1870" s="11"/>
      <c r="T1870" s="11"/>
    </row>
    <row r="1871" spans="8:20" x14ac:dyDescent="0.35">
      <c r="H1871" s="711"/>
      <c r="I1871" s="711"/>
      <c r="J1871" s="711"/>
      <c r="K1871" s="711"/>
      <c r="L1871" s="711"/>
      <c r="Q1871" s="11"/>
      <c r="R1871" s="11"/>
      <c r="S1871" s="11"/>
      <c r="T1871" s="11"/>
    </row>
    <row r="1872" spans="8:20" x14ac:dyDescent="0.35">
      <c r="H1872" s="711"/>
      <c r="I1872" s="711"/>
      <c r="J1872" s="711"/>
      <c r="K1872" s="711"/>
      <c r="L1872" s="711"/>
      <c r="Q1872" s="11"/>
      <c r="R1872" s="11"/>
      <c r="S1872" s="11"/>
      <c r="T1872" s="11"/>
    </row>
    <row r="1873" spans="8:20" x14ac:dyDescent="0.35">
      <c r="H1873" s="711"/>
      <c r="I1873" s="711"/>
      <c r="J1873" s="711"/>
      <c r="K1873" s="711"/>
      <c r="L1873" s="711"/>
      <c r="Q1873" s="11"/>
      <c r="R1873" s="11"/>
      <c r="S1873" s="11"/>
      <c r="T1873" s="11"/>
    </row>
    <row r="1874" spans="8:20" x14ac:dyDescent="0.35">
      <c r="H1874" s="711"/>
      <c r="I1874" s="711"/>
      <c r="J1874" s="711"/>
      <c r="K1874" s="711"/>
      <c r="L1874" s="711"/>
      <c r="Q1874" s="11"/>
      <c r="R1874" s="11"/>
      <c r="S1874" s="11"/>
      <c r="T1874" s="11"/>
    </row>
    <row r="1875" spans="8:20" x14ac:dyDescent="0.35">
      <c r="H1875" s="711"/>
      <c r="I1875" s="711"/>
      <c r="J1875" s="711"/>
      <c r="K1875" s="711"/>
      <c r="L1875" s="711"/>
      <c r="Q1875" s="11"/>
      <c r="R1875" s="11"/>
      <c r="S1875" s="11"/>
      <c r="T1875" s="11"/>
    </row>
    <row r="1876" spans="8:20" x14ac:dyDescent="0.35">
      <c r="H1876" s="711"/>
      <c r="I1876" s="711"/>
      <c r="J1876" s="711"/>
      <c r="K1876" s="711"/>
      <c r="L1876" s="711"/>
      <c r="Q1876" s="11"/>
      <c r="R1876" s="11"/>
      <c r="S1876" s="11"/>
      <c r="T1876" s="11"/>
    </row>
    <row r="1877" spans="8:20" x14ac:dyDescent="0.35">
      <c r="H1877" s="711"/>
      <c r="I1877" s="711"/>
      <c r="J1877" s="711"/>
      <c r="K1877" s="711"/>
      <c r="L1877" s="711"/>
      <c r="Q1877" s="11"/>
      <c r="R1877" s="11"/>
      <c r="S1877" s="11"/>
      <c r="T1877" s="11"/>
    </row>
    <row r="1878" spans="8:20" x14ac:dyDescent="0.35">
      <c r="H1878" s="711"/>
      <c r="I1878" s="711"/>
      <c r="J1878" s="711"/>
      <c r="K1878" s="711"/>
      <c r="L1878" s="711"/>
      <c r="Q1878" s="11"/>
      <c r="R1878" s="11"/>
      <c r="S1878" s="11"/>
      <c r="T1878" s="11"/>
    </row>
    <row r="1879" spans="8:20" x14ac:dyDescent="0.35">
      <c r="H1879" s="711"/>
      <c r="I1879" s="711"/>
      <c r="J1879" s="711"/>
      <c r="K1879" s="711"/>
      <c r="L1879" s="711"/>
      <c r="Q1879" s="11"/>
      <c r="R1879" s="11"/>
      <c r="S1879" s="11"/>
      <c r="T1879" s="11"/>
    </row>
    <row r="1880" spans="8:20" x14ac:dyDescent="0.35">
      <c r="H1880" s="711"/>
      <c r="I1880" s="711"/>
      <c r="J1880" s="711"/>
      <c r="K1880" s="711"/>
      <c r="L1880" s="711"/>
      <c r="Q1880" s="11"/>
      <c r="R1880" s="11"/>
      <c r="S1880" s="11"/>
      <c r="T1880" s="11"/>
    </row>
    <row r="1881" spans="8:20" x14ac:dyDescent="0.35">
      <c r="H1881" s="711"/>
      <c r="I1881" s="711"/>
      <c r="J1881" s="711"/>
      <c r="K1881" s="711"/>
      <c r="L1881" s="711"/>
      <c r="Q1881" s="11"/>
      <c r="R1881" s="11"/>
      <c r="S1881" s="11"/>
      <c r="T1881" s="11"/>
    </row>
    <row r="1882" spans="8:20" x14ac:dyDescent="0.35">
      <c r="H1882" s="711"/>
      <c r="I1882" s="711"/>
      <c r="J1882" s="711"/>
      <c r="K1882" s="711"/>
      <c r="L1882" s="711"/>
      <c r="Q1882" s="11"/>
      <c r="R1882" s="11"/>
      <c r="S1882" s="11"/>
      <c r="T1882" s="11"/>
    </row>
    <row r="1883" spans="8:20" x14ac:dyDescent="0.35">
      <c r="H1883" s="711"/>
      <c r="I1883" s="711"/>
      <c r="J1883" s="711"/>
      <c r="K1883" s="711"/>
      <c r="L1883" s="711"/>
      <c r="Q1883" s="11"/>
      <c r="R1883" s="11"/>
      <c r="S1883" s="11"/>
      <c r="T1883" s="11"/>
    </row>
    <row r="1884" spans="8:20" x14ac:dyDescent="0.35">
      <c r="H1884" s="711"/>
      <c r="I1884" s="711"/>
      <c r="J1884" s="711"/>
      <c r="K1884" s="711"/>
      <c r="L1884" s="711"/>
      <c r="Q1884" s="11"/>
      <c r="R1884" s="11"/>
      <c r="S1884" s="11"/>
      <c r="T1884" s="11"/>
    </row>
    <row r="1885" spans="8:20" x14ac:dyDescent="0.35">
      <c r="H1885" s="711"/>
      <c r="I1885" s="711"/>
      <c r="J1885" s="711"/>
      <c r="K1885" s="711"/>
      <c r="L1885" s="711"/>
      <c r="Q1885" s="11"/>
      <c r="R1885" s="11"/>
      <c r="S1885" s="11"/>
      <c r="T1885" s="11"/>
    </row>
    <row r="1886" spans="8:20" x14ac:dyDescent="0.35">
      <c r="H1886" s="711"/>
      <c r="I1886" s="711"/>
      <c r="J1886" s="711"/>
      <c r="K1886" s="711"/>
      <c r="L1886" s="711"/>
      <c r="Q1886" s="11"/>
      <c r="R1886" s="11"/>
      <c r="S1886" s="11"/>
      <c r="T1886" s="11"/>
    </row>
    <row r="1887" spans="8:20" x14ac:dyDescent="0.35">
      <c r="H1887" s="711"/>
      <c r="I1887" s="711"/>
      <c r="J1887" s="711"/>
      <c r="K1887" s="711"/>
      <c r="L1887" s="711"/>
      <c r="Q1887" s="11"/>
      <c r="R1887" s="11"/>
      <c r="S1887" s="11"/>
      <c r="T1887" s="11"/>
    </row>
    <row r="1888" spans="8:20" x14ac:dyDescent="0.35">
      <c r="H1888" s="711"/>
      <c r="I1888" s="711"/>
      <c r="J1888" s="711"/>
      <c r="K1888" s="711"/>
      <c r="L1888" s="711"/>
      <c r="Q1888" s="11"/>
      <c r="R1888" s="11"/>
      <c r="S1888" s="11"/>
      <c r="T1888" s="11"/>
    </row>
    <row r="1889" spans="8:20" x14ac:dyDescent="0.35">
      <c r="H1889" s="711"/>
      <c r="I1889" s="711"/>
      <c r="J1889" s="711"/>
      <c r="K1889" s="711"/>
      <c r="L1889" s="711"/>
      <c r="Q1889" s="11"/>
      <c r="R1889" s="11"/>
      <c r="S1889" s="11"/>
      <c r="T1889" s="11"/>
    </row>
    <row r="1890" spans="8:20" x14ac:dyDescent="0.35">
      <c r="H1890" s="711"/>
      <c r="I1890" s="711"/>
      <c r="J1890" s="711"/>
      <c r="K1890" s="711"/>
      <c r="L1890" s="711"/>
      <c r="Q1890" s="11"/>
      <c r="R1890" s="11"/>
      <c r="S1890" s="11"/>
      <c r="T1890" s="11"/>
    </row>
    <row r="1891" spans="8:20" x14ac:dyDescent="0.35">
      <c r="H1891" s="711"/>
      <c r="I1891" s="711"/>
      <c r="J1891" s="711"/>
      <c r="K1891" s="711"/>
      <c r="L1891" s="711"/>
      <c r="Q1891" s="11"/>
      <c r="R1891" s="11"/>
      <c r="S1891" s="11"/>
      <c r="T1891" s="11"/>
    </row>
    <row r="1892" spans="8:20" x14ac:dyDescent="0.35">
      <c r="H1892" s="711"/>
      <c r="I1892" s="711"/>
      <c r="J1892" s="711"/>
      <c r="K1892" s="711"/>
      <c r="L1892" s="711"/>
      <c r="Q1892" s="11"/>
      <c r="R1892" s="11"/>
      <c r="S1892" s="11"/>
      <c r="T1892" s="11"/>
    </row>
    <row r="1893" spans="8:20" x14ac:dyDescent="0.35">
      <c r="H1893" s="711"/>
      <c r="I1893" s="711"/>
      <c r="J1893" s="711"/>
      <c r="K1893" s="711"/>
      <c r="L1893" s="711"/>
      <c r="Q1893" s="11"/>
      <c r="R1893" s="11"/>
      <c r="S1893" s="11"/>
      <c r="T1893" s="11"/>
    </row>
    <row r="1894" spans="8:20" x14ac:dyDescent="0.35">
      <c r="H1894" s="711"/>
      <c r="I1894" s="711"/>
      <c r="J1894" s="711"/>
      <c r="K1894" s="711"/>
      <c r="L1894" s="711"/>
      <c r="Q1894" s="11"/>
      <c r="R1894" s="11"/>
      <c r="S1894" s="11"/>
      <c r="T1894" s="11"/>
    </row>
    <row r="1895" spans="8:20" x14ac:dyDescent="0.35">
      <c r="H1895" s="711"/>
      <c r="I1895" s="711"/>
      <c r="J1895" s="711"/>
      <c r="K1895" s="711"/>
      <c r="L1895" s="711"/>
      <c r="Q1895" s="11"/>
      <c r="R1895" s="11"/>
      <c r="S1895" s="11"/>
      <c r="T1895" s="11"/>
    </row>
    <row r="1896" spans="8:20" x14ac:dyDescent="0.35">
      <c r="H1896" s="711"/>
      <c r="I1896" s="711"/>
      <c r="J1896" s="711"/>
      <c r="K1896" s="711"/>
      <c r="L1896" s="711"/>
      <c r="Q1896" s="11"/>
      <c r="R1896" s="11"/>
      <c r="S1896" s="11"/>
      <c r="T1896" s="11"/>
    </row>
    <row r="1897" spans="8:20" x14ac:dyDescent="0.35">
      <c r="H1897" s="711"/>
      <c r="I1897" s="711"/>
      <c r="J1897" s="711"/>
      <c r="K1897" s="711"/>
      <c r="L1897" s="711"/>
      <c r="Q1897" s="11"/>
      <c r="R1897" s="11"/>
      <c r="S1897" s="11"/>
      <c r="T1897" s="11"/>
    </row>
    <row r="1898" spans="8:20" x14ac:dyDescent="0.35">
      <c r="H1898" s="711"/>
      <c r="I1898" s="711"/>
      <c r="J1898" s="711"/>
      <c r="K1898" s="711"/>
      <c r="L1898" s="711"/>
      <c r="Q1898" s="11"/>
      <c r="R1898" s="11"/>
      <c r="S1898" s="11"/>
      <c r="T1898" s="11"/>
    </row>
    <row r="1899" spans="8:20" x14ac:dyDescent="0.35">
      <c r="H1899" s="711"/>
      <c r="I1899" s="711"/>
      <c r="J1899" s="711"/>
      <c r="K1899" s="711"/>
      <c r="L1899" s="711"/>
      <c r="Q1899" s="11"/>
      <c r="R1899" s="11"/>
      <c r="S1899" s="11"/>
      <c r="T1899" s="11"/>
    </row>
    <row r="1900" spans="8:20" x14ac:dyDescent="0.35">
      <c r="H1900" s="711"/>
      <c r="I1900" s="711"/>
      <c r="J1900" s="711"/>
      <c r="K1900" s="711"/>
      <c r="L1900" s="711"/>
      <c r="Q1900" s="11"/>
      <c r="R1900" s="11"/>
      <c r="S1900" s="11"/>
      <c r="T1900" s="11"/>
    </row>
    <row r="1901" spans="8:20" x14ac:dyDescent="0.35">
      <c r="H1901" s="711"/>
      <c r="I1901" s="711"/>
      <c r="J1901" s="711"/>
      <c r="K1901" s="711"/>
      <c r="L1901" s="711"/>
      <c r="Q1901" s="11"/>
      <c r="R1901" s="11"/>
      <c r="S1901" s="11"/>
      <c r="T1901" s="11"/>
    </row>
    <row r="1902" spans="8:20" x14ac:dyDescent="0.35">
      <c r="H1902" s="711"/>
      <c r="I1902" s="711"/>
      <c r="J1902" s="711"/>
      <c r="K1902" s="711"/>
      <c r="L1902" s="711"/>
      <c r="Q1902" s="11"/>
      <c r="R1902" s="11"/>
      <c r="S1902" s="11"/>
      <c r="T1902" s="11"/>
    </row>
    <row r="1903" spans="8:20" x14ac:dyDescent="0.35">
      <c r="H1903" s="711"/>
      <c r="I1903" s="711"/>
      <c r="J1903" s="711"/>
      <c r="K1903" s="711"/>
      <c r="L1903" s="711"/>
      <c r="Q1903" s="11"/>
      <c r="R1903" s="11"/>
      <c r="S1903" s="11"/>
      <c r="T1903" s="11"/>
    </row>
    <row r="1904" spans="8:20" x14ac:dyDescent="0.35">
      <c r="H1904" s="711"/>
      <c r="I1904" s="711"/>
      <c r="J1904" s="711"/>
      <c r="K1904" s="711"/>
      <c r="L1904" s="711"/>
      <c r="Q1904" s="11"/>
      <c r="R1904" s="11"/>
      <c r="S1904" s="11"/>
      <c r="T1904" s="11"/>
    </row>
    <row r="1905" spans="8:20" x14ac:dyDescent="0.35">
      <c r="H1905" s="711"/>
      <c r="I1905" s="711"/>
      <c r="J1905" s="711"/>
      <c r="K1905" s="711"/>
      <c r="L1905" s="711"/>
      <c r="Q1905" s="11"/>
      <c r="R1905" s="11"/>
      <c r="S1905" s="11"/>
      <c r="T1905" s="11"/>
    </row>
    <row r="1906" spans="8:20" x14ac:dyDescent="0.35">
      <c r="H1906" s="711"/>
      <c r="I1906" s="711"/>
      <c r="J1906" s="711"/>
      <c r="K1906" s="711"/>
      <c r="L1906" s="711"/>
      <c r="Q1906" s="11"/>
      <c r="R1906" s="11"/>
      <c r="S1906" s="11"/>
      <c r="T1906" s="11"/>
    </row>
    <row r="1907" spans="8:20" x14ac:dyDescent="0.35">
      <c r="H1907" s="711"/>
      <c r="I1907" s="711"/>
      <c r="J1907" s="711"/>
      <c r="K1907" s="711"/>
      <c r="L1907" s="711"/>
      <c r="Q1907" s="11"/>
      <c r="R1907" s="11"/>
      <c r="S1907" s="11"/>
      <c r="T1907" s="11"/>
    </row>
    <row r="1908" spans="8:20" x14ac:dyDescent="0.35">
      <c r="H1908" s="711"/>
      <c r="I1908" s="711"/>
      <c r="J1908" s="711"/>
      <c r="K1908" s="711"/>
      <c r="L1908" s="711"/>
      <c r="Q1908" s="11"/>
      <c r="R1908" s="11"/>
      <c r="S1908" s="11"/>
      <c r="T1908" s="11"/>
    </row>
    <row r="1909" spans="8:20" x14ac:dyDescent="0.35">
      <c r="H1909" s="711"/>
      <c r="I1909" s="711"/>
      <c r="J1909" s="711"/>
      <c r="K1909" s="711"/>
      <c r="L1909" s="711"/>
      <c r="Q1909" s="11"/>
      <c r="R1909" s="11"/>
      <c r="S1909" s="11"/>
      <c r="T1909" s="11"/>
    </row>
    <row r="1910" spans="8:20" x14ac:dyDescent="0.35">
      <c r="H1910" s="711"/>
      <c r="I1910" s="711"/>
      <c r="J1910" s="711"/>
      <c r="K1910" s="711"/>
      <c r="L1910" s="711"/>
      <c r="Q1910" s="11"/>
      <c r="R1910" s="11"/>
      <c r="S1910" s="11"/>
      <c r="T1910" s="11"/>
    </row>
    <row r="1911" spans="8:20" x14ac:dyDescent="0.35">
      <c r="H1911" s="711"/>
      <c r="I1911" s="711"/>
      <c r="J1911" s="711"/>
      <c r="K1911" s="711"/>
      <c r="L1911" s="711"/>
      <c r="Q1911" s="11"/>
      <c r="R1911" s="11"/>
      <c r="S1911" s="11"/>
      <c r="T1911" s="11"/>
    </row>
    <row r="1912" spans="8:20" x14ac:dyDescent="0.35">
      <c r="H1912" s="711"/>
      <c r="I1912" s="711"/>
      <c r="J1912" s="711"/>
      <c r="K1912" s="711"/>
      <c r="L1912" s="711"/>
      <c r="Q1912" s="11"/>
      <c r="R1912" s="11"/>
      <c r="S1912" s="11"/>
      <c r="T1912" s="11"/>
    </row>
    <row r="1913" spans="8:20" x14ac:dyDescent="0.35">
      <c r="H1913" s="711"/>
      <c r="I1913" s="711"/>
      <c r="J1913" s="711"/>
      <c r="K1913" s="711"/>
      <c r="L1913" s="711"/>
      <c r="Q1913" s="11"/>
      <c r="R1913" s="11"/>
      <c r="S1913" s="11"/>
      <c r="T1913" s="11"/>
    </row>
    <row r="1914" spans="8:20" x14ac:dyDescent="0.35">
      <c r="H1914" s="711"/>
      <c r="I1914" s="711"/>
      <c r="J1914" s="711"/>
      <c r="K1914" s="711"/>
      <c r="L1914" s="711"/>
      <c r="Q1914" s="11"/>
      <c r="R1914" s="11"/>
      <c r="S1914" s="11"/>
      <c r="T1914" s="11"/>
    </row>
    <row r="1915" spans="8:20" x14ac:dyDescent="0.35">
      <c r="H1915" s="711"/>
      <c r="I1915" s="711"/>
      <c r="J1915" s="711"/>
      <c r="K1915" s="711"/>
      <c r="L1915" s="711"/>
      <c r="Q1915" s="11"/>
      <c r="R1915" s="11"/>
      <c r="S1915" s="11"/>
      <c r="T1915" s="11"/>
    </row>
    <row r="1916" spans="8:20" x14ac:dyDescent="0.35">
      <c r="H1916" s="711"/>
      <c r="I1916" s="711"/>
      <c r="J1916" s="711"/>
      <c r="K1916" s="711"/>
      <c r="L1916" s="711"/>
      <c r="Q1916" s="11"/>
      <c r="R1916" s="11"/>
      <c r="S1916" s="11"/>
      <c r="T1916" s="11"/>
    </row>
    <row r="1917" spans="8:20" x14ac:dyDescent="0.35">
      <c r="H1917" s="711"/>
      <c r="I1917" s="711"/>
      <c r="J1917" s="711"/>
      <c r="K1917" s="711"/>
      <c r="L1917" s="711"/>
      <c r="Q1917" s="11"/>
      <c r="R1917" s="11"/>
      <c r="S1917" s="11"/>
      <c r="T1917" s="11"/>
    </row>
    <row r="1918" spans="8:20" x14ac:dyDescent="0.35">
      <c r="H1918" s="711"/>
      <c r="I1918" s="711"/>
      <c r="J1918" s="711"/>
      <c r="K1918" s="711"/>
      <c r="L1918" s="711"/>
      <c r="Q1918" s="11"/>
      <c r="R1918" s="11"/>
      <c r="S1918" s="11"/>
      <c r="T1918" s="11"/>
    </row>
    <row r="1919" spans="8:20" x14ac:dyDescent="0.35">
      <c r="H1919" s="711"/>
      <c r="I1919" s="711"/>
      <c r="J1919" s="711"/>
      <c r="K1919" s="711"/>
      <c r="L1919" s="711"/>
      <c r="Q1919" s="11"/>
      <c r="R1919" s="11"/>
      <c r="S1919" s="11"/>
      <c r="T1919" s="11"/>
    </row>
    <row r="1920" spans="8:20" x14ac:dyDescent="0.35">
      <c r="H1920" s="711"/>
      <c r="I1920" s="711"/>
      <c r="J1920" s="711"/>
      <c r="K1920" s="711"/>
      <c r="L1920" s="711"/>
      <c r="Q1920" s="11"/>
      <c r="R1920" s="11"/>
      <c r="S1920" s="11"/>
      <c r="T1920" s="11"/>
    </row>
    <row r="1921" spans="8:20" x14ac:dyDescent="0.35">
      <c r="H1921" s="711"/>
      <c r="I1921" s="711"/>
      <c r="J1921" s="711"/>
      <c r="K1921" s="711"/>
      <c r="L1921" s="711"/>
      <c r="Q1921" s="11"/>
      <c r="R1921" s="11"/>
      <c r="S1921" s="11"/>
      <c r="T1921" s="11"/>
    </row>
    <row r="1922" spans="8:20" x14ac:dyDescent="0.35">
      <c r="H1922" s="711"/>
      <c r="I1922" s="711"/>
      <c r="J1922" s="711"/>
      <c r="K1922" s="711"/>
      <c r="L1922" s="711"/>
      <c r="Q1922" s="11"/>
      <c r="R1922" s="11"/>
      <c r="S1922" s="11"/>
      <c r="T1922" s="11"/>
    </row>
    <row r="1923" spans="8:20" x14ac:dyDescent="0.35">
      <c r="H1923" s="711"/>
      <c r="I1923" s="711"/>
      <c r="J1923" s="711"/>
      <c r="K1923" s="711"/>
      <c r="L1923" s="711"/>
      <c r="Q1923" s="11"/>
      <c r="R1923" s="11"/>
      <c r="S1923" s="11"/>
      <c r="T1923" s="11"/>
    </row>
    <row r="1924" spans="8:20" x14ac:dyDescent="0.35">
      <c r="H1924" s="711"/>
      <c r="I1924" s="711"/>
      <c r="J1924" s="711"/>
      <c r="K1924" s="711"/>
      <c r="L1924" s="711"/>
      <c r="Q1924" s="11"/>
      <c r="R1924" s="11"/>
      <c r="S1924" s="11"/>
      <c r="T1924" s="11"/>
    </row>
    <row r="1925" spans="8:20" x14ac:dyDescent="0.35">
      <c r="H1925" s="711"/>
      <c r="I1925" s="711"/>
      <c r="J1925" s="711"/>
      <c r="K1925" s="711"/>
      <c r="L1925" s="711"/>
      <c r="Q1925" s="11"/>
      <c r="R1925" s="11"/>
      <c r="S1925" s="11"/>
      <c r="T1925" s="11"/>
    </row>
    <row r="1926" spans="8:20" x14ac:dyDescent="0.35">
      <c r="H1926" s="711"/>
      <c r="I1926" s="711"/>
      <c r="J1926" s="711"/>
      <c r="K1926" s="711"/>
      <c r="L1926" s="711"/>
      <c r="Q1926" s="11"/>
      <c r="R1926" s="11"/>
      <c r="S1926" s="11"/>
      <c r="T1926" s="11"/>
    </row>
    <row r="1927" spans="8:20" x14ac:dyDescent="0.35">
      <c r="H1927" s="711"/>
      <c r="I1927" s="711"/>
      <c r="J1927" s="711"/>
      <c r="K1927" s="711"/>
      <c r="L1927" s="711"/>
      <c r="Q1927" s="11"/>
      <c r="R1927" s="11"/>
      <c r="S1927" s="11"/>
      <c r="T1927" s="11"/>
    </row>
    <row r="1928" spans="8:20" x14ac:dyDescent="0.35">
      <c r="H1928" s="711"/>
      <c r="I1928" s="711"/>
      <c r="J1928" s="711"/>
      <c r="K1928" s="711"/>
      <c r="L1928" s="711"/>
      <c r="Q1928" s="11"/>
      <c r="R1928" s="11"/>
      <c r="S1928" s="11"/>
      <c r="T1928" s="11"/>
    </row>
    <row r="1929" spans="8:20" x14ac:dyDescent="0.35">
      <c r="H1929" s="711"/>
      <c r="I1929" s="711"/>
      <c r="J1929" s="711"/>
      <c r="K1929" s="711"/>
      <c r="L1929" s="711"/>
      <c r="Q1929" s="11"/>
      <c r="R1929" s="11"/>
      <c r="S1929" s="11"/>
      <c r="T1929" s="11"/>
    </row>
    <row r="1930" spans="8:20" x14ac:dyDescent="0.35">
      <c r="H1930" s="711"/>
      <c r="I1930" s="711"/>
      <c r="J1930" s="711"/>
      <c r="K1930" s="711"/>
      <c r="L1930" s="711"/>
      <c r="Q1930" s="11"/>
      <c r="R1930" s="11"/>
      <c r="S1930" s="11"/>
      <c r="T1930" s="11"/>
    </row>
    <row r="1931" spans="8:20" x14ac:dyDescent="0.35">
      <c r="H1931" s="711"/>
      <c r="I1931" s="711"/>
      <c r="J1931" s="711"/>
      <c r="K1931" s="711"/>
      <c r="L1931" s="711"/>
      <c r="Q1931" s="11"/>
      <c r="R1931" s="11"/>
      <c r="S1931" s="11"/>
      <c r="T1931" s="11"/>
    </row>
    <row r="1932" spans="8:20" x14ac:dyDescent="0.35">
      <c r="H1932" s="711"/>
      <c r="I1932" s="711"/>
      <c r="J1932" s="711"/>
      <c r="K1932" s="711"/>
      <c r="L1932" s="711"/>
      <c r="Q1932" s="11"/>
      <c r="R1932" s="11"/>
      <c r="S1932" s="11"/>
      <c r="T1932" s="11"/>
    </row>
    <row r="1933" spans="8:20" x14ac:dyDescent="0.35">
      <c r="H1933" s="711"/>
      <c r="I1933" s="711"/>
      <c r="J1933" s="711"/>
      <c r="K1933" s="711"/>
      <c r="L1933" s="711"/>
      <c r="Q1933" s="11"/>
      <c r="R1933" s="11"/>
      <c r="S1933" s="11"/>
      <c r="T1933" s="11"/>
    </row>
    <row r="1934" spans="8:20" x14ac:dyDescent="0.35">
      <c r="H1934" s="711"/>
      <c r="I1934" s="711"/>
      <c r="J1934" s="711"/>
      <c r="K1934" s="711"/>
      <c r="L1934" s="711"/>
      <c r="Q1934" s="11"/>
      <c r="R1934" s="11"/>
      <c r="S1934" s="11"/>
      <c r="T1934" s="11"/>
    </row>
    <row r="1935" spans="8:20" x14ac:dyDescent="0.35">
      <c r="H1935" s="711"/>
      <c r="I1935" s="711"/>
      <c r="J1935" s="711"/>
      <c r="K1935" s="711"/>
      <c r="L1935" s="711"/>
      <c r="Q1935" s="11"/>
      <c r="R1935" s="11"/>
      <c r="S1935" s="11"/>
      <c r="T1935" s="11"/>
    </row>
    <row r="1936" spans="8:20" x14ac:dyDescent="0.35">
      <c r="H1936" s="711"/>
      <c r="I1936" s="711"/>
      <c r="J1936" s="711"/>
      <c r="K1936" s="711"/>
      <c r="L1936" s="711"/>
      <c r="Q1936" s="11"/>
      <c r="R1936" s="11"/>
      <c r="S1936" s="11"/>
      <c r="T1936" s="11"/>
    </row>
    <row r="1937" spans="8:20" x14ac:dyDescent="0.35">
      <c r="H1937" s="711"/>
      <c r="I1937" s="711"/>
      <c r="J1937" s="711"/>
      <c r="K1937" s="711"/>
      <c r="L1937" s="711"/>
      <c r="Q1937" s="11"/>
      <c r="R1937" s="11"/>
      <c r="S1937" s="11"/>
      <c r="T1937" s="11"/>
    </row>
    <row r="1938" spans="8:20" x14ac:dyDescent="0.35">
      <c r="H1938" s="711"/>
      <c r="I1938" s="711"/>
      <c r="J1938" s="711"/>
      <c r="K1938" s="711"/>
      <c r="L1938" s="711"/>
      <c r="Q1938" s="11"/>
      <c r="R1938" s="11"/>
      <c r="S1938" s="11"/>
      <c r="T1938" s="11"/>
    </row>
    <row r="1939" spans="8:20" x14ac:dyDescent="0.35">
      <c r="H1939" s="711"/>
      <c r="I1939" s="711"/>
      <c r="J1939" s="711"/>
      <c r="K1939" s="711"/>
      <c r="L1939" s="711"/>
      <c r="Q1939" s="11"/>
      <c r="R1939" s="11"/>
      <c r="S1939" s="11"/>
      <c r="T1939" s="11"/>
    </row>
    <row r="1940" spans="8:20" x14ac:dyDescent="0.35">
      <c r="H1940" s="711"/>
      <c r="I1940" s="711"/>
      <c r="J1940" s="711"/>
      <c r="K1940" s="711"/>
      <c r="L1940" s="711"/>
      <c r="Q1940" s="11"/>
      <c r="R1940" s="11"/>
      <c r="S1940" s="11"/>
      <c r="T1940" s="11"/>
    </row>
    <row r="1941" spans="8:20" x14ac:dyDescent="0.35">
      <c r="H1941" s="711"/>
      <c r="I1941" s="711"/>
      <c r="J1941" s="711"/>
      <c r="K1941" s="711"/>
      <c r="L1941" s="711"/>
      <c r="Q1941" s="11"/>
      <c r="R1941" s="11"/>
      <c r="S1941" s="11"/>
      <c r="T1941" s="11"/>
    </row>
    <row r="1942" spans="8:20" x14ac:dyDescent="0.35">
      <c r="H1942" s="711"/>
      <c r="I1942" s="711"/>
      <c r="J1942" s="711"/>
      <c r="K1942" s="711"/>
      <c r="L1942" s="711"/>
      <c r="Q1942" s="11"/>
      <c r="R1942" s="11"/>
      <c r="S1942" s="11"/>
      <c r="T1942" s="11"/>
    </row>
    <row r="1943" spans="8:20" x14ac:dyDescent="0.35">
      <c r="H1943" s="711"/>
      <c r="I1943" s="711"/>
      <c r="J1943" s="711"/>
      <c r="K1943" s="711"/>
      <c r="L1943" s="711"/>
      <c r="Q1943" s="11"/>
      <c r="R1943" s="11"/>
      <c r="S1943" s="11"/>
      <c r="T1943" s="11"/>
    </row>
    <row r="1944" spans="8:20" x14ac:dyDescent="0.35">
      <c r="H1944" s="711"/>
      <c r="I1944" s="711"/>
      <c r="J1944" s="711"/>
      <c r="K1944" s="711"/>
      <c r="L1944" s="711"/>
      <c r="Q1944" s="11"/>
      <c r="R1944" s="11"/>
      <c r="S1944" s="11"/>
      <c r="T1944" s="11"/>
    </row>
    <row r="1945" spans="8:20" x14ac:dyDescent="0.35">
      <c r="H1945" s="711"/>
      <c r="I1945" s="711"/>
      <c r="J1945" s="711"/>
      <c r="K1945" s="711"/>
      <c r="L1945" s="711"/>
      <c r="Q1945" s="11"/>
      <c r="R1945" s="11"/>
      <c r="S1945" s="11"/>
      <c r="T1945" s="11"/>
    </row>
    <row r="1946" spans="8:20" x14ac:dyDescent="0.35">
      <c r="H1946" s="711"/>
      <c r="I1946" s="711"/>
      <c r="J1946" s="711"/>
      <c r="K1946" s="711"/>
      <c r="L1946" s="711"/>
      <c r="Q1946" s="11"/>
      <c r="R1946" s="11"/>
      <c r="S1946" s="11"/>
      <c r="T1946" s="11"/>
    </row>
    <row r="1947" spans="8:20" x14ac:dyDescent="0.35">
      <c r="H1947" s="711"/>
      <c r="I1947" s="711"/>
      <c r="J1947" s="711"/>
      <c r="K1947" s="711"/>
      <c r="L1947" s="711"/>
      <c r="Q1947" s="11"/>
      <c r="R1947" s="11"/>
      <c r="S1947" s="11"/>
      <c r="T1947" s="11"/>
    </row>
    <row r="1948" spans="8:20" x14ac:dyDescent="0.35">
      <c r="H1948" s="711"/>
      <c r="I1948" s="711"/>
      <c r="J1948" s="711"/>
      <c r="K1948" s="711"/>
      <c r="L1948" s="711"/>
      <c r="Q1948" s="11"/>
      <c r="R1948" s="11"/>
      <c r="S1948" s="11"/>
      <c r="T1948" s="11"/>
    </row>
    <row r="1949" spans="8:20" x14ac:dyDescent="0.35">
      <c r="H1949" s="711"/>
      <c r="I1949" s="711"/>
      <c r="J1949" s="711"/>
      <c r="K1949" s="711"/>
      <c r="L1949" s="711"/>
      <c r="Q1949" s="11"/>
      <c r="R1949" s="11"/>
      <c r="S1949" s="11"/>
      <c r="T1949" s="11"/>
    </row>
    <row r="1950" spans="8:20" x14ac:dyDescent="0.35">
      <c r="H1950" s="711"/>
      <c r="I1950" s="711"/>
      <c r="J1950" s="711"/>
      <c r="K1950" s="711"/>
      <c r="L1950" s="711"/>
      <c r="Q1950" s="11"/>
      <c r="R1950" s="11"/>
      <c r="S1950" s="11"/>
      <c r="T1950" s="11"/>
    </row>
    <row r="1951" spans="8:20" x14ac:dyDescent="0.35">
      <c r="H1951" s="711"/>
      <c r="I1951" s="711"/>
      <c r="J1951" s="711"/>
      <c r="K1951" s="711"/>
      <c r="L1951" s="711"/>
      <c r="Q1951" s="11"/>
      <c r="R1951" s="11"/>
      <c r="S1951" s="11"/>
      <c r="T1951" s="11"/>
    </row>
    <row r="1952" spans="8:20" x14ac:dyDescent="0.35">
      <c r="H1952" s="711"/>
      <c r="I1952" s="711"/>
      <c r="J1952" s="711"/>
      <c r="K1952" s="711"/>
      <c r="L1952" s="711"/>
      <c r="Q1952" s="11"/>
      <c r="R1952" s="11"/>
      <c r="S1952" s="11"/>
      <c r="T1952" s="11"/>
    </row>
    <row r="1953" spans="8:20" x14ac:dyDescent="0.35">
      <c r="H1953" s="711"/>
      <c r="I1953" s="711"/>
      <c r="J1953" s="711"/>
      <c r="K1953" s="711"/>
      <c r="L1953" s="711"/>
      <c r="Q1953" s="11"/>
      <c r="R1953" s="11"/>
      <c r="S1953" s="11"/>
      <c r="T1953" s="11"/>
    </row>
    <row r="1954" spans="8:20" x14ac:dyDescent="0.35">
      <c r="H1954" s="711"/>
      <c r="I1954" s="711"/>
      <c r="J1954" s="711"/>
      <c r="K1954" s="711"/>
      <c r="L1954" s="711"/>
      <c r="Q1954" s="11"/>
      <c r="R1954" s="11"/>
      <c r="S1954" s="11"/>
      <c r="T1954" s="11"/>
    </row>
    <row r="1955" spans="8:20" x14ac:dyDescent="0.35">
      <c r="H1955" s="711"/>
      <c r="I1955" s="711"/>
      <c r="J1955" s="711"/>
      <c r="K1955" s="711"/>
      <c r="L1955" s="711"/>
      <c r="Q1955" s="11"/>
      <c r="R1955" s="11"/>
      <c r="S1955" s="11"/>
      <c r="T1955" s="11"/>
    </row>
    <row r="1956" spans="8:20" x14ac:dyDescent="0.35">
      <c r="H1956" s="711"/>
      <c r="I1956" s="711"/>
      <c r="J1956" s="711"/>
      <c r="K1956" s="711"/>
      <c r="L1956" s="711"/>
      <c r="Q1956" s="11"/>
      <c r="R1956" s="11"/>
      <c r="S1956" s="11"/>
      <c r="T1956" s="11"/>
    </row>
    <row r="1957" spans="8:20" x14ac:dyDescent="0.35">
      <c r="H1957" s="711"/>
      <c r="I1957" s="711"/>
      <c r="J1957" s="711"/>
      <c r="K1957" s="711"/>
      <c r="L1957" s="711"/>
      <c r="Q1957" s="11"/>
      <c r="R1957" s="11"/>
      <c r="S1957" s="11"/>
      <c r="T1957" s="11"/>
    </row>
    <row r="1958" spans="8:20" x14ac:dyDescent="0.35">
      <c r="H1958" s="711"/>
      <c r="I1958" s="711"/>
      <c r="J1958" s="711"/>
      <c r="K1958" s="711"/>
      <c r="L1958" s="711"/>
      <c r="Q1958" s="11"/>
      <c r="R1958" s="11"/>
      <c r="S1958" s="11"/>
      <c r="T1958" s="11"/>
    </row>
    <row r="1959" spans="8:20" x14ac:dyDescent="0.35">
      <c r="H1959" s="711"/>
      <c r="I1959" s="711"/>
      <c r="J1959" s="711"/>
      <c r="K1959" s="711"/>
      <c r="L1959" s="711"/>
      <c r="Q1959" s="11"/>
      <c r="R1959" s="11"/>
      <c r="S1959" s="11"/>
      <c r="T1959" s="11"/>
    </row>
    <row r="1960" spans="8:20" x14ac:dyDescent="0.35">
      <c r="H1960" s="711"/>
      <c r="I1960" s="711"/>
      <c r="J1960" s="711"/>
      <c r="K1960" s="711"/>
      <c r="L1960" s="711"/>
      <c r="Q1960" s="11"/>
      <c r="R1960" s="11"/>
      <c r="S1960" s="11"/>
      <c r="T1960" s="11"/>
    </row>
    <row r="1961" spans="8:20" x14ac:dyDescent="0.35">
      <c r="H1961" s="711"/>
      <c r="I1961" s="711"/>
      <c r="J1961" s="711"/>
      <c r="K1961" s="711"/>
      <c r="L1961" s="711"/>
      <c r="Q1961" s="11"/>
      <c r="R1961" s="11"/>
      <c r="S1961" s="11"/>
      <c r="T1961" s="11"/>
    </row>
    <row r="1962" spans="8:20" x14ac:dyDescent="0.35">
      <c r="H1962" s="711"/>
      <c r="I1962" s="711"/>
      <c r="J1962" s="711"/>
      <c r="K1962" s="711"/>
      <c r="L1962" s="711"/>
      <c r="Q1962" s="11"/>
      <c r="R1962" s="11"/>
      <c r="S1962" s="11"/>
      <c r="T1962" s="11"/>
    </row>
    <row r="1963" spans="8:20" x14ac:dyDescent="0.35">
      <c r="H1963" s="711"/>
      <c r="I1963" s="711"/>
      <c r="J1963" s="711"/>
      <c r="K1963" s="711"/>
      <c r="L1963" s="711"/>
      <c r="Q1963" s="11"/>
      <c r="R1963" s="11"/>
      <c r="S1963" s="11"/>
      <c r="T1963" s="11"/>
    </row>
    <row r="1964" spans="8:20" x14ac:dyDescent="0.35">
      <c r="H1964" s="711"/>
      <c r="I1964" s="711"/>
      <c r="J1964" s="711"/>
      <c r="K1964" s="711"/>
      <c r="L1964" s="711"/>
      <c r="Q1964" s="11"/>
      <c r="R1964" s="11"/>
      <c r="S1964" s="11"/>
      <c r="T1964" s="11"/>
    </row>
    <row r="1965" spans="8:20" x14ac:dyDescent="0.35">
      <c r="H1965" s="711"/>
      <c r="I1965" s="711"/>
      <c r="J1965" s="711"/>
      <c r="K1965" s="711"/>
      <c r="L1965" s="711"/>
      <c r="Q1965" s="11"/>
      <c r="R1965" s="11"/>
      <c r="S1965" s="11"/>
      <c r="T1965" s="11"/>
    </row>
    <row r="1966" spans="8:20" x14ac:dyDescent="0.35">
      <c r="H1966" s="711"/>
      <c r="I1966" s="711"/>
      <c r="J1966" s="711"/>
      <c r="K1966" s="711"/>
      <c r="L1966" s="711"/>
      <c r="Q1966" s="11"/>
      <c r="R1966" s="11"/>
      <c r="S1966" s="11"/>
      <c r="T1966" s="11"/>
    </row>
    <row r="1967" spans="8:20" x14ac:dyDescent="0.35">
      <c r="H1967" s="711"/>
      <c r="I1967" s="711"/>
      <c r="J1967" s="711"/>
      <c r="K1967" s="711"/>
      <c r="L1967" s="711"/>
      <c r="Q1967" s="11"/>
      <c r="R1967" s="11"/>
      <c r="S1967" s="11"/>
      <c r="T1967" s="11"/>
    </row>
    <row r="1968" spans="8:20" x14ac:dyDescent="0.35">
      <c r="H1968" s="711"/>
      <c r="I1968" s="711"/>
      <c r="J1968" s="711"/>
      <c r="K1968" s="711"/>
      <c r="L1968" s="711"/>
      <c r="Q1968" s="11"/>
      <c r="R1968" s="11"/>
      <c r="S1968" s="11"/>
      <c r="T1968" s="11"/>
    </row>
    <row r="1969" spans="8:20" x14ac:dyDescent="0.35">
      <c r="H1969" s="711"/>
      <c r="I1969" s="711"/>
      <c r="J1969" s="711"/>
      <c r="K1969" s="711"/>
      <c r="L1969" s="711"/>
      <c r="Q1969" s="11"/>
      <c r="R1969" s="11"/>
      <c r="S1969" s="11"/>
      <c r="T1969" s="11"/>
    </row>
    <row r="1970" spans="8:20" x14ac:dyDescent="0.35">
      <c r="H1970" s="711"/>
      <c r="I1970" s="711"/>
      <c r="J1970" s="711"/>
      <c r="K1970" s="711"/>
      <c r="L1970" s="711"/>
      <c r="Q1970" s="11"/>
      <c r="R1970" s="11"/>
      <c r="S1970" s="11"/>
      <c r="T1970" s="11"/>
    </row>
    <row r="1971" spans="8:20" x14ac:dyDescent="0.35">
      <c r="H1971" s="711"/>
      <c r="I1971" s="711"/>
      <c r="J1971" s="711"/>
      <c r="K1971" s="711"/>
      <c r="L1971" s="711"/>
      <c r="Q1971" s="11"/>
      <c r="R1971" s="11"/>
      <c r="S1971" s="11"/>
      <c r="T1971" s="11"/>
    </row>
    <row r="1972" spans="8:20" x14ac:dyDescent="0.35">
      <c r="H1972" s="711"/>
      <c r="I1972" s="711"/>
      <c r="J1972" s="711"/>
      <c r="K1972" s="711"/>
      <c r="L1972" s="711"/>
      <c r="Q1972" s="11"/>
      <c r="R1972" s="11"/>
      <c r="S1972" s="11"/>
      <c r="T1972" s="11"/>
    </row>
    <row r="1973" spans="8:20" x14ac:dyDescent="0.35">
      <c r="H1973" s="711"/>
      <c r="I1973" s="711"/>
      <c r="J1973" s="711"/>
      <c r="K1973" s="711"/>
      <c r="L1973" s="711"/>
      <c r="Q1973" s="11"/>
      <c r="R1973" s="11"/>
      <c r="S1973" s="11"/>
      <c r="T1973" s="11"/>
    </row>
    <row r="1974" spans="8:20" x14ac:dyDescent="0.35">
      <c r="H1974" s="711"/>
      <c r="I1974" s="711"/>
      <c r="J1974" s="711"/>
      <c r="K1974" s="711"/>
      <c r="L1974" s="711"/>
      <c r="Q1974" s="11"/>
      <c r="R1974" s="11"/>
      <c r="S1974" s="11"/>
      <c r="T1974" s="11"/>
    </row>
    <row r="1975" spans="8:20" x14ac:dyDescent="0.35">
      <c r="H1975" s="711"/>
      <c r="I1975" s="711"/>
      <c r="J1975" s="711"/>
      <c r="K1975" s="711"/>
      <c r="L1975" s="711"/>
      <c r="Q1975" s="11"/>
      <c r="R1975" s="11"/>
      <c r="S1975" s="11"/>
      <c r="T1975" s="11"/>
    </row>
    <row r="1976" spans="8:20" x14ac:dyDescent="0.35">
      <c r="H1976" s="711"/>
      <c r="I1976" s="711"/>
      <c r="J1976" s="711"/>
      <c r="K1976" s="711"/>
      <c r="L1976" s="711"/>
      <c r="Q1976" s="11"/>
      <c r="R1976" s="11"/>
      <c r="S1976" s="11"/>
      <c r="T1976" s="11"/>
    </row>
    <row r="1977" spans="8:20" x14ac:dyDescent="0.35">
      <c r="H1977" s="711"/>
      <c r="I1977" s="711"/>
      <c r="J1977" s="711"/>
      <c r="K1977" s="711"/>
      <c r="L1977" s="711"/>
      <c r="Q1977" s="11"/>
      <c r="R1977" s="11"/>
      <c r="S1977" s="11"/>
      <c r="T1977" s="11"/>
    </row>
    <row r="1978" spans="8:20" x14ac:dyDescent="0.35">
      <c r="H1978" s="711"/>
      <c r="I1978" s="711"/>
      <c r="J1978" s="711"/>
      <c r="K1978" s="711"/>
      <c r="L1978" s="711"/>
      <c r="Q1978" s="11"/>
      <c r="R1978" s="11"/>
      <c r="S1978" s="11"/>
      <c r="T1978" s="11"/>
    </row>
    <row r="1979" spans="8:20" x14ac:dyDescent="0.35">
      <c r="H1979" s="711"/>
      <c r="I1979" s="711"/>
      <c r="J1979" s="711"/>
      <c r="K1979" s="711"/>
      <c r="L1979" s="711"/>
      <c r="Q1979" s="11"/>
      <c r="R1979" s="11"/>
      <c r="S1979" s="11"/>
      <c r="T1979" s="11"/>
    </row>
    <row r="1980" spans="8:20" x14ac:dyDescent="0.35">
      <c r="H1980" s="711"/>
      <c r="I1980" s="711"/>
      <c r="J1980" s="711"/>
      <c r="K1980" s="711"/>
      <c r="L1980" s="711"/>
      <c r="Q1980" s="11"/>
      <c r="R1980" s="11"/>
      <c r="S1980" s="11"/>
      <c r="T1980" s="11"/>
    </row>
    <row r="1981" spans="8:20" x14ac:dyDescent="0.35">
      <c r="H1981" s="711"/>
      <c r="I1981" s="711"/>
      <c r="J1981" s="711"/>
      <c r="K1981" s="711"/>
      <c r="L1981" s="711"/>
      <c r="Q1981" s="11"/>
      <c r="R1981" s="11"/>
      <c r="S1981" s="11"/>
      <c r="T1981" s="11"/>
    </row>
    <row r="1982" spans="8:20" x14ac:dyDescent="0.35">
      <c r="H1982" s="711"/>
      <c r="I1982" s="711"/>
      <c r="J1982" s="711"/>
      <c r="K1982" s="711"/>
      <c r="L1982" s="711"/>
      <c r="Q1982" s="11"/>
      <c r="R1982" s="11"/>
      <c r="S1982" s="11"/>
      <c r="T1982" s="11"/>
    </row>
    <row r="1983" spans="8:20" x14ac:dyDescent="0.35">
      <c r="H1983" s="711"/>
      <c r="I1983" s="711"/>
      <c r="J1983" s="711"/>
      <c r="K1983" s="711"/>
      <c r="L1983" s="711"/>
      <c r="Q1983" s="11"/>
      <c r="R1983" s="11"/>
      <c r="S1983" s="11"/>
      <c r="T1983" s="11"/>
    </row>
    <row r="1984" spans="8:20" x14ac:dyDescent="0.35">
      <c r="H1984" s="711"/>
      <c r="I1984" s="711"/>
      <c r="J1984" s="711"/>
      <c r="K1984" s="711"/>
      <c r="L1984" s="711"/>
      <c r="Q1984" s="11"/>
      <c r="R1984" s="11"/>
      <c r="S1984" s="11"/>
      <c r="T1984" s="11"/>
    </row>
    <row r="1985" spans="8:20" x14ac:dyDescent="0.35">
      <c r="H1985" s="711"/>
      <c r="I1985" s="711"/>
      <c r="J1985" s="711"/>
      <c r="K1985" s="711"/>
      <c r="L1985" s="711"/>
      <c r="Q1985" s="11"/>
      <c r="R1985" s="11"/>
      <c r="S1985" s="11"/>
      <c r="T1985" s="11"/>
    </row>
    <row r="1986" spans="8:20" x14ac:dyDescent="0.35">
      <c r="H1986" s="711"/>
      <c r="I1986" s="711"/>
      <c r="J1986" s="711"/>
      <c r="K1986" s="711"/>
      <c r="L1986" s="711"/>
      <c r="Q1986" s="11"/>
      <c r="R1986" s="11"/>
      <c r="S1986" s="11"/>
      <c r="T1986" s="11"/>
    </row>
    <row r="1987" spans="8:20" x14ac:dyDescent="0.35">
      <c r="H1987" s="711"/>
      <c r="I1987" s="711"/>
      <c r="J1987" s="711"/>
      <c r="K1987" s="711"/>
      <c r="L1987" s="711"/>
      <c r="Q1987" s="11"/>
      <c r="R1987" s="11"/>
      <c r="S1987" s="11"/>
      <c r="T1987" s="11"/>
    </row>
    <row r="1988" spans="8:20" x14ac:dyDescent="0.35">
      <c r="H1988" s="711"/>
      <c r="I1988" s="711"/>
      <c r="J1988" s="711"/>
      <c r="K1988" s="711"/>
      <c r="L1988" s="711"/>
      <c r="Q1988" s="11"/>
      <c r="R1988" s="11"/>
      <c r="S1988" s="11"/>
      <c r="T1988" s="11"/>
    </row>
    <row r="1989" spans="8:20" x14ac:dyDescent="0.35">
      <c r="H1989" s="711"/>
      <c r="I1989" s="711"/>
      <c r="J1989" s="711"/>
      <c r="K1989" s="711"/>
      <c r="L1989" s="711"/>
      <c r="Q1989" s="11"/>
      <c r="R1989" s="11"/>
      <c r="S1989" s="11"/>
      <c r="T1989" s="11"/>
    </row>
    <row r="1990" spans="8:20" x14ac:dyDescent="0.35">
      <c r="H1990" s="711"/>
      <c r="I1990" s="711"/>
      <c r="J1990" s="711"/>
      <c r="K1990" s="711"/>
      <c r="L1990" s="711"/>
      <c r="Q1990" s="11"/>
      <c r="R1990" s="11"/>
      <c r="S1990" s="11"/>
      <c r="T1990" s="11"/>
    </row>
    <row r="1991" spans="8:20" x14ac:dyDescent="0.35">
      <c r="H1991" s="711"/>
      <c r="I1991" s="711"/>
      <c r="J1991" s="711"/>
      <c r="K1991" s="711"/>
      <c r="L1991" s="711"/>
      <c r="Q1991" s="11"/>
      <c r="R1991" s="11"/>
      <c r="S1991" s="11"/>
      <c r="T1991" s="11"/>
    </row>
    <row r="1992" spans="8:20" x14ac:dyDescent="0.35">
      <c r="H1992" s="711"/>
      <c r="I1992" s="711"/>
      <c r="J1992" s="711"/>
      <c r="K1992" s="711"/>
      <c r="L1992" s="711"/>
      <c r="Q1992" s="11"/>
      <c r="R1992" s="11"/>
      <c r="S1992" s="11"/>
      <c r="T1992" s="11"/>
    </row>
    <row r="1993" spans="8:20" x14ac:dyDescent="0.35">
      <c r="H1993" s="711"/>
      <c r="I1993" s="711"/>
      <c r="J1993" s="711"/>
      <c r="K1993" s="711"/>
      <c r="L1993" s="711"/>
      <c r="Q1993" s="11"/>
      <c r="R1993" s="11"/>
      <c r="S1993" s="11"/>
      <c r="T1993" s="11"/>
    </row>
    <row r="1994" spans="8:20" x14ac:dyDescent="0.35">
      <c r="H1994" s="711"/>
      <c r="I1994" s="711"/>
      <c r="J1994" s="711"/>
      <c r="K1994" s="711"/>
      <c r="L1994" s="711"/>
      <c r="Q1994" s="11"/>
      <c r="R1994" s="11"/>
      <c r="S1994" s="11"/>
      <c r="T1994" s="11"/>
    </row>
    <row r="1995" spans="8:20" x14ac:dyDescent="0.35">
      <c r="H1995" s="711"/>
      <c r="I1995" s="711"/>
      <c r="J1995" s="711"/>
      <c r="K1995" s="711"/>
      <c r="L1995" s="711"/>
      <c r="Q1995" s="11"/>
      <c r="R1995" s="11"/>
      <c r="S1995" s="11"/>
      <c r="T1995" s="11"/>
    </row>
    <row r="1996" spans="8:20" x14ac:dyDescent="0.35">
      <c r="H1996" s="711"/>
      <c r="I1996" s="711"/>
      <c r="J1996" s="711"/>
      <c r="K1996" s="711"/>
      <c r="L1996" s="711"/>
      <c r="Q1996" s="11"/>
      <c r="R1996" s="11"/>
      <c r="S1996" s="11"/>
      <c r="T1996" s="11"/>
    </row>
    <row r="1997" spans="8:20" x14ac:dyDescent="0.35">
      <c r="H1997" s="711"/>
      <c r="I1997" s="711"/>
      <c r="J1997" s="711"/>
      <c r="K1997" s="711"/>
      <c r="L1997" s="711"/>
      <c r="Q1997" s="11"/>
      <c r="R1997" s="11"/>
      <c r="S1997" s="11"/>
      <c r="T1997" s="11"/>
    </row>
    <row r="1998" spans="8:20" x14ac:dyDescent="0.35">
      <c r="H1998" s="711"/>
      <c r="I1998" s="711"/>
      <c r="J1998" s="711"/>
      <c r="K1998" s="711"/>
      <c r="L1998" s="711"/>
      <c r="Q1998" s="11"/>
      <c r="R1998" s="11"/>
      <c r="S1998" s="11"/>
      <c r="T1998" s="11"/>
    </row>
    <row r="1999" spans="8:20" x14ac:dyDescent="0.35">
      <c r="H1999" s="711"/>
      <c r="I1999" s="711"/>
      <c r="J1999" s="711"/>
      <c r="K1999" s="711"/>
      <c r="L1999" s="711"/>
      <c r="Q1999" s="11"/>
      <c r="R1999" s="11"/>
      <c r="S1999" s="11"/>
      <c r="T1999" s="11"/>
    </row>
    <row r="2000" spans="8:20" x14ac:dyDescent="0.35">
      <c r="H2000" s="711"/>
      <c r="I2000" s="711"/>
      <c r="J2000" s="711"/>
      <c r="K2000" s="711"/>
      <c r="L2000" s="711"/>
      <c r="Q2000" s="11"/>
      <c r="R2000" s="11"/>
      <c r="S2000" s="11"/>
      <c r="T2000" s="11"/>
    </row>
    <row r="2001" spans="8:20" x14ac:dyDescent="0.35">
      <c r="H2001" s="711"/>
      <c r="I2001" s="711"/>
      <c r="J2001" s="711"/>
      <c r="K2001" s="711"/>
      <c r="L2001" s="711"/>
      <c r="Q2001" s="11"/>
      <c r="R2001" s="11"/>
      <c r="S2001" s="11"/>
      <c r="T2001" s="11"/>
    </row>
    <row r="2002" spans="8:20" x14ac:dyDescent="0.35">
      <c r="H2002" s="711"/>
      <c r="I2002" s="711"/>
      <c r="J2002" s="711"/>
      <c r="K2002" s="711"/>
      <c r="L2002" s="711"/>
      <c r="Q2002" s="11"/>
      <c r="R2002" s="11"/>
      <c r="S2002" s="11"/>
      <c r="T2002" s="11"/>
    </row>
    <row r="2003" spans="8:20" x14ac:dyDescent="0.35">
      <c r="H2003" s="711"/>
      <c r="I2003" s="711"/>
      <c r="J2003" s="711"/>
      <c r="K2003" s="711"/>
      <c r="L2003" s="711"/>
      <c r="Q2003" s="11"/>
      <c r="R2003" s="11"/>
      <c r="S2003" s="11"/>
      <c r="T2003" s="11"/>
    </row>
    <row r="2004" spans="8:20" x14ac:dyDescent="0.35">
      <c r="H2004" s="711"/>
      <c r="I2004" s="711"/>
      <c r="J2004" s="711"/>
      <c r="K2004" s="711"/>
      <c r="L2004" s="711"/>
      <c r="Q2004" s="11"/>
      <c r="R2004" s="11"/>
      <c r="S2004" s="11"/>
      <c r="T2004" s="11"/>
    </row>
    <row r="2005" spans="8:20" x14ac:dyDescent="0.35">
      <c r="H2005" s="711"/>
      <c r="I2005" s="711"/>
      <c r="J2005" s="711"/>
      <c r="K2005" s="711"/>
      <c r="L2005" s="711"/>
      <c r="Q2005" s="11"/>
      <c r="R2005" s="11"/>
      <c r="S2005" s="11"/>
      <c r="T2005" s="11"/>
    </row>
    <row r="2006" spans="8:20" x14ac:dyDescent="0.35">
      <c r="H2006" s="711"/>
      <c r="I2006" s="711"/>
      <c r="J2006" s="711"/>
      <c r="K2006" s="711"/>
      <c r="L2006" s="711"/>
      <c r="Q2006" s="11"/>
      <c r="R2006" s="11"/>
      <c r="S2006" s="11"/>
      <c r="T2006" s="11"/>
    </row>
    <row r="2007" spans="8:20" x14ac:dyDescent="0.35">
      <c r="H2007" s="711"/>
      <c r="I2007" s="711"/>
      <c r="J2007" s="711"/>
      <c r="K2007" s="711"/>
      <c r="L2007" s="711"/>
      <c r="Q2007" s="11"/>
      <c r="R2007" s="11"/>
      <c r="S2007" s="11"/>
      <c r="T2007" s="11"/>
    </row>
    <row r="2008" spans="8:20" x14ac:dyDescent="0.35">
      <c r="H2008" s="711"/>
      <c r="I2008" s="711"/>
      <c r="J2008" s="711"/>
      <c r="K2008" s="711"/>
      <c r="L2008" s="711"/>
      <c r="Q2008" s="11"/>
      <c r="R2008" s="11"/>
      <c r="S2008" s="11"/>
      <c r="T2008" s="11"/>
    </row>
    <row r="2009" spans="8:20" x14ac:dyDescent="0.35">
      <c r="H2009" s="711"/>
      <c r="I2009" s="711"/>
      <c r="J2009" s="711"/>
      <c r="K2009" s="711"/>
      <c r="L2009" s="711"/>
      <c r="Q2009" s="11"/>
      <c r="R2009" s="11"/>
      <c r="S2009" s="11"/>
      <c r="T2009" s="11"/>
    </row>
    <row r="2010" spans="8:20" x14ac:dyDescent="0.35">
      <c r="H2010" s="711"/>
      <c r="I2010" s="711"/>
      <c r="J2010" s="711"/>
      <c r="K2010" s="711"/>
      <c r="L2010" s="711"/>
      <c r="Q2010" s="11"/>
      <c r="R2010" s="11"/>
      <c r="S2010" s="11"/>
      <c r="T2010" s="11"/>
    </row>
    <row r="2011" spans="8:20" x14ac:dyDescent="0.35">
      <c r="H2011" s="711"/>
      <c r="I2011" s="711"/>
      <c r="J2011" s="711"/>
      <c r="K2011" s="711"/>
      <c r="L2011" s="711"/>
      <c r="Q2011" s="11"/>
      <c r="R2011" s="11"/>
      <c r="S2011" s="11"/>
      <c r="T2011" s="11"/>
    </row>
    <row r="2012" spans="8:20" x14ac:dyDescent="0.35">
      <c r="H2012" s="711"/>
      <c r="I2012" s="711"/>
      <c r="J2012" s="711"/>
      <c r="K2012" s="711"/>
      <c r="L2012" s="711"/>
      <c r="Q2012" s="11"/>
      <c r="R2012" s="11"/>
      <c r="S2012" s="11"/>
      <c r="T2012" s="11"/>
    </row>
    <row r="2013" spans="8:20" x14ac:dyDescent="0.35">
      <c r="H2013" s="711"/>
      <c r="I2013" s="711"/>
      <c r="J2013" s="711"/>
      <c r="K2013" s="711"/>
      <c r="L2013" s="711"/>
      <c r="Q2013" s="11"/>
      <c r="R2013" s="11"/>
      <c r="S2013" s="11"/>
      <c r="T2013" s="11"/>
    </row>
    <row r="2014" spans="8:20" x14ac:dyDescent="0.35">
      <c r="H2014" s="711"/>
      <c r="I2014" s="711"/>
      <c r="J2014" s="711"/>
      <c r="K2014" s="711"/>
      <c r="L2014" s="711"/>
      <c r="Q2014" s="11"/>
      <c r="R2014" s="11"/>
      <c r="S2014" s="11"/>
      <c r="T2014" s="11"/>
    </row>
    <row r="2015" spans="8:20" x14ac:dyDescent="0.35">
      <c r="H2015" s="711"/>
      <c r="I2015" s="711"/>
      <c r="J2015" s="711"/>
      <c r="K2015" s="711"/>
      <c r="L2015" s="711"/>
      <c r="Q2015" s="11"/>
      <c r="R2015" s="11"/>
      <c r="S2015" s="11"/>
      <c r="T2015" s="11"/>
    </row>
    <row r="2016" spans="8:20" x14ac:dyDescent="0.35">
      <c r="H2016" s="711"/>
      <c r="I2016" s="711"/>
      <c r="J2016" s="711"/>
      <c r="K2016" s="711"/>
      <c r="L2016" s="711"/>
      <c r="Q2016" s="11"/>
      <c r="R2016" s="11"/>
      <c r="S2016" s="11"/>
      <c r="T2016" s="11"/>
    </row>
    <row r="2017" spans="8:20" x14ac:dyDescent="0.35">
      <c r="H2017" s="711"/>
      <c r="I2017" s="711"/>
      <c r="J2017" s="711"/>
      <c r="K2017" s="711"/>
      <c r="L2017" s="711"/>
      <c r="Q2017" s="11"/>
      <c r="R2017" s="11"/>
      <c r="S2017" s="11"/>
      <c r="T2017" s="11"/>
    </row>
    <row r="2018" spans="8:20" x14ac:dyDescent="0.35">
      <c r="H2018" s="711"/>
      <c r="I2018" s="711"/>
      <c r="J2018" s="711"/>
      <c r="K2018" s="711"/>
      <c r="L2018" s="711"/>
      <c r="Q2018" s="11"/>
      <c r="R2018" s="11"/>
      <c r="S2018" s="11"/>
      <c r="T2018" s="11"/>
    </row>
    <row r="2019" spans="8:20" x14ac:dyDescent="0.35">
      <c r="H2019" s="711"/>
      <c r="I2019" s="711"/>
      <c r="J2019" s="711"/>
      <c r="K2019" s="711"/>
      <c r="L2019" s="711"/>
      <c r="Q2019" s="11"/>
      <c r="R2019" s="11"/>
      <c r="S2019" s="11"/>
      <c r="T2019" s="11"/>
    </row>
    <row r="2020" spans="8:20" x14ac:dyDescent="0.35">
      <c r="H2020" s="711"/>
      <c r="I2020" s="711"/>
      <c r="J2020" s="711"/>
      <c r="K2020" s="711"/>
      <c r="L2020" s="711"/>
      <c r="Q2020" s="11"/>
      <c r="R2020" s="11"/>
      <c r="S2020" s="11"/>
      <c r="T2020" s="11"/>
    </row>
    <row r="2021" spans="8:20" x14ac:dyDescent="0.35">
      <c r="H2021" s="711"/>
      <c r="I2021" s="711"/>
      <c r="J2021" s="711"/>
      <c r="K2021" s="711"/>
      <c r="L2021" s="711"/>
      <c r="Q2021" s="11"/>
      <c r="R2021" s="11"/>
      <c r="S2021" s="11"/>
      <c r="T2021" s="11"/>
    </row>
    <row r="2022" spans="8:20" x14ac:dyDescent="0.35">
      <c r="H2022" s="711"/>
      <c r="I2022" s="711"/>
      <c r="J2022" s="711"/>
      <c r="K2022" s="711"/>
      <c r="L2022" s="711"/>
      <c r="Q2022" s="11"/>
      <c r="R2022" s="11"/>
      <c r="S2022" s="11"/>
      <c r="T2022" s="11"/>
    </row>
    <row r="2023" spans="8:20" x14ac:dyDescent="0.35">
      <c r="H2023" s="711"/>
      <c r="I2023" s="711"/>
      <c r="J2023" s="711"/>
      <c r="K2023" s="711"/>
      <c r="L2023" s="711"/>
      <c r="Q2023" s="11"/>
      <c r="R2023" s="11"/>
      <c r="S2023" s="11"/>
      <c r="T2023" s="11"/>
    </row>
    <row r="2024" spans="8:20" x14ac:dyDescent="0.35">
      <c r="H2024" s="711"/>
      <c r="I2024" s="711"/>
      <c r="J2024" s="711"/>
      <c r="K2024" s="711"/>
      <c r="L2024" s="711"/>
      <c r="Q2024" s="11"/>
      <c r="R2024" s="11"/>
      <c r="S2024" s="11"/>
      <c r="T2024" s="11"/>
    </row>
    <row r="2025" spans="8:20" x14ac:dyDescent="0.35">
      <c r="H2025" s="711"/>
      <c r="I2025" s="711"/>
      <c r="J2025" s="711"/>
      <c r="K2025" s="711"/>
      <c r="L2025" s="711"/>
      <c r="Q2025" s="11"/>
      <c r="R2025" s="11"/>
      <c r="S2025" s="11"/>
      <c r="T2025" s="11"/>
    </row>
    <row r="2026" spans="8:20" x14ac:dyDescent="0.35">
      <c r="H2026" s="711"/>
      <c r="I2026" s="711"/>
      <c r="J2026" s="711"/>
      <c r="K2026" s="711"/>
      <c r="L2026" s="711"/>
      <c r="Q2026" s="11"/>
      <c r="R2026" s="11"/>
      <c r="S2026" s="11"/>
      <c r="T2026" s="11"/>
    </row>
    <row r="2027" spans="8:20" x14ac:dyDescent="0.35">
      <c r="H2027" s="711"/>
      <c r="I2027" s="711"/>
      <c r="J2027" s="711"/>
      <c r="K2027" s="711"/>
      <c r="L2027" s="711"/>
      <c r="Q2027" s="11"/>
      <c r="R2027" s="11"/>
      <c r="S2027" s="11"/>
      <c r="T2027" s="11"/>
    </row>
    <row r="2028" spans="8:20" x14ac:dyDescent="0.35">
      <c r="H2028" s="711"/>
      <c r="I2028" s="711"/>
      <c r="J2028" s="711"/>
      <c r="K2028" s="711"/>
      <c r="L2028" s="711"/>
      <c r="Q2028" s="11"/>
      <c r="R2028" s="11"/>
      <c r="S2028" s="11"/>
      <c r="T2028" s="11"/>
    </row>
    <row r="2029" spans="8:20" x14ac:dyDescent="0.35">
      <c r="H2029" s="711"/>
      <c r="I2029" s="711"/>
      <c r="J2029" s="711"/>
      <c r="K2029" s="711"/>
      <c r="L2029" s="711"/>
      <c r="Q2029" s="11"/>
      <c r="R2029" s="11"/>
      <c r="S2029" s="11"/>
      <c r="T2029" s="11"/>
    </row>
    <row r="2030" spans="8:20" x14ac:dyDescent="0.35">
      <c r="H2030" s="711"/>
      <c r="I2030" s="711"/>
      <c r="J2030" s="711"/>
      <c r="K2030" s="711"/>
      <c r="L2030" s="711"/>
      <c r="Q2030" s="11"/>
      <c r="R2030" s="11"/>
      <c r="S2030" s="11"/>
      <c r="T2030" s="11"/>
    </row>
    <row r="2031" spans="8:20" x14ac:dyDescent="0.35">
      <c r="H2031" s="711"/>
      <c r="I2031" s="711"/>
      <c r="J2031" s="711"/>
      <c r="K2031" s="711"/>
      <c r="L2031" s="711"/>
      <c r="Q2031" s="11"/>
      <c r="R2031" s="11"/>
      <c r="S2031" s="11"/>
      <c r="T2031" s="11"/>
    </row>
    <row r="2032" spans="8:20" x14ac:dyDescent="0.35">
      <c r="H2032" s="711"/>
      <c r="I2032" s="711"/>
      <c r="J2032" s="711"/>
      <c r="K2032" s="711"/>
      <c r="L2032" s="711"/>
      <c r="Q2032" s="11"/>
      <c r="R2032" s="11"/>
      <c r="S2032" s="11"/>
      <c r="T2032" s="11"/>
    </row>
    <row r="2033" spans="8:20" x14ac:dyDescent="0.35">
      <c r="H2033" s="711"/>
      <c r="I2033" s="711"/>
      <c r="J2033" s="711"/>
      <c r="K2033" s="711"/>
      <c r="L2033" s="711"/>
      <c r="Q2033" s="11"/>
      <c r="R2033" s="11"/>
      <c r="S2033" s="11"/>
      <c r="T2033" s="11"/>
    </row>
    <row r="2034" spans="8:20" x14ac:dyDescent="0.35">
      <c r="H2034" s="711"/>
      <c r="I2034" s="711"/>
      <c r="J2034" s="711"/>
      <c r="K2034" s="711"/>
      <c r="L2034" s="711"/>
      <c r="Q2034" s="11"/>
      <c r="R2034" s="11"/>
      <c r="S2034" s="11"/>
      <c r="T2034" s="11"/>
    </row>
    <row r="2035" spans="8:20" x14ac:dyDescent="0.35">
      <c r="H2035" s="711"/>
      <c r="I2035" s="711"/>
      <c r="J2035" s="711"/>
      <c r="K2035" s="711"/>
      <c r="L2035" s="711"/>
      <c r="Q2035" s="11"/>
      <c r="R2035" s="11"/>
      <c r="S2035" s="11"/>
      <c r="T2035" s="11"/>
    </row>
    <row r="2036" spans="8:20" x14ac:dyDescent="0.35">
      <c r="H2036" s="711"/>
      <c r="I2036" s="711"/>
      <c r="J2036" s="711"/>
      <c r="K2036" s="711"/>
      <c r="L2036" s="711"/>
      <c r="Q2036" s="11"/>
      <c r="R2036" s="11"/>
      <c r="S2036" s="11"/>
      <c r="T2036" s="11"/>
    </row>
    <row r="2037" spans="8:20" x14ac:dyDescent="0.35">
      <c r="H2037" s="711"/>
      <c r="I2037" s="711"/>
      <c r="J2037" s="711"/>
      <c r="K2037" s="711"/>
      <c r="L2037" s="711"/>
      <c r="Q2037" s="11"/>
      <c r="R2037" s="11"/>
      <c r="S2037" s="11"/>
      <c r="T2037" s="11"/>
    </row>
    <row r="2038" spans="8:20" x14ac:dyDescent="0.35">
      <c r="H2038" s="711"/>
      <c r="I2038" s="711"/>
      <c r="J2038" s="711"/>
      <c r="K2038" s="711"/>
      <c r="L2038" s="711"/>
      <c r="Q2038" s="11"/>
      <c r="R2038" s="11"/>
      <c r="S2038" s="11"/>
      <c r="T2038" s="11"/>
    </row>
    <row r="2039" spans="8:20" x14ac:dyDescent="0.35">
      <c r="H2039" s="711"/>
      <c r="I2039" s="711"/>
      <c r="J2039" s="711"/>
      <c r="K2039" s="711"/>
      <c r="L2039" s="711"/>
      <c r="Q2039" s="11"/>
      <c r="R2039" s="11"/>
      <c r="S2039" s="11"/>
      <c r="T2039" s="11"/>
    </row>
    <row r="2040" spans="8:20" x14ac:dyDescent="0.35">
      <c r="H2040" s="711"/>
      <c r="I2040" s="711"/>
      <c r="J2040" s="711"/>
      <c r="K2040" s="711"/>
      <c r="L2040" s="711"/>
      <c r="Q2040" s="11"/>
      <c r="R2040" s="11"/>
      <c r="S2040" s="11"/>
      <c r="T2040" s="11"/>
    </row>
    <row r="2041" spans="8:20" x14ac:dyDescent="0.35">
      <c r="H2041" s="711"/>
      <c r="I2041" s="711"/>
      <c r="J2041" s="711"/>
      <c r="K2041" s="711"/>
      <c r="L2041" s="711"/>
      <c r="Q2041" s="11"/>
      <c r="R2041" s="11"/>
      <c r="S2041" s="11"/>
      <c r="T2041" s="11"/>
    </row>
    <row r="2042" spans="8:20" x14ac:dyDescent="0.35">
      <c r="H2042" s="711"/>
      <c r="I2042" s="711"/>
      <c r="J2042" s="711"/>
      <c r="K2042" s="711"/>
      <c r="L2042" s="711"/>
      <c r="Q2042" s="11"/>
      <c r="R2042" s="11"/>
      <c r="S2042" s="11"/>
      <c r="T2042" s="11"/>
    </row>
    <row r="2043" spans="8:20" x14ac:dyDescent="0.35">
      <c r="H2043" s="711"/>
      <c r="I2043" s="711"/>
      <c r="J2043" s="711"/>
      <c r="K2043" s="711"/>
      <c r="L2043" s="711"/>
      <c r="Q2043" s="11"/>
      <c r="R2043" s="11"/>
      <c r="S2043" s="11"/>
      <c r="T2043" s="11"/>
    </row>
    <row r="2044" spans="8:20" x14ac:dyDescent="0.35">
      <c r="H2044" s="711"/>
      <c r="I2044" s="711"/>
      <c r="J2044" s="711"/>
      <c r="K2044" s="711"/>
      <c r="L2044" s="711"/>
      <c r="Q2044" s="11"/>
      <c r="R2044" s="11"/>
      <c r="S2044" s="11"/>
      <c r="T2044" s="11"/>
    </row>
    <row r="2045" spans="8:20" x14ac:dyDescent="0.35">
      <c r="H2045" s="711"/>
      <c r="I2045" s="711"/>
      <c r="J2045" s="711"/>
      <c r="K2045" s="711"/>
      <c r="L2045" s="711"/>
      <c r="Q2045" s="11"/>
      <c r="R2045" s="11"/>
      <c r="S2045" s="11"/>
      <c r="T2045" s="11"/>
    </row>
    <row r="2046" spans="8:20" x14ac:dyDescent="0.35">
      <c r="H2046" s="711"/>
      <c r="I2046" s="711"/>
      <c r="J2046" s="711"/>
      <c r="K2046" s="711"/>
      <c r="L2046" s="711"/>
      <c r="Q2046" s="11"/>
      <c r="R2046" s="11"/>
      <c r="S2046" s="11"/>
      <c r="T2046" s="11"/>
    </row>
    <row r="2047" spans="8:20" x14ac:dyDescent="0.35">
      <c r="H2047" s="711"/>
      <c r="I2047" s="711"/>
      <c r="J2047" s="711"/>
      <c r="K2047" s="711"/>
      <c r="L2047" s="711"/>
      <c r="Q2047" s="11"/>
      <c r="R2047" s="11"/>
      <c r="S2047" s="11"/>
      <c r="T2047" s="11"/>
    </row>
    <row r="2048" spans="8:20" x14ac:dyDescent="0.35">
      <c r="H2048" s="711"/>
      <c r="I2048" s="711"/>
      <c r="J2048" s="711"/>
      <c r="K2048" s="711"/>
      <c r="L2048" s="711"/>
      <c r="Q2048" s="11"/>
      <c r="R2048" s="11"/>
      <c r="S2048" s="11"/>
      <c r="T2048" s="11"/>
    </row>
    <row r="2049" spans="8:20" x14ac:dyDescent="0.35">
      <c r="H2049" s="711"/>
      <c r="I2049" s="711"/>
      <c r="J2049" s="711"/>
      <c r="K2049" s="711"/>
      <c r="L2049" s="711"/>
      <c r="Q2049" s="11"/>
      <c r="R2049" s="11"/>
      <c r="S2049" s="11"/>
      <c r="T2049" s="11"/>
    </row>
    <row r="2050" spans="8:20" x14ac:dyDescent="0.35">
      <c r="H2050" s="711"/>
      <c r="I2050" s="711"/>
      <c r="J2050" s="711"/>
      <c r="K2050" s="711"/>
      <c r="L2050" s="711"/>
      <c r="Q2050" s="11"/>
      <c r="R2050" s="11"/>
      <c r="S2050" s="11"/>
      <c r="T2050" s="11"/>
    </row>
    <row r="2051" spans="8:20" x14ac:dyDescent="0.35">
      <c r="H2051" s="711"/>
      <c r="I2051" s="711"/>
      <c r="J2051" s="711"/>
      <c r="K2051" s="711"/>
      <c r="L2051" s="711"/>
      <c r="Q2051" s="11"/>
      <c r="R2051" s="11"/>
      <c r="S2051" s="11"/>
      <c r="T2051" s="11"/>
    </row>
    <row r="2052" spans="8:20" x14ac:dyDescent="0.35">
      <c r="H2052" s="711"/>
      <c r="I2052" s="711"/>
      <c r="J2052" s="711"/>
      <c r="K2052" s="711"/>
      <c r="L2052" s="711"/>
      <c r="Q2052" s="11"/>
      <c r="R2052" s="11"/>
      <c r="S2052" s="11"/>
      <c r="T2052" s="11"/>
    </row>
    <row r="2053" spans="8:20" x14ac:dyDescent="0.35">
      <c r="H2053" s="711"/>
      <c r="I2053" s="711"/>
      <c r="J2053" s="711"/>
      <c r="K2053" s="711"/>
      <c r="L2053" s="711"/>
      <c r="Q2053" s="11"/>
      <c r="R2053" s="11"/>
      <c r="S2053" s="11"/>
      <c r="T2053" s="11"/>
    </row>
    <row r="2054" spans="8:20" x14ac:dyDescent="0.35">
      <c r="H2054" s="711"/>
      <c r="I2054" s="711"/>
      <c r="J2054" s="711"/>
      <c r="K2054" s="711"/>
      <c r="L2054" s="711"/>
      <c r="Q2054" s="11"/>
      <c r="R2054" s="11"/>
      <c r="S2054" s="11"/>
      <c r="T2054" s="11"/>
    </row>
    <row r="2055" spans="8:20" x14ac:dyDescent="0.35">
      <c r="H2055" s="711"/>
      <c r="I2055" s="711"/>
      <c r="J2055" s="711"/>
      <c r="K2055" s="711"/>
      <c r="L2055" s="711"/>
      <c r="Q2055" s="11"/>
      <c r="R2055" s="11"/>
      <c r="S2055" s="11"/>
      <c r="T2055" s="11"/>
    </row>
    <row r="2056" spans="8:20" x14ac:dyDescent="0.35">
      <c r="H2056" s="711"/>
      <c r="I2056" s="711"/>
      <c r="J2056" s="711"/>
      <c r="K2056" s="711"/>
      <c r="L2056" s="711"/>
      <c r="Q2056" s="11"/>
      <c r="R2056" s="11"/>
      <c r="S2056" s="11"/>
      <c r="T2056" s="11"/>
    </row>
    <row r="2057" spans="8:20" x14ac:dyDescent="0.35">
      <c r="H2057" s="711"/>
      <c r="I2057" s="711"/>
      <c r="J2057" s="711"/>
      <c r="K2057" s="711"/>
      <c r="L2057" s="711"/>
      <c r="Q2057" s="11"/>
      <c r="R2057" s="11"/>
      <c r="S2057" s="11"/>
      <c r="T2057" s="11"/>
    </row>
    <row r="2058" spans="8:20" x14ac:dyDescent="0.35">
      <c r="H2058" s="711"/>
      <c r="I2058" s="711"/>
      <c r="J2058" s="711"/>
      <c r="K2058" s="711"/>
      <c r="L2058" s="711"/>
      <c r="Q2058" s="11"/>
      <c r="R2058" s="11"/>
      <c r="S2058" s="11"/>
      <c r="T2058" s="11"/>
    </row>
    <row r="2059" spans="8:20" x14ac:dyDescent="0.35">
      <c r="H2059" s="711"/>
      <c r="I2059" s="711"/>
      <c r="J2059" s="711"/>
      <c r="K2059" s="711"/>
      <c r="L2059" s="711"/>
      <c r="Q2059" s="11"/>
      <c r="R2059" s="11"/>
      <c r="S2059" s="11"/>
      <c r="T2059" s="11"/>
    </row>
    <row r="2060" spans="8:20" x14ac:dyDescent="0.35">
      <c r="H2060" s="711"/>
      <c r="I2060" s="711"/>
      <c r="J2060" s="711"/>
      <c r="K2060" s="711"/>
      <c r="L2060" s="711"/>
      <c r="Q2060" s="11"/>
      <c r="R2060" s="11"/>
      <c r="S2060" s="11"/>
      <c r="T2060" s="11"/>
    </row>
    <row r="2061" spans="8:20" x14ac:dyDescent="0.35">
      <c r="H2061" s="711"/>
      <c r="I2061" s="711"/>
      <c r="J2061" s="711"/>
      <c r="K2061" s="711"/>
      <c r="L2061" s="711"/>
      <c r="Q2061" s="11"/>
      <c r="R2061" s="11"/>
      <c r="S2061" s="11"/>
      <c r="T2061" s="11"/>
    </row>
    <row r="2062" spans="8:20" x14ac:dyDescent="0.35">
      <c r="H2062" s="711"/>
      <c r="I2062" s="711"/>
      <c r="J2062" s="711"/>
      <c r="K2062" s="711"/>
      <c r="L2062" s="711"/>
      <c r="Q2062" s="11"/>
      <c r="R2062" s="11"/>
      <c r="S2062" s="11"/>
      <c r="T2062" s="11"/>
    </row>
    <row r="2063" spans="8:20" x14ac:dyDescent="0.35">
      <c r="H2063" s="711"/>
      <c r="I2063" s="711"/>
      <c r="J2063" s="711"/>
      <c r="K2063" s="711"/>
      <c r="L2063" s="711"/>
      <c r="Q2063" s="11"/>
      <c r="R2063" s="11"/>
      <c r="S2063" s="11"/>
      <c r="T2063" s="11"/>
    </row>
    <row r="2064" spans="8:20" x14ac:dyDescent="0.35">
      <c r="H2064" s="711"/>
      <c r="I2064" s="711"/>
      <c r="J2064" s="711"/>
      <c r="K2064" s="711"/>
      <c r="L2064" s="711"/>
      <c r="Q2064" s="11"/>
      <c r="R2064" s="11"/>
      <c r="S2064" s="11"/>
      <c r="T2064" s="11"/>
    </row>
    <row r="2065" spans="8:20" x14ac:dyDescent="0.35">
      <c r="H2065" s="711"/>
      <c r="I2065" s="711"/>
      <c r="J2065" s="711"/>
      <c r="K2065" s="711"/>
      <c r="L2065" s="711"/>
      <c r="Q2065" s="11"/>
      <c r="R2065" s="11"/>
      <c r="S2065" s="11"/>
      <c r="T2065" s="11"/>
    </row>
    <row r="2066" spans="8:20" x14ac:dyDescent="0.35">
      <c r="H2066" s="711"/>
      <c r="I2066" s="711"/>
      <c r="J2066" s="711"/>
      <c r="K2066" s="711"/>
      <c r="L2066" s="711"/>
      <c r="Q2066" s="11"/>
      <c r="R2066" s="11"/>
      <c r="S2066" s="11"/>
      <c r="T2066" s="11"/>
    </row>
    <row r="2067" spans="8:20" x14ac:dyDescent="0.35">
      <c r="H2067" s="711"/>
      <c r="I2067" s="711"/>
      <c r="J2067" s="711"/>
      <c r="K2067" s="711"/>
      <c r="L2067" s="711"/>
      <c r="Q2067" s="11"/>
      <c r="R2067" s="11"/>
      <c r="S2067" s="11"/>
      <c r="T2067" s="11"/>
    </row>
    <row r="2068" spans="8:20" x14ac:dyDescent="0.35">
      <c r="H2068" s="711"/>
      <c r="I2068" s="711"/>
      <c r="J2068" s="711"/>
      <c r="K2068" s="711"/>
      <c r="L2068" s="711"/>
      <c r="Q2068" s="11"/>
      <c r="R2068" s="11"/>
      <c r="S2068" s="11"/>
      <c r="T2068" s="11"/>
    </row>
    <row r="2069" spans="8:20" x14ac:dyDescent="0.35">
      <c r="H2069" s="711"/>
      <c r="I2069" s="711"/>
      <c r="J2069" s="711"/>
      <c r="K2069" s="711"/>
      <c r="L2069" s="711"/>
      <c r="Q2069" s="11"/>
      <c r="R2069" s="11"/>
      <c r="S2069" s="11"/>
      <c r="T2069" s="11"/>
    </row>
    <row r="2070" spans="8:20" x14ac:dyDescent="0.35">
      <c r="H2070" s="711"/>
      <c r="I2070" s="711"/>
      <c r="J2070" s="711"/>
      <c r="K2070" s="711"/>
      <c r="L2070" s="711"/>
      <c r="Q2070" s="11"/>
      <c r="R2070" s="11"/>
      <c r="S2070" s="11"/>
      <c r="T2070" s="11"/>
    </row>
    <row r="2071" spans="8:20" x14ac:dyDescent="0.35">
      <c r="H2071" s="711"/>
      <c r="I2071" s="711"/>
      <c r="J2071" s="711"/>
      <c r="K2071" s="711"/>
      <c r="L2071" s="711"/>
      <c r="Q2071" s="11"/>
      <c r="R2071" s="11"/>
      <c r="S2071" s="11"/>
      <c r="T2071" s="11"/>
    </row>
    <row r="2072" spans="8:20" x14ac:dyDescent="0.35">
      <c r="H2072" s="711"/>
      <c r="I2072" s="711"/>
      <c r="J2072" s="711"/>
      <c r="K2072" s="711"/>
      <c r="L2072" s="711"/>
      <c r="Q2072" s="11"/>
      <c r="R2072" s="11"/>
      <c r="S2072" s="11"/>
      <c r="T2072" s="11"/>
    </row>
    <row r="2073" spans="8:20" x14ac:dyDescent="0.35">
      <c r="H2073" s="711"/>
      <c r="I2073" s="711"/>
      <c r="J2073" s="711"/>
      <c r="K2073" s="711"/>
      <c r="L2073" s="711"/>
      <c r="Q2073" s="11"/>
      <c r="R2073" s="11"/>
      <c r="S2073" s="11"/>
      <c r="T2073" s="11"/>
    </row>
    <row r="2074" spans="8:20" x14ac:dyDescent="0.35">
      <c r="H2074" s="711"/>
      <c r="I2074" s="711"/>
      <c r="J2074" s="711"/>
      <c r="K2074" s="711"/>
      <c r="L2074" s="711"/>
      <c r="Q2074" s="11"/>
      <c r="R2074" s="11"/>
      <c r="S2074" s="11"/>
      <c r="T2074" s="11"/>
    </row>
    <row r="2075" spans="8:20" x14ac:dyDescent="0.35">
      <c r="H2075" s="711"/>
      <c r="I2075" s="711"/>
      <c r="J2075" s="711"/>
      <c r="K2075" s="711"/>
      <c r="L2075" s="711"/>
      <c r="Q2075" s="11"/>
      <c r="R2075" s="11"/>
      <c r="S2075" s="11"/>
      <c r="T2075" s="11"/>
    </row>
    <row r="2076" spans="8:20" x14ac:dyDescent="0.35">
      <c r="H2076" s="711"/>
      <c r="I2076" s="711"/>
      <c r="J2076" s="711"/>
      <c r="K2076" s="711"/>
      <c r="L2076" s="711"/>
      <c r="Q2076" s="11"/>
      <c r="R2076" s="11"/>
      <c r="S2076" s="11"/>
      <c r="T2076" s="11"/>
    </row>
    <row r="2077" spans="8:20" x14ac:dyDescent="0.35">
      <c r="H2077" s="711"/>
      <c r="I2077" s="711"/>
      <c r="J2077" s="711"/>
      <c r="K2077" s="711"/>
      <c r="L2077" s="711"/>
      <c r="Q2077" s="11"/>
      <c r="R2077" s="11"/>
      <c r="S2077" s="11"/>
      <c r="T2077" s="11"/>
    </row>
    <row r="2078" spans="8:20" x14ac:dyDescent="0.35">
      <c r="H2078" s="711"/>
      <c r="I2078" s="711"/>
      <c r="J2078" s="711"/>
      <c r="K2078" s="711"/>
      <c r="L2078" s="711"/>
      <c r="Q2078" s="11"/>
      <c r="R2078" s="11"/>
      <c r="S2078" s="11"/>
      <c r="T2078" s="11"/>
    </row>
    <row r="2079" spans="8:20" x14ac:dyDescent="0.35">
      <c r="H2079" s="711"/>
      <c r="I2079" s="711"/>
      <c r="J2079" s="711"/>
      <c r="K2079" s="711"/>
      <c r="L2079" s="711"/>
      <c r="Q2079" s="11"/>
      <c r="R2079" s="11"/>
      <c r="S2079" s="11"/>
      <c r="T2079" s="11"/>
    </row>
    <row r="2080" spans="8:20" x14ac:dyDescent="0.35">
      <c r="H2080" s="711"/>
      <c r="I2080" s="711"/>
      <c r="J2080" s="711"/>
      <c r="K2080" s="711"/>
      <c r="L2080" s="711"/>
      <c r="Q2080" s="11"/>
      <c r="R2080" s="11"/>
      <c r="S2080" s="11"/>
      <c r="T2080" s="11"/>
    </row>
    <row r="2081" spans="8:20" x14ac:dyDescent="0.35">
      <c r="H2081" s="711"/>
      <c r="I2081" s="711"/>
      <c r="J2081" s="711"/>
      <c r="K2081" s="711"/>
      <c r="L2081" s="711"/>
      <c r="Q2081" s="11"/>
      <c r="R2081" s="11"/>
      <c r="S2081" s="11"/>
      <c r="T2081" s="11"/>
    </row>
    <row r="2082" spans="8:20" x14ac:dyDescent="0.35">
      <c r="H2082" s="711"/>
      <c r="I2082" s="711"/>
      <c r="J2082" s="711"/>
      <c r="K2082" s="711"/>
      <c r="L2082" s="711"/>
      <c r="Q2082" s="11"/>
      <c r="R2082" s="11"/>
      <c r="S2082" s="11"/>
      <c r="T2082" s="11"/>
    </row>
    <row r="2083" spans="8:20" x14ac:dyDescent="0.35">
      <c r="H2083" s="711"/>
      <c r="I2083" s="711"/>
      <c r="J2083" s="711"/>
      <c r="K2083" s="711"/>
      <c r="L2083" s="711"/>
      <c r="Q2083" s="11"/>
      <c r="R2083" s="11"/>
      <c r="S2083" s="11"/>
      <c r="T2083" s="11"/>
    </row>
    <row r="2084" spans="8:20" x14ac:dyDescent="0.35">
      <c r="H2084" s="711"/>
      <c r="I2084" s="711"/>
      <c r="J2084" s="711"/>
      <c r="K2084" s="711"/>
      <c r="L2084" s="711"/>
      <c r="Q2084" s="11"/>
      <c r="R2084" s="11"/>
      <c r="S2084" s="11"/>
      <c r="T2084" s="11"/>
    </row>
    <row r="2085" spans="8:20" x14ac:dyDescent="0.35">
      <c r="H2085" s="711"/>
      <c r="I2085" s="711"/>
      <c r="J2085" s="711"/>
      <c r="K2085" s="711"/>
      <c r="L2085" s="711"/>
      <c r="Q2085" s="11"/>
      <c r="R2085" s="11"/>
      <c r="S2085" s="11"/>
      <c r="T2085" s="11"/>
    </row>
    <row r="2086" spans="8:20" x14ac:dyDescent="0.35">
      <c r="H2086" s="711"/>
      <c r="I2086" s="711"/>
      <c r="J2086" s="711"/>
      <c r="K2086" s="711"/>
      <c r="L2086" s="711"/>
      <c r="Q2086" s="11"/>
      <c r="R2086" s="11"/>
      <c r="S2086" s="11"/>
      <c r="T2086" s="11"/>
    </row>
    <row r="2087" spans="8:20" x14ac:dyDescent="0.35">
      <c r="H2087" s="711"/>
      <c r="I2087" s="711"/>
      <c r="J2087" s="711"/>
      <c r="K2087" s="711"/>
      <c r="L2087" s="711"/>
      <c r="Q2087" s="11"/>
      <c r="R2087" s="11"/>
      <c r="S2087" s="11"/>
      <c r="T2087" s="11"/>
    </row>
    <row r="2088" spans="8:20" x14ac:dyDescent="0.35">
      <c r="H2088" s="711"/>
      <c r="I2088" s="711"/>
      <c r="J2088" s="711"/>
      <c r="K2088" s="711"/>
      <c r="L2088" s="711"/>
      <c r="Q2088" s="11"/>
      <c r="R2088" s="11"/>
      <c r="S2088" s="11"/>
      <c r="T2088" s="11"/>
    </row>
    <row r="2089" spans="8:20" x14ac:dyDescent="0.35">
      <c r="H2089" s="711"/>
      <c r="I2089" s="711"/>
      <c r="J2089" s="711"/>
      <c r="K2089" s="711"/>
      <c r="L2089" s="711"/>
      <c r="Q2089" s="11"/>
      <c r="R2089" s="11"/>
      <c r="S2089" s="11"/>
      <c r="T2089" s="11"/>
    </row>
    <row r="2090" spans="8:20" x14ac:dyDescent="0.35">
      <c r="H2090" s="711"/>
      <c r="I2090" s="711"/>
      <c r="J2090" s="711"/>
      <c r="K2090" s="711"/>
      <c r="L2090" s="711"/>
      <c r="Q2090" s="11"/>
      <c r="R2090" s="11"/>
      <c r="S2090" s="11"/>
      <c r="T2090" s="11"/>
    </row>
    <row r="2091" spans="8:20" x14ac:dyDescent="0.35">
      <c r="H2091" s="711"/>
      <c r="I2091" s="711"/>
      <c r="J2091" s="711"/>
      <c r="K2091" s="711"/>
      <c r="L2091" s="711"/>
      <c r="Q2091" s="11"/>
      <c r="R2091" s="11"/>
      <c r="S2091" s="11"/>
      <c r="T2091" s="11"/>
    </row>
    <row r="2092" spans="8:20" x14ac:dyDescent="0.35">
      <c r="H2092" s="711"/>
      <c r="I2092" s="711"/>
      <c r="J2092" s="711"/>
      <c r="K2092" s="711"/>
      <c r="L2092" s="711"/>
      <c r="Q2092" s="11"/>
      <c r="R2092" s="11"/>
      <c r="S2092" s="11"/>
      <c r="T2092" s="11"/>
    </row>
    <row r="2093" spans="8:20" x14ac:dyDescent="0.35">
      <c r="H2093" s="711"/>
      <c r="I2093" s="711"/>
      <c r="J2093" s="711"/>
      <c r="K2093" s="711"/>
      <c r="L2093" s="711"/>
      <c r="Q2093" s="11"/>
      <c r="R2093" s="11"/>
      <c r="S2093" s="11"/>
      <c r="T2093" s="11"/>
    </row>
    <row r="2094" spans="8:20" x14ac:dyDescent="0.35">
      <c r="H2094" s="711"/>
      <c r="I2094" s="711"/>
      <c r="J2094" s="711"/>
      <c r="K2094" s="711"/>
      <c r="L2094" s="711"/>
      <c r="Q2094" s="11"/>
      <c r="R2094" s="11"/>
      <c r="S2094" s="11"/>
      <c r="T2094" s="11"/>
    </row>
    <row r="2095" spans="8:20" x14ac:dyDescent="0.35">
      <c r="H2095" s="711"/>
      <c r="I2095" s="711"/>
      <c r="J2095" s="711"/>
      <c r="K2095" s="711"/>
      <c r="L2095" s="711"/>
      <c r="Q2095" s="11"/>
      <c r="R2095" s="11"/>
      <c r="S2095" s="11"/>
      <c r="T2095" s="11"/>
    </row>
    <row r="2096" spans="8:20" x14ac:dyDescent="0.35">
      <c r="H2096" s="711"/>
      <c r="I2096" s="711"/>
      <c r="J2096" s="711"/>
      <c r="K2096" s="711"/>
      <c r="L2096" s="711"/>
      <c r="Q2096" s="11"/>
      <c r="R2096" s="11"/>
      <c r="S2096" s="11"/>
      <c r="T2096" s="11"/>
    </row>
    <row r="2097" spans="8:20" x14ac:dyDescent="0.35">
      <c r="H2097" s="711"/>
      <c r="I2097" s="711"/>
      <c r="J2097" s="711"/>
      <c r="K2097" s="711"/>
      <c r="L2097" s="711"/>
      <c r="Q2097" s="11"/>
      <c r="R2097" s="11"/>
      <c r="S2097" s="11"/>
      <c r="T2097" s="11"/>
    </row>
    <row r="2098" spans="8:20" x14ac:dyDescent="0.35">
      <c r="H2098" s="711"/>
      <c r="I2098" s="711"/>
      <c r="J2098" s="711"/>
      <c r="K2098" s="711"/>
      <c r="L2098" s="711"/>
      <c r="Q2098" s="11"/>
      <c r="R2098" s="11"/>
      <c r="S2098" s="11"/>
      <c r="T2098" s="11"/>
    </row>
    <row r="2099" spans="8:20" x14ac:dyDescent="0.35">
      <c r="H2099" s="711"/>
      <c r="I2099" s="711"/>
      <c r="J2099" s="711"/>
      <c r="K2099" s="711"/>
      <c r="L2099" s="711"/>
      <c r="Q2099" s="11"/>
      <c r="R2099" s="11"/>
      <c r="S2099" s="11"/>
      <c r="T2099" s="11"/>
    </row>
    <row r="2100" spans="8:20" x14ac:dyDescent="0.35">
      <c r="H2100" s="711"/>
      <c r="I2100" s="711"/>
      <c r="J2100" s="711"/>
      <c r="K2100" s="711"/>
      <c r="L2100" s="711"/>
      <c r="Q2100" s="11"/>
      <c r="R2100" s="11"/>
      <c r="S2100" s="11"/>
      <c r="T2100" s="11"/>
    </row>
    <row r="2101" spans="8:20" x14ac:dyDescent="0.35">
      <c r="H2101" s="711"/>
      <c r="I2101" s="711"/>
      <c r="J2101" s="711"/>
      <c r="K2101" s="711"/>
      <c r="L2101" s="711"/>
      <c r="Q2101" s="11"/>
      <c r="R2101" s="11"/>
      <c r="S2101" s="11"/>
      <c r="T2101" s="11"/>
    </row>
    <row r="2102" spans="8:20" x14ac:dyDescent="0.35">
      <c r="H2102" s="711"/>
      <c r="I2102" s="711"/>
      <c r="J2102" s="711"/>
      <c r="K2102" s="711"/>
      <c r="L2102" s="711"/>
      <c r="Q2102" s="11"/>
      <c r="R2102" s="11"/>
      <c r="S2102" s="11"/>
      <c r="T2102" s="11"/>
    </row>
    <row r="2103" spans="8:20" x14ac:dyDescent="0.35">
      <c r="H2103" s="711"/>
      <c r="I2103" s="711"/>
      <c r="J2103" s="711"/>
      <c r="K2103" s="711"/>
      <c r="L2103" s="711"/>
      <c r="Q2103" s="11"/>
      <c r="R2103" s="11"/>
      <c r="S2103" s="11"/>
      <c r="T2103" s="11"/>
    </row>
    <row r="2104" spans="8:20" x14ac:dyDescent="0.35">
      <c r="H2104" s="711"/>
      <c r="I2104" s="711"/>
      <c r="J2104" s="711"/>
      <c r="K2104" s="711"/>
      <c r="L2104" s="711"/>
      <c r="Q2104" s="11"/>
      <c r="R2104" s="11"/>
      <c r="S2104" s="11"/>
      <c r="T2104" s="11"/>
    </row>
    <row r="2105" spans="8:20" x14ac:dyDescent="0.35">
      <c r="H2105" s="711"/>
      <c r="I2105" s="711"/>
      <c r="J2105" s="711"/>
      <c r="K2105" s="711"/>
      <c r="L2105" s="711"/>
      <c r="Q2105" s="11"/>
      <c r="R2105" s="11"/>
      <c r="S2105" s="11"/>
      <c r="T2105" s="11"/>
    </row>
    <row r="2106" spans="8:20" x14ac:dyDescent="0.35">
      <c r="H2106" s="711"/>
      <c r="I2106" s="711"/>
      <c r="J2106" s="711"/>
      <c r="K2106" s="711"/>
      <c r="L2106" s="711"/>
      <c r="Q2106" s="11"/>
      <c r="R2106" s="11"/>
      <c r="S2106" s="11"/>
      <c r="T2106" s="11"/>
    </row>
    <row r="2107" spans="8:20" x14ac:dyDescent="0.35">
      <c r="H2107" s="711"/>
      <c r="I2107" s="711"/>
      <c r="J2107" s="711"/>
      <c r="K2107" s="711"/>
      <c r="L2107" s="711"/>
      <c r="Q2107" s="11"/>
      <c r="R2107" s="11"/>
      <c r="S2107" s="11"/>
      <c r="T2107" s="11"/>
    </row>
    <row r="2108" spans="8:20" x14ac:dyDescent="0.35">
      <c r="H2108" s="711"/>
      <c r="I2108" s="711"/>
      <c r="J2108" s="711"/>
      <c r="K2108" s="711"/>
      <c r="L2108" s="711"/>
      <c r="Q2108" s="11"/>
      <c r="R2108" s="11"/>
      <c r="S2108" s="11"/>
      <c r="T2108" s="11"/>
    </row>
    <row r="2109" spans="8:20" x14ac:dyDescent="0.35">
      <c r="H2109" s="711"/>
      <c r="I2109" s="711"/>
      <c r="J2109" s="711"/>
      <c r="K2109" s="711"/>
      <c r="L2109" s="711"/>
      <c r="Q2109" s="11"/>
      <c r="R2109" s="11"/>
      <c r="S2109" s="11"/>
      <c r="T2109" s="11"/>
    </row>
    <row r="2110" spans="8:20" x14ac:dyDescent="0.35">
      <c r="H2110" s="711"/>
      <c r="I2110" s="711"/>
      <c r="J2110" s="711"/>
      <c r="K2110" s="711"/>
      <c r="L2110" s="711"/>
      <c r="Q2110" s="11"/>
      <c r="R2110" s="11"/>
      <c r="S2110" s="11"/>
      <c r="T2110" s="11"/>
    </row>
    <row r="2111" spans="8:20" x14ac:dyDescent="0.35">
      <c r="H2111" s="711"/>
      <c r="I2111" s="711"/>
      <c r="J2111" s="711"/>
      <c r="K2111" s="711"/>
      <c r="L2111" s="711"/>
      <c r="Q2111" s="11"/>
      <c r="R2111" s="11"/>
      <c r="S2111" s="11"/>
      <c r="T2111" s="11"/>
    </row>
    <row r="2112" spans="8:20" x14ac:dyDescent="0.35">
      <c r="H2112" s="711"/>
      <c r="I2112" s="711"/>
      <c r="J2112" s="711"/>
      <c r="K2112" s="711"/>
      <c r="L2112" s="711"/>
      <c r="Q2112" s="11"/>
      <c r="R2112" s="11"/>
      <c r="S2112" s="11"/>
      <c r="T2112" s="11"/>
    </row>
    <row r="2113" spans="8:20" x14ac:dyDescent="0.35">
      <c r="H2113" s="711"/>
      <c r="I2113" s="711"/>
      <c r="J2113" s="711"/>
      <c r="K2113" s="711"/>
      <c r="L2113" s="711"/>
      <c r="Q2113" s="11"/>
      <c r="R2113" s="11"/>
      <c r="S2113" s="11"/>
      <c r="T2113" s="11"/>
    </row>
    <row r="2114" spans="8:20" x14ac:dyDescent="0.35">
      <c r="H2114" s="711"/>
      <c r="I2114" s="711"/>
      <c r="J2114" s="711"/>
      <c r="K2114" s="711"/>
      <c r="L2114" s="711"/>
      <c r="Q2114" s="11"/>
      <c r="R2114" s="11"/>
      <c r="S2114" s="11"/>
      <c r="T2114" s="11"/>
    </row>
    <row r="2115" spans="8:20" x14ac:dyDescent="0.35">
      <c r="H2115" s="711"/>
      <c r="I2115" s="711"/>
      <c r="J2115" s="711"/>
      <c r="K2115" s="711"/>
      <c r="L2115" s="711"/>
      <c r="Q2115" s="11"/>
      <c r="R2115" s="11"/>
      <c r="S2115" s="11"/>
      <c r="T2115" s="11"/>
    </row>
    <row r="2116" spans="8:20" x14ac:dyDescent="0.35">
      <c r="H2116" s="711"/>
      <c r="I2116" s="711"/>
      <c r="J2116" s="711"/>
      <c r="K2116" s="711"/>
      <c r="L2116" s="711"/>
      <c r="Q2116" s="11"/>
      <c r="R2116" s="11"/>
      <c r="S2116" s="11"/>
      <c r="T2116" s="11"/>
    </row>
    <row r="2117" spans="8:20" x14ac:dyDescent="0.35">
      <c r="H2117" s="711"/>
      <c r="I2117" s="711"/>
      <c r="J2117" s="711"/>
      <c r="K2117" s="711"/>
      <c r="L2117" s="711"/>
      <c r="Q2117" s="11"/>
      <c r="R2117" s="11"/>
      <c r="S2117" s="11"/>
      <c r="T2117" s="11"/>
    </row>
    <row r="2118" spans="8:20" x14ac:dyDescent="0.35">
      <c r="H2118" s="711"/>
      <c r="I2118" s="711"/>
      <c r="J2118" s="711"/>
      <c r="K2118" s="711"/>
      <c r="L2118" s="711"/>
      <c r="Q2118" s="11"/>
      <c r="R2118" s="11"/>
      <c r="S2118" s="11"/>
      <c r="T2118" s="11"/>
    </row>
    <row r="2119" spans="8:20" x14ac:dyDescent="0.35">
      <c r="H2119" s="711"/>
      <c r="I2119" s="711"/>
      <c r="J2119" s="711"/>
      <c r="K2119" s="711"/>
      <c r="L2119" s="711"/>
      <c r="Q2119" s="11"/>
      <c r="R2119" s="11"/>
      <c r="S2119" s="11"/>
      <c r="T2119" s="11"/>
    </row>
    <row r="2120" spans="8:20" x14ac:dyDescent="0.35">
      <c r="H2120" s="711"/>
      <c r="I2120" s="711"/>
      <c r="J2120" s="711"/>
      <c r="K2120" s="711"/>
      <c r="L2120" s="711"/>
      <c r="Q2120" s="11"/>
      <c r="R2120" s="11"/>
      <c r="S2120" s="11"/>
      <c r="T2120" s="11"/>
    </row>
    <row r="2121" spans="8:20" x14ac:dyDescent="0.35">
      <c r="H2121" s="711"/>
      <c r="I2121" s="711"/>
      <c r="J2121" s="711"/>
      <c r="K2121" s="711"/>
      <c r="L2121" s="711"/>
      <c r="Q2121" s="11"/>
      <c r="R2121" s="11"/>
      <c r="S2121" s="11"/>
      <c r="T2121" s="11"/>
    </row>
    <row r="2122" spans="8:20" x14ac:dyDescent="0.35">
      <c r="H2122" s="711"/>
      <c r="I2122" s="711"/>
      <c r="J2122" s="711"/>
      <c r="K2122" s="711"/>
      <c r="L2122" s="711"/>
      <c r="Q2122" s="11"/>
      <c r="R2122" s="11"/>
      <c r="S2122" s="11"/>
      <c r="T2122" s="11"/>
    </row>
    <row r="2123" spans="8:20" x14ac:dyDescent="0.35">
      <c r="H2123" s="711"/>
      <c r="I2123" s="711"/>
      <c r="J2123" s="711"/>
      <c r="K2123" s="711"/>
      <c r="L2123" s="711"/>
      <c r="Q2123" s="11"/>
      <c r="R2123" s="11"/>
      <c r="S2123" s="11"/>
      <c r="T2123" s="11"/>
    </row>
    <row r="2124" spans="8:20" x14ac:dyDescent="0.35">
      <c r="H2124" s="711"/>
      <c r="I2124" s="711"/>
      <c r="J2124" s="711"/>
      <c r="K2124" s="711"/>
      <c r="L2124" s="711"/>
      <c r="Q2124" s="11"/>
      <c r="R2124" s="11"/>
      <c r="S2124" s="11"/>
      <c r="T2124" s="11"/>
    </row>
    <row r="2125" spans="8:20" x14ac:dyDescent="0.35">
      <c r="H2125" s="711"/>
      <c r="I2125" s="711"/>
      <c r="J2125" s="711"/>
      <c r="K2125" s="711"/>
      <c r="L2125" s="711"/>
      <c r="Q2125" s="11"/>
      <c r="R2125" s="11"/>
      <c r="S2125" s="11"/>
      <c r="T2125" s="11"/>
    </row>
    <row r="2126" spans="8:20" x14ac:dyDescent="0.35">
      <c r="H2126" s="711"/>
      <c r="I2126" s="711"/>
      <c r="J2126" s="711"/>
      <c r="K2126" s="711"/>
      <c r="L2126" s="711"/>
      <c r="Q2126" s="11"/>
      <c r="R2126" s="11"/>
      <c r="S2126" s="11"/>
      <c r="T2126" s="11"/>
    </row>
    <row r="2127" spans="8:20" x14ac:dyDescent="0.35">
      <c r="H2127" s="711"/>
      <c r="I2127" s="711"/>
      <c r="J2127" s="711"/>
      <c r="K2127" s="711"/>
      <c r="L2127" s="711"/>
      <c r="Q2127" s="11"/>
      <c r="R2127" s="11"/>
      <c r="S2127" s="11"/>
      <c r="T2127" s="11"/>
    </row>
    <row r="2128" spans="8:20" x14ac:dyDescent="0.35">
      <c r="H2128" s="711"/>
      <c r="I2128" s="711"/>
      <c r="J2128" s="711"/>
      <c r="K2128" s="711"/>
      <c r="L2128" s="711"/>
      <c r="Q2128" s="11"/>
      <c r="R2128" s="11"/>
      <c r="S2128" s="11"/>
      <c r="T2128" s="11"/>
    </row>
    <row r="2129" spans="8:20" x14ac:dyDescent="0.35">
      <c r="H2129" s="711"/>
      <c r="I2129" s="711"/>
      <c r="J2129" s="711"/>
      <c r="K2129" s="711"/>
      <c r="L2129" s="711"/>
      <c r="Q2129" s="11"/>
      <c r="R2129" s="11"/>
      <c r="S2129" s="11"/>
      <c r="T2129" s="11"/>
    </row>
    <row r="2130" spans="8:20" x14ac:dyDescent="0.35">
      <c r="H2130" s="711"/>
      <c r="I2130" s="711"/>
      <c r="J2130" s="711"/>
      <c r="K2130" s="711"/>
      <c r="L2130" s="711"/>
      <c r="Q2130" s="11"/>
      <c r="R2130" s="11"/>
      <c r="S2130" s="11"/>
      <c r="T2130" s="11"/>
    </row>
    <row r="2131" spans="8:20" x14ac:dyDescent="0.35">
      <c r="H2131" s="711"/>
      <c r="I2131" s="711"/>
      <c r="J2131" s="711"/>
      <c r="K2131" s="711"/>
      <c r="L2131" s="711"/>
      <c r="Q2131" s="11"/>
      <c r="R2131" s="11"/>
      <c r="S2131" s="11"/>
      <c r="T2131" s="11"/>
    </row>
    <row r="2132" spans="8:20" x14ac:dyDescent="0.35">
      <c r="H2132" s="711"/>
      <c r="I2132" s="711"/>
      <c r="J2132" s="711"/>
      <c r="K2132" s="711"/>
      <c r="L2132" s="711"/>
      <c r="Q2132" s="11"/>
      <c r="R2132" s="11"/>
      <c r="S2132" s="11"/>
      <c r="T2132" s="11"/>
    </row>
    <row r="2133" spans="8:20" x14ac:dyDescent="0.35">
      <c r="H2133" s="711"/>
      <c r="I2133" s="711"/>
      <c r="J2133" s="711"/>
      <c r="K2133" s="711"/>
      <c r="L2133" s="711"/>
      <c r="Q2133" s="11"/>
      <c r="R2133" s="11"/>
      <c r="S2133" s="11"/>
      <c r="T2133" s="11"/>
    </row>
    <row r="2134" spans="8:20" x14ac:dyDescent="0.35">
      <c r="H2134" s="711"/>
      <c r="I2134" s="711"/>
      <c r="J2134" s="711"/>
      <c r="K2134" s="711"/>
      <c r="L2134" s="711"/>
      <c r="Q2134" s="11"/>
      <c r="R2134" s="11"/>
      <c r="S2134" s="11"/>
      <c r="T2134" s="11"/>
    </row>
    <row r="2135" spans="8:20" x14ac:dyDescent="0.35">
      <c r="H2135" s="711"/>
      <c r="I2135" s="711"/>
      <c r="J2135" s="711"/>
      <c r="K2135" s="711"/>
      <c r="L2135" s="711"/>
      <c r="Q2135" s="11"/>
      <c r="R2135" s="11"/>
      <c r="S2135" s="11"/>
      <c r="T2135" s="11"/>
    </row>
    <row r="2136" spans="8:20" x14ac:dyDescent="0.35">
      <c r="H2136" s="711"/>
      <c r="I2136" s="711"/>
      <c r="J2136" s="711"/>
      <c r="K2136" s="711"/>
      <c r="L2136" s="711"/>
      <c r="Q2136" s="11"/>
      <c r="R2136" s="11"/>
      <c r="S2136" s="11"/>
      <c r="T2136" s="11"/>
    </row>
    <row r="2137" spans="8:20" x14ac:dyDescent="0.35">
      <c r="H2137" s="711"/>
      <c r="I2137" s="711"/>
      <c r="J2137" s="711"/>
      <c r="K2137" s="711"/>
      <c r="L2137" s="711"/>
      <c r="Q2137" s="11"/>
      <c r="R2137" s="11"/>
      <c r="S2137" s="11"/>
      <c r="T2137" s="11"/>
    </row>
    <row r="2138" spans="8:20" x14ac:dyDescent="0.35">
      <c r="H2138" s="711"/>
      <c r="I2138" s="711"/>
      <c r="J2138" s="711"/>
      <c r="K2138" s="711"/>
      <c r="L2138" s="711"/>
      <c r="Q2138" s="11"/>
      <c r="R2138" s="11"/>
      <c r="S2138" s="11"/>
      <c r="T2138" s="11"/>
    </row>
    <row r="2139" spans="8:20" x14ac:dyDescent="0.35">
      <c r="H2139" s="711"/>
      <c r="I2139" s="711"/>
      <c r="J2139" s="711"/>
      <c r="K2139" s="711"/>
      <c r="L2139" s="711"/>
      <c r="Q2139" s="11"/>
      <c r="R2139" s="11"/>
      <c r="S2139" s="11"/>
      <c r="T2139" s="11"/>
    </row>
    <row r="2140" spans="8:20" x14ac:dyDescent="0.35">
      <c r="H2140" s="711"/>
      <c r="I2140" s="711"/>
      <c r="J2140" s="711"/>
      <c r="K2140" s="711"/>
      <c r="L2140" s="711"/>
      <c r="Q2140" s="11"/>
      <c r="R2140" s="11"/>
      <c r="S2140" s="11"/>
      <c r="T2140" s="11"/>
    </row>
    <row r="2141" spans="8:20" x14ac:dyDescent="0.35">
      <c r="H2141" s="711"/>
      <c r="I2141" s="711"/>
      <c r="J2141" s="711"/>
      <c r="K2141" s="711"/>
      <c r="L2141" s="711"/>
      <c r="Q2141" s="11"/>
      <c r="R2141" s="11"/>
      <c r="S2141" s="11"/>
      <c r="T2141" s="11"/>
    </row>
    <row r="2142" spans="8:20" x14ac:dyDescent="0.35">
      <c r="H2142" s="711"/>
      <c r="I2142" s="711"/>
      <c r="J2142" s="711"/>
      <c r="K2142" s="711"/>
      <c r="L2142" s="711"/>
      <c r="Q2142" s="11"/>
      <c r="R2142" s="11"/>
      <c r="S2142" s="11"/>
      <c r="T2142" s="11"/>
    </row>
    <row r="2143" spans="8:20" x14ac:dyDescent="0.35">
      <c r="H2143" s="711"/>
      <c r="I2143" s="711"/>
      <c r="J2143" s="711"/>
      <c r="K2143" s="711"/>
      <c r="L2143" s="711"/>
      <c r="Q2143" s="11"/>
      <c r="R2143" s="11"/>
      <c r="S2143" s="11"/>
      <c r="T2143" s="11"/>
    </row>
    <row r="2144" spans="8:20" x14ac:dyDescent="0.35">
      <c r="H2144" s="711"/>
      <c r="I2144" s="711"/>
      <c r="J2144" s="711"/>
      <c r="K2144" s="711"/>
      <c r="L2144" s="711"/>
      <c r="Q2144" s="11"/>
      <c r="R2144" s="11"/>
      <c r="S2144" s="11"/>
      <c r="T2144" s="11"/>
    </row>
    <row r="2145" spans="8:20" x14ac:dyDescent="0.35">
      <c r="H2145" s="711"/>
      <c r="I2145" s="711"/>
      <c r="J2145" s="711"/>
      <c r="K2145" s="711"/>
      <c r="L2145" s="711"/>
      <c r="Q2145" s="11"/>
      <c r="R2145" s="11"/>
      <c r="S2145" s="11"/>
      <c r="T2145" s="11"/>
    </row>
    <row r="2146" spans="8:20" x14ac:dyDescent="0.35">
      <c r="H2146" s="711"/>
      <c r="I2146" s="711"/>
      <c r="J2146" s="711"/>
      <c r="K2146" s="711"/>
      <c r="L2146" s="711"/>
      <c r="Q2146" s="11"/>
      <c r="R2146" s="11"/>
      <c r="S2146" s="11"/>
      <c r="T2146" s="11"/>
    </row>
    <row r="2147" spans="8:20" x14ac:dyDescent="0.35">
      <c r="H2147" s="711"/>
      <c r="I2147" s="711"/>
      <c r="J2147" s="711"/>
      <c r="K2147" s="711"/>
      <c r="L2147" s="711"/>
      <c r="Q2147" s="11"/>
      <c r="R2147" s="11"/>
      <c r="S2147" s="11"/>
      <c r="T2147" s="11"/>
    </row>
    <row r="2148" spans="8:20" x14ac:dyDescent="0.35">
      <c r="H2148" s="711"/>
      <c r="I2148" s="711"/>
      <c r="J2148" s="711"/>
      <c r="K2148" s="711"/>
      <c r="L2148" s="711"/>
      <c r="Q2148" s="11"/>
      <c r="R2148" s="11"/>
      <c r="S2148" s="11"/>
      <c r="T2148" s="11"/>
    </row>
    <row r="2149" spans="8:20" x14ac:dyDescent="0.35">
      <c r="H2149" s="711"/>
      <c r="I2149" s="711"/>
      <c r="J2149" s="711"/>
      <c r="K2149" s="711"/>
      <c r="L2149" s="711"/>
      <c r="Q2149" s="11"/>
      <c r="R2149" s="11"/>
      <c r="S2149" s="11"/>
      <c r="T2149" s="11"/>
    </row>
    <row r="2150" spans="8:20" x14ac:dyDescent="0.35">
      <c r="H2150" s="711"/>
      <c r="I2150" s="711"/>
      <c r="J2150" s="711"/>
      <c r="K2150" s="711"/>
      <c r="L2150" s="711"/>
      <c r="Q2150" s="11"/>
      <c r="R2150" s="11"/>
      <c r="S2150" s="11"/>
      <c r="T2150" s="11"/>
    </row>
    <row r="2151" spans="8:20" x14ac:dyDescent="0.35">
      <c r="H2151" s="711"/>
      <c r="I2151" s="711"/>
      <c r="J2151" s="711"/>
      <c r="K2151" s="711"/>
      <c r="L2151" s="711"/>
      <c r="Q2151" s="11"/>
      <c r="R2151" s="11"/>
      <c r="S2151" s="11"/>
      <c r="T2151" s="11"/>
    </row>
    <row r="2152" spans="8:20" x14ac:dyDescent="0.35">
      <c r="H2152" s="711"/>
      <c r="I2152" s="711"/>
      <c r="J2152" s="711"/>
      <c r="K2152" s="711"/>
      <c r="L2152" s="711"/>
      <c r="Q2152" s="11"/>
      <c r="R2152" s="11"/>
      <c r="S2152" s="11"/>
      <c r="T2152" s="11"/>
    </row>
    <row r="2153" spans="8:20" x14ac:dyDescent="0.35">
      <c r="H2153" s="711"/>
      <c r="I2153" s="711"/>
      <c r="J2153" s="711"/>
      <c r="K2153" s="711"/>
      <c r="L2153" s="711"/>
      <c r="Q2153" s="11"/>
      <c r="R2153" s="11"/>
      <c r="S2153" s="11"/>
      <c r="T2153" s="11"/>
    </row>
    <row r="2154" spans="8:20" x14ac:dyDescent="0.35">
      <c r="H2154" s="711"/>
      <c r="I2154" s="711"/>
      <c r="J2154" s="711"/>
      <c r="K2154" s="711"/>
      <c r="L2154" s="711"/>
      <c r="Q2154" s="11"/>
      <c r="R2154" s="11"/>
      <c r="S2154" s="11"/>
      <c r="T2154" s="11"/>
    </row>
    <row r="2155" spans="8:20" x14ac:dyDescent="0.35">
      <c r="H2155" s="711"/>
      <c r="I2155" s="711"/>
      <c r="J2155" s="711"/>
      <c r="K2155" s="711"/>
      <c r="L2155" s="711"/>
      <c r="Q2155" s="11"/>
      <c r="R2155" s="11"/>
      <c r="S2155" s="11"/>
      <c r="T2155" s="11"/>
    </row>
    <row r="2156" spans="8:20" x14ac:dyDescent="0.35">
      <c r="H2156" s="711"/>
      <c r="I2156" s="711"/>
      <c r="J2156" s="711"/>
      <c r="K2156" s="711"/>
      <c r="L2156" s="711"/>
      <c r="Q2156" s="11"/>
      <c r="R2156" s="11"/>
      <c r="S2156" s="11"/>
      <c r="T2156" s="11"/>
    </row>
    <row r="2157" spans="8:20" x14ac:dyDescent="0.35">
      <c r="H2157" s="711"/>
      <c r="I2157" s="711"/>
      <c r="J2157" s="711"/>
      <c r="K2157" s="711"/>
      <c r="L2157" s="711"/>
      <c r="Q2157" s="11"/>
      <c r="R2157" s="11"/>
      <c r="S2157" s="11"/>
      <c r="T2157" s="11"/>
    </row>
    <row r="2158" spans="8:20" x14ac:dyDescent="0.35">
      <c r="H2158" s="711"/>
      <c r="I2158" s="711"/>
      <c r="J2158" s="711"/>
      <c r="K2158" s="711"/>
      <c r="L2158" s="711"/>
      <c r="Q2158" s="11"/>
      <c r="R2158" s="11"/>
      <c r="S2158" s="11"/>
      <c r="T2158" s="11"/>
    </row>
    <row r="2159" spans="8:20" x14ac:dyDescent="0.35">
      <c r="H2159" s="711"/>
      <c r="I2159" s="711"/>
      <c r="J2159" s="711"/>
      <c r="K2159" s="711"/>
      <c r="L2159" s="711"/>
      <c r="Q2159" s="11"/>
      <c r="R2159" s="11"/>
      <c r="S2159" s="11"/>
      <c r="T2159" s="11"/>
    </row>
    <row r="2160" spans="8:20" x14ac:dyDescent="0.35">
      <c r="H2160" s="711"/>
      <c r="I2160" s="711"/>
      <c r="J2160" s="711"/>
      <c r="K2160" s="711"/>
      <c r="L2160" s="711"/>
      <c r="Q2160" s="11"/>
      <c r="R2160" s="11"/>
      <c r="S2160" s="11"/>
      <c r="T2160" s="11"/>
    </row>
    <row r="2161" spans="8:20" x14ac:dyDescent="0.35">
      <c r="H2161" s="711"/>
      <c r="I2161" s="711"/>
      <c r="J2161" s="711"/>
      <c r="K2161" s="711"/>
      <c r="L2161" s="711"/>
      <c r="Q2161" s="11"/>
      <c r="R2161" s="11"/>
      <c r="S2161" s="11"/>
      <c r="T2161" s="11"/>
    </row>
    <row r="2162" spans="8:20" x14ac:dyDescent="0.35">
      <c r="H2162" s="711"/>
      <c r="I2162" s="711"/>
      <c r="J2162" s="711"/>
      <c r="K2162" s="711"/>
      <c r="L2162" s="711"/>
      <c r="Q2162" s="11"/>
      <c r="R2162" s="11"/>
      <c r="S2162" s="11"/>
      <c r="T2162" s="11"/>
    </row>
    <row r="2163" spans="8:20" x14ac:dyDescent="0.35">
      <c r="H2163" s="711"/>
      <c r="I2163" s="711"/>
      <c r="J2163" s="711"/>
      <c r="K2163" s="711"/>
      <c r="L2163" s="711"/>
      <c r="Q2163" s="11"/>
      <c r="R2163" s="11"/>
      <c r="S2163" s="11"/>
      <c r="T2163" s="11"/>
    </row>
    <row r="2164" spans="8:20" x14ac:dyDescent="0.35">
      <c r="H2164" s="711"/>
      <c r="I2164" s="711"/>
      <c r="J2164" s="711"/>
      <c r="K2164" s="711"/>
      <c r="L2164" s="711"/>
      <c r="Q2164" s="11"/>
      <c r="R2164" s="11"/>
      <c r="S2164" s="11"/>
      <c r="T2164" s="11"/>
    </row>
    <row r="2165" spans="8:20" x14ac:dyDescent="0.35">
      <c r="H2165" s="711"/>
      <c r="I2165" s="711"/>
      <c r="J2165" s="711"/>
      <c r="K2165" s="711"/>
      <c r="L2165" s="711"/>
      <c r="Q2165" s="11"/>
      <c r="R2165" s="11"/>
      <c r="S2165" s="11"/>
      <c r="T2165" s="11"/>
    </row>
    <row r="2166" spans="8:20" x14ac:dyDescent="0.35">
      <c r="H2166" s="711"/>
      <c r="I2166" s="711"/>
      <c r="J2166" s="711"/>
      <c r="K2166" s="711"/>
      <c r="L2166" s="711"/>
      <c r="Q2166" s="11"/>
      <c r="R2166" s="11"/>
      <c r="S2166" s="11"/>
      <c r="T2166" s="11"/>
    </row>
    <row r="2167" spans="8:20" x14ac:dyDescent="0.35">
      <c r="H2167" s="711"/>
      <c r="I2167" s="711"/>
      <c r="J2167" s="711"/>
      <c r="K2167" s="711"/>
      <c r="L2167" s="711"/>
      <c r="Q2167" s="11"/>
      <c r="R2167" s="11"/>
      <c r="S2167" s="11"/>
      <c r="T2167" s="11"/>
    </row>
    <row r="2168" spans="8:20" x14ac:dyDescent="0.35">
      <c r="H2168" s="711"/>
      <c r="I2168" s="711"/>
      <c r="J2168" s="711"/>
      <c r="K2168" s="711"/>
      <c r="L2168" s="711"/>
      <c r="Q2168" s="11"/>
      <c r="R2168" s="11"/>
      <c r="S2168" s="11"/>
      <c r="T2168" s="11"/>
    </row>
    <row r="2169" spans="8:20" x14ac:dyDescent="0.35">
      <c r="H2169" s="711"/>
      <c r="I2169" s="711"/>
      <c r="J2169" s="711"/>
      <c r="K2169" s="711"/>
      <c r="L2169" s="711"/>
      <c r="Q2169" s="11"/>
      <c r="R2169" s="11"/>
      <c r="S2169" s="11"/>
      <c r="T2169" s="11"/>
    </row>
    <row r="2170" spans="8:20" x14ac:dyDescent="0.35">
      <c r="H2170" s="711"/>
      <c r="I2170" s="711"/>
      <c r="J2170" s="711"/>
      <c r="K2170" s="711"/>
      <c r="L2170" s="711"/>
      <c r="Q2170" s="11"/>
      <c r="R2170" s="11"/>
      <c r="S2170" s="11"/>
      <c r="T2170" s="11"/>
    </row>
    <row r="2171" spans="8:20" x14ac:dyDescent="0.35">
      <c r="H2171" s="711"/>
      <c r="I2171" s="711"/>
      <c r="J2171" s="711"/>
      <c r="K2171" s="711"/>
      <c r="L2171" s="711"/>
      <c r="Q2171" s="11"/>
      <c r="R2171" s="11"/>
      <c r="S2171" s="11"/>
      <c r="T2171" s="11"/>
    </row>
    <row r="2172" spans="8:20" x14ac:dyDescent="0.35">
      <c r="H2172" s="711"/>
      <c r="I2172" s="711"/>
      <c r="J2172" s="711"/>
      <c r="K2172" s="711"/>
      <c r="L2172" s="711"/>
      <c r="Q2172" s="11"/>
      <c r="R2172" s="11"/>
      <c r="S2172" s="11"/>
      <c r="T2172" s="11"/>
    </row>
    <row r="2173" spans="8:20" x14ac:dyDescent="0.35">
      <c r="H2173" s="711"/>
      <c r="I2173" s="711"/>
      <c r="J2173" s="711"/>
      <c r="K2173" s="711"/>
      <c r="L2173" s="711"/>
      <c r="Q2173" s="11"/>
      <c r="R2173" s="11"/>
      <c r="S2173" s="11"/>
      <c r="T2173" s="11"/>
    </row>
    <row r="2174" spans="8:20" x14ac:dyDescent="0.35">
      <c r="H2174" s="711"/>
      <c r="I2174" s="711"/>
      <c r="J2174" s="711"/>
      <c r="K2174" s="711"/>
      <c r="L2174" s="711"/>
      <c r="Q2174" s="11"/>
      <c r="R2174" s="11"/>
      <c r="S2174" s="11"/>
      <c r="T2174" s="11"/>
    </row>
    <row r="2175" spans="8:20" x14ac:dyDescent="0.35">
      <c r="H2175" s="711"/>
      <c r="I2175" s="711"/>
      <c r="J2175" s="711"/>
      <c r="K2175" s="711"/>
      <c r="L2175" s="711"/>
      <c r="Q2175" s="11"/>
      <c r="R2175" s="11"/>
      <c r="S2175" s="11"/>
      <c r="T2175" s="11"/>
    </row>
    <row r="2176" spans="8:20" x14ac:dyDescent="0.35">
      <c r="H2176" s="711"/>
      <c r="I2176" s="711"/>
      <c r="J2176" s="711"/>
      <c r="K2176" s="711"/>
      <c r="L2176" s="711"/>
      <c r="Q2176" s="11"/>
      <c r="R2176" s="11"/>
      <c r="S2176" s="11"/>
      <c r="T2176" s="11"/>
    </row>
    <row r="2177" spans="8:20" x14ac:dyDescent="0.35">
      <c r="H2177" s="711"/>
      <c r="I2177" s="711"/>
      <c r="J2177" s="711"/>
      <c r="K2177" s="711"/>
      <c r="L2177" s="711"/>
      <c r="Q2177" s="11"/>
      <c r="R2177" s="11"/>
      <c r="S2177" s="11"/>
      <c r="T2177" s="11"/>
    </row>
    <row r="2178" spans="8:20" x14ac:dyDescent="0.35">
      <c r="H2178" s="711"/>
      <c r="I2178" s="711"/>
      <c r="J2178" s="711"/>
      <c r="K2178" s="711"/>
      <c r="L2178" s="711"/>
      <c r="Q2178" s="11"/>
      <c r="R2178" s="11"/>
      <c r="S2178" s="11"/>
      <c r="T2178" s="11"/>
    </row>
    <row r="2179" spans="8:20" x14ac:dyDescent="0.35">
      <c r="H2179" s="711"/>
      <c r="I2179" s="711"/>
      <c r="J2179" s="711"/>
      <c r="K2179" s="711"/>
      <c r="L2179" s="711"/>
      <c r="Q2179" s="11"/>
      <c r="R2179" s="11"/>
      <c r="S2179" s="11"/>
      <c r="T2179" s="11"/>
    </row>
    <row r="2180" spans="8:20" x14ac:dyDescent="0.35">
      <c r="H2180" s="711"/>
      <c r="I2180" s="711"/>
      <c r="J2180" s="711"/>
      <c r="K2180" s="711"/>
      <c r="L2180" s="711"/>
      <c r="Q2180" s="11"/>
      <c r="R2180" s="11"/>
      <c r="S2180" s="11"/>
      <c r="T2180" s="11"/>
    </row>
    <row r="2181" spans="8:20" x14ac:dyDescent="0.35">
      <c r="H2181" s="711"/>
      <c r="I2181" s="711"/>
      <c r="J2181" s="711"/>
      <c r="K2181" s="711"/>
      <c r="L2181" s="711"/>
      <c r="Q2181" s="11"/>
      <c r="R2181" s="11"/>
      <c r="S2181" s="11"/>
      <c r="T2181" s="11"/>
    </row>
    <row r="2182" spans="8:20" x14ac:dyDescent="0.35">
      <c r="H2182" s="711"/>
      <c r="I2182" s="711"/>
      <c r="J2182" s="711"/>
      <c r="K2182" s="711"/>
      <c r="L2182" s="711"/>
      <c r="Q2182" s="11"/>
      <c r="R2182" s="11"/>
      <c r="S2182" s="11"/>
      <c r="T2182" s="11"/>
    </row>
    <row r="2183" spans="8:20" x14ac:dyDescent="0.35">
      <c r="H2183" s="711"/>
      <c r="I2183" s="711"/>
      <c r="J2183" s="711"/>
      <c r="K2183" s="711"/>
      <c r="L2183" s="711"/>
      <c r="Q2183" s="11"/>
      <c r="R2183" s="11"/>
      <c r="S2183" s="11"/>
      <c r="T2183" s="11"/>
    </row>
    <row r="2184" spans="8:20" x14ac:dyDescent="0.35">
      <c r="H2184" s="711"/>
      <c r="I2184" s="711"/>
      <c r="J2184" s="711"/>
      <c r="K2184" s="711"/>
      <c r="L2184" s="711"/>
      <c r="Q2184" s="11"/>
      <c r="R2184" s="11"/>
      <c r="S2184" s="11"/>
      <c r="T2184" s="11"/>
    </row>
    <row r="2185" spans="8:20" x14ac:dyDescent="0.35">
      <c r="H2185" s="711"/>
      <c r="I2185" s="711"/>
      <c r="J2185" s="711"/>
      <c r="K2185" s="711"/>
      <c r="L2185" s="711"/>
      <c r="Q2185" s="11"/>
      <c r="R2185" s="11"/>
      <c r="S2185" s="11"/>
      <c r="T2185" s="11"/>
    </row>
    <row r="2186" spans="8:20" x14ac:dyDescent="0.35">
      <c r="H2186" s="711"/>
      <c r="I2186" s="711"/>
      <c r="J2186" s="711"/>
      <c r="K2186" s="711"/>
      <c r="L2186" s="711"/>
      <c r="Q2186" s="11"/>
      <c r="R2186" s="11"/>
      <c r="S2186" s="11"/>
      <c r="T2186" s="11"/>
    </row>
    <row r="2187" spans="8:20" x14ac:dyDescent="0.35">
      <c r="H2187" s="711"/>
      <c r="I2187" s="711"/>
      <c r="J2187" s="711"/>
      <c r="K2187" s="711"/>
      <c r="L2187" s="711"/>
      <c r="Q2187" s="11"/>
      <c r="R2187" s="11"/>
      <c r="S2187" s="11"/>
      <c r="T2187" s="11"/>
    </row>
    <row r="2188" spans="8:20" x14ac:dyDescent="0.35">
      <c r="H2188" s="711"/>
      <c r="I2188" s="711"/>
      <c r="J2188" s="711"/>
      <c r="K2188" s="711"/>
      <c r="L2188" s="711"/>
      <c r="Q2188" s="11"/>
      <c r="R2188" s="11"/>
      <c r="S2188" s="11"/>
      <c r="T2188" s="11"/>
    </row>
    <row r="2189" spans="8:20" x14ac:dyDescent="0.35">
      <c r="H2189" s="711"/>
      <c r="I2189" s="711"/>
      <c r="J2189" s="711"/>
      <c r="K2189" s="711"/>
      <c r="L2189" s="711"/>
      <c r="Q2189" s="11"/>
      <c r="R2189" s="11"/>
      <c r="S2189" s="11"/>
      <c r="T2189" s="11"/>
    </row>
    <row r="2190" spans="8:20" x14ac:dyDescent="0.35">
      <c r="H2190" s="711"/>
      <c r="I2190" s="711"/>
      <c r="J2190" s="711"/>
      <c r="K2190" s="711"/>
      <c r="L2190" s="711"/>
      <c r="Q2190" s="11"/>
      <c r="R2190" s="11"/>
      <c r="S2190" s="11"/>
      <c r="T2190" s="11"/>
    </row>
    <row r="2191" spans="8:20" x14ac:dyDescent="0.35">
      <c r="H2191" s="711"/>
      <c r="I2191" s="711"/>
      <c r="J2191" s="711"/>
      <c r="K2191" s="711"/>
      <c r="L2191" s="711"/>
      <c r="Q2191" s="11"/>
      <c r="R2191" s="11"/>
      <c r="S2191" s="11"/>
      <c r="T2191" s="11"/>
    </row>
    <row r="2192" spans="8:20" x14ac:dyDescent="0.35">
      <c r="H2192" s="711"/>
      <c r="I2192" s="711"/>
      <c r="J2192" s="711"/>
      <c r="K2192" s="711"/>
      <c r="L2192" s="711"/>
      <c r="Q2192" s="11"/>
      <c r="R2192" s="11"/>
      <c r="S2192" s="11"/>
      <c r="T2192" s="11"/>
    </row>
    <row r="2193" spans="8:20" x14ac:dyDescent="0.35">
      <c r="H2193" s="711"/>
      <c r="I2193" s="711"/>
      <c r="J2193" s="711"/>
      <c r="K2193" s="711"/>
      <c r="L2193" s="711"/>
      <c r="Q2193" s="11"/>
      <c r="R2193" s="11"/>
      <c r="S2193" s="11"/>
      <c r="T2193" s="11"/>
    </row>
    <row r="2194" spans="8:20" x14ac:dyDescent="0.35">
      <c r="H2194" s="711"/>
      <c r="I2194" s="711"/>
      <c r="J2194" s="711"/>
      <c r="K2194" s="711"/>
      <c r="L2194" s="711"/>
      <c r="Q2194" s="11"/>
      <c r="R2194" s="11"/>
      <c r="S2194" s="11"/>
      <c r="T2194" s="11"/>
    </row>
    <row r="2195" spans="8:20" x14ac:dyDescent="0.35">
      <c r="H2195" s="711"/>
      <c r="I2195" s="711"/>
      <c r="J2195" s="711"/>
      <c r="K2195" s="711"/>
      <c r="L2195" s="711"/>
      <c r="Q2195" s="11"/>
      <c r="R2195" s="11"/>
      <c r="S2195" s="11"/>
      <c r="T2195" s="11"/>
    </row>
    <row r="2196" spans="8:20" x14ac:dyDescent="0.35">
      <c r="H2196" s="711"/>
      <c r="I2196" s="711"/>
      <c r="J2196" s="711"/>
      <c r="K2196" s="711"/>
      <c r="L2196" s="711"/>
      <c r="Q2196" s="11"/>
      <c r="R2196" s="11"/>
      <c r="S2196" s="11"/>
      <c r="T2196" s="11"/>
    </row>
    <row r="2197" spans="8:20" x14ac:dyDescent="0.35">
      <c r="H2197" s="711"/>
      <c r="I2197" s="711"/>
      <c r="J2197" s="711"/>
      <c r="K2197" s="711"/>
      <c r="L2197" s="711"/>
      <c r="Q2197" s="11"/>
      <c r="R2197" s="11"/>
      <c r="S2197" s="11"/>
      <c r="T2197" s="11"/>
    </row>
    <row r="2198" spans="8:20" x14ac:dyDescent="0.35">
      <c r="H2198" s="711"/>
      <c r="I2198" s="711"/>
      <c r="J2198" s="711"/>
      <c r="K2198" s="711"/>
      <c r="L2198" s="711"/>
      <c r="Q2198" s="11"/>
      <c r="R2198" s="11"/>
      <c r="S2198" s="11"/>
      <c r="T2198" s="11"/>
    </row>
    <row r="2199" spans="8:20" x14ac:dyDescent="0.35">
      <c r="H2199" s="711"/>
      <c r="I2199" s="711"/>
      <c r="J2199" s="711"/>
      <c r="K2199" s="711"/>
      <c r="L2199" s="711"/>
      <c r="Q2199" s="11"/>
      <c r="R2199" s="11"/>
      <c r="S2199" s="11"/>
      <c r="T2199" s="11"/>
    </row>
    <row r="2200" spans="8:20" x14ac:dyDescent="0.35">
      <c r="H2200" s="711"/>
      <c r="I2200" s="711"/>
      <c r="J2200" s="711"/>
      <c r="K2200" s="711"/>
      <c r="L2200" s="711"/>
      <c r="Q2200" s="11"/>
      <c r="R2200" s="11"/>
      <c r="S2200" s="11"/>
      <c r="T2200" s="11"/>
    </row>
    <row r="2201" spans="8:20" x14ac:dyDescent="0.35">
      <c r="H2201" s="711"/>
      <c r="I2201" s="711"/>
      <c r="J2201" s="711"/>
      <c r="K2201" s="711"/>
      <c r="L2201" s="711"/>
      <c r="Q2201" s="11"/>
      <c r="R2201" s="11"/>
      <c r="S2201" s="11"/>
      <c r="T2201" s="11"/>
    </row>
    <row r="2202" spans="8:20" x14ac:dyDescent="0.35">
      <c r="H2202" s="711"/>
      <c r="I2202" s="711"/>
      <c r="J2202" s="711"/>
      <c r="K2202" s="711"/>
      <c r="L2202" s="711"/>
      <c r="Q2202" s="11"/>
      <c r="R2202" s="11"/>
      <c r="S2202" s="11"/>
      <c r="T2202" s="11"/>
    </row>
    <row r="2203" spans="8:20" x14ac:dyDescent="0.35">
      <c r="H2203" s="711"/>
      <c r="I2203" s="711"/>
      <c r="J2203" s="711"/>
      <c r="K2203" s="711"/>
      <c r="L2203" s="711"/>
      <c r="Q2203" s="11"/>
      <c r="R2203" s="11"/>
      <c r="S2203" s="11"/>
      <c r="T2203" s="11"/>
    </row>
    <row r="2204" spans="8:20" x14ac:dyDescent="0.35">
      <c r="H2204" s="711"/>
      <c r="I2204" s="711"/>
      <c r="J2204" s="711"/>
      <c r="K2204" s="711"/>
      <c r="L2204" s="711"/>
      <c r="Q2204" s="11"/>
      <c r="R2204" s="11"/>
      <c r="S2204" s="11"/>
      <c r="T2204" s="11"/>
    </row>
    <row r="2205" spans="8:20" x14ac:dyDescent="0.35">
      <c r="H2205" s="711"/>
      <c r="I2205" s="711"/>
      <c r="J2205" s="711"/>
      <c r="K2205" s="711"/>
      <c r="L2205" s="711"/>
      <c r="Q2205" s="11"/>
      <c r="R2205" s="11"/>
      <c r="S2205" s="11"/>
      <c r="T2205" s="11"/>
    </row>
    <row r="2206" spans="8:20" x14ac:dyDescent="0.35">
      <c r="H2206" s="711"/>
      <c r="I2206" s="711"/>
      <c r="J2206" s="711"/>
      <c r="K2206" s="711"/>
      <c r="L2206" s="711"/>
      <c r="Q2206" s="11"/>
      <c r="R2206" s="11"/>
      <c r="S2206" s="11"/>
      <c r="T2206" s="11"/>
    </row>
    <row r="2207" spans="8:20" x14ac:dyDescent="0.35">
      <c r="H2207" s="711"/>
      <c r="I2207" s="711"/>
      <c r="J2207" s="711"/>
      <c r="K2207" s="711"/>
      <c r="L2207" s="711"/>
      <c r="Q2207" s="11"/>
      <c r="R2207" s="11"/>
      <c r="S2207" s="11"/>
      <c r="T2207" s="11"/>
    </row>
    <row r="2208" spans="8:20" x14ac:dyDescent="0.35">
      <c r="H2208" s="711"/>
      <c r="I2208" s="711"/>
      <c r="J2208" s="711"/>
      <c r="K2208" s="711"/>
      <c r="L2208" s="711"/>
      <c r="Q2208" s="11"/>
      <c r="R2208" s="11"/>
      <c r="S2208" s="11"/>
      <c r="T2208" s="11"/>
    </row>
    <row r="2209" spans="8:20" x14ac:dyDescent="0.35">
      <c r="H2209" s="711"/>
      <c r="I2209" s="711"/>
      <c r="J2209" s="711"/>
      <c r="K2209" s="711"/>
      <c r="L2209" s="711"/>
      <c r="Q2209" s="11"/>
      <c r="R2209" s="11"/>
      <c r="S2209" s="11"/>
      <c r="T2209" s="11"/>
    </row>
    <row r="2210" spans="8:20" x14ac:dyDescent="0.35">
      <c r="H2210" s="711"/>
      <c r="I2210" s="711"/>
      <c r="J2210" s="711"/>
      <c r="K2210" s="711"/>
      <c r="L2210" s="711"/>
      <c r="Q2210" s="11"/>
      <c r="R2210" s="11"/>
      <c r="S2210" s="11"/>
      <c r="T2210" s="11"/>
    </row>
    <row r="2211" spans="8:20" x14ac:dyDescent="0.35">
      <c r="H2211" s="711"/>
      <c r="I2211" s="711"/>
      <c r="J2211" s="711"/>
      <c r="K2211" s="711"/>
      <c r="L2211" s="711"/>
      <c r="Q2211" s="11"/>
      <c r="R2211" s="11"/>
      <c r="S2211" s="11"/>
      <c r="T2211" s="11"/>
    </row>
    <row r="2212" spans="8:20" x14ac:dyDescent="0.35">
      <c r="H2212" s="711"/>
      <c r="I2212" s="711"/>
      <c r="J2212" s="711"/>
      <c r="K2212" s="711"/>
      <c r="L2212" s="711"/>
      <c r="Q2212" s="11"/>
      <c r="R2212" s="11"/>
      <c r="S2212" s="11"/>
      <c r="T2212" s="11"/>
    </row>
    <row r="2213" spans="8:20" x14ac:dyDescent="0.35">
      <c r="H2213" s="711"/>
      <c r="I2213" s="711"/>
      <c r="J2213" s="711"/>
      <c r="K2213" s="711"/>
      <c r="L2213" s="711"/>
      <c r="Q2213" s="11"/>
      <c r="R2213" s="11"/>
      <c r="S2213" s="11"/>
      <c r="T2213" s="11"/>
    </row>
    <row r="2214" spans="8:20" x14ac:dyDescent="0.35">
      <c r="H2214" s="711"/>
      <c r="I2214" s="711"/>
      <c r="J2214" s="711"/>
      <c r="K2214" s="711"/>
      <c r="L2214" s="711"/>
      <c r="Q2214" s="11"/>
      <c r="R2214" s="11"/>
      <c r="S2214" s="11"/>
      <c r="T2214" s="11"/>
    </row>
    <row r="2215" spans="8:20" x14ac:dyDescent="0.35">
      <c r="H2215" s="711"/>
      <c r="I2215" s="711"/>
      <c r="J2215" s="711"/>
      <c r="K2215" s="711"/>
      <c r="L2215" s="711"/>
      <c r="Q2215" s="11"/>
      <c r="R2215" s="11"/>
      <c r="S2215" s="11"/>
      <c r="T2215" s="11"/>
    </row>
    <row r="2216" spans="8:20" x14ac:dyDescent="0.35">
      <c r="H2216" s="711"/>
      <c r="I2216" s="711"/>
      <c r="J2216" s="711"/>
      <c r="K2216" s="711"/>
      <c r="L2216" s="711"/>
      <c r="Q2216" s="11"/>
      <c r="R2216" s="11"/>
      <c r="S2216" s="11"/>
      <c r="T2216" s="11"/>
    </row>
    <row r="2217" spans="8:20" x14ac:dyDescent="0.35">
      <c r="H2217" s="711"/>
      <c r="I2217" s="711"/>
      <c r="J2217" s="711"/>
      <c r="K2217" s="711"/>
      <c r="L2217" s="711"/>
      <c r="Q2217" s="11"/>
      <c r="R2217" s="11"/>
      <c r="S2217" s="11"/>
      <c r="T2217" s="11"/>
    </row>
    <row r="2218" spans="8:20" x14ac:dyDescent="0.35">
      <c r="H2218" s="711"/>
      <c r="I2218" s="711"/>
      <c r="J2218" s="711"/>
      <c r="K2218" s="711"/>
      <c r="L2218" s="711"/>
      <c r="Q2218" s="11"/>
      <c r="R2218" s="11"/>
      <c r="S2218" s="11"/>
      <c r="T2218" s="11"/>
    </row>
    <row r="2219" spans="8:20" x14ac:dyDescent="0.35">
      <c r="H2219" s="711"/>
      <c r="I2219" s="711"/>
      <c r="J2219" s="711"/>
      <c r="K2219" s="711"/>
      <c r="L2219" s="711"/>
      <c r="Q2219" s="11"/>
      <c r="R2219" s="11"/>
      <c r="S2219" s="11"/>
      <c r="T2219" s="11"/>
    </row>
    <row r="2220" spans="8:20" x14ac:dyDescent="0.35">
      <c r="H2220" s="711"/>
      <c r="I2220" s="711"/>
      <c r="J2220" s="711"/>
      <c r="K2220" s="711"/>
      <c r="L2220" s="711"/>
      <c r="Q2220" s="11"/>
      <c r="R2220" s="11"/>
      <c r="S2220" s="11"/>
      <c r="T2220" s="11"/>
    </row>
    <row r="2221" spans="8:20" x14ac:dyDescent="0.35">
      <c r="H2221" s="711"/>
      <c r="I2221" s="711"/>
      <c r="J2221" s="711"/>
      <c r="K2221" s="711"/>
      <c r="L2221" s="711"/>
      <c r="Q2221" s="11"/>
      <c r="R2221" s="11"/>
      <c r="S2221" s="11"/>
      <c r="T2221" s="11"/>
    </row>
    <row r="2222" spans="8:20" x14ac:dyDescent="0.35">
      <c r="H2222" s="711"/>
      <c r="I2222" s="711"/>
      <c r="J2222" s="711"/>
      <c r="K2222" s="711"/>
      <c r="L2222" s="711"/>
      <c r="Q2222" s="11"/>
      <c r="R2222" s="11"/>
      <c r="S2222" s="11"/>
      <c r="T2222" s="11"/>
    </row>
    <row r="2223" spans="8:20" x14ac:dyDescent="0.35">
      <c r="H2223" s="711"/>
      <c r="I2223" s="711"/>
      <c r="J2223" s="711"/>
      <c r="K2223" s="711"/>
      <c r="L2223" s="711"/>
      <c r="Q2223" s="11"/>
      <c r="R2223" s="11"/>
      <c r="S2223" s="11"/>
      <c r="T2223" s="11"/>
    </row>
    <row r="2224" spans="8:20" x14ac:dyDescent="0.35">
      <c r="H2224" s="711"/>
      <c r="I2224" s="711"/>
      <c r="J2224" s="711"/>
      <c r="K2224" s="711"/>
      <c r="L2224" s="711"/>
      <c r="Q2224" s="11"/>
      <c r="R2224" s="11"/>
      <c r="S2224" s="11"/>
      <c r="T2224" s="11"/>
    </row>
    <row r="2225" spans="8:20" x14ac:dyDescent="0.35">
      <c r="H2225" s="711"/>
      <c r="I2225" s="711"/>
      <c r="J2225" s="711"/>
      <c r="K2225" s="711"/>
      <c r="L2225" s="711"/>
      <c r="Q2225" s="11"/>
      <c r="R2225" s="11"/>
      <c r="S2225" s="11"/>
      <c r="T2225" s="11"/>
    </row>
    <row r="2226" spans="8:20" x14ac:dyDescent="0.35">
      <c r="H2226" s="711"/>
      <c r="I2226" s="711"/>
      <c r="J2226" s="711"/>
      <c r="K2226" s="711"/>
      <c r="L2226" s="711"/>
      <c r="Q2226" s="11"/>
      <c r="R2226" s="11"/>
      <c r="S2226" s="11"/>
      <c r="T2226" s="11"/>
    </row>
    <row r="2227" spans="8:20" x14ac:dyDescent="0.35">
      <c r="H2227" s="711"/>
      <c r="I2227" s="711"/>
      <c r="J2227" s="711"/>
      <c r="K2227" s="711"/>
      <c r="L2227" s="711"/>
      <c r="Q2227" s="11"/>
      <c r="R2227" s="11"/>
      <c r="S2227" s="11"/>
      <c r="T2227" s="11"/>
    </row>
    <row r="2228" spans="8:20" x14ac:dyDescent="0.35">
      <c r="H2228" s="711"/>
      <c r="I2228" s="711"/>
      <c r="J2228" s="711"/>
      <c r="K2228" s="711"/>
      <c r="L2228" s="711"/>
      <c r="Q2228" s="11"/>
      <c r="R2228" s="11"/>
      <c r="S2228" s="11"/>
      <c r="T2228" s="11"/>
    </row>
    <row r="2229" spans="8:20" x14ac:dyDescent="0.35">
      <c r="H2229" s="711"/>
      <c r="I2229" s="711"/>
      <c r="J2229" s="711"/>
      <c r="K2229" s="711"/>
      <c r="L2229" s="711"/>
      <c r="Q2229" s="11"/>
      <c r="R2229" s="11"/>
      <c r="S2229" s="11"/>
      <c r="T2229" s="11"/>
    </row>
    <row r="2230" spans="8:20" x14ac:dyDescent="0.35">
      <c r="H2230" s="711"/>
      <c r="I2230" s="711"/>
      <c r="J2230" s="711"/>
      <c r="K2230" s="711"/>
      <c r="L2230" s="711"/>
      <c r="Q2230" s="11"/>
      <c r="R2230" s="11"/>
      <c r="S2230" s="11"/>
      <c r="T2230" s="11"/>
    </row>
    <row r="2231" spans="8:20" x14ac:dyDescent="0.35">
      <c r="H2231" s="711"/>
      <c r="I2231" s="711"/>
      <c r="J2231" s="711"/>
      <c r="K2231" s="711"/>
      <c r="L2231" s="711"/>
      <c r="Q2231" s="11"/>
      <c r="R2231" s="11"/>
      <c r="S2231" s="11"/>
      <c r="T2231" s="11"/>
    </row>
    <row r="2232" spans="8:20" x14ac:dyDescent="0.35">
      <c r="H2232" s="711"/>
      <c r="I2232" s="711"/>
      <c r="J2232" s="711"/>
      <c r="K2232" s="711"/>
      <c r="L2232" s="711"/>
      <c r="Q2232" s="11"/>
      <c r="R2232" s="11"/>
      <c r="S2232" s="11"/>
      <c r="T2232" s="11"/>
    </row>
    <row r="2233" spans="8:20" x14ac:dyDescent="0.35">
      <c r="H2233" s="711"/>
      <c r="I2233" s="711"/>
      <c r="J2233" s="711"/>
      <c r="K2233" s="711"/>
      <c r="L2233" s="711"/>
      <c r="Q2233" s="11"/>
      <c r="R2233" s="11"/>
      <c r="S2233" s="11"/>
      <c r="T2233" s="11"/>
    </row>
    <row r="2234" spans="8:20" x14ac:dyDescent="0.35">
      <c r="H2234" s="711"/>
      <c r="I2234" s="711"/>
      <c r="J2234" s="711"/>
      <c r="K2234" s="711"/>
      <c r="L2234" s="711"/>
      <c r="Q2234" s="11"/>
      <c r="R2234" s="11"/>
      <c r="S2234" s="11"/>
      <c r="T2234" s="11"/>
    </row>
    <row r="2235" spans="8:20" x14ac:dyDescent="0.35">
      <c r="H2235" s="711"/>
      <c r="I2235" s="711"/>
      <c r="J2235" s="711"/>
      <c r="K2235" s="711"/>
      <c r="L2235" s="711"/>
      <c r="Q2235" s="11"/>
      <c r="R2235" s="11"/>
      <c r="S2235" s="11"/>
      <c r="T2235" s="11"/>
    </row>
    <row r="2236" spans="8:20" x14ac:dyDescent="0.35">
      <c r="H2236" s="711"/>
      <c r="I2236" s="711"/>
      <c r="J2236" s="711"/>
      <c r="K2236" s="711"/>
      <c r="L2236" s="711"/>
      <c r="Q2236" s="11"/>
      <c r="R2236" s="11"/>
      <c r="S2236" s="11"/>
      <c r="T2236" s="11"/>
    </row>
    <row r="2237" spans="8:20" x14ac:dyDescent="0.35">
      <c r="H2237" s="711"/>
      <c r="I2237" s="711"/>
      <c r="J2237" s="711"/>
      <c r="K2237" s="711"/>
      <c r="L2237" s="711"/>
      <c r="Q2237" s="11"/>
      <c r="R2237" s="11"/>
      <c r="S2237" s="11"/>
      <c r="T2237" s="11"/>
    </row>
    <row r="2238" spans="8:20" x14ac:dyDescent="0.35">
      <c r="H2238" s="711"/>
      <c r="I2238" s="711"/>
      <c r="J2238" s="711"/>
      <c r="K2238" s="711"/>
      <c r="L2238" s="711"/>
      <c r="Q2238" s="11"/>
      <c r="R2238" s="11"/>
      <c r="S2238" s="11"/>
      <c r="T2238" s="11"/>
    </row>
    <row r="2239" spans="8:20" x14ac:dyDescent="0.35">
      <c r="H2239" s="711"/>
      <c r="I2239" s="711"/>
      <c r="J2239" s="711"/>
      <c r="K2239" s="711"/>
      <c r="L2239" s="711"/>
      <c r="Q2239" s="11"/>
      <c r="R2239" s="11"/>
      <c r="S2239" s="11"/>
      <c r="T2239" s="11"/>
    </row>
    <row r="2240" spans="8:20" x14ac:dyDescent="0.35">
      <c r="H2240" s="711"/>
      <c r="I2240" s="711"/>
      <c r="J2240" s="711"/>
      <c r="K2240" s="711"/>
      <c r="L2240" s="711"/>
      <c r="Q2240" s="11"/>
      <c r="R2240" s="11"/>
      <c r="S2240" s="11"/>
      <c r="T2240" s="11"/>
    </row>
    <row r="2241" spans="8:20" x14ac:dyDescent="0.35">
      <c r="H2241" s="711"/>
      <c r="I2241" s="711"/>
      <c r="J2241" s="711"/>
      <c r="K2241" s="711"/>
      <c r="L2241" s="711"/>
      <c r="Q2241" s="11"/>
      <c r="R2241" s="11"/>
      <c r="S2241" s="11"/>
      <c r="T2241" s="11"/>
    </row>
    <row r="2242" spans="8:20" x14ac:dyDescent="0.35">
      <c r="H2242" s="711"/>
      <c r="I2242" s="711"/>
      <c r="J2242" s="711"/>
      <c r="K2242" s="711"/>
      <c r="L2242" s="711"/>
      <c r="Q2242" s="11"/>
      <c r="R2242" s="11"/>
      <c r="S2242" s="11"/>
      <c r="T2242" s="11"/>
    </row>
    <row r="2243" spans="8:20" x14ac:dyDescent="0.35">
      <c r="H2243" s="711"/>
      <c r="I2243" s="711"/>
      <c r="J2243" s="711"/>
      <c r="K2243" s="711"/>
      <c r="L2243" s="711"/>
      <c r="Q2243" s="11"/>
      <c r="R2243" s="11"/>
      <c r="S2243" s="11"/>
      <c r="T2243" s="11"/>
    </row>
    <row r="2244" spans="8:20" x14ac:dyDescent="0.35">
      <c r="H2244" s="711"/>
      <c r="I2244" s="711"/>
      <c r="J2244" s="711"/>
      <c r="K2244" s="711"/>
      <c r="L2244" s="711"/>
      <c r="Q2244" s="11"/>
      <c r="R2244" s="11"/>
      <c r="S2244" s="11"/>
      <c r="T2244" s="11"/>
    </row>
    <row r="2245" spans="8:20" x14ac:dyDescent="0.35">
      <c r="H2245" s="711"/>
      <c r="I2245" s="711"/>
      <c r="J2245" s="711"/>
      <c r="K2245" s="711"/>
      <c r="L2245" s="711"/>
      <c r="Q2245" s="11"/>
      <c r="R2245" s="11"/>
      <c r="S2245" s="11"/>
      <c r="T2245" s="11"/>
    </row>
    <row r="2246" spans="8:20" x14ac:dyDescent="0.35">
      <c r="H2246" s="711"/>
      <c r="I2246" s="711"/>
      <c r="J2246" s="711"/>
      <c r="K2246" s="711"/>
      <c r="L2246" s="711"/>
      <c r="Q2246" s="11"/>
      <c r="R2246" s="11"/>
      <c r="S2246" s="11"/>
      <c r="T2246" s="11"/>
    </row>
    <row r="2247" spans="8:20" x14ac:dyDescent="0.35">
      <c r="H2247" s="711"/>
      <c r="I2247" s="711"/>
      <c r="J2247" s="711"/>
      <c r="K2247" s="711"/>
      <c r="L2247" s="711"/>
      <c r="Q2247" s="11"/>
      <c r="R2247" s="11"/>
      <c r="S2247" s="11"/>
      <c r="T2247" s="11"/>
    </row>
    <row r="2248" spans="8:20" x14ac:dyDescent="0.35">
      <c r="H2248" s="711"/>
      <c r="I2248" s="711"/>
      <c r="J2248" s="711"/>
      <c r="K2248" s="711"/>
      <c r="L2248" s="711"/>
      <c r="Q2248" s="11"/>
      <c r="R2248" s="11"/>
      <c r="S2248" s="11"/>
      <c r="T2248" s="11"/>
    </row>
    <row r="2249" spans="8:20" x14ac:dyDescent="0.35">
      <c r="H2249" s="711"/>
      <c r="I2249" s="711"/>
      <c r="J2249" s="711"/>
      <c r="K2249" s="711"/>
      <c r="L2249" s="711"/>
      <c r="Q2249" s="11"/>
      <c r="R2249" s="11"/>
      <c r="S2249" s="11"/>
      <c r="T2249" s="11"/>
    </row>
    <row r="2250" spans="8:20" x14ac:dyDescent="0.35">
      <c r="H2250" s="711"/>
      <c r="I2250" s="711"/>
      <c r="J2250" s="711"/>
      <c r="K2250" s="711"/>
      <c r="L2250" s="711"/>
      <c r="Q2250" s="11"/>
      <c r="R2250" s="11"/>
      <c r="S2250" s="11"/>
      <c r="T2250" s="11"/>
    </row>
    <row r="2251" spans="8:20" x14ac:dyDescent="0.35">
      <c r="H2251" s="711"/>
      <c r="I2251" s="711"/>
      <c r="J2251" s="711"/>
      <c r="K2251" s="711"/>
      <c r="L2251" s="711"/>
      <c r="Q2251" s="11"/>
      <c r="R2251" s="11"/>
      <c r="S2251" s="11"/>
      <c r="T2251" s="11"/>
    </row>
    <row r="2252" spans="8:20" x14ac:dyDescent="0.35">
      <c r="H2252" s="711"/>
      <c r="I2252" s="711"/>
      <c r="J2252" s="711"/>
      <c r="K2252" s="711"/>
      <c r="L2252" s="711"/>
      <c r="Q2252" s="11"/>
      <c r="R2252" s="11"/>
      <c r="S2252" s="11"/>
      <c r="T2252" s="11"/>
    </row>
    <row r="2253" spans="8:20" x14ac:dyDescent="0.35">
      <c r="H2253" s="711"/>
      <c r="I2253" s="711"/>
      <c r="J2253" s="711"/>
      <c r="K2253" s="711"/>
      <c r="L2253" s="711"/>
      <c r="Q2253" s="11"/>
      <c r="R2253" s="11"/>
      <c r="S2253" s="11"/>
      <c r="T2253" s="11"/>
    </row>
    <row r="2254" spans="8:20" x14ac:dyDescent="0.35">
      <c r="H2254" s="711"/>
      <c r="I2254" s="711"/>
      <c r="J2254" s="711"/>
      <c r="K2254" s="711"/>
      <c r="L2254" s="711"/>
      <c r="Q2254" s="11"/>
      <c r="R2254" s="11"/>
      <c r="S2254" s="11"/>
      <c r="T2254" s="11"/>
    </row>
    <row r="2255" spans="8:20" x14ac:dyDescent="0.35">
      <c r="H2255" s="711"/>
      <c r="I2255" s="711"/>
      <c r="J2255" s="711"/>
      <c r="K2255" s="711"/>
      <c r="L2255" s="711"/>
      <c r="Q2255" s="11"/>
      <c r="R2255" s="11"/>
      <c r="S2255" s="11"/>
      <c r="T2255" s="11"/>
    </row>
    <row r="2256" spans="8:20" x14ac:dyDescent="0.35">
      <c r="H2256" s="711"/>
      <c r="I2256" s="711"/>
      <c r="J2256" s="711"/>
      <c r="K2256" s="711"/>
      <c r="L2256" s="711"/>
      <c r="Q2256" s="11"/>
      <c r="R2256" s="11"/>
      <c r="S2256" s="11"/>
      <c r="T2256" s="11"/>
    </row>
    <row r="2257" spans="8:20" x14ac:dyDescent="0.35">
      <c r="H2257" s="711"/>
      <c r="I2257" s="711"/>
      <c r="J2257" s="711"/>
      <c r="K2257" s="711"/>
      <c r="L2257" s="711"/>
      <c r="Q2257" s="11"/>
      <c r="R2257" s="11"/>
      <c r="S2257" s="11"/>
      <c r="T2257" s="11"/>
    </row>
    <row r="2258" spans="8:20" x14ac:dyDescent="0.35">
      <c r="H2258" s="711"/>
      <c r="I2258" s="711"/>
      <c r="J2258" s="711"/>
      <c r="K2258" s="711"/>
      <c r="L2258" s="711"/>
      <c r="Q2258" s="11"/>
      <c r="R2258" s="11"/>
      <c r="S2258" s="11"/>
      <c r="T2258" s="11"/>
    </row>
    <row r="2259" spans="8:20" x14ac:dyDescent="0.35">
      <c r="H2259" s="711"/>
      <c r="I2259" s="711"/>
      <c r="J2259" s="711"/>
      <c r="K2259" s="711"/>
      <c r="L2259" s="711"/>
      <c r="Q2259" s="11"/>
      <c r="R2259" s="11"/>
      <c r="S2259" s="11"/>
      <c r="T2259" s="11"/>
    </row>
    <row r="2260" spans="8:20" x14ac:dyDescent="0.35">
      <c r="H2260" s="711"/>
      <c r="I2260" s="711"/>
      <c r="J2260" s="711"/>
      <c r="K2260" s="711"/>
      <c r="L2260" s="711"/>
      <c r="Q2260" s="11"/>
      <c r="R2260" s="11"/>
      <c r="S2260" s="11"/>
      <c r="T2260" s="11"/>
    </row>
    <row r="2261" spans="8:20" x14ac:dyDescent="0.35">
      <c r="H2261" s="711"/>
      <c r="I2261" s="711"/>
      <c r="J2261" s="711"/>
      <c r="K2261" s="711"/>
      <c r="L2261" s="711"/>
      <c r="Q2261" s="11"/>
      <c r="R2261" s="11"/>
      <c r="S2261" s="11"/>
      <c r="T2261" s="11"/>
    </row>
    <row r="2262" spans="8:20" x14ac:dyDescent="0.35">
      <c r="H2262" s="711"/>
      <c r="I2262" s="711"/>
      <c r="J2262" s="711"/>
      <c r="K2262" s="711"/>
      <c r="L2262" s="711"/>
      <c r="Q2262" s="11"/>
      <c r="R2262" s="11"/>
      <c r="S2262" s="11"/>
      <c r="T2262" s="11"/>
    </row>
    <row r="2263" spans="8:20" x14ac:dyDescent="0.35">
      <c r="H2263" s="711"/>
      <c r="I2263" s="711"/>
      <c r="J2263" s="711"/>
      <c r="K2263" s="711"/>
      <c r="L2263" s="711"/>
      <c r="Q2263" s="11"/>
      <c r="R2263" s="11"/>
      <c r="S2263" s="11"/>
      <c r="T2263" s="11"/>
    </row>
    <row r="2264" spans="8:20" x14ac:dyDescent="0.35">
      <c r="H2264" s="711"/>
      <c r="I2264" s="711"/>
      <c r="J2264" s="711"/>
      <c r="K2264" s="711"/>
      <c r="L2264" s="711"/>
      <c r="Q2264" s="11"/>
      <c r="R2264" s="11"/>
      <c r="S2264" s="11"/>
      <c r="T2264" s="11"/>
    </row>
    <row r="2265" spans="8:20" x14ac:dyDescent="0.35">
      <c r="H2265" s="711"/>
      <c r="I2265" s="711"/>
      <c r="J2265" s="711"/>
      <c r="K2265" s="711"/>
      <c r="L2265" s="711"/>
      <c r="Q2265" s="11"/>
      <c r="R2265" s="11"/>
      <c r="S2265" s="11"/>
      <c r="T2265" s="11"/>
    </row>
    <row r="2266" spans="8:20" x14ac:dyDescent="0.35">
      <c r="H2266" s="711"/>
      <c r="I2266" s="711"/>
      <c r="J2266" s="711"/>
      <c r="K2266" s="711"/>
      <c r="L2266" s="711"/>
      <c r="Q2266" s="11"/>
      <c r="R2266" s="11"/>
      <c r="S2266" s="11"/>
      <c r="T2266" s="11"/>
    </row>
    <row r="2267" spans="8:20" x14ac:dyDescent="0.35">
      <c r="H2267" s="711"/>
      <c r="I2267" s="711"/>
      <c r="J2267" s="711"/>
      <c r="K2267" s="711"/>
      <c r="L2267" s="711"/>
      <c r="Q2267" s="11"/>
      <c r="R2267" s="11"/>
      <c r="S2267" s="11"/>
      <c r="T2267" s="11"/>
    </row>
    <row r="2268" spans="8:20" x14ac:dyDescent="0.35">
      <c r="H2268" s="711"/>
      <c r="I2268" s="711"/>
      <c r="J2268" s="711"/>
      <c r="K2268" s="711"/>
      <c r="L2268" s="711"/>
      <c r="Q2268" s="11"/>
      <c r="R2268" s="11"/>
      <c r="S2268" s="11"/>
      <c r="T2268" s="11"/>
    </row>
    <row r="2269" spans="8:20" x14ac:dyDescent="0.35">
      <c r="H2269" s="711"/>
      <c r="I2269" s="711"/>
      <c r="J2269" s="711"/>
      <c r="K2269" s="711"/>
      <c r="L2269" s="711"/>
      <c r="Q2269" s="11"/>
      <c r="R2269" s="11"/>
      <c r="S2269" s="11"/>
      <c r="T2269" s="11"/>
    </row>
    <row r="2270" spans="8:20" x14ac:dyDescent="0.35">
      <c r="H2270" s="711"/>
      <c r="I2270" s="711"/>
      <c r="J2270" s="711"/>
      <c r="K2270" s="711"/>
      <c r="L2270" s="711"/>
      <c r="Q2270" s="11"/>
      <c r="R2270" s="11"/>
      <c r="S2270" s="11"/>
      <c r="T2270" s="11"/>
    </row>
    <row r="2271" spans="8:20" x14ac:dyDescent="0.35">
      <c r="H2271" s="711"/>
      <c r="I2271" s="711"/>
      <c r="J2271" s="711"/>
      <c r="K2271" s="711"/>
      <c r="L2271" s="711"/>
      <c r="Q2271" s="11"/>
      <c r="R2271" s="11"/>
      <c r="S2271" s="11"/>
      <c r="T2271" s="11"/>
    </row>
    <row r="2272" spans="8:20" x14ac:dyDescent="0.35">
      <c r="H2272" s="711"/>
      <c r="I2272" s="711"/>
      <c r="J2272" s="711"/>
      <c r="K2272" s="711"/>
      <c r="L2272" s="711"/>
      <c r="Q2272" s="11"/>
      <c r="R2272" s="11"/>
      <c r="S2272" s="11"/>
      <c r="T2272" s="11"/>
    </row>
    <row r="2273" spans="8:20" x14ac:dyDescent="0.35">
      <c r="H2273" s="711"/>
      <c r="I2273" s="711"/>
      <c r="J2273" s="711"/>
      <c r="K2273" s="711"/>
      <c r="L2273" s="711"/>
      <c r="Q2273" s="11"/>
      <c r="R2273" s="11"/>
      <c r="S2273" s="11"/>
      <c r="T2273" s="11"/>
    </row>
    <row r="2274" spans="8:20" x14ac:dyDescent="0.35">
      <c r="H2274" s="711"/>
      <c r="I2274" s="711"/>
      <c r="J2274" s="711"/>
      <c r="K2274" s="711"/>
      <c r="L2274" s="711"/>
      <c r="Q2274" s="11"/>
      <c r="R2274" s="11"/>
      <c r="S2274" s="11"/>
      <c r="T2274" s="11"/>
    </row>
    <row r="2275" spans="8:20" x14ac:dyDescent="0.35">
      <c r="H2275" s="711"/>
      <c r="I2275" s="711"/>
      <c r="J2275" s="711"/>
      <c r="K2275" s="711"/>
      <c r="L2275" s="711"/>
      <c r="Q2275" s="11"/>
      <c r="R2275" s="11"/>
      <c r="S2275" s="11"/>
      <c r="T2275" s="11"/>
    </row>
    <row r="2276" spans="8:20" x14ac:dyDescent="0.35">
      <c r="H2276" s="711"/>
      <c r="I2276" s="711"/>
      <c r="J2276" s="711"/>
      <c r="K2276" s="711"/>
      <c r="L2276" s="711"/>
      <c r="Q2276" s="11"/>
      <c r="R2276" s="11"/>
      <c r="S2276" s="11"/>
      <c r="T2276" s="11"/>
    </row>
    <row r="2277" spans="8:20" x14ac:dyDescent="0.35">
      <c r="H2277" s="711"/>
      <c r="I2277" s="711"/>
      <c r="J2277" s="711"/>
      <c r="K2277" s="711"/>
      <c r="L2277" s="711"/>
      <c r="Q2277" s="11"/>
      <c r="R2277" s="11"/>
      <c r="S2277" s="11"/>
      <c r="T2277" s="11"/>
    </row>
    <row r="2278" spans="8:20" x14ac:dyDescent="0.35">
      <c r="H2278" s="711"/>
      <c r="I2278" s="711"/>
      <c r="J2278" s="711"/>
      <c r="K2278" s="711"/>
      <c r="L2278" s="711"/>
      <c r="Q2278" s="11"/>
      <c r="R2278" s="11"/>
      <c r="S2278" s="11"/>
      <c r="T2278" s="11"/>
    </row>
    <row r="2279" spans="8:20" x14ac:dyDescent="0.35">
      <c r="H2279" s="711"/>
      <c r="I2279" s="711"/>
      <c r="J2279" s="711"/>
      <c r="K2279" s="711"/>
      <c r="L2279" s="711"/>
      <c r="Q2279" s="11"/>
      <c r="R2279" s="11"/>
      <c r="S2279" s="11"/>
      <c r="T2279" s="11"/>
    </row>
    <row r="2280" spans="8:20" x14ac:dyDescent="0.35">
      <c r="H2280" s="711"/>
      <c r="I2280" s="711"/>
      <c r="J2280" s="711"/>
      <c r="K2280" s="711"/>
      <c r="L2280" s="711"/>
      <c r="Q2280" s="11"/>
      <c r="R2280" s="11"/>
      <c r="S2280" s="11"/>
      <c r="T2280" s="11"/>
    </row>
    <row r="2281" spans="8:20" x14ac:dyDescent="0.35">
      <c r="H2281" s="711"/>
      <c r="I2281" s="711"/>
      <c r="J2281" s="711"/>
      <c r="K2281" s="711"/>
      <c r="L2281" s="711"/>
      <c r="Q2281" s="11"/>
      <c r="R2281" s="11"/>
      <c r="S2281" s="11"/>
      <c r="T2281" s="11"/>
    </row>
    <row r="2282" spans="8:20" x14ac:dyDescent="0.35">
      <c r="H2282" s="711"/>
      <c r="I2282" s="711"/>
      <c r="J2282" s="711"/>
      <c r="K2282" s="711"/>
      <c r="L2282" s="711"/>
      <c r="Q2282" s="11"/>
      <c r="R2282" s="11"/>
      <c r="S2282" s="11"/>
      <c r="T2282" s="11"/>
    </row>
    <row r="2283" spans="8:20" x14ac:dyDescent="0.35">
      <c r="H2283" s="711"/>
      <c r="I2283" s="711"/>
      <c r="J2283" s="711"/>
      <c r="K2283" s="711"/>
      <c r="L2283" s="711"/>
      <c r="Q2283" s="11"/>
      <c r="R2283" s="11"/>
      <c r="S2283" s="11"/>
      <c r="T2283" s="11"/>
    </row>
    <row r="2284" spans="8:20" x14ac:dyDescent="0.35">
      <c r="H2284" s="711"/>
      <c r="I2284" s="711"/>
      <c r="J2284" s="711"/>
      <c r="K2284" s="711"/>
      <c r="L2284" s="711"/>
      <c r="Q2284" s="11"/>
      <c r="R2284" s="11"/>
      <c r="S2284" s="11"/>
      <c r="T2284" s="11"/>
    </row>
    <row r="2285" spans="8:20" x14ac:dyDescent="0.35">
      <c r="H2285" s="711"/>
      <c r="I2285" s="711"/>
      <c r="J2285" s="711"/>
      <c r="K2285" s="711"/>
      <c r="L2285" s="711"/>
      <c r="Q2285" s="11"/>
      <c r="R2285" s="11"/>
      <c r="S2285" s="11"/>
      <c r="T2285" s="11"/>
    </row>
    <row r="2286" spans="8:20" x14ac:dyDescent="0.35">
      <c r="H2286" s="711"/>
      <c r="I2286" s="711"/>
      <c r="J2286" s="711"/>
      <c r="K2286" s="711"/>
      <c r="L2286" s="711"/>
      <c r="Q2286" s="11"/>
      <c r="R2286" s="11"/>
      <c r="S2286" s="11"/>
      <c r="T2286" s="11"/>
    </row>
    <row r="2287" spans="8:20" x14ac:dyDescent="0.35">
      <c r="H2287" s="711"/>
      <c r="I2287" s="711"/>
      <c r="J2287" s="711"/>
      <c r="K2287" s="711"/>
      <c r="L2287" s="711"/>
      <c r="Q2287" s="11"/>
      <c r="R2287" s="11"/>
      <c r="S2287" s="11"/>
      <c r="T2287" s="11"/>
    </row>
    <row r="2288" spans="8:20" x14ac:dyDescent="0.35">
      <c r="H2288" s="711"/>
      <c r="I2288" s="711"/>
      <c r="J2288" s="711"/>
      <c r="K2288" s="711"/>
      <c r="L2288" s="711"/>
      <c r="Q2288" s="11"/>
      <c r="R2288" s="11"/>
      <c r="S2288" s="11"/>
      <c r="T2288" s="11"/>
    </row>
    <row r="2289" spans="8:20" x14ac:dyDescent="0.35">
      <c r="H2289" s="711"/>
      <c r="I2289" s="711"/>
      <c r="J2289" s="711"/>
      <c r="K2289" s="711"/>
      <c r="L2289" s="711"/>
      <c r="Q2289" s="11"/>
      <c r="R2289" s="11"/>
      <c r="S2289" s="11"/>
      <c r="T2289" s="11"/>
    </row>
    <row r="2290" spans="8:20" x14ac:dyDescent="0.35">
      <c r="H2290" s="711"/>
      <c r="I2290" s="711"/>
      <c r="J2290" s="711"/>
      <c r="K2290" s="711"/>
      <c r="L2290" s="711"/>
      <c r="Q2290" s="11"/>
      <c r="R2290" s="11"/>
      <c r="S2290" s="11"/>
      <c r="T2290" s="11"/>
    </row>
    <row r="2291" spans="8:20" x14ac:dyDescent="0.35">
      <c r="H2291" s="711"/>
      <c r="I2291" s="711"/>
      <c r="J2291" s="711"/>
      <c r="K2291" s="711"/>
      <c r="L2291" s="711"/>
      <c r="Q2291" s="11"/>
      <c r="R2291" s="11"/>
      <c r="S2291" s="11"/>
      <c r="T2291" s="11"/>
    </row>
    <row r="2292" spans="8:20" x14ac:dyDescent="0.35">
      <c r="H2292" s="711"/>
      <c r="I2292" s="711"/>
      <c r="J2292" s="711"/>
      <c r="K2292" s="711"/>
      <c r="L2292" s="711"/>
      <c r="Q2292" s="11"/>
      <c r="R2292" s="11"/>
      <c r="S2292" s="11"/>
      <c r="T2292" s="11"/>
    </row>
    <row r="2293" spans="8:20" x14ac:dyDescent="0.35">
      <c r="H2293" s="711"/>
      <c r="I2293" s="711"/>
      <c r="J2293" s="711"/>
      <c r="K2293" s="711"/>
      <c r="L2293" s="711"/>
      <c r="Q2293" s="11"/>
      <c r="R2293" s="11"/>
      <c r="S2293" s="11"/>
      <c r="T2293" s="11"/>
    </row>
    <row r="2294" spans="8:20" x14ac:dyDescent="0.35">
      <c r="H2294" s="711"/>
      <c r="I2294" s="711"/>
      <c r="J2294" s="711"/>
      <c r="K2294" s="711"/>
      <c r="L2294" s="711"/>
      <c r="Q2294" s="11"/>
      <c r="R2294" s="11"/>
      <c r="S2294" s="11"/>
      <c r="T2294" s="11"/>
    </row>
    <row r="2295" spans="8:20" x14ac:dyDescent="0.35">
      <c r="H2295" s="711"/>
      <c r="I2295" s="711"/>
      <c r="J2295" s="711"/>
      <c r="K2295" s="711"/>
      <c r="L2295" s="711"/>
      <c r="Q2295" s="11"/>
      <c r="R2295" s="11"/>
      <c r="S2295" s="11"/>
      <c r="T2295" s="11"/>
    </row>
    <row r="2296" spans="8:20" x14ac:dyDescent="0.35">
      <c r="H2296" s="711"/>
      <c r="I2296" s="711"/>
      <c r="J2296" s="711"/>
      <c r="K2296" s="711"/>
      <c r="L2296" s="711"/>
      <c r="Q2296" s="11"/>
      <c r="R2296" s="11"/>
      <c r="S2296" s="11"/>
      <c r="T2296" s="11"/>
    </row>
    <row r="2297" spans="8:20" x14ac:dyDescent="0.35">
      <c r="H2297" s="711"/>
      <c r="I2297" s="711"/>
      <c r="J2297" s="711"/>
      <c r="K2297" s="711"/>
      <c r="L2297" s="711"/>
      <c r="Q2297" s="11"/>
      <c r="R2297" s="11"/>
      <c r="S2297" s="11"/>
      <c r="T2297" s="11"/>
    </row>
    <row r="2298" spans="8:20" x14ac:dyDescent="0.35">
      <c r="H2298" s="711"/>
      <c r="I2298" s="711"/>
      <c r="J2298" s="711"/>
      <c r="K2298" s="711"/>
      <c r="L2298" s="711"/>
      <c r="Q2298" s="11"/>
      <c r="R2298" s="11"/>
      <c r="S2298" s="11"/>
      <c r="T2298" s="11"/>
    </row>
    <row r="2299" spans="8:20" x14ac:dyDescent="0.35">
      <c r="H2299" s="711"/>
      <c r="I2299" s="711"/>
      <c r="J2299" s="711"/>
      <c r="K2299" s="711"/>
      <c r="L2299" s="711"/>
      <c r="Q2299" s="11"/>
      <c r="R2299" s="11"/>
      <c r="S2299" s="11"/>
      <c r="T2299" s="11"/>
    </row>
    <row r="2300" spans="8:20" x14ac:dyDescent="0.35">
      <c r="H2300" s="711"/>
      <c r="I2300" s="711"/>
      <c r="J2300" s="711"/>
      <c r="K2300" s="711"/>
      <c r="L2300" s="711"/>
      <c r="Q2300" s="11"/>
      <c r="R2300" s="11"/>
      <c r="S2300" s="11"/>
      <c r="T2300" s="11"/>
    </row>
    <row r="2301" spans="8:20" x14ac:dyDescent="0.35">
      <c r="H2301" s="711"/>
      <c r="I2301" s="711"/>
      <c r="J2301" s="711"/>
      <c r="K2301" s="711"/>
      <c r="L2301" s="711"/>
      <c r="Q2301" s="11"/>
      <c r="R2301" s="11"/>
      <c r="S2301" s="11"/>
      <c r="T2301" s="11"/>
    </row>
    <row r="2302" spans="8:20" x14ac:dyDescent="0.35">
      <c r="H2302" s="711"/>
      <c r="I2302" s="711"/>
      <c r="J2302" s="711"/>
      <c r="K2302" s="711"/>
      <c r="L2302" s="711"/>
      <c r="Q2302" s="11"/>
      <c r="R2302" s="11"/>
      <c r="S2302" s="11"/>
      <c r="T2302" s="11"/>
    </row>
    <row r="2303" spans="8:20" x14ac:dyDescent="0.35">
      <c r="H2303" s="711"/>
      <c r="I2303" s="711"/>
      <c r="J2303" s="711"/>
      <c r="K2303" s="711"/>
      <c r="L2303" s="711"/>
      <c r="Q2303" s="11"/>
      <c r="R2303" s="11"/>
      <c r="S2303" s="11"/>
      <c r="T2303" s="11"/>
    </row>
    <row r="2304" spans="8:20" x14ac:dyDescent="0.35">
      <c r="H2304" s="711"/>
      <c r="I2304" s="711"/>
      <c r="J2304" s="711"/>
      <c r="K2304" s="711"/>
      <c r="L2304" s="711"/>
      <c r="Q2304" s="11"/>
      <c r="R2304" s="11"/>
      <c r="S2304" s="11"/>
      <c r="T2304" s="11"/>
    </row>
    <row r="2305" spans="8:20" x14ac:dyDescent="0.35">
      <c r="H2305" s="711"/>
      <c r="I2305" s="711"/>
      <c r="J2305" s="711"/>
      <c r="K2305" s="711"/>
      <c r="L2305" s="711"/>
      <c r="Q2305" s="11"/>
      <c r="R2305" s="11"/>
      <c r="S2305" s="11"/>
      <c r="T2305" s="11"/>
    </row>
    <row r="2306" spans="8:20" x14ac:dyDescent="0.35">
      <c r="H2306" s="711"/>
      <c r="I2306" s="711"/>
      <c r="J2306" s="711"/>
      <c r="K2306" s="711"/>
      <c r="L2306" s="711"/>
      <c r="Q2306" s="11"/>
      <c r="R2306" s="11"/>
      <c r="S2306" s="11"/>
      <c r="T2306" s="11"/>
    </row>
    <row r="2307" spans="8:20" x14ac:dyDescent="0.35">
      <c r="H2307" s="711"/>
      <c r="I2307" s="711"/>
      <c r="J2307" s="711"/>
      <c r="K2307" s="711"/>
      <c r="L2307" s="711"/>
      <c r="Q2307" s="11"/>
      <c r="R2307" s="11"/>
      <c r="S2307" s="11"/>
      <c r="T2307" s="11"/>
    </row>
    <row r="2308" spans="8:20" x14ac:dyDescent="0.35">
      <c r="H2308" s="711"/>
      <c r="I2308" s="711"/>
      <c r="J2308" s="711"/>
      <c r="K2308" s="711"/>
      <c r="L2308" s="711"/>
      <c r="Q2308" s="11"/>
      <c r="R2308" s="11"/>
      <c r="S2308" s="11"/>
      <c r="T2308" s="11"/>
    </row>
    <row r="2309" spans="8:20" x14ac:dyDescent="0.35">
      <c r="H2309" s="711"/>
      <c r="I2309" s="711"/>
      <c r="J2309" s="711"/>
      <c r="K2309" s="711"/>
      <c r="L2309" s="711"/>
      <c r="Q2309" s="11"/>
      <c r="R2309" s="11"/>
      <c r="S2309" s="11"/>
      <c r="T2309" s="11"/>
    </row>
    <row r="2310" spans="8:20" x14ac:dyDescent="0.35">
      <c r="H2310" s="711"/>
      <c r="I2310" s="711"/>
      <c r="J2310" s="711"/>
      <c r="K2310" s="711"/>
      <c r="L2310" s="711"/>
      <c r="Q2310" s="11"/>
      <c r="R2310" s="11"/>
      <c r="S2310" s="11"/>
      <c r="T2310" s="11"/>
    </row>
    <row r="2311" spans="8:20" x14ac:dyDescent="0.35">
      <c r="H2311" s="711"/>
      <c r="I2311" s="711"/>
      <c r="J2311" s="711"/>
      <c r="K2311" s="711"/>
      <c r="L2311" s="711"/>
      <c r="Q2311" s="11"/>
      <c r="R2311" s="11"/>
      <c r="S2311" s="11"/>
      <c r="T2311" s="11"/>
    </row>
    <row r="2312" spans="8:20" x14ac:dyDescent="0.35">
      <c r="H2312" s="711"/>
      <c r="I2312" s="711"/>
      <c r="J2312" s="711"/>
      <c r="K2312" s="711"/>
      <c r="L2312" s="711"/>
      <c r="Q2312" s="11"/>
      <c r="R2312" s="11"/>
      <c r="S2312" s="11"/>
      <c r="T2312" s="11"/>
    </row>
    <row r="2313" spans="8:20" x14ac:dyDescent="0.35">
      <c r="H2313" s="711"/>
      <c r="I2313" s="711"/>
      <c r="J2313" s="711"/>
      <c r="K2313" s="711"/>
      <c r="L2313" s="711"/>
      <c r="Q2313" s="11"/>
      <c r="R2313" s="11"/>
      <c r="S2313" s="11"/>
      <c r="T2313" s="11"/>
    </row>
    <row r="2314" spans="8:20" x14ac:dyDescent="0.35">
      <c r="H2314" s="711"/>
      <c r="I2314" s="711"/>
      <c r="J2314" s="711"/>
      <c r="K2314" s="711"/>
      <c r="L2314" s="711"/>
      <c r="Q2314" s="11"/>
      <c r="R2314" s="11"/>
      <c r="S2314" s="11"/>
      <c r="T2314" s="11"/>
    </row>
    <row r="2315" spans="8:20" x14ac:dyDescent="0.35">
      <c r="H2315" s="711"/>
      <c r="I2315" s="711"/>
      <c r="J2315" s="711"/>
      <c r="K2315" s="711"/>
      <c r="L2315" s="711"/>
      <c r="Q2315" s="11"/>
      <c r="R2315" s="11"/>
      <c r="S2315" s="11"/>
      <c r="T2315" s="11"/>
    </row>
    <row r="2316" spans="8:20" x14ac:dyDescent="0.35">
      <c r="H2316" s="711"/>
      <c r="I2316" s="711"/>
      <c r="J2316" s="711"/>
      <c r="K2316" s="711"/>
      <c r="L2316" s="711"/>
      <c r="Q2316" s="11"/>
      <c r="R2316" s="11"/>
      <c r="S2316" s="11"/>
      <c r="T2316" s="11"/>
    </row>
    <row r="2317" spans="8:20" x14ac:dyDescent="0.35">
      <c r="H2317" s="711"/>
      <c r="I2317" s="711"/>
      <c r="J2317" s="711"/>
      <c r="K2317" s="711"/>
      <c r="L2317" s="711"/>
      <c r="Q2317" s="11"/>
      <c r="R2317" s="11"/>
      <c r="S2317" s="11"/>
      <c r="T2317" s="11"/>
    </row>
    <row r="2318" spans="8:20" x14ac:dyDescent="0.35">
      <c r="H2318" s="711"/>
      <c r="I2318" s="711"/>
      <c r="J2318" s="711"/>
      <c r="K2318" s="711"/>
      <c r="L2318" s="711"/>
      <c r="Q2318" s="11"/>
      <c r="R2318" s="11"/>
      <c r="S2318" s="11"/>
      <c r="T2318" s="11"/>
    </row>
    <row r="2319" spans="8:20" x14ac:dyDescent="0.35">
      <c r="H2319" s="711"/>
      <c r="I2319" s="711"/>
      <c r="J2319" s="711"/>
      <c r="K2319" s="711"/>
      <c r="L2319" s="711"/>
      <c r="Q2319" s="11"/>
      <c r="R2319" s="11"/>
      <c r="S2319" s="11"/>
      <c r="T2319" s="11"/>
    </row>
    <row r="2320" spans="8:20" x14ac:dyDescent="0.35">
      <c r="H2320" s="711"/>
      <c r="I2320" s="711"/>
      <c r="J2320" s="711"/>
      <c r="K2320" s="711"/>
      <c r="L2320" s="711"/>
      <c r="Q2320" s="11"/>
      <c r="R2320" s="11"/>
      <c r="S2320" s="11"/>
      <c r="T2320" s="11"/>
    </row>
    <row r="2321" spans="8:20" x14ac:dyDescent="0.35">
      <c r="H2321" s="711"/>
      <c r="I2321" s="711"/>
      <c r="J2321" s="711"/>
      <c r="K2321" s="711"/>
      <c r="L2321" s="711"/>
      <c r="Q2321" s="11"/>
      <c r="R2321" s="11"/>
      <c r="S2321" s="11"/>
      <c r="T2321" s="11"/>
    </row>
    <row r="2322" spans="8:20" x14ac:dyDescent="0.35">
      <c r="H2322" s="711"/>
      <c r="I2322" s="711"/>
      <c r="J2322" s="711"/>
      <c r="K2322" s="711"/>
      <c r="L2322" s="711"/>
      <c r="Q2322" s="11"/>
      <c r="R2322" s="11"/>
      <c r="S2322" s="11"/>
      <c r="T2322" s="11"/>
    </row>
    <row r="2323" spans="8:20" x14ac:dyDescent="0.35">
      <c r="H2323" s="711"/>
      <c r="I2323" s="711"/>
      <c r="J2323" s="711"/>
      <c r="K2323" s="711"/>
      <c r="L2323" s="711"/>
      <c r="Q2323" s="11"/>
      <c r="R2323" s="11"/>
      <c r="S2323" s="11"/>
      <c r="T2323" s="11"/>
    </row>
    <row r="2324" spans="8:20" x14ac:dyDescent="0.35">
      <c r="H2324" s="711"/>
      <c r="I2324" s="711"/>
      <c r="J2324" s="711"/>
      <c r="K2324" s="711"/>
      <c r="L2324" s="711"/>
      <c r="Q2324" s="11"/>
      <c r="R2324" s="11"/>
      <c r="S2324" s="11"/>
      <c r="T2324" s="11"/>
    </row>
    <row r="2325" spans="8:20" x14ac:dyDescent="0.35">
      <c r="H2325" s="711"/>
      <c r="I2325" s="711"/>
      <c r="J2325" s="711"/>
      <c r="K2325" s="711"/>
      <c r="L2325" s="711"/>
      <c r="Q2325" s="11"/>
      <c r="R2325" s="11"/>
      <c r="S2325" s="11"/>
      <c r="T2325" s="11"/>
    </row>
    <row r="2326" spans="8:20" x14ac:dyDescent="0.35">
      <c r="H2326" s="711"/>
      <c r="I2326" s="711"/>
      <c r="J2326" s="711"/>
      <c r="K2326" s="711"/>
      <c r="L2326" s="711"/>
      <c r="Q2326" s="11"/>
      <c r="R2326" s="11"/>
      <c r="S2326" s="11"/>
      <c r="T2326" s="11"/>
    </row>
    <row r="2327" spans="8:20" x14ac:dyDescent="0.35">
      <c r="H2327" s="711"/>
      <c r="I2327" s="711"/>
      <c r="J2327" s="711"/>
      <c r="K2327" s="711"/>
      <c r="L2327" s="711"/>
      <c r="Q2327" s="11"/>
      <c r="R2327" s="11"/>
      <c r="S2327" s="11"/>
      <c r="T2327" s="11"/>
    </row>
    <row r="2328" spans="8:20" x14ac:dyDescent="0.35">
      <c r="H2328" s="711"/>
      <c r="I2328" s="711"/>
      <c r="J2328" s="711"/>
      <c r="K2328" s="711"/>
      <c r="L2328" s="711"/>
      <c r="Q2328" s="11"/>
      <c r="R2328" s="11"/>
      <c r="S2328" s="11"/>
      <c r="T2328" s="11"/>
    </row>
    <row r="2329" spans="8:20" x14ac:dyDescent="0.35">
      <c r="H2329" s="711"/>
      <c r="I2329" s="711"/>
      <c r="J2329" s="711"/>
      <c r="K2329" s="711"/>
      <c r="L2329" s="711"/>
      <c r="Q2329" s="11"/>
      <c r="R2329" s="11"/>
      <c r="S2329" s="11"/>
      <c r="T2329" s="11"/>
    </row>
    <row r="2330" spans="8:20" x14ac:dyDescent="0.35">
      <c r="H2330" s="711"/>
      <c r="I2330" s="711"/>
      <c r="J2330" s="711"/>
      <c r="K2330" s="711"/>
      <c r="L2330" s="711"/>
      <c r="Q2330" s="11"/>
      <c r="R2330" s="11"/>
      <c r="S2330" s="11"/>
      <c r="T2330" s="11"/>
    </row>
    <row r="2331" spans="8:20" x14ac:dyDescent="0.35">
      <c r="H2331" s="711"/>
      <c r="I2331" s="711"/>
      <c r="J2331" s="711"/>
      <c r="K2331" s="711"/>
      <c r="L2331" s="711"/>
      <c r="Q2331" s="11"/>
      <c r="R2331" s="11"/>
      <c r="S2331" s="11"/>
      <c r="T2331" s="11"/>
    </row>
    <row r="2332" spans="8:20" x14ac:dyDescent="0.35">
      <c r="H2332" s="711"/>
      <c r="I2332" s="711"/>
      <c r="J2332" s="711"/>
      <c r="K2332" s="711"/>
      <c r="L2332" s="711"/>
      <c r="Q2332" s="11"/>
      <c r="R2332" s="11"/>
      <c r="S2332" s="11"/>
      <c r="T2332" s="11"/>
    </row>
    <row r="2333" spans="8:20" x14ac:dyDescent="0.35">
      <c r="H2333" s="711"/>
      <c r="I2333" s="711"/>
      <c r="J2333" s="711"/>
      <c r="K2333" s="711"/>
      <c r="L2333" s="711"/>
      <c r="Q2333" s="11"/>
      <c r="R2333" s="11"/>
      <c r="S2333" s="11"/>
      <c r="T2333" s="11"/>
    </row>
    <row r="2334" spans="8:20" x14ac:dyDescent="0.35">
      <c r="H2334" s="711"/>
      <c r="I2334" s="711"/>
      <c r="J2334" s="711"/>
      <c r="K2334" s="711"/>
      <c r="L2334" s="711"/>
      <c r="Q2334" s="11"/>
      <c r="R2334" s="11"/>
      <c r="S2334" s="11"/>
      <c r="T2334" s="11"/>
    </row>
    <row r="2335" spans="8:20" x14ac:dyDescent="0.35">
      <c r="H2335" s="711"/>
      <c r="I2335" s="711"/>
      <c r="J2335" s="711"/>
      <c r="K2335" s="711"/>
      <c r="L2335" s="711"/>
      <c r="Q2335" s="11"/>
      <c r="R2335" s="11"/>
      <c r="S2335" s="11"/>
      <c r="T2335" s="11"/>
    </row>
    <row r="2336" spans="8:20" x14ac:dyDescent="0.35">
      <c r="H2336" s="711"/>
      <c r="I2336" s="711"/>
      <c r="J2336" s="711"/>
      <c r="K2336" s="711"/>
      <c r="L2336" s="711"/>
      <c r="Q2336" s="11"/>
      <c r="R2336" s="11"/>
      <c r="S2336" s="11"/>
      <c r="T2336" s="11"/>
    </row>
    <row r="2337" spans="8:20" x14ac:dyDescent="0.35">
      <c r="H2337" s="711"/>
      <c r="I2337" s="711"/>
      <c r="J2337" s="711"/>
      <c r="K2337" s="711"/>
      <c r="L2337" s="711"/>
      <c r="Q2337" s="11"/>
      <c r="R2337" s="11"/>
      <c r="S2337" s="11"/>
      <c r="T2337" s="11"/>
    </row>
    <row r="2338" spans="8:20" x14ac:dyDescent="0.35">
      <c r="H2338" s="711"/>
      <c r="I2338" s="711"/>
      <c r="J2338" s="711"/>
      <c r="K2338" s="711"/>
      <c r="L2338" s="711"/>
      <c r="Q2338" s="11"/>
      <c r="R2338" s="11"/>
      <c r="S2338" s="11"/>
      <c r="T2338" s="11"/>
    </row>
    <row r="2339" spans="8:20" x14ac:dyDescent="0.35">
      <c r="H2339" s="711"/>
      <c r="I2339" s="711"/>
      <c r="J2339" s="711"/>
      <c r="K2339" s="711"/>
      <c r="L2339" s="711"/>
      <c r="Q2339" s="11"/>
      <c r="R2339" s="11"/>
      <c r="S2339" s="11"/>
      <c r="T2339" s="11"/>
    </row>
    <row r="2340" spans="8:20" x14ac:dyDescent="0.35">
      <c r="H2340" s="711"/>
      <c r="I2340" s="711"/>
      <c r="J2340" s="711"/>
      <c r="K2340" s="711"/>
      <c r="L2340" s="711"/>
      <c r="Q2340" s="11"/>
      <c r="R2340" s="11"/>
      <c r="S2340" s="11"/>
      <c r="T2340" s="11"/>
    </row>
    <row r="2341" spans="8:20" x14ac:dyDescent="0.35">
      <c r="H2341" s="711"/>
      <c r="I2341" s="711"/>
      <c r="J2341" s="711"/>
      <c r="K2341" s="711"/>
      <c r="L2341" s="711"/>
      <c r="Q2341" s="11"/>
      <c r="R2341" s="11"/>
      <c r="S2341" s="11"/>
      <c r="T2341" s="11"/>
    </row>
    <row r="2342" spans="8:20" x14ac:dyDescent="0.35">
      <c r="H2342" s="711"/>
      <c r="I2342" s="711"/>
      <c r="J2342" s="711"/>
      <c r="K2342" s="711"/>
      <c r="L2342" s="711"/>
      <c r="Q2342" s="11"/>
      <c r="R2342" s="11"/>
      <c r="S2342" s="11"/>
      <c r="T2342" s="11"/>
    </row>
    <row r="2343" spans="8:20" x14ac:dyDescent="0.35">
      <c r="H2343" s="711"/>
      <c r="I2343" s="711"/>
      <c r="J2343" s="711"/>
      <c r="K2343" s="711"/>
      <c r="L2343" s="711"/>
      <c r="Q2343" s="11"/>
      <c r="R2343" s="11"/>
      <c r="S2343" s="11"/>
      <c r="T2343" s="11"/>
    </row>
    <row r="2344" spans="8:20" x14ac:dyDescent="0.35">
      <c r="H2344" s="711"/>
      <c r="I2344" s="711"/>
      <c r="J2344" s="711"/>
      <c r="K2344" s="711"/>
      <c r="L2344" s="711"/>
      <c r="Q2344" s="11"/>
      <c r="R2344" s="11"/>
      <c r="S2344" s="11"/>
      <c r="T2344" s="11"/>
    </row>
    <row r="2345" spans="8:20" x14ac:dyDescent="0.35">
      <c r="H2345" s="711"/>
      <c r="I2345" s="711"/>
      <c r="J2345" s="711"/>
      <c r="K2345" s="711"/>
      <c r="L2345" s="711"/>
      <c r="Q2345" s="11"/>
      <c r="R2345" s="11"/>
      <c r="S2345" s="11"/>
      <c r="T2345" s="11"/>
    </row>
    <row r="2346" spans="8:20" x14ac:dyDescent="0.35">
      <c r="H2346" s="711"/>
      <c r="I2346" s="711"/>
      <c r="J2346" s="711"/>
      <c r="K2346" s="711"/>
      <c r="L2346" s="711"/>
      <c r="Q2346" s="11"/>
      <c r="R2346" s="11"/>
      <c r="S2346" s="11"/>
      <c r="T2346" s="11"/>
    </row>
    <row r="2347" spans="8:20" x14ac:dyDescent="0.35">
      <c r="H2347" s="711"/>
      <c r="I2347" s="711"/>
      <c r="J2347" s="711"/>
      <c r="K2347" s="711"/>
      <c r="L2347" s="711"/>
      <c r="Q2347" s="11"/>
      <c r="R2347" s="11"/>
      <c r="S2347" s="11"/>
      <c r="T2347" s="11"/>
    </row>
    <row r="2348" spans="8:20" x14ac:dyDescent="0.35">
      <c r="H2348" s="711"/>
      <c r="I2348" s="711"/>
      <c r="J2348" s="711"/>
      <c r="K2348" s="711"/>
      <c r="L2348" s="711"/>
      <c r="Q2348" s="11"/>
      <c r="R2348" s="11"/>
      <c r="S2348" s="11"/>
      <c r="T2348" s="11"/>
    </row>
    <row r="2349" spans="8:20" x14ac:dyDescent="0.35">
      <c r="H2349" s="711"/>
      <c r="I2349" s="711"/>
      <c r="J2349" s="711"/>
      <c r="K2349" s="711"/>
      <c r="L2349" s="711"/>
      <c r="Q2349" s="11"/>
      <c r="R2349" s="11"/>
      <c r="S2349" s="11"/>
      <c r="T2349" s="11"/>
    </row>
    <row r="2350" spans="8:20" x14ac:dyDescent="0.35">
      <c r="H2350" s="711"/>
      <c r="I2350" s="711"/>
      <c r="J2350" s="711"/>
      <c r="K2350" s="711"/>
      <c r="L2350" s="711"/>
      <c r="Q2350" s="11"/>
      <c r="R2350" s="11"/>
      <c r="S2350" s="11"/>
      <c r="T2350" s="11"/>
    </row>
    <row r="2351" spans="8:20" x14ac:dyDescent="0.35">
      <c r="H2351" s="711"/>
      <c r="I2351" s="711"/>
      <c r="J2351" s="711"/>
      <c r="K2351" s="711"/>
      <c r="L2351" s="711"/>
      <c r="Q2351" s="11"/>
      <c r="R2351" s="11"/>
      <c r="S2351" s="11"/>
      <c r="T2351" s="11"/>
    </row>
    <row r="2352" spans="8:20" x14ac:dyDescent="0.35">
      <c r="H2352" s="711"/>
      <c r="I2352" s="711"/>
      <c r="J2352" s="711"/>
      <c r="K2352" s="711"/>
      <c r="L2352" s="711"/>
      <c r="Q2352" s="11"/>
      <c r="R2352" s="11"/>
      <c r="S2352" s="11"/>
      <c r="T2352" s="11"/>
    </row>
    <row r="2353" spans="8:20" x14ac:dyDescent="0.35">
      <c r="H2353" s="711"/>
      <c r="I2353" s="711"/>
      <c r="J2353" s="711"/>
      <c r="K2353" s="711"/>
      <c r="L2353" s="711"/>
      <c r="Q2353" s="11"/>
      <c r="R2353" s="11"/>
      <c r="S2353" s="11"/>
      <c r="T2353" s="11"/>
    </row>
    <row r="2354" spans="8:20" x14ac:dyDescent="0.35">
      <c r="H2354" s="711"/>
      <c r="I2354" s="711"/>
      <c r="J2354" s="711"/>
      <c r="K2354" s="711"/>
      <c r="L2354" s="711"/>
      <c r="Q2354" s="11"/>
      <c r="R2354" s="11"/>
      <c r="S2354" s="11"/>
      <c r="T2354" s="11"/>
    </row>
    <row r="2355" spans="8:20" x14ac:dyDescent="0.35">
      <c r="H2355" s="711"/>
      <c r="I2355" s="711"/>
      <c r="J2355" s="711"/>
      <c r="K2355" s="711"/>
      <c r="L2355" s="711"/>
      <c r="Q2355" s="11"/>
      <c r="R2355" s="11"/>
      <c r="S2355" s="11"/>
      <c r="T2355" s="11"/>
    </row>
    <row r="2356" spans="8:20" x14ac:dyDescent="0.35">
      <c r="H2356" s="711"/>
      <c r="I2356" s="711"/>
      <c r="J2356" s="711"/>
      <c r="K2356" s="711"/>
      <c r="L2356" s="711"/>
      <c r="Q2356" s="11"/>
      <c r="R2356" s="11"/>
      <c r="S2356" s="11"/>
      <c r="T2356" s="11"/>
    </row>
    <row r="2357" spans="8:20" x14ac:dyDescent="0.35">
      <c r="H2357" s="711"/>
      <c r="I2357" s="711"/>
      <c r="J2357" s="711"/>
      <c r="K2357" s="711"/>
      <c r="L2357" s="711"/>
      <c r="Q2357" s="11"/>
      <c r="R2357" s="11"/>
      <c r="S2357" s="11"/>
      <c r="T2357" s="11"/>
    </row>
    <row r="2358" spans="8:20" x14ac:dyDescent="0.35">
      <c r="H2358" s="711"/>
      <c r="I2358" s="711"/>
      <c r="J2358" s="711"/>
      <c r="K2358" s="711"/>
      <c r="L2358" s="711"/>
      <c r="Q2358" s="11"/>
      <c r="R2358" s="11"/>
      <c r="S2358" s="11"/>
      <c r="T2358" s="11"/>
    </row>
    <row r="2359" spans="8:20" x14ac:dyDescent="0.35">
      <c r="H2359" s="711"/>
      <c r="I2359" s="711"/>
      <c r="J2359" s="711"/>
      <c r="K2359" s="711"/>
      <c r="L2359" s="711"/>
      <c r="Q2359" s="11"/>
      <c r="R2359" s="11"/>
      <c r="S2359" s="11"/>
      <c r="T2359" s="11"/>
    </row>
    <row r="2360" spans="8:20" x14ac:dyDescent="0.35">
      <c r="H2360" s="711"/>
      <c r="I2360" s="711"/>
      <c r="J2360" s="711"/>
      <c r="K2360" s="711"/>
      <c r="L2360" s="711"/>
      <c r="Q2360" s="11"/>
      <c r="R2360" s="11"/>
      <c r="S2360" s="11"/>
      <c r="T2360" s="11"/>
    </row>
    <row r="2361" spans="8:20" x14ac:dyDescent="0.35">
      <c r="H2361" s="711"/>
      <c r="I2361" s="711"/>
      <c r="J2361" s="711"/>
      <c r="K2361" s="711"/>
      <c r="L2361" s="711"/>
      <c r="Q2361" s="11"/>
      <c r="R2361" s="11"/>
      <c r="S2361" s="11"/>
      <c r="T2361" s="11"/>
    </row>
    <row r="2362" spans="8:20" x14ac:dyDescent="0.35">
      <c r="H2362" s="711"/>
      <c r="I2362" s="711"/>
      <c r="J2362" s="711"/>
      <c r="K2362" s="711"/>
      <c r="L2362" s="711"/>
      <c r="Q2362" s="11"/>
      <c r="R2362" s="11"/>
      <c r="S2362" s="11"/>
      <c r="T2362" s="11"/>
    </row>
    <row r="2363" spans="8:20" x14ac:dyDescent="0.35">
      <c r="H2363" s="711"/>
      <c r="I2363" s="711"/>
      <c r="J2363" s="711"/>
      <c r="K2363" s="711"/>
      <c r="L2363" s="711"/>
      <c r="Q2363" s="11"/>
      <c r="R2363" s="11"/>
      <c r="S2363" s="11"/>
      <c r="T2363" s="11"/>
    </row>
    <row r="2364" spans="8:20" x14ac:dyDescent="0.35">
      <c r="H2364" s="711"/>
      <c r="I2364" s="711"/>
      <c r="J2364" s="711"/>
      <c r="K2364" s="711"/>
      <c r="L2364" s="711"/>
      <c r="Q2364" s="11"/>
      <c r="R2364" s="11"/>
      <c r="S2364" s="11"/>
      <c r="T2364" s="11"/>
    </row>
    <row r="2365" spans="8:20" x14ac:dyDescent="0.35">
      <c r="H2365" s="711"/>
      <c r="I2365" s="711"/>
      <c r="J2365" s="711"/>
      <c r="K2365" s="711"/>
      <c r="L2365" s="711"/>
      <c r="Q2365" s="11"/>
      <c r="R2365" s="11"/>
      <c r="S2365" s="11"/>
      <c r="T2365" s="11"/>
    </row>
    <row r="2366" spans="8:20" x14ac:dyDescent="0.35">
      <c r="H2366" s="711"/>
      <c r="I2366" s="711"/>
      <c r="J2366" s="711"/>
      <c r="K2366" s="711"/>
      <c r="L2366" s="711"/>
      <c r="Q2366" s="11"/>
      <c r="R2366" s="11"/>
      <c r="S2366" s="11"/>
      <c r="T2366" s="11"/>
    </row>
    <row r="2367" spans="8:20" x14ac:dyDescent="0.35">
      <c r="H2367" s="711"/>
      <c r="I2367" s="711"/>
      <c r="J2367" s="711"/>
      <c r="K2367" s="711"/>
      <c r="L2367" s="711"/>
      <c r="Q2367" s="11"/>
      <c r="R2367" s="11"/>
      <c r="S2367" s="11"/>
      <c r="T2367" s="11"/>
    </row>
    <row r="2368" spans="8:20" x14ac:dyDescent="0.35">
      <c r="H2368" s="711"/>
      <c r="I2368" s="711"/>
      <c r="J2368" s="711"/>
      <c r="K2368" s="711"/>
      <c r="L2368" s="711"/>
      <c r="Q2368" s="11"/>
      <c r="R2368" s="11"/>
      <c r="S2368" s="11"/>
      <c r="T2368" s="11"/>
    </row>
    <row r="2369" spans="8:20" x14ac:dyDescent="0.35">
      <c r="H2369" s="711"/>
      <c r="I2369" s="711"/>
      <c r="J2369" s="711"/>
      <c r="K2369" s="711"/>
      <c r="L2369" s="711"/>
      <c r="Q2369" s="11"/>
      <c r="R2369" s="11"/>
      <c r="S2369" s="11"/>
      <c r="T2369" s="11"/>
    </row>
    <row r="2370" spans="8:20" x14ac:dyDescent="0.35">
      <c r="H2370" s="711"/>
      <c r="I2370" s="711"/>
      <c r="J2370" s="711"/>
      <c r="K2370" s="711"/>
      <c r="L2370" s="711"/>
      <c r="Q2370" s="11"/>
      <c r="R2370" s="11"/>
      <c r="S2370" s="11"/>
      <c r="T2370" s="11"/>
    </row>
    <row r="2371" spans="8:20" x14ac:dyDescent="0.35">
      <c r="H2371" s="711"/>
      <c r="I2371" s="711"/>
      <c r="J2371" s="711"/>
      <c r="K2371" s="711"/>
      <c r="L2371" s="711"/>
      <c r="Q2371" s="11"/>
      <c r="R2371" s="11"/>
      <c r="S2371" s="11"/>
      <c r="T2371" s="11"/>
    </row>
    <row r="2372" spans="8:20" x14ac:dyDescent="0.35">
      <c r="H2372" s="711"/>
      <c r="I2372" s="711"/>
      <c r="J2372" s="711"/>
      <c r="K2372" s="711"/>
      <c r="L2372" s="711"/>
      <c r="Q2372" s="11"/>
      <c r="R2372" s="11"/>
      <c r="S2372" s="11"/>
      <c r="T2372" s="11"/>
    </row>
    <row r="2373" spans="8:20" x14ac:dyDescent="0.35">
      <c r="H2373" s="711"/>
      <c r="I2373" s="711"/>
      <c r="J2373" s="711"/>
      <c r="K2373" s="711"/>
      <c r="L2373" s="711"/>
      <c r="Q2373" s="11"/>
      <c r="R2373" s="11"/>
      <c r="S2373" s="11"/>
      <c r="T2373" s="11"/>
    </row>
    <row r="2374" spans="8:20" x14ac:dyDescent="0.35">
      <c r="H2374" s="711"/>
      <c r="I2374" s="711"/>
      <c r="J2374" s="711"/>
      <c r="K2374" s="711"/>
      <c r="L2374" s="711"/>
      <c r="Q2374" s="11"/>
      <c r="R2374" s="11"/>
      <c r="S2374" s="11"/>
      <c r="T2374" s="11"/>
    </row>
    <row r="2375" spans="8:20" x14ac:dyDescent="0.35">
      <c r="H2375" s="711"/>
      <c r="I2375" s="711"/>
      <c r="J2375" s="711"/>
      <c r="K2375" s="711"/>
      <c r="L2375" s="711"/>
      <c r="Q2375" s="11"/>
      <c r="R2375" s="11"/>
      <c r="S2375" s="11"/>
      <c r="T2375" s="11"/>
    </row>
    <row r="2376" spans="8:20" x14ac:dyDescent="0.35">
      <c r="H2376" s="711"/>
      <c r="I2376" s="711"/>
      <c r="J2376" s="711"/>
      <c r="K2376" s="711"/>
      <c r="L2376" s="711"/>
      <c r="Q2376" s="11"/>
      <c r="R2376" s="11"/>
      <c r="S2376" s="11"/>
      <c r="T2376" s="11"/>
    </row>
    <row r="2377" spans="8:20" x14ac:dyDescent="0.35">
      <c r="H2377" s="711"/>
      <c r="I2377" s="711"/>
      <c r="J2377" s="711"/>
      <c r="K2377" s="711"/>
      <c r="L2377" s="711"/>
      <c r="Q2377" s="11"/>
      <c r="R2377" s="11"/>
      <c r="S2377" s="11"/>
      <c r="T2377" s="11"/>
    </row>
    <row r="2378" spans="8:20" x14ac:dyDescent="0.35">
      <c r="H2378" s="711"/>
      <c r="I2378" s="711"/>
      <c r="J2378" s="711"/>
      <c r="K2378" s="711"/>
      <c r="L2378" s="711"/>
      <c r="Q2378" s="11"/>
      <c r="R2378" s="11"/>
      <c r="S2378" s="11"/>
      <c r="T2378" s="11"/>
    </row>
    <row r="2379" spans="8:20" x14ac:dyDescent="0.35">
      <c r="H2379" s="711"/>
      <c r="I2379" s="711"/>
      <c r="J2379" s="711"/>
      <c r="K2379" s="711"/>
      <c r="L2379" s="711"/>
      <c r="Q2379" s="11"/>
      <c r="R2379" s="11"/>
      <c r="S2379" s="11"/>
      <c r="T2379" s="11"/>
    </row>
    <row r="2380" spans="8:20" x14ac:dyDescent="0.35">
      <c r="H2380" s="711"/>
      <c r="I2380" s="711"/>
      <c r="J2380" s="711"/>
      <c r="K2380" s="711"/>
      <c r="L2380" s="711"/>
      <c r="Q2380" s="11"/>
      <c r="R2380" s="11"/>
      <c r="S2380" s="11"/>
      <c r="T2380" s="11"/>
    </row>
    <row r="2381" spans="8:20" x14ac:dyDescent="0.35">
      <c r="H2381" s="711"/>
      <c r="I2381" s="711"/>
      <c r="J2381" s="711"/>
      <c r="K2381" s="711"/>
      <c r="L2381" s="711"/>
      <c r="Q2381" s="11"/>
      <c r="R2381" s="11"/>
      <c r="S2381" s="11"/>
      <c r="T2381" s="11"/>
    </row>
    <row r="2382" spans="8:20" x14ac:dyDescent="0.35">
      <c r="H2382" s="711"/>
      <c r="I2382" s="711"/>
      <c r="J2382" s="711"/>
      <c r="K2382" s="711"/>
      <c r="L2382" s="711"/>
      <c r="Q2382" s="11"/>
      <c r="R2382" s="11"/>
      <c r="S2382" s="11"/>
      <c r="T2382" s="11"/>
    </row>
    <row r="2383" spans="8:20" x14ac:dyDescent="0.35">
      <c r="H2383" s="711"/>
      <c r="I2383" s="711"/>
      <c r="J2383" s="711"/>
      <c r="K2383" s="711"/>
      <c r="L2383" s="711"/>
      <c r="Q2383" s="11"/>
      <c r="R2383" s="11"/>
      <c r="S2383" s="11"/>
      <c r="T2383" s="11"/>
    </row>
    <row r="2384" spans="8:20" x14ac:dyDescent="0.35">
      <c r="H2384" s="711"/>
      <c r="I2384" s="711"/>
      <c r="J2384" s="711"/>
      <c r="K2384" s="711"/>
      <c r="L2384" s="711"/>
      <c r="Q2384" s="11"/>
      <c r="R2384" s="11"/>
      <c r="S2384" s="11"/>
      <c r="T2384" s="11"/>
    </row>
    <row r="2385" spans="8:20" x14ac:dyDescent="0.35">
      <c r="H2385" s="711"/>
      <c r="I2385" s="711"/>
      <c r="J2385" s="711"/>
      <c r="K2385" s="711"/>
      <c r="L2385" s="711"/>
      <c r="Q2385" s="11"/>
      <c r="R2385" s="11"/>
      <c r="S2385" s="11"/>
      <c r="T2385" s="11"/>
    </row>
    <row r="2386" spans="8:20" x14ac:dyDescent="0.35">
      <c r="H2386" s="711"/>
      <c r="I2386" s="711"/>
      <c r="J2386" s="711"/>
      <c r="K2386" s="711"/>
      <c r="L2386" s="711"/>
      <c r="Q2386" s="11"/>
      <c r="R2386" s="11"/>
      <c r="S2386" s="11"/>
      <c r="T2386" s="11"/>
    </row>
    <row r="2387" spans="8:20" x14ac:dyDescent="0.35">
      <c r="H2387" s="711"/>
      <c r="I2387" s="711"/>
      <c r="J2387" s="711"/>
      <c r="K2387" s="711"/>
      <c r="L2387" s="711"/>
      <c r="Q2387" s="11"/>
      <c r="R2387" s="11"/>
      <c r="S2387" s="11"/>
      <c r="T2387" s="11"/>
    </row>
    <row r="2388" spans="8:20" x14ac:dyDescent="0.35">
      <c r="H2388" s="711"/>
      <c r="I2388" s="711"/>
      <c r="J2388" s="711"/>
      <c r="K2388" s="711"/>
      <c r="L2388" s="711"/>
      <c r="Q2388" s="11"/>
      <c r="R2388" s="11"/>
      <c r="S2388" s="11"/>
      <c r="T2388" s="11"/>
    </row>
    <row r="2389" spans="8:20" x14ac:dyDescent="0.35">
      <c r="H2389" s="711"/>
      <c r="I2389" s="711"/>
      <c r="J2389" s="711"/>
      <c r="K2389" s="711"/>
      <c r="L2389" s="711"/>
      <c r="Q2389" s="11"/>
      <c r="R2389" s="11"/>
      <c r="S2389" s="11"/>
      <c r="T2389" s="11"/>
    </row>
    <row r="2390" spans="8:20" x14ac:dyDescent="0.35">
      <c r="H2390" s="711"/>
      <c r="I2390" s="711"/>
      <c r="J2390" s="711"/>
      <c r="K2390" s="711"/>
      <c r="L2390" s="711"/>
      <c r="Q2390" s="11"/>
      <c r="R2390" s="11"/>
      <c r="S2390" s="11"/>
      <c r="T2390" s="11"/>
    </row>
    <row r="2391" spans="8:20" x14ac:dyDescent="0.35">
      <c r="H2391" s="711"/>
      <c r="I2391" s="711"/>
      <c r="J2391" s="711"/>
      <c r="K2391" s="711"/>
      <c r="L2391" s="711"/>
      <c r="Q2391" s="11"/>
      <c r="R2391" s="11"/>
      <c r="S2391" s="11"/>
      <c r="T2391" s="11"/>
    </row>
    <row r="2392" spans="8:20" x14ac:dyDescent="0.35">
      <c r="H2392" s="711"/>
      <c r="I2392" s="711"/>
      <c r="J2392" s="711"/>
      <c r="K2392" s="711"/>
      <c r="L2392" s="711"/>
      <c r="Q2392" s="11"/>
      <c r="R2392" s="11"/>
      <c r="S2392" s="11"/>
      <c r="T2392" s="11"/>
    </row>
    <row r="2393" spans="8:20" x14ac:dyDescent="0.35">
      <c r="H2393" s="711"/>
      <c r="I2393" s="711"/>
      <c r="J2393" s="711"/>
      <c r="K2393" s="711"/>
      <c r="L2393" s="711"/>
      <c r="Q2393" s="11"/>
      <c r="R2393" s="11"/>
      <c r="S2393" s="11"/>
      <c r="T2393" s="11"/>
    </row>
    <row r="2394" spans="8:20" x14ac:dyDescent="0.35">
      <c r="H2394" s="711"/>
      <c r="I2394" s="711"/>
      <c r="J2394" s="711"/>
      <c r="K2394" s="711"/>
      <c r="L2394" s="711"/>
      <c r="Q2394" s="11"/>
      <c r="R2394" s="11"/>
      <c r="S2394" s="11"/>
      <c r="T2394" s="11"/>
    </row>
    <row r="2395" spans="8:20" x14ac:dyDescent="0.35">
      <c r="H2395" s="711"/>
      <c r="I2395" s="711"/>
      <c r="J2395" s="711"/>
      <c r="K2395" s="711"/>
      <c r="L2395" s="711"/>
      <c r="Q2395" s="11"/>
      <c r="R2395" s="11"/>
      <c r="S2395" s="11"/>
      <c r="T2395" s="11"/>
    </row>
    <row r="2396" spans="8:20" x14ac:dyDescent="0.35">
      <c r="H2396" s="711"/>
      <c r="I2396" s="711"/>
      <c r="J2396" s="711"/>
      <c r="K2396" s="711"/>
      <c r="L2396" s="711"/>
      <c r="Q2396" s="11"/>
      <c r="R2396" s="11"/>
      <c r="S2396" s="11"/>
      <c r="T2396" s="11"/>
    </row>
    <row r="2397" spans="8:20" x14ac:dyDescent="0.35">
      <c r="H2397" s="711"/>
      <c r="I2397" s="711"/>
      <c r="J2397" s="711"/>
      <c r="K2397" s="711"/>
      <c r="L2397" s="711"/>
      <c r="Q2397" s="11"/>
      <c r="R2397" s="11"/>
      <c r="S2397" s="11"/>
      <c r="T2397" s="11"/>
    </row>
    <row r="2398" spans="8:20" x14ac:dyDescent="0.35">
      <c r="H2398" s="711"/>
      <c r="I2398" s="711"/>
      <c r="J2398" s="711"/>
      <c r="K2398" s="711"/>
      <c r="L2398" s="711"/>
      <c r="Q2398" s="11"/>
      <c r="R2398" s="11"/>
      <c r="S2398" s="11"/>
      <c r="T2398" s="11"/>
    </row>
    <row r="2399" spans="8:20" x14ac:dyDescent="0.35">
      <c r="H2399" s="711"/>
      <c r="I2399" s="711"/>
      <c r="J2399" s="711"/>
      <c r="K2399" s="711"/>
      <c r="L2399" s="711"/>
      <c r="Q2399" s="11"/>
      <c r="R2399" s="11"/>
      <c r="S2399" s="11"/>
      <c r="T2399" s="11"/>
    </row>
    <row r="2400" spans="8:20" x14ac:dyDescent="0.35">
      <c r="H2400" s="711"/>
      <c r="I2400" s="711"/>
      <c r="J2400" s="711"/>
      <c r="K2400" s="711"/>
      <c r="L2400" s="711"/>
      <c r="Q2400" s="11"/>
      <c r="R2400" s="11"/>
      <c r="S2400" s="11"/>
      <c r="T2400" s="11"/>
    </row>
    <row r="2401" spans="8:20" x14ac:dyDescent="0.35">
      <c r="H2401" s="711"/>
      <c r="I2401" s="711"/>
      <c r="J2401" s="711"/>
      <c r="K2401" s="711"/>
      <c r="L2401" s="711"/>
      <c r="Q2401" s="11"/>
      <c r="R2401" s="11"/>
      <c r="S2401" s="11"/>
      <c r="T2401" s="11"/>
    </row>
    <row r="2402" spans="8:20" x14ac:dyDescent="0.35">
      <c r="H2402" s="711"/>
      <c r="I2402" s="711"/>
      <c r="J2402" s="711"/>
      <c r="K2402" s="711"/>
      <c r="L2402" s="711"/>
      <c r="Q2402" s="11"/>
      <c r="R2402" s="11"/>
      <c r="S2402" s="11"/>
      <c r="T2402" s="11"/>
    </row>
    <row r="2403" spans="8:20" x14ac:dyDescent="0.35">
      <c r="H2403" s="711"/>
      <c r="I2403" s="711"/>
      <c r="J2403" s="711"/>
      <c r="K2403" s="711"/>
      <c r="L2403" s="711"/>
      <c r="Q2403" s="11"/>
      <c r="R2403" s="11"/>
      <c r="S2403" s="11"/>
      <c r="T2403" s="11"/>
    </row>
    <row r="2404" spans="8:20" x14ac:dyDescent="0.35">
      <c r="H2404" s="711"/>
      <c r="I2404" s="711"/>
      <c r="J2404" s="711"/>
      <c r="K2404" s="711"/>
      <c r="L2404" s="711"/>
      <c r="Q2404" s="11"/>
      <c r="R2404" s="11"/>
      <c r="S2404" s="11"/>
      <c r="T2404" s="11"/>
    </row>
    <row r="2405" spans="8:20" x14ac:dyDescent="0.35">
      <c r="H2405" s="711"/>
      <c r="I2405" s="711"/>
      <c r="J2405" s="711"/>
      <c r="K2405" s="711"/>
      <c r="L2405" s="711"/>
      <c r="Q2405" s="11"/>
      <c r="R2405" s="11"/>
      <c r="S2405" s="11"/>
      <c r="T2405" s="11"/>
    </row>
    <row r="2406" spans="8:20" x14ac:dyDescent="0.35">
      <c r="H2406" s="711"/>
      <c r="I2406" s="711"/>
      <c r="J2406" s="711"/>
      <c r="K2406" s="711"/>
      <c r="L2406" s="711"/>
      <c r="Q2406" s="11"/>
      <c r="R2406" s="11"/>
      <c r="S2406" s="11"/>
      <c r="T2406" s="11"/>
    </row>
    <row r="2407" spans="8:20" x14ac:dyDescent="0.35">
      <c r="H2407" s="711"/>
      <c r="I2407" s="711"/>
      <c r="J2407" s="711"/>
      <c r="K2407" s="711"/>
      <c r="L2407" s="711"/>
      <c r="Q2407" s="11"/>
      <c r="R2407" s="11"/>
      <c r="S2407" s="11"/>
      <c r="T2407" s="11"/>
    </row>
    <row r="2408" spans="8:20" x14ac:dyDescent="0.35">
      <c r="H2408" s="711"/>
      <c r="I2408" s="711"/>
      <c r="J2408" s="711"/>
      <c r="K2408" s="711"/>
      <c r="L2408" s="711"/>
      <c r="Q2408" s="11"/>
      <c r="R2408" s="11"/>
      <c r="S2408" s="11"/>
      <c r="T2408" s="11"/>
    </row>
    <row r="2409" spans="8:20" x14ac:dyDescent="0.35">
      <c r="H2409" s="711"/>
      <c r="I2409" s="711"/>
      <c r="J2409" s="711"/>
      <c r="K2409" s="711"/>
      <c r="L2409" s="711"/>
      <c r="Q2409" s="11"/>
      <c r="R2409" s="11"/>
      <c r="S2409" s="11"/>
      <c r="T2409" s="11"/>
    </row>
    <row r="2410" spans="8:20" x14ac:dyDescent="0.35">
      <c r="H2410" s="711"/>
      <c r="I2410" s="711"/>
      <c r="J2410" s="711"/>
      <c r="K2410" s="711"/>
      <c r="L2410" s="711"/>
      <c r="Q2410" s="11"/>
      <c r="R2410" s="11"/>
      <c r="S2410" s="11"/>
      <c r="T2410" s="11"/>
    </row>
    <row r="2411" spans="8:20" x14ac:dyDescent="0.35">
      <c r="H2411" s="711"/>
      <c r="I2411" s="711"/>
      <c r="J2411" s="711"/>
      <c r="K2411" s="711"/>
      <c r="L2411" s="711"/>
      <c r="Q2411" s="11"/>
      <c r="R2411" s="11"/>
      <c r="S2411" s="11"/>
      <c r="T2411" s="11"/>
    </row>
    <row r="2412" spans="8:20" x14ac:dyDescent="0.35">
      <c r="H2412" s="711"/>
      <c r="I2412" s="711"/>
      <c r="J2412" s="711"/>
      <c r="K2412" s="711"/>
      <c r="L2412" s="711"/>
      <c r="Q2412" s="11"/>
      <c r="R2412" s="11"/>
      <c r="S2412" s="11"/>
      <c r="T2412" s="11"/>
    </row>
    <row r="2413" spans="8:20" x14ac:dyDescent="0.35">
      <c r="H2413" s="711"/>
      <c r="I2413" s="711"/>
      <c r="J2413" s="711"/>
      <c r="K2413" s="711"/>
      <c r="L2413" s="711"/>
      <c r="Q2413" s="11"/>
      <c r="R2413" s="11"/>
      <c r="S2413" s="11"/>
      <c r="T2413" s="11"/>
    </row>
    <row r="2414" spans="8:20" x14ac:dyDescent="0.35">
      <c r="H2414" s="711"/>
      <c r="I2414" s="711"/>
      <c r="J2414" s="711"/>
      <c r="K2414" s="711"/>
      <c r="L2414" s="711"/>
      <c r="Q2414" s="11"/>
      <c r="R2414" s="11"/>
      <c r="S2414" s="11"/>
      <c r="T2414" s="11"/>
    </row>
    <row r="2415" spans="8:20" x14ac:dyDescent="0.35">
      <c r="H2415" s="711"/>
      <c r="I2415" s="711"/>
      <c r="J2415" s="711"/>
      <c r="K2415" s="711"/>
      <c r="L2415" s="711"/>
      <c r="Q2415" s="11"/>
      <c r="R2415" s="11"/>
      <c r="S2415" s="11"/>
      <c r="T2415" s="11"/>
    </row>
    <row r="2416" spans="8:20" x14ac:dyDescent="0.35">
      <c r="H2416" s="711"/>
      <c r="I2416" s="711"/>
      <c r="J2416" s="711"/>
      <c r="K2416" s="711"/>
      <c r="L2416" s="711"/>
      <c r="Q2416" s="11"/>
      <c r="R2416" s="11"/>
      <c r="S2416" s="11"/>
      <c r="T2416" s="11"/>
    </row>
    <row r="2417" spans="8:20" x14ac:dyDescent="0.35">
      <c r="H2417" s="711"/>
      <c r="I2417" s="711"/>
      <c r="J2417" s="711"/>
      <c r="K2417" s="711"/>
      <c r="L2417" s="711"/>
      <c r="Q2417" s="11"/>
      <c r="R2417" s="11"/>
      <c r="S2417" s="11"/>
      <c r="T2417" s="11"/>
    </row>
    <row r="2418" spans="8:20" x14ac:dyDescent="0.35">
      <c r="H2418" s="711"/>
      <c r="I2418" s="711"/>
      <c r="J2418" s="711"/>
      <c r="K2418" s="711"/>
      <c r="L2418" s="711"/>
      <c r="Q2418" s="11"/>
      <c r="R2418" s="11"/>
      <c r="S2418" s="11"/>
      <c r="T2418" s="11"/>
    </row>
    <row r="2419" spans="8:20" x14ac:dyDescent="0.35">
      <c r="H2419" s="711"/>
      <c r="I2419" s="711"/>
      <c r="J2419" s="711"/>
      <c r="K2419" s="711"/>
      <c r="L2419" s="711"/>
      <c r="Q2419" s="11"/>
      <c r="R2419" s="11"/>
      <c r="S2419" s="11"/>
      <c r="T2419" s="11"/>
    </row>
    <row r="2420" spans="8:20" x14ac:dyDescent="0.35">
      <c r="H2420" s="711"/>
      <c r="I2420" s="711"/>
      <c r="J2420" s="711"/>
      <c r="K2420" s="711"/>
      <c r="L2420" s="711"/>
      <c r="Q2420" s="11"/>
      <c r="R2420" s="11"/>
      <c r="S2420" s="11"/>
      <c r="T2420" s="11"/>
    </row>
    <row r="2421" spans="8:20" x14ac:dyDescent="0.35">
      <c r="H2421" s="711"/>
      <c r="I2421" s="711"/>
      <c r="J2421" s="711"/>
      <c r="K2421" s="711"/>
      <c r="L2421" s="711"/>
      <c r="Q2421" s="11"/>
      <c r="R2421" s="11"/>
      <c r="S2421" s="11"/>
      <c r="T2421" s="11"/>
    </row>
    <row r="2422" spans="8:20" x14ac:dyDescent="0.35">
      <c r="H2422" s="711"/>
      <c r="I2422" s="711"/>
      <c r="J2422" s="711"/>
      <c r="K2422" s="711"/>
      <c r="L2422" s="711"/>
      <c r="Q2422" s="11"/>
      <c r="R2422" s="11"/>
      <c r="S2422" s="11"/>
      <c r="T2422" s="11"/>
    </row>
    <row r="2423" spans="8:20" x14ac:dyDescent="0.35">
      <c r="H2423" s="711"/>
      <c r="I2423" s="711"/>
      <c r="J2423" s="711"/>
      <c r="K2423" s="711"/>
      <c r="L2423" s="711"/>
      <c r="Q2423" s="11"/>
      <c r="R2423" s="11"/>
      <c r="S2423" s="11"/>
      <c r="T2423" s="11"/>
    </row>
    <row r="2424" spans="8:20" x14ac:dyDescent="0.35">
      <c r="H2424" s="711"/>
      <c r="I2424" s="711"/>
      <c r="J2424" s="711"/>
      <c r="K2424" s="711"/>
      <c r="L2424" s="711"/>
      <c r="Q2424" s="11"/>
      <c r="R2424" s="11"/>
      <c r="S2424" s="11"/>
      <c r="T2424" s="11"/>
    </row>
    <row r="2425" spans="8:20" x14ac:dyDescent="0.35">
      <c r="H2425" s="711"/>
      <c r="I2425" s="711"/>
      <c r="J2425" s="711"/>
      <c r="K2425" s="711"/>
      <c r="L2425" s="711"/>
      <c r="Q2425" s="11"/>
      <c r="R2425" s="11"/>
      <c r="S2425" s="11"/>
      <c r="T2425" s="11"/>
    </row>
    <row r="2426" spans="8:20" x14ac:dyDescent="0.35">
      <c r="H2426" s="711"/>
      <c r="I2426" s="711"/>
      <c r="J2426" s="711"/>
      <c r="K2426" s="711"/>
      <c r="L2426" s="711"/>
      <c r="Q2426" s="11"/>
      <c r="R2426" s="11"/>
      <c r="S2426" s="11"/>
      <c r="T2426" s="11"/>
    </row>
    <row r="2427" spans="8:20" x14ac:dyDescent="0.35">
      <c r="H2427" s="711"/>
      <c r="I2427" s="711"/>
      <c r="J2427" s="711"/>
      <c r="K2427" s="711"/>
      <c r="L2427" s="711"/>
      <c r="Q2427" s="11"/>
      <c r="R2427" s="11"/>
      <c r="S2427" s="11"/>
      <c r="T2427" s="11"/>
    </row>
    <row r="2428" spans="8:20" x14ac:dyDescent="0.35">
      <c r="H2428" s="711"/>
      <c r="I2428" s="711"/>
      <c r="J2428" s="711"/>
      <c r="K2428" s="711"/>
      <c r="L2428" s="711"/>
      <c r="Q2428" s="11"/>
      <c r="R2428" s="11"/>
      <c r="S2428" s="11"/>
      <c r="T2428" s="11"/>
    </row>
    <row r="2429" spans="8:20" x14ac:dyDescent="0.35">
      <c r="H2429" s="711"/>
      <c r="I2429" s="711"/>
      <c r="J2429" s="711"/>
      <c r="K2429" s="711"/>
      <c r="L2429" s="711"/>
      <c r="Q2429" s="11"/>
      <c r="R2429" s="11"/>
      <c r="S2429" s="11"/>
      <c r="T2429" s="11"/>
    </row>
    <row r="2430" spans="8:20" x14ac:dyDescent="0.35">
      <c r="H2430" s="711"/>
      <c r="I2430" s="711"/>
      <c r="J2430" s="711"/>
      <c r="K2430" s="711"/>
      <c r="L2430" s="711"/>
      <c r="Q2430" s="11"/>
      <c r="R2430" s="11"/>
      <c r="S2430" s="11"/>
      <c r="T2430" s="11"/>
    </row>
    <row r="2431" spans="8:20" x14ac:dyDescent="0.35">
      <c r="H2431" s="711"/>
      <c r="I2431" s="711"/>
      <c r="J2431" s="711"/>
      <c r="K2431" s="711"/>
      <c r="L2431" s="711"/>
      <c r="Q2431" s="11"/>
      <c r="R2431" s="11"/>
      <c r="S2431" s="11"/>
      <c r="T2431" s="11"/>
    </row>
    <row r="2432" spans="8:20" x14ac:dyDescent="0.35">
      <c r="H2432" s="711"/>
      <c r="I2432" s="711"/>
      <c r="J2432" s="711"/>
      <c r="K2432" s="711"/>
      <c r="L2432" s="711"/>
      <c r="Q2432" s="11"/>
      <c r="R2432" s="11"/>
      <c r="S2432" s="11"/>
      <c r="T2432" s="11"/>
    </row>
    <row r="2433" spans="8:20" x14ac:dyDescent="0.35">
      <c r="H2433" s="711"/>
      <c r="I2433" s="711"/>
      <c r="J2433" s="711"/>
      <c r="K2433" s="711"/>
      <c r="L2433" s="711"/>
      <c r="Q2433" s="11"/>
      <c r="R2433" s="11"/>
      <c r="S2433" s="11"/>
      <c r="T2433" s="11"/>
    </row>
    <row r="2434" spans="8:20" x14ac:dyDescent="0.35">
      <c r="H2434" s="711"/>
      <c r="I2434" s="711"/>
      <c r="J2434" s="711"/>
      <c r="K2434" s="711"/>
      <c r="L2434" s="711"/>
      <c r="Q2434" s="11"/>
      <c r="R2434" s="11"/>
      <c r="S2434" s="11"/>
      <c r="T2434" s="11"/>
    </row>
    <row r="2435" spans="8:20" x14ac:dyDescent="0.35">
      <c r="H2435" s="711"/>
      <c r="I2435" s="711"/>
      <c r="J2435" s="711"/>
      <c r="K2435" s="711"/>
      <c r="L2435" s="711"/>
      <c r="Q2435" s="11"/>
      <c r="R2435" s="11"/>
      <c r="S2435" s="11"/>
      <c r="T2435" s="11"/>
    </row>
    <row r="2436" spans="8:20" x14ac:dyDescent="0.35">
      <c r="H2436" s="711"/>
      <c r="I2436" s="711"/>
      <c r="J2436" s="711"/>
      <c r="K2436" s="711"/>
      <c r="L2436" s="711"/>
      <c r="Q2436" s="11"/>
      <c r="R2436" s="11"/>
      <c r="S2436" s="11"/>
      <c r="T2436" s="11"/>
    </row>
    <row r="2437" spans="8:20" x14ac:dyDescent="0.35">
      <c r="H2437" s="711"/>
      <c r="I2437" s="711"/>
      <c r="J2437" s="711"/>
      <c r="K2437" s="711"/>
      <c r="L2437" s="711"/>
      <c r="Q2437" s="11"/>
      <c r="R2437" s="11"/>
      <c r="S2437" s="11"/>
      <c r="T2437" s="11"/>
    </row>
    <row r="2438" spans="8:20" x14ac:dyDescent="0.35">
      <c r="H2438" s="711"/>
      <c r="I2438" s="711"/>
      <c r="J2438" s="711"/>
      <c r="K2438" s="711"/>
      <c r="L2438" s="711"/>
      <c r="Q2438" s="11"/>
      <c r="R2438" s="11"/>
      <c r="S2438" s="11"/>
      <c r="T2438" s="11"/>
    </row>
    <row r="2439" spans="8:20" x14ac:dyDescent="0.35">
      <c r="H2439" s="711"/>
      <c r="I2439" s="711"/>
      <c r="J2439" s="711"/>
      <c r="K2439" s="711"/>
      <c r="L2439" s="711"/>
      <c r="Q2439" s="11"/>
      <c r="R2439" s="11"/>
      <c r="S2439" s="11"/>
      <c r="T2439" s="11"/>
    </row>
    <row r="2440" spans="8:20" x14ac:dyDescent="0.35">
      <c r="H2440" s="711"/>
      <c r="I2440" s="711"/>
      <c r="J2440" s="711"/>
      <c r="K2440" s="711"/>
      <c r="L2440" s="711"/>
      <c r="Q2440" s="11"/>
      <c r="R2440" s="11"/>
      <c r="S2440" s="11"/>
      <c r="T2440" s="11"/>
    </row>
    <row r="2441" spans="8:20" x14ac:dyDescent="0.35">
      <c r="H2441" s="711"/>
      <c r="I2441" s="711"/>
      <c r="J2441" s="711"/>
      <c r="K2441" s="711"/>
      <c r="L2441" s="711"/>
      <c r="Q2441" s="11"/>
      <c r="R2441" s="11"/>
      <c r="S2441" s="11"/>
      <c r="T2441" s="11"/>
    </row>
    <row r="2442" spans="8:20" x14ac:dyDescent="0.35">
      <c r="H2442" s="711"/>
      <c r="I2442" s="711"/>
      <c r="J2442" s="711"/>
      <c r="K2442" s="711"/>
      <c r="L2442" s="711"/>
      <c r="Q2442" s="11"/>
      <c r="R2442" s="11"/>
      <c r="S2442" s="11"/>
      <c r="T2442" s="11"/>
    </row>
    <row r="2443" spans="8:20" x14ac:dyDescent="0.35">
      <c r="H2443" s="711"/>
      <c r="I2443" s="711"/>
      <c r="J2443" s="711"/>
      <c r="K2443" s="711"/>
      <c r="L2443" s="711"/>
      <c r="Q2443" s="11"/>
      <c r="R2443" s="11"/>
      <c r="S2443" s="11"/>
      <c r="T2443" s="11"/>
    </row>
    <row r="2444" spans="8:20" x14ac:dyDescent="0.35">
      <c r="H2444" s="711"/>
      <c r="I2444" s="711"/>
      <c r="J2444" s="711"/>
      <c r="K2444" s="711"/>
      <c r="L2444" s="711"/>
      <c r="Q2444" s="11"/>
      <c r="R2444" s="11"/>
      <c r="S2444" s="11"/>
      <c r="T2444" s="11"/>
    </row>
    <row r="2445" spans="8:20" x14ac:dyDescent="0.35">
      <c r="H2445" s="711"/>
      <c r="I2445" s="711"/>
      <c r="J2445" s="711"/>
      <c r="K2445" s="711"/>
      <c r="L2445" s="711"/>
      <c r="Q2445" s="11"/>
      <c r="R2445" s="11"/>
      <c r="S2445" s="11"/>
      <c r="T2445" s="11"/>
    </row>
    <row r="2446" spans="8:20" x14ac:dyDescent="0.35">
      <c r="H2446" s="711"/>
      <c r="I2446" s="711"/>
      <c r="J2446" s="711"/>
      <c r="K2446" s="711"/>
      <c r="L2446" s="711"/>
      <c r="Q2446" s="11"/>
      <c r="R2446" s="11"/>
      <c r="S2446" s="11"/>
      <c r="T2446" s="11"/>
    </row>
    <row r="2447" spans="8:20" x14ac:dyDescent="0.35">
      <c r="H2447" s="711"/>
      <c r="I2447" s="711"/>
      <c r="J2447" s="711"/>
      <c r="K2447" s="711"/>
      <c r="L2447" s="711"/>
      <c r="Q2447" s="11"/>
      <c r="R2447" s="11"/>
      <c r="S2447" s="11"/>
      <c r="T2447" s="11"/>
    </row>
    <row r="2448" spans="8:20" x14ac:dyDescent="0.35">
      <c r="H2448" s="711"/>
      <c r="I2448" s="711"/>
      <c r="J2448" s="711"/>
      <c r="K2448" s="711"/>
      <c r="L2448" s="711"/>
      <c r="Q2448" s="11"/>
      <c r="R2448" s="11"/>
      <c r="S2448" s="11"/>
      <c r="T2448" s="11"/>
    </row>
    <row r="2449" spans="8:20" x14ac:dyDescent="0.35">
      <c r="H2449" s="711"/>
      <c r="I2449" s="711"/>
      <c r="J2449" s="711"/>
      <c r="K2449" s="711"/>
      <c r="L2449" s="711"/>
      <c r="Q2449" s="11"/>
      <c r="R2449" s="11"/>
      <c r="S2449" s="11"/>
      <c r="T2449" s="11"/>
    </row>
    <row r="2450" spans="8:20" x14ac:dyDescent="0.35">
      <c r="H2450" s="711"/>
      <c r="I2450" s="711"/>
      <c r="J2450" s="711"/>
      <c r="K2450" s="711"/>
      <c r="L2450" s="711"/>
      <c r="Q2450" s="11"/>
      <c r="R2450" s="11"/>
      <c r="S2450" s="11"/>
      <c r="T2450" s="11"/>
    </row>
    <row r="2451" spans="8:20" x14ac:dyDescent="0.35">
      <c r="H2451" s="711"/>
      <c r="I2451" s="711"/>
      <c r="J2451" s="711"/>
      <c r="K2451" s="711"/>
      <c r="L2451" s="711"/>
      <c r="Q2451" s="11"/>
      <c r="R2451" s="11"/>
      <c r="S2451" s="11"/>
      <c r="T2451" s="11"/>
    </row>
    <row r="2452" spans="8:20" x14ac:dyDescent="0.35">
      <c r="H2452" s="711"/>
      <c r="I2452" s="711"/>
      <c r="J2452" s="711"/>
      <c r="K2452" s="711"/>
      <c r="L2452" s="711"/>
      <c r="Q2452" s="11"/>
      <c r="R2452" s="11"/>
      <c r="S2452" s="11"/>
      <c r="T2452" s="11"/>
    </row>
    <row r="2453" spans="8:20" x14ac:dyDescent="0.35">
      <c r="H2453" s="711"/>
      <c r="I2453" s="711"/>
      <c r="J2453" s="711"/>
      <c r="K2453" s="711"/>
      <c r="L2453" s="711"/>
      <c r="Q2453" s="11"/>
      <c r="R2453" s="11"/>
      <c r="S2453" s="11"/>
      <c r="T2453" s="11"/>
    </row>
    <row r="2454" spans="8:20" x14ac:dyDescent="0.35">
      <c r="H2454" s="711"/>
      <c r="I2454" s="711"/>
      <c r="J2454" s="711"/>
      <c r="K2454" s="711"/>
      <c r="L2454" s="711"/>
      <c r="Q2454" s="11"/>
      <c r="R2454" s="11"/>
      <c r="S2454" s="11"/>
      <c r="T2454" s="11"/>
    </row>
    <row r="2455" spans="8:20" x14ac:dyDescent="0.35">
      <c r="H2455" s="711"/>
      <c r="I2455" s="711"/>
      <c r="J2455" s="711"/>
      <c r="K2455" s="711"/>
      <c r="L2455" s="711"/>
      <c r="Q2455" s="11"/>
      <c r="R2455" s="11"/>
      <c r="S2455" s="11"/>
      <c r="T2455" s="11"/>
    </row>
    <row r="2456" spans="8:20" x14ac:dyDescent="0.35">
      <c r="H2456" s="711"/>
      <c r="I2456" s="711"/>
      <c r="J2456" s="711"/>
      <c r="K2456" s="711"/>
      <c r="L2456" s="711"/>
      <c r="Q2456" s="11"/>
      <c r="R2456" s="11"/>
      <c r="S2456" s="11"/>
      <c r="T2456" s="11"/>
    </row>
    <row r="2457" spans="8:20" x14ac:dyDescent="0.35">
      <c r="H2457" s="711"/>
      <c r="I2457" s="711"/>
      <c r="J2457" s="711"/>
      <c r="K2457" s="711"/>
      <c r="L2457" s="711"/>
      <c r="Q2457" s="11"/>
      <c r="R2457" s="11"/>
      <c r="S2457" s="11"/>
      <c r="T2457" s="11"/>
    </row>
    <row r="2458" spans="8:20" x14ac:dyDescent="0.35">
      <c r="H2458" s="711"/>
      <c r="I2458" s="711"/>
      <c r="J2458" s="711"/>
      <c r="K2458" s="711"/>
      <c r="L2458" s="711"/>
      <c r="Q2458" s="11"/>
      <c r="R2458" s="11"/>
      <c r="S2458" s="11"/>
      <c r="T2458" s="11"/>
    </row>
    <row r="2459" spans="8:20" x14ac:dyDescent="0.35">
      <c r="H2459" s="711"/>
      <c r="I2459" s="711"/>
      <c r="J2459" s="711"/>
      <c r="K2459" s="711"/>
      <c r="L2459" s="711"/>
      <c r="Q2459" s="11"/>
      <c r="R2459" s="11"/>
      <c r="S2459" s="11"/>
      <c r="T2459" s="11"/>
    </row>
    <row r="2460" spans="8:20" x14ac:dyDescent="0.35">
      <c r="H2460" s="711"/>
      <c r="I2460" s="711"/>
      <c r="J2460" s="711"/>
      <c r="K2460" s="711"/>
      <c r="L2460" s="711"/>
      <c r="Q2460" s="11"/>
      <c r="R2460" s="11"/>
      <c r="S2460" s="11"/>
      <c r="T2460" s="11"/>
    </row>
    <row r="2461" spans="8:20" x14ac:dyDescent="0.35">
      <c r="H2461" s="711"/>
      <c r="I2461" s="711"/>
      <c r="J2461" s="711"/>
      <c r="K2461" s="711"/>
      <c r="L2461" s="711"/>
      <c r="Q2461" s="11"/>
      <c r="R2461" s="11"/>
      <c r="S2461" s="11"/>
      <c r="T2461" s="11"/>
    </row>
    <row r="2462" spans="8:20" x14ac:dyDescent="0.35">
      <c r="H2462" s="711"/>
      <c r="I2462" s="711"/>
      <c r="J2462" s="711"/>
      <c r="K2462" s="711"/>
      <c r="L2462" s="711"/>
      <c r="Q2462" s="11"/>
      <c r="R2462" s="11"/>
      <c r="S2462" s="11"/>
      <c r="T2462" s="11"/>
    </row>
    <row r="2463" spans="8:20" x14ac:dyDescent="0.35">
      <c r="H2463" s="711"/>
      <c r="I2463" s="711"/>
      <c r="J2463" s="711"/>
      <c r="K2463" s="711"/>
      <c r="L2463" s="711"/>
      <c r="Q2463" s="11"/>
      <c r="R2463" s="11"/>
      <c r="S2463" s="11"/>
      <c r="T2463" s="11"/>
    </row>
    <row r="2464" spans="8:20" x14ac:dyDescent="0.35">
      <c r="H2464" s="711"/>
      <c r="I2464" s="711"/>
      <c r="J2464" s="711"/>
      <c r="K2464" s="711"/>
      <c r="L2464" s="711"/>
      <c r="Q2464" s="11"/>
      <c r="R2464" s="11"/>
      <c r="S2464" s="11"/>
      <c r="T2464" s="11"/>
    </row>
    <row r="2465" spans="8:20" x14ac:dyDescent="0.35">
      <c r="H2465" s="711"/>
      <c r="I2465" s="711"/>
      <c r="J2465" s="711"/>
      <c r="K2465" s="711"/>
      <c r="L2465" s="711"/>
      <c r="Q2465" s="11"/>
      <c r="R2465" s="11"/>
      <c r="S2465" s="11"/>
      <c r="T2465" s="11"/>
    </row>
    <row r="2466" spans="8:20" x14ac:dyDescent="0.35">
      <c r="H2466" s="711"/>
      <c r="I2466" s="711"/>
      <c r="J2466" s="711"/>
      <c r="K2466" s="711"/>
      <c r="L2466" s="711"/>
      <c r="Q2466" s="11"/>
      <c r="R2466" s="11"/>
      <c r="S2466" s="11"/>
      <c r="T2466" s="11"/>
    </row>
    <row r="2467" spans="8:20" x14ac:dyDescent="0.35">
      <c r="H2467" s="711"/>
      <c r="I2467" s="711"/>
      <c r="J2467" s="711"/>
      <c r="K2467" s="711"/>
      <c r="L2467" s="711"/>
      <c r="Q2467" s="11"/>
      <c r="R2467" s="11"/>
      <c r="S2467" s="11"/>
      <c r="T2467" s="11"/>
    </row>
    <row r="2468" spans="8:20" x14ac:dyDescent="0.35">
      <c r="H2468" s="711"/>
      <c r="I2468" s="711"/>
      <c r="J2468" s="711"/>
      <c r="K2468" s="711"/>
      <c r="L2468" s="711"/>
      <c r="Q2468" s="11"/>
      <c r="R2468" s="11"/>
      <c r="S2468" s="11"/>
      <c r="T2468" s="11"/>
    </row>
    <row r="2469" spans="8:20" x14ac:dyDescent="0.35">
      <c r="H2469" s="711"/>
      <c r="I2469" s="711"/>
      <c r="J2469" s="711"/>
      <c r="K2469" s="711"/>
      <c r="L2469" s="711"/>
      <c r="Q2469" s="11"/>
      <c r="R2469" s="11"/>
      <c r="S2469" s="11"/>
      <c r="T2469" s="11"/>
    </row>
    <row r="2470" spans="8:20" x14ac:dyDescent="0.35">
      <c r="H2470" s="711"/>
      <c r="I2470" s="711"/>
      <c r="J2470" s="711"/>
      <c r="K2470" s="711"/>
      <c r="L2470" s="711"/>
      <c r="Q2470" s="11"/>
      <c r="R2470" s="11"/>
      <c r="S2470" s="11"/>
      <c r="T2470" s="11"/>
    </row>
    <row r="2471" spans="8:20" x14ac:dyDescent="0.35">
      <c r="H2471" s="711"/>
      <c r="I2471" s="711"/>
      <c r="J2471" s="711"/>
      <c r="K2471" s="711"/>
      <c r="L2471" s="711"/>
      <c r="Q2471" s="11"/>
      <c r="R2471" s="11"/>
      <c r="S2471" s="11"/>
      <c r="T2471" s="11"/>
    </row>
    <row r="2472" spans="8:20" x14ac:dyDescent="0.35">
      <c r="H2472" s="711"/>
      <c r="I2472" s="711"/>
      <c r="J2472" s="711"/>
      <c r="K2472" s="711"/>
      <c r="L2472" s="711"/>
      <c r="Q2472" s="11"/>
      <c r="R2472" s="11"/>
      <c r="S2472" s="11"/>
      <c r="T2472" s="11"/>
    </row>
    <row r="2473" spans="8:20" x14ac:dyDescent="0.35">
      <c r="H2473" s="711"/>
      <c r="I2473" s="711"/>
      <c r="J2473" s="711"/>
      <c r="K2473" s="711"/>
      <c r="L2473" s="711"/>
      <c r="Q2473" s="11"/>
      <c r="R2473" s="11"/>
      <c r="S2473" s="11"/>
      <c r="T2473" s="11"/>
    </row>
    <row r="2474" spans="8:20" x14ac:dyDescent="0.35">
      <c r="H2474" s="711"/>
      <c r="I2474" s="711"/>
      <c r="J2474" s="711"/>
      <c r="K2474" s="711"/>
      <c r="L2474" s="711"/>
      <c r="Q2474" s="11"/>
      <c r="R2474" s="11"/>
      <c r="S2474" s="11"/>
      <c r="T2474" s="11"/>
    </row>
    <row r="2475" spans="8:20" x14ac:dyDescent="0.35">
      <c r="H2475" s="711"/>
      <c r="I2475" s="711"/>
      <c r="J2475" s="711"/>
      <c r="K2475" s="711"/>
      <c r="L2475" s="711"/>
      <c r="Q2475" s="11"/>
      <c r="R2475" s="11"/>
      <c r="S2475" s="11"/>
      <c r="T2475" s="11"/>
    </row>
    <row r="2476" spans="8:20" x14ac:dyDescent="0.35">
      <c r="H2476" s="711"/>
      <c r="I2476" s="711"/>
      <c r="J2476" s="711"/>
      <c r="K2476" s="711"/>
      <c r="L2476" s="711"/>
      <c r="Q2476" s="11"/>
      <c r="R2476" s="11"/>
      <c r="S2476" s="11"/>
      <c r="T2476" s="11"/>
    </row>
    <row r="2477" spans="8:20" x14ac:dyDescent="0.35">
      <c r="H2477" s="711"/>
      <c r="I2477" s="711"/>
      <c r="J2477" s="711"/>
      <c r="K2477" s="711"/>
      <c r="L2477" s="711"/>
      <c r="Q2477" s="11"/>
      <c r="R2477" s="11"/>
      <c r="S2477" s="11"/>
      <c r="T2477" s="11"/>
    </row>
    <row r="2478" spans="8:20" x14ac:dyDescent="0.35">
      <c r="H2478" s="711"/>
      <c r="I2478" s="711"/>
      <c r="J2478" s="711"/>
      <c r="K2478" s="711"/>
      <c r="L2478" s="711"/>
      <c r="Q2478" s="11"/>
      <c r="R2478" s="11"/>
      <c r="S2478" s="11"/>
      <c r="T2478" s="11"/>
    </row>
    <row r="2479" spans="8:20" x14ac:dyDescent="0.35">
      <c r="H2479" s="711"/>
      <c r="I2479" s="711"/>
      <c r="J2479" s="711"/>
      <c r="K2479" s="711"/>
      <c r="L2479" s="711"/>
      <c r="Q2479" s="11"/>
      <c r="R2479" s="11"/>
      <c r="S2479" s="11"/>
      <c r="T2479" s="11"/>
    </row>
    <row r="2480" spans="8:20" x14ac:dyDescent="0.35">
      <c r="H2480" s="711"/>
      <c r="I2480" s="711"/>
      <c r="J2480" s="711"/>
      <c r="K2480" s="711"/>
      <c r="L2480" s="711"/>
      <c r="Q2480" s="11"/>
      <c r="R2480" s="11"/>
      <c r="S2480" s="11"/>
      <c r="T2480" s="11"/>
    </row>
    <row r="2481" spans="8:20" x14ac:dyDescent="0.35">
      <c r="H2481" s="711"/>
      <c r="I2481" s="711"/>
      <c r="J2481" s="711"/>
      <c r="K2481" s="711"/>
      <c r="L2481" s="711"/>
      <c r="Q2481" s="11"/>
      <c r="R2481" s="11"/>
      <c r="S2481" s="11"/>
      <c r="T2481" s="11"/>
    </row>
    <row r="2482" spans="8:20" x14ac:dyDescent="0.35">
      <c r="H2482" s="711"/>
      <c r="I2482" s="711"/>
      <c r="J2482" s="711"/>
      <c r="K2482" s="711"/>
      <c r="L2482" s="711"/>
      <c r="Q2482" s="11"/>
      <c r="R2482" s="11"/>
      <c r="S2482" s="11"/>
      <c r="T2482" s="11"/>
    </row>
    <row r="2483" spans="8:20" x14ac:dyDescent="0.35">
      <c r="H2483" s="711"/>
      <c r="I2483" s="711"/>
      <c r="J2483" s="711"/>
      <c r="K2483" s="711"/>
      <c r="L2483" s="711"/>
      <c r="Q2483" s="11"/>
      <c r="R2483" s="11"/>
      <c r="S2483" s="11"/>
      <c r="T2483" s="11"/>
    </row>
    <row r="2484" spans="8:20" x14ac:dyDescent="0.35">
      <c r="H2484" s="711"/>
      <c r="I2484" s="711"/>
      <c r="J2484" s="711"/>
      <c r="K2484" s="711"/>
      <c r="L2484" s="711"/>
      <c r="Q2484" s="11"/>
      <c r="R2484" s="11"/>
      <c r="S2484" s="11"/>
      <c r="T2484" s="11"/>
    </row>
    <row r="2485" spans="8:20" x14ac:dyDescent="0.35">
      <c r="H2485" s="711"/>
      <c r="I2485" s="711"/>
      <c r="J2485" s="711"/>
      <c r="K2485" s="711"/>
      <c r="L2485" s="711"/>
      <c r="Q2485" s="11"/>
      <c r="R2485" s="11"/>
      <c r="S2485" s="11"/>
      <c r="T2485" s="11"/>
    </row>
    <row r="2486" spans="8:20" x14ac:dyDescent="0.35">
      <c r="H2486" s="711"/>
      <c r="I2486" s="711"/>
      <c r="J2486" s="711"/>
      <c r="K2486" s="711"/>
      <c r="L2486" s="711"/>
      <c r="Q2486" s="11"/>
      <c r="R2486" s="11"/>
      <c r="S2486" s="11"/>
      <c r="T2486" s="11"/>
    </row>
    <row r="2487" spans="8:20" x14ac:dyDescent="0.35">
      <c r="H2487" s="711"/>
      <c r="I2487" s="711"/>
      <c r="J2487" s="711"/>
      <c r="K2487" s="711"/>
      <c r="L2487" s="711"/>
      <c r="Q2487" s="11"/>
      <c r="R2487" s="11"/>
      <c r="S2487" s="11"/>
      <c r="T2487" s="11"/>
    </row>
    <row r="2488" spans="8:20" x14ac:dyDescent="0.35">
      <c r="H2488" s="711"/>
      <c r="I2488" s="711"/>
      <c r="J2488" s="711"/>
      <c r="K2488" s="711"/>
      <c r="L2488" s="711"/>
      <c r="Q2488" s="11"/>
      <c r="R2488" s="11"/>
      <c r="S2488" s="11"/>
      <c r="T2488" s="11"/>
    </row>
    <row r="2489" spans="8:20" x14ac:dyDescent="0.35">
      <c r="H2489" s="711"/>
      <c r="I2489" s="711"/>
      <c r="J2489" s="711"/>
      <c r="K2489" s="711"/>
      <c r="L2489" s="711"/>
      <c r="Q2489" s="11"/>
      <c r="R2489" s="11"/>
      <c r="S2489" s="11"/>
      <c r="T2489" s="11"/>
    </row>
    <row r="2490" spans="8:20" x14ac:dyDescent="0.35">
      <c r="H2490" s="711"/>
      <c r="I2490" s="711"/>
      <c r="J2490" s="711"/>
      <c r="K2490" s="711"/>
      <c r="L2490" s="711"/>
      <c r="Q2490" s="11"/>
      <c r="R2490" s="11"/>
      <c r="S2490" s="11"/>
      <c r="T2490" s="11"/>
    </row>
    <row r="2491" spans="8:20" x14ac:dyDescent="0.35">
      <c r="H2491" s="711"/>
      <c r="I2491" s="711"/>
      <c r="J2491" s="711"/>
      <c r="K2491" s="711"/>
      <c r="L2491" s="711"/>
      <c r="Q2491" s="11"/>
      <c r="R2491" s="11"/>
      <c r="S2491" s="11"/>
      <c r="T2491" s="11"/>
    </row>
    <row r="2492" spans="8:20" x14ac:dyDescent="0.35">
      <c r="H2492" s="711"/>
      <c r="I2492" s="711"/>
      <c r="J2492" s="711"/>
      <c r="K2492" s="711"/>
      <c r="L2492" s="711"/>
      <c r="Q2492" s="11"/>
      <c r="R2492" s="11"/>
      <c r="S2492" s="11"/>
      <c r="T2492" s="11"/>
    </row>
    <row r="2493" spans="8:20" x14ac:dyDescent="0.35">
      <c r="H2493" s="711"/>
      <c r="I2493" s="711"/>
      <c r="J2493" s="711"/>
      <c r="K2493" s="711"/>
      <c r="L2493" s="711"/>
      <c r="Q2493" s="11"/>
      <c r="R2493" s="11"/>
      <c r="S2493" s="11"/>
      <c r="T2493" s="11"/>
    </row>
    <row r="2494" spans="8:20" x14ac:dyDescent="0.35">
      <c r="H2494" s="711"/>
      <c r="I2494" s="711"/>
      <c r="J2494" s="711"/>
      <c r="K2494" s="711"/>
      <c r="L2494" s="711"/>
      <c r="Q2494" s="11"/>
      <c r="R2494" s="11"/>
      <c r="S2494" s="11"/>
      <c r="T2494" s="11"/>
    </row>
    <row r="2495" spans="8:20" x14ac:dyDescent="0.35">
      <c r="H2495" s="711"/>
      <c r="I2495" s="711"/>
      <c r="J2495" s="711"/>
      <c r="K2495" s="711"/>
      <c r="L2495" s="711"/>
      <c r="Q2495" s="11"/>
      <c r="R2495" s="11"/>
      <c r="S2495" s="11"/>
      <c r="T2495" s="11"/>
    </row>
    <row r="2496" spans="8:20" x14ac:dyDescent="0.35">
      <c r="H2496" s="711"/>
      <c r="I2496" s="711"/>
      <c r="J2496" s="711"/>
      <c r="K2496" s="711"/>
      <c r="L2496" s="711"/>
      <c r="Q2496" s="11"/>
      <c r="R2496" s="11"/>
      <c r="S2496" s="11"/>
      <c r="T2496" s="11"/>
    </row>
    <row r="2497" spans="8:20" x14ac:dyDescent="0.35">
      <c r="H2497" s="711"/>
      <c r="I2497" s="711"/>
      <c r="J2497" s="711"/>
      <c r="K2497" s="711"/>
      <c r="L2497" s="711"/>
      <c r="Q2497" s="11"/>
      <c r="R2497" s="11"/>
      <c r="S2497" s="11"/>
      <c r="T2497" s="11"/>
    </row>
    <row r="2498" spans="8:20" x14ac:dyDescent="0.35">
      <c r="H2498" s="711"/>
      <c r="I2498" s="711"/>
      <c r="J2498" s="711"/>
      <c r="K2498" s="711"/>
      <c r="L2498" s="711"/>
      <c r="Q2498" s="11"/>
      <c r="R2498" s="11"/>
      <c r="S2498" s="11"/>
      <c r="T2498" s="11"/>
    </row>
    <row r="2499" spans="8:20" x14ac:dyDescent="0.35">
      <c r="H2499" s="711"/>
      <c r="I2499" s="711"/>
      <c r="J2499" s="711"/>
      <c r="K2499" s="711"/>
      <c r="L2499" s="711"/>
      <c r="Q2499" s="11"/>
      <c r="R2499" s="11"/>
      <c r="S2499" s="11"/>
      <c r="T2499" s="11"/>
    </row>
    <row r="2500" spans="8:20" x14ac:dyDescent="0.35">
      <c r="H2500" s="711"/>
      <c r="I2500" s="711"/>
      <c r="J2500" s="711"/>
      <c r="K2500" s="711"/>
      <c r="L2500" s="711"/>
      <c r="Q2500" s="11"/>
      <c r="R2500" s="11"/>
      <c r="S2500" s="11"/>
      <c r="T2500" s="11"/>
    </row>
    <row r="2501" spans="8:20" x14ac:dyDescent="0.35">
      <c r="H2501" s="711"/>
      <c r="I2501" s="711"/>
      <c r="J2501" s="711"/>
      <c r="K2501" s="711"/>
      <c r="L2501" s="711"/>
      <c r="Q2501" s="11"/>
      <c r="R2501" s="11"/>
      <c r="S2501" s="11"/>
      <c r="T2501" s="11"/>
    </row>
    <row r="2502" spans="8:20" x14ac:dyDescent="0.35">
      <c r="H2502" s="711"/>
      <c r="I2502" s="711"/>
      <c r="J2502" s="711"/>
      <c r="K2502" s="711"/>
      <c r="L2502" s="711"/>
      <c r="Q2502" s="11"/>
      <c r="R2502" s="11"/>
      <c r="S2502" s="11"/>
      <c r="T2502" s="11"/>
    </row>
    <row r="2503" spans="8:20" x14ac:dyDescent="0.35">
      <c r="H2503" s="711"/>
      <c r="I2503" s="711"/>
      <c r="J2503" s="711"/>
      <c r="K2503" s="711"/>
      <c r="L2503" s="711"/>
      <c r="Q2503" s="11"/>
      <c r="R2503" s="11"/>
      <c r="S2503" s="11"/>
      <c r="T2503" s="11"/>
    </row>
    <row r="2504" spans="8:20" x14ac:dyDescent="0.35">
      <c r="H2504" s="711"/>
      <c r="I2504" s="711"/>
      <c r="J2504" s="711"/>
      <c r="K2504" s="711"/>
      <c r="L2504" s="711"/>
      <c r="Q2504" s="11"/>
      <c r="R2504" s="11"/>
      <c r="S2504" s="11"/>
      <c r="T2504" s="11"/>
    </row>
    <row r="2505" spans="8:20" x14ac:dyDescent="0.35">
      <c r="H2505" s="711"/>
      <c r="I2505" s="711"/>
      <c r="J2505" s="711"/>
      <c r="K2505" s="711"/>
      <c r="L2505" s="711"/>
      <c r="Q2505" s="11"/>
      <c r="R2505" s="11"/>
      <c r="S2505" s="11"/>
      <c r="T2505" s="11"/>
    </row>
    <row r="2506" spans="8:20" x14ac:dyDescent="0.35">
      <c r="H2506" s="711"/>
      <c r="I2506" s="711"/>
      <c r="J2506" s="711"/>
      <c r="K2506" s="711"/>
      <c r="L2506" s="711"/>
      <c r="Q2506" s="11"/>
      <c r="R2506" s="11"/>
      <c r="S2506" s="11"/>
      <c r="T2506" s="11"/>
    </row>
    <row r="2507" spans="8:20" x14ac:dyDescent="0.35">
      <c r="H2507" s="711"/>
      <c r="I2507" s="711"/>
      <c r="J2507" s="711"/>
      <c r="K2507" s="711"/>
      <c r="L2507" s="711"/>
      <c r="Q2507" s="11"/>
      <c r="R2507" s="11"/>
      <c r="S2507" s="11"/>
      <c r="T2507" s="11"/>
    </row>
    <row r="2508" spans="8:20" x14ac:dyDescent="0.35">
      <c r="H2508" s="711"/>
      <c r="I2508" s="711"/>
      <c r="J2508" s="711"/>
      <c r="K2508" s="711"/>
      <c r="L2508" s="711"/>
      <c r="Q2508" s="11"/>
      <c r="R2508" s="11"/>
      <c r="S2508" s="11"/>
      <c r="T2508" s="11"/>
    </row>
    <row r="2509" spans="8:20" x14ac:dyDescent="0.35">
      <c r="H2509" s="711"/>
      <c r="I2509" s="711"/>
      <c r="J2509" s="711"/>
      <c r="K2509" s="711"/>
      <c r="L2509" s="711"/>
      <c r="Q2509" s="11"/>
      <c r="R2509" s="11"/>
      <c r="S2509" s="11"/>
      <c r="T2509" s="11"/>
    </row>
    <row r="2510" spans="8:20" x14ac:dyDescent="0.35">
      <c r="H2510" s="711"/>
      <c r="I2510" s="711"/>
      <c r="J2510" s="711"/>
      <c r="K2510" s="711"/>
      <c r="L2510" s="711"/>
      <c r="Q2510" s="11"/>
      <c r="R2510" s="11"/>
      <c r="S2510" s="11"/>
      <c r="T2510" s="11"/>
    </row>
    <row r="2511" spans="8:20" x14ac:dyDescent="0.35">
      <c r="H2511" s="711"/>
      <c r="I2511" s="711"/>
      <c r="J2511" s="711"/>
      <c r="K2511" s="711"/>
      <c r="L2511" s="711"/>
      <c r="Q2511" s="11"/>
      <c r="R2511" s="11"/>
      <c r="S2511" s="11"/>
      <c r="T2511" s="11"/>
    </row>
    <row r="2512" spans="8:20" x14ac:dyDescent="0.35">
      <c r="H2512" s="711"/>
      <c r="I2512" s="711"/>
      <c r="J2512" s="711"/>
      <c r="K2512" s="711"/>
      <c r="L2512" s="711"/>
      <c r="Q2512" s="11"/>
      <c r="R2512" s="11"/>
      <c r="S2512" s="11"/>
      <c r="T2512" s="11"/>
    </row>
    <row r="2513" spans="8:20" x14ac:dyDescent="0.35">
      <c r="H2513" s="711"/>
      <c r="I2513" s="711"/>
      <c r="J2513" s="711"/>
      <c r="K2513" s="711"/>
      <c r="L2513" s="711"/>
      <c r="Q2513" s="11"/>
      <c r="R2513" s="11"/>
      <c r="S2513" s="11"/>
      <c r="T2513" s="11"/>
    </row>
    <row r="2514" spans="8:20" x14ac:dyDescent="0.35">
      <c r="H2514" s="711"/>
      <c r="I2514" s="711"/>
      <c r="J2514" s="711"/>
      <c r="K2514" s="711"/>
      <c r="L2514" s="711"/>
      <c r="Q2514" s="11"/>
      <c r="R2514" s="11"/>
      <c r="S2514" s="11"/>
      <c r="T2514" s="11"/>
    </row>
    <row r="2515" spans="8:20" x14ac:dyDescent="0.35">
      <c r="H2515" s="711"/>
      <c r="I2515" s="711"/>
      <c r="J2515" s="711"/>
      <c r="K2515" s="711"/>
      <c r="L2515" s="711"/>
      <c r="Q2515" s="11"/>
      <c r="R2515" s="11"/>
      <c r="S2515" s="11"/>
      <c r="T2515" s="11"/>
    </row>
    <row r="2516" spans="8:20" x14ac:dyDescent="0.35">
      <c r="H2516" s="711"/>
      <c r="I2516" s="711"/>
      <c r="J2516" s="711"/>
      <c r="K2516" s="711"/>
      <c r="L2516" s="711"/>
      <c r="Q2516" s="11"/>
      <c r="R2516" s="11"/>
      <c r="S2516" s="11"/>
      <c r="T2516" s="11"/>
    </row>
    <row r="2517" spans="8:20" x14ac:dyDescent="0.35">
      <c r="H2517" s="711"/>
      <c r="I2517" s="711"/>
      <c r="J2517" s="711"/>
      <c r="K2517" s="711"/>
      <c r="L2517" s="711"/>
      <c r="Q2517" s="11"/>
      <c r="R2517" s="11"/>
      <c r="S2517" s="11"/>
      <c r="T2517" s="11"/>
    </row>
    <row r="2518" spans="8:20" x14ac:dyDescent="0.35">
      <c r="H2518" s="711"/>
      <c r="I2518" s="711"/>
      <c r="J2518" s="711"/>
      <c r="K2518" s="711"/>
      <c r="L2518" s="711"/>
      <c r="Q2518" s="11"/>
      <c r="R2518" s="11"/>
      <c r="S2518" s="11"/>
      <c r="T2518" s="11"/>
    </row>
    <row r="2519" spans="8:20" x14ac:dyDescent="0.35">
      <c r="H2519" s="711"/>
      <c r="I2519" s="711"/>
      <c r="J2519" s="711"/>
      <c r="K2519" s="711"/>
      <c r="L2519" s="711"/>
      <c r="Q2519" s="11"/>
      <c r="R2519" s="11"/>
      <c r="S2519" s="11"/>
      <c r="T2519" s="11"/>
    </row>
    <row r="2520" spans="8:20" x14ac:dyDescent="0.35">
      <c r="H2520" s="711"/>
      <c r="I2520" s="711"/>
      <c r="J2520" s="711"/>
      <c r="K2520" s="711"/>
      <c r="L2520" s="711"/>
      <c r="Q2520" s="11"/>
      <c r="R2520" s="11"/>
      <c r="S2520" s="11"/>
      <c r="T2520" s="11"/>
    </row>
    <row r="2521" spans="8:20" x14ac:dyDescent="0.35">
      <c r="H2521" s="711"/>
      <c r="I2521" s="711"/>
      <c r="J2521" s="711"/>
      <c r="K2521" s="711"/>
      <c r="L2521" s="711"/>
      <c r="Q2521" s="11"/>
      <c r="R2521" s="11"/>
      <c r="S2521" s="11"/>
      <c r="T2521" s="11"/>
    </row>
    <row r="2522" spans="8:20" x14ac:dyDescent="0.35">
      <c r="H2522" s="711"/>
      <c r="I2522" s="711"/>
      <c r="J2522" s="711"/>
      <c r="K2522" s="711"/>
      <c r="L2522" s="711"/>
      <c r="Q2522" s="11"/>
      <c r="R2522" s="11"/>
      <c r="S2522" s="11"/>
      <c r="T2522" s="11"/>
    </row>
    <row r="2523" spans="8:20" x14ac:dyDescent="0.35">
      <c r="H2523" s="711"/>
      <c r="I2523" s="711"/>
      <c r="J2523" s="711"/>
      <c r="K2523" s="711"/>
      <c r="L2523" s="711"/>
      <c r="Q2523" s="11"/>
      <c r="R2523" s="11"/>
      <c r="S2523" s="11"/>
      <c r="T2523" s="11"/>
    </row>
    <row r="2524" spans="8:20" x14ac:dyDescent="0.35">
      <c r="H2524" s="711"/>
      <c r="I2524" s="711"/>
      <c r="J2524" s="711"/>
      <c r="K2524" s="711"/>
      <c r="L2524" s="711"/>
      <c r="Q2524" s="11"/>
      <c r="R2524" s="11"/>
      <c r="S2524" s="11"/>
      <c r="T2524" s="11"/>
    </row>
    <row r="2525" spans="8:20" x14ac:dyDescent="0.35">
      <c r="H2525" s="711"/>
      <c r="I2525" s="711"/>
      <c r="J2525" s="711"/>
      <c r="K2525" s="711"/>
      <c r="L2525" s="711"/>
      <c r="Q2525" s="11"/>
      <c r="R2525" s="11"/>
      <c r="S2525" s="11"/>
      <c r="T2525" s="11"/>
    </row>
    <row r="2526" spans="8:20" x14ac:dyDescent="0.35">
      <c r="H2526" s="711"/>
      <c r="I2526" s="711"/>
      <c r="J2526" s="711"/>
      <c r="K2526" s="711"/>
      <c r="L2526" s="711"/>
      <c r="Q2526" s="11"/>
      <c r="R2526" s="11"/>
      <c r="S2526" s="11"/>
      <c r="T2526" s="11"/>
    </row>
    <row r="2527" spans="8:20" x14ac:dyDescent="0.35">
      <c r="H2527" s="711"/>
      <c r="I2527" s="711"/>
      <c r="J2527" s="711"/>
      <c r="K2527" s="711"/>
      <c r="L2527" s="711"/>
      <c r="Q2527" s="11"/>
      <c r="R2527" s="11"/>
      <c r="S2527" s="11"/>
      <c r="T2527" s="11"/>
    </row>
    <row r="2528" spans="8:20" x14ac:dyDescent="0.35">
      <c r="H2528" s="711"/>
      <c r="I2528" s="711"/>
      <c r="J2528" s="711"/>
      <c r="K2528" s="711"/>
      <c r="L2528" s="711"/>
      <c r="Q2528" s="11"/>
      <c r="R2528" s="11"/>
      <c r="S2528" s="11"/>
      <c r="T2528" s="11"/>
    </row>
    <row r="2529" spans="8:20" x14ac:dyDescent="0.35">
      <c r="H2529" s="711"/>
      <c r="I2529" s="711"/>
      <c r="J2529" s="711"/>
      <c r="K2529" s="711"/>
      <c r="L2529" s="711"/>
      <c r="Q2529" s="11"/>
      <c r="R2529" s="11"/>
      <c r="S2529" s="11"/>
      <c r="T2529" s="11"/>
    </row>
    <row r="2530" spans="8:20" x14ac:dyDescent="0.35">
      <c r="H2530" s="711"/>
      <c r="I2530" s="711"/>
      <c r="J2530" s="711"/>
      <c r="K2530" s="711"/>
      <c r="L2530" s="711"/>
      <c r="Q2530" s="11"/>
      <c r="R2530" s="11"/>
      <c r="S2530" s="11"/>
      <c r="T2530" s="11"/>
    </row>
    <row r="2531" spans="8:20" x14ac:dyDescent="0.35">
      <c r="H2531" s="711"/>
      <c r="I2531" s="711"/>
      <c r="J2531" s="711"/>
      <c r="K2531" s="711"/>
      <c r="L2531" s="711"/>
      <c r="Q2531" s="11"/>
      <c r="R2531" s="11"/>
      <c r="S2531" s="11"/>
      <c r="T2531" s="11"/>
    </row>
    <row r="2532" spans="8:20" x14ac:dyDescent="0.35">
      <c r="H2532" s="711"/>
      <c r="I2532" s="711"/>
      <c r="J2532" s="711"/>
      <c r="K2532" s="711"/>
      <c r="L2532" s="711"/>
      <c r="Q2532" s="11"/>
      <c r="R2532" s="11"/>
      <c r="S2532" s="11"/>
      <c r="T2532" s="11"/>
    </row>
    <row r="2533" spans="8:20" x14ac:dyDescent="0.35">
      <c r="H2533" s="711"/>
      <c r="I2533" s="711"/>
      <c r="J2533" s="711"/>
      <c r="K2533" s="711"/>
      <c r="L2533" s="711"/>
      <c r="Q2533" s="11"/>
      <c r="R2533" s="11"/>
      <c r="S2533" s="11"/>
      <c r="T2533" s="11"/>
    </row>
    <row r="2534" spans="8:20" x14ac:dyDescent="0.35">
      <c r="H2534" s="711"/>
      <c r="I2534" s="711"/>
      <c r="J2534" s="711"/>
      <c r="K2534" s="711"/>
      <c r="L2534" s="711"/>
      <c r="Q2534" s="11"/>
      <c r="R2534" s="11"/>
      <c r="S2534" s="11"/>
      <c r="T2534" s="11"/>
    </row>
    <row r="2535" spans="8:20" x14ac:dyDescent="0.35">
      <c r="H2535" s="711"/>
      <c r="I2535" s="711"/>
      <c r="J2535" s="711"/>
      <c r="K2535" s="711"/>
      <c r="L2535" s="711"/>
      <c r="Q2535" s="11"/>
      <c r="R2535" s="11"/>
      <c r="S2535" s="11"/>
      <c r="T2535" s="11"/>
    </row>
    <row r="2536" spans="8:20" x14ac:dyDescent="0.35">
      <c r="H2536" s="711"/>
      <c r="I2536" s="711"/>
      <c r="J2536" s="711"/>
      <c r="K2536" s="711"/>
      <c r="L2536" s="711"/>
      <c r="Q2536" s="11"/>
      <c r="R2536" s="11"/>
      <c r="S2536" s="11"/>
      <c r="T2536" s="11"/>
    </row>
    <row r="2537" spans="8:20" x14ac:dyDescent="0.35">
      <c r="H2537" s="711"/>
      <c r="I2537" s="711"/>
      <c r="J2537" s="711"/>
      <c r="K2537" s="711"/>
      <c r="L2537" s="711"/>
      <c r="Q2537" s="11"/>
      <c r="R2537" s="11"/>
      <c r="S2537" s="11"/>
      <c r="T2537" s="11"/>
    </row>
    <row r="2538" spans="8:20" x14ac:dyDescent="0.35">
      <c r="H2538" s="711"/>
      <c r="I2538" s="711"/>
      <c r="J2538" s="711"/>
      <c r="K2538" s="711"/>
      <c r="L2538" s="711"/>
      <c r="Q2538" s="11"/>
      <c r="R2538" s="11"/>
      <c r="S2538" s="11"/>
      <c r="T2538" s="11"/>
    </row>
    <row r="2539" spans="8:20" x14ac:dyDescent="0.35">
      <c r="H2539" s="711"/>
      <c r="I2539" s="711"/>
      <c r="J2539" s="711"/>
      <c r="K2539" s="711"/>
      <c r="L2539" s="711"/>
      <c r="Q2539" s="11"/>
      <c r="R2539" s="11"/>
      <c r="S2539" s="11"/>
      <c r="T2539" s="11"/>
    </row>
    <row r="2540" spans="8:20" x14ac:dyDescent="0.35">
      <c r="H2540" s="711"/>
      <c r="I2540" s="711"/>
      <c r="J2540" s="711"/>
      <c r="K2540" s="711"/>
      <c r="L2540" s="711"/>
      <c r="Q2540" s="11"/>
      <c r="R2540" s="11"/>
      <c r="S2540" s="11"/>
      <c r="T2540" s="11"/>
    </row>
    <row r="2541" spans="8:20" x14ac:dyDescent="0.35">
      <c r="H2541" s="711"/>
      <c r="I2541" s="711"/>
      <c r="J2541" s="711"/>
      <c r="K2541" s="711"/>
      <c r="L2541" s="711"/>
      <c r="Q2541" s="11"/>
      <c r="R2541" s="11"/>
      <c r="S2541" s="11"/>
      <c r="T2541" s="11"/>
    </row>
    <row r="2542" spans="8:20" x14ac:dyDescent="0.35">
      <c r="H2542" s="711"/>
      <c r="I2542" s="711"/>
      <c r="J2542" s="711"/>
      <c r="K2542" s="711"/>
      <c r="L2542" s="711"/>
      <c r="Q2542" s="11"/>
      <c r="R2542" s="11"/>
      <c r="S2542" s="11"/>
      <c r="T2542" s="11"/>
    </row>
    <row r="2543" spans="8:20" x14ac:dyDescent="0.35">
      <c r="H2543" s="711"/>
      <c r="I2543" s="711"/>
      <c r="J2543" s="711"/>
      <c r="K2543" s="711"/>
      <c r="L2543" s="711"/>
      <c r="Q2543" s="11"/>
      <c r="R2543" s="11"/>
      <c r="S2543" s="11"/>
      <c r="T2543" s="11"/>
    </row>
    <row r="2544" spans="8:20" x14ac:dyDescent="0.35">
      <c r="H2544" s="711"/>
      <c r="I2544" s="711"/>
      <c r="J2544" s="711"/>
      <c r="K2544" s="711"/>
      <c r="L2544" s="711"/>
      <c r="Q2544" s="11"/>
      <c r="R2544" s="11"/>
      <c r="S2544" s="11"/>
      <c r="T2544" s="11"/>
    </row>
    <row r="2545" spans="8:20" x14ac:dyDescent="0.35">
      <c r="H2545" s="711"/>
      <c r="I2545" s="711"/>
      <c r="J2545" s="711"/>
      <c r="K2545" s="711"/>
      <c r="L2545" s="711"/>
      <c r="Q2545" s="11"/>
      <c r="R2545" s="11"/>
      <c r="S2545" s="11"/>
      <c r="T2545" s="11"/>
    </row>
    <row r="2546" spans="8:20" x14ac:dyDescent="0.35">
      <c r="H2546" s="711"/>
      <c r="I2546" s="711"/>
      <c r="J2546" s="711"/>
      <c r="K2546" s="711"/>
      <c r="L2546" s="711"/>
      <c r="Q2546" s="11"/>
      <c r="R2546" s="11"/>
      <c r="S2546" s="11"/>
      <c r="T2546" s="11"/>
    </row>
    <row r="2547" spans="8:20" x14ac:dyDescent="0.35">
      <c r="H2547" s="711"/>
      <c r="I2547" s="711"/>
      <c r="J2547" s="711"/>
      <c r="K2547" s="711"/>
      <c r="L2547" s="711"/>
      <c r="Q2547" s="11"/>
      <c r="R2547" s="11"/>
      <c r="S2547" s="11"/>
      <c r="T2547" s="11"/>
    </row>
    <row r="2548" spans="8:20" x14ac:dyDescent="0.35">
      <c r="H2548" s="711"/>
      <c r="I2548" s="711"/>
      <c r="J2548" s="711"/>
      <c r="K2548" s="711"/>
      <c r="L2548" s="711"/>
      <c r="Q2548" s="11"/>
      <c r="R2548" s="11"/>
      <c r="S2548" s="11"/>
      <c r="T2548" s="11"/>
    </row>
    <row r="2549" spans="8:20" x14ac:dyDescent="0.35">
      <c r="H2549" s="711"/>
      <c r="I2549" s="711"/>
      <c r="J2549" s="711"/>
      <c r="K2549" s="711"/>
      <c r="L2549" s="711"/>
      <c r="Q2549" s="11"/>
      <c r="R2549" s="11"/>
      <c r="S2549" s="11"/>
      <c r="T2549" s="11"/>
    </row>
    <row r="2550" spans="8:20" x14ac:dyDescent="0.35">
      <c r="H2550" s="711"/>
      <c r="I2550" s="711"/>
      <c r="J2550" s="711"/>
      <c r="K2550" s="711"/>
      <c r="L2550" s="711"/>
      <c r="Q2550" s="11"/>
      <c r="R2550" s="11"/>
      <c r="S2550" s="11"/>
      <c r="T2550" s="11"/>
    </row>
    <row r="2551" spans="8:20" x14ac:dyDescent="0.35">
      <c r="H2551" s="711"/>
      <c r="I2551" s="711"/>
      <c r="J2551" s="711"/>
      <c r="K2551" s="711"/>
      <c r="L2551" s="711"/>
      <c r="Q2551" s="11"/>
      <c r="R2551" s="11"/>
      <c r="S2551" s="11"/>
      <c r="T2551" s="11"/>
    </row>
    <row r="2552" spans="8:20" x14ac:dyDescent="0.35">
      <c r="H2552" s="711"/>
      <c r="I2552" s="711"/>
      <c r="J2552" s="711"/>
      <c r="K2552" s="711"/>
      <c r="L2552" s="711"/>
      <c r="Q2552" s="11"/>
      <c r="R2552" s="11"/>
      <c r="S2552" s="11"/>
      <c r="T2552" s="11"/>
    </row>
    <row r="2553" spans="8:20" x14ac:dyDescent="0.35">
      <c r="H2553" s="711"/>
      <c r="I2553" s="711"/>
      <c r="J2553" s="711"/>
      <c r="K2553" s="711"/>
      <c r="L2553" s="711"/>
      <c r="Q2553" s="11"/>
      <c r="R2553" s="11"/>
      <c r="S2553" s="11"/>
      <c r="T2553" s="11"/>
    </row>
    <row r="2554" spans="8:20" x14ac:dyDescent="0.35">
      <c r="H2554" s="711"/>
      <c r="I2554" s="711"/>
      <c r="J2554" s="711"/>
      <c r="K2554" s="711"/>
      <c r="L2554" s="711"/>
      <c r="Q2554" s="11"/>
      <c r="R2554" s="11"/>
      <c r="S2554" s="11"/>
      <c r="T2554" s="11"/>
    </row>
    <row r="2555" spans="8:20" x14ac:dyDescent="0.35">
      <c r="H2555" s="711"/>
      <c r="I2555" s="711"/>
      <c r="J2555" s="711"/>
      <c r="K2555" s="711"/>
      <c r="L2555" s="711"/>
      <c r="Q2555" s="11"/>
      <c r="R2555" s="11"/>
      <c r="S2555" s="11"/>
      <c r="T2555" s="11"/>
    </row>
    <row r="2556" spans="8:20" x14ac:dyDescent="0.35">
      <c r="H2556" s="711"/>
      <c r="I2556" s="711"/>
      <c r="J2556" s="711"/>
      <c r="K2556" s="711"/>
      <c r="L2556" s="711"/>
      <c r="Q2556" s="11"/>
      <c r="R2556" s="11"/>
      <c r="S2556" s="11"/>
      <c r="T2556" s="11"/>
    </row>
    <row r="2557" spans="8:20" x14ac:dyDescent="0.35">
      <c r="H2557" s="711"/>
      <c r="I2557" s="711"/>
      <c r="J2557" s="711"/>
      <c r="K2557" s="711"/>
      <c r="L2557" s="711"/>
      <c r="Q2557" s="11"/>
      <c r="R2557" s="11"/>
      <c r="S2557" s="11"/>
      <c r="T2557" s="11"/>
    </row>
    <row r="2558" spans="8:20" x14ac:dyDescent="0.35">
      <c r="H2558" s="711"/>
      <c r="I2558" s="711"/>
      <c r="J2558" s="711"/>
      <c r="K2558" s="711"/>
      <c r="L2558" s="711"/>
      <c r="Q2558" s="11"/>
      <c r="R2558" s="11"/>
      <c r="S2558" s="11"/>
      <c r="T2558" s="11"/>
    </row>
    <row r="2559" spans="8:20" x14ac:dyDescent="0.35">
      <c r="H2559" s="711"/>
      <c r="I2559" s="711"/>
      <c r="J2559" s="711"/>
      <c r="K2559" s="711"/>
      <c r="L2559" s="711"/>
      <c r="Q2559" s="11"/>
      <c r="R2559" s="11"/>
      <c r="S2559" s="11"/>
      <c r="T2559" s="11"/>
    </row>
    <row r="2560" spans="8:20" x14ac:dyDescent="0.35">
      <c r="H2560" s="711"/>
      <c r="I2560" s="711"/>
      <c r="J2560" s="711"/>
      <c r="K2560" s="711"/>
      <c r="L2560" s="711"/>
      <c r="Q2560" s="11"/>
      <c r="R2560" s="11"/>
      <c r="S2560" s="11"/>
      <c r="T2560" s="11"/>
    </row>
    <row r="2561" spans="8:20" x14ac:dyDescent="0.35">
      <c r="H2561" s="711"/>
      <c r="I2561" s="711"/>
      <c r="J2561" s="711"/>
      <c r="K2561" s="711"/>
      <c r="L2561" s="711"/>
      <c r="Q2561" s="11"/>
      <c r="R2561" s="11"/>
      <c r="S2561" s="11"/>
      <c r="T2561" s="11"/>
    </row>
    <row r="2562" spans="8:20" x14ac:dyDescent="0.35">
      <c r="H2562" s="711"/>
      <c r="I2562" s="711"/>
      <c r="J2562" s="711"/>
      <c r="K2562" s="711"/>
      <c r="L2562" s="711"/>
      <c r="Q2562" s="11"/>
      <c r="R2562" s="11"/>
      <c r="S2562" s="11"/>
      <c r="T2562" s="11"/>
    </row>
    <row r="2563" spans="8:20" x14ac:dyDescent="0.35">
      <c r="H2563" s="711"/>
      <c r="I2563" s="711"/>
      <c r="J2563" s="711"/>
      <c r="K2563" s="711"/>
      <c r="L2563" s="711"/>
      <c r="Q2563" s="11"/>
      <c r="R2563" s="11"/>
      <c r="S2563" s="11"/>
      <c r="T2563" s="11"/>
    </row>
    <row r="2564" spans="8:20" x14ac:dyDescent="0.35">
      <c r="H2564" s="711"/>
      <c r="I2564" s="711"/>
      <c r="J2564" s="711"/>
      <c r="K2564" s="711"/>
      <c r="L2564" s="711"/>
      <c r="Q2564" s="11"/>
      <c r="R2564" s="11"/>
      <c r="S2564" s="11"/>
      <c r="T2564" s="11"/>
    </row>
    <row r="2565" spans="8:20" x14ac:dyDescent="0.35">
      <c r="H2565" s="711"/>
      <c r="I2565" s="711"/>
      <c r="J2565" s="711"/>
      <c r="K2565" s="711"/>
      <c r="L2565" s="711"/>
      <c r="Q2565" s="11"/>
      <c r="R2565" s="11"/>
      <c r="S2565" s="11"/>
      <c r="T2565" s="11"/>
    </row>
    <row r="2566" spans="8:20" x14ac:dyDescent="0.35">
      <c r="H2566" s="711"/>
      <c r="I2566" s="711"/>
      <c r="J2566" s="711"/>
      <c r="K2566" s="711"/>
      <c r="L2566" s="711"/>
      <c r="Q2566" s="11"/>
      <c r="R2566" s="11"/>
      <c r="S2566" s="11"/>
      <c r="T2566" s="11"/>
    </row>
    <row r="2567" spans="8:20" x14ac:dyDescent="0.35">
      <c r="H2567" s="711"/>
      <c r="I2567" s="711"/>
      <c r="J2567" s="711"/>
      <c r="K2567" s="711"/>
      <c r="L2567" s="711"/>
      <c r="Q2567" s="11"/>
      <c r="R2567" s="11"/>
      <c r="S2567" s="11"/>
      <c r="T2567" s="11"/>
    </row>
    <row r="2568" spans="8:20" x14ac:dyDescent="0.35">
      <c r="H2568" s="711"/>
      <c r="I2568" s="711"/>
      <c r="J2568" s="711"/>
      <c r="K2568" s="711"/>
      <c r="L2568" s="711"/>
      <c r="Q2568" s="11"/>
      <c r="R2568" s="11"/>
      <c r="S2568" s="11"/>
      <c r="T2568" s="11"/>
    </row>
    <row r="2569" spans="8:20" x14ac:dyDescent="0.35">
      <c r="H2569" s="711"/>
      <c r="I2569" s="711"/>
      <c r="J2569" s="711"/>
      <c r="K2569" s="711"/>
      <c r="L2569" s="711"/>
      <c r="Q2569" s="11"/>
      <c r="R2569" s="11"/>
      <c r="S2569" s="11"/>
      <c r="T2569" s="11"/>
    </row>
    <row r="2570" spans="8:20" x14ac:dyDescent="0.35">
      <c r="H2570" s="711"/>
      <c r="I2570" s="711"/>
      <c r="J2570" s="711"/>
      <c r="K2570" s="711"/>
      <c r="L2570" s="711"/>
      <c r="Q2570" s="11"/>
      <c r="R2570" s="11"/>
      <c r="S2570" s="11"/>
      <c r="T2570" s="11"/>
    </row>
    <row r="2571" spans="8:20" x14ac:dyDescent="0.35">
      <c r="H2571" s="711"/>
      <c r="I2571" s="711"/>
      <c r="J2571" s="711"/>
      <c r="K2571" s="711"/>
      <c r="L2571" s="711"/>
      <c r="Q2571" s="11"/>
      <c r="R2571" s="11"/>
      <c r="S2571" s="11"/>
      <c r="T2571" s="11"/>
    </row>
    <row r="2572" spans="8:20" x14ac:dyDescent="0.35">
      <c r="H2572" s="711"/>
      <c r="I2572" s="711"/>
      <c r="J2572" s="711"/>
      <c r="K2572" s="711"/>
      <c r="L2572" s="711"/>
      <c r="Q2572" s="11"/>
      <c r="R2572" s="11"/>
      <c r="S2572" s="11"/>
      <c r="T2572" s="11"/>
    </row>
    <row r="2573" spans="8:20" x14ac:dyDescent="0.35">
      <c r="H2573" s="711"/>
      <c r="I2573" s="711"/>
      <c r="J2573" s="711"/>
      <c r="K2573" s="711"/>
      <c r="L2573" s="711"/>
      <c r="Q2573" s="11"/>
      <c r="R2573" s="11"/>
      <c r="S2573" s="11"/>
      <c r="T2573" s="11"/>
    </row>
    <row r="2574" spans="8:20" x14ac:dyDescent="0.35">
      <c r="H2574" s="711"/>
      <c r="I2574" s="711"/>
      <c r="J2574" s="711"/>
      <c r="K2574" s="711"/>
      <c r="L2574" s="711"/>
      <c r="Q2574" s="11"/>
      <c r="R2574" s="11"/>
      <c r="S2574" s="11"/>
      <c r="T2574" s="11"/>
    </row>
    <row r="2575" spans="8:20" x14ac:dyDescent="0.35">
      <c r="H2575" s="711"/>
      <c r="I2575" s="711"/>
      <c r="J2575" s="711"/>
      <c r="K2575" s="711"/>
      <c r="L2575" s="711"/>
      <c r="Q2575" s="11"/>
      <c r="R2575" s="11"/>
      <c r="S2575" s="11"/>
      <c r="T2575" s="11"/>
    </row>
    <row r="2576" spans="8:20" x14ac:dyDescent="0.35">
      <c r="H2576" s="711"/>
      <c r="I2576" s="711"/>
      <c r="J2576" s="711"/>
      <c r="K2576" s="711"/>
      <c r="L2576" s="711"/>
      <c r="Q2576" s="11"/>
      <c r="R2576" s="11"/>
      <c r="S2576" s="11"/>
      <c r="T2576" s="11"/>
    </row>
    <row r="2577" spans="8:20" x14ac:dyDescent="0.35">
      <c r="H2577" s="711"/>
      <c r="I2577" s="711"/>
      <c r="J2577" s="711"/>
      <c r="K2577" s="711"/>
      <c r="L2577" s="711"/>
      <c r="Q2577" s="11"/>
      <c r="R2577" s="11"/>
      <c r="S2577" s="11"/>
      <c r="T2577" s="11"/>
    </row>
    <row r="2578" spans="8:20" x14ac:dyDescent="0.35">
      <c r="H2578" s="711"/>
      <c r="I2578" s="711"/>
      <c r="J2578" s="711"/>
      <c r="K2578" s="711"/>
      <c r="L2578" s="711"/>
      <c r="Q2578" s="11"/>
      <c r="R2578" s="11"/>
      <c r="S2578" s="11"/>
      <c r="T2578" s="11"/>
    </row>
    <row r="2579" spans="8:20" x14ac:dyDescent="0.35">
      <c r="H2579" s="711"/>
      <c r="I2579" s="711"/>
      <c r="J2579" s="711"/>
      <c r="K2579" s="711"/>
      <c r="L2579" s="711"/>
      <c r="Q2579" s="11"/>
      <c r="R2579" s="11"/>
      <c r="S2579" s="11"/>
      <c r="T2579" s="11"/>
    </row>
    <row r="2580" spans="8:20" x14ac:dyDescent="0.35">
      <c r="H2580" s="711"/>
      <c r="I2580" s="711"/>
      <c r="J2580" s="711"/>
      <c r="K2580" s="711"/>
      <c r="L2580" s="711"/>
      <c r="Q2580" s="11"/>
      <c r="R2580" s="11"/>
      <c r="S2580" s="11"/>
      <c r="T2580" s="11"/>
    </row>
    <row r="2581" spans="8:20" x14ac:dyDescent="0.35">
      <c r="H2581" s="711"/>
      <c r="I2581" s="711"/>
      <c r="J2581" s="711"/>
      <c r="K2581" s="711"/>
      <c r="L2581" s="711"/>
      <c r="Q2581" s="11"/>
      <c r="R2581" s="11"/>
      <c r="S2581" s="11"/>
      <c r="T2581" s="11"/>
    </row>
    <row r="2582" spans="8:20" x14ac:dyDescent="0.35">
      <c r="H2582" s="711"/>
      <c r="I2582" s="711"/>
      <c r="J2582" s="711"/>
      <c r="K2582" s="711"/>
      <c r="L2582" s="711"/>
      <c r="Q2582" s="11"/>
      <c r="R2582" s="11"/>
      <c r="S2582" s="11"/>
      <c r="T2582" s="11"/>
    </row>
    <row r="2583" spans="8:20" x14ac:dyDescent="0.35">
      <c r="H2583" s="711"/>
      <c r="I2583" s="711"/>
      <c r="J2583" s="711"/>
      <c r="K2583" s="711"/>
      <c r="L2583" s="711"/>
      <c r="Q2583" s="11"/>
      <c r="R2583" s="11"/>
      <c r="S2583" s="11"/>
      <c r="T2583" s="11"/>
    </row>
    <row r="2584" spans="8:20" x14ac:dyDescent="0.35">
      <c r="H2584" s="711"/>
      <c r="I2584" s="711"/>
      <c r="J2584" s="711"/>
      <c r="K2584" s="711"/>
      <c r="L2584" s="711"/>
      <c r="Q2584" s="11"/>
      <c r="R2584" s="11"/>
      <c r="S2584" s="11"/>
      <c r="T2584" s="11"/>
    </row>
    <row r="2585" spans="8:20" x14ac:dyDescent="0.35">
      <c r="H2585" s="711"/>
      <c r="I2585" s="711"/>
      <c r="J2585" s="711"/>
      <c r="K2585" s="711"/>
      <c r="L2585" s="711"/>
      <c r="Q2585" s="11"/>
      <c r="R2585" s="11"/>
      <c r="S2585" s="11"/>
      <c r="T2585" s="11"/>
    </row>
    <row r="2586" spans="8:20" x14ac:dyDescent="0.35">
      <c r="H2586" s="711"/>
      <c r="I2586" s="711"/>
      <c r="J2586" s="711"/>
      <c r="K2586" s="711"/>
      <c r="L2586" s="711"/>
      <c r="Q2586" s="11"/>
      <c r="R2586" s="11"/>
      <c r="S2586" s="11"/>
      <c r="T2586" s="11"/>
    </row>
    <row r="2587" spans="8:20" x14ac:dyDescent="0.35">
      <c r="H2587" s="711"/>
      <c r="I2587" s="711"/>
      <c r="J2587" s="711"/>
      <c r="K2587" s="711"/>
      <c r="L2587" s="711"/>
      <c r="Q2587" s="11"/>
      <c r="R2587" s="11"/>
      <c r="S2587" s="11"/>
      <c r="T2587" s="11"/>
    </row>
    <row r="2588" spans="8:20" x14ac:dyDescent="0.35">
      <c r="H2588" s="711"/>
      <c r="I2588" s="711"/>
      <c r="J2588" s="711"/>
      <c r="K2588" s="711"/>
      <c r="L2588" s="711"/>
      <c r="Q2588" s="11"/>
      <c r="R2588" s="11"/>
      <c r="S2588" s="11"/>
      <c r="T2588" s="11"/>
    </row>
    <row r="2589" spans="8:20" x14ac:dyDescent="0.35">
      <c r="H2589" s="711"/>
      <c r="I2589" s="711"/>
      <c r="J2589" s="711"/>
      <c r="K2589" s="711"/>
      <c r="L2589" s="711"/>
      <c r="Q2589" s="11"/>
      <c r="R2589" s="11"/>
      <c r="S2589" s="11"/>
      <c r="T2589" s="11"/>
    </row>
    <row r="2590" spans="8:20" x14ac:dyDescent="0.35">
      <c r="H2590" s="711"/>
      <c r="I2590" s="711"/>
      <c r="J2590" s="711"/>
      <c r="K2590" s="711"/>
      <c r="L2590" s="711"/>
      <c r="Q2590" s="11"/>
      <c r="R2590" s="11"/>
      <c r="S2590" s="11"/>
      <c r="T2590" s="11"/>
    </row>
    <row r="2591" spans="8:20" x14ac:dyDescent="0.35">
      <c r="H2591" s="711"/>
      <c r="I2591" s="711"/>
      <c r="J2591" s="711"/>
      <c r="K2591" s="711"/>
      <c r="L2591" s="711"/>
      <c r="Q2591" s="11"/>
      <c r="R2591" s="11"/>
      <c r="S2591" s="11"/>
      <c r="T2591" s="11"/>
    </row>
    <row r="2592" spans="8:20" x14ac:dyDescent="0.35">
      <c r="H2592" s="711"/>
      <c r="I2592" s="711"/>
      <c r="J2592" s="711"/>
      <c r="K2592" s="711"/>
      <c r="L2592" s="711"/>
      <c r="Q2592" s="11"/>
      <c r="R2592" s="11"/>
      <c r="S2592" s="11"/>
      <c r="T2592" s="11"/>
    </row>
    <row r="2593" spans="8:20" x14ac:dyDescent="0.35">
      <c r="H2593" s="711"/>
      <c r="I2593" s="711"/>
      <c r="J2593" s="711"/>
      <c r="K2593" s="711"/>
      <c r="L2593" s="711"/>
      <c r="Q2593" s="11"/>
      <c r="R2593" s="11"/>
      <c r="S2593" s="11"/>
      <c r="T2593" s="11"/>
    </row>
    <row r="2594" spans="8:20" x14ac:dyDescent="0.35">
      <c r="H2594" s="711"/>
      <c r="I2594" s="711"/>
      <c r="J2594" s="711"/>
      <c r="K2594" s="711"/>
      <c r="L2594" s="711"/>
      <c r="Q2594" s="11"/>
      <c r="R2594" s="11"/>
      <c r="S2594" s="11"/>
      <c r="T2594" s="11"/>
    </row>
    <row r="2595" spans="8:20" x14ac:dyDescent="0.35">
      <c r="H2595" s="711"/>
      <c r="I2595" s="711"/>
      <c r="J2595" s="711"/>
      <c r="K2595" s="711"/>
      <c r="L2595" s="711"/>
      <c r="Q2595" s="11"/>
      <c r="R2595" s="11"/>
      <c r="S2595" s="11"/>
      <c r="T2595" s="11"/>
    </row>
    <row r="2596" spans="8:20" x14ac:dyDescent="0.35">
      <c r="H2596" s="711"/>
      <c r="I2596" s="711"/>
      <c r="J2596" s="711"/>
      <c r="K2596" s="711"/>
      <c r="L2596" s="711"/>
      <c r="Q2596" s="11"/>
      <c r="R2596" s="11"/>
      <c r="S2596" s="11"/>
      <c r="T2596" s="11"/>
    </row>
    <row r="2597" spans="8:20" x14ac:dyDescent="0.35">
      <c r="H2597" s="711"/>
      <c r="I2597" s="711"/>
      <c r="J2597" s="711"/>
      <c r="K2597" s="711"/>
      <c r="L2597" s="711"/>
      <c r="Q2597" s="11"/>
      <c r="R2597" s="11"/>
      <c r="S2597" s="11"/>
      <c r="T2597" s="11"/>
    </row>
    <row r="2598" spans="8:20" x14ac:dyDescent="0.35">
      <c r="H2598" s="711"/>
      <c r="I2598" s="711"/>
      <c r="J2598" s="711"/>
      <c r="K2598" s="711"/>
      <c r="L2598" s="711"/>
      <c r="Q2598" s="11"/>
      <c r="R2598" s="11"/>
      <c r="S2598" s="11"/>
      <c r="T2598" s="11"/>
    </row>
    <row r="2599" spans="8:20" x14ac:dyDescent="0.35">
      <c r="H2599" s="711"/>
      <c r="I2599" s="711"/>
      <c r="J2599" s="711"/>
      <c r="K2599" s="711"/>
      <c r="L2599" s="711"/>
      <c r="Q2599" s="11"/>
      <c r="R2599" s="11"/>
      <c r="S2599" s="11"/>
      <c r="T2599" s="11"/>
    </row>
    <row r="2600" spans="8:20" x14ac:dyDescent="0.35">
      <c r="H2600" s="711"/>
      <c r="I2600" s="711"/>
      <c r="J2600" s="711"/>
      <c r="K2600" s="711"/>
      <c r="L2600" s="711"/>
      <c r="Q2600" s="11"/>
      <c r="R2600" s="11"/>
      <c r="S2600" s="11"/>
      <c r="T2600" s="11"/>
    </row>
    <row r="2601" spans="8:20" x14ac:dyDescent="0.35">
      <c r="H2601" s="711"/>
      <c r="I2601" s="711"/>
      <c r="J2601" s="711"/>
      <c r="K2601" s="711"/>
      <c r="L2601" s="711"/>
      <c r="Q2601" s="11"/>
      <c r="R2601" s="11"/>
      <c r="S2601" s="11"/>
      <c r="T2601" s="11"/>
    </row>
    <row r="2602" spans="8:20" x14ac:dyDescent="0.35">
      <c r="H2602" s="711"/>
      <c r="I2602" s="711"/>
      <c r="J2602" s="711"/>
      <c r="K2602" s="711"/>
      <c r="L2602" s="711"/>
      <c r="Q2602" s="11"/>
      <c r="R2602" s="11"/>
      <c r="S2602" s="11"/>
      <c r="T2602" s="11"/>
    </row>
    <row r="2603" spans="8:20" x14ac:dyDescent="0.35">
      <c r="H2603" s="711"/>
      <c r="I2603" s="711"/>
      <c r="J2603" s="711"/>
      <c r="K2603" s="711"/>
      <c r="L2603" s="711"/>
      <c r="Q2603" s="11"/>
      <c r="R2603" s="11"/>
      <c r="S2603" s="11"/>
      <c r="T2603" s="11"/>
    </row>
    <row r="2604" spans="8:20" x14ac:dyDescent="0.35">
      <c r="H2604" s="711"/>
      <c r="I2604" s="711"/>
      <c r="J2604" s="711"/>
      <c r="K2604" s="711"/>
      <c r="L2604" s="711"/>
      <c r="Q2604" s="11"/>
      <c r="R2604" s="11"/>
      <c r="S2604" s="11"/>
      <c r="T2604" s="11"/>
    </row>
    <row r="2605" spans="8:20" x14ac:dyDescent="0.35">
      <c r="H2605" s="711"/>
      <c r="I2605" s="711"/>
      <c r="J2605" s="711"/>
      <c r="K2605" s="711"/>
      <c r="L2605" s="711"/>
      <c r="Q2605" s="11"/>
      <c r="R2605" s="11"/>
      <c r="S2605" s="11"/>
      <c r="T2605" s="11"/>
    </row>
    <row r="2606" spans="8:20" x14ac:dyDescent="0.35">
      <c r="H2606" s="711"/>
      <c r="I2606" s="711"/>
      <c r="J2606" s="711"/>
      <c r="K2606" s="711"/>
      <c r="L2606" s="711"/>
      <c r="Q2606" s="11"/>
      <c r="R2606" s="11"/>
      <c r="S2606" s="11"/>
      <c r="T2606" s="11"/>
    </row>
    <row r="2607" spans="8:20" x14ac:dyDescent="0.35">
      <c r="H2607" s="711"/>
      <c r="I2607" s="711"/>
      <c r="J2607" s="711"/>
      <c r="K2607" s="711"/>
      <c r="L2607" s="711"/>
      <c r="Q2607" s="11"/>
      <c r="R2607" s="11"/>
      <c r="S2607" s="11"/>
      <c r="T2607" s="11"/>
    </row>
    <row r="2608" spans="8:20" x14ac:dyDescent="0.35">
      <c r="H2608" s="711"/>
      <c r="I2608" s="711"/>
      <c r="J2608" s="711"/>
      <c r="K2608" s="711"/>
      <c r="L2608" s="711"/>
      <c r="Q2608" s="11"/>
      <c r="R2608" s="11"/>
      <c r="S2608" s="11"/>
      <c r="T2608" s="11"/>
    </row>
    <row r="2609" spans="8:20" x14ac:dyDescent="0.35">
      <c r="H2609" s="711"/>
      <c r="I2609" s="711"/>
      <c r="J2609" s="711"/>
      <c r="K2609" s="711"/>
      <c r="L2609" s="711"/>
      <c r="Q2609" s="11"/>
      <c r="R2609" s="11"/>
      <c r="S2609" s="11"/>
      <c r="T2609" s="11"/>
    </row>
    <row r="2610" spans="8:20" x14ac:dyDescent="0.35">
      <c r="H2610" s="711"/>
      <c r="I2610" s="711"/>
      <c r="J2610" s="711"/>
      <c r="K2610" s="711"/>
      <c r="L2610" s="711"/>
      <c r="Q2610" s="11"/>
      <c r="R2610" s="11"/>
      <c r="S2610" s="11"/>
      <c r="T2610" s="11"/>
    </row>
    <row r="2611" spans="8:20" x14ac:dyDescent="0.35">
      <c r="H2611" s="711"/>
      <c r="I2611" s="711"/>
      <c r="J2611" s="711"/>
      <c r="K2611" s="711"/>
      <c r="L2611" s="711"/>
      <c r="Q2611" s="11"/>
      <c r="R2611" s="11"/>
      <c r="S2611" s="11"/>
      <c r="T2611" s="11"/>
    </row>
    <row r="2612" spans="8:20" x14ac:dyDescent="0.35">
      <c r="H2612" s="711"/>
      <c r="I2612" s="711"/>
      <c r="J2612" s="711"/>
      <c r="K2612" s="711"/>
      <c r="L2612" s="711"/>
      <c r="Q2612" s="11"/>
      <c r="R2612" s="11"/>
      <c r="S2612" s="11"/>
      <c r="T2612" s="11"/>
    </row>
    <row r="2613" spans="8:20" x14ac:dyDescent="0.35">
      <c r="H2613" s="711"/>
      <c r="I2613" s="711"/>
      <c r="J2613" s="711"/>
      <c r="K2613" s="711"/>
      <c r="L2613" s="711"/>
      <c r="Q2613" s="11"/>
      <c r="R2613" s="11"/>
      <c r="S2613" s="11"/>
      <c r="T2613" s="11"/>
    </row>
    <row r="2614" spans="8:20" x14ac:dyDescent="0.35">
      <c r="H2614" s="711"/>
      <c r="I2614" s="711"/>
      <c r="J2614" s="711"/>
      <c r="K2614" s="711"/>
      <c r="L2614" s="711"/>
      <c r="Q2614" s="11"/>
      <c r="R2614" s="11"/>
      <c r="S2614" s="11"/>
      <c r="T2614" s="11"/>
    </row>
    <row r="2615" spans="8:20" x14ac:dyDescent="0.35">
      <c r="H2615" s="711"/>
      <c r="I2615" s="711"/>
      <c r="J2615" s="711"/>
      <c r="K2615" s="711"/>
      <c r="L2615" s="711"/>
      <c r="Q2615" s="11"/>
      <c r="R2615" s="11"/>
      <c r="S2615" s="11"/>
      <c r="T2615" s="11"/>
    </row>
    <row r="2616" spans="8:20" x14ac:dyDescent="0.35">
      <c r="H2616" s="711"/>
      <c r="I2616" s="711"/>
      <c r="J2616" s="711"/>
      <c r="K2616" s="711"/>
      <c r="L2616" s="711"/>
      <c r="Q2616" s="11"/>
      <c r="R2616" s="11"/>
      <c r="S2616" s="11"/>
      <c r="T2616" s="11"/>
    </row>
    <row r="2617" spans="8:20" x14ac:dyDescent="0.35">
      <c r="H2617" s="711"/>
      <c r="I2617" s="711"/>
      <c r="J2617" s="711"/>
      <c r="K2617" s="711"/>
      <c r="L2617" s="711"/>
      <c r="Q2617" s="11"/>
      <c r="R2617" s="11"/>
      <c r="S2617" s="11"/>
      <c r="T2617" s="11"/>
    </row>
    <row r="2618" spans="8:20" x14ac:dyDescent="0.35">
      <c r="H2618" s="711"/>
      <c r="I2618" s="711"/>
      <c r="J2618" s="711"/>
      <c r="K2618" s="711"/>
      <c r="L2618" s="711"/>
      <c r="Q2618" s="11"/>
      <c r="R2618" s="11"/>
      <c r="S2618" s="11"/>
      <c r="T2618" s="11"/>
    </row>
    <row r="2619" spans="8:20" x14ac:dyDescent="0.35">
      <c r="H2619" s="711"/>
      <c r="I2619" s="711"/>
      <c r="J2619" s="711"/>
      <c r="K2619" s="711"/>
      <c r="L2619" s="711"/>
      <c r="Q2619" s="11"/>
      <c r="R2619" s="11"/>
      <c r="S2619" s="11"/>
      <c r="T2619" s="11"/>
    </row>
    <row r="2620" spans="8:20" x14ac:dyDescent="0.35">
      <c r="H2620" s="711"/>
      <c r="I2620" s="711"/>
      <c r="J2620" s="711"/>
      <c r="K2620" s="711"/>
      <c r="L2620" s="711"/>
      <c r="Q2620" s="11"/>
      <c r="R2620" s="11"/>
      <c r="S2620" s="11"/>
      <c r="T2620" s="11"/>
    </row>
    <row r="2621" spans="8:20" x14ac:dyDescent="0.35">
      <c r="H2621" s="711"/>
      <c r="I2621" s="711"/>
      <c r="J2621" s="711"/>
      <c r="K2621" s="711"/>
      <c r="L2621" s="711"/>
      <c r="Q2621" s="11"/>
      <c r="R2621" s="11"/>
      <c r="S2621" s="11"/>
      <c r="T2621" s="11"/>
    </row>
    <row r="2622" spans="8:20" x14ac:dyDescent="0.35">
      <c r="H2622" s="711"/>
      <c r="I2622" s="711"/>
      <c r="J2622" s="711"/>
      <c r="K2622" s="711"/>
      <c r="L2622" s="711"/>
      <c r="Q2622" s="11"/>
      <c r="R2622" s="11"/>
      <c r="S2622" s="11"/>
      <c r="T2622" s="11"/>
    </row>
    <row r="2623" spans="8:20" x14ac:dyDescent="0.35">
      <c r="H2623" s="711"/>
      <c r="I2623" s="711"/>
      <c r="J2623" s="711"/>
      <c r="K2623" s="711"/>
      <c r="L2623" s="711"/>
      <c r="Q2623" s="11"/>
      <c r="R2623" s="11"/>
      <c r="S2623" s="11"/>
      <c r="T2623" s="11"/>
    </row>
    <row r="2624" spans="8:20" x14ac:dyDescent="0.35">
      <c r="H2624" s="711"/>
      <c r="I2624" s="711"/>
      <c r="J2624" s="711"/>
      <c r="K2624" s="711"/>
      <c r="L2624" s="711"/>
      <c r="Q2624" s="11"/>
      <c r="R2624" s="11"/>
      <c r="S2624" s="11"/>
      <c r="T2624" s="11"/>
    </row>
    <row r="2625" spans="8:20" x14ac:dyDescent="0.35">
      <c r="H2625" s="711"/>
      <c r="I2625" s="711"/>
      <c r="J2625" s="711"/>
      <c r="K2625" s="711"/>
      <c r="L2625" s="711"/>
      <c r="Q2625" s="11"/>
      <c r="R2625" s="11"/>
      <c r="S2625" s="11"/>
      <c r="T2625" s="11"/>
    </row>
    <row r="2626" spans="8:20" x14ac:dyDescent="0.35">
      <c r="H2626" s="711"/>
      <c r="I2626" s="711"/>
      <c r="J2626" s="711"/>
      <c r="K2626" s="711"/>
      <c r="L2626" s="711"/>
      <c r="Q2626" s="11"/>
      <c r="R2626" s="11"/>
      <c r="S2626" s="11"/>
      <c r="T2626" s="11"/>
    </row>
    <row r="2627" spans="8:20" x14ac:dyDescent="0.35">
      <c r="H2627" s="711"/>
      <c r="I2627" s="711"/>
      <c r="J2627" s="711"/>
      <c r="K2627" s="711"/>
      <c r="L2627" s="711"/>
      <c r="Q2627" s="11"/>
      <c r="R2627" s="11"/>
      <c r="S2627" s="11"/>
      <c r="T2627" s="11"/>
    </row>
    <row r="2628" spans="8:20" x14ac:dyDescent="0.35">
      <c r="H2628" s="711"/>
      <c r="I2628" s="711"/>
      <c r="J2628" s="711"/>
      <c r="K2628" s="711"/>
      <c r="L2628" s="711"/>
      <c r="Q2628" s="11"/>
      <c r="R2628" s="11"/>
      <c r="S2628" s="11"/>
      <c r="T2628" s="11"/>
    </row>
    <row r="2629" spans="8:20" x14ac:dyDescent="0.35">
      <c r="H2629" s="711"/>
      <c r="I2629" s="711"/>
      <c r="J2629" s="711"/>
      <c r="K2629" s="711"/>
      <c r="L2629" s="711"/>
      <c r="Q2629" s="11"/>
      <c r="R2629" s="11"/>
      <c r="S2629" s="11"/>
      <c r="T2629" s="11"/>
    </row>
    <row r="2630" spans="8:20" x14ac:dyDescent="0.35">
      <c r="H2630" s="711"/>
      <c r="I2630" s="711"/>
      <c r="J2630" s="711"/>
      <c r="K2630" s="711"/>
      <c r="L2630" s="711"/>
      <c r="Q2630" s="11"/>
      <c r="R2630" s="11"/>
      <c r="S2630" s="11"/>
      <c r="T2630" s="11"/>
    </row>
    <row r="2631" spans="8:20" x14ac:dyDescent="0.35">
      <c r="H2631" s="711"/>
      <c r="I2631" s="711"/>
      <c r="J2631" s="711"/>
      <c r="K2631" s="711"/>
      <c r="L2631" s="711"/>
      <c r="Q2631" s="11"/>
      <c r="R2631" s="11"/>
      <c r="S2631" s="11"/>
      <c r="T2631" s="11"/>
    </row>
    <row r="2632" spans="8:20" x14ac:dyDescent="0.35">
      <c r="H2632" s="711"/>
      <c r="I2632" s="711"/>
      <c r="J2632" s="711"/>
      <c r="K2632" s="711"/>
      <c r="L2632" s="711"/>
      <c r="Q2632" s="11"/>
      <c r="R2632" s="11"/>
      <c r="S2632" s="11"/>
      <c r="T2632" s="11"/>
    </row>
    <row r="2633" spans="8:20" x14ac:dyDescent="0.35">
      <c r="H2633" s="711"/>
      <c r="I2633" s="711"/>
      <c r="J2633" s="711"/>
      <c r="K2633" s="711"/>
      <c r="L2633" s="711"/>
      <c r="Q2633" s="11"/>
      <c r="R2633" s="11"/>
      <c r="S2633" s="11"/>
      <c r="T2633" s="11"/>
    </row>
    <row r="2634" spans="8:20" x14ac:dyDescent="0.35">
      <c r="H2634" s="711"/>
      <c r="I2634" s="711"/>
      <c r="J2634" s="711"/>
      <c r="K2634" s="711"/>
      <c r="L2634" s="711"/>
      <c r="Q2634" s="11"/>
      <c r="R2634" s="11"/>
      <c r="S2634" s="11"/>
      <c r="T2634" s="11"/>
    </row>
    <row r="2635" spans="8:20" x14ac:dyDescent="0.35">
      <c r="H2635" s="711"/>
      <c r="I2635" s="711"/>
      <c r="J2635" s="711"/>
      <c r="K2635" s="711"/>
      <c r="L2635" s="711"/>
      <c r="Q2635" s="11"/>
      <c r="R2635" s="11"/>
      <c r="S2635" s="11"/>
      <c r="T2635" s="11"/>
    </row>
    <row r="2636" spans="8:20" x14ac:dyDescent="0.35">
      <c r="H2636" s="711"/>
      <c r="I2636" s="711"/>
      <c r="J2636" s="711"/>
      <c r="K2636" s="711"/>
      <c r="L2636" s="711"/>
      <c r="Q2636" s="11"/>
      <c r="R2636" s="11"/>
      <c r="S2636" s="11"/>
      <c r="T2636" s="11"/>
    </row>
    <row r="2637" spans="8:20" x14ac:dyDescent="0.35">
      <c r="H2637" s="711"/>
      <c r="I2637" s="711"/>
      <c r="J2637" s="711"/>
      <c r="K2637" s="711"/>
      <c r="L2637" s="711"/>
      <c r="Q2637" s="11"/>
      <c r="R2637" s="11"/>
      <c r="S2637" s="11"/>
      <c r="T2637" s="11"/>
    </row>
    <row r="2638" spans="8:20" x14ac:dyDescent="0.35">
      <c r="H2638" s="711"/>
      <c r="I2638" s="711"/>
      <c r="J2638" s="711"/>
      <c r="K2638" s="711"/>
      <c r="L2638" s="711"/>
      <c r="Q2638" s="11"/>
      <c r="R2638" s="11"/>
      <c r="S2638" s="11"/>
      <c r="T2638" s="11"/>
    </row>
    <row r="2639" spans="8:20" x14ac:dyDescent="0.35">
      <c r="H2639" s="711"/>
      <c r="I2639" s="711"/>
      <c r="J2639" s="711"/>
      <c r="K2639" s="711"/>
      <c r="L2639" s="711"/>
      <c r="Q2639" s="11"/>
      <c r="R2639" s="11"/>
      <c r="S2639" s="11"/>
      <c r="T2639" s="11"/>
    </row>
    <row r="2640" spans="8:20" x14ac:dyDescent="0.35">
      <c r="H2640" s="711"/>
      <c r="I2640" s="711"/>
      <c r="J2640" s="711"/>
      <c r="K2640" s="711"/>
      <c r="L2640" s="711"/>
      <c r="Q2640" s="11"/>
      <c r="R2640" s="11"/>
      <c r="S2640" s="11"/>
      <c r="T2640" s="11"/>
    </row>
    <row r="2641" spans="8:20" x14ac:dyDescent="0.35">
      <c r="H2641" s="711"/>
      <c r="I2641" s="711"/>
      <c r="J2641" s="711"/>
      <c r="K2641" s="711"/>
      <c r="L2641" s="711"/>
      <c r="Q2641" s="11"/>
      <c r="R2641" s="11"/>
      <c r="S2641" s="11"/>
      <c r="T2641" s="11"/>
    </row>
    <row r="2642" spans="8:20" x14ac:dyDescent="0.35">
      <c r="H2642" s="711"/>
      <c r="I2642" s="711"/>
      <c r="J2642" s="711"/>
      <c r="K2642" s="711"/>
      <c r="L2642" s="711"/>
      <c r="Q2642" s="11"/>
      <c r="R2642" s="11"/>
      <c r="S2642" s="11"/>
      <c r="T2642" s="11"/>
    </row>
    <row r="2643" spans="8:20" x14ac:dyDescent="0.35">
      <c r="H2643" s="711"/>
      <c r="I2643" s="711"/>
      <c r="J2643" s="711"/>
      <c r="K2643" s="711"/>
      <c r="L2643" s="711"/>
      <c r="Q2643" s="11"/>
      <c r="R2643" s="11"/>
      <c r="S2643" s="11"/>
      <c r="T2643" s="11"/>
    </row>
    <row r="2644" spans="8:20" x14ac:dyDescent="0.35">
      <c r="H2644" s="711"/>
      <c r="I2644" s="711"/>
      <c r="J2644" s="711"/>
      <c r="K2644" s="711"/>
      <c r="L2644" s="711"/>
      <c r="Q2644" s="11"/>
      <c r="R2644" s="11"/>
      <c r="S2644" s="11"/>
      <c r="T2644" s="11"/>
    </row>
    <row r="2645" spans="8:20" x14ac:dyDescent="0.35">
      <c r="H2645" s="711"/>
      <c r="I2645" s="711"/>
      <c r="J2645" s="711"/>
      <c r="K2645" s="711"/>
      <c r="L2645" s="711"/>
      <c r="Q2645" s="11"/>
      <c r="R2645" s="11"/>
      <c r="S2645" s="11"/>
      <c r="T2645" s="11"/>
    </row>
    <row r="2646" spans="8:20" x14ac:dyDescent="0.35">
      <c r="H2646" s="711"/>
      <c r="I2646" s="711"/>
      <c r="J2646" s="711"/>
      <c r="K2646" s="711"/>
      <c r="L2646" s="711"/>
      <c r="Q2646" s="11"/>
      <c r="R2646" s="11"/>
      <c r="S2646" s="11"/>
      <c r="T2646" s="11"/>
    </row>
    <row r="2647" spans="8:20" x14ac:dyDescent="0.35">
      <c r="H2647" s="711"/>
      <c r="I2647" s="711"/>
      <c r="J2647" s="711"/>
      <c r="K2647" s="711"/>
      <c r="L2647" s="711"/>
      <c r="Q2647" s="11"/>
      <c r="R2647" s="11"/>
      <c r="S2647" s="11"/>
      <c r="T2647" s="11"/>
    </row>
    <row r="2648" spans="8:20" x14ac:dyDescent="0.35">
      <c r="H2648" s="711"/>
      <c r="I2648" s="711"/>
      <c r="J2648" s="711"/>
      <c r="K2648" s="711"/>
      <c r="L2648" s="711"/>
      <c r="Q2648" s="11"/>
      <c r="R2648" s="11"/>
      <c r="S2648" s="11"/>
      <c r="T2648" s="11"/>
    </row>
    <row r="2649" spans="8:20" x14ac:dyDescent="0.35">
      <c r="H2649" s="711"/>
      <c r="I2649" s="711"/>
      <c r="J2649" s="711"/>
      <c r="K2649" s="711"/>
      <c r="L2649" s="711"/>
      <c r="Q2649" s="11"/>
      <c r="R2649" s="11"/>
      <c r="S2649" s="11"/>
      <c r="T2649" s="11"/>
    </row>
    <row r="2650" spans="8:20" x14ac:dyDescent="0.35">
      <c r="H2650" s="711"/>
      <c r="I2650" s="711"/>
      <c r="J2650" s="711"/>
      <c r="K2650" s="711"/>
      <c r="L2650" s="711"/>
      <c r="Q2650" s="11"/>
      <c r="R2650" s="11"/>
      <c r="S2650" s="11"/>
      <c r="T2650" s="11"/>
    </row>
    <row r="2651" spans="8:20" x14ac:dyDescent="0.35">
      <c r="H2651" s="711"/>
      <c r="I2651" s="711"/>
      <c r="J2651" s="711"/>
      <c r="K2651" s="711"/>
      <c r="L2651" s="711"/>
      <c r="Q2651" s="11"/>
      <c r="R2651" s="11"/>
      <c r="S2651" s="11"/>
      <c r="T2651" s="11"/>
    </row>
    <row r="2652" spans="8:20" x14ac:dyDescent="0.35">
      <c r="H2652" s="711"/>
      <c r="I2652" s="711"/>
      <c r="J2652" s="711"/>
      <c r="K2652" s="711"/>
      <c r="L2652" s="711"/>
      <c r="Q2652" s="11"/>
      <c r="R2652" s="11"/>
      <c r="S2652" s="11"/>
      <c r="T2652" s="11"/>
    </row>
    <row r="2653" spans="8:20" x14ac:dyDescent="0.35">
      <c r="H2653" s="711"/>
      <c r="I2653" s="711"/>
      <c r="J2653" s="711"/>
      <c r="K2653" s="711"/>
      <c r="L2653" s="711"/>
      <c r="Q2653" s="11"/>
      <c r="R2653" s="11"/>
      <c r="S2653" s="11"/>
      <c r="T2653" s="11"/>
    </row>
    <row r="2654" spans="8:20" x14ac:dyDescent="0.35">
      <c r="H2654" s="711"/>
      <c r="I2654" s="711"/>
      <c r="J2654" s="711"/>
      <c r="K2654" s="711"/>
      <c r="L2654" s="711"/>
      <c r="Q2654" s="11"/>
      <c r="R2654" s="11"/>
      <c r="S2654" s="11"/>
      <c r="T2654" s="11"/>
    </row>
    <row r="2655" spans="8:20" x14ac:dyDescent="0.35">
      <c r="H2655" s="711"/>
      <c r="I2655" s="711"/>
      <c r="J2655" s="711"/>
      <c r="K2655" s="711"/>
      <c r="L2655" s="711"/>
      <c r="Q2655" s="11"/>
      <c r="R2655" s="11"/>
      <c r="S2655" s="11"/>
      <c r="T2655" s="11"/>
    </row>
    <row r="2656" spans="8:20" x14ac:dyDescent="0.35">
      <c r="H2656" s="711"/>
      <c r="I2656" s="711"/>
      <c r="J2656" s="711"/>
      <c r="K2656" s="711"/>
      <c r="L2656" s="711"/>
      <c r="Q2656" s="11"/>
      <c r="R2656" s="11"/>
      <c r="S2656" s="11"/>
      <c r="T2656" s="11"/>
    </row>
    <row r="2657" spans="8:20" x14ac:dyDescent="0.35">
      <c r="H2657" s="711"/>
      <c r="I2657" s="711"/>
      <c r="J2657" s="711"/>
      <c r="K2657" s="711"/>
      <c r="L2657" s="711"/>
      <c r="Q2657" s="11"/>
      <c r="R2657" s="11"/>
      <c r="S2657" s="11"/>
      <c r="T2657" s="11"/>
    </row>
    <row r="2658" spans="8:20" x14ac:dyDescent="0.35">
      <c r="H2658" s="711"/>
      <c r="I2658" s="711"/>
      <c r="J2658" s="711"/>
      <c r="K2658" s="711"/>
      <c r="L2658" s="711"/>
      <c r="Q2658" s="11"/>
      <c r="R2658" s="11"/>
      <c r="S2658" s="11"/>
      <c r="T2658" s="11"/>
    </row>
    <row r="2659" spans="8:20" x14ac:dyDescent="0.35">
      <c r="H2659" s="711"/>
      <c r="I2659" s="711"/>
      <c r="J2659" s="711"/>
      <c r="K2659" s="711"/>
      <c r="L2659" s="711"/>
      <c r="Q2659" s="11"/>
      <c r="R2659" s="11"/>
      <c r="S2659" s="11"/>
      <c r="T2659" s="11"/>
    </row>
    <row r="2660" spans="8:20" x14ac:dyDescent="0.35">
      <c r="H2660" s="711"/>
      <c r="I2660" s="711"/>
      <c r="J2660" s="711"/>
      <c r="K2660" s="711"/>
      <c r="L2660" s="711"/>
      <c r="Q2660" s="11"/>
      <c r="R2660" s="11"/>
      <c r="S2660" s="11"/>
      <c r="T2660" s="11"/>
    </row>
    <row r="2661" spans="8:20" x14ac:dyDescent="0.35">
      <c r="H2661" s="711"/>
      <c r="I2661" s="711"/>
      <c r="J2661" s="711"/>
      <c r="K2661" s="711"/>
      <c r="L2661" s="711"/>
      <c r="Q2661" s="11"/>
      <c r="R2661" s="11"/>
      <c r="S2661" s="11"/>
      <c r="T2661" s="11"/>
    </row>
    <row r="2662" spans="8:20" x14ac:dyDescent="0.35">
      <c r="H2662" s="711"/>
      <c r="I2662" s="711"/>
      <c r="J2662" s="711"/>
      <c r="K2662" s="711"/>
      <c r="L2662" s="711"/>
      <c r="Q2662" s="11"/>
      <c r="R2662" s="11"/>
      <c r="S2662" s="11"/>
      <c r="T2662" s="11"/>
    </row>
    <row r="2663" spans="8:20" x14ac:dyDescent="0.35">
      <c r="H2663" s="711"/>
      <c r="I2663" s="711"/>
      <c r="J2663" s="711"/>
      <c r="K2663" s="711"/>
      <c r="L2663" s="711"/>
      <c r="Q2663" s="11"/>
      <c r="R2663" s="11"/>
      <c r="S2663" s="11"/>
      <c r="T2663" s="11"/>
    </row>
    <row r="2664" spans="8:20" x14ac:dyDescent="0.35">
      <c r="H2664" s="711"/>
      <c r="I2664" s="711"/>
      <c r="J2664" s="711"/>
      <c r="K2664" s="711"/>
      <c r="L2664" s="711"/>
      <c r="Q2664" s="11"/>
      <c r="R2664" s="11"/>
      <c r="S2664" s="11"/>
      <c r="T2664" s="11"/>
    </row>
    <row r="2665" spans="8:20" x14ac:dyDescent="0.35">
      <c r="H2665" s="711"/>
      <c r="I2665" s="711"/>
      <c r="J2665" s="711"/>
      <c r="K2665" s="711"/>
      <c r="L2665" s="711"/>
      <c r="Q2665" s="11"/>
      <c r="R2665" s="11"/>
      <c r="S2665" s="11"/>
      <c r="T2665" s="11"/>
    </row>
    <row r="2666" spans="8:20" x14ac:dyDescent="0.35">
      <c r="H2666" s="711"/>
      <c r="I2666" s="711"/>
      <c r="J2666" s="711"/>
      <c r="K2666" s="711"/>
      <c r="L2666" s="711"/>
      <c r="Q2666" s="11"/>
      <c r="R2666" s="11"/>
      <c r="S2666" s="11"/>
      <c r="T2666" s="11"/>
    </row>
    <row r="2667" spans="8:20" x14ac:dyDescent="0.35">
      <c r="H2667" s="711"/>
      <c r="I2667" s="711"/>
      <c r="J2667" s="711"/>
      <c r="K2667" s="711"/>
      <c r="L2667" s="711"/>
      <c r="Q2667" s="11"/>
      <c r="R2667" s="11"/>
      <c r="S2667" s="11"/>
      <c r="T2667" s="11"/>
    </row>
    <row r="2668" spans="8:20" x14ac:dyDescent="0.35">
      <c r="H2668" s="711"/>
      <c r="I2668" s="711"/>
      <c r="J2668" s="711"/>
      <c r="K2668" s="711"/>
      <c r="L2668" s="711"/>
      <c r="Q2668" s="11"/>
      <c r="R2668" s="11"/>
      <c r="S2668" s="11"/>
      <c r="T2668" s="11"/>
    </row>
    <row r="2669" spans="8:20" x14ac:dyDescent="0.35">
      <c r="H2669" s="711"/>
      <c r="I2669" s="711"/>
      <c r="J2669" s="711"/>
      <c r="K2669" s="711"/>
      <c r="L2669" s="711"/>
      <c r="Q2669" s="11"/>
      <c r="R2669" s="11"/>
      <c r="S2669" s="11"/>
      <c r="T2669" s="11"/>
    </row>
    <row r="2670" spans="8:20" x14ac:dyDescent="0.35">
      <c r="H2670" s="711"/>
      <c r="I2670" s="711"/>
      <c r="J2670" s="711"/>
      <c r="K2670" s="711"/>
      <c r="L2670" s="711"/>
      <c r="Q2670" s="11"/>
      <c r="R2670" s="11"/>
      <c r="S2670" s="11"/>
      <c r="T2670" s="11"/>
    </row>
    <row r="2671" spans="8:20" x14ac:dyDescent="0.35">
      <c r="H2671" s="711"/>
      <c r="I2671" s="711"/>
      <c r="J2671" s="711"/>
      <c r="K2671" s="711"/>
      <c r="L2671" s="711"/>
      <c r="Q2671" s="11"/>
      <c r="R2671" s="11"/>
      <c r="S2671" s="11"/>
      <c r="T2671" s="11"/>
    </row>
    <row r="2672" spans="8:20" x14ac:dyDescent="0.35">
      <c r="H2672" s="711"/>
      <c r="I2672" s="711"/>
      <c r="J2672" s="711"/>
      <c r="K2672" s="711"/>
      <c r="L2672" s="711"/>
      <c r="Q2672" s="11"/>
      <c r="R2672" s="11"/>
      <c r="S2672" s="11"/>
      <c r="T2672" s="11"/>
    </row>
    <row r="2673" spans="8:20" x14ac:dyDescent="0.35">
      <c r="H2673" s="711"/>
      <c r="I2673" s="711"/>
      <c r="J2673" s="711"/>
      <c r="K2673" s="711"/>
      <c r="L2673" s="711"/>
      <c r="Q2673" s="11"/>
      <c r="R2673" s="11"/>
      <c r="S2673" s="11"/>
      <c r="T2673" s="11"/>
    </row>
    <row r="2674" spans="8:20" x14ac:dyDescent="0.35">
      <c r="H2674" s="711"/>
      <c r="I2674" s="711"/>
      <c r="J2674" s="711"/>
      <c r="K2674" s="711"/>
      <c r="L2674" s="711"/>
      <c r="Q2674" s="11"/>
      <c r="R2674" s="11"/>
      <c r="S2674" s="11"/>
      <c r="T2674" s="11"/>
    </row>
    <row r="2675" spans="8:20" x14ac:dyDescent="0.35">
      <c r="H2675" s="711"/>
      <c r="I2675" s="711"/>
      <c r="J2675" s="711"/>
      <c r="K2675" s="711"/>
      <c r="L2675" s="711"/>
      <c r="Q2675" s="11"/>
      <c r="R2675" s="11"/>
      <c r="S2675" s="11"/>
      <c r="T2675" s="11"/>
    </row>
    <row r="2676" spans="8:20" x14ac:dyDescent="0.35">
      <c r="H2676" s="711"/>
      <c r="I2676" s="711"/>
      <c r="J2676" s="711"/>
      <c r="K2676" s="711"/>
      <c r="L2676" s="711"/>
      <c r="Q2676" s="11"/>
      <c r="R2676" s="11"/>
      <c r="S2676" s="11"/>
      <c r="T2676" s="11"/>
    </row>
    <row r="2677" spans="8:20" x14ac:dyDescent="0.35">
      <c r="H2677" s="711"/>
      <c r="I2677" s="711"/>
      <c r="J2677" s="711"/>
      <c r="K2677" s="711"/>
      <c r="L2677" s="711"/>
      <c r="Q2677" s="11"/>
      <c r="R2677" s="11"/>
      <c r="S2677" s="11"/>
      <c r="T2677" s="11"/>
    </row>
    <row r="2678" spans="8:20" x14ac:dyDescent="0.35">
      <c r="H2678" s="711"/>
      <c r="I2678" s="711"/>
      <c r="J2678" s="711"/>
      <c r="K2678" s="711"/>
      <c r="L2678" s="711"/>
      <c r="Q2678" s="11"/>
      <c r="R2678" s="11"/>
      <c r="S2678" s="11"/>
      <c r="T2678" s="11"/>
    </row>
    <row r="2679" spans="8:20" x14ac:dyDescent="0.35">
      <c r="H2679" s="711"/>
      <c r="I2679" s="711"/>
      <c r="J2679" s="711"/>
      <c r="K2679" s="711"/>
      <c r="L2679" s="711"/>
      <c r="Q2679" s="11"/>
      <c r="R2679" s="11"/>
      <c r="S2679" s="11"/>
      <c r="T2679" s="11"/>
    </row>
    <row r="2680" spans="8:20" x14ac:dyDescent="0.35">
      <c r="H2680" s="711"/>
      <c r="I2680" s="711"/>
      <c r="J2680" s="711"/>
      <c r="K2680" s="711"/>
      <c r="L2680" s="711"/>
      <c r="Q2680" s="11"/>
      <c r="R2680" s="11"/>
      <c r="S2680" s="11"/>
      <c r="T2680" s="11"/>
    </row>
    <row r="2681" spans="8:20" x14ac:dyDescent="0.35">
      <c r="H2681" s="711"/>
      <c r="I2681" s="711"/>
      <c r="J2681" s="711"/>
      <c r="K2681" s="711"/>
      <c r="L2681" s="711"/>
      <c r="Q2681" s="11"/>
      <c r="R2681" s="11"/>
      <c r="S2681" s="11"/>
      <c r="T2681" s="11"/>
    </row>
    <row r="2682" spans="8:20" x14ac:dyDescent="0.35">
      <c r="H2682" s="711"/>
      <c r="I2682" s="711"/>
      <c r="J2682" s="711"/>
      <c r="K2682" s="711"/>
      <c r="L2682" s="711"/>
      <c r="Q2682" s="11"/>
      <c r="R2682" s="11"/>
      <c r="S2682" s="11"/>
      <c r="T2682" s="11"/>
    </row>
    <row r="2683" spans="8:20" x14ac:dyDescent="0.35">
      <c r="H2683" s="711"/>
      <c r="I2683" s="711"/>
      <c r="J2683" s="711"/>
      <c r="K2683" s="711"/>
      <c r="L2683" s="711"/>
      <c r="Q2683" s="11"/>
      <c r="R2683" s="11"/>
      <c r="S2683" s="11"/>
      <c r="T2683" s="11"/>
    </row>
    <row r="2684" spans="8:20" x14ac:dyDescent="0.35">
      <c r="H2684" s="711"/>
      <c r="I2684" s="711"/>
      <c r="J2684" s="711"/>
      <c r="K2684" s="711"/>
      <c r="L2684" s="711"/>
      <c r="Q2684" s="11"/>
      <c r="R2684" s="11"/>
      <c r="S2684" s="11"/>
      <c r="T2684" s="11"/>
    </row>
    <row r="2685" spans="8:20" x14ac:dyDescent="0.35">
      <c r="H2685" s="711"/>
      <c r="I2685" s="711"/>
      <c r="J2685" s="711"/>
      <c r="K2685" s="711"/>
      <c r="L2685" s="711"/>
      <c r="Q2685" s="11"/>
      <c r="R2685" s="11"/>
      <c r="S2685" s="11"/>
      <c r="T2685" s="11"/>
    </row>
    <row r="2686" spans="8:20" x14ac:dyDescent="0.35">
      <c r="H2686" s="711"/>
      <c r="I2686" s="711"/>
      <c r="J2686" s="711"/>
      <c r="K2686" s="711"/>
      <c r="L2686" s="711"/>
      <c r="Q2686" s="11"/>
      <c r="R2686" s="11"/>
      <c r="S2686" s="11"/>
      <c r="T2686" s="11"/>
    </row>
    <row r="2687" spans="8:20" x14ac:dyDescent="0.35">
      <c r="H2687" s="711"/>
      <c r="I2687" s="711"/>
      <c r="J2687" s="711"/>
      <c r="K2687" s="711"/>
      <c r="L2687" s="711"/>
      <c r="Q2687" s="11"/>
      <c r="R2687" s="11"/>
      <c r="S2687" s="11"/>
      <c r="T2687" s="11"/>
    </row>
    <row r="2688" spans="8:20" x14ac:dyDescent="0.35">
      <c r="H2688" s="711"/>
      <c r="I2688" s="711"/>
      <c r="J2688" s="711"/>
      <c r="K2688" s="711"/>
      <c r="L2688" s="711"/>
      <c r="Q2688" s="11"/>
      <c r="R2688" s="11"/>
      <c r="S2688" s="11"/>
      <c r="T2688" s="11"/>
    </row>
    <row r="2689" spans="8:20" x14ac:dyDescent="0.35">
      <c r="H2689" s="711"/>
      <c r="I2689" s="711"/>
      <c r="J2689" s="711"/>
      <c r="K2689" s="711"/>
      <c r="L2689" s="711"/>
      <c r="Q2689" s="11"/>
      <c r="R2689" s="11"/>
      <c r="S2689" s="11"/>
      <c r="T2689" s="11"/>
    </row>
    <row r="2690" spans="8:20" x14ac:dyDescent="0.35">
      <c r="H2690" s="711"/>
      <c r="I2690" s="711"/>
      <c r="J2690" s="711"/>
      <c r="K2690" s="711"/>
      <c r="L2690" s="711"/>
      <c r="Q2690" s="11"/>
      <c r="R2690" s="11"/>
      <c r="S2690" s="11"/>
      <c r="T2690" s="11"/>
    </row>
    <row r="2691" spans="8:20" x14ac:dyDescent="0.35">
      <c r="H2691" s="711"/>
      <c r="I2691" s="711"/>
      <c r="J2691" s="711"/>
      <c r="K2691" s="711"/>
      <c r="L2691" s="711"/>
      <c r="Q2691" s="11"/>
      <c r="R2691" s="11"/>
      <c r="S2691" s="11"/>
      <c r="T2691" s="11"/>
    </row>
    <row r="2692" spans="8:20" x14ac:dyDescent="0.35">
      <c r="H2692" s="711"/>
      <c r="I2692" s="711"/>
      <c r="J2692" s="711"/>
      <c r="K2692" s="711"/>
      <c r="L2692" s="711"/>
      <c r="Q2692" s="11"/>
      <c r="R2692" s="11"/>
      <c r="S2692" s="11"/>
      <c r="T2692" s="11"/>
    </row>
    <row r="2693" spans="8:20" x14ac:dyDescent="0.35">
      <c r="H2693" s="711"/>
      <c r="I2693" s="711"/>
      <c r="J2693" s="711"/>
      <c r="K2693" s="711"/>
      <c r="L2693" s="711"/>
      <c r="Q2693" s="11"/>
      <c r="R2693" s="11"/>
      <c r="S2693" s="11"/>
      <c r="T2693" s="11"/>
    </row>
    <row r="2694" spans="8:20" x14ac:dyDescent="0.35">
      <c r="H2694" s="711"/>
      <c r="I2694" s="711"/>
      <c r="J2694" s="711"/>
      <c r="K2694" s="711"/>
      <c r="L2694" s="711"/>
      <c r="Q2694" s="11"/>
      <c r="R2694" s="11"/>
      <c r="S2694" s="11"/>
      <c r="T2694" s="11"/>
    </row>
    <row r="2695" spans="8:20" x14ac:dyDescent="0.35">
      <c r="H2695" s="711"/>
      <c r="I2695" s="711"/>
      <c r="J2695" s="711"/>
      <c r="K2695" s="711"/>
      <c r="L2695" s="711"/>
      <c r="Q2695" s="11"/>
      <c r="R2695" s="11"/>
      <c r="S2695" s="11"/>
      <c r="T2695" s="11"/>
    </row>
    <row r="2696" spans="8:20" x14ac:dyDescent="0.35">
      <c r="H2696" s="711"/>
      <c r="I2696" s="711"/>
      <c r="J2696" s="711"/>
      <c r="K2696" s="711"/>
      <c r="L2696" s="711"/>
      <c r="Q2696" s="11"/>
      <c r="R2696" s="11"/>
      <c r="S2696" s="11"/>
      <c r="T2696" s="11"/>
    </row>
    <row r="2697" spans="8:20" x14ac:dyDescent="0.35">
      <c r="H2697" s="711"/>
      <c r="I2697" s="711"/>
      <c r="J2697" s="711"/>
      <c r="K2697" s="711"/>
      <c r="L2697" s="711"/>
      <c r="Q2697" s="11"/>
      <c r="R2697" s="11"/>
      <c r="S2697" s="11"/>
      <c r="T2697" s="11"/>
    </row>
    <row r="2698" spans="8:20" x14ac:dyDescent="0.35">
      <c r="H2698" s="711"/>
      <c r="I2698" s="711"/>
      <c r="J2698" s="711"/>
      <c r="K2698" s="711"/>
      <c r="L2698" s="711"/>
      <c r="Q2698" s="11"/>
      <c r="R2698" s="11"/>
      <c r="S2698" s="11"/>
      <c r="T2698" s="11"/>
    </row>
    <row r="2699" spans="8:20" x14ac:dyDescent="0.35">
      <c r="H2699" s="711"/>
      <c r="I2699" s="711"/>
      <c r="J2699" s="711"/>
      <c r="K2699" s="711"/>
      <c r="L2699" s="711"/>
      <c r="Q2699" s="11"/>
      <c r="R2699" s="11"/>
      <c r="S2699" s="11"/>
      <c r="T2699" s="11"/>
    </row>
    <row r="2700" spans="8:20" x14ac:dyDescent="0.35">
      <c r="H2700" s="711"/>
      <c r="I2700" s="711"/>
      <c r="J2700" s="711"/>
      <c r="K2700" s="711"/>
      <c r="L2700" s="711"/>
      <c r="Q2700" s="11"/>
      <c r="R2700" s="11"/>
      <c r="S2700" s="11"/>
      <c r="T2700" s="11"/>
    </row>
    <row r="2701" spans="8:20" x14ac:dyDescent="0.35">
      <c r="H2701" s="711"/>
      <c r="I2701" s="711"/>
      <c r="J2701" s="711"/>
      <c r="K2701" s="711"/>
      <c r="L2701" s="711"/>
      <c r="Q2701" s="11"/>
      <c r="R2701" s="11"/>
      <c r="S2701" s="11"/>
      <c r="T2701" s="11"/>
    </row>
    <row r="2702" spans="8:20" x14ac:dyDescent="0.35">
      <c r="H2702" s="711"/>
      <c r="I2702" s="711"/>
      <c r="J2702" s="711"/>
      <c r="K2702" s="711"/>
      <c r="L2702" s="711"/>
      <c r="Q2702" s="11"/>
      <c r="R2702" s="11"/>
      <c r="S2702" s="11"/>
      <c r="T2702" s="11"/>
    </row>
    <row r="2703" spans="8:20" x14ac:dyDescent="0.35">
      <c r="H2703" s="711"/>
      <c r="I2703" s="711"/>
      <c r="J2703" s="711"/>
      <c r="K2703" s="711"/>
      <c r="L2703" s="711"/>
      <c r="Q2703" s="11"/>
      <c r="R2703" s="11"/>
      <c r="S2703" s="11"/>
      <c r="T2703" s="11"/>
    </row>
    <row r="2704" spans="8:20" x14ac:dyDescent="0.35">
      <c r="H2704" s="711"/>
      <c r="I2704" s="711"/>
      <c r="J2704" s="711"/>
      <c r="K2704" s="711"/>
      <c r="L2704" s="711"/>
      <c r="Q2704" s="11"/>
      <c r="R2704" s="11"/>
      <c r="S2704" s="11"/>
      <c r="T2704" s="11"/>
    </row>
    <row r="2705" spans="8:20" x14ac:dyDescent="0.35">
      <c r="H2705" s="711"/>
      <c r="I2705" s="711"/>
      <c r="J2705" s="711"/>
      <c r="K2705" s="711"/>
      <c r="L2705" s="711"/>
      <c r="Q2705" s="11"/>
      <c r="R2705" s="11"/>
      <c r="S2705" s="11"/>
      <c r="T2705" s="11"/>
    </row>
    <row r="2706" spans="8:20" x14ac:dyDescent="0.35">
      <c r="H2706" s="711"/>
      <c r="I2706" s="711"/>
      <c r="J2706" s="711"/>
      <c r="K2706" s="711"/>
      <c r="L2706" s="711"/>
      <c r="Q2706" s="11"/>
      <c r="R2706" s="11"/>
      <c r="S2706" s="11"/>
      <c r="T2706" s="11"/>
    </row>
    <row r="2707" spans="8:20" x14ac:dyDescent="0.35">
      <c r="H2707" s="711"/>
      <c r="I2707" s="711"/>
      <c r="J2707" s="711"/>
      <c r="K2707" s="711"/>
      <c r="L2707" s="711"/>
      <c r="Q2707" s="11"/>
      <c r="R2707" s="11"/>
      <c r="S2707" s="11"/>
      <c r="T2707" s="11"/>
    </row>
    <row r="2708" spans="8:20" x14ac:dyDescent="0.35">
      <c r="H2708" s="711"/>
      <c r="I2708" s="711"/>
      <c r="J2708" s="711"/>
      <c r="K2708" s="711"/>
      <c r="L2708" s="711"/>
      <c r="Q2708" s="11"/>
      <c r="R2708" s="11"/>
      <c r="S2708" s="11"/>
      <c r="T2708" s="11"/>
    </row>
    <row r="2709" spans="8:20" x14ac:dyDescent="0.35">
      <c r="H2709" s="711"/>
      <c r="I2709" s="711"/>
      <c r="J2709" s="711"/>
      <c r="K2709" s="711"/>
      <c r="L2709" s="711"/>
      <c r="Q2709" s="11"/>
      <c r="R2709" s="11"/>
      <c r="S2709" s="11"/>
      <c r="T2709" s="11"/>
    </row>
    <row r="2710" spans="8:20" x14ac:dyDescent="0.35">
      <c r="H2710" s="711"/>
      <c r="I2710" s="711"/>
      <c r="J2710" s="711"/>
      <c r="K2710" s="711"/>
      <c r="L2710" s="711"/>
      <c r="Q2710" s="11"/>
      <c r="R2710" s="11"/>
      <c r="S2710" s="11"/>
      <c r="T2710" s="11"/>
    </row>
    <row r="2711" spans="8:20" x14ac:dyDescent="0.35">
      <c r="H2711" s="711"/>
      <c r="I2711" s="711"/>
      <c r="J2711" s="711"/>
      <c r="K2711" s="711"/>
      <c r="L2711" s="711"/>
      <c r="Q2711" s="11"/>
      <c r="R2711" s="11"/>
      <c r="S2711" s="11"/>
      <c r="T2711" s="11"/>
    </row>
    <row r="2712" spans="8:20" x14ac:dyDescent="0.35">
      <c r="H2712" s="711"/>
      <c r="I2712" s="711"/>
      <c r="J2712" s="711"/>
      <c r="K2712" s="711"/>
      <c r="L2712" s="711"/>
      <c r="Q2712" s="11"/>
      <c r="R2712" s="11"/>
      <c r="S2712" s="11"/>
      <c r="T2712" s="11"/>
    </row>
    <row r="2713" spans="8:20" x14ac:dyDescent="0.35">
      <c r="H2713" s="711"/>
      <c r="I2713" s="711"/>
      <c r="J2713" s="711"/>
      <c r="K2713" s="711"/>
      <c r="L2713" s="711"/>
      <c r="Q2713" s="11"/>
      <c r="R2713" s="11"/>
      <c r="S2713" s="11"/>
      <c r="T2713" s="11"/>
    </row>
    <row r="2714" spans="8:20" x14ac:dyDescent="0.35">
      <c r="H2714" s="711"/>
      <c r="I2714" s="711"/>
      <c r="J2714" s="711"/>
      <c r="K2714" s="711"/>
      <c r="L2714" s="711"/>
      <c r="Q2714" s="11"/>
      <c r="R2714" s="11"/>
      <c r="S2714" s="11"/>
      <c r="T2714" s="11"/>
    </row>
    <row r="2715" spans="8:20" x14ac:dyDescent="0.35">
      <c r="H2715" s="711"/>
      <c r="I2715" s="711"/>
      <c r="J2715" s="711"/>
      <c r="K2715" s="711"/>
      <c r="L2715" s="711"/>
      <c r="Q2715" s="11"/>
      <c r="R2715" s="11"/>
      <c r="S2715" s="11"/>
      <c r="T2715" s="11"/>
    </row>
    <row r="2716" spans="8:20" x14ac:dyDescent="0.35">
      <c r="H2716" s="711"/>
      <c r="I2716" s="711"/>
      <c r="J2716" s="711"/>
      <c r="K2716" s="711"/>
      <c r="L2716" s="711"/>
      <c r="Q2716" s="11"/>
      <c r="R2716" s="11"/>
      <c r="S2716" s="11"/>
      <c r="T2716" s="11"/>
    </row>
    <row r="2717" spans="8:20" x14ac:dyDescent="0.35">
      <c r="H2717" s="711"/>
      <c r="I2717" s="711"/>
      <c r="J2717" s="711"/>
      <c r="K2717" s="711"/>
      <c r="L2717" s="711"/>
      <c r="Q2717" s="11"/>
      <c r="R2717" s="11"/>
      <c r="S2717" s="11"/>
      <c r="T2717" s="11"/>
    </row>
    <row r="2718" spans="8:20" x14ac:dyDescent="0.35">
      <c r="H2718" s="711"/>
      <c r="I2718" s="711"/>
      <c r="J2718" s="711"/>
      <c r="K2718" s="711"/>
      <c r="L2718" s="711"/>
      <c r="Q2718" s="11"/>
      <c r="R2718" s="11"/>
      <c r="S2718" s="11"/>
      <c r="T2718" s="11"/>
    </row>
    <row r="2719" spans="8:20" x14ac:dyDescent="0.35">
      <c r="H2719" s="711"/>
      <c r="I2719" s="711"/>
      <c r="J2719" s="711"/>
      <c r="K2719" s="711"/>
      <c r="L2719" s="711"/>
      <c r="Q2719" s="11"/>
      <c r="R2719" s="11"/>
      <c r="S2719" s="11"/>
      <c r="T2719" s="11"/>
    </row>
    <row r="2720" spans="8:20" x14ac:dyDescent="0.35">
      <c r="H2720" s="711"/>
      <c r="I2720" s="711"/>
      <c r="J2720" s="711"/>
      <c r="K2720" s="711"/>
      <c r="L2720" s="711"/>
      <c r="Q2720" s="11"/>
      <c r="R2720" s="11"/>
      <c r="S2720" s="11"/>
      <c r="T2720" s="11"/>
    </row>
    <row r="2721" spans="8:20" x14ac:dyDescent="0.35">
      <c r="H2721" s="711"/>
      <c r="I2721" s="711"/>
      <c r="J2721" s="711"/>
      <c r="K2721" s="711"/>
      <c r="L2721" s="711"/>
      <c r="Q2721" s="11"/>
      <c r="R2721" s="11"/>
      <c r="S2721" s="11"/>
      <c r="T2721" s="11"/>
    </row>
    <row r="2722" spans="8:20" x14ac:dyDescent="0.35">
      <c r="H2722" s="711"/>
      <c r="I2722" s="711"/>
      <c r="J2722" s="711"/>
      <c r="K2722" s="711"/>
      <c r="L2722" s="711"/>
      <c r="Q2722" s="11"/>
      <c r="R2722" s="11"/>
      <c r="S2722" s="11"/>
      <c r="T2722" s="11"/>
    </row>
    <row r="2723" spans="8:20" x14ac:dyDescent="0.35">
      <c r="H2723" s="711"/>
      <c r="I2723" s="711"/>
      <c r="J2723" s="711"/>
      <c r="K2723" s="711"/>
      <c r="L2723" s="711"/>
      <c r="Q2723" s="11"/>
      <c r="R2723" s="11"/>
      <c r="S2723" s="11"/>
      <c r="T2723" s="11"/>
    </row>
    <row r="2724" spans="8:20" x14ac:dyDescent="0.35">
      <c r="H2724" s="711"/>
      <c r="I2724" s="711"/>
      <c r="J2724" s="711"/>
      <c r="K2724" s="711"/>
      <c r="L2724" s="711"/>
      <c r="Q2724" s="11"/>
      <c r="R2724" s="11"/>
      <c r="S2724" s="11"/>
      <c r="T2724" s="11"/>
    </row>
    <row r="2725" spans="8:20" x14ac:dyDescent="0.35">
      <c r="H2725" s="711"/>
      <c r="I2725" s="711"/>
      <c r="J2725" s="711"/>
      <c r="K2725" s="711"/>
      <c r="L2725" s="711"/>
      <c r="Q2725" s="11"/>
      <c r="R2725" s="11"/>
      <c r="S2725" s="11"/>
      <c r="T2725" s="11"/>
    </row>
    <row r="2726" spans="8:20" x14ac:dyDescent="0.35">
      <c r="H2726" s="711"/>
      <c r="I2726" s="711"/>
      <c r="J2726" s="711"/>
      <c r="K2726" s="711"/>
      <c r="L2726" s="711"/>
      <c r="Q2726" s="11"/>
      <c r="R2726" s="11"/>
      <c r="S2726" s="11"/>
      <c r="T2726" s="11"/>
    </row>
    <row r="2727" spans="8:20" x14ac:dyDescent="0.35">
      <c r="H2727" s="711"/>
      <c r="I2727" s="711"/>
      <c r="J2727" s="711"/>
      <c r="K2727" s="711"/>
      <c r="L2727" s="711"/>
      <c r="Q2727" s="11"/>
      <c r="R2727" s="11"/>
      <c r="S2727" s="11"/>
      <c r="T2727" s="11"/>
    </row>
    <row r="2728" spans="8:20" x14ac:dyDescent="0.35">
      <c r="H2728" s="711"/>
      <c r="I2728" s="711"/>
      <c r="J2728" s="711"/>
      <c r="K2728" s="711"/>
      <c r="L2728" s="711"/>
      <c r="Q2728" s="11"/>
      <c r="R2728" s="11"/>
      <c r="S2728" s="11"/>
      <c r="T2728" s="11"/>
    </row>
    <row r="2729" spans="8:20" x14ac:dyDescent="0.35">
      <c r="H2729" s="711"/>
      <c r="I2729" s="711"/>
      <c r="J2729" s="711"/>
      <c r="K2729" s="711"/>
      <c r="L2729" s="711"/>
      <c r="Q2729" s="11"/>
      <c r="R2729" s="11"/>
      <c r="S2729" s="11"/>
      <c r="T2729" s="11"/>
    </row>
    <row r="2730" spans="8:20" x14ac:dyDescent="0.35">
      <c r="H2730" s="711"/>
      <c r="I2730" s="711"/>
      <c r="J2730" s="711"/>
      <c r="K2730" s="711"/>
      <c r="L2730" s="711"/>
      <c r="Q2730" s="11"/>
      <c r="R2730" s="11"/>
      <c r="S2730" s="11"/>
      <c r="T2730" s="11"/>
    </row>
    <row r="2731" spans="8:20" x14ac:dyDescent="0.35">
      <c r="H2731" s="711"/>
      <c r="I2731" s="711"/>
      <c r="J2731" s="711"/>
      <c r="K2731" s="711"/>
      <c r="L2731" s="711"/>
      <c r="Q2731" s="11"/>
      <c r="R2731" s="11"/>
      <c r="S2731" s="11"/>
      <c r="T2731" s="11"/>
    </row>
    <row r="2732" spans="8:20" x14ac:dyDescent="0.35">
      <c r="H2732" s="711"/>
      <c r="I2732" s="711"/>
      <c r="J2732" s="711"/>
      <c r="K2732" s="711"/>
      <c r="L2732" s="711"/>
      <c r="Q2732" s="11"/>
      <c r="R2732" s="11"/>
      <c r="S2732" s="11"/>
      <c r="T2732" s="11"/>
    </row>
    <row r="2733" spans="8:20" x14ac:dyDescent="0.35">
      <c r="H2733" s="711"/>
      <c r="I2733" s="711"/>
      <c r="J2733" s="711"/>
      <c r="K2733" s="711"/>
      <c r="L2733" s="711"/>
      <c r="Q2733" s="11"/>
      <c r="R2733" s="11"/>
      <c r="S2733" s="11"/>
      <c r="T2733" s="11"/>
    </row>
    <row r="2734" spans="8:20" x14ac:dyDescent="0.35">
      <c r="H2734" s="711"/>
      <c r="I2734" s="711"/>
      <c r="J2734" s="711"/>
      <c r="K2734" s="711"/>
      <c r="L2734" s="711"/>
      <c r="Q2734" s="11"/>
      <c r="R2734" s="11"/>
      <c r="S2734" s="11"/>
      <c r="T2734" s="11"/>
    </row>
    <row r="2735" spans="8:20" x14ac:dyDescent="0.35">
      <c r="H2735" s="711"/>
      <c r="I2735" s="711"/>
      <c r="J2735" s="711"/>
      <c r="K2735" s="711"/>
      <c r="L2735" s="711"/>
      <c r="Q2735" s="11"/>
      <c r="R2735" s="11"/>
      <c r="S2735" s="11"/>
      <c r="T2735" s="11"/>
    </row>
    <row r="2736" spans="8:20" x14ac:dyDescent="0.35">
      <c r="H2736" s="711"/>
      <c r="I2736" s="711"/>
      <c r="J2736" s="711"/>
      <c r="K2736" s="711"/>
      <c r="L2736" s="711"/>
      <c r="Q2736" s="11"/>
      <c r="R2736" s="11"/>
      <c r="S2736" s="11"/>
      <c r="T2736" s="11"/>
    </row>
    <row r="2737" spans="8:20" x14ac:dyDescent="0.35">
      <c r="H2737" s="711"/>
      <c r="I2737" s="711"/>
      <c r="J2737" s="711"/>
      <c r="K2737" s="711"/>
      <c r="L2737" s="711"/>
      <c r="Q2737" s="11"/>
      <c r="R2737" s="11"/>
      <c r="S2737" s="11"/>
      <c r="T2737" s="11"/>
    </row>
    <row r="2738" spans="8:20" x14ac:dyDescent="0.35">
      <c r="H2738" s="711"/>
      <c r="I2738" s="711"/>
      <c r="J2738" s="711"/>
      <c r="K2738" s="711"/>
      <c r="L2738" s="711"/>
      <c r="Q2738" s="11"/>
      <c r="R2738" s="11"/>
      <c r="S2738" s="11"/>
      <c r="T2738" s="11"/>
    </row>
    <row r="2739" spans="8:20" x14ac:dyDescent="0.35">
      <c r="H2739" s="711"/>
      <c r="I2739" s="711"/>
      <c r="J2739" s="711"/>
      <c r="K2739" s="711"/>
      <c r="L2739" s="711"/>
      <c r="Q2739" s="11"/>
      <c r="R2739" s="11"/>
      <c r="S2739" s="11"/>
      <c r="T2739" s="11"/>
    </row>
    <row r="2740" spans="8:20" x14ac:dyDescent="0.35">
      <c r="H2740" s="711"/>
      <c r="I2740" s="711"/>
      <c r="J2740" s="711"/>
      <c r="K2740" s="711"/>
      <c r="L2740" s="711"/>
      <c r="Q2740" s="11"/>
      <c r="R2740" s="11"/>
      <c r="S2740" s="11"/>
      <c r="T2740" s="11"/>
    </row>
    <row r="2741" spans="8:20" x14ac:dyDescent="0.35">
      <c r="H2741" s="711"/>
      <c r="I2741" s="711"/>
      <c r="J2741" s="711"/>
      <c r="K2741" s="711"/>
      <c r="L2741" s="711"/>
      <c r="Q2741" s="11"/>
      <c r="R2741" s="11"/>
      <c r="S2741" s="11"/>
      <c r="T2741" s="11"/>
    </row>
    <row r="2742" spans="8:20" x14ac:dyDescent="0.35">
      <c r="H2742" s="711"/>
      <c r="I2742" s="711"/>
      <c r="J2742" s="711"/>
      <c r="K2742" s="711"/>
      <c r="L2742" s="711"/>
      <c r="Q2742" s="11"/>
      <c r="R2742" s="11"/>
      <c r="S2742" s="11"/>
      <c r="T2742" s="11"/>
    </row>
    <row r="2743" spans="8:20" x14ac:dyDescent="0.35">
      <c r="H2743" s="711"/>
      <c r="I2743" s="711"/>
      <c r="J2743" s="711"/>
      <c r="K2743" s="711"/>
      <c r="L2743" s="711"/>
      <c r="Q2743" s="11"/>
      <c r="R2743" s="11"/>
      <c r="S2743" s="11"/>
      <c r="T2743" s="11"/>
    </row>
    <row r="2744" spans="8:20" x14ac:dyDescent="0.35">
      <c r="H2744" s="711"/>
      <c r="I2744" s="711"/>
      <c r="J2744" s="711"/>
      <c r="K2744" s="711"/>
      <c r="L2744" s="711"/>
      <c r="Q2744" s="11"/>
      <c r="R2744" s="11"/>
      <c r="S2744" s="11"/>
      <c r="T2744" s="11"/>
    </row>
    <row r="2745" spans="8:20" x14ac:dyDescent="0.35">
      <c r="H2745" s="711"/>
      <c r="I2745" s="711"/>
      <c r="J2745" s="711"/>
      <c r="K2745" s="711"/>
      <c r="L2745" s="711"/>
      <c r="Q2745" s="11"/>
      <c r="R2745" s="11"/>
      <c r="S2745" s="11"/>
      <c r="T2745" s="11"/>
    </row>
    <row r="2746" spans="8:20" x14ac:dyDescent="0.35">
      <c r="H2746" s="711"/>
      <c r="I2746" s="711"/>
      <c r="J2746" s="711"/>
      <c r="K2746" s="711"/>
      <c r="L2746" s="711"/>
      <c r="Q2746" s="11"/>
      <c r="R2746" s="11"/>
      <c r="S2746" s="11"/>
      <c r="T2746" s="11"/>
    </row>
    <row r="2747" spans="8:20" x14ac:dyDescent="0.35">
      <c r="H2747" s="711"/>
      <c r="I2747" s="711"/>
      <c r="J2747" s="711"/>
      <c r="K2747" s="711"/>
      <c r="L2747" s="711"/>
      <c r="Q2747" s="11"/>
      <c r="R2747" s="11"/>
      <c r="S2747" s="11"/>
      <c r="T2747" s="11"/>
    </row>
    <row r="2748" spans="8:20" x14ac:dyDescent="0.35">
      <c r="H2748" s="711"/>
      <c r="I2748" s="711"/>
      <c r="J2748" s="711"/>
      <c r="K2748" s="711"/>
      <c r="L2748" s="711"/>
      <c r="Q2748" s="11"/>
      <c r="R2748" s="11"/>
      <c r="S2748" s="11"/>
      <c r="T2748" s="11"/>
    </row>
    <row r="2749" spans="8:20" x14ac:dyDescent="0.35">
      <c r="H2749" s="711"/>
      <c r="I2749" s="711"/>
      <c r="J2749" s="711"/>
      <c r="K2749" s="711"/>
      <c r="L2749" s="711"/>
      <c r="Q2749" s="11"/>
      <c r="R2749" s="11"/>
      <c r="S2749" s="11"/>
      <c r="T2749" s="11"/>
    </row>
    <row r="2750" spans="8:20" x14ac:dyDescent="0.35">
      <c r="H2750" s="711"/>
      <c r="I2750" s="711"/>
      <c r="J2750" s="711"/>
      <c r="K2750" s="711"/>
      <c r="L2750" s="711"/>
      <c r="Q2750" s="11"/>
      <c r="R2750" s="11"/>
      <c r="S2750" s="11"/>
      <c r="T2750" s="11"/>
    </row>
    <row r="2751" spans="8:20" x14ac:dyDescent="0.35">
      <c r="H2751" s="711"/>
      <c r="I2751" s="711"/>
      <c r="J2751" s="711"/>
      <c r="K2751" s="711"/>
      <c r="L2751" s="711"/>
      <c r="Q2751" s="11"/>
      <c r="R2751" s="11"/>
      <c r="S2751" s="11"/>
      <c r="T2751" s="11"/>
    </row>
    <row r="2752" spans="8:20" x14ac:dyDescent="0.35">
      <c r="H2752" s="711"/>
      <c r="I2752" s="711"/>
      <c r="J2752" s="711"/>
      <c r="K2752" s="711"/>
      <c r="L2752" s="711"/>
      <c r="Q2752" s="11"/>
      <c r="R2752" s="11"/>
      <c r="S2752" s="11"/>
      <c r="T2752" s="11"/>
    </row>
    <row r="2753" spans="8:20" x14ac:dyDescent="0.35">
      <c r="H2753" s="711"/>
      <c r="I2753" s="711"/>
      <c r="J2753" s="711"/>
      <c r="K2753" s="711"/>
      <c r="L2753" s="711"/>
      <c r="Q2753" s="11"/>
      <c r="R2753" s="11"/>
      <c r="S2753" s="11"/>
      <c r="T2753" s="11"/>
    </row>
    <row r="2754" spans="8:20" x14ac:dyDescent="0.35">
      <c r="H2754" s="711"/>
      <c r="I2754" s="711"/>
      <c r="J2754" s="711"/>
      <c r="K2754" s="711"/>
      <c r="L2754" s="711"/>
      <c r="Q2754" s="11"/>
      <c r="R2754" s="11"/>
      <c r="S2754" s="11"/>
      <c r="T2754" s="11"/>
    </row>
    <row r="2755" spans="8:20" x14ac:dyDescent="0.35">
      <c r="H2755" s="711"/>
      <c r="I2755" s="711"/>
      <c r="J2755" s="711"/>
      <c r="K2755" s="711"/>
      <c r="L2755" s="711"/>
      <c r="Q2755" s="11"/>
      <c r="R2755" s="11"/>
      <c r="S2755" s="11"/>
      <c r="T2755" s="11"/>
    </row>
    <row r="2756" spans="8:20" x14ac:dyDescent="0.35">
      <c r="H2756" s="711"/>
      <c r="I2756" s="711"/>
      <c r="J2756" s="711"/>
      <c r="K2756" s="711"/>
      <c r="L2756" s="711"/>
      <c r="Q2756" s="11"/>
      <c r="R2756" s="11"/>
      <c r="S2756" s="11"/>
      <c r="T2756" s="11"/>
    </row>
    <row r="2757" spans="8:20" x14ac:dyDescent="0.35">
      <c r="H2757" s="711"/>
      <c r="I2757" s="711"/>
      <c r="J2757" s="711"/>
      <c r="K2757" s="711"/>
      <c r="L2757" s="711"/>
      <c r="Q2757" s="11"/>
      <c r="R2757" s="11"/>
      <c r="S2757" s="11"/>
      <c r="T2757" s="11"/>
    </row>
    <row r="2758" spans="8:20" x14ac:dyDescent="0.35">
      <c r="H2758" s="711"/>
      <c r="I2758" s="711"/>
      <c r="J2758" s="711"/>
      <c r="K2758" s="711"/>
      <c r="L2758" s="711"/>
      <c r="Q2758" s="11"/>
      <c r="R2758" s="11"/>
      <c r="S2758" s="11"/>
      <c r="T2758" s="11"/>
    </row>
    <row r="2759" spans="8:20" x14ac:dyDescent="0.35">
      <c r="H2759" s="711"/>
      <c r="I2759" s="711"/>
      <c r="J2759" s="711"/>
      <c r="K2759" s="711"/>
      <c r="L2759" s="711"/>
      <c r="Q2759" s="11"/>
      <c r="R2759" s="11"/>
      <c r="S2759" s="11"/>
      <c r="T2759" s="11"/>
    </row>
    <row r="2760" spans="8:20" x14ac:dyDescent="0.35">
      <c r="H2760" s="711"/>
      <c r="I2760" s="711"/>
      <c r="J2760" s="711"/>
      <c r="K2760" s="711"/>
      <c r="L2760" s="711"/>
      <c r="Q2760" s="11"/>
      <c r="R2760" s="11"/>
      <c r="S2760" s="11"/>
      <c r="T2760" s="11"/>
    </row>
    <row r="2761" spans="8:20" x14ac:dyDescent="0.35">
      <c r="H2761" s="711"/>
      <c r="I2761" s="711"/>
      <c r="J2761" s="711"/>
      <c r="K2761" s="711"/>
      <c r="L2761" s="711"/>
      <c r="Q2761" s="11"/>
      <c r="R2761" s="11"/>
      <c r="S2761" s="11"/>
      <c r="T2761" s="11"/>
    </row>
    <row r="2762" spans="8:20" x14ac:dyDescent="0.35">
      <c r="H2762" s="711"/>
      <c r="I2762" s="711"/>
      <c r="J2762" s="711"/>
      <c r="K2762" s="711"/>
      <c r="L2762" s="711"/>
      <c r="Q2762" s="11"/>
      <c r="R2762" s="11"/>
      <c r="S2762" s="11"/>
      <c r="T2762" s="11"/>
    </row>
    <row r="2763" spans="8:20" x14ac:dyDescent="0.35">
      <c r="H2763" s="711"/>
      <c r="I2763" s="711"/>
      <c r="J2763" s="711"/>
      <c r="K2763" s="711"/>
      <c r="L2763" s="711"/>
      <c r="Q2763" s="11"/>
      <c r="R2763" s="11"/>
      <c r="S2763" s="11"/>
      <c r="T2763" s="11"/>
    </row>
    <row r="2764" spans="8:20" x14ac:dyDescent="0.35">
      <c r="H2764" s="711"/>
      <c r="I2764" s="711"/>
      <c r="J2764" s="711"/>
      <c r="K2764" s="711"/>
      <c r="L2764" s="711"/>
      <c r="Q2764" s="11"/>
      <c r="R2764" s="11"/>
      <c r="S2764" s="11"/>
      <c r="T2764" s="11"/>
    </row>
    <row r="2765" spans="8:20" x14ac:dyDescent="0.35">
      <c r="H2765" s="711"/>
      <c r="I2765" s="711"/>
      <c r="J2765" s="711"/>
      <c r="K2765" s="711"/>
      <c r="L2765" s="711"/>
      <c r="Q2765" s="11"/>
      <c r="R2765" s="11"/>
      <c r="S2765" s="11"/>
      <c r="T2765" s="11"/>
    </row>
    <row r="2766" spans="8:20" x14ac:dyDescent="0.35">
      <c r="H2766" s="711"/>
      <c r="I2766" s="711"/>
      <c r="J2766" s="711"/>
      <c r="K2766" s="711"/>
      <c r="L2766" s="711"/>
      <c r="Q2766" s="11"/>
      <c r="R2766" s="11"/>
      <c r="S2766" s="11"/>
      <c r="T2766" s="11"/>
    </row>
    <row r="2767" spans="8:20" x14ac:dyDescent="0.35">
      <c r="H2767" s="711"/>
      <c r="I2767" s="711"/>
      <c r="J2767" s="711"/>
      <c r="K2767" s="711"/>
      <c r="L2767" s="711"/>
      <c r="Q2767" s="11"/>
      <c r="R2767" s="11"/>
      <c r="S2767" s="11"/>
      <c r="T2767" s="11"/>
    </row>
    <row r="2768" spans="8:20" x14ac:dyDescent="0.35">
      <c r="H2768" s="711"/>
      <c r="I2768" s="711"/>
      <c r="J2768" s="711"/>
      <c r="K2768" s="711"/>
      <c r="L2768" s="711"/>
      <c r="Q2768" s="11"/>
      <c r="R2768" s="11"/>
      <c r="S2768" s="11"/>
      <c r="T2768" s="11"/>
    </row>
    <row r="2769" spans="8:20" x14ac:dyDescent="0.35">
      <c r="H2769" s="711"/>
      <c r="I2769" s="711"/>
      <c r="J2769" s="711"/>
      <c r="K2769" s="711"/>
      <c r="L2769" s="711"/>
      <c r="Q2769" s="11"/>
      <c r="R2769" s="11"/>
      <c r="S2769" s="11"/>
      <c r="T2769" s="11"/>
    </row>
    <row r="2770" spans="8:20" x14ac:dyDescent="0.35">
      <c r="H2770" s="711"/>
      <c r="I2770" s="711"/>
      <c r="J2770" s="711"/>
      <c r="K2770" s="711"/>
      <c r="L2770" s="711"/>
      <c r="Q2770" s="11"/>
      <c r="R2770" s="11"/>
      <c r="S2770" s="11"/>
      <c r="T2770" s="11"/>
    </row>
    <row r="2771" spans="8:20" x14ac:dyDescent="0.35">
      <c r="H2771" s="711"/>
      <c r="I2771" s="711"/>
      <c r="J2771" s="711"/>
      <c r="K2771" s="711"/>
      <c r="L2771" s="711"/>
      <c r="Q2771" s="11"/>
      <c r="R2771" s="11"/>
      <c r="S2771" s="11"/>
      <c r="T2771" s="11"/>
    </row>
    <row r="2772" spans="8:20" x14ac:dyDescent="0.35">
      <c r="H2772" s="711"/>
      <c r="I2772" s="711"/>
      <c r="J2772" s="711"/>
      <c r="K2772" s="711"/>
      <c r="L2772" s="711"/>
      <c r="Q2772" s="11"/>
      <c r="R2772" s="11"/>
      <c r="S2772" s="11"/>
      <c r="T2772" s="11"/>
    </row>
    <row r="2773" spans="8:20" x14ac:dyDescent="0.35">
      <c r="H2773" s="711"/>
      <c r="I2773" s="711"/>
      <c r="J2773" s="711"/>
      <c r="K2773" s="711"/>
      <c r="L2773" s="711"/>
      <c r="Q2773" s="11"/>
      <c r="R2773" s="11"/>
      <c r="S2773" s="11"/>
      <c r="T2773" s="11"/>
    </row>
    <row r="2774" spans="8:20" x14ac:dyDescent="0.35">
      <c r="H2774" s="711"/>
      <c r="I2774" s="711"/>
      <c r="J2774" s="711"/>
      <c r="K2774" s="711"/>
      <c r="L2774" s="711"/>
      <c r="Q2774" s="11"/>
      <c r="R2774" s="11"/>
      <c r="S2774" s="11"/>
      <c r="T2774" s="11"/>
    </row>
    <row r="2775" spans="8:20" x14ac:dyDescent="0.35">
      <c r="H2775" s="711"/>
      <c r="I2775" s="711"/>
      <c r="J2775" s="711"/>
      <c r="K2775" s="711"/>
      <c r="L2775" s="711"/>
      <c r="Q2775" s="11"/>
      <c r="R2775" s="11"/>
      <c r="S2775" s="11"/>
      <c r="T2775" s="11"/>
    </row>
    <row r="2776" spans="8:20" x14ac:dyDescent="0.35">
      <c r="H2776" s="711"/>
      <c r="I2776" s="711"/>
      <c r="J2776" s="711"/>
      <c r="K2776" s="711"/>
      <c r="L2776" s="711"/>
      <c r="Q2776" s="11"/>
      <c r="R2776" s="11"/>
      <c r="S2776" s="11"/>
      <c r="T2776" s="11"/>
    </row>
    <row r="2777" spans="8:20" x14ac:dyDescent="0.35">
      <c r="H2777" s="711"/>
      <c r="I2777" s="711"/>
      <c r="J2777" s="711"/>
      <c r="K2777" s="711"/>
      <c r="L2777" s="711"/>
      <c r="Q2777" s="11"/>
      <c r="R2777" s="11"/>
      <c r="S2777" s="11"/>
      <c r="T2777" s="11"/>
    </row>
    <row r="2778" spans="8:20" x14ac:dyDescent="0.35">
      <c r="H2778" s="711"/>
      <c r="I2778" s="711"/>
      <c r="J2778" s="711"/>
      <c r="K2778" s="711"/>
      <c r="L2778" s="711"/>
      <c r="Q2778" s="11"/>
      <c r="R2778" s="11"/>
      <c r="S2778" s="11"/>
      <c r="T2778" s="11"/>
    </row>
    <row r="2779" spans="8:20" x14ac:dyDescent="0.35">
      <c r="H2779" s="711"/>
      <c r="I2779" s="711"/>
      <c r="J2779" s="711"/>
      <c r="K2779" s="711"/>
      <c r="L2779" s="711"/>
      <c r="Q2779" s="11"/>
      <c r="R2779" s="11"/>
      <c r="S2779" s="11"/>
      <c r="T2779" s="11"/>
    </row>
    <row r="2780" spans="8:20" x14ac:dyDescent="0.35">
      <c r="H2780" s="711"/>
      <c r="I2780" s="711"/>
      <c r="J2780" s="711"/>
      <c r="K2780" s="711"/>
      <c r="L2780" s="711"/>
      <c r="Q2780" s="11"/>
      <c r="R2780" s="11"/>
      <c r="S2780" s="11"/>
      <c r="T2780" s="11"/>
    </row>
    <row r="2781" spans="8:20" x14ac:dyDescent="0.35">
      <c r="H2781" s="711"/>
      <c r="I2781" s="711"/>
      <c r="J2781" s="711"/>
      <c r="K2781" s="711"/>
      <c r="L2781" s="711"/>
      <c r="Q2781" s="11"/>
      <c r="R2781" s="11"/>
      <c r="S2781" s="11"/>
      <c r="T2781" s="11"/>
    </row>
    <row r="2782" spans="8:20" x14ac:dyDescent="0.35">
      <c r="H2782" s="711"/>
      <c r="I2782" s="711"/>
      <c r="J2782" s="711"/>
      <c r="K2782" s="711"/>
      <c r="L2782" s="711"/>
      <c r="Q2782" s="11"/>
      <c r="R2782" s="11"/>
      <c r="S2782" s="11"/>
      <c r="T2782" s="11"/>
    </row>
    <row r="2783" spans="8:20" x14ac:dyDescent="0.35">
      <c r="H2783" s="711"/>
      <c r="I2783" s="711"/>
      <c r="J2783" s="711"/>
      <c r="K2783" s="711"/>
      <c r="L2783" s="711"/>
      <c r="Q2783" s="11"/>
      <c r="R2783" s="11"/>
      <c r="S2783" s="11"/>
      <c r="T2783" s="11"/>
    </row>
    <row r="2784" spans="8:20" x14ac:dyDescent="0.35">
      <c r="H2784" s="711"/>
      <c r="I2784" s="711"/>
      <c r="J2784" s="711"/>
      <c r="K2784" s="711"/>
      <c r="L2784" s="711"/>
      <c r="Q2784" s="11"/>
      <c r="R2784" s="11"/>
      <c r="S2784" s="11"/>
      <c r="T2784" s="11"/>
    </row>
    <row r="2785" spans="8:20" x14ac:dyDescent="0.35">
      <c r="H2785" s="711"/>
      <c r="I2785" s="711"/>
      <c r="J2785" s="711"/>
      <c r="K2785" s="711"/>
      <c r="L2785" s="711"/>
      <c r="Q2785" s="11"/>
      <c r="R2785" s="11"/>
      <c r="S2785" s="11"/>
      <c r="T2785" s="11"/>
    </row>
    <row r="2786" spans="8:20" x14ac:dyDescent="0.35">
      <c r="H2786" s="711"/>
      <c r="I2786" s="711"/>
      <c r="J2786" s="711"/>
      <c r="K2786" s="711"/>
      <c r="L2786" s="711"/>
      <c r="Q2786" s="11"/>
      <c r="R2786" s="11"/>
      <c r="S2786" s="11"/>
      <c r="T2786" s="11"/>
    </row>
    <row r="2787" spans="8:20" x14ac:dyDescent="0.35">
      <c r="H2787" s="711"/>
      <c r="I2787" s="711"/>
      <c r="J2787" s="711"/>
      <c r="K2787" s="711"/>
      <c r="L2787" s="711"/>
      <c r="Q2787" s="11"/>
      <c r="R2787" s="11"/>
      <c r="S2787" s="11"/>
      <c r="T2787" s="11"/>
    </row>
    <row r="2788" spans="8:20" x14ac:dyDescent="0.35">
      <c r="H2788" s="711"/>
      <c r="I2788" s="711"/>
      <c r="J2788" s="711"/>
      <c r="K2788" s="711"/>
      <c r="L2788" s="711"/>
      <c r="Q2788" s="11"/>
      <c r="R2788" s="11"/>
      <c r="S2788" s="11"/>
      <c r="T2788" s="11"/>
    </row>
    <row r="2789" spans="8:20" x14ac:dyDescent="0.35">
      <c r="H2789" s="711"/>
      <c r="I2789" s="711"/>
      <c r="J2789" s="711"/>
      <c r="K2789" s="711"/>
      <c r="L2789" s="711"/>
      <c r="Q2789" s="11"/>
      <c r="R2789" s="11"/>
      <c r="S2789" s="11"/>
      <c r="T2789" s="11"/>
    </row>
    <row r="2790" spans="8:20" x14ac:dyDescent="0.35">
      <c r="H2790" s="711"/>
      <c r="I2790" s="711"/>
      <c r="J2790" s="711"/>
      <c r="K2790" s="711"/>
      <c r="L2790" s="711"/>
      <c r="Q2790" s="11"/>
      <c r="R2790" s="11"/>
      <c r="S2790" s="11"/>
      <c r="T2790" s="11"/>
    </row>
    <row r="2791" spans="8:20" x14ac:dyDescent="0.35">
      <c r="H2791" s="711"/>
      <c r="I2791" s="711"/>
      <c r="J2791" s="711"/>
      <c r="K2791" s="711"/>
      <c r="L2791" s="711"/>
      <c r="Q2791" s="11"/>
      <c r="R2791" s="11"/>
      <c r="S2791" s="11"/>
      <c r="T2791" s="11"/>
    </row>
    <row r="2792" spans="8:20" x14ac:dyDescent="0.35">
      <c r="H2792" s="711"/>
      <c r="I2792" s="711"/>
      <c r="J2792" s="711"/>
      <c r="K2792" s="711"/>
      <c r="L2792" s="711"/>
      <c r="Q2792" s="11"/>
      <c r="R2792" s="11"/>
      <c r="S2792" s="11"/>
      <c r="T2792" s="11"/>
    </row>
    <row r="2793" spans="8:20" x14ac:dyDescent="0.35">
      <c r="H2793" s="711"/>
      <c r="I2793" s="711"/>
      <c r="J2793" s="711"/>
      <c r="K2793" s="711"/>
      <c r="L2793" s="711"/>
      <c r="Q2793" s="11"/>
      <c r="R2793" s="11"/>
      <c r="S2793" s="11"/>
      <c r="T2793" s="11"/>
    </row>
    <row r="2794" spans="8:20" x14ac:dyDescent="0.35">
      <c r="H2794" s="711"/>
      <c r="I2794" s="711"/>
      <c r="J2794" s="711"/>
      <c r="K2794" s="711"/>
      <c r="L2794" s="711"/>
      <c r="Q2794" s="11"/>
      <c r="R2794" s="11"/>
      <c r="S2794" s="11"/>
      <c r="T2794" s="11"/>
    </row>
    <row r="2795" spans="8:20" x14ac:dyDescent="0.35">
      <c r="H2795" s="711"/>
      <c r="I2795" s="711"/>
      <c r="J2795" s="711"/>
      <c r="K2795" s="711"/>
      <c r="L2795" s="711"/>
      <c r="Q2795" s="11"/>
      <c r="R2795" s="11"/>
      <c r="S2795" s="11"/>
      <c r="T2795" s="11"/>
    </row>
    <row r="2796" spans="8:20" x14ac:dyDescent="0.35">
      <c r="H2796" s="711"/>
      <c r="I2796" s="711"/>
      <c r="J2796" s="711"/>
      <c r="K2796" s="711"/>
      <c r="L2796" s="711"/>
      <c r="Q2796" s="11"/>
      <c r="R2796" s="11"/>
      <c r="S2796" s="11"/>
      <c r="T2796" s="11"/>
    </row>
    <row r="2797" spans="8:20" x14ac:dyDescent="0.35">
      <c r="H2797" s="711"/>
      <c r="I2797" s="711"/>
      <c r="J2797" s="711"/>
      <c r="K2797" s="711"/>
      <c r="L2797" s="711"/>
      <c r="Q2797" s="11"/>
      <c r="R2797" s="11"/>
      <c r="S2797" s="11"/>
      <c r="T2797" s="11"/>
    </row>
    <row r="2798" spans="8:20" x14ac:dyDescent="0.35">
      <c r="H2798" s="711"/>
      <c r="I2798" s="711"/>
      <c r="J2798" s="711"/>
      <c r="K2798" s="711"/>
      <c r="L2798" s="711"/>
      <c r="Q2798" s="11"/>
      <c r="R2798" s="11"/>
      <c r="S2798" s="11"/>
      <c r="T2798" s="11"/>
    </row>
    <row r="2799" spans="8:20" x14ac:dyDescent="0.35">
      <c r="H2799" s="711"/>
      <c r="I2799" s="711"/>
      <c r="J2799" s="711"/>
      <c r="K2799" s="711"/>
      <c r="L2799" s="711"/>
      <c r="Q2799" s="11"/>
      <c r="R2799" s="11"/>
      <c r="S2799" s="11"/>
      <c r="T2799" s="11"/>
    </row>
    <row r="2800" spans="8:20" x14ac:dyDescent="0.35">
      <c r="H2800" s="711"/>
      <c r="I2800" s="711"/>
      <c r="J2800" s="711"/>
      <c r="K2800" s="711"/>
      <c r="L2800" s="711"/>
      <c r="Q2800" s="11"/>
      <c r="R2800" s="11"/>
      <c r="S2800" s="11"/>
      <c r="T2800" s="11"/>
    </row>
    <row r="2801" spans="8:20" x14ac:dyDescent="0.35">
      <c r="H2801" s="711"/>
      <c r="I2801" s="711"/>
      <c r="J2801" s="711"/>
      <c r="K2801" s="711"/>
      <c r="L2801" s="711"/>
      <c r="Q2801" s="11"/>
      <c r="R2801" s="11"/>
      <c r="S2801" s="11"/>
      <c r="T2801" s="11"/>
    </row>
    <row r="2802" spans="8:20" x14ac:dyDescent="0.35">
      <c r="H2802" s="711"/>
      <c r="I2802" s="711"/>
      <c r="J2802" s="711"/>
      <c r="K2802" s="711"/>
      <c r="L2802" s="711"/>
      <c r="Q2802" s="11"/>
      <c r="R2802" s="11"/>
      <c r="S2802" s="11"/>
      <c r="T2802" s="11"/>
    </row>
    <row r="2803" spans="8:20" x14ac:dyDescent="0.35">
      <c r="H2803" s="711"/>
      <c r="I2803" s="711"/>
      <c r="J2803" s="711"/>
      <c r="K2803" s="711"/>
      <c r="L2803" s="711"/>
      <c r="Q2803" s="11"/>
      <c r="R2803" s="11"/>
      <c r="S2803" s="11"/>
      <c r="T2803" s="11"/>
    </row>
    <row r="2804" spans="8:20" x14ac:dyDescent="0.35">
      <c r="H2804" s="711"/>
      <c r="I2804" s="711"/>
      <c r="J2804" s="711"/>
      <c r="K2804" s="711"/>
      <c r="L2804" s="711"/>
      <c r="Q2804" s="11"/>
      <c r="R2804" s="11"/>
      <c r="S2804" s="11"/>
      <c r="T2804" s="11"/>
    </row>
    <row r="2805" spans="8:20" x14ac:dyDescent="0.35">
      <c r="H2805" s="711"/>
      <c r="I2805" s="711"/>
      <c r="J2805" s="711"/>
      <c r="K2805" s="711"/>
      <c r="L2805" s="711"/>
      <c r="Q2805" s="11"/>
      <c r="R2805" s="11"/>
      <c r="S2805" s="11"/>
      <c r="T2805" s="11"/>
    </row>
    <row r="2806" spans="8:20" x14ac:dyDescent="0.35">
      <c r="H2806" s="711"/>
      <c r="I2806" s="711"/>
      <c r="J2806" s="711"/>
      <c r="K2806" s="711"/>
      <c r="L2806" s="711"/>
      <c r="Q2806" s="11"/>
      <c r="R2806" s="11"/>
      <c r="S2806" s="11"/>
      <c r="T2806" s="11"/>
    </row>
    <row r="2807" spans="8:20" x14ac:dyDescent="0.35">
      <c r="H2807" s="711"/>
      <c r="I2807" s="711"/>
      <c r="J2807" s="711"/>
      <c r="K2807" s="711"/>
      <c r="L2807" s="711"/>
      <c r="Q2807" s="11"/>
      <c r="R2807" s="11"/>
      <c r="S2807" s="11"/>
      <c r="T2807" s="11"/>
    </row>
    <row r="2808" spans="8:20" x14ac:dyDescent="0.35">
      <c r="H2808" s="711"/>
      <c r="I2808" s="711"/>
      <c r="J2808" s="711"/>
      <c r="K2808" s="711"/>
      <c r="L2808" s="711"/>
      <c r="Q2808" s="11"/>
      <c r="R2808" s="11"/>
      <c r="S2808" s="11"/>
      <c r="T2808" s="11"/>
    </row>
    <row r="2809" spans="8:20" x14ac:dyDescent="0.35">
      <c r="H2809" s="711"/>
      <c r="I2809" s="711"/>
      <c r="J2809" s="711"/>
      <c r="K2809" s="711"/>
      <c r="L2809" s="711"/>
      <c r="Q2809" s="11"/>
      <c r="R2809" s="11"/>
      <c r="S2809" s="11"/>
      <c r="T2809" s="11"/>
    </row>
    <row r="2810" spans="8:20" x14ac:dyDescent="0.35">
      <c r="H2810" s="711"/>
      <c r="I2810" s="711"/>
      <c r="J2810" s="711"/>
      <c r="K2810" s="711"/>
      <c r="L2810" s="711"/>
      <c r="Q2810" s="11"/>
      <c r="R2810" s="11"/>
      <c r="S2810" s="11"/>
      <c r="T2810" s="11"/>
    </row>
    <row r="2811" spans="8:20" x14ac:dyDescent="0.35">
      <c r="H2811" s="711"/>
      <c r="I2811" s="711"/>
      <c r="J2811" s="711"/>
      <c r="K2811" s="711"/>
      <c r="L2811" s="711"/>
      <c r="Q2811" s="11"/>
      <c r="R2811" s="11"/>
      <c r="S2811" s="11"/>
      <c r="T2811" s="11"/>
    </row>
    <row r="2812" spans="8:20" x14ac:dyDescent="0.35">
      <c r="H2812" s="711"/>
      <c r="I2812" s="711"/>
      <c r="J2812" s="711"/>
      <c r="K2812" s="711"/>
      <c r="L2812" s="711"/>
      <c r="Q2812" s="11"/>
      <c r="R2812" s="11"/>
      <c r="S2812" s="11"/>
      <c r="T2812" s="11"/>
    </row>
    <row r="2813" spans="8:20" x14ac:dyDescent="0.35">
      <c r="H2813" s="711"/>
      <c r="I2813" s="711"/>
      <c r="J2813" s="711"/>
      <c r="K2813" s="711"/>
      <c r="L2813" s="711"/>
      <c r="Q2813" s="11"/>
      <c r="R2813" s="11"/>
      <c r="S2813" s="11"/>
      <c r="T2813" s="11"/>
    </row>
    <row r="2814" spans="8:20" x14ac:dyDescent="0.35">
      <c r="H2814" s="711"/>
      <c r="I2814" s="711"/>
      <c r="J2814" s="711"/>
      <c r="K2814" s="711"/>
      <c r="L2814" s="711"/>
      <c r="Q2814" s="11"/>
      <c r="R2814" s="11"/>
      <c r="S2814" s="11"/>
      <c r="T2814" s="11"/>
    </row>
    <row r="2815" spans="8:20" x14ac:dyDescent="0.35">
      <c r="H2815" s="711"/>
      <c r="I2815" s="711"/>
      <c r="J2815" s="711"/>
      <c r="K2815" s="711"/>
      <c r="L2815" s="711"/>
      <c r="Q2815" s="11"/>
      <c r="R2815" s="11"/>
      <c r="S2815" s="11"/>
      <c r="T2815" s="11"/>
    </row>
    <row r="2816" spans="8:20" x14ac:dyDescent="0.35">
      <c r="H2816" s="711"/>
      <c r="I2816" s="711"/>
      <c r="J2816" s="711"/>
      <c r="K2816" s="711"/>
      <c r="L2816" s="711"/>
      <c r="Q2816" s="11"/>
      <c r="R2816" s="11"/>
      <c r="S2816" s="11"/>
      <c r="T2816" s="11"/>
    </row>
    <row r="2817" spans="8:20" x14ac:dyDescent="0.35">
      <c r="H2817" s="711"/>
      <c r="I2817" s="711"/>
      <c r="J2817" s="711"/>
      <c r="K2817" s="711"/>
      <c r="L2817" s="711"/>
      <c r="Q2817" s="11"/>
      <c r="R2817" s="11"/>
      <c r="S2817" s="11"/>
      <c r="T2817" s="11"/>
    </row>
    <row r="2818" spans="8:20" x14ac:dyDescent="0.35">
      <c r="H2818" s="711"/>
      <c r="I2818" s="711"/>
      <c r="J2818" s="711"/>
      <c r="K2818" s="711"/>
      <c r="L2818" s="711"/>
      <c r="Q2818" s="11"/>
      <c r="R2818" s="11"/>
      <c r="S2818" s="11"/>
      <c r="T2818" s="11"/>
    </row>
    <row r="2819" spans="8:20" x14ac:dyDescent="0.35">
      <c r="H2819" s="711"/>
      <c r="I2819" s="711"/>
      <c r="J2819" s="711"/>
      <c r="K2819" s="711"/>
      <c r="L2819" s="711"/>
      <c r="Q2819" s="11"/>
      <c r="R2819" s="11"/>
      <c r="S2819" s="11"/>
      <c r="T2819" s="11"/>
    </row>
    <row r="2820" spans="8:20" x14ac:dyDescent="0.35">
      <c r="H2820" s="711"/>
      <c r="I2820" s="711"/>
      <c r="J2820" s="711"/>
      <c r="K2820" s="711"/>
      <c r="L2820" s="711"/>
      <c r="Q2820" s="11"/>
      <c r="R2820" s="11"/>
      <c r="S2820" s="11"/>
      <c r="T2820" s="11"/>
    </row>
    <row r="2821" spans="8:20" x14ac:dyDescent="0.35">
      <c r="H2821" s="711"/>
      <c r="I2821" s="711"/>
      <c r="J2821" s="711"/>
      <c r="K2821" s="711"/>
      <c r="L2821" s="711"/>
      <c r="Q2821" s="11"/>
      <c r="R2821" s="11"/>
      <c r="S2821" s="11"/>
      <c r="T2821" s="11"/>
    </row>
    <row r="2822" spans="8:20" x14ac:dyDescent="0.35">
      <c r="H2822" s="711"/>
      <c r="I2822" s="711"/>
      <c r="J2822" s="711"/>
      <c r="K2822" s="711"/>
      <c r="L2822" s="711"/>
      <c r="Q2822" s="11"/>
      <c r="R2822" s="11"/>
      <c r="S2822" s="11"/>
      <c r="T2822" s="11"/>
    </row>
    <row r="2823" spans="8:20" x14ac:dyDescent="0.35">
      <c r="H2823" s="711"/>
      <c r="I2823" s="711"/>
      <c r="J2823" s="711"/>
      <c r="K2823" s="711"/>
      <c r="L2823" s="711"/>
      <c r="Q2823" s="11"/>
      <c r="R2823" s="11"/>
      <c r="S2823" s="11"/>
      <c r="T2823" s="11"/>
    </row>
    <row r="2824" spans="8:20" x14ac:dyDescent="0.35">
      <c r="H2824" s="711"/>
      <c r="I2824" s="711"/>
      <c r="J2824" s="711"/>
      <c r="K2824" s="711"/>
      <c r="L2824" s="711"/>
      <c r="Q2824" s="11"/>
      <c r="R2824" s="11"/>
      <c r="S2824" s="11"/>
      <c r="T2824" s="11"/>
    </row>
    <row r="2825" spans="8:20" x14ac:dyDescent="0.35">
      <c r="H2825" s="711"/>
      <c r="I2825" s="711"/>
      <c r="J2825" s="711"/>
      <c r="K2825" s="711"/>
      <c r="L2825" s="711"/>
      <c r="Q2825" s="11"/>
      <c r="R2825" s="11"/>
      <c r="S2825" s="11"/>
      <c r="T2825" s="11"/>
    </row>
    <row r="2826" spans="8:20" x14ac:dyDescent="0.35">
      <c r="H2826" s="711"/>
      <c r="I2826" s="711"/>
      <c r="J2826" s="711"/>
      <c r="K2826" s="711"/>
      <c r="L2826" s="711"/>
      <c r="Q2826" s="11"/>
      <c r="R2826" s="11"/>
      <c r="S2826" s="11"/>
      <c r="T2826" s="11"/>
    </row>
    <row r="2827" spans="8:20" x14ac:dyDescent="0.35">
      <c r="H2827" s="711"/>
      <c r="I2827" s="711"/>
      <c r="J2827" s="711"/>
      <c r="K2827" s="711"/>
      <c r="L2827" s="711"/>
      <c r="Q2827" s="11"/>
      <c r="R2827" s="11"/>
      <c r="S2827" s="11"/>
      <c r="T2827" s="11"/>
    </row>
    <row r="2828" spans="8:20" x14ac:dyDescent="0.35">
      <c r="H2828" s="711"/>
      <c r="I2828" s="711"/>
      <c r="J2828" s="711"/>
      <c r="K2828" s="711"/>
      <c r="L2828" s="711"/>
      <c r="Q2828" s="11"/>
      <c r="R2828" s="11"/>
      <c r="S2828" s="11"/>
      <c r="T2828" s="11"/>
    </row>
    <row r="2829" spans="8:20" x14ac:dyDescent="0.35">
      <c r="H2829" s="711"/>
      <c r="I2829" s="711"/>
      <c r="J2829" s="711"/>
      <c r="K2829" s="711"/>
      <c r="L2829" s="711"/>
      <c r="Q2829" s="11"/>
      <c r="R2829" s="11"/>
      <c r="S2829" s="11"/>
      <c r="T2829" s="11"/>
    </row>
    <row r="2830" spans="8:20" x14ac:dyDescent="0.35">
      <c r="H2830" s="711"/>
      <c r="I2830" s="711"/>
      <c r="J2830" s="711"/>
      <c r="K2830" s="711"/>
      <c r="L2830" s="711"/>
      <c r="Q2830" s="11"/>
      <c r="R2830" s="11"/>
      <c r="S2830" s="11"/>
      <c r="T2830" s="11"/>
    </row>
    <row r="2831" spans="8:20" x14ac:dyDescent="0.35">
      <c r="H2831" s="711"/>
      <c r="I2831" s="711"/>
      <c r="J2831" s="711"/>
      <c r="K2831" s="711"/>
      <c r="L2831" s="711"/>
      <c r="Q2831" s="11"/>
      <c r="R2831" s="11"/>
      <c r="S2831" s="11"/>
      <c r="T2831" s="11"/>
    </row>
    <row r="2832" spans="8:20" x14ac:dyDescent="0.35">
      <c r="H2832" s="711"/>
      <c r="I2832" s="711"/>
      <c r="J2832" s="711"/>
      <c r="K2832" s="711"/>
      <c r="L2832" s="711"/>
      <c r="Q2832" s="11"/>
      <c r="R2832" s="11"/>
      <c r="S2832" s="11"/>
      <c r="T2832" s="11"/>
    </row>
    <row r="2833" spans="8:20" x14ac:dyDescent="0.35">
      <c r="H2833" s="711"/>
      <c r="I2833" s="711"/>
      <c r="J2833" s="711"/>
      <c r="K2833" s="711"/>
      <c r="L2833" s="711"/>
      <c r="Q2833" s="11"/>
      <c r="R2833" s="11"/>
      <c r="S2833" s="11"/>
      <c r="T2833" s="11"/>
    </row>
    <row r="2834" spans="8:20" x14ac:dyDescent="0.35">
      <c r="H2834" s="711"/>
      <c r="I2834" s="711"/>
      <c r="J2834" s="711"/>
      <c r="K2834" s="711"/>
      <c r="L2834" s="711"/>
      <c r="Q2834" s="11"/>
      <c r="R2834" s="11"/>
      <c r="S2834" s="11"/>
      <c r="T2834" s="11"/>
    </row>
    <row r="2835" spans="8:20" x14ac:dyDescent="0.35">
      <c r="H2835" s="711"/>
      <c r="I2835" s="711"/>
      <c r="J2835" s="711"/>
      <c r="K2835" s="711"/>
      <c r="L2835" s="711"/>
      <c r="Q2835" s="11"/>
      <c r="R2835" s="11"/>
      <c r="S2835" s="11"/>
      <c r="T2835" s="11"/>
    </row>
    <row r="2836" spans="8:20" x14ac:dyDescent="0.35">
      <c r="H2836" s="711"/>
      <c r="I2836" s="711"/>
      <c r="J2836" s="711"/>
      <c r="K2836" s="711"/>
      <c r="L2836" s="711"/>
      <c r="Q2836" s="11"/>
      <c r="R2836" s="11"/>
      <c r="S2836" s="11"/>
      <c r="T2836" s="11"/>
    </row>
    <row r="2837" spans="8:20" x14ac:dyDescent="0.35">
      <c r="H2837" s="711"/>
      <c r="I2837" s="711"/>
      <c r="J2837" s="711"/>
      <c r="K2837" s="711"/>
      <c r="L2837" s="711"/>
      <c r="Q2837" s="11"/>
      <c r="R2837" s="11"/>
      <c r="S2837" s="11"/>
      <c r="T2837" s="11"/>
    </row>
    <row r="2838" spans="8:20" x14ac:dyDescent="0.35">
      <c r="H2838" s="711"/>
      <c r="I2838" s="711"/>
      <c r="J2838" s="711"/>
      <c r="K2838" s="711"/>
      <c r="L2838" s="711"/>
      <c r="Q2838" s="11"/>
      <c r="R2838" s="11"/>
      <c r="S2838" s="11"/>
      <c r="T2838" s="11"/>
    </row>
    <row r="2839" spans="8:20" x14ac:dyDescent="0.35">
      <c r="H2839" s="711"/>
      <c r="I2839" s="711"/>
      <c r="J2839" s="711"/>
      <c r="K2839" s="711"/>
      <c r="L2839" s="711"/>
      <c r="Q2839" s="11"/>
      <c r="R2839" s="11"/>
      <c r="S2839" s="11"/>
      <c r="T2839" s="11"/>
    </row>
    <row r="2840" spans="8:20" x14ac:dyDescent="0.35">
      <c r="H2840" s="711"/>
      <c r="I2840" s="711"/>
      <c r="J2840" s="711"/>
      <c r="K2840" s="711"/>
      <c r="L2840" s="711"/>
      <c r="Q2840" s="11"/>
      <c r="R2840" s="11"/>
      <c r="S2840" s="11"/>
      <c r="T2840" s="11"/>
    </row>
    <row r="2841" spans="8:20" x14ac:dyDescent="0.35">
      <c r="H2841" s="711"/>
      <c r="I2841" s="711"/>
      <c r="J2841" s="711"/>
      <c r="K2841" s="711"/>
      <c r="L2841" s="711"/>
      <c r="Q2841" s="11"/>
      <c r="R2841" s="11"/>
      <c r="S2841" s="11"/>
      <c r="T2841" s="11"/>
    </row>
    <row r="2842" spans="8:20" x14ac:dyDescent="0.35">
      <c r="H2842" s="711"/>
      <c r="I2842" s="711"/>
      <c r="J2842" s="711"/>
      <c r="K2842" s="711"/>
      <c r="L2842" s="711"/>
      <c r="Q2842" s="11"/>
      <c r="R2842" s="11"/>
      <c r="S2842" s="11"/>
      <c r="T2842" s="11"/>
    </row>
    <row r="2843" spans="8:20" x14ac:dyDescent="0.35">
      <c r="H2843" s="711"/>
      <c r="I2843" s="711"/>
      <c r="J2843" s="711"/>
      <c r="K2843" s="711"/>
      <c r="L2843" s="711"/>
      <c r="Q2843" s="11"/>
      <c r="R2843" s="11"/>
      <c r="S2843" s="11"/>
      <c r="T2843" s="11"/>
    </row>
    <row r="2844" spans="8:20" x14ac:dyDescent="0.35">
      <c r="H2844" s="711"/>
      <c r="I2844" s="711"/>
      <c r="J2844" s="711"/>
      <c r="K2844" s="711"/>
      <c r="L2844" s="711"/>
      <c r="Q2844" s="11"/>
      <c r="R2844" s="11"/>
      <c r="S2844" s="11"/>
      <c r="T2844" s="11"/>
    </row>
    <row r="2845" spans="8:20" x14ac:dyDescent="0.35">
      <c r="H2845" s="711"/>
      <c r="I2845" s="711"/>
      <c r="J2845" s="711"/>
      <c r="K2845" s="711"/>
      <c r="L2845" s="711"/>
      <c r="Q2845" s="11"/>
      <c r="R2845" s="11"/>
      <c r="S2845" s="11"/>
      <c r="T2845" s="11"/>
    </row>
    <row r="2846" spans="8:20" x14ac:dyDescent="0.35">
      <c r="H2846" s="711"/>
      <c r="I2846" s="711"/>
      <c r="J2846" s="711"/>
      <c r="K2846" s="711"/>
      <c r="L2846" s="711"/>
      <c r="Q2846" s="11"/>
      <c r="R2846" s="11"/>
      <c r="S2846" s="11"/>
      <c r="T2846" s="11"/>
    </row>
    <row r="2847" spans="8:20" x14ac:dyDescent="0.35">
      <c r="H2847" s="711"/>
      <c r="I2847" s="711"/>
      <c r="J2847" s="711"/>
      <c r="K2847" s="711"/>
      <c r="L2847" s="711"/>
      <c r="Q2847" s="11"/>
      <c r="R2847" s="11"/>
      <c r="S2847" s="11"/>
      <c r="T2847" s="11"/>
    </row>
    <row r="2848" spans="8:20" x14ac:dyDescent="0.35">
      <c r="H2848" s="711"/>
      <c r="I2848" s="711"/>
      <c r="J2848" s="711"/>
      <c r="K2848" s="711"/>
      <c r="L2848" s="711"/>
      <c r="Q2848" s="11"/>
      <c r="R2848" s="11"/>
      <c r="S2848" s="11"/>
      <c r="T2848" s="11"/>
    </row>
    <row r="2849" spans="8:20" x14ac:dyDescent="0.35">
      <c r="H2849" s="711"/>
      <c r="I2849" s="711"/>
      <c r="J2849" s="711"/>
      <c r="K2849" s="711"/>
      <c r="L2849" s="711"/>
      <c r="Q2849" s="11"/>
      <c r="R2849" s="11"/>
      <c r="S2849" s="11"/>
      <c r="T2849" s="11"/>
    </row>
    <row r="2850" spans="8:20" x14ac:dyDescent="0.35">
      <c r="H2850" s="711"/>
      <c r="I2850" s="711"/>
      <c r="J2850" s="711"/>
      <c r="K2850" s="711"/>
      <c r="L2850" s="711"/>
      <c r="Q2850" s="11"/>
      <c r="R2850" s="11"/>
      <c r="S2850" s="11"/>
      <c r="T2850" s="11"/>
    </row>
    <row r="2851" spans="8:20" x14ac:dyDescent="0.35">
      <c r="H2851" s="711"/>
      <c r="I2851" s="711"/>
      <c r="J2851" s="711"/>
      <c r="K2851" s="711"/>
      <c r="L2851" s="711"/>
      <c r="Q2851" s="11"/>
      <c r="R2851" s="11"/>
      <c r="S2851" s="11"/>
      <c r="T2851" s="11"/>
    </row>
    <row r="2852" spans="8:20" x14ac:dyDescent="0.35">
      <c r="H2852" s="711"/>
      <c r="I2852" s="711"/>
      <c r="J2852" s="711"/>
      <c r="K2852" s="711"/>
      <c r="L2852" s="711"/>
      <c r="Q2852" s="11"/>
      <c r="R2852" s="11"/>
      <c r="S2852" s="11"/>
      <c r="T2852" s="11"/>
    </row>
    <row r="2853" spans="8:20" x14ac:dyDescent="0.35">
      <c r="H2853" s="711"/>
      <c r="I2853" s="711"/>
      <c r="J2853" s="711"/>
      <c r="K2853" s="711"/>
      <c r="L2853" s="711"/>
      <c r="Q2853" s="11"/>
      <c r="R2853" s="11"/>
      <c r="S2853" s="11"/>
      <c r="T2853" s="11"/>
    </row>
    <row r="2854" spans="8:20" x14ac:dyDescent="0.35">
      <c r="H2854" s="711"/>
      <c r="I2854" s="711"/>
      <c r="J2854" s="711"/>
      <c r="K2854" s="711"/>
      <c r="L2854" s="711"/>
      <c r="Q2854" s="11"/>
      <c r="R2854" s="11"/>
      <c r="S2854" s="11"/>
      <c r="T2854" s="11"/>
    </row>
    <row r="2855" spans="8:20" x14ac:dyDescent="0.35">
      <c r="H2855" s="711"/>
      <c r="I2855" s="711"/>
      <c r="J2855" s="711"/>
      <c r="K2855" s="711"/>
      <c r="L2855" s="711"/>
      <c r="Q2855" s="11"/>
      <c r="R2855" s="11"/>
      <c r="S2855" s="11"/>
      <c r="T2855" s="11"/>
    </row>
    <row r="2856" spans="8:20" x14ac:dyDescent="0.35">
      <c r="H2856" s="711"/>
      <c r="I2856" s="711"/>
      <c r="J2856" s="711"/>
      <c r="K2856" s="711"/>
      <c r="L2856" s="711"/>
      <c r="Q2856" s="11"/>
      <c r="R2856" s="11"/>
      <c r="S2856" s="11"/>
      <c r="T2856" s="11"/>
    </row>
    <row r="2857" spans="8:20" x14ac:dyDescent="0.35">
      <c r="H2857" s="711"/>
      <c r="I2857" s="711"/>
      <c r="J2857" s="711"/>
      <c r="K2857" s="711"/>
      <c r="L2857" s="711"/>
      <c r="Q2857" s="11"/>
      <c r="R2857" s="11"/>
      <c r="S2857" s="11"/>
      <c r="T2857" s="11"/>
    </row>
    <row r="2858" spans="8:20" x14ac:dyDescent="0.35">
      <c r="H2858" s="711"/>
      <c r="I2858" s="711"/>
      <c r="J2858" s="711"/>
      <c r="K2858" s="711"/>
      <c r="L2858" s="711"/>
      <c r="Q2858" s="11"/>
      <c r="R2858" s="11"/>
      <c r="S2858" s="11"/>
      <c r="T2858" s="11"/>
    </row>
    <row r="2859" spans="8:20" x14ac:dyDescent="0.35">
      <c r="H2859" s="711"/>
      <c r="I2859" s="711"/>
      <c r="J2859" s="711"/>
      <c r="K2859" s="711"/>
      <c r="L2859" s="711"/>
      <c r="Q2859" s="11"/>
      <c r="R2859" s="11"/>
      <c r="S2859" s="11"/>
      <c r="T2859" s="11"/>
    </row>
    <row r="2860" spans="8:20" x14ac:dyDescent="0.35">
      <c r="H2860" s="711"/>
      <c r="I2860" s="711"/>
      <c r="J2860" s="711"/>
      <c r="K2860" s="711"/>
      <c r="L2860" s="711"/>
      <c r="Q2860" s="11"/>
      <c r="R2860" s="11"/>
      <c r="S2860" s="11"/>
      <c r="T2860" s="11"/>
    </row>
    <row r="2861" spans="8:20" x14ac:dyDescent="0.35">
      <c r="H2861" s="711"/>
      <c r="I2861" s="711"/>
      <c r="J2861" s="711"/>
      <c r="K2861" s="711"/>
      <c r="L2861" s="711"/>
      <c r="Q2861" s="11"/>
      <c r="R2861" s="11"/>
      <c r="S2861" s="11"/>
      <c r="T2861" s="11"/>
    </row>
    <row r="2862" spans="8:20" x14ac:dyDescent="0.35">
      <c r="H2862" s="711"/>
      <c r="I2862" s="711"/>
      <c r="J2862" s="711"/>
      <c r="K2862" s="711"/>
      <c r="L2862" s="711"/>
      <c r="Q2862" s="11"/>
      <c r="R2862" s="11"/>
      <c r="S2862" s="11"/>
      <c r="T2862" s="11"/>
    </row>
    <row r="2863" spans="8:20" x14ac:dyDescent="0.35">
      <c r="H2863" s="711"/>
      <c r="I2863" s="711"/>
      <c r="J2863" s="711"/>
      <c r="K2863" s="711"/>
      <c r="L2863" s="711"/>
      <c r="Q2863" s="11"/>
      <c r="R2863" s="11"/>
      <c r="S2863" s="11"/>
      <c r="T2863" s="11"/>
    </row>
    <row r="2864" spans="8:20" x14ac:dyDescent="0.35">
      <c r="H2864" s="711"/>
      <c r="I2864" s="711"/>
      <c r="J2864" s="711"/>
      <c r="K2864" s="711"/>
      <c r="L2864" s="711"/>
      <c r="Q2864" s="11"/>
      <c r="R2864" s="11"/>
      <c r="S2864" s="11"/>
      <c r="T2864" s="11"/>
    </row>
    <row r="2865" spans="8:20" x14ac:dyDescent="0.35">
      <c r="H2865" s="711"/>
      <c r="I2865" s="711"/>
      <c r="J2865" s="711"/>
      <c r="K2865" s="711"/>
      <c r="L2865" s="711"/>
      <c r="Q2865" s="11"/>
      <c r="R2865" s="11"/>
      <c r="S2865" s="11"/>
      <c r="T2865" s="11"/>
    </row>
    <row r="2866" spans="8:20" x14ac:dyDescent="0.35">
      <c r="H2866" s="711"/>
      <c r="I2866" s="711"/>
      <c r="J2866" s="711"/>
      <c r="K2866" s="711"/>
      <c r="L2866" s="711"/>
      <c r="Q2866" s="11"/>
      <c r="R2866" s="11"/>
      <c r="S2866" s="11"/>
      <c r="T2866" s="11"/>
    </row>
    <row r="2867" spans="8:20" x14ac:dyDescent="0.35">
      <c r="H2867" s="711"/>
      <c r="I2867" s="711"/>
      <c r="J2867" s="711"/>
      <c r="K2867" s="711"/>
      <c r="L2867" s="711"/>
      <c r="Q2867" s="11"/>
      <c r="R2867" s="11"/>
      <c r="S2867" s="11"/>
      <c r="T2867" s="11"/>
    </row>
    <row r="2868" spans="8:20" x14ac:dyDescent="0.35">
      <c r="H2868" s="711"/>
      <c r="I2868" s="711"/>
      <c r="J2868" s="711"/>
      <c r="K2868" s="711"/>
      <c r="L2868" s="711"/>
      <c r="Q2868" s="11"/>
      <c r="R2868" s="11"/>
      <c r="S2868" s="11"/>
      <c r="T2868" s="11"/>
    </row>
    <row r="2869" spans="8:20" x14ac:dyDescent="0.35">
      <c r="H2869" s="711"/>
      <c r="I2869" s="711"/>
      <c r="J2869" s="711"/>
      <c r="K2869" s="711"/>
      <c r="L2869" s="711"/>
      <c r="Q2869" s="11"/>
      <c r="R2869" s="11"/>
      <c r="S2869" s="11"/>
      <c r="T2869" s="11"/>
    </row>
    <row r="2870" spans="8:20" x14ac:dyDescent="0.35">
      <c r="H2870" s="711"/>
      <c r="I2870" s="711"/>
      <c r="J2870" s="711"/>
      <c r="K2870" s="711"/>
      <c r="L2870" s="711"/>
      <c r="Q2870" s="11"/>
      <c r="R2870" s="11"/>
      <c r="S2870" s="11"/>
      <c r="T2870" s="11"/>
    </row>
    <row r="2871" spans="8:20" x14ac:dyDescent="0.35">
      <c r="H2871" s="711"/>
      <c r="I2871" s="711"/>
      <c r="J2871" s="711"/>
      <c r="K2871" s="711"/>
      <c r="L2871" s="711"/>
      <c r="Q2871" s="11"/>
      <c r="R2871" s="11"/>
      <c r="S2871" s="11"/>
      <c r="T2871" s="11"/>
    </row>
    <row r="2872" spans="8:20" x14ac:dyDescent="0.35">
      <c r="H2872" s="711"/>
      <c r="I2872" s="711"/>
      <c r="J2872" s="711"/>
      <c r="K2872" s="711"/>
      <c r="L2872" s="711"/>
      <c r="Q2872" s="11"/>
      <c r="R2872" s="11"/>
      <c r="S2872" s="11"/>
      <c r="T2872" s="11"/>
    </row>
    <row r="2873" spans="8:20" x14ac:dyDescent="0.35">
      <c r="H2873" s="711"/>
      <c r="I2873" s="711"/>
      <c r="J2873" s="711"/>
      <c r="K2873" s="711"/>
      <c r="L2873" s="711"/>
      <c r="Q2873" s="11"/>
      <c r="R2873" s="11"/>
      <c r="S2873" s="11"/>
      <c r="T2873" s="11"/>
    </row>
    <row r="2874" spans="8:20" x14ac:dyDescent="0.35">
      <c r="H2874" s="711"/>
      <c r="I2874" s="711"/>
      <c r="J2874" s="711"/>
      <c r="K2874" s="711"/>
      <c r="L2874" s="711"/>
      <c r="Q2874" s="11"/>
      <c r="R2874" s="11"/>
      <c r="S2874" s="11"/>
      <c r="T2874" s="11"/>
    </row>
    <row r="2875" spans="8:20" x14ac:dyDescent="0.35">
      <c r="H2875" s="711"/>
      <c r="I2875" s="711"/>
      <c r="J2875" s="711"/>
      <c r="K2875" s="711"/>
      <c r="L2875" s="711"/>
      <c r="Q2875" s="11"/>
      <c r="R2875" s="11"/>
      <c r="S2875" s="11"/>
      <c r="T2875" s="11"/>
    </row>
    <row r="2876" spans="8:20" x14ac:dyDescent="0.35">
      <c r="H2876" s="711"/>
      <c r="I2876" s="711"/>
      <c r="J2876" s="711"/>
      <c r="K2876" s="711"/>
      <c r="L2876" s="711"/>
      <c r="Q2876" s="11"/>
      <c r="R2876" s="11"/>
      <c r="S2876" s="11"/>
      <c r="T2876" s="11"/>
    </row>
    <row r="2877" spans="8:20" x14ac:dyDescent="0.35">
      <c r="H2877" s="711"/>
      <c r="I2877" s="711"/>
      <c r="J2877" s="711"/>
      <c r="K2877" s="711"/>
      <c r="L2877" s="711"/>
      <c r="Q2877" s="11"/>
      <c r="R2877" s="11"/>
      <c r="S2877" s="11"/>
      <c r="T2877" s="11"/>
    </row>
    <row r="2878" spans="8:20" x14ac:dyDescent="0.35">
      <c r="H2878" s="711"/>
      <c r="I2878" s="711"/>
      <c r="J2878" s="711"/>
      <c r="K2878" s="711"/>
      <c r="L2878" s="711"/>
      <c r="Q2878" s="11"/>
      <c r="R2878" s="11"/>
      <c r="S2878" s="11"/>
      <c r="T2878" s="11"/>
    </row>
    <row r="2879" spans="8:20" x14ac:dyDescent="0.35">
      <c r="H2879" s="711"/>
      <c r="I2879" s="711"/>
      <c r="J2879" s="711"/>
      <c r="K2879" s="711"/>
      <c r="L2879" s="711"/>
      <c r="Q2879" s="11"/>
      <c r="R2879" s="11"/>
      <c r="S2879" s="11"/>
      <c r="T2879" s="11"/>
    </row>
    <row r="2880" spans="8:20" x14ac:dyDescent="0.35">
      <c r="H2880" s="711"/>
      <c r="I2880" s="711"/>
      <c r="J2880" s="711"/>
      <c r="K2880" s="711"/>
      <c r="L2880" s="711"/>
      <c r="Q2880" s="11"/>
      <c r="R2880" s="11"/>
      <c r="S2880" s="11"/>
      <c r="T2880" s="11"/>
    </row>
    <row r="2881" spans="8:20" x14ac:dyDescent="0.35">
      <c r="H2881" s="711"/>
      <c r="I2881" s="711"/>
      <c r="J2881" s="711"/>
      <c r="K2881" s="711"/>
      <c r="L2881" s="711"/>
      <c r="Q2881" s="11"/>
      <c r="R2881" s="11"/>
      <c r="S2881" s="11"/>
      <c r="T2881" s="11"/>
    </row>
    <row r="2882" spans="8:20" x14ac:dyDescent="0.35">
      <c r="H2882" s="711"/>
      <c r="I2882" s="711"/>
      <c r="J2882" s="711"/>
      <c r="K2882" s="711"/>
      <c r="L2882" s="711"/>
      <c r="Q2882" s="11"/>
      <c r="R2882" s="11"/>
      <c r="S2882" s="11"/>
      <c r="T2882" s="11"/>
    </row>
    <row r="2883" spans="8:20" x14ac:dyDescent="0.35">
      <c r="H2883" s="711"/>
      <c r="I2883" s="711"/>
      <c r="J2883" s="711"/>
      <c r="K2883" s="711"/>
      <c r="L2883" s="711"/>
      <c r="Q2883" s="11"/>
      <c r="R2883" s="11"/>
      <c r="S2883" s="11"/>
      <c r="T2883" s="11"/>
    </row>
    <row r="2884" spans="8:20" x14ac:dyDescent="0.35">
      <c r="H2884" s="711"/>
      <c r="I2884" s="711"/>
      <c r="J2884" s="711"/>
      <c r="K2884" s="711"/>
      <c r="L2884" s="711"/>
      <c r="Q2884" s="11"/>
      <c r="R2884" s="11"/>
      <c r="S2884" s="11"/>
      <c r="T2884" s="11"/>
    </row>
    <row r="2885" spans="8:20" x14ac:dyDescent="0.35">
      <c r="H2885" s="711"/>
      <c r="I2885" s="711"/>
      <c r="J2885" s="711"/>
      <c r="K2885" s="711"/>
      <c r="L2885" s="711"/>
      <c r="Q2885" s="11"/>
      <c r="R2885" s="11"/>
      <c r="S2885" s="11"/>
      <c r="T2885" s="11"/>
    </row>
    <row r="2886" spans="8:20" x14ac:dyDescent="0.35">
      <c r="H2886" s="711"/>
      <c r="I2886" s="711"/>
      <c r="J2886" s="711"/>
      <c r="K2886" s="711"/>
      <c r="L2886" s="711"/>
      <c r="Q2886" s="11"/>
      <c r="R2886" s="11"/>
      <c r="S2886" s="11"/>
      <c r="T2886" s="11"/>
    </row>
    <row r="2887" spans="8:20" x14ac:dyDescent="0.35">
      <c r="H2887" s="711"/>
      <c r="I2887" s="711"/>
      <c r="J2887" s="711"/>
      <c r="K2887" s="711"/>
      <c r="L2887" s="711"/>
      <c r="Q2887" s="11"/>
      <c r="R2887" s="11"/>
      <c r="S2887" s="11"/>
      <c r="T2887" s="11"/>
    </row>
    <row r="2888" spans="8:20" x14ac:dyDescent="0.35">
      <c r="H2888" s="711"/>
      <c r="I2888" s="711"/>
      <c r="J2888" s="711"/>
      <c r="K2888" s="711"/>
      <c r="L2888" s="711"/>
      <c r="Q2888" s="11"/>
      <c r="R2888" s="11"/>
      <c r="S2888" s="11"/>
      <c r="T2888" s="11"/>
    </row>
    <row r="2889" spans="8:20" x14ac:dyDescent="0.35">
      <c r="H2889" s="711"/>
      <c r="I2889" s="711"/>
      <c r="J2889" s="711"/>
      <c r="K2889" s="711"/>
      <c r="L2889" s="711"/>
      <c r="Q2889" s="11"/>
      <c r="R2889" s="11"/>
      <c r="S2889" s="11"/>
      <c r="T2889" s="11"/>
    </row>
    <row r="2890" spans="8:20" x14ac:dyDescent="0.35">
      <c r="H2890" s="711"/>
      <c r="I2890" s="711"/>
      <c r="J2890" s="711"/>
      <c r="K2890" s="711"/>
      <c r="L2890" s="711"/>
      <c r="Q2890" s="11"/>
      <c r="R2890" s="11"/>
      <c r="S2890" s="11"/>
      <c r="T2890" s="11"/>
    </row>
    <row r="2891" spans="8:20" x14ac:dyDescent="0.35">
      <c r="H2891" s="711"/>
      <c r="I2891" s="711"/>
      <c r="J2891" s="711"/>
      <c r="K2891" s="711"/>
      <c r="L2891" s="711"/>
      <c r="Q2891" s="11"/>
      <c r="R2891" s="11"/>
      <c r="S2891" s="11"/>
      <c r="T2891" s="11"/>
    </row>
    <row r="2892" spans="8:20" x14ac:dyDescent="0.35">
      <c r="H2892" s="711"/>
      <c r="I2892" s="711"/>
      <c r="J2892" s="711"/>
      <c r="K2892" s="711"/>
      <c r="L2892" s="711"/>
      <c r="Q2892" s="11"/>
      <c r="R2892" s="11"/>
      <c r="S2892" s="11"/>
      <c r="T2892" s="11"/>
    </row>
    <row r="2893" spans="8:20" x14ac:dyDescent="0.35">
      <c r="H2893" s="711"/>
      <c r="I2893" s="711"/>
      <c r="J2893" s="711"/>
      <c r="K2893" s="711"/>
      <c r="L2893" s="711"/>
      <c r="Q2893" s="11"/>
      <c r="R2893" s="11"/>
      <c r="S2893" s="11"/>
      <c r="T2893" s="11"/>
    </row>
    <row r="2894" spans="8:20" x14ac:dyDescent="0.35">
      <c r="H2894" s="711"/>
      <c r="I2894" s="711"/>
      <c r="J2894" s="711"/>
      <c r="K2894" s="711"/>
      <c r="L2894" s="711"/>
      <c r="Q2894" s="11"/>
      <c r="R2894" s="11"/>
      <c r="S2894" s="11"/>
      <c r="T2894" s="11"/>
    </row>
    <row r="2895" spans="8:20" x14ac:dyDescent="0.35">
      <c r="H2895" s="711"/>
      <c r="I2895" s="711"/>
      <c r="J2895" s="711"/>
      <c r="K2895" s="711"/>
      <c r="L2895" s="711"/>
      <c r="Q2895" s="11"/>
      <c r="R2895" s="11"/>
      <c r="S2895" s="11"/>
      <c r="T2895" s="11"/>
    </row>
    <row r="2896" spans="8:20" x14ac:dyDescent="0.35">
      <c r="H2896" s="711"/>
      <c r="I2896" s="711"/>
      <c r="J2896" s="711"/>
      <c r="K2896" s="711"/>
      <c r="L2896" s="711"/>
      <c r="Q2896" s="11"/>
      <c r="R2896" s="11"/>
      <c r="S2896" s="11"/>
      <c r="T2896" s="11"/>
    </row>
    <row r="2897" spans="8:20" x14ac:dyDescent="0.35">
      <c r="H2897" s="711"/>
      <c r="I2897" s="711"/>
      <c r="J2897" s="711"/>
      <c r="K2897" s="711"/>
      <c r="L2897" s="711"/>
      <c r="Q2897" s="11"/>
      <c r="R2897" s="11"/>
      <c r="S2897" s="11"/>
      <c r="T2897" s="11"/>
    </row>
    <row r="2898" spans="8:20" x14ac:dyDescent="0.35">
      <c r="H2898" s="711"/>
      <c r="I2898" s="711"/>
      <c r="J2898" s="711"/>
      <c r="K2898" s="711"/>
      <c r="L2898" s="711"/>
      <c r="Q2898" s="11"/>
      <c r="R2898" s="11"/>
      <c r="S2898" s="11"/>
      <c r="T2898" s="11"/>
    </row>
    <row r="2899" spans="8:20" x14ac:dyDescent="0.35">
      <c r="H2899" s="711"/>
      <c r="I2899" s="711"/>
      <c r="J2899" s="711"/>
      <c r="K2899" s="711"/>
      <c r="L2899" s="711"/>
      <c r="Q2899" s="11"/>
      <c r="R2899" s="11"/>
      <c r="S2899" s="11"/>
      <c r="T2899" s="11"/>
    </row>
    <row r="2900" spans="8:20" x14ac:dyDescent="0.35">
      <c r="H2900" s="711"/>
      <c r="I2900" s="711"/>
      <c r="J2900" s="711"/>
      <c r="K2900" s="711"/>
      <c r="L2900" s="711"/>
      <c r="Q2900" s="11"/>
      <c r="R2900" s="11"/>
      <c r="S2900" s="11"/>
      <c r="T2900" s="11"/>
    </row>
    <row r="2901" spans="8:20" x14ac:dyDescent="0.35">
      <c r="H2901" s="711"/>
      <c r="I2901" s="711"/>
      <c r="J2901" s="711"/>
      <c r="K2901" s="711"/>
      <c r="L2901" s="711"/>
      <c r="Q2901" s="11"/>
      <c r="R2901" s="11"/>
      <c r="S2901" s="11"/>
      <c r="T2901" s="11"/>
    </row>
    <row r="2902" spans="8:20" x14ac:dyDescent="0.35">
      <c r="H2902" s="711"/>
      <c r="I2902" s="711"/>
      <c r="J2902" s="711"/>
      <c r="K2902" s="711"/>
      <c r="L2902" s="711"/>
      <c r="Q2902" s="11"/>
      <c r="R2902" s="11"/>
      <c r="S2902" s="11"/>
      <c r="T2902" s="11"/>
    </row>
    <row r="2903" spans="8:20" x14ac:dyDescent="0.35">
      <c r="H2903" s="711"/>
      <c r="I2903" s="711"/>
      <c r="J2903" s="711"/>
      <c r="K2903" s="711"/>
      <c r="L2903" s="711"/>
      <c r="Q2903" s="11"/>
      <c r="R2903" s="11"/>
      <c r="S2903" s="11"/>
      <c r="T2903" s="11"/>
    </row>
    <row r="2904" spans="8:20" x14ac:dyDescent="0.35">
      <c r="H2904" s="711"/>
      <c r="I2904" s="711"/>
      <c r="J2904" s="711"/>
      <c r="K2904" s="711"/>
      <c r="L2904" s="711"/>
      <c r="Q2904" s="11"/>
      <c r="R2904" s="11"/>
      <c r="S2904" s="11"/>
      <c r="T2904" s="11"/>
    </row>
    <row r="2905" spans="8:20" x14ac:dyDescent="0.35">
      <c r="H2905" s="711"/>
      <c r="I2905" s="711"/>
      <c r="J2905" s="711"/>
      <c r="K2905" s="711"/>
      <c r="L2905" s="711"/>
      <c r="Q2905" s="11"/>
      <c r="R2905" s="11"/>
      <c r="S2905" s="11"/>
      <c r="T2905" s="11"/>
    </row>
    <row r="2906" spans="8:20" x14ac:dyDescent="0.35">
      <c r="H2906" s="711"/>
      <c r="I2906" s="711"/>
      <c r="J2906" s="711"/>
      <c r="K2906" s="711"/>
      <c r="L2906" s="711"/>
      <c r="Q2906" s="11"/>
      <c r="R2906" s="11"/>
      <c r="S2906" s="11"/>
      <c r="T2906" s="11"/>
    </row>
    <row r="2907" spans="8:20" x14ac:dyDescent="0.35">
      <c r="H2907" s="711"/>
      <c r="I2907" s="711"/>
      <c r="J2907" s="711"/>
      <c r="K2907" s="711"/>
      <c r="L2907" s="711"/>
      <c r="Q2907" s="11"/>
      <c r="R2907" s="11"/>
      <c r="S2907" s="11"/>
      <c r="T2907" s="11"/>
    </row>
    <row r="2908" spans="8:20" x14ac:dyDescent="0.35">
      <c r="H2908" s="711"/>
      <c r="I2908" s="711"/>
      <c r="J2908" s="711"/>
      <c r="K2908" s="711"/>
      <c r="L2908" s="711"/>
      <c r="Q2908" s="11"/>
      <c r="R2908" s="11"/>
      <c r="S2908" s="11"/>
      <c r="T2908" s="11"/>
    </row>
    <row r="2909" spans="8:20" x14ac:dyDescent="0.35">
      <c r="H2909" s="711"/>
      <c r="I2909" s="711"/>
      <c r="J2909" s="711"/>
      <c r="K2909" s="711"/>
      <c r="L2909" s="711"/>
      <c r="Q2909" s="11"/>
      <c r="R2909" s="11"/>
      <c r="S2909" s="11"/>
      <c r="T2909" s="11"/>
    </row>
    <row r="2910" spans="8:20" x14ac:dyDescent="0.35">
      <c r="H2910" s="711"/>
      <c r="I2910" s="711"/>
      <c r="J2910" s="711"/>
      <c r="K2910" s="711"/>
      <c r="L2910" s="711"/>
      <c r="Q2910" s="11"/>
      <c r="R2910" s="11"/>
      <c r="S2910" s="11"/>
      <c r="T2910" s="11"/>
    </row>
    <row r="2911" spans="8:20" x14ac:dyDescent="0.35">
      <c r="H2911" s="711"/>
      <c r="I2911" s="711"/>
      <c r="J2911" s="711"/>
      <c r="K2911" s="711"/>
      <c r="L2911" s="711"/>
      <c r="Q2911" s="11"/>
      <c r="R2911" s="11"/>
      <c r="S2911" s="11"/>
      <c r="T2911" s="11"/>
    </row>
    <row r="2912" spans="8:20" x14ac:dyDescent="0.35">
      <c r="H2912" s="711"/>
      <c r="I2912" s="711"/>
      <c r="J2912" s="711"/>
      <c r="K2912" s="711"/>
      <c r="L2912" s="711"/>
      <c r="Q2912" s="11"/>
      <c r="R2912" s="11"/>
      <c r="S2912" s="11"/>
      <c r="T2912" s="11"/>
    </row>
    <row r="2913" spans="8:20" x14ac:dyDescent="0.35">
      <c r="H2913" s="711"/>
      <c r="I2913" s="711"/>
      <c r="J2913" s="711"/>
      <c r="K2913" s="711"/>
      <c r="L2913" s="711"/>
      <c r="Q2913" s="11"/>
      <c r="R2913" s="11"/>
      <c r="S2913" s="11"/>
      <c r="T2913" s="11"/>
    </row>
    <row r="2914" spans="8:20" x14ac:dyDescent="0.35">
      <c r="H2914" s="711"/>
      <c r="I2914" s="711"/>
      <c r="J2914" s="711"/>
      <c r="K2914" s="711"/>
      <c r="L2914" s="711"/>
      <c r="Q2914" s="11"/>
      <c r="R2914" s="11"/>
      <c r="S2914" s="11"/>
      <c r="T2914" s="11"/>
    </row>
    <row r="2915" spans="8:20" x14ac:dyDescent="0.35">
      <c r="H2915" s="711"/>
      <c r="I2915" s="711"/>
      <c r="J2915" s="711"/>
      <c r="K2915" s="711"/>
      <c r="L2915" s="711"/>
      <c r="Q2915" s="11"/>
      <c r="R2915" s="11"/>
      <c r="S2915" s="11"/>
      <c r="T2915" s="11"/>
    </row>
    <row r="2916" spans="8:20" x14ac:dyDescent="0.35">
      <c r="H2916" s="711"/>
      <c r="I2916" s="711"/>
      <c r="J2916" s="711"/>
      <c r="K2916" s="711"/>
      <c r="L2916" s="711"/>
      <c r="Q2916" s="11"/>
      <c r="R2916" s="11"/>
      <c r="S2916" s="11"/>
      <c r="T2916" s="11"/>
    </row>
    <row r="2917" spans="8:20" x14ac:dyDescent="0.35">
      <c r="H2917" s="711"/>
      <c r="I2917" s="711"/>
      <c r="J2917" s="711"/>
      <c r="K2917" s="711"/>
      <c r="L2917" s="711"/>
      <c r="Q2917" s="11"/>
      <c r="R2917" s="11"/>
      <c r="S2917" s="11"/>
      <c r="T2917" s="11"/>
    </row>
    <row r="2918" spans="8:20" x14ac:dyDescent="0.35">
      <c r="H2918" s="711"/>
      <c r="I2918" s="711"/>
      <c r="J2918" s="711"/>
      <c r="K2918" s="711"/>
      <c r="L2918" s="711"/>
      <c r="Q2918" s="11"/>
      <c r="R2918" s="11"/>
      <c r="S2918" s="11"/>
      <c r="T2918" s="11"/>
    </row>
    <row r="2919" spans="8:20" x14ac:dyDescent="0.35">
      <c r="H2919" s="711"/>
      <c r="I2919" s="711"/>
      <c r="J2919" s="711"/>
      <c r="K2919" s="711"/>
      <c r="L2919" s="711"/>
      <c r="Q2919" s="11"/>
      <c r="R2919" s="11"/>
      <c r="S2919" s="11"/>
      <c r="T2919" s="11"/>
    </row>
    <row r="2920" spans="8:20" x14ac:dyDescent="0.35">
      <c r="H2920" s="711"/>
      <c r="I2920" s="711"/>
      <c r="J2920" s="711"/>
      <c r="K2920" s="711"/>
      <c r="L2920" s="711"/>
      <c r="Q2920" s="11"/>
      <c r="R2920" s="11"/>
      <c r="S2920" s="11"/>
      <c r="T2920" s="11"/>
    </row>
    <row r="2921" spans="8:20" x14ac:dyDescent="0.35">
      <c r="H2921" s="711"/>
      <c r="I2921" s="711"/>
      <c r="J2921" s="711"/>
      <c r="K2921" s="711"/>
      <c r="L2921" s="711"/>
      <c r="Q2921" s="11"/>
      <c r="R2921" s="11"/>
      <c r="S2921" s="11"/>
      <c r="T2921" s="11"/>
    </row>
    <row r="2922" spans="8:20" x14ac:dyDescent="0.35">
      <c r="H2922" s="711"/>
      <c r="I2922" s="711"/>
      <c r="J2922" s="711"/>
      <c r="K2922" s="711"/>
      <c r="L2922" s="711"/>
      <c r="Q2922" s="11"/>
      <c r="R2922" s="11"/>
      <c r="S2922" s="11"/>
      <c r="T2922" s="11"/>
    </row>
    <row r="2923" spans="8:20" x14ac:dyDescent="0.35">
      <c r="H2923" s="711"/>
      <c r="I2923" s="711"/>
      <c r="J2923" s="711"/>
      <c r="K2923" s="711"/>
      <c r="L2923" s="711"/>
      <c r="Q2923" s="11"/>
      <c r="R2923" s="11"/>
      <c r="S2923" s="11"/>
      <c r="T2923" s="11"/>
    </row>
    <row r="2924" spans="8:20" x14ac:dyDescent="0.35">
      <c r="H2924" s="711"/>
      <c r="I2924" s="711"/>
      <c r="J2924" s="711"/>
      <c r="K2924" s="711"/>
      <c r="L2924" s="711"/>
      <c r="Q2924" s="11"/>
      <c r="R2924" s="11"/>
      <c r="S2924" s="11"/>
      <c r="T2924" s="11"/>
    </row>
    <row r="2925" spans="8:20" x14ac:dyDescent="0.35">
      <c r="H2925" s="711"/>
      <c r="I2925" s="711"/>
      <c r="J2925" s="711"/>
      <c r="K2925" s="711"/>
      <c r="L2925" s="711"/>
      <c r="Q2925" s="11"/>
      <c r="R2925" s="11"/>
      <c r="S2925" s="11"/>
      <c r="T2925" s="11"/>
    </row>
    <row r="2926" spans="8:20" x14ac:dyDescent="0.35">
      <c r="H2926" s="711"/>
      <c r="I2926" s="711"/>
      <c r="J2926" s="711"/>
      <c r="K2926" s="711"/>
      <c r="L2926" s="711"/>
      <c r="Q2926" s="11"/>
      <c r="R2926" s="11"/>
      <c r="S2926" s="11"/>
      <c r="T2926" s="11"/>
    </row>
    <row r="2927" spans="8:20" x14ac:dyDescent="0.35">
      <c r="H2927" s="711"/>
      <c r="I2927" s="711"/>
      <c r="J2927" s="711"/>
      <c r="K2927" s="711"/>
      <c r="L2927" s="711"/>
      <c r="Q2927" s="11"/>
      <c r="R2927" s="11"/>
      <c r="S2927" s="11"/>
      <c r="T2927" s="11"/>
    </row>
    <row r="2928" spans="8:20" x14ac:dyDescent="0.35">
      <c r="H2928" s="711"/>
      <c r="I2928" s="711"/>
      <c r="J2928" s="711"/>
      <c r="K2928" s="711"/>
      <c r="L2928" s="711"/>
      <c r="Q2928" s="11"/>
      <c r="R2928" s="11"/>
      <c r="S2928" s="11"/>
      <c r="T2928" s="11"/>
    </row>
    <row r="2929" spans="8:20" x14ac:dyDescent="0.35">
      <c r="H2929" s="711"/>
      <c r="I2929" s="711"/>
      <c r="J2929" s="711"/>
      <c r="K2929" s="711"/>
      <c r="L2929" s="711"/>
      <c r="Q2929" s="11"/>
      <c r="R2929" s="11"/>
      <c r="S2929" s="11"/>
      <c r="T2929" s="11"/>
    </row>
    <row r="2930" spans="8:20" x14ac:dyDescent="0.35">
      <c r="H2930" s="711"/>
      <c r="I2930" s="711"/>
      <c r="J2930" s="711"/>
      <c r="K2930" s="711"/>
      <c r="L2930" s="711"/>
      <c r="Q2930" s="11"/>
      <c r="R2930" s="11"/>
      <c r="S2930" s="11"/>
      <c r="T2930" s="11"/>
    </row>
    <row r="2931" spans="8:20" x14ac:dyDescent="0.35">
      <c r="H2931" s="711"/>
      <c r="I2931" s="711"/>
      <c r="J2931" s="711"/>
      <c r="K2931" s="711"/>
      <c r="L2931" s="711"/>
      <c r="Q2931" s="11"/>
      <c r="R2931" s="11"/>
      <c r="S2931" s="11"/>
      <c r="T2931" s="11"/>
    </row>
    <row r="2932" spans="8:20" x14ac:dyDescent="0.35">
      <c r="H2932" s="711"/>
      <c r="I2932" s="711"/>
      <c r="J2932" s="711"/>
      <c r="K2932" s="711"/>
      <c r="L2932" s="711"/>
      <c r="Q2932" s="11"/>
      <c r="R2932" s="11"/>
      <c r="S2932" s="11"/>
      <c r="T2932" s="11"/>
    </row>
    <row r="2933" spans="8:20" x14ac:dyDescent="0.35">
      <c r="H2933" s="711"/>
      <c r="I2933" s="711"/>
      <c r="J2933" s="711"/>
      <c r="K2933" s="711"/>
      <c r="L2933" s="711"/>
      <c r="Q2933" s="11"/>
      <c r="R2933" s="11"/>
      <c r="S2933" s="11"/>
      <c r="T2933" s="11"/>
    </row>
    <row r="2934" spans="8:20" x14ac:dyDescent="0.35">
      <c r="H2934" s="711"/>
      <c r="I2934" s="711"/>
      <c r="J2934" s="711"/>
      <c r="K2934" s="711"/>
      <c r="L2934" s="711"/>
      <c r="Q2934" s="11"/>
      <c r="R2934" s="11"/>
      <c r="S2934" s="11"/>
      <c r="T2934" s="11"/>
    </row>
    <row r="2935" spans="8:20" x14ac:dyDescent="0.35">
      <c r="H2935" s="711"/>
      <c r="I2935" s="711"/>
      <c r="J2935" s="711"/>
      <c r="K2935" s="711"/>
      <c r="L2935" s="711"/>
      <c r="Q2935" s="11"/>
      <c r="R2935" s="11"/>
      <c r="S2935" s="11"/>
      <c r="T2935" s="11"/>
    </row>
    <row r="2936" spans="8:20" x14ac:dyDescent="0.35">
      <c r="H2936" s="711"/>
      <c r="I2936" s="711"/>
      <c r="J2936" s="711"/>
      <c r="K2936" s="711"/>
      <c r="L2936" s="711"/>
      <c r="Q2936" s="11"/>
      <c r="R2936" s="11"/>
      <c r="S2936" s="11"/>
      <c r="T2936" s="11"/>
    </row>
    <row r="2937" spans="8:20" x14ac:dyDescent="0.35">
      <c r="H2937" s="711"/>
      <c r="I2937" s="711"/>
      <c r="J2937" s="711"/>
      <c r="K2937" s="711"/>
      <c r="L2937" s="711"/>
      <c r="Q2937" s="11"/>
      <c r="R2937" s="11"/>
      <c r="S2937" s="11"/>
      <c r="T2937" s="11"/>
    </row>
    <row r="2938" spans="8:20" x14ac:dyDescent="0.35">
      <c r="H2938" s="711"/>
      <c r="I2938" s="711"/>
      <c r="J2938" s="711"/>
      <c r="K2938" s="711"/>
      <c r="L2938" s="711"/>
      <c r="Q2938" s="11"/>
      <c r="R2938" s="11"/>
      <c r="S2938" s="11"/>
      <c r="T2938" s="11"/>
    </row>
    <row r="2939" spans="8:20" x14ac:dyDescent="0.35">
      <c r="H2939" s="711"/>
      <c r="I2939" s="711"/>
      <c r="J2939" s="711"/>
      <c r="K2939" s="711"/>
      <c r="L2939" s="711"/>
      <c r="Q2939" s="11"/>
      <c r="R2939" s="11"/>
      <c r="S2939" s="11"/>
      <c r="T2939" s="11"/>
    </row>
    <row r="2940" spans="8:20" x14ac:dyDescent="0.35">
      <c r="H2940" s="711"/>
      <c r="I2940" s="711"/>
      <c r="J2940" s="711"/>
      <c r="K2940" s="711"/>
      <c r="L2940" s="711"/>
      <c r="Q2940" s="11"/>
      <c r="R2940" s="11"/>
      <c r="S2940" s="11"/>
      <c r="T2940" s="11"/>
    </row>
    <row r="2941" spans="8:20" x14ac:dyDescent="0.35">
      <c r="H2941" s="711"/>
      <c r="I2941" s="711"/>
      <c r="J2941" s="711"/>
      <c r="K2941" s="711"/>
      <c r="L2941" s="711"/>
      <c r="Q2941" s="11"/>
      <c r="R2941" s="11"/>
      <c r="S2941" s="11"/>
      <c r="T2941" s="11"/>
    </row>
    <row r="2942" spans="8:20" x14ac:dyDescent="0.35">
      <c r="H2942" s="711"/>
      <c r="I2942" s="711"/>
      <c r="J2942" s="711"/>
      <c r="K2942" s="711"/>
      <c r="L2942" s="711"/>
      <c r="Q2942" s="11"/>
      <c r="R2942" s="11"/>
      <c r="S2942" s="11"/>
      <c r="T2942" s="11"/>
    </row>
    <row r="2943" spans="8:20" x14ac:dyDescent="0.35">
      <c r="H2943" s="711"/>
      <c r="I2943" s="711"/>
      <c r="J2943" s="711"/>
      <c r="K2943" s="711"/>
      <c r="L2943" s="711"/>
      <c r="Q2943" s="11"/>
      <c r="R2943" s="11"/>
      <c r="S2943" s="11"/>
      <c r="T2943" s="11"/>
    </row>
    <row r="2944" spans="8:20" x14ac:dyDescent="0.35">
      <c r="H2944" s="711"/>
      <c r="I2944" s="711"/>
      <c r="J2944" s="711"/>
      <c r="K2944" s="711"/>
      <c r="L2944" s="711"/>
      <c r="Q2944" s="11"/>
      <c r="R2944" s="11"/>
      <c r="S2944" s="11"/>
      <c r="T2944" s="11"/>
    </row>
    <row r="2945" spans="8:20" x14ac:dyDescent="0.35">
      <c r="H2945" s="711"/>
      <c r="I2945" s="711"/>
      <c r="J2945" s="711"/>
      <c r="K2945" s="711"/>
      <c r="L2945" s="711"/>
      <c r="Q2945" s="11"/>
      <c r="R2945" s="11"/>
      <c r="S2945" s="11"/>
      <c r="T2945" s="11"/>
    </row>
    <row r="2946" spans="8:20" x14ac:dyDescent="0.35">
      <c r="H2946" s="711"/>
      <c r="I2946" s="711"/>
      <c r="J2946" s="711"/>
      <c r="K2946" s="711"/>
      <c r="L2946" s="711"/>
      <c r="Q2946" s="11"/>
      <c r="R2946" s="11"/>
      <c r="S2946" s="11"/>
      <c r="T2946" s="11"/>
    </row>
    <row r="2947" spans="8:20" x14ac:dyDescent="0.35">
      <c r="H2947" s="711"/>
      <c r="I2947" s="711"/>
      <c r="J2947" s="711"/>
      <c r="K2947" s="711"/>
      <c r="L2947" s="711"/>
      <c r="Q2947" s="11"/>
      <c r="R2947" s="11"/>
      <c r="S2947" s="11"/>
      <c r="T2947" s="11"/>
    </row>
    <row r="2948" spans="8:20" x14ac:dyDescent="0.35">
      <c r="H2948" s="711"/>
      <c r="I2948" s="711"/>
      <c r="J2948" s="711"/>
      <c r="K2948" s="711"/>
      <c r="L2948" s="711"/>
      <c r="Q2948" s="11"/>
      <c r="R2948" s="11"/>
      <c r="S2948" s="11"/>
      <c r="T2948" s="11"/>
    </row>
    <row r="2949" spans="8:20" x14ac:dyDescent="0.35">
      <c r="H2949" s="711"/>
      <c r="I2949" s="711"/>
      <c r="J2949" s="711"/>
      <c r="K2949" s="711"/>
      <c r="L2949" s="711"/>
      <c r="Q2949" s="11"/>
      <c r="R2949" s="11"/>
      <c r="S2949" s="11"/>
      <c r="T2949" s="11"/>
    </row>
    <row r="2950" spans="8:20" x14ac:dyDescent="0.35">
      <c r="H2950" s="711"/>
      <c r="I2950" s="711"/>
      <c r="J2950" s="711"/>
      <c r="K2950" s="711"/>
      <c r="L2950" s="711"/>
      <c r="Q2950" s="11"/>
      <c r="R2950" s="11"/>
      <c r="S2950" s="11"/>
      <c r="T2950" s="11"/>
    </row>
    <row r="2951" spans="8:20" x14ac:dyDescent="0.35">
      <c r="H2951" s="711"/>
      <c r="I2951" s="711"/>
      <c r="J2951" s="711"/>
      <c r="K2951" s="711"/>
      <c r="L2951" s="711"/>
      <c r="Q2951" s="11"/>
      <c r="R2951" s="11"/>
      <c r="S2951" s="11"/>
      <c r="T2951" s="11"/>
    </row>
    <row r="2952" spans="8:20" x14ac:dyDescent="0.35">
      <c r="H2952" s="711"/>
      <c r="I2952" s="711"/>
      <c r="J2952" s="711"/>
      <c r="K2952" s="711"/>
      <c r="L2952" s="711"/>
      <c r="Q2952" s="11"/>
      <c r="R2952" s="11"/>
      <c r="S2952" s="11"/>
      <c r="T2952" s="11"/>
    </row>
    <row r="2953" spans="8:20" x14ac:dyDescent="0.35">
      <c r="H2953" s="711"/>
      <c r="I2953" s="711"/>
      <c r="J2953" s="711"/>
      <c r="K2953" s="711"/>
      <c r="L2953" s="711"/>
      <c r="Q2953" s="11"/>
      <c r="R2953" s="11"/>
      <c r="S2953" s="11"/>
      <c r="T2953" s="11"/>
    </row>
    <row r="2954" spans="8:20" x14ac:dyDescent="0.35">
      <c r="H2954" s="711"/>
      <c r="I2954" s="711"/>
      <c r="J2954" s="711"/>
      <c r="K2954" s="711"/>
      <c r="L2954" s="711"/>
      <c r="Q2954" s="11"/>
      <c r="R2954" s="11"/>
      <c r="S2954" s="11"/>
      <c r="T2954" s="11"/>
    </row>
    <row r="2955" spans="8:20" x14ac:dyDescent="0.35">
      <c r="H2955" s="711"/>
      <c r="I2955" s="711"/>
      <c r="J2955" s="711"/>
      <c r="K2955" s="711"/>
      <c r="L2955" s="711"/>
      <c r="Q2955" s="11"/>
      <c r="R2955" s="11"/>
      <c r="S2955" s="11"/>
      <c r="T2955" s="11"/>
    </row>
    <row r="2956" spans="8:20" x14ac:dyDescent="0.35">
      <c r="H2956" s="711"/>
      <c r="I2956" s="711"/>
      <c r="J2956" s="711"/>
      <c r="K2956" s="711"/>
      <c r="L2956" s="711"/>
      <c r="Q2956" s="11"/>
      <c r="R2956" s="11"/>
      <c r="S2956" s="11"/>
      <c r="T2956" s="11"/>
    </row>
    <row r="2957" spans="8:20" x14ac:dyDescent="0.35">
      <c r="H2957" s="711"/>
      <c r="I2957" s="711"/>
      <c r="J2957" s="711"/>
      <c r="K2957" s="711"/>
      <c r="L2957" s="711"/>
      <c r="Q2957" s="11"/>
      <c r="R2957" s="11"/>
      <c r="S2957" s="11"/>
      <c r="T2957" s="11"/>
    </row>
    <row r="2958" spans="8:20" x14ac:dyDescent="0.35">
      <c r="H2958" s="711"/>
      <c r="I2958" s="711"/>
      <c r="J2958" s="711"/>
      <c r="K2958" s="711"/>
      <c r="L2958" s="711"/>
      <c r="Q2958" s="11"/>
      <c r="R2958" s="11"/>
      <c r="S2958" s="11"/>
      <c r="T2958" s="11"/>
    </row>
    <row r="2959" spans="8:20" x14ac:dyDescent="0.35">
      <c r="H2959" s="711"/>
      <c r="I2959" s="711"/>
      <c r="J2959" s="711"/>
      <c r="K2959" s="711"/>
      <c r="L2959" s="711"/>
      <c r="Q2959" s="11"/>
      <c r="R2959" s="11"/>
      <c r="S2959" s="11"/>
      <c r="T2959" s="11"/>
    </row>
    <row r="2960" spans="8:20" x14ac:dyDescent="0.35">
      <c r="H2960" s="711"/>
      <c r="I2960" s="711"/>
      <c r="J2960" s="711"/>
      <c r="K2960" s="711"/>
      <c r="L2960" s="711"/>
      <c r="Q2960" s="11"/>
      <c r="R2960" s="11"/>
      <c r="S2960" s="11"/>
      <c r="T2960" s="11"/>
    </row>
    <row r="2961" spans="8:20" x14ac:dyDescent="0.35">
      <c r="H2961" s="711"/>
      <c r="I2961" s="711"/>
      <c r="J2961" s="711"/>
      <c r="K2961" s="711"/>
      <c r="L2961" s="711"/>
      <c r="Q2961" s="11"/>
      <c r="R2961" s="11"/>
      <c r="S2961" s="11"/>
      <c r="T2961" s="11"/>
    </row>
    <row r="2962" spans="8:20" x14ac:dyDescent="0.35">
      <c r="H2962" s="711"/>
      <c r="I2962" s="711"/>
      <c r="J2962" s="711"/>
      <c r="K2962" s="711"/>
      <c r="L2962" s="711"/>
      <c r="Q2962" s="11"/>
      <c r="R2962" s="11"/>
      <c r="S2962" s="11"/>
      <c r="T2962" s="11"/>
    </row>
    <row r="2963" spans="8:20" x14ac:dyDescent="0.35">
      <c r="H2963" s="711"/>
      <c r="I2963" s="711"/>
      <c r="J2963" s="711"/>
      <c r="K2963" s="711"/>
      <c r="L2963" s="711"/>
      <c r="Q2963" s="11"/>
      <c r="R2963" s="11"/>
      <c r="S2963" s="11"/>
      <c r="T2963" s="11"/>
    </row>
    <row r="2964" spans="8:20" x14ac:dyDescent="0.35">
      <c r="H2964" s="711"/>
      <c r="I2964" s="711"/>
      <c r="J2964" s="711"/>
      <c r="K2964" s="711"/>
      <c r="L2964" s="711"/>
      <c r="Q2964" s="11"/>
      <c r="R2964" s="11"/>
      <c r="S2964" s="11"/>
      <c r="T2964" s="11"/>
    </row>
    <row r="2965" spans="8:20" x14ac:dyDescent="0.35">
      <c r="H2965" s="711"/>
      <c r="I2965" s="711"/>
      <c r="J2965" s="711"/>
      <c r="K2965" s="711"/>
      <c r="L2965" s="711"/>
      <c r="Q2965" s="11"/>
      <c r="R2965" s="11"/>
      <c r="S2965" s="11"/>
      <c r="T2965" s="11"/>
    </row>
    <row r="2966" spans="8:20" x14ac:dyDescent="0.35">
      <c r="H2966" s="711"/>
      <c r="I2966" s="711"/>
      <c r="J2966" s="711"/>
      <c r="K2966" s="711"/>
      <c r="L2966" s="711"/>
      <c r="Q2966" s="11"/>
      <c r="R2966" s="11"/>
      <c r="S2966" s="11"/>
      <c r="T2966" s="11"/>
    </row>
    <row r="2967" spans="8:20" x14ac:dyDescent="0.35">
      <c r="H2967" s="711"/>
      <c r="I2967" s="711"/>
      <c r="J2967" s="711"/>
      <c r="K2967" s="711"/>
      <c r="L2967" s="711"/>
      <c r="Q2967" s="11"/>
      <c r="R2967" s="11"/>
      <c r="S2967" s="11"/>
      <c r="T2967" s="11"/>
    </row>
    <row r="2968" spans="8:20" x14ac:dyDescent="0.35">
      <c r="H2968" s="711"/>
      <c r="I2968" s="711"/>
      <c r="J2968" s="711"/>
      <c r="K2968" s="711"/>
      <c r="L2968" s="711"/>
      <c r="Q2968" s="11"/>
      <c r="R2968" s="11"/>
      <c r="S2968" s="11"/>
      <c r="T2968" s="11"/>
    </row>
    <row r="2969" spans="8:20" x14ac:dyDescent="0.35">
      <c r="H2969" s="711"/>
      <c r="I2969" s="711"/>
      <c r="J2969" s="711"/>
      <c r="K2969" s="711"/>
      <c r="L2969" s="711"/>
      <c r="Q2969" s="11"/>
      <c r="R2969" s="11"/>
      <c r="S2969" s="11"/>
      <c r="T2969" s="11"/>
    </row>
    <row r="2970" spans="8:20" x14ac:dyDescent="0.35">
      <c r="H2970" s="711"/>
      <c r="I2970" s="711"/>
      <c r="J2970" s="711"/>
      <c r="K2970" s="711"/>
      <c r="L2970" s="711"/>
      <c r="Q2970" s="11"/>
      <c r="R2970" s="11"/>
      <c r="S2970" s="11"/>
      <c r="T2970" s="11"/>
    </row>
    <row r="2971" spans="8:20" x14ac:dyDescent="0.35">
      <c r="H2971" s="711"/>
      <c r="I2971" s="711"/>
      <c r="J2971" s="711"/>
      <c r="K2971" s="711"/>
      <c r="L2971" s="711"/>
      <c r="Q2971" s="11"/>
      <c r="R2971" s="11"/>
      <c r="S2971" s="11"/>
      <c r="T2971" s="11"/>
    </row>
    <row r="2972" spans="8:20" x14ac:dyDescent="0.35">
      <c r="H2972" s="711"/>
      <c r="I2972" s="711"/>
      <c r="J2972" s="711"/>
      <c r="K2972" s="711"/>
      <c r="L2972" s="711"/>
      <c r="Q2972" s="11"/>
      <c r="R2972" s="11"/>
      <c r="S2972" s="11"/>
      <c r="T2972" s="11"/>
    </row>
    <row r="2973" spans="8:20" x14ac:dyDescent="0.35">
      <c r="H2973" s="711"/>
      <c r="I2973" s="711"/>
      <c r="J2973" s="711"/>
      <c r="K2973" s="711"/>
      <c r="L2973" s="711"/>
      <c r="Q2973" s="11"/>
      <c r="R2973" s="11"/>
      <c r="S2973" s="11"/>
      <c r="T2973" s="11"/>
    </row>
    <row r="2974" spans="8:20" x14ac:dyDescent="0.35">
      <c r="H2974" s="711"/>
      <c r="I2974" s="711"/>
      <c r="J2974" s="711"/>
      <c r="K2974" s="711"/>
      <c r="L2974" s="711"/>
      <c r="Q2974" s="11"/>
      <c r="R2974" s="11"/>
      <c r="S2974" s="11"/>
      <c r="T2974" s="11"/>
    </row>
    <row r="2975" spans="8:20" x14ac:dyDescent="0.35">
      <c r="H2975" s="711"/>
      <c r="I2975" s="711"/>
      <c r="J2975" s="711"/>
      <c r="K2975" s="711"/>
      <c r="L2975" s="711"/>
      <c r="Q2975" s="11"/>
      <c r="R2975" s="11"/>
      <c r="S2975" s="11"/>
      <c r="T2975" s="11"/>
    </row>
    <row r="2976" spans="8:20" x14ac:dyDescent="0.35">
      <c r="H2976" s="711"/>
      <c r="I2976" s="711"/>
      <c r="J2976" s="711"/>
      <c r="K2976" s="711"/>
      <c r="L2976" s="711"/>
      <c r="Q2976" s="11"/>
      <c r="R2976" s="11"/>
      <c r="S2976" s="11"/>
      <c r="T2976" s="11"/>
    </row>
    <row r="2977" spans="8:20" x14ac:dyDescent="0.35">
      <c r="H2977" s="711"/>
      <c r="I2977" s="711"/>
      <c r="J2977" s="711"/>
      <c r="K2977" s="711"/>
      <c r="L2977" s="711"/>
      <c r="Q2977" s="11"/>
      <c r="R2977" s="11"/>
      <c r="S2977" s="11"/>
      <c r="T2977" s="11"/>
    </row>
    <row r="2978" spans="8:20" x14ac:dyDescent="0.35">
      <c r="H2978" s="711"/>
      <c r="I2978" s="711"/>
      <c r="J2978" s="711"/>
      <c r="K2978" s="711"/>
      <c r="L2978" s="711"/>
      <c r="Q2978" s="11"/>
      <c r="R2978" s="11"/>
      <c r="S2978" s="11"/>
      <c r="T2978" s="11"/>
    </row>
    <row r="2979" spans="8:20" x14ac:dyDescent="0.35">
      <c r="H2979" s="711"/>
      <c r="I2979" s="711"/>
      <c r="J2979" s="711"/>
      <c r="K2979" s="711"/>
      <c r="L2979" s="711"/>
      <c r="Q2979" s="11"/>
      <c r="R2979" s="11"/>
      <c r="S2979" s="11"/>
      <c r="T2979" s="11"/>
    </row>
    <row r="2980" spans="8:20" x14ac:dyDescent="0.35">
      <c r="H2980" s="711"/>
      <c r="I2980" s="711"/>
      <c r="J2980" s="711"/>
      <c r="K2980" s="711"/>
      <c r="L2980" s="711"/>
      <c r="Q2980" s="11"/>
      <c r="R2980" s="11"/>
      <c r="S2980" s="11"/>
      <c r="T2980" s="11"/>
    </row>
    <row r="2981" spans="8:20" x14ac:dyDescent="0.35">
      <c r="H2981" s="711"/>
      <c r="I2981" s="711"/>
      <c r="J2981" s="711"/>
      <c r="K2981" s="711"/>
      <c r="L2981" s="711"/>
      <c r="Q2981" s="11"/>
      <c r="R2981" s="11"/>
      <c r="S2981" s="11"/>
      <c r="T2981" s="11"/>
    </row>
    <row r="2982" spans="8:20" x14ac:dyDescent="0.35">
      <c r="H2982" s="711"/>
      <c r="I2982" s="711"/>
      <c r="J2982" s="711"/>
      <c r="K2982" s="711"/>
      <c r="L2982" s="711"/>
      <c r="Q2982" s="11"/>
      <c r="R2982" s="11"/>
      <c r="S2982" s="11"/>
      <c r="T2982" s="11"/>
    </row>
    <row r="2983" spans="8:20" x14ac:dyDescent="0.35">
      <c r="H2983" s="711"/>
      <c r="I2983" s="711"/>
      <c r="J2983" s="711"/>
      <c r="K2983" s="711"/>
      <c r="L2983" s="711"/>
      <c r="Q2983" s="11"/>
      <c r="R2983" s="11"/>
      <c r="S2983" s="11"/>
      <c r="T2983" s="11"/>
    </row>
    <row r="2984" spans="8:20" x14ac:dyDescent="0.35">
      <c r="H2984" s="711"/>
      <c r="I2984" s="711"/>
      <c r="J2984" s="711"/>
      <c r="K2984" s="711"/>
      <c r="L2984" s="711"/>
      <c r="Q2984" s="11"/>
      <c r="R2984" s="11"/>
      <c r="S2984" s="11"/>
      <c r="T2984" s="11"/>
    </row>
    <row r="2985" spans="8:20" x14ac:dyDescent="0.35">
      <c r="H2985" s="711"/>
      <c r="I2985" s="711"/>
      <c r="J2985" s="711"/>
      <c r="K2985" s="711"/>
      <c r="L2985" s="711"/>
      <c r="Q2985" s="11"/>
      <c r="R2985" s="11"/>
      <c r="S2985" s="11"/>
      <c r="T2985" s="11"/>
    </row>
    <row r="2986" spans="8:20" x14ac:dyDescent="0.35">
      <c r="H2986" s="711"/>
      <c r="I2986" s="711"/>
      <c r="J2986" s="711"/>
      <c r="K2986" s="711"/>
      <c r="L2986" s="711"/>
      <c r="Q2986" s="11"/>
      <c r="R2986" s="11"/>
      <c r="S2986" s="11"/>
      <c r="T2986" s="11"/>
    </row>
    <row r="2987" spans="8:20" x14ac:dyDescent="0.35">
      <c r="H2987" s="711"/>
      <c r="I2987" s="711"/>
      <c r="J2987" s="711"/>
      <c r="K2987" s="711"/>
      <c r="L2987" s="711"/>
      <c r="Q2987" s="11"/>
      <c r="R2987" s="11"/>
      <c r="S2987" s="11"/>
      <c r="T2987" s="11"/>
    </row>
    <row r="2988" spans="8:20" x14ac:dyDescent="0.35">
      <c r="H2988" s="711"/>
      <c r="I2988" s="711"/>
      <c r="J2988" s="711"/>
      <c r="K2988" s="711"/>
      <c r="L2988" s="711"/>
      <c r="Q2988" s="11"/>
      <c r="R2988" s="11"/>
      <c r="S2988" s="11"/>
      <c r="T2988" s="11"/>
    </row>
    <row r="2989" spans="8:20" x14ac:dyDescent="0.35">
      <c r="H2989" s="711"/>
      <c r="I2989" s="711"/>
      <c r="J2989" s="711"/>
      <c r="K2989" s="711"/>
      <c r="L2989" s="711"/>
      <c r="Q2989" s="11"/>
      <c r="R2989" s="11"/>
      <c r="S2989" s="11"/>
      <c r="T2989" s="11"/>
    </row>
    <row r="2990" spans="8:20" x14ac:dyDescent="0.35">
      <c r="H2990" s="711"/>
      <c r="I2990" s="711"/>
      <c r="J2990" s="711"/>
      <c r="K2990" s="711"/>
      <c r="L2990" s="711"/>
      <c r="Q2990" s="11"/>
      <c r="R2990" s="11"/>
      <c r="S2990" s="11"/>
      <c r="T2990" s="11"/>
    </row>
    <row r="2991" spans="8:20" x14ac:dyDescent="0.35">
      <c r="H2991" s="711"/>
      <c r="I2991" s="711"/>
      <c r="J2991" s="711"/>
      <c r="K2991" s="711"/>
      <c r="L2991" s="711"/>
      <c r="Q2991" s="11"/>
      <c r="R2991" s="11"/>
      <c r="S2991" s="11"/>
      <c r="T2991" s="11"/>
    </row>
    <row r="2992" spans="8:20" x14ac:dyDescent="0.35">
      <c r="H2992" s="711"/>
      <c r="I2992" s="711"/>
      <c r="J2992" s="711"/>
      <c r="K2992" s="711"/>
      <c r="L2992" s="711"/>
      <c r="Q2992" s="11"/>
      <c r="R2992" s="11"/>
      <c r="S2992" s="11"/>
      <c r="T2992" s="11"/>
    </row>
    <row r="2993" spans="8:20" x14ac:dyDescent="0.35">
      <c r="H2993" s="711"/>
      <c r="I2993" s="711"/>
      <c r="J2993" s="711"/>
      <c r="K2993" s="711"/>
      <c r="L2993" s="711"/>
      <c r="Q2993" s="11"/>
      <c r="R2993" s="11"/>
      <c r="S2993" s="11"/>
      <c r="T2993" s="11"/>
    </row>
    <row r="2994" spans="8:20" x14ac:dyDescent="0.35">
      <c r="H2994" s="711"/>
      <c r="I2994" s="711"/>
      <c r="J2994" s="711"/>
      <c r="K2994" s="711"/>
      <c r="L2994" s="711"/>
      <c r="Q2994" s="11"/>
      <c r="R2994" s="11"/>
      <c r="S2994" s="11"/>
      <c r="T2994" s="11"/>
    </row>
    <row r="2995" spans="8:20" x14ac:dyDescent="0.35">
      <c r="H2995" s="711"/>
      <c r="I2995" s="711"/>
      <c r="J2995" s="711"/>
      <c r="K2995" s="711"/>
      <c r="L2995" s="711"/>
      <c r="Q2995" s="11"/>
      <c r="R2995" s="11"/>
      <c r="S2995" s="11"/>
      <c r="T2995" s="11"/>
    </row>
    <row r="2996" spans="8:20" x14ac:dyDescent="0.35">
      <c r="H2996" s="711"/>
      <c r="I2996" s="711"/>
      <c r="J2996" s="711"/>
      <c r="K2996" s="711"/>
      <c r="L2996" s="711"/>
      <c r="Q2996" s="11"/>
      <c r="R2996" s="11"/>
      <c r="S2996" s="11"/>
      <c r="T2996" s="11"/>
    </row>
    <row r="2997" spans="8:20" x14ac:dyDescent="0.35">
      <c r="H2997" s="711"/>
      <c r="I2997" s="711"/>
      <c r="J2997" s="711"/>
      <c r="K2997" s="711"/>
      <c r="L2997" s="711"/>
      <c r="Q2997" s="11"/>
      <c r="R2997" s="11"/>
      <c r="S2997" s="11"/>
      <c r="T2997" s="11"/>
    </row>
    <row r="2998" spans="8:20" x14ac:dyDescent="0.35">
      <c r="H2998" s="711"/>
      <c r="I2998" s="711"/>
      <c r="J2998" s="711"/>
      <c r="K2998" s="711"/>
      <c r="L2998" s="711"/>
      <c r="Q2998" s="11"/>
      <c r="R2998" s="11"/>
      <c r="S2998" s="11"/>
      <c r="T2998" s="11"/>
    </row>
    <row r="2999" spans="8:20" x14ac:dyDescent="0.35">
      <c r="H2999" s="711"/>
      <c r="I2999" s="711"/>
      <c r="J2999" s="711"/>
      <c r="K2999" s="711"/>
      <c r="L2999" s="711"/>
      <c r="Q2999" s="11"/>
      <c r="R2999" s="11"/>
      <c r="S2999" s="11"/>
      <c r="T2999" s="11"/>
    </row>
    <row r="3000" spans="8:20" x14ac:dyDescent="0.35">
      <c r="H3000" s="711"/>
      <c r="I3000" s="711"/>
      <c r="J3000" s="711"/>
      <c r="K3000" s="711"/>
      <c r="L3000" s="711"/>
      <c r="Q3000" s="11"/>
      <c r="R3000" s="11"/>
      <c r="S3000" s="11"/>
      <c r="T3000" s="11"/>
    </row>
    <row r="3001" spans="8:20" x14ac:dyDescent="0.35">
      <c r="H3001" s="711"/>
      <c r="I3001" s="711"/>
      <c r="J3001" s="711"/>
      <c r="K3001" s="711"/>
      <c r="L3001" s="711"/>
      <c r="Q3001" s="11"/>
      <c r="R3001" s="11"/>
      <c r="S3001" s="11"/>
      <c r="T3001" s="11"/>
    </row>
    <row r="3002" spans="8:20" x14ac:dyDescent="0.35">
      <c r="H3002" s="711"/>
      <c r="I3002" s="711"/>
      <c r="J3002" s="711"/>
      <c r="K3002" s="711"/>
      <c r="L3002" s="711"/>
      <c r="Q3002" s="11"/>
      <c r="R3002" s="11"/>
      <c r="S3002" s="11"/>
      <c r="T3002" s="11"/>
    </row>
    <row r="3003" spans="8:20" x14ac:dyDescent="0.35">
      <c r="H3003" s="711"/>
      <c r="I3003" s="711"/>
      <c r="J3003" s="711"/>
      <c r="K3003" s="711"/>
      <c r="L3003" s="711"/>
      <c r="Q3003" s="11"/>
      <c r="R3003" s="11"/>
      <c r="S3003" s="11"/>
      <c r="T3003" s="11"/>
    </row>
    <row r="3004" spans="8:20" x14ac:dyDescent="0.35">
      <c r="H3004" s="711"/>
      <c r="I3004" s="711"/>
      <c r="J3004" s="711"/>
      <c r="K3004" s="711"/>
      <c r="L3004" s="711"/>
      <c r="Q3004" s="11"/>
      <c r="R3004" s="11"/>
      <c r="S3004" s="11"/>
      <c r="T3004" s="11"/>
    </row>
    <row r="3005" spans="8:20" x14ac:dyDescent="0.35">
      <c r="H3005" s="711"/>
      <c r="I3005" s="711"/>
      <c r="J3005" s="711"/>
      <c r="K3005" s="711"/>
      <c r="L3005" s="711"/>
      <c r="Q3005" s="11"/>
      <c r="R3005" s="11"/>
      <c r="S3005" s="11"/>
      <c r="T3005" s="11"/>
    </row>
    <row r="3006" spans="8:20" x14ac:dyDescent="0.35">
      <c r="H3006" s="711"/>
      <c r="I3006" s="711"/>
      <c r="J3006" s="711"/>
      <c r="K3006" s="711"/>
      <c r="L3006" s="711"/>
      <c r="Q3006" s="11"/>
      <c r="R3006" s="11"/>
      <c r="S3006" s="11"/>
      <c r="T3006" s="11"/>
    </row>
    <row r="3007" spans="8:20" x14ac:dyDescent="0.35">
      <c r="H3007" s="711"/>
      <c r="I3007" s="711"/>
      <c r="J3007" s="711"/>
      <c r="K3007" s="711"/>
      <c r="L3007" s="711"/>
      <c r="Q3007" s="11"/>
      <c r="R3007" s="11"/>
      <c r="S3007" s="11"/>
      <c r="T3007" s="11"/>
    </row>
    <row r="3008" spans="8:20" x14ac:dyDescent="0.35">
      <c r="H3008" s="711"/>
      <c r="I3008" s="711"/>
      <c r="J3008" s="711"/>
      <c r="K3008" s="711"/>
      <c r="L3008" s="711"/>
      <c r="Q3008" s="11"/>
      <c r="R3008" s="11"/>
      <c r="S3008" s="11"/>
      <c r="T3008" s="11"/>
    </row>
    <row r="3009" spans="8:20" x14ac:dyDescent="0.35">
      <c r="H3009" s="711"/>
      <c r="I3009" s="711"/>
      <c r="J3009" s="711"/>
      <c r="K3009" s="711"/>
      <c r="L3009" s="711"/>
      <c r="Q3009" s="11"/>
      <c r="R3009" s="11"/>
      <c r="S3009" s="11"/>
      <c r="T3009" s="11"/>
    </row>
    <row r="3010" spans="8:20" x14ac:dyDescent="0.35">
      <c r="H3010" s="711"/>
      <c r="I3010" s="711"/>
      <c r="J3010" s="711"/>
      <c r="K3010" s="711"/>
      <c r="L3010" s="711"/>
      <c r="Q3010" s="11"/>
      <c r="R3010" s="11"/>
      <c r="S3010" s="11"/>
      <c r="T3010" s="11"/>
    </row>
    <row r="3011" spans="8:20" x14ac:dyDescent="0.35">
      <c r="H3011" s="711"/>
      <c r="I3011" s="711"/>
      <c r="J3011" s="711"/>
      <c r="K3011" s="711"/>
      <c r="L3011" s="711"/>
      <c r="Q3011" s="11"/>
      <c r="R3011" s="11"/>
      <c r="S3011" s="11"/>
      <c r="T3011" s="11"/>
    </row>
    <row r="3012" spans="8:20" x14ac:dyDescent="0.35">
      <c r="H3012" s="711"/>
      <c r="I3012" s="711"/>
      <c r="J3012" s="711"/>
      <c r="K3012" s="711"/>
      <c r="L3012" s="711"/>
      <c r="Q3012" s="11"/>
      <c r="R3012" s="11"/>
      <c r="S3012" s="11"/>
      <c r="T3012" s="11"/>
    </row>
    <row r="3013" spans="8:20" x14ac:dyDescent="0.35">
      <c r="H3013" s="711"/>
      <c r="I3013" s="711"/>
      <c r="J3013" s="711"/>
      <c r="K3013" s="711"/>
      <c r="L3013" s="711"/>
      <c r="Q3013" s="11"/>
      <c r="R3013" s="11"/>
      <c r="S3013" s="11"/>
      <c r="T3013" s="11"/>
    </row>
    <row r="3014" spans="8:20" x14ac:dyDescent="0.35">
      <c r="H3014" s="711"/>
      <c r="I3014" s="711"/>
      <c r="J3014" s="711"/>
      <c r="K3014" s="711"/>
      <c r="L3014" s="711"/>
      <c r="Q3014" s="11"/>
      <c r="R3014" s="11"/>
      <c r="S3014" s="11"/>
      <c r="T3014" s="11"/>
    </row>
    <row r="3015" spans="8:20" x14ac:dyDescent="0.35">
      <c r="H3015" s="711"/>
      <c r="I3015" s="711"/>
      <c r="J3015" s="711"/>
      <c r="K3015" s="711"/>
      <c r="L3015" s="711"/>
      <c r="Q3015" s="11"/>
      <c r="R3015" s="11"/>
      <c r="S3015" s="11"/>
      <c r="T3015" s="11"/>
    </row>
    <row r="3016" spans="8:20" x14ac:dyDescent="0.35">
      <c r="H3016" s="711"/>
      <c r="I3016" s="711"/>
      <c r="J3016" s="711"/>
      <c r="K3016" s="711"/>
      <c r="L3016" s="711"/>
      <c r="Q3016" s="11"/>
      <c r="R3016" s="11"/>
      <c r="S3016" s="11"/>
      <c r="T3016" s="11"/>
    </row>
    <row r="3017" spans="8:20" x14ac:dyDescent="0.35">
      <c r="H3017" s="711"/>
      <c r="I3017" s="711"/>
      <c r="J3017" s="711"/>
      <c r="K3017" s="711"/>
      <c r="L3017" s="711"/>
      <c r="Q3017" s="11"/>
      <c r="R3017" s="11"/>
      <c r="S3017" s="11"/>
      <c r="T3017" s="11"/>
    </row>
    <row r="3018" spans="8:20" x14ac:dyDescent="0.35">
      <c r="H3018" s="711"/>
      <c r="I3018" s="711"/>
      <c r="J3018" s="711"/>
      <c r="K3018" s="711"/>
      <c r="L3018" s="711"/>
      <c r="Q3018" s="11"/>
      <c r="R3018" s="11"/>
      <c r="S3018" s="11"/>
      <c r="T3018" s="11"/>
    </row>
    <row r="3019" spans="8:20" x14ac:dyDescent="0.35">
      <c r="H3019" s="711"/>
      <c r="I3019" s="711"/>
      <c r="J3019" s="711"/>
      <c r="K3019" s="711"/>
      <c r="L3019" s="711"/>
      <c r="Q3019" s="11"/>
      <c r="R3019" s="11"/>
      <c r="S3019" s="11"/>
      <c r="T3019" s="11"/>
    </row>
    <row r="3020" spans="8:20" x14ac:dyDescent="0.35">
      <c r="H3020" s="711"/>
      <c r="I3020" s="711"/>
      <c r="J3020" s="711"/>
      <c r="K3020" s="711"/>
      <c r="L3020" s="711"/>
      <c r="Q3020" s="11"/>
      <c r="R3020" s="11"/>
      <c r="S3020" s="11"/>
      <c r="T3020" s="11"/>
    </row>
    <row r="3021" spans="8:20" x14ac:dyDescent="0.35">
      <c r="H3021" s="711"/>
      <c r="I3021" s="711"/>
      <c r="J3021" s="711"/>
      <c r="K3021" s="711"/>
      <c r="L3021" s="711"/>
      <c r="Q3021" s="11"/>
      <c r="R3021" s="11"/>
      <c r="S3021" s="11"/>
      <c r="T3021" s="11"/>
    </row>
    <row r="3022" spans="8:20" x14ac:dyDescent="0.35">
      <c r="H3022" s="711"/>
      <c r="I3022" s="711"/>
      <c r="J3022" s="711"/>
      <c r="K3022" s="711"/>
      <c r="L3022" s="711"/>
      <c r="Q3022" s="11"/>
      <c r="R3022" s="11"/>
      <c r="S3022" s="11"/>
      <c r="T3022" s="11"/>
    </row>
    <row r="3023" spans="8:20" x14ac:dyDescent="0.35">
      <c r="H3023" s="711"/>
      <c r="I3023" s="711"/>
      <c r="J3023" s="711"/>
      <c r="K3023" s="711"/>
      <c r="L3023" s="711"/>
      <c r="Q3023" s="11"/>
      <c r="R3023" s="11"/>
      <c r="S3023" s="11"/>
      <c r="T3023" s="11"/>
    </row>
    <row r="3024" spans="8:20" x14ac:dyDescent="0.35">
      <c r="H3024" s="711"/>
      <c r="I3024" s="711"/>
      <c r="J3024" s="711"/>
      <c r="K3024" s="711"/>
      <c r="L3024" s="711"/>
      <c r="Q3024" s="11"/>
      <c r="R3024" s="11"/>
      <c r="S3024" s="11"/>
      <c r="T3024" s="11"/>
    </row>
    <row r="3025" spans="8:20" x14ac:dyDescent="0.35">
      <c r="H3025" s="711"/>
      <c r="I3025" s="711"/>
      <c r="J3025" s="711"/>
      <c r="K3025" s="711"/>
      <c r="L3025" s="711"/>
      <c r="Q3025" s="11"/>
      <c r="R3025" s="11"/>
      <c r="S3025" s="11"/>
      <c r="T3025" s="11"/>
    </row>
    <row r="3026" spans="8:20" x14ac:dyDescent="0.35">
      <c r="H3026" s="711"/>
      <c r="I3026" s="711"/>
      <c r="J3026" s="711"/>
      <c r="K3026" s="711"/>
      <c r="L3026" s="711"/>
      <c r="Q3026" s="11"/>
      <c r="R3026" s="11"/>
      <c r="S3026" s="11"/>
      <c r="T3026" s="11"/>
    </row>
    <row r="3027" spans="8:20" x14ac:dyDescent="0.35">
      <c r="H3027" s="711"/>
      <c r="I3027" s="711"/>
      <c r="J3027" s="711"/>
      <c r="K3027" s="711"/>
      <c r="L3027" s="711"/>
      <c r="Q3027" s="11"/>
      <c r="R3027" s="11"/>
      <c r="S3027" s="11"/>
      <c r="T3027" s="11"/>
    </row>
    <row r="3028" spans="8:20" x14ac:dyDescent="0.35">
      <c r="H3028" s="711"/>
      <c r="I3028" s="711"/>
      <c r="J3028" s="711"/>
      <c r="K3028" s="711"/>
      <c r="L3028" s="711"/>
      <c r="Q3028" s="11"/>
      <c r="R3028" s="11"/>
      <c r="S3028" s="11"/>
      <c r="T3028" s="11"/>
    </row>
    <row r="3029" spans="8:20" x14ac:dyDescent="0.35">
      <c r="H3029" s="711"/>
      <c r="I3029" s="711"/>
      <c r="J3029" s="711"/>
      <c r="K3029" s="711"/>
      <c r="L3029" s="711"/>
      <c r="Q3029" s="11"/>
      <c r="R3029" s="11"/>
      <c r="S3029" s="11"/>
      <c r="T3029" s="11"/>
    </row>
    <row r="3030" spans="8:20" x14ac:dyDescent="0.35">
      <c r="H3030" s="711"/>
      <c r="I3030" s="711"/>
      <c r="J3030" s="711"/>
      <c r="K3030" s="711"/>
      <c r="L3030" s="711"/>
      <c r="Q3030" s="11"/>
      <c r="R3030" s="11"/>
      <c r="S3030" s="11"/>
      <c r="T3030" s="11"/>
    </row>
    <row r="3031" spans="8:20" x14ac:dyDescent="0.35">
      <c r="H3031" s="711"/>
      <c r="I3031" s="711"/>
      <c r="J3031" s="711"/>
      <c r="K3031" s="711"/>
      <c r="L3031" s="711"/>
      <c r="Q3031" s="11"/>
      <c r="R3031" s="11"/>
      <c r="S3031" s="11"/>
      <c r="T3031" s="11"/>
    </row>
    <row r="3032" spans="8:20" x14ac:dyDescent="0.35">
      <c r="H3032" s="711"/>
      <c r="I3032" s="711"/>
      <c r="J3032" s="711"/>
      <c r="K3032" s="711"/>
      <c r="L3032" s="711"/>
      <c r="Q3032" s="11"/>
      <c r="R3032" s="11"/>
      <c r="S3032" s="11"/>
      <c r="T3032" s="11"/>
    </row>
    <row r="3033" spans="8:20" x14ac:dyDescent="0.35">
      <c r="H3033" s="711"/>
      <c r="I3033" s="711"/>
      <c r="J3033" s="711"/>
      <c r="K3033" s="711"/>
      <c r="L3033" s="711"/>
      <c r="Q3033" s="11"/>
      <c r="R3033" s="11"/>
      <c r="S3033" s="11"/>
      <c r="T3033" s="11"/>
    </row>
    <row r="3034" spans="8:20" x14ac:dyDescent="0.35">
      <c r="H3034" s="711"/>
      <c r="I3034" s="711"/>
      <c r="J3034" s="711"/>
      <c r="K3034" s="711"/>
      <c r="L3034" s="711"/>
      <c r="Q3034" s="11"/>
      <c r="R3034" s="11"/>
      <c r="S3034" s="11"/>
      <c r="T3034" s="11"/>
    </row>
    <row r="3035" spans="8:20" x14ac:dyDescent="0.35">
      <c r="H3035" s="711"/>
      <c r="I3035" s="711"/>
      <c r="J3035" s="711"/>
      <c r="K3035" s="711"/>
      <c r="L3035" s="711"/>
      <c r="Q3035" s="11"/>
      <c r="R3035" s="11"/>
      <c r="S3035" s="11"/>
      <c r="T3035" s="11"/>
    </row>
    <row r="3036" spans="8:20" x14ac:dyDescent="0.35">
      <c r="H3036" s="711"/>
      <c r="I3036" s="711"/>
      <c r="J3036" s="711"/>
      <c r="K3036" s="711"/>
      <c r="L3036" s="711"/>
      <c r="Q3036" s="11"/>
      <c r="R3036" s="11"/>
      <c r="S3036" s="11"/>
      <c r="T3036" s="11"/>
    </row>
    <row r="3037" spans="8:20" x14ac:dyDescent="0.35">
      <c r="H3037" s="711"/>
      <c r="I3037" s="711"/>
      <c r="J3037" s="711"/>
      <c r="K3037" s="711"/>
      <c r="L3037" s="711"/>
      <c r="Q3037" s="11"/>
      <c r="R3037" s="11"/>
      <c r="S3037" s="11"/>
      <c r="T3037" s="11"/>
    </row>
    <row r="3038" spans="8:20" x14ac:dyDescent="0.35">
      <c r="H3038" s="711"/>
      <c r="I3038" s="711"/>
      <c r="J3038" s="711"/>
      <c r="K3038" s="711"/>
      <c r="L3038" s="711"/>
      <c r="Q3038" s="11"/>
      <c r="R3038" s="11"/>
      <c r="S3038" s="11"/>
      <c r="T3038" s="11"/>
    </row>
    <row r="3039" spans="8:20" x14ac:dyDescent="0.35">
      <c r="H3039" s="711"/>
      <c r="I3039" s="711"/>
      <c r="J3039" s="711"/>
      <c r="K3039" s="711"/>
      <c r="L3039" s="711"/>
      <c r="Q3039" s="11"/>
      <c r="R3039" s="11"/>
      <c r="S3039" s="11"/>
      <c r="T3039" s="11"/>
    </row>
    <row r="3040" spans="8:20" x14ac:dyDescent="0.35">
      <c r="H3040" s="711"/>
      <c r="I3040" s="711"/>
      <c r="J3040" s="711"/>
      <c r="K3040" s="711"/>
      <c r="L3040" s="711"/>
      <c r="Q3040" s="11"/>
      <c r="R3040" s="11"/>
      <c r="S3040" s="11"/>
      <c r="T3040" s="11"/>
    </row>
    <row r="3041" spans="8:20" x14ac:dyDescent="0.35">
      <c r="H3041" s="711"/>
      <c r="I3041" s="711"/>
      <c r="J3041" s="711"/>
      <c r="K3041" s="711"/>
      <c r="L3041" s="711"/>
      <c r="Q3041" s="11"/>
      <c r="R3041" s="11"/>
      <c r="S3041" s="11"/>
      <c r="T3041" s="11"/>
    </row>
    <row r="3042" spans="8:20" x14ac:dyDescent="0.35">
      <c r="H3042" s="711"/>
      <c r="I3042" s="711"/>
      <c r="J3042" s="711"/>
      <c r="K3042" s="711"/>
      <c r="L3042" s="711"/>
      <c r="Q3042" s="11"/>
      <c r="R3042" s="11"/>
      <c r="S3042" s="11"/>
      <c r="T3042" s="11"/>
    </row>
    <row r="3043" spans="8:20" x14ac:dyDescent="0.35">
      <c r="H3043" s="711"/>
      <c r="I3043" s="711"/>
      <c r="J3043" s="711"/>
      <c r="K3043" s="711"/>
      <c r="L3043" s="711"/>
      <c r="Q3043" s="11"/>
      <c r="R3043" s="11"/>
      <c r="S3043" s="11"/>
      <c r="T3043" s="11"/>
    </row>
    <row r="3044" spans="8:20" x14ac:dyDescent="0.35">
      <c r="H3044" s="711"/>
      <c r="I3044" s="711"/>
      <c r="J3044" s="711"/>
      <c r="K3044" s="711"/>
      <c r="L3044" s="711"/>
      <c r="Q3044" s="11"/>
      <c r="R3044" s="11"/>
      <c r="S3044" s="11"/>
      <c r="T3044" s="11"/>
    </row>
    <row r="3045" spans="8:20" x14ac:dyDescent="0.35">
      <c r="H3045" s="711"/>
      <c r="I3045" s="711"/>
      <c r="J3045" s="711"/>
      <c r="K3045" s="711"/>
      <c r="L3045" s="711"/>
      <c r="Q3045" s="11"/>
      <c r="R3045" s="11"/>
      <c r="S3045" s="11"/>
      <c r="T3045" s="11"/>
    </row>
    <row r="3046" spans="8:20" x14ac:dyDescent="0.35">
      <c r="H3046" s="711"/>
      <c r="I3046" s="711"/>
      <c r="J3046" s="711"/>
      <c r="K3046" s="711"/>
      <c r="L3046" s="711"/>
      <c r="Q3046" s="11"/>
      <c r="R3046" s="11"/>
      <c r="S3046" s="11"/>
      <c r="T3046" s="11"/>
    </row>
    <row r="3047" spans="8:20" x14ac:dyDescent="0.35">
      <c r="H3047" s="711"/>
      <c r="I3047" s="711"/>
      <c r="J3047" s="711"/>
      <c r="K3047" s="711"/>
      <c r="L3047" s="711"/>
      <c r="Q3047" s="11"/>
      <c r="R3047" s="11"/>
      <c r="S3047" s="11"/>
      <c r="T3047" s="11"/>
    </row>
    <row r="3048" spans="8:20" x14ac:dyDescent="0.35">
      <c r="H3048" s="711"/>
      <c r="I3048" s="711"/>
      <c r="J3048" s="711"/>
      <c r="K3048" s="711"/>
      <c r="L3048" s="711"/>
      <c r="Q3048" s="11"/>
      <c r="R3048" s="11"/>
      <c r="S3048" s="11"/>
      <c r="T3048" s="11"/>
    </row>
    <row r="3049" spans="8:20" x14ac:dyDescent="0.35">
      <c r="H3049" s="711"/>
      <c r="I3049" s="711"/>
      <c r="J3049" s="711"/>
      <c r="K3049" s="711"/>
      <c r="L3049" s="711"/>
      <c r="Q3049" s="11"/>
      <c r="R3049" s="11"/>
      <c r="S3049" s="11"/>
      <c r="T3049" s="11"/>
    </row>
    <row r="3050" spans="8:20" x14ac:dyDescent="0.35">
      <c r="H3050" s="711"/>
      <c r="I3050" s="711"/>
      <c r="J3050" s="711"/>
      <c r="K3050" s="711"/>
      <c r="L3050" s="711"/>
      <c r="Q3050" s="11"/>
      <c r="R3050" s="11"/>
      <c r="S3050" s="11"/>
      <c r="T3050" s="11"/>
    </row>
    <row r="3051" spans="8:20" x14ac:dyDescent="0.35">
      <c r="H3051" s="711"/>
      <c r="I3051" s="711"/>
      <c r="J3051" s="711"/>
      <c r="K3051" s="711"/>
      <c r="L3051" s="711"/>
      <c r="Q3051" s="11"/>
      <c r="R3051" s="11"/>
      <c r="S3051" s="11"/>
      <c r="T3051" s="11"/>
    </row>
    <row r="3052" spans="8:20" x14ac:dyDescent="0.35">
      <c r="H3052" s="711"/>
      <c r="I3052" s="711"/>
      <c r="J3052" s="711"/>
      <c r="K3052" s="711"/>
      <c r="L3052" s="711"/>
      <c r="Q3052" s="11"/>
      <c r="R3052" s="11"/>
      <c r="S3052" s="11"/>
      <c r="T3052" s="11"/>
    </row>
    <row r="3053" spans="8:20" x14ac:dyDescent="0.35">
      <c r="H3053" s="711"/>
      <c r="I3053" s="711"/>
      <c r="J3053" s="711"/>
      <c r="K3053" s="711"/>
      <c r="L3053" s="711"/>
      <c r="Q3053" s="11"/>
      <c r="R3053" s="11"/>
      <c r="S3053" s="11"/>
      <c r="T3053" s="11"/>
    </row>
    <row r="3054" spans="8:20" x14ac:dyDescent="0.35">
      <c r="H3054" s="711"/>
      <c r="I3054" s="711"/>
      <c r="J3054" s="711"/>
      <c r="K3054" s="711"/>
      <c r="L3054" s="711"/>
      <c r="Q3054" s="11"/>
      <c r="R3054" s="11"/>
      <c r="S3054" s="11"/>
      <c r="T3054" s="11"/>
    </row>
    <row r="3055" spans="8:20" x14ac:dyDescent="0.35">
      <c r="H3055" s="711"/>
      <c r="I3055" s="711"/>
      <c r="J3055" s="711"/>
      <c r="K3055" s="711"/>
      <c r="L3055" s="711"/>
      <c r="Q3055" s="11"/>
      <c r="R3055" s="11"/>
      <c r="S3055" s="11"/>
      <c r="T3055" s="11"/>
    </row>
    <row r="3056" spans="8:20" x14ac:dyDescent="0.35">
      <c r="H3056" s="711"/>
      <c r="I3056" s="711"/>
      <c r="J3056" s="711"/>
      <c r="K3056" s="711"/>
      <c r="L3056" s="711"/>
      <c r="Q3056" s="11"/>
      <c r="R3056" s="11"/>
      <c r="S3056" s="11"/>
      <c r="T3056" s="11"/>
    </row>
    <row r="3057" spans="8:20" x14ac:dyDescent="0.35">
      <c r="H3057" s="711"/>
      <c r="I3057" s="711"/>
      <c r="J3057" s="711"/>
      <c r="K3057" s="711"/>
      <c r="L3057" s="711"/>
      <c r="Q3057" s="11"/>
      <c r="R3057" s="11"/>
      <c r="S3057" s="11"/>
      <c r="T3057" s="11"/>
    </row>
    <row r="3058" spans="8:20" x14ac:dyDescent="0.35">
      <c r="H3058" s="711"/>
      <c r="I3058" s="711"/>
      <c r="J3058" s="711"/>
      <c r="K3058" s="711"/>
      <c r="L3058" s="711"/>
      <c r="Q3058" s="11"/>
      <c r="R3058" s="11"/>
      <c r="S3058" s="11"/>
      <c r="T3058" s="11"/>
    </row>
    <row r="3059" spans="8:20" x14ac:dyDescent="0.35">
      <c r="H3059" s="711"/>
      <c r="I3059" s="711"/>
      <c r="J3059" s="711"/>
      <c r="K3059" s="711"/>
      <c r="L3059" s="711"/>
      <c r="Q3059" s="11"/>
      <c r="R3059" s="11"/>
      <c r="S3059" s="11"/>
      <c r="T3059" s="11"/>
    </row>
    <row r="3060" spans="8:20" x14ac:dyDescent="0.35">
      <c r="H3060" s="711"/>
      <c r="I3060" s="711"/>
      <c r="J3060" s="711"/>
      <c r="K3060" s="711"/>
      <c r="L3060" s="711"/>
      <c r="Q3060" s="11"/>
      <c r="R3060" s="11"/>
      <c r="S3060" s="11"/>
      <c r="T3060" s="11"/>
    </row>
    <row r="3061" spans="8:20" x14ac:dyDescent="0.35">
      <c r="H3061" s="711"/>
      <c r="I3061" s="711"/>
      <c r="J3061" s="711"/>
      <c r="K3061" s="711"/>
      <c r="L3061" s="711"/>
      <c r="Q3061" s="11"/>
      <c r="R3061" s="11"/>
      <c r="S3061" s="11"/>
      <c r="T3061" s="11"/>
    </row>
    <row r="3062" spans="8:20" x14ac:dyDescent="0.35">
      <c r="H3062" s="711"/>
      <c r="I3062" s="711"/>
      <c r="J3062" s="711"/>
      <c r="K3062" s="711"/>
      <c r="L3062" s="711"/>
      <c r="Q3062" s="11"/>
      <c r="R3062" s="11"/>
      <c r="S3062" s="11"/>
      <c r="T3062" s="11"/>
    </row>
    <row r="3063" spans="8:20" x14ac:dyDescent="0.35">
      <c r="H3063" s="711"/>
      <c r="I3063" s="711"/>
      <c r="J3063" s="711"/>
      <c r="K3063" s="711"/>
      <c r="L3063" s="711"/>
      <c r="Q3063" s="11"/>
      <c r="R3063" s="11"/>
      <c r="S3063" s="11"/>
      <c r="T3063" s="11"/>
    </row>
    <row r="3064" spans="8:20" x14ac:dyDescent="0.35">
      <c r="H3064" s="711"/>
      <c r="I3064" s="711"/>
      <c r="J3064" s="711"/>
      <c r="K3064" s="711"/>
      <c r="L3064" s="711"/>
      <c r="Q3064" s="11"/>
      <c r="R3064" s="11"/>
      <c r="S3064" s="11"/>
      <c r="T3064" s="11"/>
    </row>
    <row r="3065" spans="8:20" x14ac:dyDescent="0.35">
      <c r="H3065" s="711"/>
      <c r="I3065" s="711"/>
      <c r="J3065" s="711"/>
      <c r="K3065" s="711"/>
      <c r="L3065" s="711"/>
      <c r="Q3065" s="11"/>
      <c r="R3065" s="11"/>
      <c r="S3065" s="11"/>
      <c r="T3065" s="11"/>
    </row>
    <row r="3066" spans="8:20" x14ac:dyDescent="0.35">
      <c r="H3066" s="711"/>
      <c r="I3066" s="711"/>
      <c r="J3066" s="711"/>
      <c r="K3066" s="711"/>
      <c r="L3066" s="711"/>
      <c r="Q3066" s="11"/>
      <c r="R3066" s="11"/>
      <c r="S3066" s="11"/>
      <c r="T3066" s="11"/>
    </row>
    <row r="3067" spans="8:20" x14ac:dyDescent="0.35">
      <c r="H3067" s="711"/>
      <c r="I3067" s="711"/>
      <c r="J3067" s="711"/>
      <c r="K3067" s="711"/>
      <c r="L3067" s="711"/>
      <c r="Q3067" s="11"/>
      <c r="R3067" s="11"/>
      <c r="S3067" s="11"/>
      <c r="T3067" s="11"/>
    </row>
    <row r="3068" spans="8:20" x14ac:dyDescent="0.35">
      <c r="H3068" s="711"/>
      <c r="I3068" s="711"/>
      <c r="J3068" s="711"/>
      <c r="K3068" s="711"/>
      <c r="L3068" s="711"/>
      <c r="Q3068" s="11"/>
      <c r="R3068" s="11"/>
      <c r="S3068" s="11"/>
      <c r="T3068" s="11"/>
    </row>
    <row r="3069" spans="8:20" x14ac:dyDescent="0.35">
      <c r="H3069" s="711"/>
      <c r="I3069" s="711"/>
      <c r="J3069" s="711"/>
      <c r="K3069" s="711"/>
      <c r="L3069" s="711"/>
      <c r="Q3069" s="11"/>
      <c r="R3069" s="11"/>
      <c r="S3069" s="11"/>
      <c r="T3069" s="11"/>
    </row>
    <row r="3070" spans="8:20" x14ac:dyDescent="0.35">
      <c r="H3070" s="711"/>
      <c r="I3070" s="711"/>
      <c r="J3070" s="711"/>
      <c r="K3070" s="711"/>
      <c r="L3070" s="711"/>
      <c r="Q3070" s="11"/>
      <c r="R3070" s="11"/>
      <c r="S3070" s="11"/>
      <c r="T3070" s="11"/>
    </row>
    <row r="3071" spans="8:20" x14ac:dyDescent="0.35">
      <c r="H3071" s="711"/>
      <c r="I3071" s="711"/>
      <c r="J3071" s="711"/>
      <c r="K3071" s="711"/>
      <c r="L3071" s="711"/>
      <c r="Q3071" s="11"/>
      <c r="R3071" s="11"/>
      <c r="S3071" s="11"/>
      <c r="T3071" s="11"/>
    </row>
    <row r="3072" spans="8:20" x14ac:dyDescent="0.35">
      <c r="H3072" s="711"/>
      <c r="I3072" s="711"/>
      <c r="J3072" s="711"/>
      <c r="K3072" s="711"/>
      <c r="L3072" s="711"/>
      <c r="Q3072" s="11"/>
      <c r="R3072" s="11"/>
      <c r="S3072" s="11"/>
      <c r="T3072" s="11"/>
    </row>
    <row r="3073" spans="8:20" x14ac:dyDescent="0.35">
      <c r="H3073" s="711"/>
      <c r="I3073" s="711"/>
      <c r="J3073" s="711"/>
      <c r="K3073" s="711"/>
      <c r="L3073" s="711"/>
      <c r="Q3073" s="11"/>
      <c r="R3073" s="11"/>
      <c r="S3073" s="11"/>
      <c r="T3073" s="11"/>
    </row>
    <row r="3074" spans="8:20" x14ac:dyDescent="0.35">
      <c r="H3074" s="711"/>
      <c r="I3074" s="711"/>
      <c r="J3074" s="711"/>
      <c r="K3074" s="711"/>
      <c r="L3074" s="711"/>
      <c r="Q3074" s="11"/>
      <c r="R3074" s="11"/>
      <c r="S3074" s="11"/>
      <c r="T3074" s="11"/>
    </row>
    <row r="3075" spans="8:20" x14ac:dyDescent="0.35">
      <c r="H3075" s="711"/>
      <c r="I3075" s="711"/>
      <c r="J3075" s="711"/>
      <c r="K3075" s="711"/>
      <c r="L3075" s="711"/>
      <c r="Q3075" s="11"/>
      <c r="R3075" s="11"/>
      <c r="S3075" s="11"/>
      <c r="T3075" s="11"/>
    </row>
    <row r="3076" spans="8:20" x14ac:dyDescent="0.35">
      <c r="H3076" s="711"/>
      <c r="I3076" s="711"/>
      <c r="J3076" s="711"/>
      <c r="K3076" s="711"/>
      <c r="L3076" s="711"/>
      <c r="Q3076" s="11"/>
      <c r="R3076" s="11"/>
      <c r="S3076" s="11"/>
      <c r="T3076" s="11"/>
    </row>
    <row r="3077" spans="8:20" x14ac:dyDescent="0.35">
      <c r="H3077" s="711"/>
      <c r="I3077" s="711"/>
      <c r="J3077" s="711"/>
      <c r="K3077" s="711"/>
      <c r="L3077" s="711"/>
      <c r="Q3077" s="11"/>
      <c r="R3077" s="11"/>
      <c r="S3077" s="11"/>
      <c r="T3077" s="11"/>
    </row>
    <row r="3078" spans="8:20" x14ac:dyDescent="0.35">
      <c r="H3078" s="711"/>
      <c r="I3078" s="711"/>
      <c r="J3078" s="711"/>
      <c r="K3078" s="711"/>
      <c r="L3078" s="711"/>
      <c r="Q3078" s="11"/>
      <c r="R3078" s="11"/>
      <c r="S3078" s="11"/>
      <c r="T3078" s="11"/>
    </row>
    <row r="3079" spans="8:20" x14ac:dyDescent="0.35">
      <c r="H3079" s="711"/>
      <c r="I3079" s="711"/>
      <c r="J3079" s="711"/>
      <c r="K3079" s="711"/>
      <c r="L3079" s="711"/>
      <c r="Q3079" s="11"/>
      <c r="R3079" s="11"/>
      <c r="S3079" s="11"/>
      <c r="T3079" s="11"/>
    </row>
    <row r="3080" spans="8:20" x14ac:dyDescent="0.35">
      <c r="H3080" s="711"/>
      <c r="I3080" s="711"/>
      <c r="J3080" s="711"/>
      <c r="K3080" s="711"/>
      <c r="L3080" s="711"/>
      <c r="Q3080" s="11"/>
      <c r="R3080" s="11"/>
      <c r="S3080" s="11"/>
      <c r="T3080" s="11"/>
    </row>
    <row r="3081" spans="8:20" x14ac:dyDescent="0.35">
      <c r="H3081" s="711"/>
      <c r="I3081" s="711"/>
      <c r="J3081" s="711"/>
      <c r="K3081" s="711"/>
      <c r="L3081" s="711"/>
      <c r="Q3081" s="11"/>
      <c r="R3081" s="11"/>
      <c r="S3081" s="11"/>
      <c r="T3081" s="11"/>
    </row>
    <row r="3082" spans="8:20" x14ac:dyDescent="0.35">
      <c r="H3082" s="711"/>
      <c r="I3082" s="711"/>
      <c r="J3082" s="711"/>
      <c r="K3082" s="711"/>
      <c r="L3082" s="711"/>
      <c r="Q3082" s="11"/>
      <c r="R3082" s="11"/>
      <c r="S3082" s="11"/>
      <c r="T3082" s="11"/>
    </row>
    <row r="3083" spans="8:20" x14ac:dyDescent="0.35">
      <c r="H3083" s="711"/>
      <c r="I3083" s="711"/>
      <c r="J3083" s="711"/>
      <c r="K3083" s="711"/>
      <c r="L3083" s="711"/>
      <c r="Q3083" s="11"/>
      <c r="R3083" s="11"/>
      <c r="S3083" s="11"/>
      <c r="T3083" s="11"/>
    </row>
    <row r="3084" spans="8:20" x14ac:dyDescent="0.35">
      <c r="H3084" s="711"/>
      <c r="I3084" s="711"/>
      <c r="J3084" s="711"/>
      <c r="K3084" s="711"/>
      <c r="L3084" s="711"/>
      <c r="Q3084" s="11"/>
      <c r="R3084" s="11"/>
      <c r="S3084" s="11"/>
      <c r="T3084" s="11"/>
    </row>
    <row r="3085" spans="8:20" x14ac:dyDescent="0.35">
      <c r="H3085" s="711"/>
      <c r="I3085" s="711"/>
      <c r="J3085" s="711"/>
      <c r="K3085" s="711"/>
      <c r="L3085" s="711"/>
      <c r="Q3085" s="11"/>
      <c r="R3085" s="11"/>
      <c r="S3085" s="11"/>
      <c r="T3085" s="11"/>
    </row>
    <row r="3086" spans="8:20" x14ac:dyDescent="0.35">
      <c r="H3086" s="711"/>
      <c r="I3086" s="711"/>
      <c r="J3086" s="711"/>
      <c r="K3086" s="711"/>
      <c r="L3086" s="711"/>
      <c r="Q3086" s="11"/>
      <c r="R3086" s="11"/>
      <c r="S3086" s="11"/>
      <c r="T3086" s="11"/>
    </row>
    <row r="3087" spans="8:20" x14ac:dyDescent="0.35">
      <c r="H3087" s="711"/>
      <c r="I3087" s="711"/>
      <c r="J3087" s="711"/>
      <c r="K3087" s="711"/>
      <c r="L3087" s="711"/>
      <c r="Q3087" s="11"/>
      <c r="R3087" s="11"/>
      <c r="S3087" s="11"/>
      <c r="T3087" s="11"/>
    </row>
    <row r="3088" spans="8:20" x14ac:dyDescent="0.35">
      <c r="H3088" s="711"/>
      <c r="I3088" s="711"/>
      <c r="J3088" s="711"/>
      <c r="K3088" s="711"/>
      <c r="L3088" s="711"/>
      <c r="Q3088" s="11"/>
      <c r="R3088" s="11"/>
      <c r="S3088" s="11"/>
      <c r="T3088" s="11"/>
    </row>
    <row r="3089" spans="8:20" x14ac:dyDescent="0.35">
      <c r="H3089" s="711"/>
      <c r="I3089" s="711"/>
      <c r="J3089" s="711"/>
      <c r="K3089" s="711"/>
      <c r="L3089" s="711"/>
      <c r="Q3089" s="11"/>
      <c r="R3089" s="11"/>
      <c r="S3089" s="11"/>
      <c r="T3089" s="11"/>
    </row>
    <row r="3090" spans="8:20" x14ac:dyDescent="0.35">
      <c r="H3090" s="711"/>
      <c r="I3090" s="711"/>
      <c r="J3090" s="711"/>
      <c r="K3090" s="711"/>
      <c r="L3090" s="711"/>
      <c r="Q3090" s="11"/>
      <c r="R3090" s="11"/>
      <c r="S3090" s="11"/>
      <c r="T3090" s="11"/>
    </row>
    <row r="3091" spans="8:20" x14ac:dyDescent="0.35">
      <c r="H3091" s="711"/>
      <c r="I3091" s="711"/>
      <c r="J3091" s="711"/>
      <c r="K3091" s="711"/>
      <c r="L3091" s="711"/>
      <c r="Q3091" s="11"/>
      <c r="R3091" s="11"/>
      <c r="S3091" s="11"/>
      <c r="T3091" s="11"/>
    </row>
    <row r="3092" spans="8:20" x14ac:dyDescent="0.35">
      <c r="H3092" s="711"/>
      <c r="I3092" s="711"/>
      <c r="J3092" s="711"/>
      <c r="K3092" s="711"/>
      <c r="L3092" s="711"/>
      <c r="Q3092" s="11"/>
      <c r="R3092" s="11"/>
      <c r="S3092" s="11"/>
      <c r="T3092" s="11"/>
    </row>
    <row r="3093" spans="8:20" x14ac:dyDescent="0.35">
      <c r="H3093" s="711"/>
      <c r="I3093" s="711"/>
      <c r="J3093" s="711"/>
      <c r="K3093" s="711"/>
      <c r="L3093" s="711"/>
      <c r="Q3093" s="11"/>
      <c r="R3093" s="11"/>
      <c r="S3093" s="11"/>
      <c r="T3093" s="11"/>
    </row>
    <row r="3094" spans="8:20" x14ac:dyDescent="0.35">
      <c r="H3094" s="711"/>
      <c r="I3094" s="711"/>
      <c r="J3094" s="711"/>
      <c r="K3094" s="711"/>
      <c r="L3094" s="711"/>
      <c r="Q3094" s="11"/>
      <c r="R3094" s="11"/>
      <c r="S3094" s="11"/>
      <c r="T3094" s="11"/>
    </row>
    <row r="3095" spans="8:20" x14ac:dyDescent="0.35">
      <c r="H3095" s="711"/>
      <c r="I3095" s="711"/>
      <c r="J3095" s="711"/>
      <c r="K3095" s="711"/>
      <c r="L3095" s="711"/>
      <c r="Q3095" s="11"/>
      <c r="R3095" s="11"/>
      <c r="S3095" s="11"/>
      <c r="T3095" s="11"/>
    </row>
    <row r="3096" spans="8:20" x14ac:dyDescent="0.35">
      <c r="H3096" s="711"/>
      <c r="I3096" s="711"/>
      <c r="J3096" s="711"/>
      <c r="K3096" s="711"/>
      <c r="L3096" s="711"/>
      <c r="Q3096" s="11"/>
      <c r="R3096" s="11"/>
      <c r="S3096" s="11"/>
      <c r="T3096" s="11"/>
    </row>
    <row r="3097" spans="8:20" x14ac:dyDescent="0.35">
      <c r="H3097" s="711"/>
      <c r="I3097" s="711"/>
      <c r="J3097" s="711"/>
      <c r="K3097" s="711"/>
      <c r="L3097" s="711"/>
      <c r="Q3097" s="11"/>
      <c r="R3097" s="11"/>
      <c r="S3097" s="11"/>
      <c r="T3097" s="11"/>
    </row>
    <row r="3098" spans="8:20" x14ac:dyDescent="0.35">
      <c r="H3098" s="711"/>
      <c r="I3098" s="711"/>
      <c r="J3098" s="711"/>
      <c r="K3098" s="711"/>
      <c r="L3098" s="711"/>
      <c r="Q3098" s="11"/>
      <c r="R3098" s="11"/>
      <c r="S3098" s="11"/>
      <c r="T3098" s="11"/>
    </row>
    <row r="3099" spans="8:20" x14ac:dyDescent="0.35">
      <c r="H3099" s="711"/>
      <c r="I3099" s="711"/>
      <c r="J3099" s="711"/>
      <c r="K3099" s="711"/>
      <c r="L3099" s="711"/>
      <c r="Q3099" s="11"/>
      <c r="R3099" s="11"/>
      <c r="S3099" s="11"/>
      <c r="T3099" s="11"/>
    </row>
    <row r="3100" spans="8:20" x14ac:dyDescent="0.35">
      <c r="H3100" s="711"/>
      <c r="I3100" s="711"/>
      <c r="J3100" s="711"/>
      <c r="K3100" s="711"/>
      <c r="L3100" s="711"/>
      <c r="Q3100" s="11"/>
      <c r="R3100" s="11"/>
      <c r="S3100" s="11"/>
      <c r="T3100" s="11"/>
    </row>
    <row r="3101" spans="8:20" x14ac:dyDescent="0.35">
      <c r="H3101" s="711"/>
      <c r="I3101" s="711"/>
      <c r="J3101" s="711"/>
      <c r="K3101" s="711"/>
      <c r="L3101" s="711"/>
      <c r="Q3101" s="11"/>
      <c r="R3101" s="11"/>
      <c r="S3101" s="11"/>
      <c r="T3101" s="11"/>
    </row>
    <row r="3102" spans="8:20" x14ac:dyDescent="0.35">
      <c r="H3102" s="711"/>
      <c r="I3102" s="711"/>
      <c r="J3102" s="711"/>
      <c r="K3102" s="711"/>
      <c r="L3102" s="711"/>
      <c r="Q3102" s="11"/>
      <c r="R3102" s="11"/>
      <c r="S3102" s="11"/>
      <c r="T3102" s="11"/>
    </row>
    <row r="3103" spans="8:20" x14ac:dyDescent="0.35">
      <c r="H3103" s="711"/>
      <c r="I3103" s="711"/>
      <c r="J3103" s="711"/>
      <c r="K3103" s="711"/>
      <c r="L3103" s="711"/>
      <c r="Q3103" s="11"/>
      <c r="R3103" s="11"/>
      <c r="S3103" s="11"/>
      <c r="T3103" s="11"/>
    </row>
    <row r="3104" spans="8:20" x14ac:dyDescent="0.35">
      <c r="H3104" s="711"/>
      <c r="I3104" s="711"/>
      <c r="J3104" s="711"/>
      <c r="K3104" s="711"/>
      <c r="L3104" s="711"/>
      <c r="Q3104" s="11"/>
      <c r="R3104" s="11"/>
      <c r="S3104" s="11"/>
      <c r="T3104" s="11"/>
    </row>
    <row r="3105" spans="8:20" x14ac:dyDescent="0.35">
      <c r="H3105" s="711"/>
      <c r="I3105" s="711"/>
      <c r="J3105" s="711"/>
      <c r="K3105" s="711"/>
      <c r="L3105" s="711"/>
      <c r="Q3105" s="11"/>
      <c r="R3105" s="11"/>
      <c r="S3105" s="11"/>
      <c r="T3105" s="11"/>
    </row>
    <row r="3106" spans="8:20" x14ac:dyDescent="0.35">
      <c r="H3106" s="711"/>
      <c r="I3106" s="711"/>
      <c r="J3106" s="711"/>
      <c r="K3106" s="711"/>
      <c r="L3106" s="711"/>
      <c r="Q3106" s="11"/>
      <c r="R3106" s="11"/>
      <c r="S3106" s="11"/>
      <c r="T3106" s="11"/>
    </row>
    <row r="3107" spans="8:20" x14ac:dyDescent="0.35">
      <c r="H3107" s="711"/>
      <c r="I3107" s="711"/>
      <c r="J3107" s="711"/>
      <c r="K3107" s="711"/>
      <c r="L3107" s="711"/>
      <c r="Q3107" s="11"/>
      <c r="R3107" s="11"/>
      <c r="S3107" s="11"/>
      <c r="T3107" s="11"/>
    </row>
    <row r="3108" spans="8:20" x14ac:dyDescent="0.35">
      <c r="H3108" s="711"/>
      <c r="I3108" s="711"/>
      <c r="J3108" s="711"/>
      <c r="K3108" s="711"/>
      <c r="L3108" s="711"/>
      <c r="Q3108" s="11"/>
      <c r="R3108" s="11"/>
      <c r="S3108" s="11"/>
      <c r="T3108" s="11"/>
    </row>
    <row r="3109" spans="8:20" x14ac:dyDescent="0.35">
      <c r="H3109" s="711"/>
      <c r="I3109" s="711"/>
      <c r="J3109" s="711"/>
      <c r="K3109" s="711"/>
      <c r="L3109" s="711"/>
      <c r="Q3109" s="11"/>
      <c r="R3109" s="11"/>
      <c r="S3109" s="11"/>
      <c r="T3109" s="11"/>
    </row>
    <row r="3110" spans="8:20" x14ac:dyDescent="0.35">
      <c r="H3110" s="711"/>
      <c r="I3110" s="711"/>
      <c r="J3110" s="711"/>
      <c r="K3110" s="711"/>
      <c r="L3110" s="711"/>
      <c r="Q3110" s="11"/>
      <c r="R3110" s="11"/>
      <c r="S3110" s="11"/>
      <c r="T3110" s="11"/>
    </row>
    <row r="3111" spans="8:20" x14ac:dyDescent="0.35">
      <c r="H3111" s="711"/>
      <c r="I3111" s="711"/>
      <c r="J3111" s="711"/>
      <c r="K3111" s="711"/>
      <c r="L3111" s="711"/>
      <c r="Q3111" s="11"/>
      <c r="R3111" s="11"/>
      <c r="S3111" s="11"/>
      <c r="T3111" s="11"/>
    </row>
    <row r="3112" spans="8:20" x14ac:dyDescent="0.35">
      <c r="H3112" s="711"/>
      <c r="I3112" s="711"/>
      <c r="J3112" s="711"/>
      <c r="K3112" s="711"/>
      <c r="L3112" s="711"/>
      <c r="Q3112" s="11"/>
      <c r="R3112" s="11"/>
      <c r="S3112" s="11"/>
      <c r="T3112" s="11"/>
    </row>
    <row r="3113" spans="8:20" x14ac:dyDescent="0.35">
      <c r="H3113" s="711"/>
      <c r="I3113" s="711"/>
      <c r="J3113" s="711"/>
      <c r="K3113" s="711"/>
      <c r="L3113" s="711"/>
      <c r="Q3113" s="11"/>
      <c r="R3113" s="11"/>
      <c r="S3113" s="11"/>
      <c r="T3113" s="11"/>
    </row>
    <row r="3114" spans="8:20" x14ac:dyDescent="0.35">
      <c r="H3114" s="711"/>
      <c r="I3114" s="711"/>
      <c r="J3114" s="711"/>
      <c r="K3114" s="711"/>
      <c r="L3114" s="711"/>
      <c r="Q3114" s="11"/>
      <c r="R3114" s="11"/>
      <c r="S3114" s="11"/>
      <c r="T3114" s="11"/>
    </row>
    <row r="3115" spans="8:20" x14ac:dyDescent="0.35">
      <c r="H3115" s="711"/>
      <c r="I3115" s="711"/>
      <c r="J3115" s="711"/>
      <c r="K3115" s="711"/>
      <c r="L3115" s="711"/>
      <c r="Q3115" s="11"/>
      <c r="R3115" s="11"/>
      <c r="S3115" s="11"/>
      <c r="T3115" s="11"/>
    </row>
    <row r="3116" spans="8:20" x14ac:dyDescent="0.35">
      <c r="H3116" s="711"/>
      <c r="I3116" s="711"/>
      <c r="J3116" s="711"/>
      <c r="K3116" s="711"/>
      <c r="L3116" s="711"/>
      <c r="Q3116" s="11"/>
      <c r="R3116" s="11"/>
      <c r="S3116" s="11"/>
      <c r="T3116" s="11"/>
    </row>
    <row r="3117" spans="8:20" x14ac:dyDescent="0.35">
      <c r="H3117" s="711"/>
      <c r="I3117" s="711"/>
      <c r="J3117" s="711"/>
      <c r="K3117" s="711"/>
      <c r="L3117" s="711"/>
      <c r="Q3117" s="11"/>
      <c r="R3117" s="11"/>
      <c r="S3117" s="11"/>
      <c r="T3117" s="11"/>
    </row>
    <row r="3118" spans="8:20" x14ac:dyDescent="0.35">
      <c r="H3118" s="711"/>
      <c r="I3118" s="711"/>
      <c r="J3118" s="711"/>
      <c r="K3118" s="711"/>
      <c r="L3118" s="711"/>
      <c r="Q3118" s="11"/>
      <c r="R3118" s="11"/>
      <c r="S3118" s="11"/>
      <c r="T3118" s="11"/>
    </row>
    <row r="3119" spans="8:20" x14ac:dyDescent="0.35">
      <c r="H3119" s="711"/>
      <c r="I3119" s="711"/>
      <c r="J3119" s="711"/>
      <c r="K3119" s="711"/>
      <c r="L3119" s="711"/>
      <c r="Q3119" s="11"/>
      <c r="R3119" s="11"/>
      <c r="S3119" s="11"/>
      <c r="T3119" s="11"/>
    </row>
    <row r="3120" spans="8:20" x14ac:dyDescent="0.35">
      <c r="H3120" s="711"/>
      <c r="I3120" s="711"/>
      <c r="J3120" s="711"/>
      <c r="K3120" s="711"/>
      <c r="L3120" s="711"/>
      <c r="Q3120" s="11"/>
      <c r="R3120" s="11"/>
      <c r="S3120" s="11"/>
      <c r="T3120" s="11"/>
    </row>
    <row r="3121" spans="8:20" x14ac:dyDescent="0.35">
      <c r="H3121" s="711"/>
      <c r="I3121" s="711"/>
      <c r="J3121" s="711"/>
      <c r="K3121" s="711"/>
      <c r="L3121" s="711"/>
      <c r="Q3121" s="11"/>
      <c r="R3121" s="11"/>
      <c r="S3121" s="11"/>
      <c r="T3121" s="11"/>
    </row>
    <row r="3122" spans="8:20" x14ac:dyDescent="0.35">
      <c r="H3122" s="711"/>
      <c r="I3122" s="711"/>
      <c r="J3122" s="711"/>
      <c r="K3122" s="711"/>
      <c r="L3122" s="711"/>
      <c r="Q3122" s="11"/>
      <c r="R3122" s="11"/>
      <c r="S3122" s="11"/>
      <c r="T3122" s="11"/>
    </row>
    <row r="3123" spans="8:20" x14ac:dyDescent="0.35">
      <c r="H3123" s="711"/>
      <c r="I3123" s="711"/>
      <c r="J3123" s="711"/>
      <c r="K3123" s="711"/>
      <c r="L3123" s="711"/>
      <c r="Q3123" s="11"/>
      <c r="R3123" s="11"/>
      <c r="S3123" s="11"/>
      <c r="T3123" s="11"/>
    </row>
    <row r="3124" spans="8:20" x14ac:dyDescent="0.35">
      <c r="H3124" s="711"/>
      <c r="I3124" s="711"/>
      <c r="J3124" s="711"/>
      <c r="K3124" s="711"/>
      <c r="L3124" s="711"/>
      <c r="Q3124" s="11"/>
      <c r="R3124" s="11"/>
      <c r="S3124" s="11"/>
      <c r="T3124" s="11"/>
    </row>
    <row r="3125" spans="8:20" x14ac:dyDescent="0.35">
      <c r="H3125" s="711"/>
      <c r="I3125" s="711"/>
      <c r="J3125" s="711"/>
      <c r="K3125" s="711"/>
      <c r="L3125" s="711"/>
      <c r="Q3125" s="11"/>
      <c r="R3125" s="11"/>
      <c r="S3125" s="11"/>
      <c r="T3125" s="11"/>
    </row>
    <row r="3126" spans="8:20" x14ac:dyDescent="0.35">
      <c r="H3126" s="711"/>
      <c r="I3126" s="711"/>
      <c r="J3126" s="711"/>
      <c r="K3126" s="711"/>
      <c r="L3126" s="711"/>
      <c r="Q3126" s="11"/>
      <c r="R3126" s="11"/>
      <c r="S3126" s="11"/>
      <c r="T3126" s="11"/>
    </row>
    <row r="3127" spans="8:20" x14ac:dyDescent="0.35">
      <c r="H3127" s="711"/>
      <c r="I3127" s="711"/>
      <c r="J3127" s="711"/>
      <c r="K3127" s="711"/>
      <c r="L3127" s="711"/>
      <c r="Q3127" s="11"/>
      <c r="R3127" s="11"/>
      <c r="S3127" s="11"/>
      <c r="T3127" s="11"/>
    </row>
    <row r="3128" spans="8:20" x14ac:dyDescent="0.35">
      <c r="H3128" s="711"/>
      <c r="I3128" s="711"/>
      <c r="J3128" s="711"/>
      <c r="K3128" s="711"/>
      <c r="L3128" s="711"/>
      <c r="Q3128" s="11"/>
      <c r="R3128" s="11"/>
      <c r="S3128" s="11"/>
      <c r="T3128" s="11"/>
    </row>
    <row r="3129" spans="8:20" x14ac:dyDescent="0.35">
      <c r="H3129" s="711"/>
      <c r="I3129" s="711"/>
      <c r="J3129" s="711"/>
      <c r="K3129" s="711"/>
      <c r="L3129" s="711"/>
      <c r="Q3129" s="11"/>
      <c r="R3129" s="11"/>
      <c r="S3129" s="11"/>
      <c r="T3129" s="11"/>
    </row>
    <row r="3130" spans="8:20" x14ac:dyDescent="0.35">
      <c r="H3130" s="711"/>
      <c r="I3130" s="711"/>
      <c r="J3130" s="711"/>
      <c r="K3130" s="711"/>
      <c r="L3130" s="711"/>
      <c r="Q3130" s="11"/>
      <c r="R3130" s="11"/>
      <c r="S3130" s="11"/>
      <c r="T3130" s="11"/>
    </row>
    <row r="3131" spans="8:20" x14ac:dyDescent="0.35">
      <c r="H3131" s="711"/>
      <c r="I3131" s="711"/>
      <c r="J3131" s="711"/>
      <c r="K3131" s="711"/>
      <c r="L3131" s="711"/>
      <c r="Q3131" s="11"/>
      <c r="R3131" s="11"/>
      <c r="S3131" s="11"/>
      <c r="T3131" s="11"/>
    </row>
    <row r="3132" spans="8:20" x14ac:dyDescent="0.35">
      <c r="H3132" s="711"/>
      <c r="I3132" s="711"/>
      <c r="J3132" s="711"/>
      <c r="K3132" s="711"/>
      <c r="L3132" s="711"/>
      <c r="Q3132" s="11"/>
      <c r="R3132" s="11"/>
      <c r="S3132" s="11"/>
      <c r="T3132" s="11"/>
    </row>
    <row r="3133" spans="8:20" x14ac:dyDescent="0.35">
      <c r="H3133" s="711"/>
      <c r="I3133" s="711"/>
      <c r="J3133" s="711"/>
      <c r="K3133" s="711"/>
      <c r="L3133" s="711"/>
      <c r="Q3133" s="11"/>
      <c r="R3133" s="11"/>
      <c r="S3133" s="11"/>
      <c r="T3133" s="11"/>
    </row>
    <row r="3134" spans="8:20" x14ac:dyDescent="0.35">
      <c r="H3134" s="711"/>
      <c r="I3134" s="711"/>
      <c r="J3134" s="711"/>
      <c r="K3134" s="711"/>
      <c r="L3134" s="711"/>
      <c r="Q3134" s="11"/>
      <c r="R3134" s="11"/>
      <c r="S3134" s="11"/>
      <c r="T3134" s="11"/>
    </row>
    <row r="3135" spans="8:20" x14ac:dyDescent="0.35">
      <c r="H3135" s="711"/>
      <c r="I3135" s="711"/>
      <c r="J3135" s="711"/>
      <c r="K3135" s="711"/>
      <c r="L3135" s="711"/>
      <c r="Q3135" s="11"/>
      <c r="R3135" s="11"/>
      <c r="S3135" s="11"/>
      <c r="T3135" s="11"/>
    </row>
    <row r="3136" spans="8:20" x14ac:dyDescent="0.35">
      <c r="H3136" s="711"/>
      <c r="I3136" s="711"/>
      <c r="J3136" s="711"/>
      <c r="K3136" s="711"/>
      <c r="L3136" s="711"/>
      <c r="Q3136" s="11"/>
      <c r="R3136" s="11"/>
      <c r="S3136" s="11"/>
      <c r="T3136" s="11"/>
    </row>
    <row r="3137" spans="8:20" x14ac:dyDescent="0.35">
      <c r="H3137" s="711"/>
      <c r="I3137" s="711"/>
      <c r="J3137" s="711"/>
      <c r="K3137" s="711"/>
      <c r="L3137" s="711"/>
      <c r="Q3137" s="11"/>
      <c r="R3137" s="11"/>
      <c r="S3137" s="11"/>
      <c r="T3137" s="11"/>
    </row>
    <row r="3138" spans="8:20" x14ac:dyDescent="0.35">
      <c r="H3138" s="711"/>
      <c r="I3138" s="711"/>
      <c r="J3138" s="711"/>
      <c r="K3138" s="711"/>
      <c r="L3138" s="711"/>
      <c r="Q3138" s="11"/>
      <c r="R3138" s="11"/>
      <c r="S3138" s="11"/>
      <c r="T3138" s="11"/>
    </row>
    <row r="3139" spans="8:20" x14ac:dyDescent="0.35">
      <c r="H3139" s="711"/>
      <c r="I3139" s="711"/>
      <c r="J3139" s="711"/>
      <c r="K3139" s="711"/>
      <c r="L3139" s="711"/>
      <c r="Q3139" s="11"/>
      <c r="R3139" s="11"/>
      <c r="S3139" s="11"/>
      <c r="T3139" s="11"/>
    </row>
    <row r="3140" spans="8:20" x14ac:dyDescent="0.35">
      <c r="H3140" s="711"/>
      <c r="I3140" s="711"/>
      <c r="J3140" s="711"/>
      <c r="K3140" s="711"/>
      <c r="L3140" s="711"/>
      <c r="Q3140" s="11"/>
      <c r="R3140" s="11"/>
      <c r="S3140" s="11"/>
      <c r="T3140" s="11"/>
    </row>
    <row r="3141" spans="8:20" x14ac:dyDescent="0.35">
      <c r="H3141" s="711"/>
      <c r="I3141" s="711"/>
      <c r="J3141" s="711"/>
      <c r="K3141" s="711"/>
      <c r="L3141" s="711"/>
      <c r="Q3141" s="11"/>
      <c r="R3141" s="11"/>
      <c r="S3141" s="11"/>
      <c r="T3141" s="11"/>
    </row>
    <row r="3142" spans="8:20" x14ac:dyDescent="0.35">
      <c r="H3142" s="711"/>
      <c r="I3142" s="711"/>
      <c r="J3142" s="711"/>
      <c r="K3142" s="711"/>
      <c r="L3142" s="711"/>
      <c r="Q3142" s="11"/>
      <c r="R3142" s="11"/>
      <c r="S3142" s="11"/>
      <c r="T3142" s="11"/>
    </row>
    <row r="3143" spans="8:20" x14ac:dyDescent="0.35">
      <c r="H3143" s="711"/>
      <c r="I3143" s="711"/>
      <c r="J3143" s="711"/>
      <c r="K3143" s="711"/>
      <c r="L3143" s="711"/>
      <c r="Q3143" s="11"/>
      <c r="R3143" s="11"/>
      <c r="S3143" s="11"/>
      <c r="T3143" s="11"/>
    </row>
    <row r="3144" spans="8:20" x14ac:dyDescent="0.35">
      <c r="H3144" s="711"/>
      <c r="I3144" s="711"/>
      <c r="J3144" s="711"/>
      <c r="K3144" s="711"/>
      <c r="L3144" s="711"/>
      <c r="Q3144" s="11"/>
      <c r="R3144" s="11"/>
      <c r="S3144" s="11"/>
      <c r="T3144" s="11"/>
    </row>
    <row r="3145" spans="8:20" x14ac:dyDescent="0.35">
      <c r="H3145" s="711"/>
      <c r="I3145" s="711"/>
      <c r="J3145" s="711"/>
      <c r="K3145" s="711"/>
      <c r="L3145" s="711"/>
      <c r="Q3145" s="11"/>
      <c r="R3145" s="11"/>
      <c r="S3145" s="11"/>
      <c r="T3145" s="11"/>
    </row>
    <row r="3146" spans="8:20" x14ac:dyDescent="0.35">
      <c r="H3146" s="711"/>
      <c r="I3146" s="711"/>
      <c r="J3146" s="711"/>
      <c r="K3146" s="711"/>
      <c r="L3146" s="711"/>
      <c r="Q3146" s="11"/>
      <c r="R3146" s="11"/>
      <c r="S3146" s="11"/>
      <c r="T3146" s="11"/>
    </row>
    <row r="3147" spans="8:20" x14ac:dyDescent="0.35">
      <c r="H3147" s="711"/>
      <c r="I3147" s="711"/>
      <c r="J3147" s="711"/>
      <c r="K3147" s="711"/>
      <c r="L3147" s="711"/>
      <c r="Q3147" s="11"/>
      <c r="R3147" s="11"/>
      <c r="S3147" s="11"/>
      <c r="T3147" s="11"/>
    </row>
    <row r="3148" spans="8:20" x14ac:dyDescent="0.35">
      <c r="H3148" s="711"/>
      <c r="I3148" s="711"/>
      <c r="J3148" s="711"/>
      <c r="K3148" s="711"/>
      <c r="L3148" s="711"/>
      <c r="Q3148" s="11"/>
      <c r="R3148" s="11"/>
      <c r="S3148" s="11"/>
      <c r="T3148" s="11"/>
    </row>
    <row r="3149" spans="8:20" x14ac:dyDescent="0.35">
      <c r="H3149" s="711"/>
      <c r="I3149" s="711"/>
      <c r="J3149" s="711"/>
      <c r="K3149" s="711"/>
      <c r="L3149" s="711"/>
      <c r="Q3149" s="11"/>
      <c r="R3149" s="11"/>
      <c r="S3149" s="11"/>
      <c r="T3149" s="11"/>
    </row>
    <row r="3150" spans="8:20" x14ac:dyDescent="0.35">
      <c r="H3150" s="711"/>
      <c r="I3150" s="711"/>
      <c r="J3150" s="711"/>
      <c r="K3150" s="711"/>
      <c r="L3150" s="711"/>
      <c r="Q3150" s="11"/>
      <c r="R3150" s="11"/>
      <c r="S3150" s="11"/>
      <c r="T3150" s="11"/>
    </row>
    <row r="3151" spans="8:20" x14ac:dyDescent="0.35">
      <c r="H3151" s="711"/>
      <c r="I3151" s="711"/>
      <c r="J3151" s="711"/>
      <c r="K3151" s="711"/>
      <c r="L3151" s="711"/>
      <c r="Q3151" s="11"/>
      <c r="R3151" s="11"/>
      <c r="S3151" s="11"/>
      <c r="T3151" s="11"/>
    </row>
    <row r="3152" spans="8:20" x14ac:dyDescent="0.35">
      <c r="H3152" s="711"/>
      <c r="I3152" s="711"/>
      <c r="J3152" s="711"/>
      <c r="K3152" s="711"/>
      <c r="L3152" s="711"/>
      <c r="Q3152" s="11"/>
      <c r="R3152" s="11"/>
      <c r="S3152" s="11"/>
      <c r="T3152" s="11"/>
    </row>
    <row r="3153" spans="8:20" x14ac:dyDescent="0.35">
      <c r="H3153" s="711"/>
      <c r="I3153" s="711"/>
      <c r="J3153" s="711"/>
      <c r="K3153" s="711"/>
      <c r="L3153" s="711"/>
      <c r="Q3153" s="11"/>
      <c r="R3153" s="11"/>
      <c r="S3153" s="11"/>
      <c r="T3153" s="11"/>
    </row>
    <row r="3154" spans="8:20" x14ac:dyDescent="0.35">
      <c r="H3154" s="711"/>
      <c r="I3154" s="711"/>
      <c r="J3154" s="711"/>
      <c r="K3154" s="711"/>
      <c r="L3154" s="711"/>
      <c r="Q3154" s="11"/>
      <c r="R3154" s="11"/>
      <c r="S3154" s="11"/>
      <c r="T3154" s="11"/>
    </row>
    <row r="3155" spans="8:20" x14ac:dyDescent="0.35">
      <c r="H3155" s="711"/>
      <c r="I3155" s="711"/>
      <c r="J3155" s="711"/>
      <c r="K3155" s="711"/>
      <c r="L3155" s="711"/>
      <c r="Q3155" s="11"/>
      <c r="R3155" s="11"/>
      <c r="S3155" s="11"/>
      <c r="T3155" s="11"/>
    </row>
    <row r="3156" spans="8:20" x14ac:dyDescent="0.35">
      <c r="H3156" s="711"/>
      <c r="I3156" s="711"/>
      <c r="J3156" s="711"/>
      <c r="K3156" s="711"/>
      <c r="L3156" s="711"/>
      <c r="Q3156" s="11"/>
      <c r="R3156" s="11"/>
      <c r="S3156" s="11"/>
      <c r="T3156" s="11"/>
    </row>
    <row r="3157" spans="8:20" x14ac:dyDescent="0.35">
      <c r="H3157" s="711"/>
      <c r="I3157" s="711"/>
      <c r="J3157" s="711"/>
      <c r="K3157" s="711"/>
      <c r="L3157" s="711"/>
      <c r="Q3157" s="11"/>
      <c r="R3157" s="11"/>
      <c r="S3157" s="11"/>
      <c r="T3157" s="11"/>
    </row>
    <row r="3158" spans="8:20" x14ac:dyDescent="0.35">
      <c r="H3158" s="711"/>
      <c r="I3158" s="711"/>
      <c r="J3158" s="711"/>
      <c r="K3158" s="711"/>
      <c r="L3158" s="711"/>
      <c r="Q3158" s="11"/>
      <c r="R3158" s="11"/>
      <c r="S3158" s="11"/>
      <c r="T3158" s="11"/>
    </row>
    <row r="3159" spans="8:20" x14ac:dyDescent="0.35">
      <c r="H3159" s="711"/>
      <c r="I3159" s="711"/>
      <c r="J3159" s="711"/>
      <c r="K3159" s="711"/>
      <c r="L3159" s="711"/>
      <c r="Q3159" s="11"/>
      <c r="R3159" s="11"/>
      <c r="S3159" s="11"/>
      <c r="T3159" s="11"/>
    </row>
    <row r="3160" spans="8:20" x14ac:dyDescent="0.35">
      <c r="H3160" s="711"/>
      <c r="I3160" s="711"/>
      <c r="J3160" s="711"/>
      <c r="K3160" s="711"/>
      <c r="L3160" s="711"/>
      <c r="Q3160" s="11"/>
      <c r="R3160" s="11"/>
      <c r="S3160" s="11"/>
      <c r="T3160" s="11"/>
    </row>
    <row r="3161" spans="8:20" x14ac:dyDescent="0.35">
      <c r="H3161" s="711"/>
      <c r="I3161" s="711"/>
      <c r="J3161" s="711"/>
      <c r="K3161" s="711"/>
      <c r="L3161" s="711"/>
      <c r="Q3161" s="11"/>
      <c r="R3161" s="11"/>
      <c r="S3161" s="11"/>
      <c r="T3161" s="11"/>
    </row>
    <row r="3162" spans="8:20" x14ac:dyDescent="0.35">
      <c r="H3162" s="711"/>
      <c r="I3162" s="711"/>
      <c r="J3162" s="711"/>
      <c r="K3162" s="711"/>
      <c r="L3162" s="711"/>
      <c r="Q3162" s="11"/>
      <c r="R3162" s="11"/>
      <c r="S3162" s="11"/>
      <c r="T3162" s="11"/>
    </row>
    <row r="3163" spans="8:20" x14ac:dyDescent="0.35">
      <c r="H3163" s="711"/>
      <c r="I3163" s="711"/>
      <c r="J3163" s="711"/>
      <c r="K3163" s="711"/>
      <c r="L3163" s="711"/>
      <c r="Q3163" s="11"/>
      <c r="R3163" s="11"/>
      <c r="S3163" s="11"/>
      <c r="T3163" s="11"/>
    </row>
    <row r="3164" spans="8:20" x14ac:dyDescent="0.35">
      <c r="H3164" s="711"/>
      <c r="I3164" s="711"/>
      <c r="J3164" s="711"/>
      <c r="K3164" s="711"/>
      <c r="L3164" s="711"/>
      <c r="Q3164" s="11"/>
      <c r="R3164" s="11"/>
      <c r="S3164" s="11"/>
      <c r="T3164" s="11"/>
    </row>
    <row r="3165" spans="8:20" x14ac:dyDescent="0.35">
      <c r="H3165" s="711"/>
      <c r="I3165" s="711"/>
      <c r="J3165" s="711"/>
      <c r="K3165" s="711"/>
      <c r="L3165" s="711"/>
      <c r="Q3165" s="11"/>
      <c r="R3165" s="11"/>
      <c r="S3165" s="11"/>
      <c r="T3165" s="11"/>
    </row>
    <row r="3166" spans="8:20" x14ac:dyDescent="0.35">
      <c r="H3166" s="711"/>
      <c r="I3166" s="711"/>
      <c r="J3166" s="711"/>
      <c r="K3166" s="711"/>
      <c r="L3166" s="711"/>
      <c r="Q3166" s="11"/>
      <c r="R3166" s="11"/>
      <c r="S3166" s="11"/>
      <c r="T3166" s="11"/>
    </row>
    <row r="3167" spans="8:20" x14ac:dyDescent="0.35">
      <c r="H3167" s="711"/>
      <c r="I3167" s="711"/>
      <c r="J3167" s="711"/>
      <c r="K3167" s="711"/>
      <c r="L3167" s="711"/>
      <c r="Q3167" s="11"/>
      <c r="R3167" s="11"/>
      <c r="S3167" s="11"/>
      <c r="T3167" s="11"/>
    </row>
    <row r="3168" spans="8:20" x14ac:dyDescent="0.35">
      <c r="H3168" s="711"/>
      <c r="I3168" s="711"/>
      <c r="J3168" s="711"/>
      <c r="K3168" s="711"/>
      <c r="L3168" s="711"/>
      <c r="Q3168" s="11"/>
      <c r="R3168" s="11"/>
      <c r="S3168" s="11"/>
      <c r="T3168" s="11"/>
    </row>
    <row r="3169" spans="8:20" x14ac:dyDescent="0.35">
      <c r="H3169" s="711"/>
      <c r="I3169" s="711"/>
      <c r="J3169" s="711"/>
      <c r="K3169" s="711"/>
      <c r="L3169" s="711"/>
      <c r="Q3169" s="11"/>
      <c r="R3169" s="11"/>
      <c r="S3169" s="11"/>
      <c r="T3169" s="11"/>
    </row>
    <row r="3170" spans="8:20" x14ac:dyDescent="0.35">
      <c r="H3170" s="711"/>
      <c r="I3170" s="711"/>
      <c r="J3170" s="711"/>
      <c r="K3170" s="711"/>
      <c r="L3170" s="711"/>
      <c r="Q3170" s="11"/>
      <c r="R3170" s="11"/>
      <c r="S3170" s="11"/>
      <c r="T3170" s="11"/>
    </row>
    <row r="3171" spans="8:20" x14ac:dyDescent="0.35">
      <c r="H3171" s="711"/>
      <c r="I3171" s="711"/>
      <c r="J3171" s="711"/>
      <c r="K3171" s="711"/>
      <c r="L3171" s="711"/>
      <c r="Q3171" s="11"/>
      <c r="R3171" s="11"/>
      <c r="S3171" s="11"/>
      <c r="T3171" s="11"/>
    </row>
    <row r="3172" spans="8:20" x14ac:dyDescent="0.35">
      <c r="H3172" s="711"/>
      <c r="I3172" s="711"/>
      <c r="J3172" s="711"/>
      <c r="K3172" s="711"/>
      <c r="L3172" s="711"/>
      <c r="Q3172" s="11"/>
      <c r="R3172" s="11"/>
      <c r="S3172" s="11"/>
      <c r="T3172" s="11"/>
    </row>
    <row r="3173" spans="8:20" x14ac:dyDescent="0.35">
      <c r="H3173" s="711"/>
      <c r="I3173" s="711"/>
      <c r="J3173" s="711"/>
      <c r="K3173" s="711"/>
      <c r="L3173" s="711"/>
      <c r="Q3173" s="11"/>
      <c r="R3173" s="11"/>
      <c r="S3173" s="11"/>
      <c r="T3173" s="11"/>
    </row>
    <row r="3174" spans="8:20" x14ac:dyDescent="0.35">
      <c r="H3174" s="711"/>
      <c r="I3174" s="711"/>
      <c r="J3174" s="711"/>
      <c r="K3174" s="711"/>
      <c r="L3174" s="711"/>
      <c r="Q3174" s="11"/>
      <c r="R3174" s="11"/>
      <c r="S3174" s="11"/>
      <c r="T3174" s="11"/>
    </row>
    <row r="3175" spans="8:20" x14ac:dyDescent="0.35">
      <c r="H3175" s="711"/>
      <c r="I3175" s="711"/>
      <c r="J3175" s="711"/>
      <c r="K3175" s="711"/>
      <c r="L3175" s="711"/>
      <c r="Q3175" s="11"/>
      <c r="R3175" s="11"/>
      <c r="S3175" s="11"/>
      <c r="T3175" s="11"/>
    </row>
    <row r="3176" spans="8:20" x14ac:dyDescent="0.35">
      <c r="H3176" s="711"/>
      <c r="I3176" s="711"/>
      <c r="J3176" s="711"/>
      <c r="K3176" s="711"/>
      <c r="L3176" s="711"/>
      <c r="Q3176" s="11"/>
      <c r="R3176" s="11"/>
      <c r="S3176" s="11"/>
      <c r="T3176" s="11"/>
    </row>
    <row r="3177" spans="8:20" x14ac:dyDescent="0.35">
      <c r="H3177" s="711"/>
      <c r="I3177" s="711"/>
      <c r="J3177" s="711"/>
      <c r="K3177" s="711"/>
      <c r="L3177" s="711"/>
      <c r="Q3177" s="11"/>
      <c r="R3177" s="11"/>
      <c r="S3177" s="11"/>
      <c r="T3177" s="11"/>
    </row>
    <row r="3178" spans="8:20" x14ac:dyDescent="0.35">
      <c r="H3178" s="711"/>
      <c r="I3178" s="711"/>
      <c r="J3178" s="711"/>
      <c r="K3178" s="711"/>
      <c r="L3178" s="711"/>
      <c r="Q3178" s="11"/>
      <c r="R3178" s="11"/>
      <c r="S3178" s="11"/>
      <c r="T3178" s="11"/>
    </row>
    <row r="3179" spans="8:20" x14ac:dyDescent="0.35">
      <c r="H3179" s="711"/>
      <c r="I3179" s="711"/>
      <c r="J3179" s="711"/>
      <c r="K3179" s="711"/>
      <c r="L3179" s="711"/>
      <c r="Q3179" s="11"/>
      <c r="R3179" s="11"/>
      <c r="S3179" s="11"/>
      <c r="T3179" s="11"/>
    </row>
    <row r="3180" spans="8:20" x14ac:dyDescent="0.35">
      <c r="H3180" s="711"/>
      <c r="I3180" s="711"/>
      <c r="J3180" s="711"/>
      <c r="K3180" s="711"/>
      <c r="L3180" s="711"/>
      <c r="Q3180" s="11"/>
      <c r="R3180" s="11"/>
      <c r="S3180" s="11"/>
      <c r="T3180" s="11"/>
    </row>
    <row r="3181" spans="8:20" x14ac:dyDescent="0.35">
      <c r="H3181" s="711"/>
      <c r="I3181" s="711"/>
      <c r="J3181" s="711"/>
      <c r="K3181" s="711"/>
      <c r="L3181" s="711"/>
      <c r="Q3181" s="11"/>
      <c r="R3181" s="11"/>
      <c r="S3181" s="11"/>
      <c r="T3181" s="11"/>
    </row>
    <row r="3182" spans="8:20" x14ac:dyDescent="0.35">
      <c r="H3182" s="711"/>
      <c r="I3182" s="711"/>
      <c r="J3182" s="711"/>
      <c r="K3182" s="711"/>
      <c r="L3182" s="711"/>
      <c r="Q3182" s="11"/>
      <c r="R3182" s="11"/>
      <c r="S3182" s="11"/>
      <c r="T3182" s="11"/>
    </row>
    <row r="3183" spans="8:20" x14ac:dyDescent="0.35">
      <c r="H3183" s="711"/>
      <c r="I3183" s="711"/>
      <c r="J3183" s="711"/>
      <c r="K3183" s="711"/>
      <c r="L3183" s="711"/>
      <c r="Q3183" s="11"/>
      <c r="R3183" s="11"/>
      <c r="S3183" s="11"/>
      <c r="T3183" s="11"/>
    </row>
    <row r="3184" spans="8:20" x14ac:dyDescent="0.35">
      <c r="H3184" s="711"/>
      <c r="I3184" s="711"/>
      <c r="J3184" s="711"/>
      <c r="K3184" s="711"/>
      <c r="L3184" s="711"/>
      <c r="Q3184" s="11"/>
      <c r="R3184" s="11"/>
      <c r="S3184" s="11"/>
      <c r="T3184" s="11"/>
    </row>
    <row r="3185" spans="8:20" x14ac:dyDescent="0.35">
      <c r="H3185" s="711"/>
      <c r="I3185" s="711"/>
      <c r="J3185" s="711"/>
      <c r="K3185" s="711"/>
      <c r="L3185" s="711"/>
      <c r="Q3185" s="11"/>
      <c r="R3185" s="11"/>
      <c r="S3185" s="11"/>
      <c r="T3185" s="11"/>
    </row>
    <row r="3186" spans="8:20" x14ac:dyDescent="0.35">
      <c r="H3186" s="711"/>
      <c r="I3186" s="711"/>
      <c r="J3186" s="711"/>
      <c r="K3186" s="711"/>
      <c r="L3186" s="711"/>
      <c r="Q3186" s="11"/>
      <c r="R3186" s="11"/>
      <c r="S3186" s="11"/>
      <c r="T3186" s="11"/>
    </row>
    <row r="3187" spans="8:20" x14ac:dyDescent="0.35">
      <c r="H3187" s="711"/>
      <c r="I3187" s="711"/>
      <c r="J3187" s="711"/>
      <c r="K3187" s="711"/>
      <c r="L3187" s="711"/>
      <c r="Q3187" s="11"/>
      <c r="R3187" s="11"/>
      <c r="S3187" s="11"/>
      <c r="T3187" s="11"/>
    </row>
    <row r="3188" spans="8:20" x14ac:dyDescent="0.35">
      <c r="H3188" s="711"/>
      <c r="I3188" s="711"/>
      <c r="J3188" s="711"/>
      <c r="K3188" s="711"/>
      <c r="L3188" s="711"/>
      <c r="Q3188" s="11"/>
      <c r="R3188" s="11"/>
      <c r="S3188" s="11"/>
      <c r="T3188" s="11"/>
    </row>
    <row r="3189" spans="8:20" x14ac:dyDescent="0.35">
      <c r="H3189" s="711"/>
      <c r="I3189" s="711"/>
      <c r="J3189" s="711"/>
      <c r="K3189" s="711"/>
      <c r="L3189" s="711"/>
      <c r="Q3189" s="11"/>
      <c r="R3189" s="11"/>
      <c r="S3189" s="11"/>
      <c r="T3189" s="11"/>
    </row>
    <row r="3190" spans="8:20" x14ac:dyDescent="0.35">
      <c r="H3190" s="711"/>
      <c r="I3190" s="711"/>
      <c r="J3190" s="711"/>
      <c r="K3190" s="711"/>
      <c r="L3190" s="711"/>
      <c r="Q3190" s="11"/>
      <c r="R3190" s="11"/>
      <c r="S3190" s="11"/>
      <c r="T3190" s="11"/>
    </row>
    <row r="3191" spans="8:20" x14ac:dyDescent="0.35">
      <c r="H3191" s="711"/>
      <c r="I3191" s="711"/>
      <c r="J3191" s="711"/>
      <c r="K3191" s="711"/>
      <c r="L3191" s="711"/>
      <c r="Q3191" s="11"/>
      <c r="R3191" s="11"/>
      <c r="S3191" s="11"/>
      <c r="T3191" s="11"/>
    </row>
    <row r="3192" spans="8:20" x14ac:dyDescent="0.35">
      <c r="H3192" s="711"/>
      <c r="I3192" s="711"/>
      <c r="J3192" s="711"/>
      <c r="K3192" s="711"/>
      <c r="L3192" s="711"/>
      <c r="Q3192" s="11"/>
      <c r="R3192" s="11"/>
      <c r="S3192" s="11"/>
      <c r="T3192" s="11"/>
    </row>
    <row r="3193" spans="8:20" x14ac:dyDescent="0.35">
      <c r="H3193" s="711"/>
      <c r="I3193" s="711"/>
      <c r="J3193" s="711"/>
      <c r="K3193" s="711"/>
      <c r="L3193" s="711"/>
      <c r="Q3193" s="11"/>
      <c r="R3193" s="11"/>
      <c r="S3193" s="11"/>
      <c r="T3193" s="11"/>
    </row>
    <row r="3194" spans="8:20" x14ac:dyDescent="0.35">
      <c r="H3194" s="711"/>
      <c r="I3194" s="711"/>
      <c r="J3194" s="711"/>
      <c r="K3194" s="711"/>
      <c r="L3194" s="711"/>
      <c r="Q3194" s="11"/>
      <c r="R3194" s="11"/>
      <c r="S3194" s="11"/>
      <c r="T3194" s="11"/>
    </row>
    <row r="3195" spans="8:20" x14ac:dyDescent="0.35">
      <c r="H3195" s="711"/>
      <c r="I3195" s="711"/>
      <c r="J3195" s="711"/>
      <c r="K3195" s="711"/>
      <c r="L3195" s="711"/>
      <c r="Q3195" s="11"/>
      <c r="R3195" s="11"/>
      <c r="S3195" s="11"/>
      <c r="T3195" s="11"/>
    </row>
    <row r="3196" spans="8:20" x14ac:dyDescent="0.35">
      <c r="H3196" s="711"/>
      <c r="I3196" s="711"/>
      <c r="J3196" s="711"/>
      <c r="K3196" s="711"/>
      <c r="L3196" s="711"/>
      <c r="Q3196" s="11"/>
      <c r="R3196" s="11"/>
      <c r="S3196" s="11"/>
      <c r="T3196" s="11"/>
    </row>
    <row r="3197" spans="8:20" x14ac:dyDescent="0.35">
      <c r="H3197" s="711"/>
      <c r="I3197" s="711"/>
      <c r="J3197" s="711"/>
      <c r="K3197" s="711"/>
      <c r="L3197" s="711"/>
      <c r="Q3197" s="11"/>
      <c r="R3197" s="11"/>
      <c r="S3197" s="11"/>
      <c r="T3197" s="11"/>
    </row>
    <row r="3198" spans="8:20" x14ac:dyDescent="0.35">
      <c r="H3198" s="711"/>
      <c r="I3198" s="711"/>
      <c r="J3198" s="711"/>
      <c r="K3198" s="711"/>
      <c r="L3198" s="711"/>
      <c r="Q3198" s="11"/>
      <c r="R3198" s="11"/>
      <c r="S3198" s="11"/>
      <c r="T3198" s="11"/>
    </row>
    <row r="3199" spans="8:20" x14ac:dyDescent="0.35">
      <c r="H3199" s="711"/>
      <c r="I3199" s="711"/>
      <c r="J3199" s="711"/>
      <c r="K3199" s="711"/>
      <c r="L3199" s="711"/>
      <c r="Q3199" s="11"/>
      <c r="R3199" s="11"/>
      <c r="S3199" s="11"/>
      <c r="T3199" s="11"/>
    </row>
    <row r="3200" spans="8:20" x14ac:dyDescent="0.35">
      <c r="H3200" s="711"/>
      <c r="I3200" s="711"/>
      <c r="J3200" s="711"/>
      <c r="K3200" s="711"/>
      <c r="L3200" s="711"/>
      <c r="Q3200" s="11"/>
      <c r="R3200" s="11"/>
      <c r="S3200" s="11"/>
      <c r="T3200" s="11"/>
    </row>
    <row r="3201" spans="8:20" x14ac:dyDescent="0.35">
      <c r="H3201" s="711"/>
      <c r="I3201" s="711"/>
      <c r="J3201" s="711"/>
      <c r="K3201" s="711"/>
      <c r="L3201" s="711"/>
      <c r="Q3201" s="11"/>
      <c r="R3201" s="11"/>
      <c r="S3201" s="11"/>
      <c r="T3201" s="11"/>
    </row>
    <row r="3202" spans="8:20" x14ac:dyDescent="0.35">
      <c r="H3202" s="711"/>
      <c r="I3202" s="711"/>
      <c r="J3202" s="711"/>
      <c r="K3202" s="711"/>
      <c r="L3202" s="711"/>
      <c r="Q3202" s="11"/>
      <c r="R3202" s="11"/>
      <c r="S3202" s="11"/>
      <c r="T3202" s="11"/>
    </row>
    <row r="3203" spans="8:20" x14ac:dyDescent="0.35">
      <c r="H3203" s="711"/>
      <c r="I3203" s="711"/>
      <c r="J3203" s="711"/>
      <c r="K3203" s="711"/>
      <c r="L3203" s="711"/>
      <c r="Q3203" s="11"/>
      <c r="R3203" s="11"/>
      <c r="S3203" s="11"/>
      <c r="T3203" s="11"/>
    </row>
    <row r="3204" spans="8:20" x14ac:dyDescent="0.35">
      <c r="H3204" s="711"/>
      <c r="I3204" s="711"/>
      <c r="J3204" s="711"/>
      <c r="K3204" s="711"/>
      <c r="L3204" s="711"/>
      <c r="Q3204" s="11"/>
      <c r="R3204" s="11"/>
      <c r="S3204" s="11"/>
      <c r="T3204" s="11"/>
    </row>
    <row r="3205" spans="8:20" x14ac:dyDescent="0.35">
      <c r="H3205" s="711"/>
      <c r="I3205" s="711"/>
      <c r="J3205" s="711"/>
      <c r="K3205" s="711"/>
      <c r="L3205" s="711"/>
      <c r="Q3205" s="11"/>
      <c r="R3205" s="11"/>
      <c r="S3205" s="11"/>
      <c r="T3205" s="11"/>
    </row>
    <row r="3206" spans="8:20" x14ac:dyDescent="0.35">
      <c r="H3206" s="711"/>
      <c r="I3206" s="711"/>
      <c r="J3206" s="711"/>
      <c r="K3206" s="711"/>
      <c r="L3206" s="711"/>
      <c r="Q3206" s="11"/>
      <c r="R3206" s="11"/>
      <c r="S3206" s="11"/>
      <c r="T3206" s="11"/>
    </row>
    <row r="3207" spans="8:20" x14ac:dyDescent="0.35">
      <c r="H3207" s="711"/>
      <c r="I3207" s="711"/>
      <c r="J3207" s="711"/>
      <c r="K3207" s="711"/>
      <c r="L3207" s="711"/>
      <c r="Q3207" s="11"/>
      <c r="R3207" s="11"/>
      <c r="S3207" s="11"/>
      <c r="T3207" s="11"/>
    </row>
    <row r="3208" spans="8:20" x14ac:dyDescent="0.35">
      <c r="H3208" s="711"/>
      <c r="I3208" s="711"/>
      <c r="J3208" s="711"/>
      <c r="K3208" s="711"/>
      <c r="L3208" s="711"/>
      <c r="Q3208" s="11"/>
      <c r="R3208" s="11"/>
      <c r="S3208" s="11"/>
      <c r="T3208" s="11"/>
    </row>
    <row r="3209" spans="8:20" x14ac:dyDescent="0.35">
      <c r="H3209" s="711"/>
      <c r="I3209" s="711"/>
      <c r="J3209" s="711"/>
      <c r="K3209" s="711"/>
      <c r="L3209" s="711"/>
      <c r="Q3209" s="11"/>
      <c r="R3209" s="11"/>
      <c r="S3209" s="11"/>
      <c r="T3209" s="11"/>
    </row>
    <row r="3210" spans="8:20" x14ac:dyDescent="0.35">
      <c r="H3210" s="711"/>
      <c r="I3210" s="711"/>
      <c r="J3210" s="711"/>
      <c r="K3210" s="711"/>
      <c r="L3210" s="711"/>
      <c r="Q3210" s="11"/>
      <c r="R3210" s="11"/>
      <c r="S3210" s="11"/>
      <c r="T3210" s="11"/>
    </row>
    <row r="3211" spans="8:20" x14ac:dyDescent="0.35">
      <c r="H3211" s="711"/>
      <c r="I3211" s="711"/>
      <c r="J3211" s="711"/>
      <c r="K3211" s="711"/>
      <c r="L3211" s="711"/>
      <c r="Q3211" s="11"/>
      <c r="R3211" s="11"/>
      <c r="S3211" s="11"/>
      <c r="T3211" s="11"/>
    </row>
    <row r="3212" spans="8:20" x14ac:dyDescent="0.35">
      <c r="H3212" s="711"/>
      <c r="I3212" s="711"/>
      <c r="J3212" s="711"/>
      <c r="K3212" s="711"/>
      <c r="L3212" s="711"/>
      <c r="Q3212" s="11"/>
      <c r="R3212" s="11"/>
      <c r="S3212" s="11"/>
      <c r="T3212" s="11"/>
    </row>
    <row r="3213" spans="8:20" x14ac:dyDescent="0.35">
      <c r="H3213" s="711"/>
      <c r="I3213" s="711"/>
      <c r="J3213" s="711"/>
      <c r="K3213" s="711"/>
      <c r="L3213" s="711"/>
      <c r="Q3213" s="11"/>
      <c r="R3213" s="11"/>
      <c r="S3213" s="11"/>
      <c r="T3213" s="11"/>
    </row>
    <row r="3214" spans="8:20" x14ac:dyDescent="0.35">
      <c r="H3214" s="711"/>
      <c r="I3214" s="711"/>
      <c r="J3214" s="711"/>
      <c r="K3214" s="711"/>
      <c r="L3214" s="711"/>
      <c r="Q3214" s="11"/>
      <c r="R3214" s="11"/>
      <c r="S3214" s="11"/>
      <c r="T3214" s="11"/>
    </row>
    <row r="3215" spans="8:20" x14ac:dyDescent="0.35">
      <c r="H3215" s="711"/>
      <c r="I3215" s="711"/>
      <c r="J3215" s="711"/>
      <c r="K3215" s="711"/>
      <c r="L3215" s="711"/>
      <c r="Q3215" s="11"/>
      <c r="R3215" s="11"/>
      <c r="S3215" s="11"/>
      <c r="T3215" s="11"/>
    </row>
    <row r="3216" spans="8:20" x14ac:dyDescent="0.35">
      <c r="H3216" s="711"/>
      <c r="I3216" s="711"/>
      <c r="J3216" s="711"/>
      <c r="K3216" s="711"/>
      <c r="L3216" s="711"/>
      <c r="Q3216" s="11"/>
      <c r="R3216" s="11"/>
      <c r="S3216" s="11"/>
      <c r="T3216" s="11"/>
    </row>
    <row r="3217" spans="8:20" x14ac:dyDescent="0.35">
      <c r="H3217" s="711"/>
      <c r="I3217" s="711"/>
      <c r="J3217" s="711"/>
      <c r="K3217" s="711"/>
      <c r="L3217" s="711"/>
      <c r="Q3217" s="11"/>
      <c r="R3217" s="11"/>
      <c r="S3217" s="11"/>
      <c r="T3217" s="11"/>
    </row>
    <row r="3218" spans="8:20" x14ac:dyDescent="0.35">
      <c r="H3218" s="711"/>
      <c r="I3218" s="711"/>
      <c r="J3218" s="711"/>
      <c r="K3218" s="711"/>
      <c r="L3218" s="711"/>
      <c r="Q3218" s="11"/>
      <c r="R3218" s="11"/>
      <c r="S3218" s="11"/>
      <c r="T3218" s="11"/>
    </row>
    <row r="3219" spans="8:20" x14ac:dyDescent="0.35">
      <c r="H3219" s="711"/>
      <c r="I3219" s="711"/>
      <c r="J3219" s="711"/>
      <c r="K3219" s="711"/>
      <c r="L3219" s="711"/>
      <c r="Q3219" s="11"/>
      <c r="R3219" s="11"/>
      <c r="S3219" s="11"/>
      <c r="T3219" s="11"/>
    </row>
    <row r="3220" spans="8:20" x14ac:dyDescent="0.35">
      <c r="H3220" s="711"/>
      <c r="I3220" s="711"/>
      <c r="J3220" s="711"/>
      <c r="K3220" s="711"/>
      <c r="L3220" s="711"/>
      <c r="Q3220" s="11"/>
      <c r="R3220" s="11"/>
      <c r="S3220" s="11"/>
      <c r="T3220" s="11"/>
    </row>
    <row r="3221" spans="8:20" x14ac:dyDescent="0.35">
      <c r="H3221" s="711"/>
      <c r="I3221" s="711"/>
      <c r="J3221" s="711"/>
      <c r="K3221" s="711"/>
      <c r="L3221" s="711"/>
      <c r="Q3221" s="11"/>
      <c r="R3221" s="11"/>
      <c r="S3221" s="11"/>
      <c r="T3221" s="11"/>
    </row>
    <row r="3222" spans="8:20" x14ac:dyDescent="0.35">
      <c r="H3222" s="711"/>
      <c r="I3222" s="711"/>
      <c r="J3222" s="711"/>
      <c r="K3222" s="711"/>
      <c r="L3222" s="711"/>
      <c r="Q3222" s="11"/>
      <c r="R3222" s="11"/>
      <c r="S3222" s="11"/>
      <c r="T3222" s="11"/>
    </row>
    <row r="3223" spans="8:20" x14ac:dyDescent="0.35">
      <c r="H3223" s="711"/>
      <c r="I3223" s="711"/>
      <c r="J3223" s="711"/>
      <c r="K3223" s="711"/>
      <c r="L3223" s="711"/>
      <c r="Q3223" s="11"/>
      <c r="R3223" s="11"/>
      <c r="S3223" s="11"/>
      <c r="T3223" s="11"/>
    </row>
    <row r="3224" spans="8:20" x14ac:dyDescent="0.35">
      <c r="H3224" s="711"/>
      <c r="I3224" s="711"/>
      <c r="J3224" s="711"/>
      <c r="K3224" s="711"/>
      <c r="L3224" s="711"/>
      <c r="Q3224" s="11"/>
      <c r="R3224" s="11"/>
      <c r="S3224" s="11"/>
      <c r="T3224" s="11"/>
    </row>
    <row r="3225" spans="8:20" x14ac:dyDescent="0.35">
      <c r="H3225" s="711"/>
      <c r="I3225" s="711"/>
      <c r="J3225" s="711"/>
      <c r="K3225" s="711"/>
      <c r="L3225" s="711"/>
      <c r="Q3225" s="11"/>
      <c r="R3225" s="11"/>
      <c r="S3225" s="11"/>
      <c r="T3225" s="11"/>
    </row>
    <row r="3226" spans="8:20" x14ac:dyDescent="0.35">
      <c r="H3226" s="711"/>
      <c r="I3226" s="711"/>
      <c r="J3226" s="711"/>
      <c r="K3226" s="711"/>
      <c r="L3226" s="711"/>
      <c r="Q3226" s="11"/>
      <c r="R3226" s="11"/>
      <c r="S3226" s="11"/>
      <c r="T3226" s="11"/>
    </row>
    <row r="3227" spans="8:20" x14ac:dyDescent="0.35">
      <c r="H3227" s="711"/>
      <c r="I3227" s="711"/>
      <c r="J3227" s="711"/>
      <c r="K3227" s="711"/>
      <c r="L3227" s="711"/>
      <c r="Q3227" s="11"/>
      <c r="R3227" s="11"/>
      <c r="S3227" s="11"/>
      <c r="T3227" s="11"/>
    </row>
    <row r="3228" spans="8:20" x14ac:dyDescent="0.35">
      <c r="H3228" s="711"/>
      <c r="I3228" s="711"/>
      <c r="J3228" s="711"/>
      <c r="K3228" s="711"/>
      <c r="L3228" s="711"/>
      <c r="Q3228" s="11"/>
      <c r="R3228" s="11"/>
      <c r="S3228" s="11"/>
      <c r="T3228" s="11"/>
    </row>
    <row r="3229" spans="8:20" x14ac:dyDescent="0.35">
      <c r="H3229" s="711"/>
      <c r="I3229" s="711"/>
      <c r="J3229" s="711"/>
      <c r="K3229" s="711"/>
      <c r="L3229" s="711"/>
      <c r="Q3229" s="11"/>
      <c r="R3229" s="11"/>
      <c r="S3229" s="11"/>
      <c r="T3229" s="11"/>
    </row>
    <row r="3230" spans="8:20" x14ac:dyDescent="0.35">
      <c r="H3230" s="711"/>
      <c r="I3230" s="711"/>
      <c r="J3230" s="711"/>
      <c r="K3230" s="711"/>
      <c r="L3230" s="711"/>
      <c r="Q3230" s="11"/>
      <c r="R3230" s="11"/>
      <c r="S3230" s="11"/>
      <c r="T3230" s="11"/>
    </row>
    <row r="3231" spans="8:20" x14ac:dyDescent="0.35">
      <c r="H3231" s="711"/>
      <c r="I3231" s="711"/>
      <c r="J3231" s="711"/>
      <c r="K3231" s="711"/>
      <c r="L3231" s="711"/>
      <c r="Q3231" s="11"/>
      <c r="R3231" s="11"/>
      <c r="S3231" s="11"/>
      <c r="T3231" s="11"/>
    </row>
    <row r="3232" spans="8:20" x14ac:dyDescent="0.35">
      <c r="H3232" s="711"/>
      <c r="I3232" s="711"/>
      <c r="J3232" s="711"/>
      <c r="K3232" s="711"/>
      <c r="L3232" s="711"/>
      <c r="Q3232" s="11"/>
      <c r="R3232" s="11"/>
      <c r="S3232" s="11"/>
      <c r="T3232" s="11"/>
    </row>
    <row r="3233" spans="8:20" x14ac:dyDescent="0.35">
      <c r="H3233" s="711"/>
      <c r="I3233" s="711"/>
      <c r="J3233" s="711"/>
      <c r="K3233" s="711"/>
      <c r="L3233" s="711"/>
      <c r="Q3233" s="11"/>
      <c r="R3233" s="11"/>
      <c r="S3233" s="11"/>
      <c r="T3233" s="11"/>
    </row>
    <row r="3234" spans="8:20" x14ac:dyDescent="0.35">
      <c r="H3234" s="711"/>
      <c r="I3234" s="711"/>
      <c r="J3234" s="711"/>
      <c r="K3234" s="711"/>
      <c r="L3234" s="711"/>
      <c r="Q3234" s="11"/>
      <c r="R3234" s="11"/>
      <c r="S3234" s="11"/>
      <c r="T3234" s="11"/>
    </row>
    <row r="3235" spans="8:20" x14ac:dyDescent="0.35">
      <c r="H3235" s="711"/>
      <c r="I3235" s="711"/>
      <c r="J3235" s="711"/>
      <c r="K3235" s="711"/>
      <c r="L3235" s="711"/>
      <c r="Q3235" s="11"/>
      <c r="R3235" s="11"/>
      <c r="S3235" s="11"/>
      <c r="T3235" s="11"/>
    </row>
    <row r="3236" spans="8:20" x14ac:dyDescent="0.35">
      <c r="H3236" s="711"/>
      <c r="I3236" s="711"/>
      <c r="J3236" s="711"/>
      <c r="K3236" s="711"/>
      <c r="L3236" s="711"/>
      <c r="Q3236" s="11"/>
      <c r="R3236" s="11"/>
      <c r="S3236" s="11"/>
      <c r="T3236" s="11"/>
    </row>
    <row r="3237" spans="8:20" x14ac:dyDescent="0.35">
      <c r="H3237" s="711"/>
      <c r="I3237" s="711"/>
      <c r="J3237" s="711"/>
      <c r="K3237" s="711"/>
      <c r="L3237" s="711"/>
      <c r="Q3237" s="11"/>
      <c r="R3237" s="11"/>
      <c r="S3237" s="11"/>
      <c r="T3237" s="11"/>
    </row>
    <row r="3238" spans="8:20" x14ac:dyDescent="0.35">
      <c r="H3238" s="711"/>
      <c r="I3238" s="711"/>
      <c r="J3238" s="711"/>
      <c r="K3238" s="711"/>
      <c r="L3238" s="711"/>
      <c r="Q3238" s="11"/>
      <c r="R3238" s="11"/>
      <c r="S3238" s="11"/>
      <c r="T3238" s="11"/>
    </row>
    <row r="3239" spans="8:20" x14ac:dyDescent="0.35">
      <c r="H3239" s="711"/>
      <c r="I3239" s="711"/>
      <c r="J3239" s="711"/>
      <c r="K3239" s="711"/>
      <c r="L3239" s="711"/>
      <c r="Q3239" s="11"/>
      <c r="R3239" s="11"/>
      <c r="S3239" s="11"/>
      <c r="T3239" s="11"/>
    </row>
    <row r="3240" spans="8:20" x14ac:dyDescent="0.35">
      <c r="H3240" s="711"/>
      <c r="I3240" s="711"/>
      <c r="J3240" s="711"/>
      <c r="K3240" s="711"/>
      <c r="L3240" s="711"/>
      <c r="Q3240" s="11"/>
      <c r="R3240" s="11"/>
      <c r="S3240" s="11"/>
      <c r="T3240" s="11"/>
    </row>
    <row r="3241" spans="8:20" x14ac:dyDescent="0.35">
      <c r="H3241" s="711"/>
      <c r="I3241" s="711"/>
      <c r="J3241" s="711"/>
      <c r="K3241" s="711"/>
      <c r="L3241" s="711"/>
      <c r="Q3241" s="11"/>
      <c r="R3241" s="11"/>
      <c r="S3241" s="11"/>
      <c r="T3241" s="11"/>
    </row>
    <row r="3242" spans="8:20" x14ac:dyDescent="0.35">
      <c r="H3242" s="711"/>
      <c r="I3242" s="711"/>
      <c r="J3242" s="711"/>
      <c r="K3242" s="711"/>
      <c r="L3242" s="711"/>
      <c r="Q3242" s="11"/>
      <c r="R3242" s="11"/>
      <c r="S3242" s="11"/>
      <c r="T3242" s="11"/>
    </row>
    <row r="3243" spans="8:20" x14ac:dyDescent="0.35">
      <c r="H3243" s="711"/>
      <c r="I3243" s="711"/>
      <c r="J3243" s="711"/>
      <c r="K3243" s="711"/>
      <c r="L3243" s="711"/>
      <c r="Q3243" s="11"/>
      <c r="R3243" s="11"/>
      <c r="S3243" s="11"/>
      <c r="T3243" s="11"/>
    </row>
    <row r="3244" spans="8:20" x14ac:dyDescent="0.35">
      <c r="H3244" s="711"/>
      <c r="I3244" s="711"/>
      <c r="J3244" s="711"/>
      <c r="K3244" s="711"/>
      <c r="L3244" s="711"/>
      <c r="Q3244" s="11"/>
      <c r="R3244" s="11"/>
      <c r="S3244" s="11"/>
      <c r="T3244" s="11"/>
    </row>
    <row r="3245" spans="8:20" x14ac:dyDescent="0.35">
      <c r="H3245" s="711"/>
      <c r="I3245" s="711"/>
      <c r="J3245" s="711"/>
      <c r="K3245" s="711"/>
      <c r="L3245" s="711"/>
      <c r="Q3245" s="11"/>
      <c r="R3245" s="11"/>
      <c r="S3245" s="11"/>
      <c r="T3245" s="11"/>
    </row>
    <row r="3246" spans="8:20" x14ac:dyDescent="0.35">
      <c r="H3246" s="711"/>
      <c r="I3246" s="711"/>
      <c r="J3246" s="711"/>
      <c r="K3246" s="711"/>
      <c r="L3246" s="711"/>
      <c r="Q3246" s="11"/>
      <c r="R3246" s="11"/>
      <c r="S3246" s="11"/>
      <c r="T3246" s="11"/>
    </row>
    <row r="3247" spans="8:20" x14ac:dyDescent="0.35">
      <c r="H3247" s="711"/>
      <c r="I3247" s="711"/>
      <c r="J3247" s="711"/>
      <c r="K3247" s="711"/>
      <c r="L3247" s="711"/>
      <c r="Q3247" s="11"/>
      <c r="R3247" s="11"/>
      <c r="S3247" s="11"/>
      <c r="T3247" s="11"/>
    </row>
    <row r="3248" spans="8:20" x14ac:dyDescent="0.35">
      <c r="H3248" s="711"/>
      <c r="I3248" s="711"/>
      <c r="J3248" s="711"/>
      <c r="K3248" s="711"/>
      <c r="L3248" s="711"/>
      <c r="Q3248" s="11"/>
      <c r="R3248" s="11"/>
      <c r="S3248" s="11"/>
      <c r="T3248" s="11"/>
    </row>
    <row r="3249" spans="8:20" x14ac:dyDescent="0.35">
      <c r="H3249" s="711"/>
      <c r="I3249" s="711"/>
      <c r="J3249" s="711"/>
      <c r="K3249" s="711"/>
      <c r="L3249" s="711"/>
      <c r="Q3249" s="11"/>
      <c r="R3249" s="11"/>
      <c r="S3249" s="11"/>
      <c r="T3249" s="11"/>
    </row>
    <row r="3250" spans="8:20" x14ac:dyDescent="0.35">
      <c r="H3250" s="711"/>
      <c r="I3250" s="711"/>
      <c r="J3250" s="711"/>
      <c r="K3250" s="711"/>
      <c r="L3250" s="711"/>
      <c r="Q3250" s="11"/>
      <c r="R3250" s="11"/>
      <c r="S3250" s="11"/>
      <c r="T3250" s="11"/>
    </row>
    <row r="3251" spans="8:20" x14ac:dyDescent="0.35">
      <c r="H3251" s="711"/>
      <c r="I3251" s="711"/>
      <c r="J3251" s="711"/>
      <c r="K3251" s="711"/>
      <c r="L3251" s="711"/>
      <c r="Q3251" s="11"/>
      <c r="R3251" s="11"/>
      <c r="S3251" s="11"/>
      <c r="T3251" s="11"/>
    </row>
    <row r="3252" spans="8:20" x14ac:dyDescent="0.35">
      <c r="H3252" s="711"/>
      <c r="I3252" s="711"/>
      <c r="J3252" s="711"/>
      <c r="K3252" s="711"/>
      <c r="L3252" s="711"/>
      <c r="Q3252" s="11"/>
      <c r="R3252" s="11"/>
      <c r="S3252" s="11"/>
      <c r="T3252" s="11"/>
    </row>
    <row r="3253" spans="8:20" x14ac:dyDescent="0.35">
      <c r="H3253" s="711"/>
      <c r="I3253" s="711"/>
      <c r="J3253" s="711"/>
      <c r="K3253" s="711"/>
      <c r="L3253" s="711"/>
      <c r="Q3253" s="11"/>
      <c r="R3253" s="11"/>
      <c r="S3253" s="11"/>
      <c r="T3253" s="11"/>
    </row>
    <row r="3254" spans="8:20" x14ac:dyDescent="0.35">
      <c r="H3254" s="711"/>
      <c r="I3254" s="711"/>
      <c r="J3254" s="711"/>
      <c r="K3254" s="711"/>
      <c r="L3254" s="711"/>
      <c r="Q3254" s="11"/>
      <c r="R3254" s="11"/>
      <c r="S3254" s="11"/>
      <c r="T3254" s="11"/>
    </row>
    <row r="3255" spans="8:20" x14ac:dyDescent="0.35">
      <c r="H3255" s="711"/>
      <c r="I3255" s="711"/>
      <c r="J3255" s="711"/>
      <c r="K3255" s="711"/>
      <c r="L3255" s="711"/>
      <c r="Q3255" s="11"/>
      <c r="R3255" s="11"/>
      <c r="S3255" s="11"/>
      <c r="T3255" s="11"/>
    </row>
    <row r="3256" spans="8:20" x14ac:dyDescent="0.35">
      <c r="H3256" s="711"/>
      <c r="I3256" s="711"/>
      <c r="J3256" s="711"/>
      <c r="K3256" s="711"/>
      <c r="L3256" s="711"/>
      <c r="Q3256" s="11"/>
      <c r="R3256" s="11"/>
      <c r="S3256" s="11"/>
      <c r="T3256" s="11"/>
    </row>
    <row r="3257" spans="8:20" x14ac:dyDescent="0.35">
      <c r="H3257" s="711"/>
      <c r="I3257" s="711"/>
      <c r="J3257" s="711"/>
      <c r="K3257" s="711"/>
      <c r="L3257" s="711"/>
      <c r="Q3257" s="11"/>
      <c r="R3257" s="11"/>
      <c r="S3257" s="11"/>
      <c r="T3257" s="11"/>
    </row>
    <row r="3258" spans="8:20" x14ac:dyDescent="0.35">
      <c r="H3258" s="711"/>
      <c r="I3258" s="711"/>
      <c r="J3258" s="711"/>
      <c r="K3258" s="711"/>
      <c r="L3258" s="711"/>
      <c r="Q3258" s="11"/>
      <c r="R3258" s="11"/>
      <c r="S3258" s="11"/>
      <c r="T3258" s="11"/>
    </row>
    <row r="3259" spans="8:20" x14ac:dyDescent="0.35">
      <c r="H3259" s="711"/>
      <c r="I3259" s="711"/>
      <c r="J3259" s="711"/>
      <c r="K3259" s="711"/>
      <c r="L3259" s="711"/>
      <c r="Q3259" s="11"/>
      <c r="R3259" s="11"/>
      <c r="S3259" s="11"/>
      <c r="T3259" s="11"/>
    </row>
    <row r="3260" spans="8:20" x14ac:dyDescent="0.35">
      <c r="H3260" s="711"/>
      <c r="I3260" s="711"/>
      <c r="J3260" s="711"/>
      <c r="K3260" s="711"/>
      <c r="L3260" s="711"/>
      <c r="Q3260" s="11"/>
      <c r="R3260" s="11"/>
      <c r="S3260" s="11"/>
      <c r="T3260" s="11"/>
    </row>
    <row r="3261" spans="8:20" x14ac:dyDescent="0.35">
      <c r="H3261" s="711"/>
      <c r="I3261" s="711"/>
      <c r="J3261" s="711"/>
      <c r="K3261" s="711"/>
      <c r="L3261" s="711"/>
      <c r="Q3261" s="11"/>
      <c r="R3261" s="11"/>
      <c r="S3261" s="11"/>
      <c r="T3261" s="11"/>
    </row>
    <row r="3262" spans="8:20" x14ac:dyDescent="0.35">
      <c r="H3262" s="711"/>
      <c r="I3262" s="711"/>
      <c r="J3262" s="711"/>
      <c r="K3262" s="711"/>
      <c r="L3262" s="711"/>
      <c r="Q3262" s="11"/>
      <c r="R3262" s="11"/>
      <c r="S3262" s="11"/>
      <c r="T3262" s="11"/>
    </row>
    <row r="3263" spans="8:20" x14ac:dyDescent="0.35">
      <c r="H3263" s="711"/>
      <c r="I3263" s="711"/>
      <c r="J3263" s="711"/>
      <c r="K3263" s="711"/>
      <c r="L3263" s="711"/>
      <c r="Q3263" s="11"/>
      <c r="R3263" s="11"/>
      <c r="S3263" s="11"/>
      <c r="T3263" s="11"/>
    </row>
    <row r="3264" spans="8:20" x14ac:dyDescent="0.35">
      <c r="H3264" s="711"/>
      <c r="I3264" s="711"/>
      <c r="J3264" s="711"/>
      <c r="K3264" s="711"/>
      <c r="L3264" s="711"/>
      <c r="Q3264" s="11"/>
      <c r="R3264" s="11"/>
      <c r="S3264" s="11"/>
      <c r="T3264" s="11"/>
    </row>
    <row r="3265" spans="8:20" x14ac:dyDescent="0.35">
      <c r="H3265" s="711"/>
      <c r="I3265" s="711"/>
      <c r="J3265" s="711"/>
      <c r="K3265" s="711"/>
      <c r="L3265" s="711"/>
      <c r="Q3265" s="11"/>
      <c r="R3265" s="11"/>
      <c r="S3265" s="11"/>
      <c r="T3265" s="11"/>
    </row>
    <row r="3266" spans="8:20" x14ac:dyDescent="0.35">
      <c r="H3266" s="711"/>
      <c r="I3266" s="711"/>
      <c r="J3266" s="711"/>
      <c r="K3266" s="711"/>
      <c r="L3266" s="711"/>
      <c r="Q3266" s="11"/>
      <c r="R3266" s="11"/>
      <c r="S3266" s="11"/>
      <c r="T3266" s="11"/>
    </row>
    <row r="3267" spans="8:20" x14ac:dyDescent="0.35">
      <c r="H3267" s="711"/>
      <c r="I3267" s="711"/>
      <c r="J3267" s="711"/>
      <c r="K3267" s="711"/>
      <c r="L3267" s="711"/>
      <c r="Q3267" s="11"/>
      <c r="R3267" s="11"/>
      <c r="S3267" s="11"/>
      <c r="T3267" s="11"/>
    </row>
    <row r="3268" spans="8:20" x14ac:dyDescent="0.35">
      <c r="H3268" s="711"/>
      <c r="I3268" s="711"/>
      <c r="J3268" s="711"/>
      <c r="K3268" s="711"/>
      <c r="L3268" s="711"/>
      <c r="Q3268" s="11"/>
      <c r="R3268" s="11"/>
      <c r="S3268" s="11"/>
      <c r="T3268" s="11"/>
    </row>
    <row r="3269" spans="8:20" x14ac:dyDescent="0.35">
      <c r="H3269" s="711"/>
      <c r="I3269" s="711"/>
      <c r="J3269" s="711"/>
      <c r="K3269" s="711"/>
      <c r="L3269" s="711"/>
      <c r="Q3269" s="11"/>
      <c r="R3269" s="11"/>
      <c r="S3269" s="11"/>
      <c r="T3269" s="11"/>
    </row>
    <row r="3270" spans="8:20" x14ac:dyDescent="0.35">
      <c r="H3270" s="711"/>
      <c r="I3270" s="711"/>
      <c r="J3270" s="711"/>
      <c r="K3270" s="711"/>
      <c r="L3270" s="711"/>
      <c r="Q3270" s="11"/>
      <c r="R3270" s="11"/>
      <c r="S3270" s="11"/>
      <c r="T3270" s="11"/>
    </row>
    <row r="3271" spans="8:20" x14ac:dyDescent="0.35">
      <c r="H3271" s="711"/>
      <c r="I3271" s="711"/>
      <c r="J3271" s="711"/>
      <c r="K3271" s="711"/>
      <c r="L3271" s="711"/>
      <c r="Q3271" s="11"/>
      <c r="R3271" s="11"/>
      <c r="S3271" s="11"/>
      <c r="T3271" s="11"/>
    </row>
    <row r="3272" spans="8:20" x14ac:dyDescent="0.35">
      <c r="H3272" s="711"/>
      <c r="I3272" s="711"/>
      <c r="J3272" s="711"/>
      <c r="K3272" s="711"/>
      <c r="L3272" s="711"/>
      <c r="Q3272" s="11"/>
      <c r="R3272" s="11"/>
      <c r="S3272" s="11"/>
      <c r="T3272" s="11"/>
    </row>
    <row r="3273" spans="8:20" x14ac:dyDescent="0.35">
      <c r="H3273" s="711"/>
      <c r="I3273" s="711"/>
      <c r="J3273" s="711"/>
      <c r="K3273" s="711"/>
      <c r="L3273" s="711"/>
      <c r="Q3273" s="11"/>
      <c r="R3273" s="11"/>
      <c r="S3273" s="11"/>
      <c r="T3273" s="11"/>
    </row>
    <row r="3274" spans="8:20" x14ac:dyDescent="0.35">
      <c r="H3274" s="711"/>
      <c r="I3274" s="711"/>
      <c r="J3274" s="711"/>
      <c r="K3274" s="711"/>
      <c r="L3274" s="711"/>
      <c r="Q3274" s="11"/>
      <c r="R3274" s="11"/>
      <c r="S3274" s="11"/>
      <c r="T3274" s="11"/>
    </row>
    <row r="3275" spans="8:20" x14ac:dyDescent="0.35">
      <c r="H3275" s="711"/>
      <c r="I3275" s="711"/>
      <c r="J3275" s="711"/>
      <c r="K3275" s="711"/>
      <c r="L3275" s="711"/>
      <c r="Q3275" s="11"/>
      <c r="R3275" s="11"/>
      <c r="S3275" s="11"/>
      <c r="T3275" s="11"/>
    </row>
    <row r="3276" spans="8:20" x14ac:dyDescent="0.35">
      <c r="H3276" s="711"/>
      <c r="I3276" s="711"/>
      <c r="J3276" s="711"/>
      <c r="K3276" s="711"/>
      <c r="L3276" s="711"/>
      <c r="Q3276" s="11"/>
      <c r="R3276" s="11"/>
      <c r="S3276" s="11"/>
      <c r="T3276" s="11"/>
    </row>
    <row r="3277" spans="8:20" x14ac:dyDescent="0.35">
      <c r="H3277" s="711"/>
      <c r="I3277" s="711"/>
      <c r="J3277" s="711"/>
      <c r="K3277" s="711"/>
      <c r="L3277" s="711"/>
      <c r="Q3277" s="11"/>
      <c r="R3277" s="11"/>
      <c r="S3277" s="11"/>
      <c r="T3277" s="11"/>
    </row>
    <row r="3278" spans="8:20" x14ac:dyDescent="0.35">
      <c r="H3278" s="711"/>
      <c r="I3278" s="711"/>
      <c r="J3278" s="711"/>
      <c r="K3278" s="711"/>
      <c r="L3278" s="711"/>
      <c r="Q3278" s="11"/>
      <c r="R3278" s="11"/>
      <c r="S3278" s="11"/>
      <c r="T3278" s="11"/>
    </row>
    <row r="3279" spans="8:20" x14ac:dyDescent="0.35">
      <c r="H3279" s="711"/>
      <c r="I3279" s="711"/>
      <c r="J3279" s="711"/>
      <c r="K3279" s="711"/>
      <c r="L3279" s="711"/>
      <c r="Q3279" s="11"/>
      <c r="R3279" s="11"/>
      <c r="S3279" s="11"/>
      <c r="T3279" s="11"/>
    </row>
    <row r="3280" spans="8:20" x14ac:dyDescent="0.35">
      <c r="H3280" s="711"/>
      <c r="I3280" s="711"/>
      <c r="J3280" s="711"/>
      <c r="K3280" s="711"/>
      <c r="L3280" s="711"/>
      <c r="Q3280" s="11"/>
      <c r="R3280" s="11"/>
      <c r="S3280" s="11"/>
      <c r="T3280" s="11"/>
    </row>
    <row r="3281" spans="8:20" x14ac:dyDescent="0.35">
      <c r="H3281" s="711"/>
      <c r="I3281" s="711"/>
      <c r="J3281" s="711"/>
      <c r="K3281" s="711"/>
      <c r="L3281" s="711"/>
      <c r="Q3281" s="11"/>
      <c r="R3281" s="11"/>
      <c r="S3281" s="11"/>
      <c r="T3281" s="11"/>
    </row>
    <row r="3282" spans="8:20" x14ac:dyDescent="0.35">
      <c r="H3282" s="711"/>
      <c r="I3282" s="711"/>
      <c r="J3282" s="711"/>
      <c r="K3282" s="711"/>
      <c r="L3282" s="711"/>
      <c r="Q3282" s="11"/>
      <c r="R3282" s="11"/>
      <c r="S3282" s="11"/>
      <c r="T3282" s="11"/>
    </row>
    <row r="3283" spans="8:20" x14ac:dyDescent="0.35">
      <c r="H3283" s="711"/>
      <c r="I3283" s="711"/>
      <c r="J3283" s="711"/>
      <c r="K3283" s="711"/>
      <c r="L3283" s="711"/>
      <c r="Q3283" s="11"/>
      <c r="R3283" s="11"/>
      <c r="S3283" s="11"/>
      <c r="T3283" s="11"/>
    </row>
    <row r="3284" spans="8:20" x14ac:dyDescent="0.35">
      <c r="H3284" s="711"/>
      <c r="I3284" s="711"/>
      <c r="J3284" s="711"/>
      <c r="K3284" s="711"/>
      <c r="L3284" s="711"/>
      <c r="Q3284" s="11"/>
      <c r="R3284" s="11"/>
      <c r="S3284" s="11"/>
      <c r="T3284" s="11"/>
    </row>
    <row r="3285" spans="8:20" x14ac:dyDescent="0.35">
      <c r="H3285" s="711"/>
      <c r="I3285" s="711"/>
      <c r="J3285" s="711"/>
      <c r="K3285" s="711"/>
      <c r="L3285" s="711"/>
      <c r="Q3285" s="11"/>
      <c r="R3285" s="11"/>
      <c r="S3285" s="11"/>
      <c r="T3285" s="11"/>
    </row>
    <row r="3286" spans="8:20" x14ac:dyDescent="0.35">
      <c r="H3286" s="711"/>
      <c r="I3286" s="711"/>
      <c r="J3286" s="711"/>
      <c r="K3286" s="711"/>
      <c r="L3286" s="711"/>
      <c r="Q3286" s="11"/>
      <c r="R3286" s="11"/>
      <c r="S3286" s="11"/>
      <c r="T3286" s="11"/>
    </row>
    <row r="3287" spans="8:20" x14ac:dyDescent="0.35">
      <c r="H3287" s="711"/>
      <c r="I3287" s="711"/>
      <c r="J3287" s="711"/>
      <c r="K3287" s="711"/>
      <c r="L3287" s="711"/>
      <c r="Q3287" s="11"/>
      <c r="R3287" s="11"/>
      <c r="S3287" s="11"/>
      <c r="T3287" s="11"/>
    </row>
    <row r="3288" spans="8:20" x14ac:dyDescent="0.35">
      <c r="H3288" s="711"/>
      <c r="I3288" s="711"/>
      <c r="J3288" s="711"/>
      <c r="K3288" s="711"/>
      <c r="L3288" s="711"/>
      <c r="Q3288" s="11"/>
      <c r="R3288" s="11"/>
      <c r="S3288" s="11"/>
      <c r="T3288" s="11"/>
    </row>
    <row r="3289" spans="8:20" x14ac:dyDescent="0.35">
      <c r="H3289" s="711"/>
      <c r="I3289" s="711"/>
      <c r="J3289" s="711"/>
      <c r="K3289" s="711"/>
      <c r="L3289" s="711"/>
      <c r="Q3289" s="11"/>
      <c r="R3289" s="11"/>
      <c r="S3289" s="11"/>
      <c r="T3289" s="11"/>
    </row>
    <row r="3290" spans="8:20" x14ac:dyDescent="0.35">
      <c r="H3290" s="711"/>
      <c r="I3290" s="711"/>
      <c r="J3290" s="711"/>
      <c r="K3290" s="711"/>
      <c r="L3290" s="711"/>
      <c r="Q3290" s="11"/>
      <c r="R3290" s="11"/>
      <c r="S3290" s="11"/>
      <c r="T3290" s="11"/>
    </row>
    <row r="3291" spans="8:20" x14ac:dyDescent="0.35">
      <c r="H3291" s="711"/>
      <c r="I3291" s="711"/>
      <c r="J3291" s="711"/>
      <c r="K3291" s="711"/>
      <c r="L3291" s="711"/>
      <c r="Q3291" s="11"/>
      <c r="R3291" s="11"/>
      <c r="S3291" s="11"/>
      <c r="T3291" s="11"/>
    </row>
    <row r="3292" spans="8:20" x14ac:dyDescent="0.35">
      <c r="H3292" s="711"/>
      <c r="I3292" s="711"/>
      <c r="J3292" s="711"/>
      <c r="K3292" s="711"/>
      <c r="L3292" s="711"/>
      <c r="Q3292" s="11"/>
      <c r="R3292" s="11"/>
      <c r="S3292" s="11"/>
      <c r="T3292" s="11"/>
    </row>
    <row r="3293" spans="8:20" x14ac:dyDescent="0.35">
      <c r="H3293" s="711"/>
      <c r="I3293" s="711"/>
      <c r="J3293" s="711"/>
      <c r="K3293" s="711"/>
      <c r="L3293" s="711"/>
      <c r="Q3293" s="11"/>
      <c r="R3293" s="11"/>
      <c r="S3293" s="11"/>
      <c r="T3293" s="11"/>
    </row>
    <row r="3294" spans="8:20" x14ac:dyDescent="0.35">
      <c r="H3294" s="711"/>
      <c r="I3294" s="711"/>
      <c r="J3294" s="711"/>
      <c r="K3294" s="711"/>
      <c r="L3294" s="711"/>
      <c r="Q3294" s="11"/>
      <c r="R3294" s="11"/>
      <c r="S3294" s="11"/>
      <c r="T3294" s="11"/>
    </row>
    <row r="3295" spans="8:20" x14ac:dyDescent="0.35">
      <c r="H3295" s="711"/>
      <c r="I3295" s="711"/>
      <c r="J3295" s="711"/>
      <c r="K3295" s="711"/>
      <c r="L3295" s="711"/>
      <c r="Q3295" s="11"/>
      <c r="R3295" s="11"/>
      <c r="S3295" s="11"/>
      <c r="T3295" s="11"/>
    </row>
    <row r="3296" spans="8:20" x14ac:dyDescent="0.35">
      <c r="H3296" s="711"/>
      <c r="I3296" s="711"/>
      <c r="J3296" s="711"/>
      <c r="K3296" s="711"/>
      <c r="L3296" s="711"/>
      <c r="Q3296" s="11"/>
      <c r="R3296" s="11"/>
      <c r="S3296" s="11"/>
      <c r="T3296" s="11"/>
    </row>
    <row r="3297" spans="8:20" x14ac:dyDescent="0.35">
      <c r="H3297" s="711"/>
      <c r="I3297" s="711"/>
      <c r="J3297" s="711"/>
      <c r="K3297" s="711"/>
      <c r="L3297" s="711"/>
      <c r="Q3297" s="11"/>
      <c r="R3297" s="11"/>
      <c r="S3297" s="11"/>
      <c r="T3297" s="11"/>
    </row>
    <row r="3298" spans="8:20" x14ac:dyDescent="0.35">
      <c r="H3298" s="711"/>
      <c r="I3298" s="711"/>
      <c r="J3298" s="711"/>
      <c r="K3298" s="711"/>
      <c r="L3298" s="711"/>
      <c r="Q3298" s="11"/>
      <c r="R3298" s="11"/>
      <c r="S3298" s="11"/>
      <c r="T3298" s="11"/>
    </row>
    <row r="3299" spans="8:20" x14ac:dyDescent="0.35">
      <c r="H3299" s="711"/>
      <c r="I3299" s="711"/>
      <c r="J3299" s="711"/>
      <c r="K3299" s="711"/>
      <c r="L3299" s="711"/>
      <c r="Q3299" s="11"/>
      <c r="R3299" s="11"/>
      <c r="S3299" s="11"/>
      <c r="T3299" s="11"/>
    </row>
    <row r="3300" spans="8:20" x14ac:dyDescent="0.35">
      <c r="H3300" s="711"/>
      <c r="I3300" s="711"/>
      <c r="J3300" s="711"/>
      <c r="K3300" s="711"/>
      <c r="L3300" s="711"/>
      <c r="Q3300" s="11"/>
      <c r="R3300" s="11"/>
      <c r="S3300" s="11"/>
      <c r="T3300" s="11"/>
    </row>
    <row r="3301" spans="8:20" x14ac:dyDescent="0.35">
      <c r="H3301" s="711"/>
      <c r="I3301" s="711"/>
      <c r="J3301" s="711"/>
      <c r="K3301" s="711"/>
      <c r="L3301" s="711"/>
      <c r="Q3301" s="11"/>
      <c r="R3301" s="11"/>
      <c r="S3301" s="11"/>
      <c r="T3301" s="11"/>
    </row>
    <row r="3302" spans="8:20" x14ac:dyDescent="0.35">
      <c r="H3302" s="711"/>
      <c r="I3302" s="711"/>
      <c r="J3302" s="711"/>
      <c r="K3302" s="711"/>
      <c r="L3302" s="711"/>
      <c r="Q3302" s="11"/>
      <c r="R3302" s="11"/>
      <c r="S3302" s="11"/>
      <c r="T3302" s="11"/>
    </row>
    <row r="3303" spans="8:20" x14ac:dyDescent="0.35">
      <c r="H3303" s="711"/>
      <c r="I3303" s="711"/>
      <c r="J3303" s="711"/>
      <c r="K3303" s="711"/>
      <c r="L3303" s="711"/>
      <c r="Q3303" s="11"/>
      <c r="R3303" s="11"/>
      <c r="S3303" s="11"/>
      <c r="T3303" s="11"/>
    </row>
    <row r="3304" spans="8:20" x14ac:dyDescent="0.35">
      <c r="H3304" s="711"/>
      <c r="I3304" s="711"/>
      <c r="J3304" s="711"/>
      <c r="K3304" s="711"/>
      <c r="L3304" s="711"/>
      <c r="Q3304" s="11"/>
      <c r="R3304" s="11"/>
      <c r="S3304" s="11"/>
      <c r="T3304" s="11"/>
    </row>
    <row r="3305" spans="8:20" x14ac:dyDescent="0.35">
      <c r="H3305" s="711"/>
      <c r="I3305" s="711"/>
      <c r="J3305" s="711"/>
      <c r="K3305" s="711"/>
      <c r="L3305" s="711"/>
      <c r="Q3305" s="11"/>
      <c r="R3305" s="11"/>
      <c r="S3305" s="11"/>
      <c r="T3305" s="11"/>
    </row>
    <row r="3306" spans="8:20" x14ac:dyDescent="0.35">
      <c r="H3306" s="711"/>
      <c r="I3306" s="711"/>
      <c r="J3306" s="711"/>
      <c r="K3306" s="711"/>
      <c r="L3306" s="711"/>
      <c r="Q3306" s="11"/>
      <c r="R3306" s="11"/>
      <c r="S3306" s="11"/>
      <c r="T3306" s="11"/>
    </row>
    <row r="3307" spans="8:20" x14ac:dyDescent="0.35">
      <c r="H3307" s="711"/>
      <c r="I3307" s="711"/>
      <c r="J3307" s="711"/>
      <c r="K3307" s="711"/>
      <c r="L3307" s="711"/>
      <c r="Q3307" s="11"/>
      <c r="R3307" s="11"/>
      <c r="S3307" s="11"/>
      <c r="T3307" s="11"/>
    </row>
    <row r="3308" spans="8:20" x14ac:dyDescent="0.35">
      <c r="H3308" s="711"/>
      <c r="I3308" s="711"/>
      <c r="J3308" s="711"/>
      <c r="K3308" s="711"/>
      <c r="L3308" s="711"/>
      <c r="Q3308" s="11"/>
      <c r="R3308" s="11"/>
      <c r="S3308" s="11"/>
      <c r="T3308" s="11"/>
    </row>
    <row r="3309" spans="8:20" x14ac:dyDescent="0.35">
      <c r="H3309" s="711"/>
      <c r="I3309" s="711"/>
      <c r="J3309" s="711"/>
      <c r="K3309" s="711"/>
      <c r="L3309" s="711"/>
      <c r="Q3309" s="11"/>
      <c r="R3309" s="11"/>
      <c r="S3309" s="11"/>
      <c r="T3309" s="11"/>
    </row>
    <row r="3310" spans="8:20" x14ac:dyDescent="0.35">
      <c r="H3310" s="711"/>
      <c r="I3310" s="711"/>
      <c r="J3310" s="711"/>
      <c r="K3310" s="711"/>
      <c r="L3310" s="711"/>
      <c r="Q3310" s="11"/>
      <c r="R3310" s="11"/>
      <c r="S3310" s="11"/>
      <c r="T3310" s="11"/>
    </row>
    <row r="3311" spans="8:20" x14ac:dyDescent="0.35">
      <c r="H3311" s="711"/>
      <c r="I3311" s="711"/>
      <c r="J3311" s="711"/>
      <c r="K3311" s="711"/>
      <c r="L3311" s="711"/>
      <c r="Q3311" s="11"/>
      <c r="R3311" s="11"/>
      <c r="S3311" s="11"/>
      <c r="T3311" s="11"/>
    </row>
    <row r="3312" spans="8:20" x14ac:dyDescent="0.35">
      <c r="H3312" s="711"/>
      <c r="I3312" s="711"/>
      <c r="J3312" s="711"/>
      <c r="K3312" s="711"/>
      <c r="L3312" s="711"/>
      <c r="Q3312" s="11"/>
      <c r="R3312" s="11"/>
      <c r="S3312" s="11"/>
      <c r="T3312" s="11"/>
    </row>
    <row r="3313" spans="8:20" x14ac:dyDescent="0.35">
      <c r="H3313" s="711"/>
      <c r="I3313" s="711"/>
      <c r="J3313" s="711"/>
      <c r="K3313" s="711"/>
      <c r="L3313" s="711"/>
      <c r="Q3313" s="11"/>
      <c r="R3313" s="11"/>
      <c r="S3313" s="11"/>
      <c r="T3313" s="11"/>
    </row>
    <row r="3314" spans="8:20" x14ac:dyDescent="0.35">
      <c r="H3314" s="711"/>
      <c r="I3314" s="711"/>
      <c r="J3314" s="711"/>
      <c r="K3314" s="711"/>
      <c r="L3314" s="711"/>
      <c r="Q3314" s="11"/>
      <c r="R3314" s="11"/>
      <c r="S3314" s="11"/>
      <c r="T3314" s="11"/>
    </row>
    <row r="3315" spans="8:20" x14ac:dyDescent="0.35">
      <c r="H3315" s="711"/>
      <c r="I3315" s="711"/>
      <c r="J3315" s="711"/>
      <c r="K3315" s="711"/>
      <c r="L3315" s="711"/>
      <c r="Q3315" s="11"/>
      <c r="R3315" s="11"/>
      <c r="S3315" s="11"/>
      <c r="T3315" s="11"/>
    </row>
    <row r="3316" spans="8:20" x14ac:dyDescent="0.35">
      <c r="H3316" s="711"/>
      <c r="I3316" s="711"/>
      <c r="J3316" s="711"/>
      <c r="K3316" s="711"/>
      <c r="L3316" s="711"/>
      <c r="Q3316" s="11"/>
      <c r="R3316" s="11"/>
      <c r="S3316" s="11"/>
      <c r="T3316" s="11"/>
    </row>
    <row r="3317" spans="8:20" x14ac:dyDescent="0.35">
      <c r="H3317" s="711"/>
      <c r="I3317" s="711"/>
      <c r="J3317" s="711"/>
      <c r="K3317" s="711"/>
      <c r="L3317" s="711"/>
      <c r="Q3317" s="11"/>
      <c r="R3317" s="11"/>
      <c r="S3317" s="11"/>
      <c r="T3317" s="11"/>
    </row>
    <row r="3318" spans="8:20" x14ac:dyDescent="0.35">
      <c r="H3318" s="711"/>
      <c r="I3318" s="711"/>
      <c r="J3318" s="711"/>
      <c r="K3318" s="711"/>
      <c r="L3318" s="711"/>
      <c r="Q3318" s="11"/>
      <c r="R3318" s="11"/>
      <c r="S3318" s="11"/>
      <c r="T3318" s="11"/>
    </row>
    <row r="3319" spans="8:20" x14ac:dyDescent="0.35">
      <c r="H3319" s="711"/>
      <c r="I3319" s="711"/>
      <c r="J3319" s="711"/>
      <c r="K3319" s="711"/>
      <c r="L3319" s="711"/>
      <c r="Q3319" s="11"/>
      <c r="R3319" s="11"/>
      <c r="S3319" s="11"/>
      <c r="T3319" s="11"/>
    </row>
    <row r="3320" spans="8:20" x14ac:dyDescent="0.35">
      <c r="H3320" s="711"/>
      <c r="I3320" s="711"/>
      <c r="J3320" s="711"/>
      <c r="K3320" s="711"/>
      <c r="L3320" s="711"/>
      <c r="Q3320" s="11"/>
      <c r="R3320" s="11"/>
      <c r="S3320" s="11"/>
      <c r="T3320" s="11"/>
    </row>
    <row r="3321" spans="8:20" x14ac:dyDescent="0.35">
      <c r="H3321" s="711"/>
      <c r="I3321" s="711"/>
      <c r="J3321" s="711"/>
      <c r="K3321" s="711"/>
      <c r="L3321" s="711"/>
      <c r="Q3321" s="11"/>
      <c r="R3321" s="11"/>
      <c r="S3321" s="11"/>
      <c r="T3321" s="11"/>
    </row>
    <row r="3322" spans="8:20" x14ac:dyDescent="0.35">
      <c r="H3322" s="711"/>
      <c r="I3322" s="711"/>
      <c r="J3322" s="711"/>
      <c r="K3322" s="711"/>
      <c r="L3322" s="711"/>
      <c r="Q3322" s="11"/>
      <c r="R3322" s="11"/>
      <c r="S3322" s="11"/>
      <c r="T3322" s="11"/>
    </row>
    <row r="3323" spans="8:20" x14ac:dyDescent="0.35">
      <c r="H3323" s="711"/>
      <c r="I3323" s="711"/>
      <c r="J3323" s="711"/>
      <c r="K3323" s="711"/>
      <c r="L3323" s="711"/>
      <c r="Q3323" s="11"/>
      <c r="R3323" s="11"/>
      <c r="S3323" s="11"/>
      <c r="T3323" s="11"/>
    </row>
    <row r="3324" spans="8:20" x14ac:dyDescent="0.35">
      <c r="H3324" s="711"/>
      <c r="I3324" s="711"/>
      <c r="J3324" s="711"/>
      <c r="K3324" s="711"/>
      <c r="L3324" s="711"/>
      <c r="Q3324" s="11"/>
      <c r="R3324" s="11"/>
      <c r="S3324" s="11"/>
      <c r="T3324" s="11"/>
    </row>
    <row r="3325" spans="8:20" x14ac:dyDescent="0.35">
      <c r="H3325" s="711"/>
      <c r="I3325" s="711"/>
      <c r="J3325" s="711"/>
      <c r="K3325" s="711"/>
      <c r="L3325" s="711"/>
      <c r="Q3325" s="11"/>
      <c r="R3325" s="11"/>
      <c r="S3325" s="11"/>
      <c r="T3325" s="11"/>
    </row>
    <row r="3326" spans="8:20" x14ac:dyDescent="0.35">
      <c r="H3326" s="711"/>
      <c r="I3326" s="711"/>
      <c r="J3326" s="711"/>
      <c r="K3326" s="711"/>
      <c r="L3326" s="711"/>
      <c r="Q3326" s="11"/>
      <c r="R3326" s="11"/>
      <c r="S3326" s="11"/>
      <c r="T3326" s="11"/>
    </row>
    <row r="3327" spans="8:20" x14ac:dyDescent="0.35">
      <c r="H3327" s="711"/>
      <c r="I3327" s="711"/>
      <c r="J3327" s="711"/>
      <c r="K3327" s="711"/>
      <c r="L3327" s="711"/>
      <c r="Q3327" s="11"/>
      <c r="R3327" s="11"/>
      <c r="S3327" s="11"/>
      <c r="T3327" s="11"/>
    </row>
    <row r="3328" spans="8:20" x14ac:dyDescent="0.35">
      <c r="H3328" s="711"/>
      <c r="I3328" s="711"/>
      <c r="J3328" s="711"/>
      <c r="K3328" s="711"/>
      <c r="L3328" s="711"/>
      <c r="Q3328" s="11"/>
      <c r="R3328" s="11"/>
      <c r="S3328" s="11"/>
      <c r="T3328" s="11"/>
    </row>
    <row r="3329" spans="8:20" x14ac:dyDescent="0.35">
      <c r="H3329" s="711"/>
      <c r="I3329" s="711"/>
      <c r="J3329" s="711"/>
      <c r="K3329" s="711"/>
      <c r="L3329" s="711"/>
      <c r="Q3329" s="11"/>
      <c r="R3329" s="11"/>
      <c r="S3329" s="11"/>
      <c r="T3329" s="11"/>
    </row>
    <row r="3330" spans="8:20" x14ac:dyDescent="0.35">
      <c r="H3330" s="711"/>
      <c r="I3330" s="711"/>
      <c r="J3330" s="711"/>
      <c r="K3330" s="711"/>
      <c r="L3330" s="711"/>
      <c r="Q3330" s="11"/>
      <c r="R3330" s="11"/>
      <c r="S3330" s="11"/>
      <c r="T3330" s="11"/>
    </row>
    <row r="3331" spans="8:20" x14ac:dyDescent="0.35">
      <c r="H3331" s="711"/>
      <c r="I3331" s="711"/>
      <c r="J3331" s="711"/>
      <c r="K3331" s="711"/>
      <c r="L3331" s="711"/>
      <c r="Q3331" s="11"/>
      <c r="R3331" s="11"/>
      <c r="S3331" s="11"/>
      <c r="T3331" s="11"/>
    </row>
    <row r="3332" spans="8:20" x14ac:dyDescent="0.35">
      <c r="H3332" s="711"/>
      <c r="I3332" s="711"/>
      <c r="J3332" s="711"/>
      <c r="K3332" s="711"/>
      <c r="L3332" s="711"/>
      <c r="Q3332" s="11"/>
      <c r="R3332" s="11"/>
      <c r="S3332" s="11"/>
      <c r="T3332" s="11"/>
    </row>
    <row r="3333" spans="8:20" x14ac:dyDescent="0.35">
      <c r="H3333" s="711"/>
      <c r="I3333" s="711"/>
      <c r="J3333" s="711"/>
      <c r="K3333" s="711"/>
      <c r="L3333" s="711"/>
      <c r="Q3333" s="11"/>
      <c r="R3333" s="11"/>
      <c r="S3333" s="11"/>
      <c r="T3333" s="11"/>
    </row>
    <row r="3334" spans="8:20" x14ac:dyDescent="0.35">
      <c r="H3334" s="711"/>
      <c r="I3334" s="711"/>
      <c r="J3334" s="711"/>
      <c r="K3334" s="711"/>
      <c r="L3334" s="711"/>
      <c r="Q3334" s="11"/>
      <c r="R3334" s="11"/>
      <c r="S3334" s="11"/>
      <c r="T3334" s="11"/>
    </row>
    <row r="3335" spans="8:20" x14ac:dyDescent="0.35">
      <c r="H3335" s="711"/>
      <c r="I3335" s="711"/>
      <c r="J3335" s="711"/>
      <c r="K3335" s="711"/>
      <c r="L3335" s="711"/>
      <c r="Q3335" s="11"/>
      <c r="R3335" s="11"/>
      <c r="S3335" s="11"/>
      <c r="T3335" s="11"/>
    </row>
    <row r="3336" spans="8:20" x14ac:dyDescent="0.35">
      <c r="H3336" s="711"/>
      <c r="I3336" s="711"/>
      <c r="J3336" s="711"/>
      <c r="K3336" s="711"/>
      <c r="L3336" s="711"/>
      <c r="Q3336" s="11"/>
      <c r="R3336" s="11"/>
      <c r="S3336" s="11"/>
      <c r="T3336" s="11"/>
    </row>
    <row r="3337" spans="8:20" x14ac:dyDescent="0.35">
      <c r="H3337" s="711"/>
      <c r="I3337" s="711"/>
      <c r="J3337" s="711"/>
      <c r="K3337" s="711"/>
      <c r="L3337" s="711"/>
      <c r="Q3337" s="11"/>
      <c r="R3337" s="11"/>
      <c r="S3337" s="11"/>
      <c r="T3337" s="11"/>
    </row>
    <row r="3338" spans="8:20" x14ac:dyDescent="0.35">
      <c r="H3338" s="711"/>
      <c r="I3338" s="711"/>
      <c r="J3338" s="711"/>
      <c r="K3338" s="711"/>
      <c r="L3338" s="711"/>
      <c r="Q3338" s="11"/>
      <c r="R3338" s="11"/>
      <c r="S3338" s="11"/>
      <c r="T3338" s="11"/>
    </row>
    <row r="3339" spans="8:20" x14ac:dyDescent="0.35">
      <c r="H3339" s="711"/>
      <c r="I3339" s="711"/>
      <c r="J3339" s="711"/>
      <c r="K3339" s="711"/>
      <c r="L3339" s="711"/>
      <c r="Q3339" s="11"/>
      <c r="R3339" s="11"/>
      <c r="S3339" s="11"/>
      <c r="T3339" s="11"/>
    </row>
    <row r="3340" spans="8:20" x14ac:dyDescent="0.35">
      <c r="H3340" s="711"/>
      <c r="I3340" s="711"/>
      <c r="J3340" s="711"/>
      <c r="K3340" s="711"/>
      <c r="L3340" s="711"/>
      <c r="Q3340" s="11"/>
      <c r="R3340" s="11"/>
      <c r="S3340" s="11"/>
      <c r="T3340" s="11"/>
    </row>
    <row r="3341" spans="8:20" x14ac:dyDescent="0.35">
      <c r="H3341" s="711"/>
      <c r="I3341" s="711"/>
      <c r="J3341" s="711"/>
      <c r="K3341" s="711"/>
      <c r="L3341" s="711"/>
      <c r="Q3341" s="11"/>
      <c r="R3341" s="11"/>
      <c r="S3341" s="11"/>
      <c r="T3341" s="11"/>
    </row>
    <row r="3342" spans="8:20" x14ac:dyDescent="0.35">
      <c r="H3342" s="711"/>
      <c r="I3342" s="711"/>
      <c r="J3342" s="711"/>
      <c r="K3342" s="711"/>
      <c r="L3342" s="711"/>
      <c r="Q3342" s="11"/>
      <c r="R3342" s="11"/>
      <c r="S3342" s="11"/>
      <c r="T3342" s="11"/>
    </row>
    <row r="3343" spans="8:20" x14ac:dyDescent="0.35">
      <c r="H3343" s="711"/>
      <c r="I3343" s="711"/>
      <c r="J3343" s="711"/>
      <c r="K3343" s="711"/>
      <c r="L3343" s="711"/>
      <c r="Q3343" s="11"/>
      <c r="R3343" s="11"/>
      <c r="S3343" s="11"/>
      <c r="T3343" s="11"/>
    </row>
    <row r="3344" spans="8:20" x14ac:dyDescent="0.35">
      <c r="H3344" s="711"/>
      <c r="I3344" s="711"/>
      <c r="J3344" s="711"/>
      <c r="K3344" s="711"/>
      <c r="L3344" s="711"/>
      <c r="Q3344" s="11"/>
      <c r="R3344" s="11"/>
      <c r="S3344" s="11"/>
      <c r="T3344" s="11"/>
    </row>
    <row r="3345" spans="8:20" x14ac:dyDescent="0.35">
      <c r="H3345" s="711"/>
      <c r="I3345" s="711"/>
      <c r="J3345" s="711"/>
      <c r="K3345" s="711"/>
      <c r="L3345" s="711"/>
      <c r="Q3345" s="11"/>
      <c r="R3345" s="11"/>
      <c r="S3345" s="11"/>
      <c r="T3345" s="11"/>
    </row>
    <row r="3346" spans="8:20" x14ac:dyDescent="0.35">
      <c r="H3346" s="711"/>
      <c r="I3346" s="711"/>
      <c r="J3346" s="711"/>
      <c r="K3346" s="711"/>
      <c r="L3346" s="711"/>
      <c r="Q3346" s="11"/>
      <c r="R3346" s="11"/>
      <c r="S3346" s="11"/>
      <c r="T3346" s="11"/>
    </row>
    <row r="3347" spans="8:20" x14ac:dyDescent="0.35">
      <c r="H3347" s="711"/>
      <c r="I3347" s="711"/>
      <c r="J3347" s="711"/>
      <c r="K3347" s="711"/>
      <c r="L3347" s="711"/>
      <c r="Q3347" s="11"/>
      <c r="R3347" s="11"/>
      <c r="S3347" s="11"/>
      <c r="T3347" s="11"/>
    </row>
    <row r="3348" spans="8:20" x14ac:dyDescent="0.35">
      <c r="H3348" s="711"/>
      <c r="I3348" s="711"/>
      <c r="J3348" s="711"/>
      <c r="K3348" s="711"/>
      <c r="L3348" s="711"/>
      <c r="Q3348" s="11"/>
      <c r="R3348" s="11"/>
      <c r="S3348" s="11"/>
      <c r="T3348" s="11"/>
    </row>
    <row r="3349" spans="8:20" x14ac:dyDescent="0.35">
      <c r="H3349" s="711"/>
      <c r="I3349" s="711"/>
      <c r="J3349" s="711"/>
      <c r="K3349" s="711"/>
      <c r="L3349" s="711"/>
      <c r="Q3349" s="11"/>
      <c r="R3349" s="11"/>
      <c r="S3349" s="11"/>
      <c r="T3349" s="11"/>
    </row>
    <row r="3350" spans="8:20" x14ac:dyDescent="0.35">
      <c r="H3350" s="711"/>
      <c r="I3350" s="711"/>
      <c r="J3350" s="711"/>
      <c r="K3350" s="711"/>
      <c r="L3350" s="711"/>
      <c r="Q3350" s="11"/>
      <c r="R3350" s="11"/>
      <c r="S3350" s="11"/>
      <c r="T3350" s="11"/>
    </row>
    <row r="3351" spans="8:20" x14ac:dyDescent="0.35">
      <c r="H3351" s="711"/>
      <c r="I3351" s="711"/>
      <c r="J3351" s="711"/>
      <c r="K3351" s="711"/>
      <c r="L3351" s="711"/>
      <c r="Q3351" s="11"/>
      <c r="R3351" s="11"/>
      <c r="S3351" s="11"/>
      <c r="T3351" s="11"/>
    </row>
    <row r="3352" spans="8:20" x14ac:dyDescent="0.35">
      <c r="H3352" s="711"/>
      <c r="I3352" s="711"/>
      <c r="J3352" s="711"/>
      <c r="K3352" s="711"/>
      <c r="L3352" s="711"/>
      <c r="Q3352" s="11"/>
      <c r="R3352" s="11"/>
      <c r="S3352" s="11"/>
      <c r="T3352" s="11"/>
    </row>
    <row r="3353" spans="8:20" x14ac:dyDescent="0.35">
      <c r="H3353" s="711"/>
      <c r="I3353" s="711"/>
      <c r="J3353" s="711"/>
      <c r="K3353" s="711"/>
      <c r="L3353" s="711"/>
      <c r="Q3353" s="11"/>
      <c r="R3353" s="11"/>
      <c r="S3353" s="11"/>
      <c r="T3353" s="11"/>
    </row>
    <row r="3354" spans="8:20" x14ac:dyDescent="0.35">
      <c r="H3354" s="711"/>
      <c r="I3354" s="711"/>
      <c r="J3354" s="711"/>
      <c r="K3354" s="711"/>
      <c r="L3354" s="711"/>
      <c r="Q3354" s="11"/>
      <c r="R3354" s="11"/>
      <c r="S3354" s="11"/>
      <c r="T3354" s="11"/>
    </row>
    <row r="3355" spans="8:20" x14ac:dyDescent="0.35">
      <c r="H3355" s="711"/>
      <c r="I3355" s="711"/>
      <c r="J3355" s="711"/>
      <c r="K3355" s="711"/>
      <c r="L3355" s="711"/>
      <c r="Q3355" s="11"/>
      <c r="R3355" s="11"/>
      <c r="S3355" s="11"/>
      <c r="T3355" s="11"/>
    </row>
    <row r="3356" spans="8:20" x14ac:dyDescent="0.35">
      <c r="H3356" s="711"/>
      <c r="I3356" s="711"/>
      <c r="J3356" s="711"/>
      <c r="K3356" s="711"/>
      <c r="L3356" s="711"/>
      <c r="Q3356" s="11"/>
      <c r="R3356" s="11"/>
      <c r="S3356" s="11"/>
      <c r="T3356" s="11"/>
    </row>
    <row r="3357" spans="8:20" x14ac:dyDescent="0.35">
      <c r="H3357" s="711"/>
      <c r="I3357" s="711"/>
      <c r="J3357" s="711"/>
      <c r="K3357" s="711"/>
      <c r="L3357" s="711"/>
      <c r="Q3357" s="11"/>
      <c r="R3357" s="11"/>
      <c r="S3357" s="11"/>
      <c r="T3357" s="11"/>
    </row>
    <row r="3358" spans="8:20" x14ac:dyDescent="0.35">
      <c r="H3358" s="711"/>
      <c r="I3358" s="711"/>
      <c r="J3358" s="711"/>
      <c r="K3358" s="711"/>
      <c r="L3358" s="711"/>
      <c r="Q3358" s="11"/>
      <c r="R3358" s="11"/>
      <c r="S3358" s="11"/>
      <c r="T3358" s="11"/>
    </row>
    <row r="3359" spans="8:20" x14ac:dyDescent="0.35">
      <c r="H3359" s="711"/>
      <c r="I3359" s="711"/>
      <c r="J3359" s="711"/>
      <c r="K3359" s="711"/>
      <c r="L3359" s="711"/>
      <c r="Q3359" s="11"/>
      <c r="R3359" s="11"/>
      <c r="S3359" s="11"/>
      <c r="T3359" s="11"/>
    </row>
    <row r="3360" spans="8:20" x14ac:dyDescent="0.35">
      <c r="H3360" s="711"/>
      <c r="I3360" s="711"/>
      <c r="J3360" s="711"/>
      <c r="K3360" s="711"/>
      <c r="L3360" s="711"/>
      <c r="Q3360" s="11"/>
      <c r="R3360" s="11"/>
      <c r="S3360" s="11"/>
      <c r="T3360" s="11"/>
    </row>
    <row r="3361" spans="8:20" x14ac:dyDescent="0.35">
      <c r="H3361" s="711"/>
      <c r="I3361" s="711"/>
      <c r="J3361" s="711"/>
      <c r="K3361" s="711"/>
      <c r="L3361" s="711"/>
      <c r="Q3361" s="11"/>
      <c r="R3361" s="11"/>
      <c r="S3361" s="11"/>
      <c r="T3361" s="11"/>
    </row>
    <row r="3362" spans="8:20" x14ac:dyDescent="0.35">
      <c r="H3362" s="711"/>
      <c r="I3362" s="711"/>
      <c r="J3362" s="711"/>
      <c r="K3362" s="711"/>
      <c r="L3362" s="711"/>
      <c r="Q3362" s="11"/>
      <c r="R3362" s="11"/>
      <c r="S3362" s="11"/>
      <c r="T3362" s="11"/>
    </row>
    <row r="3363" spans="8:20" x14ac:dyDescent="0.35">
      <c r="H3363" s="711"/>
      <c r="I3363" s="711"/>
      <c r="J3363" s="711"/>
      <c r="K3363" s="711"/>
      <c r="L3363" s="711"/>
      <c r="Q3363" s="11"/>
      <c r="R3363" s="11"/>
      <c r="S3363" s="11"/>
      <c r="T3363" s="11"/>
    </row>
    <row r="3364" spans="8:20" x14ac:dyDescent="0.35">
      <c r="H3364" s="711"/>
      <c r="I3364" s="711"/>
      <c r="J3364" s="711"/>
      <c r="K3364" s="711"/>
      <c r="L3364" s="711"/>
      <c r="Q3364" s="11"/>
      <c r="R3364" s="11"/>
      <c r="S3364" s="11"/>
      <c r="T3364" s="11"/>
    </row>
    <row r="3365" spans="8:20" x14ac:dyDescent="0.35">
      <c r="H3365" s="711"/>
      <c r="I3365" s="711"/>
      <c r="J3365" s="711"/>
      <c r="K3365" s="711"/>
      <c r="L3365" s="711"/>
      <c r="Q3365" s="11"/>
      <c r="R3365" s="11"/>
      <c r="S3365" s="11"/>
      <c r="T3365" s="11"/>
    </row>
    <row r="3366" spans="8:20" x14ac:dyDescent="0.35">
      <c r="H3366" s="711"/>
      <c r="I3366" s="711"/>
      <c r="J3366" s="711"/>
      <c r="K3366" s="711"/>
      <c r="L3366" s="711"/>
      <c r="Q3366" s="11"/>
      <c r="R3366" s="11"/>
      <c r="S3366" s="11"/>
      <c r="T3366" s="11"/>
    </row>
    <row r="3367" spans="8:20" x14ac:dyDescent="0.35">
      <c r="H3367" s="711"/>
      <c r="I3367" s="711"/>
      <c r="J3367" s="711"/>
      <c r="K3367" s="711"/>
      <c r="L3367" s="711"/>
      <c r="Q3367" s="11"/>
      <c r="R3367" s="11"/>
      <c r="S3367" s="11"/>
      <c r="T3367" s="11"/>
    </row>
    <row r="3368" spans="8:20" x14ac:dyDescent="0.35">
      <c r="H3368" s="711"/>
      <c r="I3368" s="711"/>
      <c r="J3368" s="711"/>
      <c r="K3368" s="711"/>
      <c r="L3368" s="711"/>
      <c r="Q3368" s="11"/>
      <c r="R3368" s="11"/>
      <c r="S3368" s="11"/>
      <c r="T3368" s="11"/>
    </row>
    <row r="3369" spans="8:20" x14ac:dyDescent="0.35">
      <c r="H3369" s="711"/>
      <c r="I3369" s="711"/>
      <c r="J3369" s="711"/>
      <c r="K3369" s="711"/>
      <c r="L3369" s="711"/>
      <c r="Q3369" s="11"/>
      <c r="R3369" s="11"/>
      <c r="S3369" s="11"/>
      <c r="T3369" s="11"/>
    </row>
    <row r="3370" spans="8:20" x14ac:dyDescent="0.35">
      <c r="H3370" s="711"/>
      <c r="I3370" s="711"/>
      <c r="J3370" s="711"/>
      <c r="K3370" s="711"/>
      <c r="L3370" s="711"/>
      <c r="Q3370" s="11"/>
      <c r="R3370" s="11"/>
      <c r="S3370" s="11"/>
      <c r="T3370" s="11"/>
    </row>
    <row r="3371" spans="8:20" x14ac:dyDescent="0.35">
      <c r="H3371" s="711"/>
      <c r="I3371" s="711"/>
      <c r="J3371" s="711"/>
      <c r="K3371" s="711"/>
      <c r="L3371" s="711"/>
      <c r="Q3371" s="11"/>
      <c r="R3371" s="11"/>
      <c r="S3371" s="11"/>
      <c r="T3371" s="11"/>
    </row>
    <row r="3372" spans="8:20" x14ac:dyDescent="0.35">
      <c r="H3372" s="711"/>
      <c r="I3372" s="711"/>
      <c r="J3372" s="711"/>
      <c r="K3372" s="711"/>
      <c r="L3372" s="711"/>
      <c r="Q3372" s="11"/>
      <c r="R3372" s="11"/>
      <c r="S3372" s="11"/>
      <c r="T3372" s="11"/>
    </row>
    <row r="3373" spans="8:20" x14ac:dyDescent="0.35">
      <c r="H3373" s="711"/>
      <c r="I3373" s="711"/>
      <c r="J3373" s="711"/>
      <c r="K3373" s="711"/>
      <c r="L3373" s="711"/>
      <c r="Q3373" s="11"/>
      <c r="R3373" s="11"/>
      <c r="S3373" s="11"/>
      <c r="T3373" s="11"/>
    </row>
    <row r="3374" spans="8:20" x14ac:dyDescent="0.35">
      <c r="H3374" s="711"/>
      <c r="I3374" s="711"/>
      <c r="J3374" s="711"/>
      <c r="K3374" s="711"/>
      <c r="L3374" s="711"/>
      <c r="Q3374" s="11"/>
      <c r="R3374" s="11"/>
      <c r="S3374" s="11"/>
      <c r="T3374" s="11"/>
    </row>
    <row r="3375" spans="8:20" x14ac:dyDescent="0.35">
      <c r="H3375" s="711"/>
      <c r="I3375" s="711"/>
      <c r="J3375" s="711"/>
      <c r="K3375" s="711"/>
      <c r="L3375" s="711"/>
      <c r="Q3375" s="11"/>
      <c r="R3375" s="11"/>
      <c r="S3375" s="11"/>
      <c r="T3375" s="11"/>
    </row>
    <row r="3376" spans="8:20" x14ac:dyDescent="0.35">
      <c r="H3376" s="711"/>
      <c r="I3376" s="711"/>
      <c r="J3376" s="711"/>
      <c r="K3376" s="711"/>
      <c r="L3376" s="711"/>
      <c r="Q3376" s="11"/>
      <c r="R3376" s="11"/>
      <c r="S3376" s="11"/>
      <c r="T3376" s="11"/>
    </row>
    <row r="3377" spans="8:20" x14ac:dyDescent="0.35">
      <c r="H3377" s="711"/>
      <c r="I3377" s="711"/>
      <c r="J3377" s="711"/>
      <c r="K3377" s="711"/>
      <c r="L3377" s="711"/>
      <c r="Q3377" s="11"/>
      <c r="R3377" s="11"/>
      <c r="S3377" s="11"/>
      <c r="T3377" s="11"/>
    </row>
    <row r="3378" spans="8:20" x14ac:dyDescent="0.35">
      <c r="H3378" s="711"/>
      <c r="I3378" s="711"/>
      <c r="J3378" s="711"/>
      <c r="K3378" s="711"/>
      <c r="L3378" s="711"/>
      <c r="Q3378" s="11"/>
      <c r="R3378" s="11"/>
      <c r="S3378" s="11"/>
      <c r="T3378" s="11"/>
    </row>
    <row r="3379" spans="8:20" x14ac:dyDescent="0.35">
      <c r="H3379" s="711"/>
      <c r="I3379" s="711"/>
      <c r="J3379" s="711"/>
      <c r="K3379" s="711"/>
      <c r="L3379" s="711"/>
      <c r="Q3379" s="11"/>
      <c r="R3379" s="11"/>
      <c r="S3379" s="11"/>
      <c r="T3379" s="11"/>
    </row>
    <row r="3380" spans="8:20" x14ac:dyDescent="0.35">
      <c r="H3380" s="711"/>
      <c r="I3380" s="711"/>
      <c r="J3380" s="711"/>
      <c r="K3380" s="711"/>
      <c r="L3380" s="711"/>
      <c r="Q3380" s="11"/>
      <c r="R3380" s="11"/>
      <c r="S3380" s="11"/>
      <c r="T3380" s="11"/>
    </row>
    <row r="3381" spans="8:20" x14ac:dyDescent="0.35">
      <c r="H3381" s="711"/>
      <c r="I3381" s="711"/>
      <c r="J3381" s="711"/>
      <c r="K3381" s="711"/>
      <c r="L3381" s="711"/>
      <c r="Q3381" s="11"/>
      <c r="R3381" s="11"/>
      <c r="S3381" s="11"/>
      <c r="T3381" s="11"/>
    </row>
    <row r="3382" spans="8:20" x14ac:dyDescent="0.35">
      <c r="H3382" s="711"/>
      <c r="I3382" s="711"/>
      <c r="J3382" s="711"/>
      <c r="K3382" s="711"/>
      <c r="L3382" s="711"/>
      <c r="Q3382" s="11"/>
      <c r="R3382" s="11"/>
      <c r="S3382" s="11"/>
      <c r="T3382" s="11"/>
    </row>
    <row r="3383" spans="8:20" x14ac:dyDescent="0.35">
      <c r="H3383" s="711"/>
      <c r="I3383" s="711"/>
      <c r="J3383" s="711"/>
      <c r="K3383" s="711"/>
      <c r="L3383" s="711"/>
      <c r="Q3383" s="11"/>
      <c r="R3383" s="11"/>
      <c r="S3383" s="11"/>
      <c r="T3383" s="11"/>
    </row>
    <row r="3384" spans="8:20" x14ac:dyDescent="0.35">
      <c r="H3384" s="711"/>
      <c r="I3384" s="711"/>
      <c r="J3384" s="711"/>
      <c r="K3384" s="711"/>
      <c r="L3384" s="711"/>
      <c r="Q3384" s="11"/>
      <c r="R3384" s="11"/>
      <c r="S3384" s="11"/>
      <c r="T3384" s="11"/>
    </row>
    <row r="3385" spans="8:20" x14ac:dyDescent="0.35">
      <c r="H3385" s="711"/>
      <c r="I3385" s="711"/>
      <c r="J3385" s="711"/>
      <c r="K3385" s="711"/>
      <c r="L3385" s="711"/>
      <c r="Q3385" s="11"/>
      <c r="R3385" s="11"/>
      <c r="S3385" s="11"/>
      <c r="T3385" s="11"/>
    </row>
    <row r="3386" spans="8:20" x14ac:dyDescent="0.35">
      <c r="H3386" s="711"/>
      <c r="I3386" s="711"/>
      <c r="J3386" s="711"/>
      <c r="K3386" s="711"/>
      <c r="L3386" s="711"/>
      <c r="Q3386" s="11"/>
      <c r="R3386" s="11"/>
      <c r="S3386" s="11"/>
      <c r="T3386" s="11"/>
    </row>
    <row r="3387" spans="8:20" x14ac:dyDescent="0.35">
      <c r="H3387" s="711"/>
      <c r="I3387" s="711"/>
      <c r="J3387" s="711"/>
      <c r="K3387" s="711"/>
      <c r="L3387" s="711"/>
      <c r="Q3387" s="11"/>
      <c r="R3387" s="11"/>
      <c r="S3387" s="11"/>
      <c r="T3387" s="11"/>
    </row>
    <row r="3388" spans="8:20" x14ac:dyDescent="0.35">
      <c r="H3388" s="711"/>
      <c r="I3388" s="711"/>
      <c r="J3388" s="711"/>
      <c r="K3388" s="711"/>
      <c r="L3388" s="711"/>
      <c r="Q3388" s="11"/>
      <c r="R3388" s="11"/>
      <c r="S3388" s="11"/>
      <c r="T3388" s="11"/>
    </row>
    <row r="3389" spans="8:20" x14ac:dyDescent="0.35">
      <c r="H3389" s="711"/>
      <c r="I3389" s="711"/>
      <c r="J3389" s="711"/>
      <c r="K3389" s="711"/>
      <c r="L3389" s="711"/>
      <c r="Q3389" s="11"/>
      <c r="R3389" s="11"/>
      <c r="S3389" s="11"/>
      <c r="T3389" s="11"/>
    </row>
    <row r="3390" spans="8:20" x14ac:dyDescent="0.35">
      <c r="H3390" s="711"/>
      <c r="I3390" s="711"/>
      <c r="J3390" s="711"/>
      <c r="K3390" s="711"/>
      <c r="L3390" s="711"/>
      <c r="Q3390" s="11"/>
      <c r="R3390" s="11"/>
      <c r="S3390" s="11"/>
      <c r="T3390" s="11"/>
    </row>
    <row r="3391" spans="8:20" x14ac:dyDescent="0.35">
      <c r="H3391" s="711"/>
      <c r="I3391" s="711"/>
      <c r="J3391" s="711"/>
      <c r="K3391" s="711"/>
      <c r="L3391" s="711"/>
      <c r="Q3391" s="11"/>
      <c r="R3391" s="11"/>
      <c r="S3391" s="11"/>
      <c r="T3391" s="11"/>
    </row>
    <row r="3392" spans="8:20" x14ac:dyDescent="0.35">
      <c r="H3392" s="711"/>
      <c r="I3392" s="711"/>
      <c r="J3392" s="711"/>
      <c r="K3392" s="711"/>
      <c r="L3392" s="711"/>
      <c r="Q3392" s="11"/>
      <c r="R3392" s="11"/>
      <c r="S3392" s="11"/>
      <c r="T3392" s="11"/>
    </row>
    <row r="3393" spans="8:20" x14ac:dyDescent="0.35">
      <c r="H3393" s="711"/>
      <c r="I3393" s="711"/>
      <c r="J3393" s="711"/>
      <c r="K3393" s="711"/>
      <c r="L3393" s="711"/>
      <c r="Q3393" s="11"/>
      <c r="R3393" s="11"/>
      <c r="S3393" s="11"/>
      <c r="T3393" s="11"/>
    </row>
    <row r="3394" spans="8:20" x14ac:dyDescent="0.35">
      <c r="H3394" s="711"/>
      <c r="I3394" s="711"/>
      <c r="J3394" s="711"/>
      <c r="K3394" s="711"/>
      <c r="L3394" s="711"/>
      <c r="Q3394" s="11"/>
      <c r="R3394" s="11"/>
      <c r="S3394" s="11"/>
      <c r="T3394" s="11"/>
    </row>
    <row r="3395" spans="8:20" x14ac:dyDescent="0.35">
      <c r="H3395" s="711"/>
      <c r="I3395" s="711"/>
      <c r="J3395" s="711"/>
      <c r="K3395" s="711"/>
      <c r="L3395" s="711"/>
      <c r="Q3395" s="11"/>
      <c r="R3395" s="11"/>
      <c r="S3395" s="11"/>
      <c r="T3395" s="11"/>
    </row>
    <row r="3396" spans="8:20" x14ac:dyDescent="0.35">
      <c r="H3396" s="711"/>
      <c r="I3396" s="711"/>
      <c r="J3396" s="711"/>
      <c r="K3396" s="711"/>
      <c r="L3396" s="711"/>
      <c r="Q3396" s="11"/>
      <c r="R3396" s="11"/>
      <c r="S3396" s="11"/>
      <c r="T3396" s="11"/>
    </row>
    <row r="3397" spans="8:20" x14ac:dyDescent="0.35">
      <c r="H3397" s="711"/>
      <c r="I3397" s="711"/>
      <c r="J3397" s="711"/>
      <c r="K3397" s="711"/>
      <c r="L3397" s="711"/>
      <c r="Q3397" s="11"/>
      <c r="R3397" s="11"/>
      <c r="S3397" s="11"/>
      <c r="T3397" s="11"/>
    </row>
    <row r="3398" spans="8:20" x14ac:dyDescent="0.35">
      <c r="H3398" s="711"/>
      <c r="I3398" s="711"/>
      <c r="J3398" s="711"/>
      <c r="K3398" s="711"/>
      <c r="L3398" s="711"/>
      <c r="Q3398" s="11"/>
      <c r="R3398" s="11"/>
      <c r="S3398" s="11"/>
      <c r="T3398" s="11"/>
    </row>
    <row r="3399" spans="8:20" x14ac:dyDescent="0.35">
      <c r="H3399" s="711"/>
      <c r="I3399" s="711"/>
      <c r="J3399" s="711"/>
      <c r="K3399" s="711"/>
      <c r="L3399" s="711"/>
      <c r="Q3399" s="11"/>
      <c r="R3399" s="11"/>
      <c r="S3399" s="11"/>
      <c r="T3399" s="11"/>
    </row>
    <row r="3400" spans="8:20" x14ac:dyDescent="0.35">
      <c r="H3400" s="711"/>
      <c r="I3400" s="711"/>
      <c r="J3400" s="711"/>
      <c r="K3400" s="711"/>
      <c r="L3400" s="711"/>
      <c r="Q3400" s="11"/>
      <c r="R3400" s="11"/>
      <c r="S3400" s="11"/>
      <c r="T3400" s="11"/>
    </row>
    <row r="3401" spans="8:20" x14ac:dyDescent="0.35">
      <c r="H3401" s="711"/>
      <c r="I3401" s="711"/>
      <c r="J3401" s="711"/>
      <c r="K3401" s="711"/>
      <c r="L3401" s="711"/>
      <c r="Q3401" s="11"/>
      <c r="R3401" s="11"/>
      <c r="S3401" s="11"/>
      <c r="T3401" s="11"/>
    </row>
    <row r="3402" spans="8:20" x14ac:dyDescent="0.35">
      <c r="H3402" s="711"/>
      <c r="I3402" s="711"/>
      <c r="J3402" s="711"/>
      <c r="K3402" s="711"/>
      <c r="L3402" s="711"/>
      <c r="Q3402" s="11"/>
      <c r="R3402" s="11"/>
      <c r="S3402" s="11"/>
      <c r="T3402" s="11"/>
    </row>
    <row r="3403" spans="8:20" x14ac:dyDescent="0.35">
      <c r="H3403" s="711"/>
      <c r="I3403" s="711"/>
      <c r="J3403" s="711"/>
      <c r="K3403" s="711"/>
      <c r="L3403" s="711"/>
      <c r="Q3403" s="11"/>
      <c r="R3403" s="11"/>
      <c r="S3403" s="11"/>
      <c r="T3403" s="11"/>
    </row>
    <row r="3404" spans="8:20" x14ac:dyDescent="0.35">
      <c r="H3404" s="711"/>
      <c r="I3404" s="711"/>
      <c r="J3404" s="711"/>
      <c r="K3404" s="711"/>
      <c r="L3404" s="711"/>
      <c r="Q3404" s="11"/>
      <c r="R3404" s="11"/>
      <c r="S3404" s="11"/>
      <c r="T3404" s="11"/>
    </row>
    <row r="3405" spans="8:20" x14ac:dyDescent="0.35">
      <c r="H3405" s="711"/>
      <c r="I3405" s="711"/>
      <c r="J3405" s="711"/>
      <c r="K3405" s="711"/>
      <c r="L3405" s="711"/>
      <c r="Q3405" s="11"/>
      <c r="R3405" s="11"/>
      <c r="S3405" s="11"/>
      <c r="T3405" s="11"/>
    </row>
    <row r="3406" spans="8:20" x14ac:dyDescent="0.35">
      <c r="H3406" s="711"/>
      <c r="I3406" s="711"/>
      <c r="J3406" s="711"/>
      <c r="K3406" s="711"/>
      <c r="L3406" s="711"/>
      <c r="Q3406" s="11"/>
      <c r="R3406" s="11"/>
      <c r="S3406" s="11"/>
      <c r="T3406" s="11"/>
    </row>
    <row r="3407" spans="8:20" x14ac:dyDescent="0.35">
      <c r="H3407" s="711"/>
      <c r="I3407" s="711"/>
      <c r="J3407" s="711"/>
      <c r="K3407" s="711"/>
      <c r="L3407" s="711"/>
      <c r="Q3407" s="11"/>
      <c r="R3407" s="11"/>
      <c r="S3407" s="11"/>
      <c r="T3407" s="11"/>
    </row>
    <row r="3408" spans="8:20" x14ac:dyDescent="0.35">
      <c r="H3408" s="711"/>
      <c r="I3408" s="711"/>
      <c r="J3408" s="711"/>
      <c r="K3408" s="711"/>
      <c r="L3408" s="711"/>
      <c r="Q3408" s="11"/>
      <c r="R3408" s="11"/>
      <c r="S3408" s="11"/>
      <c r="T3408" s="11"/>
    </row>
    <row r="3409" spans="8:20" x14ac:dyDescent="0.35">
      <c r="H3409" s="711"/>
      <c r="I3409" s="711"/>
      <c r="J3409" s="711"/>
      <c r="K3409" s="711"/>
      <c r="L3409" s="711"/>
      <c r="Q3409" s="11"/>
      <c r="R3409" s="11"/>
      <c r="S3409" s="11"/>
      <c r="T3409" s="11"/>
    </row>
    <row r="3410" spans="8:20" x14ac:dyDescent="0.35">
      <c r="H3410" s="711"/>
      <c r="I3410" s="711"/>
      <c r="J3410" s="711"/>
      <c r="K3410" s="711"/>
      <c r="L3410" s="711"/>
      <c r="Q3410" s="11"/>
      <c r="R3410" s="11"/>
      <c r="S3410" s="11"/>
      <c r="T3410" s="11"/>
    </row>
    <row r="3411" spans="8:20" x14ac:dyDescent="0.35">
      <c r="H3411" s="711"/>
      <c r="I3411" s="711"/>
      <c r="J3411" s="711"/>
      <c r="K3411" s="711"/>
      <c r="L3411" s="711"/>
      <c r="Q3411" s="11"/>
      <c r="R3411" s="11"/>
      <c r="S3411" s="11"/>
      <c r="T3411" s="11"/>
    </row>
    <row r="3412" spans="8:20" x14ac:dyDescent="0.35">
      <c r="H3412" s="711"/>
      <c r="I3412" s="711"/>
      <c r="J3412" s="711"/>
      <c r="K3412" s="711"/>
      <c r="L3412" s="711"/>
      <c r="Q3412" s="11"/>
      <c r="R3412" s="11"/>
      <c r="S3412" s="11"/>
      <c r="T3412" s="11"/>
    </row>
    <row r="3413" spans="8:20" x14ac:dyDescent="0.35">
      <c r="H3413" s="711"/>
      <c r="I3413" s="711"/>
      <c r="J3413" s="711"/>
      <c r="K3413" s="711"/>
      <c r="L3413" s="711"/>
      <c r="Q3413" s="11"/>
      <c r="R3413" s="11"/>
      <c r="S3413" s="11"/>
      <c r="T3413" s="11"/>
    </row>
    <row r="3414" spans="8:20" x14ac:dyDescent="0.35">
      <c r="H3414" s="711"/>
      <c r="I3414" s="711"/>
      <c r="J3414" s="711"/>
      <c r="K3414" s="711"/>
      <c r="L3414" s="711"/>
      <c r="Q3414" s="11"/>
      <c r="R3414" s="11"/>
      <c r="S3414" s="11"/>
      <c r="T3414" s="11"/>
    </row>
    <row r="3415" spans="8:20" x14ac:dyDescent="0.35">
      <c r="H3415" s="711"/>
      <c r="I3415" s="711"/>
      <c r="J3415" s="711"/>
      <c r="K3415" s="711"/>
      <c r="L3415" s="711"/>
      <c r="Q3415" s="11"/>
      <c r="R3415" s="11"/>
      <c r="S3415" s="11"/>
      <c r="T3415" s="11"/>
    </row>
    <row r="3416" spans="8:20" x14ac:dyDescent="0.35">
      <c r="H3416" s="711"/>
      <c r="I3416" s="711"/>
      <c r="J3416" s="711"/>
      <c r="K3416" s="711"/>
      <c r="L3416" s="711"/>
      <c r="Q3416" s="11"/>
      <c r="R3416" s="11"/>
      <c r="S3416" s="11"/>
      <c r="T3416" s="11"/>
    </row>
    <row r="3417" spans="8:20" x14ac:dyDescent="0.35">
      <c r="H3417" s="711"/>
      <c r="I3417" s="711"/>
      <c r="J3417" s="711"/>
      <c r="K3417" s="711"/>
      <c r="L3417" s="711"/>
      <c r="Q3417" s="11"/>
      <c r="R3417" s="11"/>
      <c r="S3417" s="11"/>
      <c r="T3417" s="11"/>
    </row>
    <row r="3418" spans="8:20" x14ac:dyDescent="0.35">
      <c r="H3418" s="711"/>
      <c r="I3418" s="711"/>
      <c r="J3418" s="711"/>
      <c r="K3418" s="711"/>
      <c r="L3418" s="711"/>
      <c r="Q3418" s="11"/>
      <c r="R3418" s="11"/>
      <c r="S3418" s="11"/>
      <c r="T3418" s="11"/>
    </row>
    <row r="3419" spans="8:20" x14ac:dyDescent="0.35">
      <c r="H3419" s="711"/>
      <c r="I3419" s="711"/>
      <c r="J3419" s="711"/>
      <c r="K3419" s="711"/>
      <c r="L3419" s="711"/>
      <c r="Q3419" s="11"/>
      <c r="R3419" s="11"/>
      <c r="S3419" s="11"/>
      <c r="T3419" s="11"/>
    </row>
    <row r="3420" spans="8:20" x14ac:dyDescent="0.35">
      <c r="H3420" s="711"/>
      <c r="I3420" s="711"/>
      <c r="J3420" s="711"/>
      <c r="K3420" s="711"/>
      <c r="L3420" s="711"/>
      <c r="Q3420" s="11"/>
      <c r="R3420" s="11"/>
      <c r="S3420" s="11"/>
      <c r="T3420" s="11"/>
    </row>
    <row r="3421" spans="8:20" x14ac:dyDescent="0.35">
      <c r="H3421" s="711"/>
      <c r="I3421" s="711"/>
      <c r="J3421" s="711"/>
      <c r="K3421" s="711"/>
      <c r="L3421" s="711"/>
      <c r="Q3421" s="11"/>
      <c r="R3421" s="11"/>
      <c r="S3421" s="11"/>
      <c r="T3421" s="11"/>
    </row>
    <row r="3422" spans="8:20" x14ac:dyDescent="0.35">
      <c r="H3422" s="711"/>
      <c r="I3422" s="711"/>
      <c r="J3422" s="711"/>
      <c r="K3422" s="711"/>
      <c r="L3422" s="711"/>
      <c r="Q3422" s="11"/>
      <c r="R3422" s="11"/>
      <c r="S3422" s="11"/>
      <c r="T3422" s="11"/>
    </row>
    <row r="3423" spans="8:20" x14ac:dyDescent="0.35">
      <c r="H3423" s="711"/>
      <c r="I3423" s="711"/>
      <c r="J3423" s="711"/>
      <c r="K3423" s="711"/>
      <c r="L3423" s="711"/>
      <c r="Q3423" s="11"/>
      <c r="R3423" s="11"/>
      <c r="S3423" s="11"/>
      <c r="T3423" s="11"/>
    </row>
    <row r="3424" spans="8:20" x14ac:dyDescent="0.35">
      <c r="H3424" s="711"/>
      <c r="I3424" s="711"/>
      <c r="J3424" s="711"/>
      <c r="K3424" s="711"/>
      <c r="L3424" s="711"/>
      <c r="Q3424" s="11"/>
      <c r="R3424" s="11"/>
      <c r="S3424" s="11"/>
      <c r="T3424" s="11"/>
    </row>
    <row r="3425" spans="8:20" x14ac:dyDescent="0.35">
      <c r="H3425" s="711"/>
      <c r="I3425" s="711"/>
      <c r="J3425" s="711"/>
      <c r="K3425" s="711"/>
      <c r="L3425" s="711"/>
      <c r="Q3425" s="11"/>
      <c r="R3425" s="11"/>
      <c r="S3425" s="11"/>
      <c r="T3425" s="11"/>
    </row>
    <row r="3426" spans="8:20" x14ac:dyDescent="0.35">
      <c r="H3426" s="711"/>
      <c r="I3426" s="711"/>
      <c r="J3426" s="711"/>
      <c r="K3426" s="711"/>
      <c r="L3426" s="711"/>
      <c r="Q3426" s="11"/>
      <c r="R3426" s="11"/>
      <c r="S3426" s="11"/>
      <c r="T3426" s="11"/>
    </row>
    <row r="3427" spans="8:20" x14ac:dyDescent="0.35">
      <c r="H3427" s="711"/>
      <c r="I3427" s="711"/>
      <c r="J3427" s="711"/>
      <c r="K3427" s="711"/>
      <c r="L3427" s="711"/>
      <c r="Q3427" s="11"/>
      <c r="R3427" s="11"/>
      <c r="S3427" s="11"/>
      <c r="T3427" s="11"/>
    </row>
    <row r="3428" spans="8:20" x14ac:dyDescent="0.35">
      <c r="H3428" s="711"/>
      <c r="I3428" s="711"/>
      <c r="J3428" s="711"/>
      <c r="K3428" s="711"/>
      <c r="L3428" s="711"/>
      <c r="Q3428" s="11"/>
      <c r="R3428" s="11"/>
      <c r="S3428" s="11"/>
      <c r="T3428" s="11"/>
    </row>
    <row r="3429" spans="8:20" x14ac:dyDescent="0.35">
      <c r="H3429" s="711"/>
      <c r="I3429" s="711"/>
      <c r="J3429" s="711"/>
      <c r="K3429" s="711"/>
      <c r="L3429" s="711"/>
      <c r="Q3429" s="11"/>
      <c r="R3429" s="11"/>
      <c r="S3429" s="11"/>
      <c r="T3429" s="11"/>
    </row>
    <row r="3430" spans="8:20" x14ac:dyDescent="0.35">
      <c r="H3430" s="711"/>
      <c r="I3430" s="711"/>
      <c r="J3430" s="711"/>
      <c r="K3430" s="711"/>
      <c r="L3430" s="711"/>
      <c r="Q3430" s="11"/>
      <c r="R3430" s="11"/>
      <c r="S3430" s="11"/>
      <c r="T3430" s="11"/>
    </row>
    <row r="3431" spans="8:20" x14ac:dyDescent="0.35">
      <c r="H3431" s="711"/>
      <c r="I3431" s="711"/>
      <c r="J3431" s="711"/>
      <c r="K3431" s="711"/>
      <c r="L3431" s="711"/>
      <c r="Q3431" s="11"/>
      <c r="R3431" s="11"/>
      <c r="S3431" s="11"/>
      <c r="T3431" s="11"/>
    </row>
    <row r="3432" spans="8:20" x14ac:dyDescent="0.35">
      <c r="H3432" s="711"/>
      <c r="I3432" s="711"/>
      <c r="J3432" s="711"/>
      <c r="K3432" s="711"/>
      <c r="L3432" s="711"/>
      <c r="Q3432" s="11"/>
      <c r="R3432" s="11"/>
      <c r="S3432" s="11"/>
      <c r="T3432" s="11"/>
    </row>
    <row r="3433" spans="8:20" x14ac:dyDescent="0.35">
      <c r="H3433" s="711"/>
      <c r="I3433" s="711"/>
      <c r="J3433" s="711"/>
      <c r="K3433" s="711"/>
      <c r="L3433" s="711"/>
      <c r="Q3433" s="11"/>
      <c r="R3433" s="11"/>
      <c r="S3433" s="11"/>
      <c r="T3433" s="11"/>
    </row>
    <row r="3434" spans="8:20" x14ac:dyDescent="0.35">
      <c r="H3434" s="711"/>
      <c r="I3434" s="711"/>
      <c r="J3434" s="711"/>
      <c r="K3434" s="711"/>
      <c r="L3434" s="711"/>
      <c r="Q3434" s="11"/>
      <c r="R3434" s="11"/>
      <c r="S3434" s="11"/>
      <c r="T3434" s="11"/>
    </row>
    <row r="3435" spans="8:20" x14ac:dyDescent="0.35">
      <c r="H3435" s="711"/>
      <c r="I3435" s="711"/>
      <c r="J3435" s="711"/>
      <c r="K3435" s="711"/>
      <c r="L3435" s="711"/>
      <c r="Q3435" s="11"/>
      <c r="R3435" s="11"/>
      <c r="S3435" s="11"/>
      <c r="T3435" s="11"/>
    </row>
    <row r="3436" spans="8:20" x14ac:dyDescent="0.35">
      <c r="H3436" s="711"/>
      <c r="I3436" s="711"/>
      <c r="J3436" s="711"/>
      <c r="K3436" s="711"/>
      <c r="L3436" s="711"/>
      <c r="Q3436" s="11"/>
      <c r="R3436" s="11"/>
      <c r="S3436" s="11"/>
      <c r="T3436" s="11"/>
    </row>
    <row r="3437" spans="8:20" x14ac:dyDescent="0.35">
      <c r="H3437" s="711"/>
      <c r="I3437" s="711"/>
      <c r="J3437" s="711"/>
      <c r="K3437" s="711"/>
      <c r="L3437" s="711"/>
      <c r="Q3437" s="11"/>
      <c r="R3437" s="11"/>
      <c r="S3437" s="11"/>
      <c r="T3437" s="11"/>
    </row>
    <row r="3438" spans="8:20" x14ac:dyDescent="0.35">
      <c r="H3438" s="711"/>
      <c r="I3438" s="711"/>
      <c r="J3438" s="711"/>
      <c r="K3438" s="711"/>
      <c r="L3438" s="711"/>
      <c r="Q3438" s="11"/>
      <c r="R3438" s="11"/>
      <c r="S3438" s="11"/>
      <c r="T3438" s="11"/>
    </row>
    <row r="3439" spans="8:20" x14ac:dyDescent="0.35">
      <c r="H3439" s="711"/>
      <c r="I3439" s="711"/>
      <c r="J3439" s="711"/>
      <c r="K3439" s="711"/>
      <c r="L3439" s="711"/>
      <c r="Q3439" s="11"/>
      <c r="R3439" s="11"/>
      <c r="S3439" s="11"/>
      <c r="T3439" s="11"/>
    </row>
    <row r="3440" spans="8:20" x14ac:dyDescent="0.35">
      <c r="H3440" s="711"/>
      <c r="I3440" s="711"/>
      <c r="J3440" s="711"/>
      <c r="K3440" s="711"/>
      <c r="L3440" s="711"/>
      <c r="Q3440" s="11"/>
      <c r="R3440" s="11"/>
      <c r="S3440" s="11"/>
      <c r="T3440" s="11"/>
    </row>
    <row r="3441" spans="8:20" x14ac:dyDescent="0.35">
      <c r="H3441" s="711"/>
      <c r="I3441" s="711"/>
      <c r="J3441" s="711"/>
      <c r="K3441" s="711"/>
      <c r="L3441" s="711"/>
      <c r="Q3441" s="11"/>
      <c r="R3441" s="11"/>
      <c r="S3441" s="11"/>
      <c r="T3441" s="11"/>
    </row>
    <row r="3442" spans="8:20" x14ac:dyDescent="0.35">
      <c r="H3442" s="711"/>
      <c r="I3442" s="711"/>
      <c r="J3442" s="711"/>
      <c r="K3442" s="711"/>
      <c r="L3442" s="711"/>
      <c r="Q3442" s="11"/>
      <c r="R3442" s="11"/>
      <c r="S3442" s="11"/>
      <c r="T3442" s="11"/>
    </row>
    <row r="3443" spans="8:20" x14ac:dyDescent="0.35">
      <c r="H3443" s="711"/>
      <c r="I3443" s="711"/>
      <c r="J3443" s="711"/>
      <c r="K3443" s="711"/>
      <c r="L3443" s="711"/>
      <c r="Q3443" s="11"/>
      <c r="R3443" s="11"/>
      <c r="S3443" s="11"/>
      <c r="T3443" s="11"/>
    </row>
    <row r="3444" spans="8:20" x14ac:dyDescent="0.35">
      <c r="H3444" s="711"/>
      <c r="I3444" s="711"/>
      <c r="J3444" s="711"/>
      <c r="K3444" s="711"/>
      <c r="L3444" s="711"/>
      <c r="Q3444" s="11"/>
      <c r="R3444" s="11"/>
      <c r="S3444" s="11"/>
      <c r="T3444" s="11"/>
    </row>
    <row r="3445" spans="8:20" x14ac:dyDescent="0.35">
      <c r="H3445" s="711"/>
      <c r="I3445" s="711"/>
      <c r="J3445" s="711"/>
      <c r="K3445" s="711"/>
      <c r="L3445" s="711"/>
      <c r="Q3445" s="11"/>
      <c r="R3445" s="11"/>
      <c r="S3445" s="11"/>
      <c r="T3445" s="11"/>
    </row>
    <row r="3446" spans="8:20" x14ac:dyDescent="0.35">
      <c r="H3446" s="711"/>
      <c r="I3446" s="711"/>
      <c r="J3446" s="711"/>
      <c r="K3446" s="711"/>
      <c r="L3446" s="711"/>
      <c r="Q3446" s="11"/>
      <c r="R3446" s="11"/>
      <c r="S3446" s="11"/>
      <c r="T3446" s="11"/>
    </row>
    <row r="3447" spans="8:20" x14ac:dyDescent="0.35">
      <c r="H3447" s="711"/>
      <c r="I3447" s="711"/>
      <c r="J3447" s="711"/>
      <c r="K3447" s="711"/>
      <c r="L3447" s="711"/>
      <c r="Q3447" s="11"/>
      <c r="R3447" s="11"/>
      <c r="S3447" s="11"/>
      <c r="T3447" s="11"/>
    </row>
    <row r="3448" spans="8:20" x14ac:dyDescent="0.35">
      <c r="H3448" s="711"/>
      <c r="I3448" s="711"/>
      <c r="J3448" s="711"/>
      <c r="K3448" s="711"/>
      <c r="L3448" s="711"/>
      <c r="Q3448" s="11"/>
      <c r="R3448" s="11"/>
      <c r="S3448" s="11"/>
      <c r="T3448" s="11"/>
    </row>
    <row r="3449" spans="8:20" x14ac:dyDescent="0.35">
      <c r="H3449" s="711"/>
      <c r="I3449" s="711"/>
      <c r="J3449" s="711"/>
      <c r="K3449" s="711"/>
      <c r="L3449" s="711"/>
      <c r="Q3449" s="11"/>
      <c r="R3449" s="11"/>
      <c r="S3449" s="11"/>
      <c r="T3449" s="11"/>
    </row>
    <row r="3450" spans="8:20" x14ac:dyDescent="0.35">
      <c r="H3450" s="711"/>
      <c r="I3450" s="711"/>
      <c r="J3450" s="711"/>
      <c r="K3450" s="711"/>
      <c r="L3450" s="711"/>
      <c r="Q3450" s="11"/>
      <c r="R3450" s="11"/>
      <c r="S3450" s="11"/>
      <c r="T3450" s="11"/>
    </row>
    <row r="3451" spans="8:20" x14ac:dyDescent="0.35">
      <c r="H3451" s="711"/>
      <c r="I3451" s="711"/>
      <c r="J3451" s="711"/>
      <c r="K3451" s="711"/>
      <c r="L3451" s="711"/>
      <c r="Q3451" s="11"/>
      <c r="R3451" s="11"/>
      <c r="S3451" s="11"/>
      <c r="T3451" s="11"/>
    </row>
    <row r="3452" spans="8:20" x14ac:dyDescent="0.35">
      <c r="H3452" s="711"/>
      <c r="I3452" s="711"/>
      <c r="J3452" s="711"/>
      <c r="K3452" s="711"/>
      <c r="L3452" s="711"/>
      <c r="Q3452" s="11"/>
      <c r="R3452" s="11"/>
      <c r="S3452" s="11"/>
      <c r="T3452" s="11"/>
    </row>
    <row r="3453" spans="8:20" x14ac:dyDescent="0.35">
      <c r="H3453" s="711"/>
      <c r="I3453" s="711"/>
      <c r="J3453" s="711"/>
      <c r="K3453" s="711"/>
      <c r="L3453" s="711"/>
      <c r="Q3453" s="11"/>
      <c r="R3453" s="11"/>
      <c r="S3453" s="11"/>
      <c r="T3453" s="11"/>
    </row>
    <row r="3454" spans="8:20" x14ac:dyDescent="0.35">
      <c r="H3454" s="711"/>
      <c r="I3454" s="711"/>
      <c r="J3454" s="711"/>
      <c r="K3454" s="711"/>
      <c r="L3454" s="711"/>
      <c r="Q3454" s="11"/>
      <c r="R3454" s="11"/>
      <c r="S3454" s="11"/>
      <c r="T3454" s="11"/>
    </row>
    <row r="3455" spans="8:20" x14ac:dyDescent="0.35">
      <c r="H3455" s="711"/>
      <c r="I3455" s="711"/>
      <c r="J3455" s="711"/>
      <c r="K3455" s="711"/>
      <c r="L3455" s="711"/>
      <c r="Q3455" s="11"/>
      <c r="R3455" s="11"/>
      <c r="S3455" s="11"/>
      <c r="T3455" s="11"/>
    </row>
    <row r="3456" spans="8:20" x14ac:dyDescent="0.35">
      <c r="H3456" s="711"/>
      <c r="I3456" s="711"/>
      <c r="J3456" s="711"/>
      <c r="K3456" s="711"/>
      <c r="L3456" s="711"/>
      <c r="Q3456" s="11"/>
      <c r="R3456" s="11"/>
      <c r="S3456" s="11"/>
      <c r="T3456" s="11"/>
    </row>
    <row r="3457" spans="8:20" x14ac:dyDescent="0.35">
      <c r="H3457" s="711"/>
      <c r="I3457" s="711"/>
      <c r="J3457" s="711"/>
      <c r="K3457" s="711"/>
      <c r="L3457" s="711"/>
      <c r="Q3457" s="11"/>
      <c r="R3457" s="11"/>
      <c r="S3457" s="11"/>
      <c r="T3457" s="11"/>
    </row>
    <row r="3458" spans="8:20" x14ac:dyDescent="0.35">
      <c r="H3458" s="711"/>
      <c r="I3458" s="711"/>
      <c r="J3458" s="711"/>
      <c r="K3458" s="711"/>
      <c r="L3458" s="711"/>
      <c r="Q3458" s="11"/>
      <c r="R3458" s="11"/>
      <c r="S3458" s="11"/>
      <c r="T3458" s="11"/>
    </row>
    <row r="3459" spans="8:20" x14ac:dyDescent="0.35">
      <c r="H3459" s="711"/>
      <c r="I3459" s="711"/>
      <c r="J3459" s="711"/>
      <c r="K3459" s="711"/>
      <c r="L3459" s="711"/>
      <c r="Q3459" s="11"/>
      <c r="R3459" s="11"/>
      <c r="S3459" s="11"/>
      <c r="T3459" s="11"/>
    </row>
    <row r="3460" spans="8:20" x14ac:dyDescent="0.35">
      <c r="H3460" s="711"/>
      <c r="I3460" s="711"/>
      <c r="J3460" s="711"/>
      <c r="K3460" s="711"/>
      <c r="L3460" s="711"/>
      <c r="Q3460" s="11"/>
      <c r="R3460" s="11"/>
      <c r="S3460" s="11"/>
      <c r="T3460" s="11"/>
    </row>
    <row r="3461" spans="8:20" x14ac:dyDescent="0.35">
      <c r="H3461" s="711"/>
      <c r="I3461" s="711"/>
      <c r="J3461" s="711"/>
      <c r="K3461" s="711"/>
      <c r="L3461" s="711"/>
      <c r="Q3461" s="11"/>
      <c r="R3461" s="11"/>
      <c r="S3461" s="11"/>
      <c r="T3461" s="11"/>
    </row>
    <row r="3462" spans="8:20" x14ac:dyDescent="0.35">
      <c r="H3462" s="711"/>
      <c r="I3462" s="711"/>
      <c r="J3462" s="711"/>
      <c r="K3462" s="711"/>
      <c r="L3462" s="711"/>
      <c r="Q3462" s="11"/>
      <c r="R3462" s="11"/>
      <c r="S3462" s="11"/>
      <c r="T3462" s="11"/>
    </row>
    <row r="3463" spans="8:20" x14ac:dyDescent="0.35">
      <c r="H3463" s="711"/>
      <c r="I3463" s="711"/>
      <c r="J3463" s="711"/>
      <c r="K3463" s="711"/>
      <c r="L3463" s="711"/>
      <c r="Q3463" s="11"/>
      <c r="R3463" s="11"/>
      <c r="S3463" s="11"/>
      <c r="T3463" s="11"/>
    </row>
    <row r="3464" spans="8:20" x14ac:dyDescent="0.35">
      <c r="H3464" s="711"/>
      <c r="I3464" s="711"/>
      <c r="J3464" s="711"/>
      <c r="K3464" s="711"/>
      <c r="L3464" s="711"/>
      <c r="Q3464" s="11"/>
      <c r="R3464" s="11"/>
      <c r="S3464" s="11"/>
      <c r="T3464" s="11"/>
    </row>
    <row r="3465" spans="8:20" x14ac:dyDescent="0.35">
      <c r="H3465" s="711"/>
      <c r="I3465" s="711"/>
      <c r="J3465" s="711"/>
      <c r="K3465" s="711"/>
      <c r="L3465" s="711"/>
      <c r="Q3465" s="11"/>
      <c r="R3465" s="11"/>
      <c r="S3465" s="11"/>
      <c r="T3465" s="11"/>
    </row>
    <row r="3466" spans="8:20" x14ac:dyDescent="0.35">
      <c r="H3466" s="711"/>
      <c r="I3466" s="711"/>
      <c r="J3466" s="711"/>
      <c r="K3466" s="711"/>
      <c r="L3466" s="711"/>
      <c r="Q3466" s="11"/>
      <c r="R3466" s="11"/>
      <c r="S3466" s="11"/>
      <c r="T3466" s="11"/>
    </row>
    <row r="3467" spans="8:20" x14ac:dyDescent="0.35">
      <c r="H3467" s="711"/>
      <c r="I3467" s="711"/>
      <c r="J3467" s="711"/>
      <c r="K3467" s="711"/>
      <c r="L3467" s="711"/>
      <c r="Q3467" s="11"/>
      <c r="R3467" s="11"/>
      <c r="S3467" s="11"/>
      <c r="T3467" s="11"/>
    </row>
    <row r="3468" spans="8:20" x14ac:dyDescent="0.35">
      <c r="H3468" s="711"/>
      <c r="I3468" s="711"/>
      <c r="J3468" s="711"/>
      <c r="K3468" s="711"/>
      <c r="L3468" s="711"/>
      <c r="Q3468" s="11"/>
      <c r="R3468" s="11"/>
      <c r="S3468" s="11"/>
      <c r="T3468" s="11"/>
    </row>
    <row r="3469" spans="8:20" x14ac:dyDescent="0.35">
      <c r="H3469" s="711"/>
      <c r="I3469" s="711"/>
      <c r="J3469" s="711"/>
      <c r="K3469" s="711"/>
      <c r="L3469" s="711"/>
      <c r="Q3469" s="11"/>
      <c r="R3469" s="11"/>
      <c r="S3469" s="11"/>
      <c r="T3469" s="11"/>
    </row>
    <row r="3470" spans="8:20" x14ac:dyDescent="0.35">
      <c r="H3470" s="711"/>
      <c r="I3470" s="711"/>
      <c r="J3470" s="711"/>
      <c r="K3470" s="711"/>
      <c r="L3470" s="711"/>
      <c r="Q3470" s="11"/>
      <c r="R3470" s="11"/>
      <c r="S3470" s="11"/>
      <c r="T3470" s="11"/>
    </row>
    <row r="3471" spans="8:20" x14ac:dyDescent="0.35">
      <c r="H3471" s="711"/>
      <c r="I3471" s="711"/>
      <c r="J3471" s="711"/>
      <c r="K3471" s="711"/>
      <c r="L3471" s="711"/>
      <c r="Q3471" s="11"/>
      <c r="R3471" s="11"/>
      <c r="S3471" s="11"/>
      <c r="T3471" s="11"/>
    </row>
    <row r="3472" spans="8:20" x14ac:dyDescent="0.35">
      <c r="H3472" s="711"/>
      <c r="I3472" s="711"/>
      <c r="J3472" s="711"/>
      <c r="K3472" s="711"/>
      <c r="L3472" s="711"/>
      <c r="Q3472" s="11"/>
      <c r="R3472" s="11"/>
      <c r="S3472" s="11"/>
      <c r="T3472" s="11"/>
    </row>
    <row r="3473" spans="8:20" x14ac:dyDescent="0.35">
      <c r="H3473" s="711"/>
      <c r="I3473" s="711"/>
      <c r="J3473" s="711"/>
      <c r="K3473" s="711"/>
      <c r="L3473" s="711"/>
      <c r="Q3473" s="11"/>
      <c r="R3473" s="11"/>
      <c r="S3473" s="11"/>
      <c r="T3473" s="11"/>
    </row>
    <row r="3474" spans="8:20" x14ac:dyDescent="0.35">
      <c r="H3474" s="711"/>
      <c r="I3474" s="711"/>
      <c r="J3474" s="711"/>
      <c r="K3474" s="711"/>
      <c r="L3474" s="711"/>
      <c r="Q3474" s="11"/>
      <c r="R3474" s="11"/>
      <c r="S3474" s="11"/>
      <c r="T3474" s="11"/>
    </row>
    <row r="3475" spans="8:20" x14ac:dyDescent="0.35">
      <c r="H3475" s="711"/>
      <c r="I3475" s="711"/>
      <c r="J3475" s="711"/>
      <c r="K3475" s="711"/>
      <c r="L3475" s="711"/>
      <c r="Q3475" s="11"/>
      <c r="R3475" s="11"/>
      <c r="S3475" s="11"/>
      <c r="T3475" s="11"/>
    </row>
    <row r="3476" spans="8:20" x14ac:dyDescent="0.35">
      <c r="H3476" s="711"/>
      <c r="I3476" s="711"/>
      <c r="J3476" s="711"/>
      <c r="K3476" s="711"/>
      <c r="L3476" s="711"/>
      <c r="Q3476" s="11"/>
      <c r="R3476" s="11"/>
      <c r="S3476" s="11"/>
      <c r="T3476" s="11"/>
    </row>
    <row r="3477" spans="8:20" x14ac:dyDescent="0.35">
      <c r="H3477" s="711"/>
      <c r="I3477" s="711"/>
      <c r="J3477" s="711"/>
      <c r="K3477" s="711"/>
      <c r="L3477" s="711"/>
      <c r="Q3477" s="11"/>
      <c r="R3477" s="11"/>
      <c r="S3477" s="11"/>
      <c r="T3477" s="11"/>
    </row>
    <row r="3478" spans="8:20" x14ac:dyDescent="0.35">
      <c r="H3478" s="711"/>
      <c r="I3478" s="711"/>
      <c r="J3478" s="711"/>
      <c r="K3478" s="711"/>
      <c r="L3478" s="711"/>
      <c r="Q3478" s="11"/>
      <c r="R3478" s="11"/>
      <c r="S3478" s="11"/>
      <c r="T3478" s="11"/>
    </row>
    <row r="3479" spans="8:20" x14ac:dyDescent="0.35">
      <c r="H3479" s="711"/>
      <c r="I3479" s="711"/>
      <c r="J3479" s="711"/>
      <c r="K3479" s="711"/>
      <c r="L3479" s="711"/>
      <c r="Q3479" s="11"/>
      <c r="R3479" s="11"/>
      <c r="S3479" s="11"/>
      <c r="T3479" s="11"/>
    </row>
    <row r="3480" spans="8:20" x14ac:dyDescent="0.35">
      <c r="H3480" s="711"/>
      <c r="I3480" s="711"/>
      <c r="J3480" s="711"/>
      <c r="K3480" s="711"/>
      <c r="L3480" s="711"/>
      <c r="Q3480" s="11"/>
      <c r="R3480" s="11"/>
      <c r="S3480" s="11"/>
      <c r="T3480" s="11"/>
    </row>
    <row r="3481" spans="8:20" x14ac:dyDescent="0.35">
      <c r="H3481" s="711"/>
      <c r="I3481" s="711"/>
      <c r="J3481" s="711"/>
      <c r="K3481" s="711"/>
      <c r="L3481" s="711"/>
      <c r="Q3481" s="11"/>
      <c r="R3481" s="11"/>
      <c r="S3481" s="11"/>
      <c r="T3481" s="11"/>
    </row>
    <row r="3482" spans="8:20" x14ac:dyDescent="0.35">
      <c r="H3482" s="711"/>
      <c r="I3482" s="711"/>
      <c r="J3482" s="711"/>
      <c r="K3482" s="711"/>
      <c r="L3482" s="711"/>
      <c r="Q3482" s="11"/>
      <c r="R3482" s="11"/>
      <c r="S3482" s="11"/>
      <c r="T3482" s="11"/>
    </row>
    <row r="3483" spans="8:20" x14ac:dyDescent="0.35">
      <c r="H3483" s="711"/>
      <c r="I3483" s="711"/>
      <c r="J3483" s="711"/>
      <c r="K3483" s="711"/>
      <c r="L3483" s="711"/>
      <c r="Q3483" s="11"/>
      <c r="R3483" s="11"/>
      <c r="S3483" s="11"/>
      <c r="T3483" s="11"/>
    </row>
    <row r="3484" spans="8:20" x14ac:dyDescent="0.35">
      <c r="H3484" s="711"/>
      <c r="I3484" s="711"/>
      <c r="J3484" s="711"/>
      <c r="K3484" s="711"/>
      <c r="L3484" s="711"/>
      <c r="Q3484" s="11"/>
      <c r="R3484" s="11"/>
      <c r="S3484" s="11"/>
      <c r="T3484" s="11"/>
    </row>
    <row r="3485" spans="8:20" x14ac:dyDescent="0.35">
      <c r="H3485" s="711"/>
      <c r="I3485" s="711"/>
      <c r="J3485" s="711"/>
      <c r="K3485" s="711"/>
      <c r="L3485" s="711"/>
      <c r="Q3485" s="11"/>
      <c r="R3485" s="11"/>
      <c r="S3485" s="11"/>
      <c r="T3485" s="11"/>
    </row>
    <row r="3486" spans="8:20" x14ac:dyDescent="0.35">
      <c r="H3486" s="711"/>
      <c r="I3486" s="711"/>
      <c r="J3486" s="711"/>
      <c r="K3486" s="711"/>
      <c r="L3486" s="711"/>
      <c r="Q3486" s="11"/>
      <c r="R3486" s="11"/>
      <c r="S3486" s="11"/>
      <c r="T3486" s="11"/>
    </row>
    <row r="3487" spans="8:20" x14ac:dyDescent="0.35">
      <c r="H3487" s="711"/>
      <c r="I3487" s="711"/>
      <c r="J3487" s="711"/>
      <c r="K3487" s="711"/>
      <c r="L3487" s="711"/>
      <c r="Q3487" s="11"/>
      <c r="R3487" s="11"/>
      <c r="S3487" s="11"/>
      <c r="T3487" s="11"/>
    </row>
    <row r="3488" spans="8:20" x14ac:dyDescent="0.35">
      <c r="H3488" s="711"/>
      <c r="I3488" s="711"/>
      <c r="J3488" s="711"/>
      <c r="K3488" s="711"/>
      <c r="L3488" s="711"/>
      <c r="Q3488" s="11"/>
      <c r="R3488" s="11"/>
      <c r="S3488" s="11"/>
      <c r="T3488" s="11"/>
    </row>
    <row r="3489" spans="8:20" x14ac:dyDescent="0.35">
      <c r="H3489" s="711"/>
      <c r="I3489" s="711"/>
      <c r="J3489" s="711"/>
      <c r="K3489" s="711"/>
      <c r="L3489" s="711"/>
      <c r="Q3489" s="11"/>
      <c r="R3489" s="11"/>
      <c r="S3489" s="11"/>
      <c r="T3489" s="11"/>
    </row>
    <row r="3490" spans="8:20" x14ac:dyDescent="0.35">
      <c r="H3490" s="711"/>
      <c r="I3490" s="711"/>
      <c r="J3490" s="711"/>
      <c r="K3490" s="711"/>
      <c r="L3490" s="711"/>
      <c r="Q3490" s="11"/>
      <c r="R3490" s="11"/>
      <c r="S3490" s="11"/>
      <c r="T3490" s="11"/>
    </row>
    <row r="3491" spans="8:20" x14ac:dyDescent="0.35">
      <c r="H3491" s="711"/>
      <c r="I3491" s="711"/>
      <c r="J3491" s="711"/>
      <c r="K3491" s="711"/>
      <c r="L3491" s="711"/>
      <c r="Q3491" s="11"/>
      <c r="R3491" s="11"/>
      <c r="S3491" s="11"/>
      <c r="T3491" s="11"/>
    </row>
    <row r="3492" spans="8:20" x14ac:dyDescent="0.35">
      <c r="H3492" s="711"/>
      <c r="I3492" s="711"/>
      <c r="J3492" s="711"/>
      <c r="K3492" s="711"/>
      <c r="L3492" s="711"/>
      <c r="Q3492" s="11"/>
      <c r="R3492" s="11"/>
      <c r="S3492" s="11"/>
      <c r="T3492" s="11"/>
    </row>
    <row r="3493" spans="8:20" x14ac:dyDescent="0.35">
      <c r="H3493" s="711"/>
      <c r="I3493" s="711"/>
      <c r="J3493" s="711"/>
      <c r="K3493" s="711"/>
      <c r="L3493" s="711"/>
      <c r="Q3493" s="11"/>
      <c r="R3493" s="11"/>
      <c r="S3493" s="11"/>
      <c r="T3493" s="11"/>
    </row>
    <row r="3494" spans="8:20" x14ac:dyDescent="0.35">
      <c r="H3494" s="711"/>
      <c r="I3494" s="711"/>
      <c r="J3494" s="711"/>
      <c r="K3494" s="711"/>
      <c r="L3494" s="711"/>
      <c r="Q3494" s="11"/>
      <c r="R3494" s="11"/>
      <c r="S3494" s="11"/>
      <c r="T3494" s="11"/>
    </row>
    <row r="3495" spans="8:20" x14ac:dyDescent="0.35">
      <c r="H3495" s="711"/>
      <c r="I3495" s="711"/>
      <c r="J3495" s="711"/>
      <c r="K3495" s="711"/>
      <c r="L3495" s="711"/>
      <c r="Q3495" s="11"/>
      <c r="R3495" s="11"/>
      <c r="S3495" s="11"/>
      <c r="T3495" s="11"/>
    </row>
    <row r="3496" spans="8:20" x14ac:dyDescent="0.35">
      <c r="H3496" s="711"/>
      <c r="I3496" s="711"/>
      <c r="J3496" s="711"/>
      <c r="K3496" s="711"/>
      <c r="L3496" s="711"/>
      <c r="Q3496" s="11"/>
      <c r="R3496" s="11"/>
      <c r="S3496" s="11"/>
      <c r="T3496" s="11"/>
    </row>
    <row r="3497" spans="8:20" x14ac:dyDescent="0.35">
      <c r="H3497" s="711"/>
      <c r="I3497" s="711"/>
      <c r="J3497" s="711"/>
      <c r="K3497" s="711"/>
      <c r="L3497" s="711"/>
      <c r="Q3497" s="11"/>
      <c r="R3497" s="11"/>
      <c r="S3497" s="11"/>
      <c r="T3497" s="11"/>
    </row>
    <row r="3498" spans="8:20" x14ac:dyDescent="0.35">
      <c r="H3498" s="711"/>
      <c r="I3498" s="711"/>
      <c r="J3498" s="711"/>
      <c r="K3498" s="711"/>
      <c r="L3498" s="711"/>
      <c r="Q3498" s="11"/>
      <c r="R3498" s="11"/>
      <c r="S3498" s="11"/>
      <c r="T3498" s="11"/>
    </row>
    <row r="3499" spans="8:20" x14ac:dyDescent="0.35">
      <c r="H3499" s="711"/>
      <c r="I3499" s="711"/>
      <c r="J3499" s="711"/>
      <c r="K3499" s="711"/>
      <c r="L3499" s="711"/>
      <c r="Q3499" s="11"/>
      <c r="R3499" s="11"/>
      <c r="S3499" s="11"/>
      <c r="T3499" s="11"/>
    </row>
    <row r="3500" spans="8:20" x14ac:dyDescent="0.35">
      <c r="H3500" s="711"/>
      <c r="I3500" s="711"/>
      <c r="J3500" s="711"/>
      <c r="K3500" s="711"/>
      <c r="L3500" s="711"/>
      <c r="Q3500" s="11"/>
      <c r="R3500" s="11"/>
      <c r="S3500" s="11"/>
      <c r="T3500" s="11"/>
    </row>
    <row r="3501" spans="8:20" x14ac:dyDescent="0.35">
      <c r="H3501" s="711"/>
      <c r="I3501" s="711"/>
      <c r="J3501" s="711"/>
      <c r="K3501" s="711"/>
      <c r="L3501" s="711"/>
      <c r="Q3501" s="11"/>
      <c r="R3501" s="11"/>
      <c r="S3501" s="11"/>
      <c r="T3501" s="11"/>
    </row>
    <row r="3502" spans="8:20" x14ac:dyDescent="0.35">
      <c r="H3502" s="711"/>
      <c r="I3502" s="711"/>
      <c r="J3502" s="711"/>
      <c r="K3502" s="711"/>
      <c r="L3502" s="711"/>
      <c r="Q3502" s="11"/>
      <c r="R3502" s="11"/>
      <c r="S3502" s="11"/>
      <c r="T3502" s="11"/>
    </row>
    <row r="3503" spans="8:20" x14ac:dyDescent="0.35">
      <c r="H3503" s="711"/>
      <c r="I3503" s="711"/>
      <c r="J3503" s="711"/>
      <c r="K3503" s="711"/>
      <c r="L3503" s="711"/>
      <c r="Q3503" s="11"/>
      <c r="R3503" s="11"/>
      <c r="S3503" s="11"/>
      <c r="T3503" s="11"/>
    </row>
    <row r="3504" spans="8:20" x14ac:dyDescent="0.35">
      <c r="H3504" s="711"/>
      <c r="I3504" s="711"/>
      <c r="J3504" s="711"/>
      <c r="K3504" s="711"/>
      <c r="L3504" s="711"/>
      <c r="Q3504" s="11"/>
      <c r="R3504" s="11"/>
      <c r="S3504" s="11"/>
      <c r="T3504" s="11"/>
    </row>
    <row r="3505" spans="8:20" x14ac:dyDescent="0.35">
      <c r="H3505" s="711"/>
      <c r="I3505" s="711"/>
      <c r="J3505" s="711"/>
      <c r="K3505" s="711"/>
      <c r="L3505" s="711"/>
      <c r="Q3505" s="11"/>
      <c r="R3505" s="11"/>
      <c r="S3505" s="11"/>
      <c r="T3505" s="11"/>
    </row>
    <row r="3506" spans="8:20" x14ac:dyDescent="0.35">
      <c r="H3506" s="711"/>
      <c r="I3506" s="711"/>
      <c r="J3506" s="711"/>
      <c r="K3506" s="711"/>
      <c r="L3506" s="711"/>
      <c r="Q3506" s="11"/>
      <c r="R3506" s="11"/>
      <c r="S3506" s="11"/>
      <c r="T3506" s="11"/>
    </row>
    <row r="3507" spans="8:20" x14ac:dyDescent="0.35">
      <c r="H3507" s="711"/>
      <c r="I3507" s="711"/>
      <c r="J3507" s="711"/>
      <c r="K3507" s="711"/>
      <c r="L3507" s="711"/>
      <c r="Q3507" s="11"/>
      <c r="R3507" s="11"/>
      <c r="S3507" s="11"/>
      <c r="T3507" s="11"/>
    </row>
    <row r="3508" spans="8:20" x14ac:dyDescent="0.35">
      <c r="H3508" s="711"/>
      <c r="I3508" s="711"/>
      <c r="J3508" s="711"/>
      <c r="K3508" s="711"/>
      <c r="L3508" s="711"/>
      <c r="Q3508" s="11"/>
      <c r="R3508" s="11"/>
      <c r="S3508" s="11"/>
      <c r="T3508" s="11"/>
    </row>
    <row r="3509" spans="8:20" x14ac:dyDescent="0.35">
      <c r="H3509" s="711"/>
      <c r="I3509" s="711"/>
      <c r="J3509" s="711"/>
      <c r="K3509" s="711"/>
      <c r="L3509" s="711"/>
      <c r="Q3509" s="11"/>
      <c r="R3509" s="11"/>
      <c r="S3509" s="11"/>
      <c r="T3509" s="11"/>
    </row>
    <row r="3510" spans="8:20" x14ac:dyDescent="0.35">
      <c r="H3510" s="711"/>
      <c r="I3510" s="711"/>
      <c r="J3510" s="711"/>
      <c r="K3510" s="711"/>
      <c r="L3510" s="711"/>
      <c r="Q3510" s="11"/>
      <c r="R3510" s="11"/>
      <c r="S3510" s="11"/>
      <c r="T3510" s="11"/>
    </row>
    <row r="3511" spans="8:20" x14ac:dyDescent="0.35">
      <c r="H3511" s="711"/>
      <c r="I3511" s="711"/>
      <c r="J3511" s="711"/>
      <c r="K3511" s="711"/>
      <c r="L3511" s="711"/>
      <c r="Q3511" s="11"/>
      <c r="R3511" s="11"/>
      <c r="S3511" s="11"/>
      <c r="T3511" s="11"/>
    </row>
    <row r="3512" spans="8:20" x14ac:dyDescent="0.35">
      <c r="H3512" s="711"/>
      <c r="I3512" s="711"/>
      <c r="J3512" s="711"/>
      <c r="K3512" s="711"/>
      <c r="L3512" s="711"/>
      <c r="Q3512" s="11"/>
      <c r="R3512" s="11"/>
      <c r="S3512" s="11"/>
      <c r="T3512" s="11"/>
    </row>
    <row r="3513" spans="8:20" x14ac:dyDescent="0.35">
      <c r="H3513" s="711"/>
      <c r="I3513" s="711"/>
      <c r="J3513" s="711"/>
      <c r="K3513" s="711"/>
      <c r="L3513" s="711"/>
      <c r="Q3513" s="11"/>
      <c r="R3513" s="11"/>
      <c r="S3513" s="11"/>
      <c r="T3513" s="11"/>
    </row>
    <row r="3514" spans="8:20" x14ac:dyDescent="0.35">
      <c r="H3514" s="711"/>
      <c r="I3514" s="711"/>
      <c r="J3514" s="711"/>
      <c r="K3514" s="711"/>
      <c r="L3514" s="711"/>
      <c r="Q3514" s="11"/>
      <c r="R3514" s="11"/>
      <c r="S3514" s="11"/>
      <c r="T3514" s="11"/>
    </row>
    <row r="3515" spans="8:20" x14ac:dyDescent="0.35">
      <c r="H3515" s="711"/>
      <c r="I3515" s="711"/>
      <c r="J3515" s="711"/>
      <c r="K3515" s="711"/>
      <c r="L3515" s="711"/>
      <c r="Q3515" s="11"/>
      <c r="R3515" s="11"/>
      <c r="S3515" s="11"/>
      <c r="T3515" s="11"/>
    </row>
    <row r="3516" spans="8:20" x14ac:dyDescent="0.35">
      <c r="H3516" s="711"/>
      <c r="I3516" s="711"/>
      <c r="J3516" s="711"/>
      <c r="K3516" s="711"/>
      <c r="L3516" s="711"/>
      <c r="Q3516" s="11"/>
      <c r="R3516" s="11"/>
      <c r="S3516" s="11"/>
      <c r="T3516" s="11"/>
    </row>
    <row r="3517" spans="8:20" x14ac:dyDescent="0.35">
      <c r="H3517" s="711"/>
      <c r="I3517" s="711"/>
      <c r="J3517" s="711"/>
      <c r="K3517" s="711"/>
      <c r="L3517" s="711"/>
      <c r="Q3517" s="11"/>
      <c r="R3517" s="11"/>
      <c r="S3517" s="11"/>
      <c r="T3517" s="11"/>
    </row>
    <row r="3518" spans="8:20" x14ac:dyDescent="0.35">
      <c r="H3518" s="711"/>
      <c r="I3518" s="711"/>
      <c r="J3518" s="711"/>
      <c r="K3518" s="711"/>
      <c r="L3518" s="711"/>
      <c r="Q3518" s="11"/>
      <c r="R3518" s="11"/>
      <c r="S3518" s="11"/>
      <c r="T3518" s="11"/>
    </row>
    <row r="3519" spans="8:20" x14ac:dyDescent="0.35">
      <c r="H3519" s="711"/>
      <c r="I3519" s="711"/>
      <c r="J3519" s="711"/>
      <c r="K3519" s="711"/>
      <c r="L3519" s="711"/>
      <c r="Q3519" s="11"/>
      <c r="R3519" s="11"/>
      <c r="S3519" s="11"/>
      <c r="T3519" s="11"/>
    </row>
    <row r="3520" spans="8:20" x14ac:dyDescent="0.35">
      <c r="H3520" s="711"/>
      <c r="I3520" s="711"/>
      <c r="J3520" s="711"/>
      <c r="K3520" s="711"/>
      <c r="L3520" s="711"/>
      <c r="Q3520" s="11"/>
      <c r="R3520" s="11"/>
      <c r="S3520" s="11"/>
      <c r="T3520" s="11"/>
    </row>
    <row r="3521" spans="8:20" x14ac:dyDescent="0.35">
      <c r="H3521" s="711"/>
      <c r="I3521" s="711"/>
      <c r="J3521" s="711"/>
      <c r="K3521" s="711"/>
      <c r="L3521" s="711"/>
      <c r="Q3521" s="11"/>
      <c r="R3521" s="11"/>
      <c r="S3521" s="11"/>
      <c r="T3521" s="11"/>
    </row>
    <row r="3522" spans="8:20" x14ac:dyDescent="0.35">
      <c r="H3522" s="711"/>
      <c r="I3522" s="711"/>
      <c r="J3522" s="711"/>
      <c r="K3522" s="711"/>
      <c r="L3522" s="711"/>
      <c r="Q3522" s="11"/>
      <c r="R3522" s="11"/>
      <c r="S3522" s="11"/>
      <c r="T3522" s="11"/>
    </row>
    <row r="3523" spans="8:20" x14ac:dyDescent="0.35">
      <c r="H3523" s="711"/>
      <c r="I3523" s="711"/>
      <c r="J3523" s="711"/>
      <c r="K3523" s="711"/>
      <c r="L3523" s="711"/>
      <c r="Q3523" s="11"/>
      <c r="R3523" s="11"/>
      <c r="S3523" s="11"/>
      <c r="T3523" s="11"/>
    </row>
    <row r="3524" spans="8:20" x14ac:dyDescent="0.35">
      <c r="H3524" s="711"/>
      <c r="I3524" s="711"/>
      <c r="J3524" s="711"/>
      <c r="K3524" s="711"/>
      <c r="L3524" s="711"/>
      <c r="Q3524" s="11"/>
      <c r="R3524" s="11"/>
      <c r="S3524" s="11"/>
      <c r="T3524" s="11"/>
    </row>
    <row r="3525" spans="8:20" x14ac:dyDescent="0.35">
      <c r="H3525" s="711"/>
      <c r="I3525" s="711"/>
      <c r="J3525" s="711"/>
      <c r="K3525" s="711"/>
      <c r="L3525" s="711"/>
      <c r="Q3525" s="11"/>
      <c r="R3525" s="11"/>
      <c r="S3525" s="11"/>
      <c r="T3525" s="11"/>
    </row>
    <row r="3526" spans="8:20" x14ac:dyDescent="0.35">
      <c r="H3526" s="711"/>
      <c r="I3526" s="711"/>
      <c r="J3526" s="711"/>
      <c r="K3526" s="711"/>
      <c r="L3526" s="711"/>
      <c r="Q3526" s="11"/>
      <c r="R3526" s="11"/>
      <c r="S3526" s="11"/>
      <c r="T3526" s="11"/>
    </row>
    <row r="3527" spans="8:20" x14ac:dyDescent="0.35">
      <c r="H3527" s="711"/>
      <c r="I3527" s="711"/>
      <c r="J3527" s="711"/>
      <c r="K3527" s="711"/>
      <c r="L3527" s="711"/>
      <c r="Q3527" s="11"/>
      <c r="R3527" s="11"/>
      <c r="S3527" s="11"/>
      <c r="T3527" s="11"/>
    </row>
    <row r="3528" spans="8:20" x14ac:dyDescent="0.35">
      <c r="H3528" s="711"/>
      <c r="I3528" s="711"/>
      <c r="J3528" s="711"/>
      <c r="K3528" s="711"/>
      <c r="L3528" s="711"/>
      <c r="Q3528" s="11"/>
      <c r="R3528" s="11"/>
      <c r="S3528" s="11"/>
      <c r="T3528" s="11"/>
    </row>
    <row r="3529" spans="8:20" x14ac:dyDescent="0.35">
      <c r="H3529" s="711"/>
      <c r="I3529" s="711"/>
      <c r="J3529" s="711"/>
      <c r="K3529" s="711"/>
      <c r="L3529" s="711"/>
      <c r="Q3529" s="11"/>
      <c r="R3529" s="11"/>
      <c r="S3529" s="11"/>
      <c r="T3529" s="11"/>
    </row>
    <row r="3530" spans="8:20" x14ac:dyDescent="0.35">
      <c r="H3530" s="711"/>
      <c r="I3530" s="711"/>
      <c r="J3530" s="711"/>
      <c r="K3530" s="711"/>
      <c r="L3530" s="711"/>
      <c r="Q3530" s="11"/>
      <c r="R3530" s="11"/>
      <c r="S3530" s="11"/>
      <c r="T3530" s="11"/>
    </row>
    <row r="3531" spans="8:20" x14ac:dyDescent="0.35">
      <c r="H3531" s="711"/>
      <c r="I3531" s="711"/>
      <c r="J3531" s="711"/>
      <c r="K3531" s="711"/>
      <c r="L3531" s="711"/>
      <c r="Q3531" s="11"/>
      <c r="R3531" s="11"/>
      <c r="S3531" s="11"/>
      <c r="T3531" s="11"/>
    </row>
    <row r="3532" spans="8:20" x14ac:dyDescent="0.35">
      <c r="H3532" s="711"/>
      <c r="I3532" s="711"/>
      <c r="J3532" s="711"/>
      <c r="K3532" s="711"/>
      <c r="L3532" s="711"/>
      <c r="Q3532" s="11"/>
      <c r="R3532" s="11"/>
      <c r="S3532" s="11"/>
      <c r="T3532" s="11"/>
    </row>
    <row r="3533" spans="8:20" x14ac:dyDescent="0.35">
      <c r="H3533" s="711"/>
      <c r="I3533" s="711"/>
      <c r="J3533" s="711"/>
      <c r="K3533" s="711"/>
      <c r="L3533" s="711"/>
      <c r="Q3533" s="11"/>
      <c r="R3533" s="11"/>
      <c r="S3533" s="11"/>
      <c r="T3533" s="11"/>
    </row>
    <row r="3534" spans="8:20" x14ac:dyDescent="0.35">
      <c r="H3534" s="711"/>
      <c r="I3534" s="711"/>
      <c r="J3534" s="711"/>
      <c r="K3534" s="711"/>
      <c r="L3534" s="711"/>
      <c r="Q3534" s="11"/>
      <c r="R3534" s="11"/>
      <c r="S3534" s="11"/>
      <c r="T3534" s="11"/>
    </row>
    <row r="3535" spans="8:20" x14ac:dyDescent="0.35">
      <c r="H3535" s="711"/>
      <c r="I3535" s="711"/>
      <c r="J3535" s="711"/>
      <c r="K3535" s="711"/>
      <c r="L3535" s="711"/>
      <c r="Q3535" s="11"/>
      <c r="R3535" s="11"/>
      <c r="S3535" s="11"/>
      <c r="T3535" s="11"/>
    </row>
    <row r="3536" spans="8:20" x14ac:dyDescent="0.35">
      <c r="H3536" s="711"/>
      <c r="I3536" s="711"/>
      <c r="J3536" s="711"/>
      <c r="K3536" s="711"/>
      <c r="L3536" s="711"/>
      <c r="Q3536" s="11"/>
      <c r="R3536" s="11"/>
      <c r="S3536" s="11"/>
      <c r="T3536" s="11"/>
    </row>
    <row r="3537" spans="8:20" x14ac:dyDescent="0.35">
      <c r="H3537" s="711"/>
      <c r="I3537" s="711"/>
      <c r="J3537" s="711"/>
      <c r="K3537" s="711"/>
      <c r="L3537" s="711"/>
      <c r="Q3537" s="11"/>
      <c r="R3537" s="11"/>
      <c r="S3537" s="11"/>
      <c r="T3537" s="11"/>
    </row>
    <row r="3538" spans="8:20" x14ac:dyDescent="0.35">
      <c r="H3538" s="711"/>
      <c r="I3538" s="711"/>
      <c r="J3538" s="711"/>
      <c r="K3538" s="711"/>
      <c r="L3538" s="711"/>
      <c r="Q3538" s="11"/>
      <c r="R3538" s="11"/>
      <c r="S3538" s="11"/>
      <c r="T3538" s="11"/>
    </row>
    <row r="3539" spans="8:20" x14ac:dyDescent="0.35">
      <c r="H3539" s="711"/>
      <c r="I3539" s="711"/>
      <c r="J3539" s="711"/>
      <c r="K3539" s="711"/>
      <c r="L3539" s="711"/>
      <c r="Q3539" s="11"/>
      <c r="R3539" s="11"/>
      <c r="S3539" s="11"/>
      <c r="T3539" s="11"/>
    </row>
    <row r="3540" spans="8:20" x14ac:dyDescent="0.35">
      <c r="H3540" s="711"/>
      <c r="I3540" s="711"/>
      <c r="J3540" s="711"/>
      <c r="K3540" s="711"/>
      <c r="L3540" s="711"/>
      <c r="Q3540" s="11"/>
      <c r="R3540" s="11"/>
      <c r="S3540" s="11"/>
      <c r="T3540" s="11"/>
    </row>
    <row r="3541" spans="8:20" x14ac:dyDescent="0.35">
      <c r="H3541" s="711"/>
      <c r="I3541" s="711"/>
      <c r="J3541" s="711"/>
      <c r="K3541" s="711"/>
      <c r="L3541" s="711"/>
      <c r="Q3541" s="11"/>
      <c r="R3541" s="11"/>
      <c r="S3541" s="11"/>
      <c r="T3541" s="11"/>
    </row>
    <row r="3542" spans="8:20" x14ac:dyDescent="0.35">
      <c r="H3542" s="711"/>
      <c r="I3542" s="711"/>
      <c r="J3542" s="711"/>
      <c r="K3542" s="711"/>
      <c r="L3542" s="711"/>
      <c r="Q3542" s="11"/>
      <c r="R3542" s="11"/>
      <c r="S3542" s="11"/>
      <c r="T3542" s="11"/>
    </row>
    <row r="3543" spans="8:20" x14ac:dyDescent="0.35">
      <c r="H3543" s="711"/>
      <c r="I3543" s="711"/>
      <c r="J3543" s="711"/>
      <c r="K3543" s="711"/>
      <c r="L3543" s="711"/>
      <c r="Q3543" s="11"/>
      <c r="R3543" s="11"/>
      <c r="S3543" s="11"/>
      <c r="T3543" s="11"/>
    </row>
    <row r="3544" spans="8:20" x14ac:dyDescent="0.35">
      <c r="H3544" s="711"/>
      <c r="I3544" s="711"/>
      <c r="J3544" s="711"/>
      <c r="K3544" s="711"/>
      <c r="L3544" s="711"/>
      <c r="Q3544" s="11"/>
      <c r="R3544" s="11"/>
      <c r="S3544" s="11"/>
      <c r="T3544" s="11"/>
    </row>
    <row r="3545" spans="8:20" x14ac:dyDescent="0.35">
      <c r="H3545" s="711"/>
      <c r="I3545" s="711"/>
      <c r="J3545" s="711"/>
      <c r="K3545" s="711"/>
      <c r="L3545" s="711"/>
      <c r="Q3545" s="11"/>
      <c r="R3545" s="11"/>
      <c r="S3545" s="11"/>
      <c r="T3545" s="11"/>
    </row>
    <row r="3546" spans="8:20" x14ac:dyDescent="0.35">
      <c r="H3546" s="711"/>
      <c r="I3546" s="711"/>
      <c r="J3546" s="711"/>
      <c r="K3546" s="711"/>
      <c r="L3546" s="711"/>
      <c r="Q3546" s="11"/>
      <c r="R3546" s="11"/>
      <c r="S3546" s="11"/>
      <c r="T3546" s="11"/>
    </row>
    <row r="3547" spans="8:20" x14ac:dyDescent="0.35">
      <c r="H3547" s="711"/>
      <c r="I3547" s="711"/>
      <c r="J3547" s="711"/>
      <c r="K3547" s="711"/>
      <c r="L3547" s="711"/>
      <c r="Q3547" s="11"/>
      <c r="R3547" s="11"/>
      <c r="S3547" s="11"/>
      <c r="T3547" s="11"/>
    </row>
    <row r="3548" spans="8:20" x14ac:dyDescent="0.35">
      <c r="H3548" s="711"/>
      <c r="I3548" s="711"/>
      <c r="J3548" s="711"/>
      <c r="K3548" s="711"/>
      <c r="L3548" s="711"/>
      <c r="Q3548" s="11"/>
      <c r="R3548" s="11"/>
      <c r="S3548" s="11"/>
      <c r="T3548" s="11"/>
    </row>
    <row r="3549" spans="8:20" x14ac:dyDescent="0.35">
      <c r="H3549" s="711"/>
      <c r="I3549" s="711"/>
      <c r="J3549" s="711"/>
      <c r="K3549" s="711"/>
      <c r="L3549" s="711"/>
      <c r="Q3549" s="11"/>
      <c r="R3549" s="11"/>
      <c r="S3549" s="11"/>
      <c r="T3549" s="11"/>
    </row>
    <row r="3550" spans="8:20" x14ac:dyDescent="0.35">
      <c r="H3550" s="711"/>
      <c r="I3550" s="711"/>
      <c r="J3550" s="711"/>
      <c r="K3550" s="711"/>
      <c r="L3550" s="711"/>
      <c r="Q3550" s="11"/>
      <c r="R3550" s="11"/>
      <c r="S3550" s="11"/>
      <c r="T3550" s="11"/>
    </row>
    <row r="3551" spans="8:20" x14ac:dyDescent="0.35">
      <c r="H3551" s="711"/>
      <c r="I3551" s="711"/>
      <c r="J3551" s="711"/>
      <c r="K3551" s="711"/>
      <c r="L3551" s="711"/>
      <c r="Q3551" s="11"/>
      <c r="R3551" s="11"/>
      <c r="S3551" s="11"/>
      <c r="T3551" s="11"/>
    </row>
    <row r="3552" spans="8:20" x14ac:dyDescent="0.35">
      <c r="H3552" s="711"/>
      <c r="I3552" s="711"/>
      <c r="J3552" s="711"/>
      <c r="K3552" s="711"/>
      <c r="L3552" s="711"/>
      <c r="Q3552" s="11"/>
      <c r="R3552" s="11"/>
      <c r="S3552" s="11"/>
      <c r="T3552" s="11"/>
    </row>
    <row r="3553" spans="8:20" x14ac:dyDescent="0.35">
      <c r="H3553" s="711"/>
      <c r="I3553" s="711"/>
      <c r="J3553" s="711"/>
      <c r="K3553" s="711"/>
      <c r="L3553" s="711"/>
      <c r="Q3553" s="11"/>
      <c r="R3553" s="11"/>
      <c r="S3553" s="11"/>
      <c r="T3553" s="11"/>
    </row>
    <row r="3554" spans="8:20" x14ac:dyDescent="0.35">
      <c r="H3554" s="711"/>
      <c r="I3554" s="711"/>
      <c r="J3554" s="711"/>
      <c r="K3554" s="711"/>
      <c r="L3554" s="711"/>
      <c r="Q3554" s="11"/>
      <c r="R3554" s="11"/>
      <c r="S3554" s="11"/>
      <c r="T3554" s="11"/>
    </row>
    <row r="3555" spans="8:20" x14ac:dyDescent="0.35">
      <c r="H3555" s="711"/>
      <c r="I3555" s="711"/>
      <c r="J3555" s="711"/>
      <c r="K3555" s="711"/>
      <c r="L3555" s="711"/>
      <c r="Q3555" s="11"/>
      <c r="R3555" s="11"/>
      <c r="S3555" s="11"/>
      <c r="T3555" s="11"/>
    </row>
    <row r="3556" spans="8:20" x14ac:dyDescent="0.35">
      <c r="H3556" s="711"/>
      <c r="I3556" s="711"/>
      <c r="J3556" s="711"/>
      <c r="K3556" s="711"/>
      <c r="L3556" s="711"/>
      <c r="Q3556" s="11"/>
      <c r="R3556" s="11"/>
      <c r="S3556" s="11"/>
      <c r="T3556" s="11"/>
    </row>
    <row r="3557" spans="8:20" x14ac:dyDescent="0.35">
      <c r="H3557" s="711"/>
      <c r="I3557" s="711"/>
      <c r="J3557" s="711"/>
      <c r="K3557" s="711"/>
      <c r="L3557" s="711"/>
      <c r="Q3557" s="11"/>
      <c r="R3557" s="11"/>
      <c r="S3557" s="11"/>
      <c r="T3557" s="11"/>
    </row>
    <row r="3558" spans="8:20" x14ac:dyDescent="0.35">
      <c r="H3558" s="711"/>
      <c r="I3558" s="711"/>
      <c r="J3558" s="711"/>
      <c r="K3558" s="711"/>
      <c r="L3558" s="711"/>
      <c r="Q3558" s="11"/>
      <c r="R3558" s="11"/>
      <c r="S3558" s="11"/>
      <c r="T3558" s="11"/>
    </row>
    <row r="3559" spans="8:20" x14ac:dyDescent="0.35">
      <c r="H3559" s="711"/>
      <c r="I3559" s="711"/>
      <c r="J3559" s="711"/>
      <c r="K3559" s="711"/>
      <c r="L3559" s="711"/>
      <c r="Q3559" s="11"/>
      <c r="R3559" s="11"/>
      <c r="S3559" s="11"/>
      <c r="T3559" s="11"/>
    </row>
    <row r="3560" spans="8:20" x14ac:dyDescent="0.35">
      <c r="H3560" s="711"/>
      <c r="I3560" s="711"/>
      <c r="J3560" s="711"/>
      <c r="K3560" s="711"/>
      <c r="L3560" s="711"/>
      <c r="Q3560" s="11"/>
      <c r="R3560" s="11"/>
      <c r="S3560" s="11"/>
      <c r="T3560" s="11"/>
    </row>
    <row r="3561" spans="8:20" x14ac:dyDescent="0.35">
      <c r="H3561" s="711"/>
      <c r="I3561" s="711"/>
      <c r="J3561" s="711"/>
      <c r="K3561" s="711"/>
      <c r="L3561" s="711"/>
      <c r="Q3561" s="11"/>
      <c r="R3561" s="11"/>
      <c r="S3561" s="11"/>
      <c r="T3561" s="11"/>
    </row>
    <row r="3562" spans="8:20" x14ac:dyDescent="0.35">
      <c r="H3562" s="711"/>
      <c r="I3562" s="711"/>
      <c r="J3562" s="711"/>
      <c r="K3562" s="711"/>
      <c r="L3562" s="711"/>
      <c r="Q3562" s="11"/>
      <c r="R3562" s="11"/>
      <c r="S3562" s="11"/>
      <c r="T3562" s="11"/>
    </row>
    <row r="3563" spans="8:20" x14ac:dyDescent="0.35">
      <c r="H3563" s="711"/>
      <c r="I3563" s="711"/>
      <c r="J3563" s="711"/>
      <c r="K3563" s="711"/>
      <c r="L3563" s="711"/>
      <c r="Q3563" s="11"/>
      <c r="R3563" s="11"/>
      <c r="S3563" s="11"/>
      <c r="T3563" s="11"/>
    </row>
    <row r="3564" spans="8:20" x14ac:dyDescent="0.35">
      <c r="H3564" s="711"/>
      <c r="I3564" s="711"/>
      <c r="J3564" s="711"/>
      <c r="K3564" s="711"/>
      <c r="L3564" s="711"/>
      <c r="Q3564" s="11"/>
      <c r="R3564" s="11"/>
      <c r="S3564" s="11"/>
      <c r="T3564" s="11"/>
    </row>
    <row r="3565" spans="8:20" x14ac:dyDescent="0.35">
      <c r="H3565" s="711"/>
      <c r="I3565" s="711"/>
      <c r="J3565" s="711"/>
      <c r="K3565" s="711"/>
      <c r="L3565" s="711"/>
      <c r="Q3565" s="11"/>
      <c r="R3565" s="11"/>
      <c r="S3565" s="11"/>
      <c r="T3565" s="11"/>
    </row>
    <row r="3566" spans="8:20" x14ac:dyDescent="0.35">
      <c r="H3566" s="711"/>
      <c r="I3566" s="711"/>
      <c r="J3566" s="711"/>
      <c r="K3566" s="711"/>
      <c r="L3566" s="711"/>
      <c r="Q3566" s="11"/>
      <c r="R3566" s="11"/>
      <c r="S3566" s="11"/>
      <c r="T3566" s="11"/>
    </row>
    <row r="3567" spans="8:20" x14ac:dyDescent="0.35">
      <c r="H3567" s="711"/>
      <c r="I3567" s="711"/>
      <c r="J3567" s="711"/>
      <c r="K3567" s="711"/>
      <c r="L3567" s="711"/>
      <c r="Q3567" s="11"/>
      <c r="R3567" s="11"/>
      <c r="S3567" s="11"/>
      <c r="T3567" s="11"/>
    </row>
    <row r="3568" spans="8:20" x14ac:dyDescent="0.35">
      <c r="H3568" s="711"/>
      <c r="I3568" s="711"/>
      <c r="J3568" s="711"/>
      <c r="K3568" s="711"/>
      <c r="L3568" s="711"/>
      <c r="Q3568" s="11"/>
      <c r="R3568" s="11"/>
      <c r="S3568" s="11"/>
      <c r="T3568" s="11"/>
    </row>
    <row r="3569" spans="8:20" x14ac:dyDescent="0.35">
      <c r="H3569" s="711"/>
      <c r="I3569" s="711"/>
      <c r="J3569" s="711"/>
      <c r="K3569" s="711"/>
      <c r="L3569" s="711"/>
      <c r="Q3569" s="11"/>
      <c r="R3569" s="11"/>
      <c r="S3569" s="11"/>
      <c r="T3569" s="11"/>
    </row>
    <row r="3570" spans="8:20" x14ac:dyDescent="0.35">
      <c r="H3570" s="711"/>
      <c r="I3570" s="711"/>
      <c r="J3570" s="711"/>
      <c r="K3570" s="711"/>
      <c r="L3570" s="711"/>
      <c r="Q3570" s="11"/>
      <c r="R3570" s="11"/>
      <c r="S3570" s="11"/>
      <c r="T3570" s="11"/>
    </row>
    <row r="3571" spans="8:20" x14ac:dyDescent="0.35">
      <c r="H3571" s="711"/>
      <c r="I3571" s="711"/>
      <c r="J3571" s="711"/>
      <c r="K3571" s="711"/>
      <c r="L3571" s="711"/>
      <c r="Q3571" s="11"/>
      <c r="R3571" s="11"/>
      <c r="S3571" s="11"/>
      <c r="T3571" s="11"/>
    </row>
    <row r="3572" spans="8:20" x14ac:dyDescent="0.35">
      <c r="H3572" s="711"/>
      <c r="I3572" s="711"/>
      <c r="J3572" s="711"/>
      <c r="K3572" s="711"/>
      <c r="L3572" s="711"/>
      <c r="Q3572" s="11"/>
      <c r="R3572" s="11"/>
      <c r="S3572" s="11"/>
      <c r="T3572" s="11"/>
    </row>
    <row r="3573" spans="8:20" x14ac:dyDescent="0.35">
      <c r="H3573" s="711"/>
      <c r="I3573" s="711"/>
      <c r="J3573" s="711"/>
      <c r="K3573" s="711"/>
      <c r="L3573" s="711"/>
      <c r="Q3573" s="11"/>
      <c r="R3573" s="11"/>
      <c r="S3573" s="11"/>
      <c r="T3573" s="11"/>
    </row>
    <row r="3574" spans="8:20" x14ac:dyDescent="0.35">
      <c r="H3574" s="711"/>
      <c r="I3574" s="711"/>
      <c r="J3574" s="711"/>
      <c r="K3574" s="711"/>
      <c r="L3574" s="711"/>
      <c r="Q3574" s="11"/>
      <c r="R3574" s="11"/>
      <c r="S3574" s="11"/>
      <c r="T3574" s="11"/>
    </row>
    <row r="3575" spans="8:20" x14ac:dyDescent="0.35">
      <c r="H3575" s="711"/>
      <c r="I3575" s="711"/>
      <c r="J3575" s="711"/>
      <c r="K3575" s="711"/>
      <c r="L3575" s="711"/>
      <c r="Q3575" s="11"/>
      <c r="R3575" s="11"/>
      <c r="S3575" s="11"/>
      <c r="T3575" s="11"/>
    </row>
    <row r="3576" spans="8:20" x14ac:dyDescent="0.35">
      <c r="H3576" s="711"/>
      <c r="I3576" s="711"/>
      <c r="J3576" s="711"/>
      <c r="K3576" s="711"/>
      <c r="L3576" s="711"/>
      <c r="Q3576" s="11"/>
      <c r="R3576" s="11"/>
      <c r="S3576" s="11"/>
      <c r="T3576" s="11"/>
    </row>
    <row r="3577" spans="8:20" x14ac:dyDescent="0.35">
      <c r="H3577" s="711"/>
      <c r="I3577" s="711"/>
      <c r="J3577" s="711"/>
      <c r="K3577" s="711"/>
      <c r="L3577" s="711"/>
      <c r="Q3577" s="11"/>
      <c r="R3577" s="11"/>
      <c r="S3577" s="11"/>
      <c r="T3577" s="11"/>
    </row>
    <row r="3578" spans="8:20" x14ac:dyDescent="0.35">
      <c r="H3578" s="711"/>
      <c r="I3578" s="711"/>
      <c r="J3578" s="711"/>
      <c r="K3578" s="711"/>
      <c r="L3578" s="711"/>
      <c r="Q3578" s="11"/>
      <c r="R3578" s="11"/>
      <c r="S3578" s="11"/>
      <c r="T3578" s="11"/>
    </row>
    <row r="3579" spans="8:20" x14ac:dyDescent="0.35">
      <c r="H3579" s="711"/>
      <c r="I3579" s="711"/>
      <c r="J3579" s="711"/>
      <c r="K3579" s="711"/>
      <c r="L3579" s="711"/>
      <c r="Q3579" s="11"/>
      <c r="R3579" s="11"/>
      <c r="S3579" s="11"/>
      <c r="T3579" s="11"/>
    </row>
    <row r="3580" spans="8:20" x14ac:dyDescent="0.35">
      <c r="H3580" s="711"/>
      <c r="I3580" s="711"/>
      <c r="J3580" s="711"/>
      <c r="K3580" s="711"/>
      <c r="L3580" s="711"/>
      <c r="Q3580" s="11"/>
      <c r="R3580" s="11"/>
      <c r="S3580" s="11"/>
      <c r="T3580" s="11"/>
    </row>
    <row r="3581" spans="8:20" x14ac:dyDescent="0.35">
      <c r="H3581" s="711"/>
      <c r="I3581" s="711"/>
      <c r="J3581" s="711"/>
      <c r="K3581" s="711"/>
      <c r="L3581" s="711"/>
      <c r="Q3581" s="11"/>
      <c r="R3581" s="11"/>
      <c r="S3581" s="11"/>
      <c r="T3581" s="11"/>
    </row>
    <row r="3582" spans="8:20" x14ac:dyDescent="0.35">
      <c r="H3582" s="711"/>
      <c r="I3582" s="711"/>
      <c r="J3582" s="711"/>
      <c r="K3582" s="711"/>
      <c r="L3582" s="711"/>
      <c r="Q3582" s="11"/>
      <c r="R3582" s="11"/>
      <c r="S3582" s="11"/>
      <c r="T3582" s="11"/>
    </row>
    <row r="3583" spans="8:20" x14ac:dyDescent="0.35">
      <c r="H3583" s="711"/>
      <c r="I3583" s="711"/>
      <c r="J3583" s="711"/>
      <c r="K3583" s="711"/>
      <c r="L3583" s="711"/>
      <c r="Q3583" s="11"/>
      <c r="R3583" s="11"/>
      <c r="S3583" s="11"/>
      <c r="T3583" s="11"/>
    </row>
    <row r="3584" spans="8:20" x14ac:dyDescent="0.35">
      <c r="H3584" s="711"/>
      <c r="I3584" s="711"/>
      <c r="J3584" s="711"/>
      <c r="K3584" s="711"/>
      <c r="L3584" s="711"/>
      <c r="Q3584" s="11"/>
      <c r="R3584" s="11"/>
      <c r="S3584" s="11"/>
      <c r="T3584" s="11"/>
    </row>
    <row r="3585" spans="8:20" x14ac:dyDescent="0.35">
      <c r="H3585" s="711"/>
      <c r="I3585" s="711"/>
      <c r="J3585" s="711"/>
      <c r="K3585" s="711"/>
      <c r="L3585" s="711"/>
      <c r="Q3585" s="11"/>
      <c r="R3585" s="11"/>
      <c r="S3585" s="11"/>
      <c r="T3585" s="11"/>
    </row>
    <row r="3586" spans="8:20" x14ac:dyDescent="0.35">
      <c r="H3586" s="711"/>
      <c r="I3586" s="711"/>
      <c r="J3586" s="711"/>
      <c r="K3586" s="711"/>
      <c r="L3586" s="711"/>
      <c r="Q3586" s="11"/>
      <c r="R3586" s="11"/>
      <c r="S3586" s="11"/>
      <c r="T3586" s="11"/>
    </row>
    <row r="3587" spans="8:20" x14ac:dyDescent="0.35">
      <c r="H3587" s="711"/>
      <c r="I3587" s="711"/>
      <c r="J3587" s="711"/>
      <c r="K3587" s="711"/>
      <c r="L3587" s="711"/>
      <c r="Q3587" s="11"/>
      <c r="R3587" s="11"/>
      <c r="S3587" s="11"/>
      <c r="T3587" s="11"/>
    </row>
    <row r="3588" spans="8:20" x14ac:dyDescent="0.35">
      <c r="H3588" s="711"/>
      <c r="I3588" s="711"/>
      <c r="J3588" s="711"/>
      <c r="K3588" s="711"/>
      <c r="L3588" s="711"/>
      <c r="Q3588" s="11"/>
      <c r="R3588" s="11"/>
      <c r="S3588" s="11"/>
      <c r="T3588" s="11"/>
    </row>
    <row r="3589" spans="8:20" x14ac:dyDescent="0.35">
      <c r="H3589" s="711"/>
      <c r="I3589" s="711"/>
      <c r="J3589" s="711"/>
      <c r="K3589" s="711"/>
      <c r="L3589" s="711"/>
      <c r="Q3589" s="11"/>
      <c r="R3589" s="11"/>
      <c r="S3589" s="11"/>
      <c r="T3589" s="11"/>
    </row>
    <row r="3590" spans="8:20" x14ac:dyDescent="0.35">
      <c r="H3590" s="711"/>
      <c r="I3590" s="711"/>
      <c r="J3590" s="711"/>
      <c r="K3590" s="711"/>
      <c r="L3590" s="711"/>
      <c r="Q3590" s="11"/>
      <c r="R3590" s="11"/>
      <c r="S3590" s="11"/>
      <c r="T3590" s="11"/>
    </row>
    <row r="3591" spans="8:20" x14ac:dyDescent="0.35">
      <c r="H3591" s="711"/>
      <c r="I3591" s="711"/>
      <c r="J3591" s="711"/>
      <c r="K3591" s="711"/>
      <c r="L3591" s="711"/>
      <c r="Q3591" s="11"/>
      <c r="R3591" s="11"/>
      <c r="S3591" s="11"/>
      <c r="T3591" s="11"/>
    </row>
    <row r="3592" spans="8:20" x14ac:dyDescent="0.35">
      <c r="H3592" s="711"/>
      <c r="I3592" s="711"/>
      <c r="J3592" s="711"/>
      <c r="K3592" s="711"/>
      <c r="L3592" s="711"/>
      <c r="Q3592" s="11"/>
      <c r="R3592" s="11"/>
      <c r="S3592" s="11"/>
      <c r="T3592" s="11"/>
    </row>
    <row r="3593" spans="8:20" x14ac:dyDescent="0.35">
      <c r="H3593" s="711"/>
      <c r="I3593" s="711"/>
      <c r="J3593" s="711"/>
      <c r="K3593" s="711"/>
      <c r="L3593" s="711"/>
      <c r="Q3593" s="11"/>
      <c r="R3593" s="11"/>
      <c r="S3593" s="11"/>
      <c r="T3593" s="11"/>
    </row>
    <row r="3594" spans="8:20" x14ac:dyDescent="0.35">
      <c r="H3594" s="711"/>
      <c r="I3594" s="711"/>
      <c r="J3594" s="711"/>
      <c r="K3594" s="711"/>
      <c r="L3594" s="711"/>
      <c r="Q3594" s="11"/>
      <c r="R3594" s="11"/>
      <c r="S3594" s="11"/>
      <c r="T3594" s="11"/>
    </row>
    <row r="3595" spans="8:20" x14ac:dyDescent="0.35">
      <c r="H3595" s="711"/>
      <c r="I3595" s="711"/>
      <c r="J3595" s="711"/>
      <c r="K3595" s="711"/>
      <c r="L3595" s="711"/>
      <c r="Q3595" s="11"/>
      <c r="R3595" s="11"/>
      <c r="S3595" s="11"/>
      <c r="T3595" s="11"/>
    </row>
    <row r="3596" spans="8:20" x14ac:dyDescent="0.35">
      <c r="H3596" s="711"/>
      <c r="I3596" s="711"/>
      <c r="J3596" s="711"/>
      <c r="K3596" s="711"/>
      <c r="L3596" s="711"/>
      <c r="Q3596" s="11"/>
      <c r="R3596" s="11"/>
      <c r="S3596" s="11"/>
      <c r="T3596" s="11"/>
    </row>
    <row r="3597" spans="8:20" x14ac:dyDescent="0.35">
      <c r="H3597" s="711"/>
      <c r="I3597" s="711"/>
      <c r="J3597" s="711"/>
      <c r="K3597" s="711"/>
      <c r="L3597" s="711"/>
      <c r="Q3597" s="11"/>
      <c r="R3597" s="11"/>
      <c r="S3597" s="11"/>
      <c r="T3597" s="11"/>
    </row>
    <row r="3598" spans="8:20" x14ac:dyDescent="0.35">
      <c r="H3598" s="711"/>
      <c r="I3598" s="711"/>
      <c r="J3598" s="711"/>
      <c r="K3598" s="711"/>
      <c r="L3598" s="711"/>
      <c r="Q3598" s="11"/>
      <c r="R3598" s="11"/>
      <c r="S3598" s="11"/>
      <c r="T3598" s="11"/>
    </row>
    <row r="3599" spans="8:20" x14ac:dyDescent="0.35">
      <c r="H3599" s="711"/>
      <c r="I3599" s="711"/>
      <c r="J3599" s="711"/>
      <c r="K3599" s="711"/>
      <c r="L3599" s="711"/>
      <c r="Q3599" s="11"/>
      <c r="R3599" s="11"/>
      <c r="S3599" s="11"/>
      <c r="T3599" s="11"/>
    </row>
    <row r="3600" spans="8:20" x14ac:dyDescent="0.35">
      <c r="H3600" s="711"/>
      <c r="I3600" s="711"/>
      <c r="J3600" s="711"/>
      <c r="K3600" s="711"/>
      <c r="L3600" s="711"/>
      <c r="Q3600" s="11"/>
      <c r="R3600" s="11"/>
      <c r="S3600" s="11"/>
      <c r="T3600" s="11"/>
    </row>
    <row r="3601" spans="8:20" x14ac:dyDescent="0.35">
      <c r="H3601" s="711"/>
      <c r="I3601" s="711"/>
      <c r="J3601" s="711"/>
      <c r="K3601" s="711"/>
      <c r="L3601" s="711"/>
      <c r="Q3601" s="11"/>
      <c r="R3601" s="11"/>
      <c r="S3601" s="11"/>
      <c r="T3601" s="11"/>
    </row>
    <row r="3602" spans="8:20" x14ac:dyDescent="0.35">
      <c r="H3602" s="711"/>
      <c r="I3602" s="711"/>
      <c r="J3602" s="711"/>
      <c r="K3602" s="711"/>
      <c r="L3602" s="711"/>
      <c r="Q3602" s="11"/>
      <c r="R3602" s="11"/>
      <c r="S3602" s="11"/>
      <c r="T3602" s="11"/>
    </row>
    <row r="3603" spans="8:20" x14ac:dyDescent="0.35">
      <c r="H3603" s="711"/>
      <c r="I3603" s="711"/>
      <c r="J3603" s="711"/>
      <c r="K3603" s="711"/>
      <c r="L3603" s="711"/>
      <c r="Q3603" s="11"/>
      <c r="R3603" s="11"/>
      <c r="S3603" s="11"/>
      <c r="T3603" s="11"/>
    </row>
    <row r="3604" spans="8:20" x14ac:dyDescent="0.35">
      <c r="H3604" s="711"/>
      <c r="I3604" s="711"/>
      <c r="J3604" s="711"/>
      <c r="K3604" s="711"/>
      <c r="L3604" s="711"/>
      <c r="Q3604" s="11"/>
      <c r="R3604" s="11"/>
      <c r="S3604" s="11"/>
      <c r="T3604" s="11"/>
    </row>
    <row r="3605" spans="8:20" x14ac:dyDescent="0.35">
      <c r="H3605" s="711"/>
      <c r="I3605" s="711"/>
      <c r="J3605" s="711"/>
      <c r="K3605" s="711"/>
      <c r="L3605" s="711"/>
      <c r="Q3605" s="11"/>
      <c r="R3605" s="11"/>
      <c r="S3605" s="11"/>
      <c r="T3605" s="11"/>
    </row>
    <row r="3606" spans="8:20" x14ac:dyDescent="0.35">
      <c r="H3606" s="711"/>
      <c r="I3606" s="711"/>
      <c r="J3606" s="711"/>
      <c r="K3606" s="711"/>
      <c r="L3606" s="711"/>
      <c r="Q3606" s="11"/>
      <c r="R3606" s="11"/>
      <c r="S3606" s="11"/>
      <c r="T3606" s="11"/>
    </row>
    <row r="3607" spans="8:20" x14ac:dyDescent="0.35">
      <c r="H3607" s="711"/>
      <c r="I3607" s="711"/>
      <c r="J3607" s="711"/>
      <c r="K3607" s="711"/>
      <c r="L3607" s="711"/>
      <c r="Q3607" s="11"/>
      <c r="R3607" s="11"/>
      <c r="S3607" s="11"/>
      <c r="T3607" s="11"/>
    </row>
    <row r="3608" spans="8:20" x14ac:dyDescent="0.35">
      <c r="H3608" s="711"/>
      <c r="I3608" s="711"/>
      <c r="J3608" s="711"/>
      <c r="K3608" s="711"/>
      <c r="L3608" s="711"/>
      <c r="Q3608" s="11"/>
      <c r="R3608" s="11"/>
      <c r="S3608" s="11"/>
      <c r="T3608" s="11"/>
    </row>
    <row r="3609" spans="8:20" x14ac:dyDescent="0.35">
      <c r="H3609" s="711"/>
      <c r="I3609" s="711"/>
      <c r="J3609" s="711"/>
      <c r="K3609" s="711"/>
      <c r="L3609" s="711"/>
      <c r="Q3609" s="11"/>
      <c r="R3609" s="11"/>
      <c r="S3609" s="11"/>
      <c r="T3609" s="11"/>
    </row>
    <row r="3610" spans="8:20" x14ac:dyDescent="0.35">
      <c r="H3610" s="711"/>
      <c r="I3610" s="711"/>
      <c r="J3610" s="711"/>
      <c r="K3610" s="711"/>
      <c r="L3610" s="711"/>
      <c r="Q3610" s="11"/>
      <c r="R3610" s="11"/>
      <c r="S3610" s="11"/>
      <c r="T3610" s="11"/>
    </row>
    <row r="3611" spans="8:20" x14ac:dyDescent="0.35">
      <c r="H3611" s="711"/>
      <c r="I3611" s="711"/>
      <c r="J3611" s="711"/>
      <c r="K3611" s="711"/>
      <c r="L3611" s="711"/>
      <c r="Q3611" s="11"/>
      <c r="R3611" s="11"/>
      <c r="S3611" s="11"/>
      <c r="T3611" s="11"/>
    </row>
    <row r="3612" spans="8:20" x14ac:dyDescent="0.35">
      <c r="H3612" s="711"/>
      <c r="I3612" s="711"/>
      <c r="J3612" s="711"/>
      <c r="K3612" s="711"/>
      <c r="L3612" s="711"/>
      <c r="Q3612" s="11"/>
      <c r="R3612" s="11"/>
      <c r="S3612" s="11"/>
      <c r="T3612" s="11"/>
    </row>
    <row r="3613" spans="8:20" x14ac:dyDescent="0.35">
      <c r="H3613" s="711"/>
      <c r="I3613" s="711"/>
      <c r="J3613" s="711"/>
      <c r="K3613" s="711"/>
      <c r="L3613" s="711"/>
      <c r="Q3613" s="11"/>
      <c r="R3613" s="11"/>
      <c r="S3613" s="11"/>
      <c r="T3613" s="11"/>
    </row>
    <row r="3614" spans="8:20" x14ac:dyDescent="0.35">
      <c r="H3614" s="711"/>
      <c r="I3614" s="711"/>
      <c r="J3614" s="711"/>
      <c r="K3614" s="711"/>
      <c r="L3614" s="711"/>
      <c r="Q3614" s="11"/>
      <c r="R3614" s="11"/>
      <c r="S3614" s="11"/>
      <c r="T3614" s="11"/>
    </row>
    <row r="3615" spans="8:20" x14ac:dyDescent="0.35">
      <c r="H3615" s="711"/>
      <c r="I3615" s="711"/>
      <c r="J3615" s="711"/>
      <c r="K3615" s="711"/>
      <c r="L3615" s="711"/>
      <c r="Q3615" s="11"/>
      <c r="R3615" s="11"/>
      <c r="S3615" s="11"/>
      <c r="T3615" s="11"/>
    </row>
    <row r="3616" spans="8:20" x14ac:dyDescent="0.35">
      <c r="H3616" s="711"/>
      <c r="I3616" s="711"/>
      <c r="J3616" s="711"/>
      <c r="K3616" s="711"/>
      <c r="L3616" s="711"/>
      <c r="Q3616" s="11"/>
      <c r="R3616" s="11"/>
      <c r="S3616" s="11"/>
      <c r="T3616" s="11"/>
    </row>
    <row r="3617" spans="8:20" x14ac:dyDescent="0.35">
      <c r="H3617" s="711"/>
      <c r="I3617" s="711"/>
      <c r="J3617" s="711"/>
      <c r="K3617" s="711"/>
      <c r="L3617" s="711"/>
      <c r="Q3617" s="11"/>
      <c r="R3617" s="11"/>
      <c r="S3617" s="11"/>
      <c r="T3617" s="11"/>
    </row>
    <row r="3618" spans="8:20" x14ac:dyDescent="0.35">
      <c r="H3618" s="711"/>
      <c r="I3618" s="711"/>
      <c r="J3618" s="711"/>
      <c r="K3618" s="711"/>
      <c r="L3618" s="711"/>
      <c r="Q3618" s="11"/>
      <c r="R3618" s="11"/>
      <c r="S3618" s="11"/>
      <c r="T3618" s="11"/>
    </row>
    <row r="3619" spans="8:20" x14ac:dyDescent="0.35">
      <c r="H3619" s="711"/>
      <c r="I3619" s="711"/>
      <c r="J3619" s="711"/>
      <c r="K3619" s="711"/>
      <c r="L3619" s="711"/>
      <c r="Q3619" s="11"/>
      <c r="R3619" s="11"/>
      <c r="S3619" s="11"/>
      <c r="T3619" s="11"/>
    </row>
    <row r="3620" spans="8:20" x14ac:dyDescent="0.35">
      <c r="H3620" s="711"/>
      <c r="I3620" s="711"/>
      <c r="J3620" s="711"/>
      <c r="K3620" s="711"/>
      <c r="L3620" s="711"/>
      <c r="Q3620" s="11"/>
      <c r="R3620" s="11"/>
      <c r="S3620" s="11"/>
      <c r="T3620" s="11"/>
    </row>
    <row r="3621" spans="8:20" x14ac:dyDescent="0.35">
      <c r="H3621" s="711"/>
      <c r="I3621" s="711"/>
      <c r="J3621" s="711"/>
      <c r="K3621" s="711"/>
      <c r="L3621" s="711"/>
      <c r="Q3621" s="11"/>
      <c r="R3621" s="11"/>
      <c r="S3621" s="11"/>
      <c r="T3621" s="11"/>
    </row>
    <row r="3622" spans="8:20" x14ac:dyDescent="0.35">
      <c r="H3622" s="711"/>
      <c r="I3622" s="711"/>
      <c r="J3622" s="711"/>
      <c r="K3622" s="711"/>
      <c r="L3622" s="711"/>
      <c r="Q3622" s="11"/>
      <c r="R3622" s="11"/>
      <c r="S3622" s="11"/>
      <c r="T3622" s="11"/>
    </row>
    <row r="3623" spans="8:20" x14ac:dyDescent="0.35">
      <c r="H3623" s="711"/>
      <c r="I3623" s="711"/>
      <c r="J3623" s="711"/>
      <c r="K3623" s="711"/>
      <c r="L3623" s="711"/>
      <c r="Q3623" s="11"/>
      <c r="R3623" s="11"/>
      <c r="S3623" s="11"/>
      <c r="T3623" s="11"/>
    </row>
    <row r="3624" spans="8:20" x14ac:dyDescent="0.35">
      <c r="H3624" s="711"/>
      <c r="I3624" s="711"/>
      <c r="J3624" s="711"/>
      <c r="K3624" s="711"/>
      <c r="L3624" s="711"/>
      <c r="Q3624" s="11"/>
      <c r="R3624" s="11"/>
      <c r="S3624" s="11"/>
      <c r="T3624" s="11"/>
    </row>
    <row r="3625" spans="8:20" x14ac:dyDescent="0.35">
      <c r="H3625" s="711"/>
      <c r="I3625" s="711"/>
      <c r="J3625" s="711"/>
      <c r="K3625" s="711"/>
      <c r="L3625" s="711"/>
      <c r="Q3625" s="11"/>
      <c r="R3625" s="11"/>
      <c r="S3625" s="11"/>
      <c r="T3625" s="11"/>
    </row>
    <row r="3626" spans="8:20" x14ac:dyDescent="0.35">
      <c r="H3626" s="711"/>
      <c r="I3626" s="711"/>
      <c r="J3626" s="711"/>
      <c r="K3626" s="711"/>
      <c r="L3626" s="711"/>
      <c r="Q3626" s="11"/>
      <c r="R3626" s="11"/>
      <c r="S3626" s="11"/>
      <c r="T3626" s="11"/>
    </row>
    <row r="3627" spans="8:20" x14ac:dyDescent="0.35">
      <c r="H3627" s="711"/>
      <c r="I3627" s="711"/>
      <c r="J3627" s="711"/>
      <c r="K3627" s="711"/>
      <c r="L3627" s="711"/>
      <c r="Q3627" s="11"/>
      <c r="R3627" s="11"/>
      <c r="S3627" s="11"/>
      <c r="T3627" s="11"/>
    </row>
    <row r="3628" spans="8:20" x14ac:dyDescent="0.35">
      <c r="H3628" s="711"/>
      <c r="I3628" s="711"/>
      <c r="J3628" s="711"/>
      <c r="K3628" s="711"/>
      <c r="L3628" s="711"/>
      <c r="Q3628" s="11"/>
      <c r="R3628" s="11"/>
      <c r="S3628" s="11"/>
      <c r="T3628" s="11"/>
    </row>
    <row r="3629" spans="8:20" x14ac:dyDescent="0.35">
      <c r="H3629" s="711"/>
      <c r="I3629" s="711"/>
      <c r="J3629" s="711"/>
      <c r="K3629" s="711"/>
      <c r="L3629" s="711"/>
      <c r="Q3629" s="11"/>
      <c r="R3629" s="11"/>
      <c r="S3629" s="11"/>
      <c r="T3629" s="11"/>
    </row>
    <row r="3630" spans="8:20" x14ac:dyDescent="0.35">
      <c r="H3630" s="711"/>
      <c r="I3630" s="711"/>
      <c r="J3630" s="711"/>
      <c r="K3630" s="711"/>
      <c r="L3630" s="711"/>
      <c r="Q3630" s="11"/>
      <c r="R3630" s="11"/>
      <c r="S3630" s="11"/>
      <c r="T3630" s="11"/>
    </row>
    <row r="3631" spans="8:20" x14ac:dyDescent="0.35">
      <c r="H3631" s="711"/>
      <c r="I3631" s="711"/>
      <c r="J3631" s="711"/>
      <c r="K3631" s="711"/>
      <c r="L3631" s="711"/>
      <c r="Q3631" s="11"/>
      <c r="R3631" s="11"/>
      <c r="S3631" s="11"/>
      <c r="T3631" s="11"/>
    </row>
    <row r="3632" spans="8:20" x14ac:dyDescent="0.35">
      <c r="H3632" s="711"/>
      <c r="I3632" s="711"/>
      <c r="J3632" s="711"/>
      <c r="K3632" s="711"/>
      <c r="L3632" s="711"/>
      <c r="Q3632" s="11"/>
      <c r="R3632" s="11"/>
      <c r="S3632" s="11"/>
      <c r="T3632" s="11"/>
    </row>
    <row r="3633" spans="8:20" x14ac:dyDescent="0.35">
      <c r="H3633" s="711"/>
      <c r="I3633" s="711"/>
      <c r="J3633" s="711"/>
      <c r="K3633" s="711"/>
      <c r="L3633" s="711"/>
      <c r="Q3633" s="11"/>
      <c r="R3633" s="11"/>
      <c r="S3633" s="11"/>
      <c r="T3633" s="11"/>
    </row>
    <row r="3634" spans="8:20" x14ac:dyDescent="0.35">
      <c r="H3634" s="711"/>
      <c r="I3634" s="711"/>
      <c r="J3634" s="711"/>
      <c r="K3634" s="711"/>
      <c r="L3634" s="711"/>
      <c r="Q3634" s="11"/>
      <c r="R3634" s="11"/>
      <c r="S3634" s="11"/>
      <c r="T3634" s="11"/>
    </row>
    <row r="3635" spans="8:20" x14ac:dyDescent="0.35">
      <c r="H3635" s="711"/>
      <c r="I3635" s="711"/>
      <c r="J3635" s="711"/>
      <c r="K3635" s="711"/>
      <c r="L3635" s="711"/>
      <c r="Q3635" s="11"/>
      <c r="R3635" s="11"/>
      <c r="S3635" s="11"/>
      <c r="T3635" s="11"/>
    </row>
    <row r="3636" spans="8:20" x14ac:dyDescent="0.35">
      <c r="H3636" s="711"/>
      <c r="I3636" s="711"/>
      <c r="J3636" s="711"/>
      <c r="K3636" s="711"/>
      <c r="L3636" s="711"/>
      <c r="Q3636" s="11"/>
      <c r="R3636" s="11"/>
      <c r="S3636" s="11"/>
      <c r="T3636" s="11"/>
    </row>
    <row r="3637" spans="8:20" x14ac:dyDescent="0.35">
      <c r="H3637" s="711"/>
      <c r="I3637" s="711"/>
      <c r="J3637" s="711"/>
      <c r="K3637" s="711"/>
      <c r="L3637" s="711"/>
      <c r="Q3637" s="11"/>
      <c r="R3637" s="11"/>
      <c r="S3637" s="11"/>
      <c r="T3637" s="11"/>
    </row>
    <row r="3638" spans="8:20" x14ac:dyDescent="0.35">
      <c r="H3638" s="711"/>
      <c r="I3638" s="711"/>
      <c r="J3638" s="711"/>
      <c r="K3638" s="711"/>
      <c r="L3638" s="711"/>
      <c r="Q3638" s="11"/>
      <c r="R3638" s="11"/>
      <c r="S3638" s="11"/>
      <c r="T3638" s="11"/>
    </row>
    <row r="3639" spans="8:20" x14ac:dyDescent="0.35">
      <c r="H3639" s="711"/>
      <c r="I3639" s="711"/>
      <c r="J3639" s="711"/>
      <c r="K3639" s="711"/>
      <c r="L3639" s="711"/>
      <c r="Q3639" s="11"/>
      <c r="R3639" s="11"/>
      <c r="S3639" s="11"/>
      <c r="T3639" s="11"/>
    </row>
    <row r="3640" spans="8:20" x14ac:dyDescent="0.35">
      <c r="H3640" s="711"/>
      <c r="I3640" s="711"/>
      <c r="J3640" s="711"/>
      <c r="K3640" s="711"/>
      <c r="L3640" s="711"/>
      <c r="Q3640" s="11"/>
      <c r="R3640" s="11"/>
      <c r="S3640" s="11"/>
      <c r="T3640" s="11"/>
    </row>
    <row r="3641" spans="8:20" x14ac:dyDescent="0.35">
      <c r="H3641" s="711"/>
      <c r="I3641" s="711"/>
      <c r="J3641" s="711"/>
      <c r="K3641" s="711"/>
      <c r="L3641" s="711"/>
      <c r="Q3641" s="11"/>
      <c r="R3641" s="11"/>
      <c r="S3641" s="11"/>
      <c r="T3641" s="11"/>
    </row>
    <row r="3642" spans="8:20" x14ac:dyDescent="0.35">
      <c r="H3642" s="711"/>
      <c r="I3642" s="711"/>
      <c r="J3642" s="711"/>
      <c r="K3642" s="711"/>
      <c r="L3642" s="711"/>
      <c r="Q3642" s="11"/>
      <c r="R3642" s="11"/>
      <c r="S3642" s="11"/>
      <c r="T3642" s="11"/>
    </row>
    <row r="3643" spans="8:20" x14ac:dyDescent="0.35">
      <c r="H3643" s="711"/>
      <c r="I3643" s="711"/>
      <c r="J3643" s="711"/>
      <c r="K3643" s="711"/>
      <c r="L3643" s="711"/>
      <c r="Q3643" s="11"/>
      <c r="R3643" s="11"/>
      <c r="S3643" s="11"/>
      <c r="T3643" s="11"/>
    </row>
    <row r="3644" spans="8:20" x14ac:dyDescent="0.35">
      <c r="H3644" s="711"/>
      <c r="I3644" s="711"/>
      <c r="J3644" s="711"/>
      <c r="K3644" s="711"/>
      <c r="L3644" s="711"/>
      <c r="Q3644" s="11"/>
      <c r="R3644" s="11"/>
      <c r="S3644" s="11"/>
      <c r="T3644" s="11"/>
    </row>
    <row r="3645" spans="8:20" x14ac:dyDescent="0.35">
      <c r="H3645" s="711"/>
      <c r="I3645" s="711"/>
      <c r="J3645" s="711"/>
      <c r="K3645" s="711"/>
      <c r="L3645" s="711"/>
      <c r="Q3645" s="11"/>
      <c r="R3645" s="11"/>
      <c r="S3645" s="11"/>
      <c r="T3645" s="11"/>
    </row>
    <row r="3646" spans="8:20" x14ac:dyDescent="0.35">
      <c r="H3646" s="711"/>
      <c r="I3646" s="711"/>
      <c r="J3646" s="711"/>
      <c r="K3646" s="711"/>
      <c r="L3646" s="711"/>
      <c r="Q3646" s="11"/>
      <c r="R3646" s="11"/>
      <c r="S3646" s="11"/>
      <c r="T3646" s="11"/>
    </row>
    <row r="3647" spans="8:20" x14ac:dyDescent="0.35">
      <c r="H3647" s="711"/>
      <c r="I3647" s="711"/>
      <c r="J3647" s="711"/>
      <c r="K3647" s="711"/>
      <c r="L3647" s="711"/>
      <c r="Q3647" s="11"/>
      <c r="R3647" s="11"/>
      <c r="S3647" s="11"/>
      <c r="T3647" s="11"/>
    </row>
    <row r="3648" spans="8:20" x14ac:dyDescent="0.35">
      <c r="H3648" s="711"/>
      <c r="I3648" s="711"/>
      <c r="J3648" s="711"/>
      <c r="K3648" s="711"/>
      <c r="L3648" s="711"/>
      <c r="Q3648" s="11"/>
      <c r="R3648" s="11"/>
      <c r="S3648" s="11"/>
      <c r="T3648" s="11"/>
    </row>
    <row r="3649" spans="8:20" x14ac:dyDescent="0.35">
      <c r="H3649" s="711"/>
      <c r="I3649" s="711"/>
      <c r="J3649" s="711"/>
      <c r="K3649" s="711"/>
      <c r="L3649" s="711"/>
      <c r="Q3649" s="11"/>
      <c r="R3649" s="11"/>
      <c r="S3649" s="11"/>
      <c r="T3649" s="11"/>
    </row>
    <row r="3650" spans="8:20" x14ac:dyDescent="0.35">
      <c r="H3650" s="711"/>
      <c r="I3650" s="711"/>
      <c r="J3650" s="711"/>
      <c r="K3650" s="711"/>
      <c r="L3650" s="711"/>
      <c r="Q3650" s="11"/>
      <c r="R3650" s="11"/>
      <c r="S3650" s="11"/>
      <c r="T3650" s="11"/>
    </row>
    <row r="3651" spans="8:20" x14ac:dyDescent="0.35">
      <c r="H3651" s="711"/>
      <c r="I3651" s="711"/>
      <c r="J3651" s="711"/>
      <c r="K3651" s="711"/>
      <c r="L3651" s="711"/>
      <c r="Q3651" s="11"/>
      <c r="R3651" s="11"/>
      <c r="S3651" s="11"/>
      <c r="T3651" s="11"/>
    </row>
    <row r="3652" spans="8:20" x14ac:dyDescent="0.35">
      <c r="H3652" s="711"/>
      <c r="I3652" s="711"/>
      <c r="J3652" s="711"/>
      <c r="K3652" s="711"/>
      <c r="L3652" s="711"/>
      <c r="Q3652" s="11"/>
      <c r="R3652" s="11"/>
      <c r="S3652" s="11"/>
      <c r="T3652" s="11"/>
    </row>
    <row r="3653" spans="8:20" x14ac:dyDescent="0.35">
      <c r="H3653" s="711"/>
      <c r="I3653" s="711"/>
      <c r="J3653" s="711"/>
      <c r="K3653" s="711"/>
      <c r="L3653" s="711"/>
      <c r="Q3653" s="11"/>
      <c r="R3653" s="11"/>
      <c r="S3653" s="11"/>
      <c r="T3653" s="11"/>
    </row>
    <row r="3654" spans="8:20" x14ac:dyDescent="0.35">
      <c r="H3654" s="711"/>
      <c r="I3654" s="711"/>
      <c r="J3654" s="711"/>
      <c r="K3654" s="711"/>
      <c r="L3654" s="711"/>
      <c r="Q3654" s="11"/>
      <c r="R3654" s="11"/>
      <c r="S3654" s="11"/>
      <c r="T3654" s="11"/>
    </row>
    <row r="3655" spans="8:20" x14ac:dyDescent="0.35">
      <c r="H3655" s="711"/>
      <c r="I3655" s="711"/>
      <c r="J3655" s="711"/>
      <c r="K3655" s="711"/>
      <c r="L3655" s="711"/>
      <c r="Q3655" s="11"/>
      <c r="R3655" s="11"/>
      <c r="S3655" s="11"/>
      <c r="T3655" s="11"/>
    </row>
    <row r="3656" spans="8:20" x14ac:dyDescent="0.35">
      <c r="H3656" s="711"/>
      <c r="I3656" s="711"/>
      <c r="J3656" s="711"/>
      <c r="K3656" s="711"/>
      <c r="L3656" s="711"/>
      <c r="Q3656" s="11"/>
      <c r="R3656" s="11"/>
      <c r="S3656" s="11"/>
      <c r="T3656" s="11"/>
    </row>
    <row r="3657" spans="8:20" x14ac:dyDescent="0.35">
      <c r="H3657" s="711"/>
      <c r="I3657" s="711"/>
      <c r="J3657" s="711"/>
      <c r="K3657" s="711"/>
      <c r="L3657" s="711"/>
      <c r="Q3657" s="11"/>
      <c r="R3657" s="11"/>
      <c r="S3657" s="11"/>
      <c r="T3657" s="11"/>
    </row>
    <row r="3658" spans="8:20" x14ac:dyDescent="0.35">
      <c r="H3658" s="711"/>
      <c r="I3658" s="711"/>
      <c r="J3658" s="711"/>
      <c r="K3658" s="711"/>
      <c r="L3658" s="711"/>
      <c r="Q3658" s="11"/>
      <c r="R3658" s="11"/>
      <c r="S3658" s="11"/>
      <c r="T3658" s="11"/>
    </row>
    <row r="3659" spans="8:20" x14ac:dyDescent="0.35">
      <c r="H3659" s="711"/>
      <c r="I3659" s="711"/>
      <c r="J3659" s="711"/>
      <c r="K3659" s="711"/>
      <c r="L3659" s="711"/>
      <c r="Q3659" s="11"/>
      <c r="R3659" s="11"/>
      <c r="S3659" s="11"/>
      <c r="T3659" s="11"/>
    </row>
    <row r="3660" spans="8:20" x14ac:dyDescent="0.35">
      <c r="H3660" s="711"/>
      <c r="I3660" s="711"/>
      <c r="J3660" s="711"/>
      <c r="K3660" s="711"/>
      <c r="L3660" s="711"/>
      <c r="Q3660" s="11"/>
      <c r="R3660" s="11"/>
      <c r="S3660" s="11"/>
      <c r="T3660" s="11"/>
    </row>
    <row r="3661" spans="8:20" x14ac:dyDescent="0.35">
      <c r="H3661" s="711"/>
      <c r="I3661" s="711"/>
      <c r="J3661" s="711"/>
      <c r="K3661" s="711"/>
      <c r="L3661" s="711"/>
      <c r="Q3661" s="11"/>
      <c r="R3661" s="11"/>
      <c r="S3661" s="11"/>
      <c r="T3661" s="11"/>
    </row>
    <row r="3662" spans="8:20" x14ac:dyDescent="0.35">
      <c r="H3662" s="711"/>
      <c r="I3662" s="711"/>
      <c r="J3662" s="711"/>
      <c r="K3662" s="711"/>
      <c r="L3662" s="711"/>
      <c r="Q3662" s="11"/>
      <c r="R3662" s="11"/>
      <c r="S3662" s="11"/>
      <c r="T3662" s="11"/>
    </row>
    <row r="3663" spans="8:20" x14ac:dyDescent="0.35">
      <c r="H3663" s="711"/>
      <c r="I3663" s="711"/>
      <c r="J3663" s="711"/>
      <c r="K3663" s="711"/>
      <c r="L3663" s="711"/>
      <c r="Q3663" s="11"/>
      <c r="R3663" s="11"/>
      <c r="S3663" s="11"/>
      <c r="T3663" s="11"/>
    </row>
    <row r="3664" spans="8:20" x14ac:dyDescent="0.35">
      <c r="H3664" s="711"/>
      <c r="I3664" s="711"/>
      <c r="J3664" s="711"/>
      <c r="K3664" s="711"/>
      <c r="L3664" s="711"/>
      <c r="Q3664" s="11"/>
      <c r="R3664" s="11"/>
      <c r="S3664" s="11"/>
      <c r="T3664" s="11"/>
    </row>
    <row r="3665" spans="8:20" x14ac:dyDescent="0.35">
      <c r="H3665" s="711"/>
      <c r="I3665" s="711"/>
      <c r="J3665" s="711"/>
      <c r="K3665" s="711"/>
      <c r="L3665" s="711"/>
      <c r="Q3665" s="11"/>
      <c r="R3665" s="11"/>
      <c r="S3665" s="11"/>
      <c r="T3665" s="11"/>
    </row>
    <row r="3666" spans="8:20" x14ac:dyDescent="0.35">
      <c r="H3666" s="711"/>
      <c r="I3666" s="711"/>
      <c r="J3666" s="711"/>
      <c r="K3666" s="711"/>
      <c r="L3666" s="711"/>
      <c r="Q3666" s="11"/>
      <c r="R3666" s="11"/>
      <c r="S3666" s="11"/>
      <c r="T3666" s="11"/>
    </row>
    <row r="3667" spans="8:20" x14ac:dyDescent="0.35">
      <c r="H3667" s="711"/>
      <c r="I3667" s="711"/>
      <c r="J3667" s="711"/>
      <c r="K3667" s="711"/>
      <c r="L3667" s="711"/>
      <c r="Q3667" s="11"/>
      <c r="R3667" s="11"/>
      <c r="S3667" s="11"/>
      <c r="T3667" s="11"/>
    </row>
    <row r="3668" spans="8:20" x14ac:dyDescent="0.35">
      <c r="H3668" s="711"/>
      <c r="I3668" s="711"/>
      <c r="J3668" s="711"/>
      <c r="K3668" s="711"/>
      <c r="L3668" s="711"/>
      <c r="Q3668" s="11"/>
      <c r="R3668" s="11"/>
      <c r="S3668" s="11"/>
      <c r="T3668" s="11"/>
    </row>
    <row r="3669" spans="8:20" x14ac:dyDescent="0.35">
      <c r="H3669" s="711"/>
      <c r="I3669" s="711"/>
      <c r="J3669" s="711"/>
      <c r="K3669" s="711"/>
      <c r="L3669" s="711"/>
      <c r="Q3669" s="11"/>
      <c r="R3669" s="11"/>
      <c r="S3669" s="11"/>
      <c r="T3669" s="11"/>
    </row>
    <row r="3670" spans="8:20" x14ac:dyDescent="0.35">
      <c r="H3670" s="711"/>
      <c r="I3670" s="711"/>
      <c r="J3670" s="711"/>
      <c r="K3670" s="711"/>
      <c r="L3670" s="711"/>
      <c r="Q3670" s="11"/>
      <c r="R3670" s="11"/>
      <c r="S3670" s="11"/>
      <c r="T3670" s="11"/>
    </row>
    <row r="3671" spans="8:20" x14ac:dyDescent="0.35">
      <c r="H3671" s="711"/>
      <c r="I3671" s="711"/>
      <c r="J3671" s="711"/>
      <c r="K3671" s="711"/>
      <c r="L3671" s="711"/>
      <c r="Q3671" s="11"/>
      <c r="R3671" s="11"/>
      <c r="S3671" s="11"/>
      <c r="T3671" s="11"/>
    </row>
    <row r="3672" spans="8:20" x14ac:dyDescent="0.35">
      <c r="H3672" s="711"/>
      <c r="I3672" s="711"/>
      <c r="J3672" s="711"/>
      <c r="K3672" s="711"/>
      <c r="L3672" s="711"/>
      <c r="Q3672" s="11"/>
      <c r="R3672" s="11"/>
      <c r="S3672" s="11"/>
      <c r="T3672" s="11"/>
    </row>
    <row r="3673" spans="8:20" x14ac:dyDescent="0.35">
      <c r="H3673" s="711"/>
      <c r="I3673" s="711"/>
      <c r="J3673" s="711"/>
      <c r="K3673" s="711"/>
      <c r="L3673" s="711"/>
      <c r="Q3673" s="11"/>
      <c r="R3673" s="11"/>
      <c r="S3673" s="11"/>
      <c r="T3673" s="11"/>
    </row>
    <row r="3674" spans="8:20" x14ac:dyDescent="0.35">
      <c r="H3674" s="711"/>
      <c r="I3674" s="711"/>
      <c r="J3674" s="711"/>
      <c r="K3674" s="711"/>
      <c r="L3674" s="711"/>
      <c r="Q3674" s="11"/>
      <c r="R3674" s="11"/>
      <c r="S3674" s="11"/>
      <c r="T3674" s="11"/>
    </row>
    <row r="3675" spans="8:20" x14ac:dyDescent="0.35">
      <c r="H3675" s="711"/>
      <c r="I3675" s="711"/>
      <c r="J3675" s="711"/>
      <c r="K3675" s="711"/>
      <c r="L3675" s="711"/>
      <c r="Q3675" s="11"/>
      <c r="R3675" s="11"/>
      <c r="S3675" s="11"/>
      <c r="T3675" s="11"/>
    </row>
    <row r="3676" spans="8:20" x14ac:dyDescent="0.35">
      <c r="H3676" s="711"/>
      <c r="I3676" s="711"/>
      <c r="J3676" s="711"/>
      <c r="K3676" s="711"/>
      <c r="L3676" s="711"/>
      <c r="Q3676" s="11"/>
      <c r="R3676" s="11"/>
      <c r="S3676" s="11"/>
      <c r="T3676" s="11"/>
    </row>
    <row r="3677" spans="8:20" x14ac:dyDescent="0.35">
      <c r="H3677" s="711"/>
      <c r="I3677" s="711"/>
      <c r="J3677" s="711"/>
      <c r="K3677" s="711"/>
      <c r="L3677" s="711"/>
      <c r="Q3677" s="11"/>
      <c r="R3677" s="11"/>
      <c r="S3677" s="11"/>
      <c r="T3677" s="11"/>
    </row>
    <row r="3678" spans="8:20" x14ac:dyDescent="0.35">
      <c r="H3678" s="711"/>
      <c r="I3678" s="711"/>
      <c r="J3678" s="711"/>
      <c r="K3678" s="711"/>
      <c r="L3678" s="711"/>
      <c r="Q3678" s="11"/>
      <c r="R3678" s="11"/>
      <c r="S3678" s="11"/>
      <c r="T3678" s="11"/>
    </row>
    <row r="3679" spans="8:20" x14ac:dyDescent="0.35">
      <c r="H3679" s="711"/>
      <c r="I3679" s="711"/>
      <c r="J3679" s="711"/>
      <c r="K3679" s="711"/>
      <c r="L3679" s="711"/>
      <c r="Q3679" s="11"/>
      <c r="R3679" s="11"/>
      <c r="S3679" s="11"/>
      <c r="T3679" s="11"/>
    </row>
    <row r="3680" spans="8:20" x14ac:dyDescent="0.35">
      <c r="H3680" s="711"/>
      <c r="I3680" s="711"/>
      <c r="J3680" s="711"/>
      <c r="K3680" s="711"/>
      <c r="L3680" s="711"/>
      <c r="Q3680" s="11"/>
      <c r="R3680" s="11"/>
      <c r="S3680" s="11"/>
      <c r="T3680" s="11"/>
    </row>
    <row r="3681" spans="8:20" x14ac:dyDescent="0.35">
      <c r="H3681" s="711"/>
      <c r="I3681" s="711"/>
      <c r="J3681" s="711"/>
      <c r="K3681" s="711"/>
      <c r="L3681" s="711"/>
      <c r="Q3681" s="11"/>
      <c r="R3681" s="11"/>
      <c r="S3681" s="11"/>
      <c r="T3681" s="11"/>
    </row>
    <row r="3682" spans="8:20" x14ac:dyDescent="0.35">
      <c r="H3682" s="711"/>
      <c r="I3682" s="711"/>
      <c r="J3682" s="711"/>
      <c r="K3682" s="711"/>
      <c r="L3682" s="711"/>
      <c r="Q3682" s="11"/>
      <c r="R3682" s="11"/>
      <c r="S3682" s="11"/>
      <c r="T3682" s="11"/>
    </row>
    <row r="3683" spans="8:20" x14ac:dyDescent="0.35">
      <c r="H3683" s="711"/>
      <c r="I3683" s="711"/>
      <c r="J3683" s="711"/>
      <c r="K3683" s="711"/>
      <c r="L3683" s="711"/>
      <c r="Q3683" s="11"/>
      <c r="R3683" s="11"/>
      <c r="S3683" s="11"/>
      <c r="T3683" s="11"/>
    </row>
    <row r="3684" spans="8:20" x14ac:dyDescent="0.35">
      <c r="H3684" s="711"/>
      <c r="I3684" s="711"/>
      <c r="J3684" s="711"/>
      <c r="K3684" s="711"/>
      <c r="L3684" s="711"/>
      <c r="Q3684" s="11"/>
      <c r="R3684" s="11"/>
      <c r="S3684" s="11"/>
      <c r="T3684" s="11"/>
    </row>
    <row r="3685" spans="8:20" x14ac:dyDescent="0.35">
      <c r="H3685" s="711"/>
      <c r="I3685" s="711"/>
      <c r="J3685" s="711"/>
      <c r="K3685" s="711"/>
      <c r="L3685" s="711"/>
      <c r="Q3685" s="11"/>
      <c r="R3685" s="11"/>
      <c r="S3685" s="11"/>
      <c r="T3685" s="11"/>
    </row>
    <row r="3686" spans="8:20" x14ac:dyDescent="0.35">
      <c r="H3686" s="711"/>
      <c r="I3686" s="711"/>
      <c r="J3686" s="711"/>
      <c r="K3686" s="711"/>
      <c r="L3686" s="711"/>
      <c r="Q3686" s="11"/>
      <c r="R3686" s="11"/>
      <c r="S3686" s="11"/>
      <c r="T3686" s="11"/>
    </row>
    <row r="3687" spans="8:20" x14ac:dyDescent="0.35">
      <c r="H3687" s="711"/>
      <c r="I3687" s="711"/>
      <c r="J3687" s="711"/>
      <c r="K3687" s="711"/>
      <c r="L3687" s="711"/>
      <c r="Q3687" s="11"/>
      <c r="R3687" s="11"/>
      <c r="S3687" s="11"/>
      <c r="T3687" s="11"/>
    </row>
    <row r="3688" spans="8:20" x14ac:dyDescent="0.35">
      <c r="H3688" s="711"/>
      <c r="I3688" s="711"/>
      <c r="J3688" s="711"/>
      <c r="K3688" s="711"/>
      <c r="L3688" s="711"/>
      <c r="Q3688" s="11"/>
      <c r="R3688" s="11"/>
      <c r="S3688" s="11"/>
      <c r="T3688" s="11"/>
    </row>
    <row r="3689" spans="8:20" x14ac:dyDescent="0.35">
      <c r="H3689" s="711"/>
      <c r="I3689" s="711"/>
      <c r="J3689" s="711"/>
      <c r="K3689" s="711"/>
      <c r="L3689" s="711"/>
      <c r="Q3689" s="11"/>
      <c r="R3689" s="11"/>
      <c r="S3689" s="11"/>
      <c r="T3689" s="11"/>
    </row>
    <row r="3690" spans="8:20" x14ac:dyDescent="0.35">
      <c r="H3690" s="711"/>
      <c r="I3690" s="711"/>
      <c r="J3690" s="711"/>
      <c r="K3690" s="711"/>
      <c r="L3690" s="711"/>
      <c r="Q3690" s="11"/>
      <c r="R3690" s="11"/>
      <c r="S3690" s="11"/>
      <c r="T3690" s="11"/>
    </row>
    <row r="3691" spans="8:20" x14ac:dyDescent="0.35">
      <c r="H3691" s="711"/>
      <c r="I3691" s="711"/>
      <c r="J3691" s="711"/>
      <c r="K3691" s="711"/>
      <c r="L3691" s="711"/>
      <c r="Q3691" s="11"/>
      <c r="R3691" s="11"/>
      <c r="S3691" s="11"/>
      <c r="T3691" s="11"/>
    </row>
    <row r="3692" spans="8:20" x14ac:dyDescent="0.35">
      <c r="H3692" s="711"/>
      <c r="I3692" s="711"/>
      <c r="J3692" s="711"/>
      <c r="K3692" s="711"/>
      <c r="L3692" s="711"/>
      <c r="Q3692" s="11"/>
      <c r="R3692" s="11"/>
      <c r="S3692" s="11"/>
      <c r="T3692" s="11"/>
    </row>
    <row r="3693" spans="8:20" x14ac:dyDescent="0.35">
      <c r="H3693" s="711"/>
      <c r="I3693" s="711"/>
      <c r="J3693" s="711"/>
      <c r="K3693" s="711"/>
      <c r="L3693" s="711"/>
      <c r="Q3693" s="11"/>
      <c r="R3693" s="11"/>
      <c r="S3693" s="11"/>
      <c r="T3693" s="11"/>
    </row>
    <row r="3694" spans="8:20" x14ac:dyDescent="0.35">
      <c r="H3694" s="711"/>
      <c r="I3694" s="711"/>
      <c r="J3694" s="711"/>
      <c r="K3694" s="711"/>
      <c r="L3694" s="711"/>
      <c r="Q3694" s="11"/>
      <c r="R3694" s="11"/>
      <c r="S3694" s="11"/>
      <c r="T3694" s="11"/>
    </row>
    <row r="3695" spans="8:20" x14ac:dyDescent="0.35">
      <c r="H3695" s="711"/>
      <c r="I3695" s="711"/>
      <c r="J3695" s="711"/>
      <c r="K3695" s="711"/>
      <c r="L3695" s="711"/>
      <c r="Q3695" s="11"/>
      <c r="R3695" s="11"/>
      <c r="S3695" s="11"/>
      <c r="T3695" s="11"/>
    </row>
    <row r="3696" spans="8:20" x14ac:dyDescent="0.35">
      <c r="H3696" s="711"/>
      <c r="I3696" s="711"/>
      <c r="J3696" s="711"/>
      <c r="K3696" s="711"/>
      <c r="L3696" s="711"/>
      <c r="Q3696" s="11"/>
      <c r="R3696" s="11"/>
      <c r="S3696" s="11"/>
      <c r="T3696" s="11"/>
    </row>
    <row r="3697" spans="8:20" x14ac:dyDescent="0.35">
      <c r="H3697" s="711"/>
      <c r="I3697" s="711"/>
      <c r="J3697" s="711"/>
      <c r="K3697" s="711"/>
      <c r="L3697" s="711"/>
      <c r="Q3697" s="11"/>
      <c r="R3697" s="11"/>
      <c r="S3697" s="11"/>
      <c r="T3697" s="11"/>
    </row>
    <row r="3698" spans="8:20" x14ac:dyDescent="0.35">
      <c r="H3698" s="711"/>
      <c r="I3698" s="711"/>
      <c r="J3698" s="711"/>
      <c r="K3698" s="711"/>
      <c r="L3698" s="711"/>
      <c r="Q3698" s="11"/>
      <c r="R3698" s="11"/>
      <c r="S3698" s="11"/>
      <c r="T3698" s="11"/>
    </row>
    <row r="3699" spans="8:20" x14ac:dyDescent="0.35">
      <c r="H3699" s="711"/>
      <c r="I3699" s="711"/>
      <c r="J3699" s="711"/>
      <c r="K3699" s="711"/>
      <c r="L3699" s="711"/>
      <c r="Q3699" s="11"/>
      <c r="R3699" s="11"/>
      <c r="S3699" s="11"/>
      <c r="T3699" s="11"/>
    </row>
    <row r="3700" spans="8:20" x14ac:dyDescent="0.35">
      <c r="H3700" s="711"/>
      <c r="I3700" s="711"/>
      <c r="J3700" s="711"/>
      <c r="K3700" s="711"/>
      <c r="L3700" s="711"/>
      <c r="Q3700" s="11"/>
      <c r="R3700" s="11"/>
      <c r="S3700" s="11"/>
      <c r="T3700" s="11"/>
    </row>
    <row r="3701" spans="8:20" x14ac:dyDescent="0.35">
      <c r="H3701" s="711"/>
      <c r="I3701" s="711"/>
      <c r="J3701" s="711"/>
      <c r="K3701" s="711"/>
      <c r="L3701" s="711"/>
      <c r="Q3701" s="11"/>
      <c r="R3701" s="11"/>
      <c r="S3701" s="11"/>
      <c r="T3701" s="11"/>
    </row>
    <row r="3702" spans="8:20" x14ac:dyDescent="0.35">
      <c r="H3702" s="711"/>
      <c r="I3702" s="711"/>
      <c r="J3702" s="711"/>
      <c r="K3702" s="711"/>
      <c r="L3702" s="711"/>
      <c r="Q3702" s="11"/>
      <c r="R3702" s="11"/>
      <c r="S3702" s="11"/>
      <c r="T3702" s="11"/>
    </row>
    <row r="3703" spans="8:20" x14ac:dyDescent="0.35">
      <c r="H3703" s="711"/>
      <c r="I3703" s="711"/>
      <c r="J3703" s="711"/>
      <c r="K3703" s="711"/>
      <c r="L3703" s="711"/>
      <c r="Q3703" s="11"/>
      <c r="R3703" s="11"/>
      <c r="S3703" s="11"/>
      <c r="T3703" s="11"/>
    </row>
    <row r="3704" spans="8:20" x14ac:dyDescent="0.35">
      <c r="H3704" s="711"/>
      <c r="I3704" s="711"/>
      <c r="J3704" s="711"/>
      <c r="K3704" s="711"/>
      <c r="L3704" s="711"/>
      <c r="Q3704" s="11"/>
      <c r="R3704" s="11"/>
      <c r="S3704" s="11"/>
      <c r="T3704" s="11"/>
    </row>
    <row r="3705" spans="8:20" x14ac:dyDescent="0.35">
      <c r="H3705" s="711"/>
      <c r="I3705" s="711"/>
      <c r="J3705" s="711"/>
      <c r="K3705" s="711"/>
      <c r="L3705" s="711"/>
      <c r="Q3705" s="11"/>
      <c r="R3705" s="11"/>
      <c r="S3705" s="11"/>
      <c r="T3705" s="11"/>
    </row>
    <row r="3706" spans="8:20" x14ac:dyDescent="0.35">
      <c r="H3706" s="711"/>
      <c r="I3706" s="711"/>
      <c r="J3706" s="711"/>
      <c r="K3706" s="711"/>
      <c r="L3706" s="711"/>
      <c r="Q3706" s="11"/>
      <c r="R3706" s="11"/>
      <c r="S3706" s="11"/>
      <c r="T3706" s="11"/>
    </row>
    <row r="3707" spans="8:20" x14ac:dyDescent="0.35">
      <c r="H3707" s="711"/>
      <c r="I3707" s="711"/>
      <c r="J3707" s="711"/>
      <c r="K3707" s="711"/>
      <c r="L3707" s="711"/>
      <c r="Q3707" s="11"/>
      <c r="R3707" s="11"/>
      <c r="S3707" s="11"/>
      <c r="T3707" s="11"/>
    </row>
    <row r="3708" spans="8:20" x14ac:dyDescent="0.35">
      <c r="H3708" s="711"/>
      <c r="I3708" s="711"/>
      <c r="J3708" s="711"/>
      <c r="K3708" s="711"/>
      <c r="L3708" s="711"/>
      <c r="Q3708" s="11"/>
      <c r="R3708" s="11"/>
      <c r="S3708" s="11"/>
      <c r="T3708" s="11"/>
    </row>
    <row r="3709" spans="8:20" x14ac:dyDescent="0.35">
      <c r="H3709" s="711"/>
      <c r="I3709" s="711"/>
      <c r="J3709" s="711"/>
      <c r="K3709" s="711"/>
      <c r="L3709" s="711"/>
      <c r="Q3709" s="11"/>
      <c r="R3709" s="11"/>
      <c r="S3709" s="11"/>
      <c r="T3709" s="11"/>
    </row>
    <row r="3710" spans="8:20" x14ac:dyDescent="0.35">
      <c r="H3710" s="711"/>
      <c r="I3710" s="711"/>
      <c r="J3710" s="711"/>
      <c r="K3710" s="711"/>
      <c r="L3710" s="711"/>
      <c r="Q3710" s="11"/>
      <c r="R3710" s="11"/>
      <c r="S3710" s="11"/>
      <c r="T3710" s="11"/>
    </row>
    <row r="3711" spans="8:20" x14ac:dyDescent="0.35">
      <c r="H3711" s="711"/>
      <c r="I3711" s="711"/>
      <c r="J3711" s="711"/>
      <c r="K3711" s="711"/>
      <c r="L3711" s="711"/>
      <c r="Q3711" s="11"/>
      <c r="R3711" s="11"/>
      <c r="S3711" s="11"/>
      <c r="T3711" s="11"/>
    </row>
    <row r="3712" spans="8:20" x14ac:dyDescent="0.35">
      <c r="H3712" s="711"/>
      <c r="I3712" s="711"/>
      <c r="J3712" s="711"/>
      <c r="K3712" s="711"/>
      <c r="L3712" s="711"/>
      <c r="Q3712" s="11"/>
      <c r="R3712" s="11"/>
      <c r="S3712" s="11"/>
      <c r="T3712" s="11"/>
    </row>
    <row r="3713" spans="8:20" x14ac:dyDescent="0.35">
      <c r="H3713" s="711"/>
      <c r="I3713" s="711"/>
      <c r="J3713" s="711"/>
      <c r="K3713" s="711"/>
      <c r="L3713" s="711"/>
      <c r="Q3713" s="11"/>
      <c r="R3713" s="11"/>
      <c r="S3713" s="11"/>
      <c r="T3713" s="11"/>
    </row>
    <row r="3714" spans="8:20" x14ac:dyDescent="0.35">
      <c r="H3714" s="711"/>
      <c r="I3714" s="711"/>
      <c r="J3714" s="711"/>
      <c r="K3714" s="711"/>
      <c r="L3714" s="711"/>
      <c r="Q3714" s="11"/>
      <c r="R3714" s="11"/>
      <c r="S3714" s="11"/>
      <c r="T3714" s="11"/>
    </row>
    <row r="3715" spans="8:20" x14ac:dyDescent="0.35">
      <c r="H3715" s="711"/>
      <c r="I3715" s="711"/>
      <c r="J3715" s="711"/>
      <c r="K3715" s="711"/>
      <c r="L3715" s="711"/>
      <c r="Q3715" s="11"/>
      <c r="R3715" s="11"/>
      <c r="S3715" s="11"/>
      <c r="T3715" s="11"/>
    </row>
    <row r="3716" spans="8:20" x14ac:dyDescent="0.35">
      <c r="H3716" s="711"/>
      <c r="I3716" s="711"/>
      <c r="J3716" s="711"/>
      <c r="K3716" s="711"/>
      <c r="L3716" s="711"/>
      <c r="Q3716" s="11"/>
      <c r="R3716" s="11"/>
      <c r="S3716" s="11"/>
      <c r="T3716" s="11"/>
    </row>
    <row r="3717" spans="8:20" x14ac:dyDescent="0.35">
      <c r="H3717" s="711"/>
      <c r="I3717" s="711"/>
      <c r="J3717" s="711"/>
      <c r="K3717" s="711"/>
      <c r="L3717" s="711"/>
      <c r="Q3717" s="11"/>
      <c r="R3717" s="11"/>
      <c r="S3717" s="11"/>
      <c r="T3717" s="11"/>
    </row>
    <row r="3718" spans="8:20" x14ac:dyDescent="0.35">
      <c r="H3718" s="711"/>
      <c r="I3718" s="711"/>
      <c r="J3718" s="711"/>
      <c r="K3718" s="711"/>
      <c r="L3718" s="711"/>
      <c r="Q3718" s="11"/>
      <c r="R3718" s="11"/>
      <c r="S3718" s="11"/>
      <c r="T3718" s="11"/>
    </row>
    <row r="3719" spans="8:20" x14ac:dyDescent="0.35">
      <c r="H3719" s="711"/>
      <c r="I3719" s="711"/>
      <c r="J3719" s="711"/>
      <c r="K3719" s="711"/>
      <c r="L3719" s="711"/>
      <c r="Q3719" s="11"/>
      <c r="R3719" s="11"/>
      <c r="S3719" s="11"/>
      <c r="T3719" s="11"/>
    </row>
    <row r="3720" spans="8:20" x14ac:dyDescent="0.35">
      <c r="H3720" s="711"/>
      <c r="I3720" s="711"/>
      <c r="J3720" s="711"/>
      <c r="K3720" s="711"/>
      <c r="L3720" s="711"/>
      <c r="Q3720" s="11"/>
      <c r="R3720" s="11"/>
      <c r="S3720" s="11"/>
      <c r="T3720" s="11"/>
    </row>
    <row r="3721" spans="8:20" x14ac:dyDescent="0.35">
      <c r="H3721" s="711"/>
      <c r="I3721" s="711"/>
      <c r="J3721" s="711"/>
      <c r="K3721" s="711"/>
      <c r="L3721" s="711"/>
      <c r="Q3721" s="11"/>
      <c r="R3721" s="11"/>
      <c r="S3721" s="11"/>
      <c r="T3721" s="11"/>
    </row>
    <row r="3722" spans="8:20" x14ac:dyDescent="0.35">
      <c r="H3722" s="711"/>
      <c r="I3722" s="711"/>
      <c r="J3722" s="711"/>
      <c r="K3722" s="711"/>
      <c r="L3722" s="711"/>
      <c r="Q3722" s="11"/>
      <c r="R3722" s="11"/>
      <c r="S3722" s="11"/>
      <c r="T3722" s="11"/>
    </row>
    <row r="3723" spans="8:20" x14ac:dyDescent="0.35">
      <c r="H3723" s="711"/>
      <c r="I3723" s="711"/>
      <c r="J3723" s="711"/>
      <c r="K3723" s="711"/>
      <c r="L3723" s="711"/>
      <c r="Q3723" s="11"/>
      <c r="R3723" s="11"/>
      <c r="S3723" s="11"/>
      <c r="T3723" s="11"/>
    </row>
    <row r="3724" spans="8:20" x14ac:dyDescent="0.35">
      <c r="H3724" s="711"/>
      <c r="I3724" s="711"/>
      <c r="J3724" s="711"/>
      <c r="K3724" s="711"/>
      <c r="L3724" s="711"/>
      <c r="Q3724" s="11"/>
      <c r="R3724" s="11"/>
      <c r="S3724" s="11"/>
      <c r="T3724" s="11"/>
    </row>
    <row r="3725" spans="8:20" x14ac:dyDescent="0.35">
      <c r="H3725" s="711"/>
      <c r="I3725" s="711"/>
      <c r="J3725" s="711"/>
      <c r="K3725" s="711"/>
      <c r="L3725" s="711"/>
      <c r="Q3725" s="11"/>
      <c r="R3725" s="11"/>
      <c r="S3725" s="11"/>
      <c r="T3725" s="11"/>
    </row>
    <row r="3726" spans="8:20" x14ac:dyDescent="0.35">
      <c r="H3726" s="711"/>
      <c r="I3726" s="711"/>
      <c r="J3726" s="711"/>
      <c r="K3726" s="711"/>
      <c r="L3726" s="711"/>
      <c r="Q3726" s="11"/>
      <c r="R3726" s="11"/>
      <c r="S3726" s="11"/>
      <c r="T3726" s="11"/>
    </row>
    <row r="3727" spans="8:20" x14ac:dyDescent="0.35">
      <c r="H3727" s="711"/>
      <c r="I3727" s="711"/>
      <c r="J3727" s="711"/>
      <c r="K3727" s="711"/>
      <c r="L3727" s="711"/>
      <c r="Q3727" s="11"/>
      <c r="R3727" s="11"/>
      <c r="S3727" s="11"/>
      <c r="T3727" s="11"/>
    </row>
    <row r="3728" spans="8:20" x14ac:dyDescent="0.35">
      <c r="H3728" s="711"/>
      <c r="I3728" s="711"/>
      <c r="J3728" s="711"/>
      <c r="K3728" s="711"/>
      <c r="L3728" s="711"/>
      <c r="Q3728" s="11"/>
      <c r="R3728" s="11"/>
      <c r="S3728" s="11"/>
      <c r="T3728" s="11"/>
    </row>
    <row r="3729" spans="8:20" x14ac:dyDescent="0.35">
      <c r="H3729" s="711"/>
      <c r="I3729" s="711"/>
      <c r="J3729" s="711"/>
      <c r="K3729" s="711"/>
      <c r="L3729" s="711"/>
      <c r="Q3729" s="11"/>
      <c r="R3729" s="11"/>
      <c r="S3729" s="11"/>
      <c r="T3729" s="11"/>
    </row>
    <row r="3730" spans="8:20" x14ac:dyDescent="0.35">
      <c r="H3730" s="711"/>
      <c r="I3730" s="711"/>
      <c r="J3730" s="711"/>
      <c r="K3730" s="711"/>
      <c r="L3730" s="711"/>
      <c r="Q3730" s="11"/>
      <c r="R3730" s="11"/>
      <c r="S3730" s="11"/>
      <c r="T3730" s="11"/>
    </row>
    <row r="3731" spans="8:20" x14ac:dyDescent="0.35">
      <c r="H3731" s="711"/>
      <c r="I3731" s="711"/>
      <c r="J3731" s="711"/>
      <c r="K3731" s="711"/>
      <c r="L3731" s="711"/>
      <c r="Q3731" s="11"/>
      <c r="R3731" s="11"/>
      <c r="S3731" s="11"/>
      <c r="T3731" s="11"/>
    </row>
    <row r="3732" spans="8:20" x14ac:dyDescent="0.35">
      <c r="H3732" s="711"/>
      <c r="I3732" s="711"/>
      <c r="J3732" s="711"/>
      <c r="K3732" s="711"/>
      <c r="L3732" s="711"/>
      <c r="Q3732" s="11"/>
      <c r="R3732" s="11"/>
      <c r="S3732" s="11"/>
      <c r="T3732" s="11"/>
    </row>
    <row r="3733" spans="8:20" x14ac:dyDescent="0.35">
      <c r="H3733" s="711"/>
      <c r="I3733" s="711"/>
      <c r="J3733" s="711"/>
      <c r="K3733" s="711"/>
      <c r="L3733" s="711"/>
      <c r="Q3733" s="11"/>
      <c r="R3733" s="11"/>
      <c r="S3733" s="11"/>
      <c r="T3733" s="11"/>
    </row>
    <row r="3734" spans="8:20" x14ac:dyDescent="0.35">
      <c r="H3734" s="711"/>
      <c r="I3734" s="711"/>
      <c r="J3734" s="711"/>
      <c r="K3734" s="711"/>
      <c r="L3734" s="711"/>
      <c r="Q3734" s="11"/>
      <c r="R3734" s="11"/>
      <c r="S3734" s="11"/>
      <c r="T3734" s="11"/>
    </row>
    <row r="3735" spans="8:20" x14ac:dyDescent="0.35">
      <c r="H3735" s="711"/>
      <c r="I3735" s="711"/>
      <c r="J3735" s="711"/>
      <c r="K3735" s="711"/>
      <c r="L3735" s="711"/>
      <c r="Q3735" s="11"/>
      <c r="R3735" s="11"/>
      <c r="S3735" s="11"/>
      <c r="T3735" s="11"/>
    </row>
    <row r="3736" spans="8:20" x14ac:dyDescent="0.35">
      <c r="H3736" s="711"/>
      <c r="I3736" s="711"/>
      <c r="J3736" s="711"/>
      <c r="K3736" s="711"/>
      <c r="L3736" s="711"/>
      <c r="Q3736" s="11"/>
      <c r="R3736" s="11"/>
      <c r="S3736" s="11"/>
      <c r="T3736" s="11"/>
    </row>
    <row r="3737" spans="8:20" x14ac:dyDescent="0.35">
      <c r="H3737" s="711"/>
      <c r="I3737" s="711"/>
      <c r="J3737" s="711"/>
      <c r="K3737" s="711"/>
      <c r="L3737" s="711"/>
      <c r="Q3737" s="11"/>
      <c r="R3737" s="11"/>
      <c r="S3737" s="11"/>
      <c r="T3737" s="11"/>
    </row>
    <row r="3738" spans="8:20" x14ac:dyDescent="0.35">
      <c r="H3738" s="711"/>
      <c r="I3738" s="711"/>
      <c r="J3738" s="711"/>
      <c r="K3738" s="711"/>
      <c r="L3738" s="711"/>
      <c r="Q3738" s="11"/>
      <c r="R3738" s="11"/>
      <c r="S3738" s="11"/>
      <c r="T3738" s="11"/>
    </row>
    <row r="3739" spans="8:20" x14ac:dyDescent="0.35">
      <c r="H3739" s="711"/>
      <c r="I3739" s="711"/>
      <c r="J3739" s="711"/>
      <c r="K3739" s="711"/>
      <c r="L3739" s="711"/>
      <c r="Q3739" s="11"/>
      <c r="R3739" s="11"/>
      <c r="S3739" s="11"/>
      <c r="T3739" s="11"/>
    </row>
    <row r="3740" spans="8:20" x14ac:dyDescent="0.35">
      <c r="H3740" s="711"/>
      <c r="I3740" s="711"/>
      <c r="J3740" s="711"/>
      <c r="K3740" s="711"/>
      <c r="L3740" s="711"/>
      <c r="Q3740" s="11"/>
      <c r="R3740" s="11"/>
      <c r="S3740" s="11"/>
      <c r="T3740" s="11"/>
    </row>
    <row r="3741" spans="8:20" x14ac:dyDescent="0.35">
      <c r="H3741" s="711"/>
      <c r="I3741" s="711"/>
      <c r="J3741" s="711"/>
      <c r="K3741" s="711"/>
      <c r="L3741" s="711"/>
      <c r="Q3741" s="11"/>
      <c r="R3741" s="11"/>
      <c r="S3741" s="11"/>
      <c r="T3741" s="11"/>
    </row>
    <row r="3742" spans="8:20" x14ac:dyDescent="0.35">
      <c r="H3742" s="711"/>
      <c r="I3742" s="711"/>
      <c r="J3742" s="711"/>
      <c r="K3742" s="711"/>
      <c r="L3742" s="711"/>
      <c r="Q3742" s="11"/>
      <c r="R3742" s="11"/>
      <c r="S3742" s="11"/>
      <c r="T3742" s="11"/>
    </row>
    <row r="3743" spans="8:20" x14ac:dyDescent="0.35">
      <c r="H3743" s="711"/>
      <c r="I3743" s="711"/>
      <c r="J3743" s="711"/>
      <c r="K3743" s="711"/>
      <c r="L3743" s="711"/>
      <c r="Q3743" s="11"/>
      <c r="R3743" s="11"/>
      <c r="S3743" s="11"/>
      <c r="T3743" s="11"/>
    </row>
    <row r="3744" spans="8:20" x14ac:dyDescent="0.35">
      <c r="H3744" s="711"/>
      <c r="I3744" s="711"/>
      <c r="J3744" s="711"/>
      <c r="K3744" s="711"/>
      <c r="L3744" s="711"/>
      <c r="Q3744" s="11"/>
      <c r="R3744" s="11"/>
      <c r="S3744" s="11"/>
      <c r="T3744" s="11"/>
    </row>
    <row r="3745" spans="8:20" x14ac:dyDescent="0.35">
      <c r="H3745" s="711"/>
      <c r="I3745" s="711"/>
      <c r="J3745" s="711"/>
      <c r="K3745" s="711"/>
      <c r="L3745" s="711"/>
      <c r="Q3745" s="11"/>
      <c r="R3745" s="11"/>
      <c r="S3745" s="11"/>
      <c r="T3745" s="11"/>
    </row>
    <row r="3746" spans="8:20" x14ac:dyDescent="0.35">
      <c r="H3746" s="711"/>
      <c r="I3746" s="711"/>
      <c r="J3746" s="711"/>
      <c r="K3746" s="711"/>
      <c r="L3746" s="711"/>
      <c r="Q3746" s="11"/>
      <c r="R3746" s="11"/>
      <c r="S3746" s="11"/>
      <c r="T3746" s="11"/>
    </row>
    <row r="3747" spans="8:20" x14ac:dyDescent="0.35">
      <c r="H3747" s="711"/>
      <c r="I3747" s="711"/>
      <c r="J3747" s="711"/>
      <c r="K3747" s="711"/>
      <c r="L3747" s="711"/>
      <c r="Q3747" s="11"/>
      <c r="R3747" s="11"/>
      <c r="S3747" s="11"/>
      <c r="T3747" s="11"/>
    </row>
    <row r="3748" spans="8:20" x14ac:dyDescent="0.35">
      <c r="H3748" s="711"/>
      <c r="I3748" s="711"/>
      <c r="J3748" s="711"/>
      <c r="K3748" s="711"/>
      <c r="L3748" s="711"/>
      <c r="Q3748" s="11"/>
      <c r="R3748" s="11"/>
      <c r="S3748" s="11"/>
      <c r="T3748" s="11"/>
    </row>
    <row r="3749" spans="8:20" x14ac:dyDescent="0.35">
      <c r="H3749" s="711"/>
      <c r="I3749" s="711"/>
      <c r="J3749" s="711"/>
      <c r="K3749" s="711"/>
      <c r="L3749" s="711"/>
      <c r="Q3749" s="11"/>
      <c r="R3749" s="11"/>
      <c r="S3749" s="11"/>
      <c r="T3749" s="11"/>
    </row>
    <row r="3750" spans="8:20" x14ac:dyDescent="0.35">
      <c r="H3750" s="711"/>
      <c r="I3750" s="711"/>
      <c r="J3750" s="711"/>
      <c r="K3750" s="711"/>
      <c r="L3750" s="711"/>
      <c r="Q3750" s="11"/>
      <c r="R3750" s="11"/>
      <c r="S3750" s="11"/>
      <c r="T3750" s="11"/>
    </row>
    <row r="3751" spans="8:20" x14ac:dyDescent="0.35">
      <c r="H3751" s="711"/>
      <c r="I3751" s="711"/>
      <c r="J3751" s="711"/>
      <c r="K3751" s="711"/>
      <c r="L3751" s="711"/>
      <c r="Q3751" s="11"/>
      <c r="R3751" s="11"/>
      <c r="S3751" s="11"/>
      <c r="T3751" s="11"/>
    </row>
    <row r="3752" spans="8:20" x14ac:dyDescent="0.35">
      <c r="H3752" s="711"/>
      <c r="I3752" s="711"/>
      <c r="J3752" s="711"/>
      <c r="K3752" s="711"/>
      <c r="L3752" s="711"/>
      <c r="Q3752" s="11"/>
      <c r="R3752" s="11"/>
      <c r="S3752" s="11"/>
      <c r="T3752" s="11"/>
    </row>
    <row r="3753" spans="8:20" x14ac:dyDescent="0.35">
      <c r="H3753" s="711"/>
      <c r="I3753" s="711"/>
      <c r="J3753" s="711"/>
      <c r="K3753" s="711"/>
      <c r="L3753" s="711"/>
      <c r="Q3753" s="11"/>
      <c r="R3753" s="11"/>
      <c r="S3753" s="11"/>
      <c r="T3753" s="11"/>
    </row>
    <row r="3754" spans="8:20" x14ac:dyDescent="0.35">
      <c r="H3754" s="711"/>
      <c r="I3754" s="711"/>
      <c r="J3754" s="711"/>
      <c r="K3754" s="711"/>
      <c r="L3754" s="711"/>
      <c r="Q3754" s="11"/>
      <c r="R3754" s="11"/>
      <c r="S3754" s="11"/>
      <c r="T3754" s="11"/>
    </row>
    <row r="3755" spans="8:20" x14ac:dyDescent="0.35">
      <c r="H3755" s="711"/>
      <c r="I3755" s="711"/>
      <c r="J3755" s="711"/>
      <c r="K3755" s="711"/>
      <c r="L3755" s="711"/>
      <c r="Q3755" s="11"/>
      <c r="R3755" s="11"/>
      <c r="S3755" s="11"/>
      <c r="T3755" s="11"/>
    </row>
    <row r="3756" spans="8:20" x14ac:dyDescent="0.35">
      <c r="H3756" s="711"/>
      <c r="I3756" s="711"/>
      <c r="J3756" s="711"/>
      <c r="K3756" s="711"/>
      <c r="L3756" s="711"/>
      <c r="Q3756" s="11"/>
      <c r="R3756" s="11"/>
      <c r="S3756" s="11"/>
      <c r="T3756" s="11"/>
    </row>
    <row r="3757" spans="8:20" x14ac:dyDescent="0.35">
      <c r="H3757" s="711"/>
      <c r="I3757" s="711"/>
      <c r="J3757" s="711"/>
      <c r="K3757" s="711"/>
      <c r="L3757" s="711"/>
      <c r="Q3757" s="11"/>
      <c r="R3757" s="11"/>
      <c r="S3757" s="11"/>
      <c r="T3757" s="11"/>
    </row>
    <row r="3758" spans="8:20" x14ac:dyDescent="0.35">
      <c r="H3758" s="711"/>
      <c r="I3758" s="711"/>
      <c r="J3758" s="711"/>
      <c r="K3758" s="711"/>
      <c r="L3758" s="711"/>
      <c r="Q3758" s="11"/>
      <c r="R3758" s="11"/>
      <c r="S3758" s="11"/>
      <c r="T3758" s="11"/>
    </row>
    <row r="3759" spans="8:20" x14ac:dyDescent="0.35">
      <c r="H3759" s="711"/>
      <c r="I3759" s="711"/>
      <c r="J3759" s="711"/>
      <c r="K3759" s="711"/>
      <c r="L3759" s="711"/>
      <c r="Q3759" s="11"/>
      <c r="R3759" s="11"/>
      <c r="S3759" s="11"/>
      <c r="T3759" s="11"/>
    </row>
    <row r="3760" spans="8:20" x14ac:dyDescent="0.35">
      <c r="H3760" s="711"/>
      <c r="I3760" s="711"/>
      <c r="J3760" s="711"/>
      <c r="K3760" s="711"/>
      <c r="L3760" s="711"/>
      <c r="Q3760" s="11"/>
      <c r="R3760" s="11"/>
      <c r="S3760" s="11"/>
      <c r="T3760" s="11"/>
    </row>
    <row r="3761" spans="8:20" x14ac:dyDescent="0.35">
      <c r="H3761" s="711"/>
      <c r="I3761" s="711"/>
      <c r="J3761" s="711"/>
      <c r="K3761" s="711"/>
      <c r="L3761" s="711"/>
      <c r="Q3761" s="11"/>
      <c r="R3761" s="11"/>
      <c r="S3761" s="11"/>
      <c r="T3761" s="11"/>
    </row>
    <row r="3762" spans="8:20" x14ac:dyDescent="0.35">
      <c r="H3762" s="711"/>
      <c r="I3762" s="711"/>
      <c r="J3762" s="711"/>
      <c r="K3762" s="711"/>
      <c r="L3762" s="711"/>
      <c r="Q3762" s="11"/>
      <c r="R3762" s="11"/>
      <c r="S3762" s="11"/>
      <c r="T3762" s="11"/>
    </row>
    <row r="3763" spans="8:20" x14ac:dyDescent="0.35">
      <c r="H3763" s="711"/>
      <c r="I3763" s="711"/>
      <c r="J3763" s="711"/>
      <c r="K3763" s="711"/>
      <c r="L3763" s="711"/>
      <c r="Q3763" s="11"/>
      <c r="R3763" s="11"/>
      <c r="S3763" s="11"/>
      <c r="T3763" s="11"/>
    </row>
    <row r="3764" spans="8:20" x14ac:dyDescent="0.35">
      <c r="H3764" s="711"/>
      <c r="I3764" s="711"/>
      <c r="J3764" s="711"/>
      <c r="K3764" s="711"/>
      <c r="L3764" s="711"/>
      <c r="Q3764" s="11"/>
      <c r="R3764" s="11"/>
      <c r="S3764" s="11"/>
      <c r="T3764" s="11"/>
    </row>
    <row r="3765" spans="8:20" x14ac:dyDescent="0.35">
      <c r="H3765" s="711"/>
      <c r="I3765" s="711"/>
      <c r="J3765" s="711"/>
      <c r="K3765" s="711"/>
      <c r="L3765" s="711"/>
      <c r="Q3765" s="11"/>
      <c r="R3765" s="11"/>
      <c r="S3765" s="11"/>
      <c r="T3765" s="11"/>
    </row>
    <row r="3766" spans="8:20" x14ac:dyDescent="0.35">
      <c r="H3766" s="711"/>
      <c r="I3766" s="711"/>
      <c r="J3766" s="711"/>
      <c r="K3766" s="711"/>
      <c r="L3766" s="711"/>
      <c r="Q3766" s="11"/>
      <c r="R3766" s="11"/>
      <c r="S3766" s="11"/>
      <c r="T3766" s="11"/>
    </row>
    <row r="3767" spans="8:20" x14ac:dyDescent="0.35">
      <c r="H3767" s="711"/>
      <c r="I3767" s="711"/>
      <c r="J3767" s="711"/>
      <c r="K3767" s="711"/>
      <c r="L3767" s="711"/>
      <c r="Q3767" s="11"/>
      <c r="R3767" s="11"/>
      <c r="S3767" s="11"/>
      <c r="T3767" s="11"/>
    </row>
    <row r="3768" spans="8:20" x14ac:dyDescent="0.35">
      <c r="H3768" s="711"/>
      <c r="I3768" s="711"/>
      <c r="J3768" s="711"/>
      <c r="K3768" s="711"/>
      <c r="L3768" s="711"/>
      <c r="Q3768" s="11"/>
      <c r="R3768" s="11"/>
      <c r="S3768" s="11"/>
      <c r="T3768" s="11"/>
    </row>
    <row r="3769" spans="8:20" x14ac:dyDescent="0.35">
      <c r="H3769" s="711"/>
      <c r="I3769" s="711"/>
      <c r="J3769" s="711"/>
      <c r="K3769" s="711"/>
      <c r="L3769" s="711"/>
      <c r="Q3769" s="11"/>
      <c r="R3769" s="11"/>
      <c r="S3769" s="11"/>
      <c r="T3769" s="11"/>
    </row>
    <row r="3770" spans="8:20" x14ac:dyDescent="0.35">
      <c r="H3770" s="711"/>
      <c r="I3770" s="711"/>
      <c r="J3770" s="711"/>
      <c r="K3770" s="711"/>
      <c r="L3770" s="711"/>
      <c r="Q3770" s="11"/>
      <c r="R3770" s="11"/>
      <c r="S3770" s="11"/>
      <c r="T3770" s="11"/>
    </row>
    <row r="3771" spans="8:20" x14ac:dyDescent="0.35">
      <c r="H3771" s="711"/>
      <c r="I3771" s="711"/>
      <c r="J3771" s="711"/>
      <c r="K3771" s="711"/>
      <c r="L3771" s="711"/>
      <c r="Q3771" s="11"/>
      <c r="R3771" s="11"/>
      <c r="S3771" s="11"/>
      <c r="T3771" s="11"/>
    </row>
    <row r="3772" spans="8:20" x14ac:dyDescent="0.35">
      <c r="H3772" s="711"/>
      <c r="I3772" s="711"/>
      <c r="J3772" s="711"/>
      <c r="K3772" s="711"/>
      <c r="L3772" s="711"/>
      <c r="Q3772" s="11"/>
      <c r="R3772" s="11"/>
      <c r="S3772" s="11"/>
      <c r="T3772" s="11"/>
    </row>
    <row r="3773" spans="8:20" x14ac:dyDescent="0.35">
      <c r="H3773" s="711"/>
      <c r="I3773" s="711"/>
      <c r="J3773" s="711"/>
      <c r="K3773" s="711"/>
      <c r="L3773" s="711"/>
      <c r="Q3773" s="11"/>
      <c r="R3773" s="11"/>
      <c r="S3773" s="11"/>
      <c r="T3773" s="11"/>
    </row>
    <row r="3774" spans="8:20" x14ac:dyDescent="0.35">
      <c r="H3774" s="711"/>
      <c r="I3774" s="711"/>
      <c r="J3774" s="711"/>
      <c r="K3774" s="711"/>
      <c r="L3774" s="711"/>
      <c r="Q3774" s="11"/>
      <c r="R3774" s="11"/>
      <c r="S3774" s="11"/>
      <c r="T3774" s="11"/>
    </row>
    <row r="3775" spans="8:20" x14ac:dyDescent="0.35">
      <c r="H3775" s="711"/>
      <c r="I3775" s="711"/>
      <c r="J3775" s="711"/>
      <c r="K3775" s="711"/>
      <c r="L3775" s="711"/>
      <c r="Q3775" s="11"/>
      <c r="R3775" s="11"/>
      <c r="S3775" s="11"/>
      <c r="T3775" s="11"/>
    </row>
    <row r="3776" spans="8:20" x14ac:dyDescent="0.35">
      <c r="H3776" s="711"/>
      <c r="I3776" s="711"/>
      <c r="J3776" s="711"/>
      <c r="K3776" s="711"/>
      <c r="L3776" s="711"/>
      <c r="Q3776" s="11"/>
      <c r="R3776" s="11"/>
      <c r="S3776" s="11"/>
      <c r="T3776" s="11"/>
    </row>
    <row r="3777" spans="8:20" x14ac:dyDescent="0.35">
      <c r="H3777" s="711"/>
      <c r="I3777" s="711"/>
      <c r="J3777" s="711"/>
      <c r="K3777" s="711"/>
      <c r="L3777" s="711"/>
      <c r="Q3777" s="11"/>
      <c r="R3777" s="11"/>
      <c r="S3777" s="11"/>
      <c r="T3777" s="11"/>
    </row>
    <row r="3778" spans="8:20" x14ac:dyDescent="0.35">
      <c r="H3778" s="711"/>
      <c r="I3778" s="711"/>
      <c r="J3778" s="711"/>
      <c r="K3778" s="711"/>
      <c r="L3778" s="711"/>
      <c r="Q3778" s="11"/>
      <c r="R3778" s="11"/>
      <c r="S3778" s="11"/>
      <c r="T3778" s="11"/>
    </row>
    <row r="3779" spans="8:20" x14ac:dyDescent="0.35">
      <c r="H3779" s="711"/>
      <c r="I3779" s="711"/>
      <c r="J3779" s="711"/>
      <c r="K3779" s="711"/>
      <c r="L3779" s="711"/>
      <c r="Q3779" s="11"/>
      <c r="R3779" s="11"/>
      <c r="S3779" s="11"/>
      <c r="T3779" s="11"/>
    </row>
    <row r="3780" spans="8:20" x14ac:dyDescent="0.35">
      <c r="H3780" s="711"/>
      <c r="I3780" s="711"/>
      <c r="J3780" s="711"/>
      <c r="K3780" s="711"/>
      <c r="L3780" s="711"/>
      <c r="Q3780" s="11"/>
      <c r="R3780" s="11"/>
      <c r="S3780" s="11"/>
      <c r="T3780" s="11"/>
    </row>
    <row r="3781" spans="8:20" x14ac:dyDescent="0.35">
      <c r="H3781" s="711"/>
      <c r="I3781" s="711"/>
      <c r="J3781" s="711"/>
      <c r="K3781" s="711"/>
      <c r="L3781" s="711"/>
      <c r="Q3781" s="11"/>
      <c r="R3781" s="11"/>
      <c r="S3781" s="11"/>
      <c r="T3781" s="11"/>
    </row>
    <row r="3782" spans="8:20" x14ac:dyDescent="0.35">
      <c r="H3782" s="711"/>
      <c r="I3782" s="711"/>
      <c r="J3782" s="711"/>
      <c r="K3782" s="711"/>
      <c r="L3782" s="711"/>
      <c r="Q3782" s="11"/>
      <c r="R3782" s="11"/>
      <c r="S3782" s="11"/>
      <c r="T3782" s="11"/>
    </row>
    <row r="3783" spans="8:20" x14ac:dyDescent="0.35">
      <c r="H3783" s="711"/>
      <c r="I3783" s="711"/>
      <c r="J3783" s="711"/>
      <c r="K3783" s="711"/>
      <c r="L3783" s="711"/>
      <c r="Q3783" s="11"/>
      <c r="R3783" s="11"/>
      <c r="S3783" s="11"/>
      <c r="T3783" s="11"/>
    </row>
    <row r="3784" spans="8:20" x14ac:dyDescent="0.35">
      <c r="H3784" s="711"/>
      <c r="I3784" s="711"/>
      <c r="J3784" s="711"/>
      <c r="K3784" s="711"/>
      <c r="L3784" s="711"/>
      <c r="Q3784" s="11"/>
      <c r="R3784" s="11"/>
      <c r="S3784" s="11"/>
      <c r="T3784" s="11"/>
    </row>
    <row r="3785" spans="8:20" x14ac:dyDescent="0.35">
      <c r="H3785" s="711"/>
      <c r="I3785" s="711"/>
      <c r="J3785" s="711"/>
      <c r="K3785" s="711"/>
      <c r="L3785" s="711"/>
      <c r="Q3785" s="11"/>
      <c r="R3785" s="11"/>
      <c r="S3785" s="11"/>
      <c r="T3785" s="11"/>
    </row>
    <row r="3786" spans="8:20" x14ac:dyDescent="0.35">
      <c r="H3786" s="711"/>
      <c r="I3786" s="711"/>
      <c r="J3786" s="711"/>
      <c r="K3786" s="711"/>
      <c r="L3786" s="711"/>
      <c r="Q3786" s="11"/>
      <c r="R3786" s="11"/>
      <c r="S3786" s="11"/>
      <c r="T3786" s="11"/>
    </row>
    <row r="3787" spans="8:20" x14ac:dyDescent="0.35">
      <c r="H3787" s="711"/>
      <c r="I3787" s="711"/>
      <c r="J3787" s="711"/>
      <c r="K3787" s="711"/>
      <c r="L3787" s="711"/>
      <c r="Q3787" s="11"/>
      <c r="R3787" s="11"/>
      <c r="S3787" s="11"/>
      <c r="T3787" s="11"/>
    </row>
    <row r="3788" spans="8:20" x14ac:dyDescent="0.35">
      <c r="H3788" s="711"/>
      <c r="I3788" s="711"/>
      <c r="J3788" s="711"/>
      <c r="K3788" s="711"/>
      <c r="L3788" s="711"/>
      <c r="Q3788" s="11"/>
      <c r="R3788" s="11"/>
      <c r="S3788" s="11"/>
      <c r="T3788" s="11"/>
    </row>
    <row r="3789" spans="8:20" x14ac:dyDescent="0.35">
      <c r="H3789" s="711"/>
      <c r="I3789" s="711"/>
      <c r="J3789" s="711"/>
      <c r="K3789" s="711"/>
      <c r="L3789" s="711"/>
      <c r="Q3789" s="11"/>
      <c r="R3789" s="11"/>
      <c r="S3789" s="11"/>
      <c r="T3789" s="11"/>
    </row>
    <row r="3790" spans="8:20" x14ac:dyDescent="0.35">
      <c r="H3790" s="711"/>
      <c r="I3790" s="711"/>
      <c r="J3790" s="711"/>
      <c r="K3790" s="711"/>
      <c r="L3790" s="711"/>
      <c r="Q3790" s="11"/>
      <c r="R3790" s="11"/>
      <c r="S3790" s="11"/>
      <c r="T3790" s="11"/>
    </row>
    <row r="3791" spans="8:20" x14ac:dyDescent="0.35">
      <c r="H3791" s="711"/>
      <c r="I3791" s="711"/>
      <c r="J3791" s="711"/>
      <c r="K3791" s="711"/>
      <c r="L3791" s="711"/>
      <c r="Q3791" s="11"/>
      <c r="R3791" s="11"/>
      <c r="S3791" s="11"/>
      <c r="T3791" s="11"/>
    </row>
    <row r="3792" spans="8:20" x14ac:dyDescent="0.35">
      <c r="H3792" s="711"/>
      <c r="I3792" s="711"/>
      <c r="J3792" s="711"/>
      <c r="K3792" s="711"/>
      <c r="L3792" s="711"/>
      <c r="Q3792" s="11"/>
      <c r="R3792" s="11"/>
      <c r="S3792" s="11"/>
      <c r="T3792" s="11"/>
    </row>
    <row r="3793" spans="8:20" x14ac:dyDescent="0.35">
      <c r="H3793" s="711"/>
      <c r="I3793" s="711"/>
      <c r="J3793" s="711"/>
      <c r="K3793" s="711"/>
      <c r="L3793" s="711"/>
      <c r="Q3793" s="11"/>
      <c r="R3793" s="11"/>
      <c r="S3793" s="11"/>
      <c r="T3793" s="11"/>
    </row>
    <row r="3794" spans="8:20" x14ac:dyDescent="0.35">
      <c r="H3794" s="711"/>
      <c r="I3794" s="711"/>
      <c r="J3794" s="711"/>
      <c r="K3794" s="711"/>
      <c r="L3794" s="711"/>
      <c r="Q3794" s="11"/>
      <c r="R3794" s="11"/>
      <c r="S3794" s="11"/>
      <c r="T3794" s="11"/>
    </row>
    <row r="3795" spans="8:20" x14ac:dyDescent="0.35">
      <c r="H3795" s="711"/>
      <c r="I3795" s="711"/>
      <c r="J3795" s="711"/>
      <c r="K3795" s="711"/>
      <c r="L3795" s="711"/>
      <c r="Q3795" s="11"/>
      <c r="R3795" s="11"/>
      <c r="S3795" s="11"/>
      <c r="T3795" s="11"/>
    </row>
    <row r="3796" spans="8:20" x14ac:dyDescent="0.35">
      <c r="H3796" s="711"/>
      <c r="I3796" s="711"/>
      <c r="J3796" s="711"/>
      <c r="K3796" s="711"/>
      <c r="L3796" s="711"/>
      <c r="Q3796" s="11"/>
      <c r="R3796" s="11"/>
      <c r="S3796" s="11"/>
      <c r="T3796" s="11"/>
    </row>
    <row r="3797" spans="8:20" x14ac:dyDescent="0.35">
      <c r="H3797" s="711"/>
      <c r="I3797" s="711"/>
      <c r="J3797" s="711"/>
      <c r="K3797" s="711"/>
      <c r="L3797" s="711"/>
      <c r="Q3797" s="11"/>
      <c r="R3797" s="11"/>
      <c r="S3797" s="11"/>
      <c r="T3797" s="11"/>
    </row>
    <row r="3798" spans="8:20" x14ac:dyDescent="0.35">
      <c r="H3798" s="711"/>
      <c r="I3798" s="711"/>
      <c r="J3798" s="711"/>
      <c r="K3798" s="711"/>
      <c r="L3798" s="711"/>
      <c r="Q3798" s="11"/>
      <c r="R3798" s="11"/>
      <c r="S3798" s="11"/>
      <c r="T3798" s="11"/>
    </row>
    <row r="3799" spans="8:20" x14ac:dyDescent="0.35">
      <c r="H3799" s="711"/>
      <c r="I3799" s="711"/>
      <c r="J3799" s="711"/>
      <c r="K3799" s="711"/>
      <c r="L3799" s="711"/>
      <c r="Q3799" s="11"/>
      <c r="R3799" s="11"/>
      <c r="S3799" s="11"/>
      <c r="T3799" s="11"/>
    </row>
    <row r="3800" spans="8:20" x14ac:dyDescent="0.35">
      <c r="H3800" s="711"/>
      <c r="I3800" s="711"/>
      <c r="J3800" s="711"/>
      <c r="K3800" s="711"/>
      <c r="L3800" s="711"/>
      <c r="Q3800" s="11"/>
      <c r="R3800" s="11"/>
      <c r="S3800" s="11"/>
      <c r="T3800" s="11"/>
    </row>
    <row r="3801" spans="8:20" x14ac:dyDescent="0.35">
      <c r="H3801" s="711"/>
      <c r="I3801" s="711"/>
      <c r="J3801" s="711"/>
      <c r="K3801" s="711"/>
      <c r="L3801" s="711"/>
      <c r="Q3801" s="11"/>
      <c r="R3801" s="11"/>
      <c r="S3801" s="11"/>
      <c r="T3801" s="11"/>
    </row>
    <row r="3802" spans="8:20" x14ac:dyDescent="0.35">
      <c r="H3802" s="711"/>
      <c r="I3802" s="711"/>
      <c r="J3802" s="711"/>
      <c r="K3802" s="711"/>
      <c r="L3802" s="711"/>
      <c r="Q3802" s="11"/>
      <c r="R3802" s="11"/>
      <c r="S3802" s="11"/>
      <c r="T3802" s="11"/>
    </row>
    <row r="3803" spans="8:20" x14ac:dyDescent="0.35">
      <c r="H3803" s="711"/>
      <c r="I3803" s="711"/>
      <c r="J3803" s="711"/>
      <c r="K3803" s="711"/>
      <c r="L3803" s="711"/>
      <c r="Q3803" s="11"/>
      <c r="R3803" s="11"/>
      <c r="S3803" s="11"/>
      <c r="T3803" s="11"/>
    </row>
    <row r="3804" spans="8:20" x14ac:dyDescent="0.35">
      <c r="H3804" s="711"/>
      <c r="I3804" s="711"/>
      <c r="J3804" s="711"/>
      <c r="K3804" s="711"/>
      <c r="L3804" s="711"/>
      <c r="Q3804" s="11"/>
      <c r="R3804" s="11"/>
      <c r="S3804" s="11"/>
      <c r="T3804" s="11"/>
    </row>
    <row r="3805" spans="8:20" x14ac:dyDescent="0.35">
      <c r="H3805" s="711"/>
      <c r="I3805" s="711"/>
      <c r="J3805" s="711"/>
      <c r="K3805" s="711"/>
      <c r="L3805" s="711"/>
      <c r="Q3805" s="11"/>
      <c r="R3805" s="11"/>
      <c r="S3805" s="11"/>
      <c r="T3805" s="11"/>
    </row>
    <row r="3806" spans="8:20" x14ac:dyDescent="0.35">
      <c r="H3806" s="711"/>
      <c r="I3806" s="711"/>
      <c r="J3806" s="711"/>
      <c r="K3806" s="711"/>
      <c r="L3806" s="711"/>
      <c r="Q3806" s="11"/>
      <c r="R3806" s="11"/>
      <c r="S3806" s="11"/>
      <c r="T3806" s="11"/>
    </row>
    <row r="3807" spans="8:20" x14ac:dyDescent="0.35">
      <c r="H3807" s="711"/>
      <c r="I3807" s="711"/>
      <c r="J3807" s="711"/>
      <c r="K3807" s="711"/>
      <c r="L3807" s="711"/>
      <c r="Q3807" s="11"/>
      <c r="R3807" s="11"/>
      <c r="S3807" s="11"/>
      <c r="T3807" s="11"/>
    </row>
    <row r="3808" spans="8:20" x14ac:dyDescent="0.35">
      <c r="H3808" s="711"/>
      <c r="I3808" s="711"/>
      <c r="J3808" s="711"/>
      <c r="K3808" s="711"/>
      <c r="L3808" s="711"/>
      <c r="Q3808" s="11"/>
      <c r="R3808" s="11"/>
      <c r="S3808" s="11"/>
      <c r="T3808" s="11"/>
    </row>
    <row r="3809" spans="8:20" x14ac:dyDescent="0.35">
      <c r="H3809" s="711"/>
      <c r="I3809" s="711"/>
      <c r="J3809" s="711"/>
      <c r="K3809" s="711"/>
      <c r="L3809" s="711"/>
      <c r="Q3809" s="11"/>
      <c r="R3809" s="11"/>
      <c r="S3809" s="11"/>
      <c r="T3809" s="11"/>
    </row>
    <row r="3810" spans="8:20" x14ac:dyDescent="0.35">
      <c r="H3810" s="711"/>
      <c r="I3810" s="711"/>
      <c r="J3810" s="711"/>
      <c r="K3810" s="711"/>
      <c r="L3810" s="711"/>
      <c r="Q3810" s="11"/>
      <c r="R3810" s="11"/>
      <c r="S3810" s="11"/>
      <c r="T3810" s="11"/>
    </row>
    <row r="3811" spans="8:20" x14ac:dyDescent="0.35">
      <c r="H3811" s="711"/>
      <c r="I3811" s="711"/>
      <c r="J3811" s="711"/>
      <c r="K3811" s="711"/>
      <c r="L3811" s="711"/>
      <c r="Q3811" s="11"/>
      <c r="R3811" s="11"/>
      <c r="S3811" s="11"/>
      <c r="T3811" s="11"/>
    </row>
    <row r="3812" spans="8:20" x14ac:dyDescent="0.35">
      <c r="H3812" s="711"/>
      <c r="I3812" s="711"/>
      <c r="J3812" s="711"/>
      <c r="K3812" s="711"/>
      <c r="L3812" s="711"/>
      <c r="Q3812" s="11"/>
      <c r="R3812" s="11"/>
      <c r="S3812" s="11"/>
      <c r="T3812" s="11"/>
    </row>
    <row r="3813" spans="8:20" x14ac:dyDescent="0.35">
      <c r="H3813" s="711"/>
      <c r="I3813" s="711"/>
      <c r="J3813" s="711"/>
      <c r="K3813" s="711"/>
      <c r="L3813" s="711"/>
      <c r="Q3813" s="11"/>
      <c r="R3813" s="11"/>
      <c r="S3813" s="11"/>
      <c r="T3813" s="11"/>
    </row>
    <row r="3814" spans="8:20" x14ac:dyDescent="0.35">
      <c r="H3814" s="711"/>
      <c r="I3814" s="711"/>
      <c r="J3814" s="711"/>
      <c r="K3814" s="711"/>
      <c r="L3814" s="711"/>
      <c r="Q3814" s="11"/>
      <c r="R3814" s="11"/>
      <c r="S3814" s="11"/>
      <c r="T3814" s="11"/>
    </row>
    <row r="3815" spans="8:20" x14ac:dyDescent="0.35">
      <c r="H3815" s="711"/>
      <c r="I3815" s="711"/>
      <c r="J3815" s="711"/>
      <c r="K3815" s="711"/>
      <c r="L3815" s="711"/>
      <c r="Q3815" s="11"/>
      <c r="R3815" s="11"/>
      <c r="S3815" s="11"/>
      <c r="T3815" s="11"/>
    </row>
    <row r="3816" spans="8:20" x14ac:dyDescent="0.35">
      <c r="H3816" s="711"/>
      <c r="I3816" s="711"/>
      <c r="J3816" s="711"/>
      <c r="K3816" s="711"/>
      <c r="L3816" s="711"/>
      <c r="Q3816" s="11"/>
      <c r="R3816" s="11"/>
      <c r="S3816" s="11"/>
      <c r="T3816" s="11"/>
    </row>
    <row r="3817" spans="8:20" x14ac:dyDescent="0.35">
      <c r="H3817" s="711"/>
      <c r="I3817" s="711"/>
      <c r="J3817" s="711"/>
      <c r="K3817" s="711"/>
      <c r="L3817" s="711"/>
      <c r="Q3817" s="11"/>
      <c r="R3817" s="11"/>
      <c r="S3817" s="11"/>
      <c r="T3817" s="11"/>
    </row>
    <row r="3818" spans="8:20" x14ac:dyDescent="0.35">
      <c r="H3818" s="711"/>
      <c r="I3818" s="711"/>
      <c r="J3818" s="711"/>
      <c r="K3818" s="711"/>
      <c r="L3818" s="711"/>
      <c r="Q3818" s="11"/>
      <c r="R3818" s="11"/>
      <c r="S3818" s="11"/>
      <c r="T3818" s="11"/>
    </row>
    <row r="3819" spans="8:20" x14ac:dyDescent="0.35">
      <c r="H3819" s="711"/>
      <c r="I3819" s="711"/>
      <c r="J3819" s="711"/>
      <c r="K3819" s="711"/>
      <c r="L3819" s="711"/>
      <c r="Q3819" s="11"/>
      <c r="R3819" s="11"/>
      <c r="S3819" s="11"/>
      <c r="T3819" s="11"/>
    </row>
    <row r="3820" spans="8:20" x14ac:dyDescent="0.35">
      <c r="H3820" s="711"/>
      <c r="I3820" s="711"/>
      <c r="J3820" s="711"/>
      <c r="K3820" s="711"/>
      <c r="L3820" s="711"/>
      <c r="Q3820" s="11"/>
      <c r="R3820" s="11"/>
      <c r="S3820" s="11"/>
      <c r="T3820" s="11"/>
    </row>
    <row r="3821" spans="8:20" x14ac:dyDescent="0.35">
      <c r="H3821" s="711"/>
      <c r="I3821" s="711"/>
      <c r="J3821" s="711"/>
      <c r="K3821" s="711"/>
      <c r="L3821" s="711"/>
      <c r="Q3821" s="11"/>
      <c r="R3821" s="11"/>
      <c r="S3821" s="11"/>
      <c r="T3821" s="11"/>
    </row>
    <row r="3822" spans="8:20" x14ac:dyDescent="0.35">
      <c r="H3822" s="711"/>
      <c r="I3822" s="711"/>
      <c r="J3822" s="711"/>
      <c r="K3822" s="711"/>
      <c r="L3822" s="711"/>
      <c r="Q3822" s="11"/>
      <c r="R3822" s="11"/>
      <c r="S3822" s="11"/>
      <c r="T3822" s="11"/>
    </row>
    <row r="3823" spans="8:20" x14ac:dyDescent="0.35">
      <c r="H3823" s="711"/>
      <c r="I3823" s="711"/>
      <c r="J3823" s="711"/>
      <c r="K3823" s="711"/>
      <c r="L3823" s="711"/>
      <c r="Q3823" s="11"/>
      <c r="R3823" s="11"/>
      <c r="S3823" s="11"/>
      <c r="T3823" s="11"/>
    </row>
    <row r="3824" spans="8:20" x14ac:dyDescent="0.35">
      <c r="H3824" s="711"/>
      <c r="I3824" s="711"/>
      <c r="J3824" s="711"/>
      <c r="K3824" s="711"/>
      <c r="L3824" s="711"/>
      <c r="Q3824" s="11"/>
      <c r="R3824" s="11"/>
      <c r="S3824" s="11"/>
      <c r="T3824" s="11"/>
    </row>
    <row r="3825" spans="8:20" x14ac:dyDescent="0.35">
      <c r="H3825" s="711"/>
      <c r="I3825" s="711"/>
      <c r="J3825" s="711"/>
      <c r="K3825" s="711"/>
      <c r="L3825" s="711"/>
      <c r="Q3825" s="11"/>
      <c r="R3825" s="11"/>
      <c r="S3825" s="11"/>
      <c r="T3825" s="11"/>
    </row>
    <row r="3826" spans="8:20" x14ac:dyDescent="0.35">
      <c r="H3826" s="711"/>
      <c r="I3826" s="711"/>
      <c r="J3826" s="711"/>
      <c r="K3826" s="711"/>
      <c r="L3826" s="711"/>
      <c r="Q3826" s="11"/>
      <c r="R3826" s="11"/>
      <c r="S3826" s="11"/>
      <c r="T3826" s="11"/>
    </row>
    <row r="3827" spans="8:20" x14ac:dyDescent="0.35">
      <c r="H3827" s="711"/>
      <c r="I3827" s="711"/>
      <c r="J3827" s="711"/>
      <c r="K3827" s="711"/>
      <c r="L3827" s="711"/>
      <c r="Q3827" s="11"/>
      <c r="R3827" s="11"/>
      <c r="S3827" s="11"/>
      <c r="T3827" s="11"/>
    </row>
    <row r="3828" spans="8:20" x14ac:dyDescent="0.35">
      <c r="H3828" s="711"/>
      <c r="I3828" s="711"/>
      <c r="J3828" s="711"/>
      <c r="K3828" s="711"/>
      <c r="L3828" s="711"/>
      <c r="Q3828" s="11"/>
      <c r="R3828" s="11"/>
      <c r="S3828" s="11"/>
      <c r="T3828" s="11"/>
    </row>
    <row r="3829" spans="8:20" x14ac:dyDescent="0.35">
      <c r="H3829" s="711"/>
      <c r="I3829" s="711"/>
      <c r="J3829" s="711"/>
      <c r="K3829" s="711"/>
      <c r="L3829" s="711"/>
      <c r="Q3829" s="11"/>
      <c r="R3829" s="11"/>
      <c r="S3829" s="11"/>
      <c r="T3829" s="11"/>
    </row>
    <row r="3830" spans="8:20" x14ac:dyDescent="0.35">
      <c r="H3830" s="711"/>
      <c r="I3830" s="711"/>
      <c r="J3830" s="711"/>
      <c r="K3830" s="711"/>
      <c r="L3830" s="711"/>
      <c r="Q3830" s="11"/>
      <c r="R3830" s="11"/>
      <c r="S3830" s="11"/>
      <c r="T3830" s="11"/>
    </row>
    <row r="3831" spans="8:20" x14ac:dyDescent="0.35">
      <c r="H3831" s="711"/>
      <c r="I3831" s="711"/>
      <c r="J3831" s="711"/>
      <c r="K3831" s="711"/>
      <c r="L3831" s="711"/>
      <c r="Q3831" s="11"/>
      <c r="R3831" s="11"/>
      <c r="S3831" s="11"/>
      <c r="T3831" s="11"/>
    </row>
    <row r="3832" spans="8:20" x14ac:dyDescent="0.35">
      <c r="H3832" s="711"/>
      <c r="I3832" s="711"/>
      <c r="J3832" s="711"/>
      <c r="K3832" s="711"/>
      <c r="L3832" s="711"/>
      <c r="Q3832" s="11"/>
      <c r="R3832" s="11"/>
      <c r="S3832" s="11"/>
      <c r="T3832" s="11"/>
    </row>
    <row r="3833" spans="8:20" x14ac:dyDescent="0.35">
      <c r="H3833" s="711"/>
      <c r="I3833" s="711"/>
      <c r="J3833" s="711"/>
      <c r="K3833" s="711"/>
      <c r="L3833" s="711"/>
      <c r="Q3833" s="11"/>
      <c r="R3833" s="11"/>
      <c r="S3833" s="11"/>
      <c r="T3833" s="11"/>
    </row>
    <row r="3834" spans="8:20" x14ac:dyDescent="0.35">
      <c r="H3834" s="711"/>
      <c r="I3834" s="711"/>
      <c r="J3834" s="711"/>
      <c r="K3834" s="711"/>
      <c r="L3834" s="711"/>
      <c r="Q3834" s="11"/>
      <c r="R3834" s="11"/>
      <c r="S3834" s="11"/>
      <c r="T3834" s="11"/>
    </row>
    <row r="3835" spans="8:20" x14ac:dyDescent="0.35">
      <c r="H3835" s="711"/>
      <c r="I3835" s="711"/>
      <c r="J3835" s="711"/>
      <c r="K3835" s="711"/>
      <c r="L3835" s="711"/>
      <c r="Q3835" s="11"/>
      <c r="R3835" s="11"/>
      <c r="S3835" s="11"/>
      <c r="T3835" s="11"/>
    </row>
    <row r="3836" spans="8:20" x14ac:dyDescent="0.35">
      <c r="H3836" s="711"/>
      <c r="I3836" s="711"/>
      <c r="J3836" s="711"/>
      <c r="K3836" s="711"/>
      <c r="L3836" s="711"/>
      <c r="Q3836" s="11"/>
      <c r="R3836" s="11"/>
      <c r="S3836" s="11"/>
      <c r="T3836" s="11"/>
    </row>
    <row r="3837" spans="8:20" x14ac:dyDescent="0.35">
      <c r="H3837" s="711"/>
      <c r="I3837" s="711"/>
      <c r="J3837" s="711"/>
      <c r="K3837" s="711"/>
      <c r="L3837" s="711"/>
      <c r="Q3837" s="11"/>
      <c r="R3837" s="11"/>
      <c r="S3837" s="11"/>
      <c r="T3837" s="11"/>
    </row>
    <row r="3838" spans="8:20" x14ac:dyDescent="0.35">
      <c r="H3838" s="711"/>
      <c r="I3838" s="711"/>
      <c r="J3838" s="711"/>
      <c r="K3838" s="711"/>
      <c r="L3838" s="711"/>
      <c r="Q3838" s="11"/>
      <c r="R3838" s="11"/>
      <c r="S3838" s="11"/>
      <c r="T3838" s="11"/>
    </row>
    <row r="3839" spans="8:20" x14ac:dyDescent="0.35">
      <c r="H3839" s="711"/>
      <c r="I3839" s="711"/>
      <c r="J3839" s="711"/>
      <c r="K3839" s="711"/>
      <c r="L3839" s="711"/>
      <c r="Q3839" s="11"/>
      <c r="R3839" s="11"/>
      <c r="S3839" s="11"/>
      <c r="T3839" s="11"/>
    </row>
    <row r="3840" spans="8:20" x14ac:dyDescent="0.35">
      <c r="H3840" s="711"/>
      <c r="I3840" s="711"/>
      <c r="J3840" s="711"/>
      <c r="K3840" s="711"/>
      <c r="L3840" s="711"/>
      <c r="Q3840" s="11"/>
      <c r="R3840" s="11"/>
      <c r="S3840" s="11"/>
      <c r="T3840" s="11"/>
    </row>
    <row r="3841" spans="8:20" x14ac:dyDescent="0.35">
      <c r="H3841" s="711"/>
      <c r="I3841" s="711"/>
      <c r="J3841" s="711"/>
      <c r="K3841" s="711"/>
      <c r="L3841" s="711"/>
      <c r="Q3841" s="11"/>
      <c r="R3841" s="11"/>
      <c r="S3841" s="11"/>
      <c r="T3841" s="11"/>
    </row>
    <row r="3842" spans="8:20" x14ac:dyDescent="0.35">
      <c r="H3842" s="711"/>
      <c r="I3842" s="711"/>
      <c r="J3842" s="711"/>
      <c r="K3842" s="711"/>
      <c r="L3842" s="711"/>
      <c r="Q3842" s="11"/>
      <c r="R3842" s="11"/>
      <c r="S3842" s="11"/>
      <c r="T3842" s="11"/>
    </row>
    <row r="3843" spans="8:20" x14ac:dyDescent="0.35">
      <c r="H3843" s="711"/>
      <c r="I3843" s="711"/>
      <c r="J3843" s="711"/>
      <c r="K3843" s="711"/>
      <c r="L3843" s="711"/>
      <c r="Q3843" s="11"/>
      <c r="R3843" s="11"/>
      <c r="S3843" s="11"/>
      <c r="T3843" s="11"/>
    </row>
    <row r="3844" spans="8:20" x14ac:dyDescent="0.35">
      <c r="H3844" s="711"/>
      <c r="I3844" s="711"/>
      <c r="J3844" s="711"/>
      <c r="K3844" s="711"/>
      <c r="L3844" s="711"/>
      <c r="Q3844" s="11"/>
      <c r="R3844" s="11"/>
      <c r="S3844" s="11"/>
      <c r="T3844" s="11"/>
    </row>
    <row r="3845" spans="8:20" x14ac:dyDescent="0.35">
      <c r="H3845" s="711"/>
      <c r="I3845" s="711"/>
      <c r="J3845" s="711"/>
      <c r="K3845" s="711"/>
      <c r="L3845" s="711"/>
      <c r="Q3845" s="11"/>
      <c r="R3845" s="11"/>
      <c r="S3845" s="11"/>
      <c r="T3845" s="11"/>
    </row>
    <row r="3846" spans="8:20" x14ac:dyDescent="0.35">
      <c r="H3846" s="711"/>
      <c r="I3846" s="711"/>
      <c r="J3846" s="711"/>
      <c r="K3846" s="711"/>
      <c r="L3846" s="711"/>
      <c r="Q3846" s="11"/>
      <c r="R3846" s="11"/>
      <c r="S3846" s="11"/>
      <c r="T3846" s="11"/>
    </row>
    <row r="3847" spans="8:20" x14ac:dyDescent="0.35">
      <c r="H3847" s="711"/>
      <c r="I3847" s="711"/>
      <c r="J3847" s="711"/>
      <c r="K3847" s="711"/>
      <c r="L3847" s="711"/>
      <c r="Q3847" s="11"/>
      <c r="R3847" s="11"/>
      <c r="S3847" s="11"/>
      <c r="T3847" s="11"/>
    </row>
    <row r="3848" spans="8:20" x14ac:dyDescent="0.35">
      <c r="H3848" s="711"/>
      <c r="I3848" s="711"/>
      <c r="J3848" s="711"/>
      <c r="K3848" s="711"/>
      <c r="L3848" s="711"/>
      <c r="Q3848" s="11"/>
      <c r="R3848" s="11"/>
      <c r="S3848" s="11"/>
      <c r="T3848" s="11"/>
    </row>
    <row r="3849" spans="8:20" x14ac:dyDescent="0.35">
      <c r="H3849" s="711"/>
      <c r="I3849" s="711"/>
      <c r="J3849" s="711"/>
      <c r="K3849" s="711"/>
      <c r="L3849" s="711"/>
      <c r="Q3849" s="11"/>
      <c r="R3849" s="11"/>
      <c r="S3849" s="11"/>
      <c r="T3849" s="11"/>
    </row>
    <row r="3850" spans="8:20" x14ac:dyDescent="0.35">
      <c r="H3850" s="711"/>
      <c r="I3850" s="711"/>
      <c r="J3850" s="711"/>
      <c r="K3850" s="711"/>
      <c r="L3850" s="711"/>
      <c r="Q3850" s="11"/>
      <c r="R3850" s="11"/>
      <c r="S3850" s="11"/>
      <c r="T3850" s="11"/>
    </row>
    <row r="3851" spans="8:20" x14ac:dyDescent="0.35">
      <c r="H3851" s="711"/>
      <c r="I3851" s="711"/>
      <c r="J3851" s="711"/>
      <c r="K3851" s="711"/>
      <c r="L3851" s="711"/>
      <c r="Q3851" s="11"/>
      <c r="R3851" s="11"/>
      <c r="S3851" s="11"/>
      <c r="T3851" s="11"/>
    </row>
    <row r="3852" spans="8:20" x14ac:dyDescent="0.35">
      <c r="H3852" s="711"/>
      <c r="I3852" s="711"/>
      <c r="J3852" s="711"/>
      <c r="K3852" s="711"/>
      <c r="L3852" s="711"/>
      <c r="Q3852" s="11"/>
      <c r="R3852" s="11"/>
      <c r="S3852" s="11"/>
      <c r="T3852" s="11"/>
    </row>
    <row r="3853" spans="8:20" x14ac:dyDescent="0.35">
      <c r="H3853" s="711"/>
      <c r="I3853" s="711"/>
      <c r="J3853" s="711"/>
      <c r="K3853" s="711"/>
      <c r="L3853" s="711"/>
      <c r="Q3853" s="11"/>
      <c r="R3853" s="11"/>
      <c r="S3853" s="11"/>
      <c r="T3853" s="11"/>
    </row>
    <row r="3854" spans="8:20" x14ac:dyDescent="0.35">
      <c r="H3854" s="711"/>
      <c r="I3854" s="711"/>
      <c r="J3854" s="711"/>
      <c r="K3854" s="711"/>
      <c r="L3854" s="711"/>
      <c r="Q3854" s="11"/>
      <c r="R3854" s="11"/>
      <c r="S3854" s="11"/>
      <c r="T3854" s="11"/>
    </row>
    <row r="3855" spans="8:20" x14ac:dyDescent="0.35">
      <c r="H3855" s="711"/>
      <c r="I3855" s="711"/>
      <c r="J3855" s="711"/>
      <c r="K3855" s="711"/>
      <c r="L3855" s="711"/>
      <c r="Q3855" s="11"/>
      <c r="R3855" s="11"/>
      <c r="S3855" s="11"/>
      <c r="T3855" s="11"/>
    </row>
    <row r="3856" spans="8:20" x14ac:dyDescent="0.35">
      <c r="H3856" s="711"/>
      <c r="I3856" s="711"/>
      <c r="J3856" s="711"/>
      <c r="K3856" s="711"/>
      <c r="L3856" s="711"/>
      <c r="Q3856" s="11"/>
      <c r="R3856" s="11"/>
      <c r="S3856" s="11"/>
      <c r="T3856" s="11"/>
    </row>
    <row r="3857" spans="8:20" x14ac:dyDescent="0.35">
      <c r="H3857" s="711"/>
      <c r="I3857" s="711"/>
      <c r="J3857" s="711"/>
      <c r="K3857" s="711"/>
      <c r="L3857" s="711"/>
      <c r="Q3857" s="11"/>
      <c r="R3857" s="11"/>
      <c r="S3857" s="11"/>
      <c r="T3857" s="11"/>
    </row>
    <row r="3858" spans="8:20" x14ac:dyDescent="0.35">
      <c r="H3858" s="711"/>
      <c r="I3858" s="711"/>
      <c r="J3858" s="711"/>
      <c r="K3858" s="711"/>
      <c r="L3858" s="711"/>
      <c r="Q3858" s="11"/>
      <c r="R3858" s="11"/>
      <c r="S3858" s="11"/>
      <c r="T3858" s="11"/>
    </row>
    <row r="3859" spans="8:20" x14ac:dyDescent="0.35">
      <c r="H3859" s="711"/>
      <c r="I3859" s="711"/>
      <c r="J3859" s="711"/>
      <c r="K3859" s="711"/>
      <c r="L3859" s="711"/>
      <c r="Q3859" s="11"/>
      <c r="R3859" s="11"/>
      <c r="S3859" s="11"/>
      <c r="T3859" s="11"/>
    </row>
    <row r="3860" spans="8:20" x14ac:dyDescent="0.35">
      <c r="H3860" s="711"/>
      <c r="I3860" s="711"/>
      <c r="J3860" s="711"/>
      <c r="K3860" s="711"/>
      <c r="L3860" s="711"/>
      <c r="Q3860" s="11"/>
      <c r="R3860" s="11"/>
      <c r="S3860" s="11"/>
      <c r="T3860" s="11"/>
    </row>
    <row r="3861" spans="8:20" x14ac:dyDescent="0.35">
      <c r="H3861" s="711"/>
      <c r="I3861" s="711"/>
      <c r="J3861" s="711"/>
      <c r="K3861" s="711"/>
      <c r="L3861" s="711"/>
      <c r="Q3861" s="11"/>
      <c r="R3861" s="11"/>
      <c r="S3861" s="11"/>
      <c r="T3861" s="11"/>
    </row>
    <row r="3862" spans="8:20" x14ac:dyDescent="0.35">
      <c r="H3862" s="711"/>
      <c r="I3862" s="711"/>
      <c r="J3862" s="711"/>
      <c r="K3862" s="711"/>
      <c r="L3862" s="711"/>
      <c r="Q3862" s="11"/>
      <c r="R3862" s="11"/>
      <c r="S3862" s="11"/>
      <c r="T3862" s="11"/>
    </row>
    <row r="3863" spans="8:20" x14ac:dyDescent="0.35">
      <c r="H3863" s="711"/>
      <c r="I3863" s="711"/>
      <c r="J3863" s="711"/>
      <c r="K3863" s="711"/>
      <c r="L3863" s="711"/>
      <c r="Q3863" s="11"/>
      <c r="R3863" s="11"/>
      <c r="S3863" s="11"/>
      <c r="T3863" s="11"/>
    </row>
    <row r="3864" spans="8:20" x14ac:dyDescent="0.35">
      <c r="H3864" s="711"/>
      <c r="I3864" s="711"/>
      <c r="J3864" s="711"/>
      <c r="K3864" s="711"/>
      <c r="L3864" s="711"/>
      <c r="Q3864" s="11"/>
      <c r="R3864" s="11"/>
      <c r="S3864" s="11"/>
      <c r="T3864" s="11"/>
    </row>
    <row r="3865" spans="8:20" x14ac:dyDescent="0.35">
      <c r="H3865" s="711"/>
      <c r="I3865" s="711"/>
      <c r="J3865" s="711"/>
      <c r="K3865" s="711"/>
      <c r="L3865" s="711"/>
      <c r="Q3865" s="11"/>
      <c r="R3865" s="11"/>
      <c r="S3865" s="11"/>
      <c r="T3865" s="11"/>
    </row>
    <row r="3866" spans="8:20" x14ac:dyDescent="0.35">
      <c r="H3866" s="711"/>
      <c r="I3866" s="711"/>
      <c r="J3866" s="711"/>
      <c r="K3866" s="711"/>
      <c r="L3866" s="711"/>
      <c r="Q3866" s="11"/>
      <c r="R3866" s="11"/>
      <c r="S3866" s="11"/>
      <c r="T3866" s="11"/>
    </row>
    <row r="3867" spans="8:20" x14ac:dyDescent="0.35">
      <c r="H3867" s="711"/>
      <c r="I3867" s="711"/>
      <c r="J3867" s="711"/>
      <c r="K3867" s="711"/>
      <c r="L3867" s="711"/>
      <c r="Q3867" s="11"/>
      <c r="R3867" s="11"/>
      <c r="S3867" s="11"/>
      <c r="T3867" s="11"/>
    </row>
    <row r="3868" spans="8:20" x14ac:dyDescent="0.35">
      <c r="H3868" s="711"/>
      <c r="I3868" s="711"/>
      <c r="J3868" s="711"/>
      <c r="K3868" s="711"/>
      <c r="L3868" s="711"/>
      <c r="Q3868" s="11"/>
      <c r="R3868" s="11"/>
      <c r="S3868" s="11"/>
      <c r="T3868" s="11"/>
    </row>
    <row r="3869" spans="8:20" x14ac:dyDescent="0.35">
      <c r="H3869" s="711"/>
      <c r="I3869" s="711"/>
      <c r="J3869" s="711"/>
      <c r="K3869" s="711"/>
      <c r="L3869" s="711"/>
      <c r="Q3869" s="11"/>
      <c r="R3869" s="11"/>
      <c r="S3869" s="11"/>
      <c r="T3869" s="11"/>
    </row>
    <row r="3870" spans="8:20" x14ac:dyDescent="0.35">
      <c r="H3870" s="711"/>
      <c r="I3870" s="711"/>
      <c r="J3870" s="711"/>
      <c r="K3870" s="711"/>
      <c r="L3870" s="711"/>
      <c r="Q3870" s="11"/>
      <c r="R3870" s="11"/>
      <c r="S3870" s="11"/>
      <c r="T3870" s="11"/>
    </row>
    <row r="3871" spans="8:20" x14ac:dyDescent="0.35">
      <c r="H3871" s="711"/>
      <c r="I3871" s="711"/>
      <c r="J3871" s="711"/>
      <c r="K3871" s="711"/>
      <c r="L3871" s="711"/>
      <c r="Q3871" s="11"/>
      <c r="R3871" s="11"/>
      <c r="S3871" s="11"/>
      <c r="T3871" s="11"/>
    </row>
    <row r="3872" spans="8:20" x14ac:dyDescent="0.35">
      <c r="H3872" s="711"/>
      <c r="I3872" s="711"/>
      <c r="J3872" s="711"/>
      <c r="K3872" s="711"/>
      <c r="L3872" s="711"/>
      <c r="Q3872" s="11"/>
      <c r="R3872" s="11"/>
      <c r="S3872" s="11"/>
      <c r="T3872" s="11"/>
    </row>
    <row r="3873" spans="8:20" x14ac:dyDescent="0.35">
      <c r="H3873" s="711"/>
      <c r="I3873" s="711"/>
      <c r="J3873" s="711"/>
      <c r="K3873" s="711"/>
      <c r="L3873" s="711"/>
      <c r="Q3873" s="11"/>
      <c r="R3873" s="11"/>
      <c r="S3873" s="11"/>
      <c r="T3873" s="11"/>
    </row>
    <row r="3874" spans="8:20" x14ac:dyDescent="0.35">
      <c r="H3874" s="711"/>
      <c r="I3874" s="711"/>
      <c r="J3874" s="711"/>
      <c r="K3874" s="711"/>
      <c r="L3874" s="711"/>
      <c r="Q3874" s="11"/>
      <c r="R3874" s="11"/>
      <c r="S3874" s="11"/>
      <c r="T3874" s="11"/>
    </row>
    <row r="3875" spans="8:20" x14ac:dyDescent="0.35">
      <c r="H3875" s="711"/>
      <c r="I3875" s="711"/>
      <c r="J3875" s="711"/>
      <c r="K3875" s="711"/>
      <c r="L3875" s="711"/>
      <c r="Q3875" s="11"/>
      <c r="R3875" s="11"/>
      <c r="S3875" s="11"/>
      <c r="T3875" s="11"/>
    </row>
    <row r="3876" spans="8:20" x14ac:dyDescent="0.35">
      <c r="H3876" s="711"/>
      <c r="I3876" s="711"/>
      <c r="J3876" s="711"/>
      <c r="K3876" s="711"/>
      <c r="L3876" s="711"/>
      <c r="Q3876" s="11"/>
      <c r="R3876" s="11"/>
      <c r="S3876" s="11"/>
      <c r="T3876" s="11"/>
    </row>
    <row r="3877" spans="8:20" x14ac:dyDescent="0.35">
      <c r="H3877" s="711"/>
      <c r="I3877" s="711"/>
      <c r="J3877" s="711"/>
      <c r="K3877" s="711"/>
      <c r="L3877" s="711"/>
      <c r="Q3877" s="11"/>
      <c r="R3877" s="11"/>
      <c r="S3877" s="11"/>
      <c r="T3877" s="11"/>
    </row>
    <row r="3878" spans="8:20" x14ac:dyDescent="0.35">
      <c r="H3878" s="711"/>
      <c r="I3878" s="711"/>
      <c r="J3878" s="711"/>
      <c r="K3878" s="711"/>
      <c r="L3878" s="711"/>
      <c r="Q3878" s="11"/>
      <c r="R3878" s="11"/>
      <c r="S3878" s="11"/>
      <c r="T3878" s="11"/>
    </row>
    <row r="3879" spans="8:20" x14ac:dyDescent="0.35">
      <c r="H3879" s="711"/>
      <c r="I3879" s="711"/>
      <c r="J3879" s="711"/>
      <c r="K3879" s="711"/>
      <c r="L3879" s="711"/>
      <c r="Q3879" s="11"/>
      <c r="R3879" s="11"/>
      <c r="S3879" s="11"/>
      <c r="T3879" s="11"/>
    </row>
    <row r="3880" spans="8:20" x14ac:dyDescent="0.35">
      <c r="H3880" s="711"/>
      <c r="I3880" s="711"/>
      <c r="J3880" s="711"/>
      <c r="K3880" s="711"/>
      <c r="L3880" s="711"/>
      <c r="Q3880" s="11"/>
      <c r="R3880" s="11"/>
      <c r="S3880" s="11"/>
      <c r="T3880" s="11"/>
    </row>
    <row r="3881" spans="8:20" x14ac:dyDescent="0.35">
      <c r="H3881" s="711"/>
      <c r="I3881" s="711"/>
      <c r="J3881" s="711"/>
      <c r="K3881" s="711"/>
      <c r="L3881" s="711"/>
      <c r="Q3881" s="11"/>
      <c r="R3881" s="11"/>
      <c r="S3881" s="11"/>
      <c r="T3881" s="11"/>
    </row>
    <row r="3882" spans="8:20" x14ac:dyDescent="0.35">
      <c r="H3882" s="711"/>
      <c r="I3882" s="711"/>
      <c r="J3882" s="711"/>
      <c r="K3882" s="711"/>
      <c r="L3882" s="711"/>
      <c r="Q3882" s="11"/>
      <c r="R3882" s="11"/>
      <c r="S3882" s="11"/>
      <c r="T3882" s="11"/>
    </row>
    <row r="3883" spans="8:20" x14ac:dyDescent="0.35">
      <c r="H3883" s="711"/>
      <c r="I3883" s="711"/>
      <c r="J3883" s="711"/>
      <c r="K3883" s="711"/>
      <c r="L3883" s="711"/>
      <c r="Q3883" s="11"/>
      <c r="R3883" s="11"/>
      <c r="S3883" s="11"/>
      <c r="T3883" s="11"/>
    </row>
    <row r="3884" spans="8:20" x14ac:dyDescent="0.35">
      <c r="H3884" s="711"/>
      <c r="I3884" s="711"/>
      <c r="J3884" s="711"/>
      <c r="K3884" s="711"/>
      <c r="L3884" s="711"/>
      <c r="Q3884" s="11"/>
      <c r="R3884" s="11"/>
      <c r="S3884" s="11"/>
      <c r="T3884" s="11"/>
    </row>
    <row r="3885" spans="8:20" x14ac:dyDescent="0.35">
      <c r="H3885" s="711"/>
      <c r="I3885" s="711"/>
      <c r="J3885" s="711"/>
      <c r="K3885" s="711"/>
      <c r="L3885" s="711"/>
      <c r="Q3885" s="11"/>
      <c r="R3885" s="11"/>
      <c r="S3885" s="11"/>
      <c r="T3885" s="11"/>
    </row>
    <row r="3886" spans="8:20" x14ac:dyDescent="0.35">
      <c r="H3886" s="711"/>
      <c r="I3886" s="711"/>
      <c r="J3886" s="711"/>
      <c r="K3886" s="711"/>
      <c r="L3886" s="711"/>
      <c r="Q3886" s="11"/>
      <c r="R3886" s="11"/>
      <c r="S3886" s="11"/>
      <c r="T3886" s="11"/>
    </row>
    <row r="3887" spans="8:20" x14ac:dyDescent="0.35">
      <c r="H3887" s="711"/>
      <c r="I3887" s="711"/>
      <c r="J3887" s="711"/>
      <c r="K3887" s="711"/>
      <c r="L3887" s="711"/>
      <c r="Q3887" s="11"/>
      <c r="R3887" s="11"/>
      <c r="S3887" s="11"/>
      <c r="T3887" s="11"/>
    </row>
    <row r="3888" spans="8:20" x14ac:dyDescent="0.35">
      <c r="H3888" s="711"/>
      <c r="I3888" s="711"/>
      <c r="J3888" s="711"/>
      <c r="K3888" s="711"/>
      <c r="L3888" s="711"/>
      <c r="Q3888" s="11"/>
      <c r="R3888" s="11"/>
      <c r="S3888" s="11"/>
      <c r="T3888" s="11"/>
    </row>
    <row r="3889" spans="8:20" x14ac:dyDescent="0.35">
      <c r="H3889" s="711"/>
      <c r="I3889" s="711"/>
      <c r="J3889" s="711"/>
      <c r="K3889" s="711"/>
      <c r="L3889" s="711"/>
      <c r="Q3889" s="11"/>
      <c r="R3889" s="11"/>
      <c r="S3889" s="11"/>
      <c r="T3889" s="11"/>
    </row>
    <row r="3890" spans="8:20" x14ac:dyDescent="0.35">
      <c r="H3890" s="711"/>
      <c r="I3890" s="711"/>
      <c r="J3890" s="711"/>
      <c r="K3890" s="711"/>
      <c r="L3890" s="711"/>
      <c r="Q3890" s="11"/>
      <c r="R3890" s="11"/>
      <c r="S3890" s="11"/>
      <c r="T3890" s="11"/>
    </row>
    <row r="3891" spans="8:20" x14ac:dyDescent="0.35">
      <c r="H3891" s="711"/>
      <c r="I3891" s="711"/>
      <c r="J3891" s="711"/>
      <c r="K3891" s="711"/>
      <c r="L3891" s="711"/>
      <c r="Q3891" s="11"/>
      <c r="R3891" s="11"/>
      <c r="S3891" s="11"/>
      <c r="T3891" s="11"/>
    </row>
    <row r="3892" spans="8:20" x14ac:dyDescent="0.35">
      <c r="H3892" s="711"/>
      <c r="I3892" s="711"/>
      <c r="J3892" s="711"/>
      <c r="K3892" s="711"/>
      <c r="L3892" s="711"/>
      <c r="Q3892" s="11"/>
      <c r="R3892" s="11"/>
      <c r="S3892" s="11"/>
      <c r="T3892" s="11"/>
    </row>
    <row r="3893" spans="8:20" x14ac:dyDescent="0.35">
      <c r="H3893" s="711"/>
      <c r="I3893" s="711"/>
      <c r="J3893" s="711"/>
      <c r="K3893" s="711"/>
      <c r="L3893" s="711"/>
      <c r="Q3893" s="11"/>
      <c r="R3893" s="11"/>
      <c r="S3893" s="11"/>
      <c r="T3893" s="11"/>
    </row>
    <row r="3894" spans="8:20" x14ac:dyDescent="0.35">
      <c r="H3894" s="711"/>
      <c r="I3894" s="711"/>
      <c r="J3894" s="711"/>
      <c r="K3894" s="711"/>
      <c r="L3894" s="711"/>
      <c r="Q3894" s="11"/>
      <c r="R3894" s="11"/>
      <c r="S3894" s="11"/>
      <c r="T3894" s="11"/>
    </row>
    <row r="3895" spans="8:20" x14ac:dyDescent="0.35">
      <c r="H3895" s="711"/>
      <c r="I3895" s="711"/>
      <c r="J3895" s="711"/>
      <c r="K3895" s="711"/>
      <c r="L3895" s="711"/>
      <c r="Q3895" s="11"/>
      <c r="R3895" s="11"/>
      <c r="S3895" s="11"/>
      <c r="T3895" s="11"/>
    </row>
    <row r="3896" spans="8:20" x14ac:dyDescent="0.35">
      <c r="H3896" s="711"/>
      <c r="I3896" s="711"/>
      <c r="J3896" s="711"/>
      <c r="K3896" s="711"/>
      <c r="L3896" s="711"/>
      <c r="Q3896" s="11"/>
      <c r="R3896" s="11"/>
      <c r="S3896" s="11"/>
      <c r="T3896" s="11"/>
    </row>
    <row r="3897" spans="8:20" x14ac:dyDescent="0.35">
      <c r="H3897" s="711"/>
      <c r="I3897" s="711"/>
      <c r="J3897" s="711"/>
      <c r="K3897" s="711"/>
      <c r="L3897" s="711"/>
      <c r="Q3897" s="11"/>
      <c r="R3897" s="11"/>
      <c r="S3897" s="11"/>
      <c r="T3897" s="11"/>
    </row>
    <row r="3898" spans="8:20" x14ac:dyDescent="0.35">
      <c r="H3898" s="711"/>
      <c r="I3898" s="711"/>
      <c r="J3898" s="711"/>
      <c r="K3898" s="711"/>
      <c r="L3898" s="711"/>
      <c r="Q3898" s="11"/>
      <c r="R3898" s="11"/>
      <c r="S3898" s="11"/>
      <c r="T3898" s="11"/>
    </row>
    <row r="3899" spans="8:20" x14ac:dyDescent="0.35">
      <c r="H3899" s="711"/>
      <c r="I3899" s="711"/>
      <c r="J3899" s="711"/>
      <c r="K3899" s="711"/>
      <c r="L3899" s="711"/>
      <c r="Q3899" s="11"/>
      <c r="R3899" s="11"/>
      <c r="S3899" s="11"/>
      <c r="T3899" s="11"/>
    </row>
    <row r="3900" spans="8:20" x14ac:dyDescent="0.35">
      <c r="H3900" s="711"/>
      <c r="I3900" s="711"/>
      <c r="J3900" s="711"/>
      <c r="K3900" s="711"/>
      <c r="L3900" s="711"/>
      <c r="Q3900" s="11"/>
      <c r="R3900" s="11"/>
      <c r="S3900" s="11"/>
      <c r="T3900" s="11"/>
    </row>
    <row r="3901" spans="8:20" x14ac:dyDescent="0.35">
      <c r="H3901" s="711"/>
      <c r="I3901" s="711"/>
      <c r="J3901" s="711"/>
      <c r="K3901" s="711"/>
      <c r="L3901" s="711"/>
      <c r="Q3901" s="11"/>
      <c r="R3901" s="11"/>
      <c r="S3901" s="11"/>
      <c r="T3901" s="11"/>
    </row>
    <row r="3902" spans="8:20" x14ac:dyDescent="0.35">
      <c r="H3902" s="711"/>
      <c r="I3902" s="711"/>
      <c r="J3902" s="711"/>
      <c r="K3902" s="711"/>
      <c r="L3902" s="711"/>
      <c r="Q3902" s="11"/>
      <c r="R3902" s="11"/>
      <c r="S3902" s="11"/>
      <c r="T3902" s="11"/>
    </row>
    <row r="3903" spans="8:20" x14ac:dyDescent="0.35">
      <c r="H3903" s="711"/>
      <c r="I3903" s="711"/>
      <c r="J3903" s="711"/>
      <c r="K3903" s="711"/>
      <c r="L3903" s="711"/>
      <c r="Q3903" s="11"/>
      <c r="R3903" s="11"/>
      <c r="S3903" s="11"/>
      <c r="T3903" s="11"/>
    </row>
    <row r="3904" spans="8:20" x14ac:dyDescent="0.35">
      <c r="H3904" s="711"/>
      <c r="I3904" s="711"/>
      <c r="J3904" s="711"/>
      <c r="K3904" s="711"/>
      <c r="L3904" s="711"/>
      <c r="Q3904" s="11"/>
      <c r="R3904" s="11"/>
      <c r="S3904" s="11"/>
      <c r="T3904" s="11"/>
    </row>
    <row r="3905" spans="8:20" x14ac:dyDescent="0.35">
      <c r="H3905" s="711"/>
      <c r="I3905" s="711"/>
      <c r="J3905" s="711"/>
      <c r="K3905" s="711"/>
      <c r="L3905" s="711"/>
      <c r="Q3905" s="11"/>
      <c r="R3905" s="11"/>
      <c r="S3905" s="11"/>
      <c r="T3905" s="11"/>
    </row>
    <row r="3906" spans="8:20" x14ac:dyDescent="0.35">
      <c r="H3906" s="711"/>
      <c r="I3906" s="711"/>
      <c r="J3906" s="711"/>
      <c r="K3906" s="711"/>
      <c r="L3906" s="711"/>
      <c r="Q3906" s="11"/>
      <c r="R3906" s="11"/>
      <c r="S3906" s="11"/>
      <c r="T3906" s="11"/>
    </row>
    <row r="3907" spans="8:20" x14ac:dyDescent="0.35">
      <c r="H3907" s="711"/>
      <c r="I3907" s="711"/>
      <c r="J3907" s="711"/>
      <c r="K3907" s="711"/>
      <c r="L3907" s="711"/>
      <c r="Q3907" s="11"/>
      <c r="R3907" s="11"/>
      <c r="S3907" s="11"/>
      <c r="T3907" s="11"/>
    </row>
    <row r="3908" spans="8:20" x14ac:dyDescent="0.35">
      <c r="H3908" s="711"/>
      <c r="I3908" s="711"/>
      <c r="J3908" s="711"/>
      <c r="K3908" s="711"/>
      <c r="L3908" s="711"/>
      <c r="Q3908" s="11"/>
      <c r="R3908" s="11"/>
      <c r="S3908" s="11"/>
      <c r="T3908" s="11"/>
    </row>
    <row r="3909" spans="8:20" x14ac:dyDescent="0.35">
      <c r="H3909" s="711"/>
      <c r="I3909" s="711"/>
      <c r="J3909" s="711"/>
      <c r="K3909" s="711"/>
      <c r="L3909" s="711"/>
      <c r="Q3909" s="11"/>
      <c r="R3909" s="11"/>
      <c r="S3909" s="11"/>
      <c r="T3909" s="11"/>
    </row>
    <row r="3910" spans="8:20" x14ac:dyDescent="0.35">
      <c r="H3910" s="711"/>
      <c r="I3910" s="711"/>
      <c r="J3910" s="711"/>
      <c r="K3910" s="711"/>
      <c r="L3910" s="711"/>
      <c r="Q3910" s="11"/>
      <c r="R3910" s="11"/>
      <c r="S3910" s="11"/>
      <c r="T3910" s="11"/>
    </row>
    <row r="3911" spans="8:20" x14ac:dyDescent="0.35">
      <c r="H3911" s="711"/>
      <c r="I3911" s="711"/>
      <c r="J3911" s="711"/>
      <c r="K3911" s="711"/>
      <c r="L3911" s="711"/>
      <c r="Q3911" s="11"/>
      <c r="R3911" s="11"/>
      <c r="S3911" s="11"/>
      <c r="T3911" s="11"/>
    </row>
    <row r="3912" spans="8:20" x14ac:dyDescent="0.35">
      <c r="H3912" s="711"/>
      <c r="I3912" s="711"/>
      <c r="J3912" s="711"/>
      <c r="K3912" s="711"/>
      <c r="L3912" s="711"/>
      <c r="Q3912" s="11"/>
      <c r="R3912" s="11"/>
      <c r="S3912" s="11"/>
      <c r="T3912" s="11"/>
    </row>
    <row r="3913" spans="8:20" x14ac:dyDescent="0.35">
      <c r="H3913" s="711"/>
      <c r="I3913" s="711"/>
      <c r="J3913" s="711"/>
      <c r="K3913" s="711"/>
      <c r="L3913" s="711"/>
      <c r="Q3913" s="11"/>
      <c r="R3913" s="11"/>
      <c r="S3913" s="11"/>
      <c r="T3913" s="11"/>
    </row>
    <row r="3914" spans="8:20" x14ac:dyDescent="0.35">
      <c r="H3914" s="711"/>
      <c r="I3914" s="711"/>
      <c r="J3914" s="711"/>
      <c r="K3914" s="711"/>
      <c r="L3914" s="711"/>
      <c r="Q3914" s="11"/>
      <c r="R3914" s="11"/>
      <c r="S3914" s="11"/>
      <c r="T3914" s="11"/>
    </row>
    <row r="3915" spans="8:20" x14ac:dyDescent="0.35">
      <c r="H3915" s="711"/>
      <c r="I3915" s="711"/>
      <c r="J3915" s="711"/>
      <c r="K3915" s="711"/>
      <c r="L3915" s="711"/>
      <c r="Q3915" s="11"/>
      <c r="R3915" s="11"/>
      <c r="S3915" s="11"/>
      <c r="T3915" s="11"/>
    </row>
    <row r="3916" spans="8:20" x14ac:dyDescent="0.35">
      <c r="H3916" s="711"/>
      <c r="I3916" s="711"/>
      <c r="J3916" s="711"/>
      <c r="K3916" s="711"/>
      <c r="L3916" s="711"/>
      <c r="Q3916" s="11"/>
      <c r="R3916" s="11"/>
      <c r="S3916" s="11"/>
      <c r="T3916" s="11"/>
    </row>
    <row r="3917" spans="8:20" x14ac:dyDescent="0.35">
      <c r="H3917" s="711"/>
      <c r="I3917" s="711"/>
      <c r="J3917" s="711"/>
      <c r="K3917" s="711"/>
      <c r="L3917" s="711"/>
      <c r="Q3917" s="11"/>
      <c r="R3917" s="11"/>
      <c r="S3917" s="11"/>
      <c r="T3917" s="11"/>
    </row>
    <row r="3918" spans="8:20" x14ac:dyDescent="0.35">
      <c r="H3918" s="711"/>
      <c r="I3918" s="711"/>
      <c r="J3918" s="711"/>
      <c r="K3918" s="711"/>
      <c r="L3918" s="711"/>
      <c r="Q3918" s="11"/>
      <c r="R3918" s="11"/>
      <c r="S3918" s="11"/>
      <c r="T3918" s="11"/>
    </row>
    <row r="3919" spans="8:20" x14ac:dyDescent="0.35">
      <c r="H3919" s="711"/>
      <c r="I3919" s="711"/>
      <c r="J3919" s="711"/>
      <c r="K3919" s="711"/>
      <c r="L3919" s="711"/>
      <c r="Q3919" s="11"/>
      <c r="R3919" s="11"/>
      <c r="S3919" s="11"/>
      <c r="T3919" s="11"/>
    </row>
    <row r="3920" spans="8:20" x14ac:dyDescent="0.35">
      <c r="H3920" s="711"/>
      <c r="I3920" s="711"/>
      <c r="J3920" s="711"/>
      <c r="K3920" s="711"/>
      <c r="L3920" s="711"/>
      <c r="Q3920" s="11"/>
      <c r="R3920" s="11"/>
      <c r="S3920" s="11"/>
      <c r="T3920" s="11"/>
    </row>
    <row r="3921" spans="8:20" x14ac:dyDescent="0.35">
      <c r="H3921" s="711"/>
      <c r="I3921" s="711"/>
      <c r="J3921" s="711"/>
      <c r="K3921" s="711"/>
      <c r="L3921" s="711"/>
      <c r="Q3921" s="11"/>
      <c r="R3921" s="11"/>
      <c r="S3921" s="11"/>
      <c r="T3921" s="11"/>
    </row>
    <row r="3922" spans="8:20" x14ac:dyDescent="0.35">
      <c r="H3922" s="711"/>
      <c r="I3922" s="711"/>
      <c r="J3922" s="711"/>
      <c r="K3922" s="711"/>
      <c r="L3922" s="711"/>
      <c r="Q3922" s="11"/>
      <c r="R3922" s="11"/>
      <c r="S3922" s="11"/>
      <c r="T3922" s="11"/>
    </row>
    <row r="3923" spans="8:20" x14ac:dyDescent="0.35">
      <c r="H3923" s="711"/>
      <c r="I3923" s="711"/>
      <c r="J3923" s="711"/>
      <c r="K3923" s="711"/>
      <c r="L3923" s="711"/>
      <c r="Q3923" s="11"/>
      <c r="R3923" s="11"/>
      <c r="S3923" s="11"/>
      <c r="T3923" s="11"/>
    </row>
    <row r="3924" spans="8:20" x14ac:dyDescent="0.35">
      <c r="H3924" s="711"/>
      <c r="I3924" s="711"/>
      <c r="J3924" s="711"/>
      <c r="K3924" s="711"/>
      <c r="L3924" s="711"/>
      <c r="Q3924" s="11"/>
      <c r="R3924" s="11"/>
      <c r="S3924" s="11"/>
      <c r="T3924" s="11"/>
    </row>
    <row r="3925" spans="8:20" x14ac:dyDescent="0.35">
      <c r="H3925" s="711"/>
      <c r="I3925" s="711"/>
      <c r="J3925" s="711"/>
      <c r="K3925" s="711"/>
      <c r="L3925" s="711"/>
      <c r="Q3925" s="11"/>
      <c r="R3925" s="11"/>
      <c r="S3925" s="11"/>
      <c r="T3925" s="11"/>
    </row>
    <row r="3926" spans="8:20" x14ac:dyDescent="0.35">
      <c r="H3926" s="711"/>
      <c r="I3926" s="711"/>
      <c r="J3926" s="711"/>
      <c r="K3926" s="711"/>
      <c r="L3926" s="711"/>
      <c r="Q3926" s="11"/>
      <c r="R3926" s="11"/>
      <c r="S3926" s="11"/>
      <c r="T3926" s="11"/>
    </row>
    <row r="3927" spans="8:20" x14ac:dyDescent="0.35">
      <c r="H3927" s="711"/>
      <c r="I3927" s="711"/>
      <c r="J3927" s="711"/>
      <c r="K3927" s="711"/>
      <c r="L3927" s="711"/>
      <c r="Q3927" s="11"/>
      <c r="R3927" s="11"/>
      <c r="S3927" s="11"/>
      <c r="T3927" s="11"/>
    </row>
    <row r="3928" spans="8:20" x14ac:dyDescent="0.35">
      <c r="H3928" s="711"/>
      <c r="I3928" s="711"/>
      <c r="J3928" s="711"/>
      <c r="K3928" s="711"/>
      <c r="L3928" s="711"/>
      <c r="Q3928" s="11"/>
      <c r="R3928" s="11"/>
      <c r="S3928" s="11"/>
      <c r="T3928" s="11"/>
    </row>
    <row r="3929" spans="8:20" x14ac:dyDescent="0.35">
      <c r="H3929" s="711"/>
      <c r="I3929" s="711"/>
      <c r="J3929" s="711"/>
      <c r="K3929" s="711"/>
      <c r="L3929" s="711"/>
      <c r="Q3929" s="11"/>
      <c r="R3929" s="11"/>
      <c r="S3929" s="11"/>
      <c r="T3929" s="11"/>
    </row>
    <row r="3930" spans="8:20" x14ac:dyDescent="0.35">
      <c r="H3930" s="711"/>
      <c r="I3930" s="711"/>
      <c r="J3930" s="711"/>
      <c r="K3930" s="711"/>
      <c r="L3930" s="711"/>
      <c r="Q3930" s="11"/>
      <c r="R3930" s="11"/>
      <c r="S3930" s="11"/>
      <c r="T3930" s="11"/>
    </row>
    <row r="3931" spans="8:20" x14ac:dyDescent="0.35">
      <c r="H3931" s="711"/>
      <c r="I3931" s="711"/>
      <c r="J3931" s="711"/>
      <c r="K3931" s="711"/>
      <c r="L3931" s="711"/>
      <c r="Q3931" s="11"/>
      <c r="R3931" s="11"/>
      <c r="S3931" s="11"/>
      <c r="T3931" s="11"/>
    </row>
    <row r="3932" spans="8:20" x14ac:dyDescent="0.35">
      <c r="H3932" s="711"/>
      <c r="I3932" s="711"/>
      <c r="J3932" s="711"/>
      <c r="K3932" s="711"/>
      <c r="L3932" s="711"/>
      <c r="Q3932" s="11"/>
      <c r="R3932" s="11"/>
      <c r="S3932" s="11"/>
      <c r="T3932" s="11"/>
    </row>
    <row r="3933" spans="8:20" x14ac:dyDescent="0.35">
      <c r="H3933" s="711"/>
      <c r="I3933" s="711"/>
      <c r="J3933" s="711"/>
      <c r="K3933" s="711"/>
      <c r="L3933" s="711"/>
      <c r="Q3933" s="11"/>
      <c r="R3933" s="11"/>
      <c r="S3933" s="11"/>
      <c r="T3933" s="11"/>
    </row>
    <row r="3934" spans="8:20" x14ac:dyDescent="0.35">
      <c r="H3934" s="711"/>
      <c r="I3934" s="711"/>
      <c r="J3934" s="711"/>
      <c r="K3934" s="711"/>
      <c r="L3934" s="711"/>
      <c r="Q3934" s="11"/>
      <c r="R3934" s="11"/>
      <c r="S3934" s="11"/>
      <c r="T3934" s="11"/>
    </row>
    <row r="3935" spans="8:20" x14ac:dyDescent="0.35">
      <c r="H3935" s="711"/>
      <c r="I3935" s="711"/>
      <c r="J3935" s="711"/>
      <c r="K3935" s="711"/>
      <c r="L3935" s="711"/>
      <c r="Q3935" s="11"/>
      <c r="R3935" s="11"/>
      <c r="S3935" s="11"/>
      <c r="T3935" s="11"/>
    </row>
    <row r="3936" spans="8:20" x14ac:dyDescent="0.35">
      <c r="H3936" s="711"/>
      <c r="I3936" s="711"/>
      <c r="J3936" s="711"/>
      <c r="K3936" s="711"/>
      <c r="L3936" s="711"/>
      <c r="Q3936" s="11"/>
      <c r="R3936" s="11"/>
      <c r="S3936" s="11"/>
      <c r="T3936" s="11"/>
    </row>
    <row r="3937" spans="8:20" x14ac:dyDescent="0.35">
      <c r="H3937" s="711"/>
      <c r="I3937" s="711"/>
      <c r="J3937" s="711"/>
      <c r="K3937" s="711"/>
      <c r="L3937" s="711"/>
      <c r="Q3937" s="11"/>
      <c r="R3937" s="11"/>
      <c r="S3937" s="11"/>
      <c r="T3937" s="11"/>
    </row>
    <row r="3938" spans="8:20" x14ac:dyDescent="0.35">
      <c r="H3938" s="711"/>
      <c r="I3938" s="711"/>
      <c r="J3938" s="711"/>
      <c r="K3938" s="711"/>
      <c r="L3938" s="711"/>
      <c r="Q3938" s="11"/>
      <c r="R3938" s="11"/>
      <c r="S3938" s="11"/>
      <c r="T3938" s="11"/>
    </row>
    <row r="3939" spans="8:20" x14ac:dyDescent="0.35">
      <c r="H3939" s="711"/>
      <c r="I3939" s="711"/>
      <c r="J3939" s="711"/>
      <c r="K3939" s="711"/>
      <c r="L3939" s="711"/>
      <c r="Q3939" s="11"/>
      <c r="R3939" s="11"/>
      <c r="S3939" s="11"/>
      <c r="T3939" s="11"/>
    </row>
    <row r="3940" spans="8:20" x14ac:dyDescent="0.35">
      <c r="H3940" s="711"/>
      <c r="I3940" s="711"/>
      <c r="J3940" s="711"/>
      <c r="K3940" s="711"/>
      <c r="L3940" s="711"/>
      <c r="Q3940" s="11"/>
      <c r="R3940" s="11"/>
      <c r="S3940" s="11"/>
      <c r="T3940" s="11"/>
    </row>
    <row r="3941" spans="8:20" x14ac:dyDescent="0.35">
      <c r="H3941" s="711"/>
      <c r="I3941" s="711"/>
      <c r="J3941" s="711"/>
      <c r="K3941" s="711"/>
      <c r="L3941" s="711"/>
      <c r="Q3941" s="11"/>
      <c r="R3941" s="11"/>
      <c r="S3941" s="11"/>
      <c r="T3941" s="11"/>
    </row>
    <row r="3942" spans="8:20" x14ac:dyDescent="0.35">
      <c r="H3942" s="711"/>
      <c r="I3942" s="711"/>
      <c r="J3942" s="711"/>
      <c r="K3942" s="711"/>
      <c r="L3942" s="711"/>
      <c r="Q3942" s="11"/>
      <c r="R3942" s="11"/>
      <c r="S3942" s="11"/>
      <c r="T3942" s="11"/>
    </row>
    <row r="3943" spans="8:20" x14ac:dyDescent="0.35">
      <c r="H3943" s="711"/>
      <c r="I3943" s="711"/>
      <c r="J3943" s="711"/>
      <c r="K3943" s="711"/>
      <c r="L3943" s="711"/>
      <c r="Q3943" s="11"/>
      <c r="R3943" s="11"/>
      <c r="S3943" s="11"/>
      <c r="T3943" s="11"/>
    </row>
    <row r="3944" spans="8:20" x14ac:dyDescent="0.35">
      <c r="H3944" s="711"/>
      <c r="I3944" s="711"/>
      <c r="J3944" s="711"/>
      <c r="K3944" s="711"/>
      <c r="L3944" s="711"/>
      <c r="Q3944" s="11"/>
      <c r="R3944" s="11"/>
      <c r="S3944" s="11"/>
      <c r="T3944" s="11"/>
    </row>
    <row r="3945" spans="8:20" x14ac:dyDescent="0.35">
      <c r="H3945" s="711"/>
      <c r="I3945" s="711"/>
      <c r="J3945" s="711"/>
      <c r="K3945" s="711"/>
      <c r="L3945" s="711"/>
      <c r="Q3945" s="11"/>
      <c r="R3945" s="11"/>
      <c r="S3945" s="11"/>
      <c r="T3945" s="11"/>
    </row>
    <row r="3946" spans="8:20" x14ac:dyDescent="0.35">
      <c r="H3946" s="711"/>
      <c r="I3946" s="711"/>
      <c r="J3946" s="711"/>
      <c r="K3946" s="711"/>
      <c r="L3946" s="711"/>
      <c r="Q3946" s="11"/>
      <c r="R3946" s="11"/>
      <c r="S3946" s="11"/>
      <c r="T3946" s="11"/>
    </row>
    <row r="3947" spans="8:20" x14ac:dyDescent="0.35">
      <c r="H3947" s="711"/>
      <c r="I3947" s="711"/>
      <c r="J3947" s="711"/>
      <c r="K3947" s="711"/>
      <c r="L3947" s="711"/>
      <c r="Q3947" s="11"/>
      <c r="R3947" s="11"/>
      <c r="S3947" s="11"/>
      <c r="T3947" s="11"/>
    </row>
    <row r="3948" spans="8:20" x14ac:dyDescent="0.35">
      <c r="H3948" s="711"/>
      <c r="I3948" s="711"/>
      <c r="J3948" s="711"/>
      <c r="K3948" s="711"/>
      <c r="L3948" s="711"/>
      <c r="Q3948" s="11"/>
      <c r="R3948" s="11"/>
      <c r="S3948" s="11"/>
      <c r="T3948" s="11"/>
    </row>
    <row r="3949" spans="8:20" x14ac:dyDescent="0.35">
      <c r="H3949" s="711"/>
      <c r="I3949" s="711"/>
      <c r="J3949" s="711"/>
      <c r="K3949" s="711"/>
      <c r="L3949" s="711"/>
      <c r="Q3949" s="11"/>
      <c r="R3949" s="11"/>
      <c r="S3949" s="11"/>
      <c r="T3949" s="11"/>
    </row>
    <row r="3950" spans="8:20" x14ac:dyDescent="0.35">
      <c r="H3950" s="711"/>
      <c r="I3950" s="711"/>
      <c r="J3950" s="711"/>
      <c r="K3950" s="711"/>
      <c r="L3950" s="711"/>
      <c r="Q3950" s="11"/>
      <c r="R3950" s="11"/>
      <c r="S3950" s="11"/>
      <c r="T3950" s="11"/>
    </row>
    <row r="3951" spans="8:20" x14ac:dyDescent="0.35">
      <c r="H3951" s="711"/>
      <c r="I3951" s="711"/>
      <c r="J3951" s="711"/>
      <c r="K3951" s="711"/>
      <c r="L3951" s="711"/>
      <c r="Q3951" s="11"/>
      <c r="R3951" s="11"/>
      <c r="S3951" s="11"/>
      <c r="T3951" s="11"/>
    </row>
    <row r="3952" spans="8:20" x14ac:dyDescent="0.35">
      <c r="H3952" s="711"/>
      <c r="I3952" s="711"/>
      <c r="J3952" s="711"/>
      <c r="K3952" s="711"/>
      <c r="L3952" s="711"/>
      <c r="Q3952" s="11"/>
      <c r="R3952" s="11"/>
      <c r="S3952" s="11"/>
      <c r="T3952" s="11"/>
    </row>
    <row r="3953" spans="8:20" x14ac:dyDescent="0.35">
      <c r="H3953" s="711"/>
      <c r="I3953" s="711"/>
      <c r="J3953" s="711"/>
      <c r="K3953" s="711"/>
      <c r="L3953" s="711"/>
      <c r="Q3953" s="11"/>
      <c r="R3953" s="11"/>
      <c r="S3953" s="11"/>
      <c r="T3953" s="11"/>
    </row>
    <row r="3954" spans="8:20" x14ac:dyDescent="0.35">
      <c r="H3954" s="711"/>
      <c r="I3954" s="711"/>
      <c r="J3954" s="711"/>
      <c r="K3954" s="711"/>
      <c r="L3954" s="711"/>
      <c r="Q3954" s="11"/>
      <c r="R3954" s="11"/>
      <c r="S3954" s="11"/>
      <c r="T3954" s="11"/>
    </row>
    <row r="3955" spans="8:20" x14ac:dyDescent="0.35">
      <c r="H3955" s="711"/>
      <c r="I3955" s="711"/>
      <c r="J3955" s="711"/>
      <c r="K3955" s="711"/>
      <c r="L3955" s="711"/>
      <c r="Q3955" s="11"/>
      <c r="R3955" s="11"/>
      <c r="S3955" s="11"/>
      <c r="T3955" s="11"/>
    </row>
    <row r="3956" spans="8:20" x14ac:dyDescent="0.35">
      <c r="H3956" s="711"/>
      <c r="I3956" s="711"/>
      <c r="J3956" s="711"/>
      <c r="K3956" s="711"/>
      <c r="L3956" s="711"/>
      <c r="Q3956" s="11"/>
      <c r="R3956" s="11"/>
      <c r="S3956" s="11"/>
      <c r="T3956" s="11"/>
    </row>
    <row r="3957" spans="8:20" x14ac:dyDescent="0.35">
      <c r="H3957" s="711"/>
      <c r="I3957" s="711"/>
      <c r="J3957" s="711"/>
      <c r="K3957" s="711"/>
      <c r="L3957" s="711"/>
      <c r="Q3957" s="11"/>
      <c r="R3957" s="11"/>
      <c r="S3957" s="11"/>
      <c r="T3957" s="11"/>
    </row>
    <row r="3958" spans="8:20" x14ac:dyDescent="0.35">
      <c r="H3958" s="711"/>
      <c r="I3958" s="711"/>
      <c r="J3958" s="711"/>
      <c r="K3958" s="711"/>
      <c r="L3958" s="711"/>
      <c r="Q3958" s="11"/>
      <c r="R3958" s="11"/>
      <c r="S3958" s="11"/>
      <c r="T3958" s="11"/>
    </row>
    <row r="3959" spans="8:20" x14ac:dyDescent="0.35">
      <c r="H3959" s="711"/>
      <c r="I3959" s="711"/>
      <c r="J3959" s="711"/>
      <c r="K3959" s="711"/>
      <c r="L3959" s="711"/>
      <c r="Q3959" s="11"/>
      <c r="R3959" s="11"/>
      <c r="S3959" s="11"/>
      <c r="T3959" s="11"/>
    </row>
    <row r="3960" spans="8:20" x14ac:dyDescent="0.35">
      <c r="H3960" s="711"/>
      <c r="I3960" s="711"/>
      <c r="J3960" s="711"/>
      <c r="K3960" s="711"/>
      <c r="L3960" s="711"/>
      <c r="Q3960" s="11"/>
      <c r="R3960" s="11"/>
      <c r="S3960" s="11"/>
      <c r="T3960" s="11"/>
    </row>
    <row r="3961" spans="8:20" x14ac:dyDescent="0.35">
      <c r="H3961" s="711"/>
      <c r="I3961" s="711"/>
      <c r="J3961" s="711"/>
      <c r="K3961" s="711"/>
      <c r="L3961" s="711"/>
      <c r="Q3961" s="11"/>
      <c r="R3961" s="11"/>
      <c r="S3961" s="11"/>
      <c r="T3961" s="11"/>
    </row>
    <row r="3962" spans="8:20" x14ac:dyDescent="0.35">
      <c r="H3962" s="711"/>
      <c r="I3962" s="711"/>
      <c r="J3962" s="711"/>
      <c r="K3962" s="711"/>
      <c r="L3962" s="711"/>
      <c r="Q3962" s="11"/>
      <c r="R3962" s="11"/>
      <c r="S3962" s="11"/>
      <c r="T3962" s="11"/>
    </row>
    <row r="3963" spans="8:20" x14ac:dyDescent="0.35">
      <c r="H3963" s="711"/>
      <c r="I3963" s="711"/>
      <c r="J3963" s="711"/>
      <c r="K3963" s="711"/>
      <c r="L3963" s="711"/>
      <c r="Q3963" s="11"/>
      <c r="R3963" s="11"/>
      <c r="S3963" s="11"/>
      <c r="T3963" s="11"/>
    </row>
    <row r="3964" spans="8:20" x14ac:dyDescent="0.35">
      <c r="H3964" s="711"/>
      <c r="I3964" s="711"/>
      <c r="J3964" s="711"/>
      <c r="K3964" s="711"/>
      <c r="L3964" s="711"/>
      <c r="Q3964" s="11"/>
      <c r="R3964" s="11"/>
      <c r="S3964" s="11"/>
      <c r="T3964" s="11"/>
    </row>
    <row r="3965" spans="8:20" x14ac:dyDescent="0.35">
      <c r="H3965" s="711"/>
      <c r="I3965" s="711"/>
      <c r="J3965" s="711"/>
      <c r="K3965" s="711"/>
      <c r="L3965" s="711"/>
      <c r="Q3965" s="11"/>
      <c r="R3965" s="11"/>
      <c r="S3965" s="11"/>
      <c r="T3965" s="11"/>
    </row>
    <row r="3966" spans="8:20" x14ac:dyDescent="0.35">
      <c r="H3966" s="711"/>
      <c r="I3966" s="711"/>
      <c r="J3966" s="711"/>
      <c r="K3966" s="711"/>
      <c r="L3966" s="711"/>
      <c r="Q3966" s="11"/>
      <c r="R3966" s="11"/>
      <c r="S3966" s="11"/>
      <c r="T3966" s="11"/>
    </row>
    <row r="3967" spans="8:20" x14ac:dyDescent="0.35">
      <c r="H3967" s="711"/>
      <c r="I3967" s="711"/>
      <c r="J3967" s="711"/>
      <c r="K3967" s="711"/>
      <c r="L3967" s="711"/>
      <c r="Q3967" s="11"/>
      <c r="R3967" s="11"/>
      <c r="S3967" s="11"/>
      <c r="T3967" s="11"/>
    </row>
    <row r="3968" spans="8:20" x14ac:dyDescent="0.35">
      <c r="H3968" s="711"/>
      <c r="I3968" s="711"/>
      <c r="J3968" s="711"/>
      <c r="K3968" s="711"/>
      <c r="L3968" s="711"/>
      <c r="Q3968" s="11"/>
      <c r="R3968" s="11"/>
      <c r="S3968" s="11"/>
      <c r="T3968" s="11"/>
    </row>
    <row r="3969" spans="8:20" x14ac:dyDescent="0.35">
      <c r="H3969" s="711"/>
      <c r="I3969" s="711"/>
      <c r="J3969" s="711"/>
      <c r="K3969" s="711"/>
      <c r="L3969" s="711"/>
      <c r="Q3969" s="11"/>
      <c r="R3969" s="11"/>
      <c r="S3969" s="11"/>
      <c r="T3969" s="11"/>
    </row>
    <row r="3970" spans="8:20" x14ac:dyDescent="0.35">
      <c r="H3970" s="711"/>
      <c r="I3970" s="711"/>
      <c r="J3970" s="711"/>
      <c r="K3970" s="711"/>
      <c r="L3970" s="711"/>
      <c r="Q3970" s="11"/>
      <c r="R3970" s="11"/>
      <c r="S3970" s="11"/>
      <c r="T3970" s="11"/>
    </row>
    <row r="3971" spans="8:20" x14ac:dyDescent="0.35">
      <c r="H3971" s="711"/>
      <c r="I3971" s="711"/>
      <c r="J3971" s="711"/>
      <c r="K3971" s="711"/>
      <c r="L3971" s="711"/>
      <c r="Q3971" s="11"/>
      <c r="R3971" s="11"/>
      <c r="S3971" s="11"/>
      <c r="T3971" s="11"/>
    </row>
    <row r="3972" spans="8:20" x14ac:dyDescent="0.35">
      <c r="H3972" s="711"/>
      <c r="I3972" s="711"/>
      <c r="J3972" s="711"/>
      <c r="K3972" s="711"/>
      <c r="L3972" s="711"/>
      <c r="Q3972" s="11"/>
      <c r="R3972" s="11"/>
      <c r="S3972" s="11"/>
      <c r="T3972" s="11"/>
    </row>
    <row r="3973" spans="8:20" x14ac:dyDescent="0.35">
      <c r="H3973" s="711"/>
      <c r="I3973" s="711"/>
      <c r="J3973" s="711"/>
      <c r="K3973" s="711"/>
      <c r="L3973" s="711"/>
      <c r="Q3973" s="11"/>
      <c r="R3973" s="11"/>
      <c r="S3973" s="11"/>
      <c r="T3973" s="11"/>
    </row>
    <row r="3974" spans="8:20" x14ac:dyDescent="0.35">
      <c r="H3974" s="711"/>
      <c r="I3974" s="711"/>
      <c r="J3974" s="711"/>
      <c r="K3974" s="711"/>
      <c r="L3974" s="711"/>
      <c r="Q3974" s="11"/>
      <c r="R3974" s="11"/>
      <c r="S3974" s="11"/>
      <c r="T3974" s="11"/>
    </row>
    <row r="3975" spans="8:20" x14ac:dyDescent="0.35">
      <c r="H3975" s="711"/>
      <c r="I3975" s="711"/>
      <c r="J3975" s="711"/>
      <c r="K3975" s="711"/>
      <c r="L3975" s="711"/>
      <c r="Q3975" s="11"/>
      <c r="R3975" s="11"/>
      <c r="S3975" s="11"/>
      <c r="T3975" s="11"/>
    </row>
    <row r="3976" spans="8:20" x14ac:dyDescent="0.35">
      <c r="H3976" s="711"/>
      <c r="I3976" s="711"/>
      <c r="J3976" s="711"/>
      <c r="K3976" s="711"/>
      <c r="L3976" s="711"/>
      <c r="Q3976" s="11"/>
      <c r="R3976" s="11"/>
      <c r="S3976" s="11"/>
      <c r="T3976" s="11"/>
    </row>
    <row r="3977" spans="8:20" x14ac:dyDescent="0.35">
      <c r="H3977" s="711"/>
      <c r="I3977" s="711"/>
      <c r="J3977" s="711"/>
      <c r="K3977" s="711"/>
      <c r="L3977" s="711"/>
      <c r="Q3977" s="11"/>
      <c r="R3977" s="11"/>
      <c r="S3977" s="11"/>
      <c r="T3977" s="11"/>
    </row>
    <row r="3978" spans="8:20" x14ac:dyDescent="0.35">
      <c r="H3978" s="711"/>
      <c r="I3978" s="711"/>
      <c r="J3978" s="711"/>
      <c r="K3978" s="711"/>
      <c r="L3978" s="711"/>
      <c r="Q3978" s="11"/>
      <c r="R3978" s="11"/>
      <c r="S3978" s="11"/>
      <c r="T3978" s="11"/>
    </row>
    <row r="3979" spans="8:20" x14ac:dyDescent="0.35">
      <c r="H3979" s="711"/>
      <c r="I3979" s="711"/>
      <c r="J3979" s="711"/>
      <c r="K3979" s="711"/>
      <c r="L3979" s="711"/>
      <c r="Q3979" s="11"/>
      <c r="R3979" s="11"/>
      <c r="S3979" s="11"/>
      <c r="T3979" s="11"/>
    </row>
    <row r="3980" spans="8:20" x14ac:dyDescent="0.35">
      <c r="H3980" s="711"/>
      <c r="I3980" s="711"/>
      <c r="J3980" s="711"/>
      <c r="K3980" s="711"/>
      <c r="L3980" s="711"/>
      <c r="Q3980" s="11"/>
      <c r="R3980" s="11"/>
      <c r="S3980" s="11"/>
      <c r="T3980" s="11"/>
    </row>
    <row r="3981" spans="8:20" x14ac:dyDescent="0.35">
      <c r="H3981" s="711"/>
      <c r="I3981" s="711"/>
      <c r="J3981" s="711"/>
      <c r="K3981" s="711"/>
      <c r="L3981" s="711"/>
      <c r="Q3981" s="11"/>
      <c r="R3981" s="11"/>
      <c r="S3981" s="11"/>
      <c r="T3981" s="11"/>
    </row>
    <row r="3982" spans="8:20" x14ac:dyDescent="0.35">
      <c r="H3982" s="711"/>
      <c r="I3982" s="711"/>
      <c r="J3982" s="711"/>
      <c r="K3982" s="711"/>
      <c r="L3982" s="711"/>
      <c r="Q3982" s="11"/>
      <c r="R3982" s="11"/>
      <c r="S3982" s="11"/>
      <c r="T3982" s="11"/>
    </row>
    <row r="3983" spans="8:20" x14ac:dyDescent="0.35">
      <c r="H3983" s="711"/>
      <c r="I3983" s="711"/>
      <c r="J3983" s="711"/>
      <c r="K3983" s="711"/>
      <c r="L3983" s="711"/>
      <c r="Q3983" s="11"/>
      <c r="R3983" s="11"/>
      <c r="S3983" s="11"/>
      <c r="T3983" s="11"/>
    </row>
    <row r="3984" spans="8:20" x14ac:dyDescent="0.35">
      <c r="H3984" s="711"/>
      <c r="I3984" s="711"/>
      <c r="J3984" s="711"/>
      <c r="K3984" s="711"/>
      <c r="L3984" s="711"/>
      <c r="Q3984" s="11"/>
      <c r="R3984" s="11"/>
      <c r="S3984" s="11"/>
      <c r="T3984" s="11"/>
    </row>
    <row r="3985" spans="8:20" x14ac:dyDescent="0.35">
      <c r="H3985" s="711"/>
      <c r="I3985" s="711"/>
      <c r="J3985" s="711"/>
      <c r="K3985" s="711"/>
      <c r="L3985" s="711"/>
      <c r="Q3985" s="11"/>
      <c r="R3985" s="11"/>
      <c r="S3985" s="11"/>
      <c r="T3985" s="11"/>
    </row>
    <row r="3986" spans="8:20" x14ac:dyDescent="0.35">
      <c r="H3986" s="711"/>
      <c r="I3986" s="711"/>
      <c r="J3986" s="711"/>
      <c r="K3986" s="711"/>
      <c r="L3986" s="711"/>
      <c r="Q3986" s="11"/>
      <c r="R3986" s="11"/>
      <c r="S3986" s="11"/>
      <c r="T3986" s="11"/>
    </row>
    <row r="3987" spans="8:20" x14ac:dyDescent="0.35">
      <c r="H3987" s="711"/>
      <c r="I3987" s="711"/>
      <c r="J3987" s="711"/>
      <c r="K3987" s="711"/>
      <c r="L3987" s="711"/>
      <c r="Q3987" s="11"/>
      <c r="R3987" s="11"/>
      <c r="S3987" s="11"/>
      <c r="T3987" s="11"/>
    </row>
    <row r="3988" spans="8:20" x14ac:dyDescent="0.35">
      <c r="H3988" s="711"/>
      <c r="I3988" s="711"/>
      <c r="J3988" s="711"/>
      <c r="K3988" s="711"/>
      <c r="L3988" s="711"/>
      <c r="Q3988" s="11"/>
      <c r="R3988" s="11"/>
      <c r="S3988" s="11"/>
      <c r="T3988" s="11"/>
    </row>
    <row r="3989" spans="8:20" x14ac:dyDescent="0.35">
      <c r="H3989" s="711"/>
      <c r="I3989" s="711"/>
      <c r="J3989" s="711"/>
      <c r="K3989" s="711"/>
      <c r="L3989" s="711"/>
      <c r="Q3989" s="11"/>
      <c r="R3989" s="11"/>
      <c r="S3989" s="11"/>
      <c r="T3989" s="11"/>
    </row>
    <row r="3990" spans="8:20" x14ac:dyDescent="0.35">
      <c r="H3990" s="711"/>
      <c r="I3990" s="711"/>
      <c r="J3990" s="711"/>
      <c r="K3990" s="711"/>
      <c r="L3990" s="711"/>
      <c r="Q3990" s="11"/>
      <c r="R3990" s="11"/>
      <c r="S3990" s="11"/>
      <c r="T3990" s="11"/>
    </row>
    <row r="3991" spans="8:20" x14ac:dyDescent="0.35">
      <c r="H3991" s="711"/>
      <c r="I3991" s="711"/>
      <c r="J3991" s="711"/>
      <c r="K3991" s="711"/>
      <c r="L3991" s="711"/>
      <c r="Q3991" s="11"/>
      <c r="R3991" s="11"/>
      <c r="S3991" s="11"/>
      <c r="T3991" s="11"/>
    </row>
    <row r="3992" spans="8:20" x14ac:dyDescent="0.35">
      <c r="H3992" s="711"/>
      <c r="I3992" s="711"/>
      <c r="J3992" s="711"/>
      <c r="K3992" s="711"/>
      <c r="L3992" s="711"/>
      <c r="Q3992" s="11"/>
      <c r="R3992" s="11"/>
      <c r="S3992" s="11"/>
      <c r="T3992" s="11"/>
    </row>
    <row r="3993" spans="8:20" x14ac:dyDescent="0.35">
      <c r="H3993" s="711"/>
      <c r="I3993" s="711"/>
      <c r="J3993" s="711"/>
      <c r="K3993" s="711"/>
      <c r="L3993" s="711"/>
      <c r="Q3993" s="11"/>
      <c r="R3993" s="11"/>
      <c r="S3993" s="11"/>
      <c r="T3993" s="11"/>
    </row>
    <row r="3994" spans="8:20" x14ac:dyDescent="0.35">
      <c r="H3994" s="711"/>
      <c r="I3994" s="711"/>
      <c r="J3994" s="711"/>
      <c r="K3994" s="711"/>
      <c r="L3994" s="711"/>
      <c r="Q3994" s="11"/>
      <c r="R3994" s="11"/>
      <c r="S3994" s="11"/>
      <c r="T3994" s="11"/>
    </row>
    <row r="3995" spans="8:20" x14ac:dyDescent="0.35">
      <c r="H3995" s="711"/>
      <c r="I3995" s="711"/>
      <c r="J3995" s="711"/>
      <c r="K3995" s="711"/>
      <c r="L3995" s="711"/>
      <c r="Q3995" s="11"/>
      <c r="R3995" s="11"/>
      <c r="S3995" s="11"/>
      <c r="T3995" s="11"/>
    </row>
    <row r="3996" spans="8:20" x14ac:dyDescent="0.35">
      <c r="H3996" s="711"/>
      <c r="I3996" s="711"/>
      <c r="J3996" s="711"/>
      <c r="K3996" s="711"/>
      <c r="L3996" s="711"/>
      <c r="Q3996" s="11"/>
      <c r="R3996" s="11"/>
      <c r="S3996" s="11"/>
      <c r="T3996" s="11"/>
    </row>
    <row r="3997" spans="8:20" x14ac:dyDescent="0.35">
      <c r="H3997" s="711"/>
      <c r="I3997" s="711"/>
      <c r="J3997" s="711"/>
      <c r="K3997" s="711"/>
      <c r="L3997" s="711"/>
      <c r="Q3997" s="11"/>
      <c r="R3997" s="11"/>
      <c r="S3997" s="11"/>
      <c r="T3997" s="11"/>
    </row>
    <row r="3998" spans="8:20" x14ac:dyDescent="0.35">
      <c r="H3998" s="711"/>
      <c r="I3998" s="711"/>
      <c r="J3998" s="711"/>
      <c r="K3998" s="711"/>
      <c r="L3998" s="711"/>
      <c r="Q3998" s="11"/>
      <c r="R3998" s="11"/>
      <c r="S3998" s="11"/>
      <c r="T3998" s="11"/>
    </row>
    <row r="3999" spans="8:20" x14ac:dyDescent="0.35">
      <c r="H3999" s="711"/>
      <c r="I3999" s="711"/>
      <c r="J3999" s="711"/>
      <c r="K3999" s="711"/>
      <c r="L3999" s="711"/>
      <c r="Q3999" s="11"/>
      <c r="R3999" s="11"/>
      <c r="S3999" s="11"/>
      <c r="T3999" s="11"/>
    </row>
    <row r="4000" spans="8:20" x14ac:dyDescent="0.35">
      <c r="H4000" s="711"/>
      <c r="I4000" s="711"/>
      <c r="J4000" s="711"/>
      <c r="K4000" s="711"/>
      <c r="L4000" s="711"/>
      <c r="Q4000" s="11"/>
      <c r="R4000" s="11"/>
      <c r="S4000" s="11"/>
      <c r="T4000" s="11"/>
    </row>
    <row r="4001" spans="8:20" x14ac:dyDescent="0.35">
      <c r="H4001" s="711"/>
      <c r="I4001" s="711"/>
      <c r="J4001" s="711"/>
      <c r="K4001" s="711"/>
      <c r="L4001" s="711"/>
      <c r="Q4001" s="11"/>
      <c r="R4001" s="11"/>
      <c r="S4001" s="11"/>
      <c r="T4001" s="11"/>
    </row>
    <row r="4002" spans="8:20" x14ac:dyDescent="0.35">
      <c r="H4002" s="711"/>
      <c r="I4002" s="711"/>
      <c r="J4002" s="711"/>
      <c r="K4002" s="711"/>
      <c r="L4002" s="711"/>
      <c r="Q4002" s="11"/>
      <c r="R4002" s="11"/>
      <c r="S4002" s="11"/>
      <c r="T4002" s="11"/>
    </row>
    <row r="4003" spans="8:20" x14ac:dyDescent="0.35">
      <c r="H4003" s="711"/>
      <c r="I4003" s="711"/>
      <c r="J4003" s="711"/>
      <c r="K4003" s="711"/>
      <c r="L4003" s="711"/>
      <c r="Q4003" s="11"/>
      <c r="R4003" s="11"/>
      <c r="S4003" s="11"/>
      <c r="T4003" s="11"/>
    </row>
    <row r="4004" spans="8:20" x14ac:dyDescent="0.35">
      <c r="H4004" s="711"/>
      <c r="I4004" s="711"/>
      <c r="J4004" s="711"/>
      <c r="K4004" s="711"/>
      <c r="L4004" s="711"/>
      <c r="Q4004" s="11"/>
      <c r="R4004" s="11"/>
      <c r="S4004" s="11"/>
      <c r="T4004" s="11"/>
    </row>
    <row r="4005" spans="8:20" x14ac:dyDescent="0.35">
      <c r="H4005" s="711"/>
      <c r="I4005" s="711"/>
      <c r="J4005" s="711"/>
      <c r="K4005" s="711"/>
      <c r="L4005" s="711"/>
      <c r="Q4005" s="11"/>
      <c r="R4005" s="11"/>
      <c r="S4005" s="11"/>
      <c r="T4005" s="11"/>
    </row>
    <row r="4006" spans="8:20" x14ac:dyDescent="0.35">
      <c r="H4006" s="711"/>
      <c r="I4006" s="711"/>
      <c r="J4006" s="711"/>
      <c r="K4006" s="711"/>
      <c r="L4006" s="711"/>
      <c r="Q4006" s="11"/>
      <c r="R4006" s="11"/>
      <c r="S4006" s="11"/>
      <c r="T4006" s="11"/>
    </row>
    <row r="4007" spans="8:20" x14ac:dyDescent="0.35">
      <c r="H4007" s="711"/>
      <c r="I4007" s="711"/>
      <c r="J4007" s="711"/>
      <c r="K4007" s="711"/>
      <c r="L4007" s="711"/>
      <c r="Q4007" s="11"/>
      <c r="R4007" s="11"/>
      <c r="S4007" s="11"/>
      <c r="T4007" s="11"/>
    </row>
    <row r="4008" spans="8:20" x14ac:dyDescent="0.35">
      <c r="H4008" s="711"/>
      <c r="I4008" s="711"/>
      <c r="J4008" s="711"/>
      <c r="K4008" s="711"/>
      <c r="L4008" s="711"/>
      <c r="Q4008" s="11"/>
      <c r="R4008" s="11"/>
      <c r="S4008" s="11"/>
      <c r="T4008" s="11"/>
    </row>
    <row r="4009" spans="8:20" x14ac:dyDescent="0.35">
      <c r="H4009" s="711"/>
      <c r="I4009" s="711"/>
      <c r="J4009" s="711"/>
      <c r="K4009" s="711"/>
      <c r="L4009" s="711"/>
      <c r="Q4009" s="11"/>
      <c r="R4009" s="11"/>
      <c r="S4009" s="11"/>
      <c r="T4009" s="11"/>
    </row>
    <row r="4010" spans="8:20" x14ac:dyDescent="0.35">
      <c r="H4010" s="711"/>
      <c r="I4010" s="711"/>
      <c r="J4010" s="711"/>
      <c r="K4010" s="711"/>
      <c r="L4010" s="711"/>
      <c r="Q4010" s="11"/>
      <c r="R4010" s="11"/>
      <c r="S4010" s="11"/>
      <c r="T4010" s="11"/>
    </row>
    <row r="4011" spans="8:20" x14ac:dyDescent="0.35">
      <c r="H4011" s="711"/>
      <c r="I4011" s="711"/>
      <c r="J4011" s="711"/>
      <c r="K4011" s="711"/>
      <c r="L4011" s="711"/>
      <c r="Q4011" s="11"/>
      <c r="R4011" s="11"/>
      <c r="S4011" s="11"/>
      <c r="T4011" s="11"/>
    </row>
    <row r="4012" spans="8:20" x14ac:dyDescent="0.35">
      <c r="H4012" s="711"/>
      <c r="I4012" s="711"/>
      <c r="J4012" s="711"/>
      <c r="K4012" s="711"/>
      <c r="L4012" s="711"/>
      <c r="Q4012" s="11"/>
      <c r="R4012" s="11"/>
      <c r="S4012" s="11"/>
      <c r="T4012" s="11"/>
    </row>
    <row r="4013" spans="8:20" x14ac:dyDescent="0.35">
      <c r="H4013" s="711"/>
      <c r="I4013" s="711"/>
      <c r="J4013" s="711"/>
      <c r="K4013" s="711"/>
      <c r="L4013" s="711"/>
      <c r="Q4013" s="11"/>
      <c r="R4013" s="11"/>
      <c r="S4013" s="11"/>
      <c r="T4013" s="11"/>
    </row>
    <row r="4014" spans="8:20" x14ac:dyDescent="0.35">
      <c r="H4014" s="711"/>
      <c r="I4014" s="711"/>
      <c r="J4014" s="711"/>
      <c r="K4014" s="711"/>
      <c r="L4014" s="711"/>
      <c r="Q4014" s="11"/>
      <c r="R4014" s="11"/>
      <c r="S4014" s="11"/>
      <c r="T4014" s="11"/>
    </row>
    <row r="4015" spans="8:20" x14ac:dyDescent="0.35">
      <c r="H4015" s="711"/>
      <c r="I4015" s="711"/>
      <c r="J4015" s="711"/>
      <c r="K4015" s="711"/>
      <c r="L4015" s="711"/>
      <c r="Q4015" s="11"/>
      <c r="R4015" s="11"/>
      <c r="S4015" s="11"/>
      <c r="T4015" s="11"/>
    </row>
    <row r="4016" spans="8:20" x14ac:dyDescent="0.35">
      <c r="H4016" s="711"/>
      <c r="I4016" s="711"/>
      <c r="J4016" s="711"/>
      <c r="K4016" s="711"/>
      <c r="L4016" s="711"/>
      <c r="Q4016" s="11"/>
      <c r="R4016" s="11"/>
      <c r="S4016" s="11"/>
      <c r="T4016" s="11"/>
    </row>
    <row r="4017" spans="8:20" x14ac:dyDescent="0.35">
      <c r="H4017" s="711"/>
      <c r="I4017" s="711"/>
      <c r="J4017" s="711"/>
      <c r="K4017" s="711"/>
      <c r="L4017" s="711"/>
      <c r="Q4017" s="11"/>
      <c r="R4017" s="11"/>
      <c r="S4017" s="11"/>
      <c r="T4017" s="11"/>
    </row>
    <row r="4018" spans="8:20" x14ac:dyDescent="0.35">
      <c r="H4018" s="711"/>
      <c r="I4018" s="711"/>
      <c r="J4018" s="711"/>
      <c r="K4018" s="711"/>
      <c r="L4018" s="711"/>
      <c r="Q4018" s="11"/>
      <c r="R4018" s="11"/>
      <c r="S4018" s="11"/>
      <c r="T4018" s="11"/>
    </row>
    <row r="4019" spans="8:20" x14ac:dyDescent="0.35">
      <c r="H4019" s="711"/>
      <c r="I4019" s="711"/>
      <c r="J4019" s="711"/>
      <c r="K4019" s="711"/>
      <c r="L4019" s="711"/>
      <c r="Q4019" s="11"/>
      <c r="R4019" s="11"/>
      <c r="S4019" s="11"/>
      <c r="T4019" s="11"/>
    </row>
    <row r="4020" spans="8:20" x14ac:dyDescent="0.35">
      <c r="H4020" s="711"/>
      <c r="I4020" s="711"/>
      <c r="J4020" s="711"/>
      <c r="K4020" s="711"/>
      <c r="L4020" s="711"/>
      <c r="Q4020" s="11"/>
      <c r="R4020" s="11"/>
      <c r="S4020" s="11"/>
      <c r="T4020" s="11"/>
    </row>
    <row r="4021" spans="8:20" x14ac:dyDescent="0.35">
      <c r="H4021" s="711"/>
      <c r="I4021" s="711"/>
      <c r="J4021" s="711"/>
      <c r="K4021" s="711"/>
      <c r="L4021" s="711"/>
      <c r="Q4021" s="11"/>
      <c r="R4021" s="11"/>
      <c r="S4021" s="11"/>
      <c r="T4021" s="11"/>
    </row>
    <row r="4022" spans="8:20" x14ac:dyDescent="0.35">
      <c r="H4022" s="711"/>
      <c r="I4022" s="711"/>
      <c r="J4022" s="711"/>
      <c r="K4022" s="711"/>
      <c r="L4022" s="711"/>
      <c r="Q4022" s="11"/>
      <c r="R4022" s="11"/>
      <c r="S4022" s="11"/>
      <c r="T4022" s="11"/>
    </row>
    <row r="4023" spans="8:20" x14ac:dyDescent="0.35">
      <c r="H4023" s="711"/>
      <c r="I4023" s="711"/>
      <c r="J4023" s="711"/>
      <c r="K4023" s="711"/>
      <c r="L4023" s="711"/>
      <c r="Q4023" s="11"/>
      <c r="R4023" s="11"/>
      <c r="S4023" s="11"/>
      <c r="T4023" s="11"/>
    </row>
    <row r="4024" spans="8:20" x14ac:dyDescent="0.35">
      <c r="H4024" s="711"/>
      <c r="I4024" s="711"/>
      <c r="J4024" s="711"/>
      <c r="K4024" s="711"/>
      <c r="L4024" s="711"/>
      <c r="Q4024" s="11"/>
      <c r="R4024" s="11"/>
      <c r="S4024" s="11"/>
      <c r="T4024" s="11"/>
    </row>
    <row r="4025" spans="8:20" x14ac:dyDescent="0.35">
      <c r="H4025" s="711"/>
      <c r="I4025" s="711"/>
      <c r="J4025" s="711"/>
      <c r="K4025" s="711"/>
      <c r="L4025" s="711"/>
      <c r="Q4025" s="11"/>
      <c r="R4025" s="11"/>
      <c r="S4025" s="11"/>
      <c r="T4025" s="11"/>
    </row>
    <row r="4026" spans="8:20" x14ac:dyDescent="0.35">
      <c r="H4026" s="711"/>
      <c r="I4026" s="711"/>
      <c r="J4026" s="711"/>
      <c r="K4026" s="711"/>
      <c r="L4026" s="711"/>
      <c r="Q4026" s="11"/>
      <c r="R4026" s="11"/>
      <c r="S4026" s="11"/>
      <c r="T4026" s="11"/>
    </row>
    <row r="4027" spans="8:20" x14ac:dyDescent="0.35">
      <c r="H4027" s="711"/>
      <c r="I4027" s="711"/>
      <c r="J4027" s="711"/>
      <c r="K4027" s="711"/>
      <c r="L4027" s="711"/>
      <c r="Q4027" s="11"/>
      <c r="R4027" s="11"/>
      <c r="S4027" s="11"/>
      <c r="T4027" s="11"/>
    </row>
    <row r="4028" spans="8:20" x14ac:dyDescent="0.35">
      <c r="H4028" s="711"/>
      <c r="I4028" s="711"/>
      <c r="J4028" s="711"/>
      <c r="K4028" s="711"/>
      <c r="L4028" s="711"/>
      <c r="Q4028" s="11"/>
      <c r="R4028" s="11"/>
      <c r="S4028" s="11"/>
      <c r="T4028" s="11"/>
    </row>
    <row r="4029" spans="8:20" x14ac:dyDescent="0.35">
      <c r="H4029" s="711"/>
      <c r="I4029" s="711"/>
      <c r="J4029" s="711"/>
      <c r="K4029" s="711"/>
      <c r="L4029" s="711"/>
      <c r="Q4029" s="11"/>
      <c r="R4029" s="11"/>
      <c r="S4029" s="11"/>
      <c r="T4029" s="11"/>
    </row>
    <row r="4030" spans="8:20" x14ac:dyDescent="0.35">
      <c r="H4030" s="711"/>
      <c r="I4030" s="711"/>
      <c r="J4030" s="711"/>
      <c r="K4030" s="711"/>
      <c r="L4030" s="711"/>
      <c r="Q4030" s="11"/>
      <c r="R4030" s="11"/>
      <c r="S4030" s="11"/>
      <c r="T4030" s="11"/>
    </row>
    <row r="4031" spans="8:20" x14ac:dyDescent="0.35">
      <c r="H4031" s="711"/>
      <c r="I4031" s="711"/>
      <c r="J4031" s="711"/>
      <c r="K4031" s="711"/>
      <c r="L4031" s="711"/>
      <c r="Q4031" s="11"/>
      <c r="R4031" s="11"/>
      <c r="S4031" s="11"/>
      <c r="T4031" s="11"/>
    </row>
    <row r="4032" spans="8:20" x14ac:dyDescent="0.35">
      <c r="H4032" s="711"/>
      <c r="I4032" s="711"/>
      <c r="J4032" s="711"/>
      <c r="K4032" s="711"/>
      <c r="L4032" s="711"/>
      <c r="Q4032" s="11"/>
      <c r="R4032" s="11"/>
      <c r="S4032" s="11"/>
      <c r="T4032" s="11"/>
    </row>
    <row r="4033" spans="8:20" x14ac:dyDescent="0.35">
      <c r="H4033" s="711"/>
      <c r="I4033" s="711"/>
      <c r="J4033" s="711"/>
      <c r="K4033" s="711"/>
      <c r="L4033" s="711"/>
      <c r="Q4033" s="11"/>
      <c r="R4033" s="11"/>
      <c r="S4033" s="11"/>
      <c r="T4033" s="11"/>
    </row>
    <row r="4034" spans="8:20" x14ac:dyDescent="0.35">
      <c r="H4034" s="711"/>
      <c r="I4034" s="711"/>
      <c r="J4034" s="711"/>
      <c r="K4034" s="711"/>
      <c r="L4034" s="711"/>
      <c r="Q4034" s="11"/>
      <c r="R4034" s="11"/>
      <c r="S4034" s="11"/>
      <c r="T4034" s="11"/>
    </row>
    <row r="4035" spans="8:20" x14ac:dyDescent="0.35">
      <c r="H4035" s="711"/>
      <c r="I4035" s="711"/>
      <c r="J4035" s="711"/>
      <c r="K4035" s="711"/>
      <c r="L4035" s="711"/>
      <c r="Q4035" s="11"/>
      <c r="R4035" s="11"/>
      <c r="S4035" s="11"/>
      <c r="T4035" s="11"/>
    </row>
    <row r="4036" spans="8:20" x14ac:dyDescent="0.35">
      <c r="H4036" s="711"/>
      <c r="I4036" s="711"/>
      <c r="J4036" s="711"/>
      <c r="K4036" s="711"/>
      <c r="L4036" s="711"/>
      <c r="Q4036" s="11"/>
      <c r="R4036" s="11"/>
      <c r="S4036" s="11"/>
      <c r="T4036" s="11"/>
    </row>
    <row r="4037" spans="8:20" x14ac:dyDescent="0.35">
      <c r="H4037" s="711"/>
      <c r="I4037" s="711"/>
      <c r="J4037" s="711"/>
      <c r="K4037" s="711"/>
      <c r="L4037" s="711"/>
      <c r="Q4037" s="11"/>
      <c r="R4037" s="11"/>
      <c r="S4037" s="11"/>
      <c r="T4037" s="11"/>
    </row>
    <row r="4038" spans="8:20" x14ac:dyDescent="0.35">
      <c r="H4038" s="711"/>
      <c r="I4038" s="711"/>
      <c r="J4038" s="711"/>
      <c r="K4038" s="711"/>
      <c r="L4038" s="711"/>
      <c r="Q4038" s="11"/>
      <c r="R4038" s="11"/>
      <c r="S4038" s="11"/>
      <c r="T4038" s="11"/>
    </row>
    <row r="4039" spans="8:20" x14ac:dyDescent="0.35">
      <c r="H4039" s="711"/>
      <c r="I4039" s="711"/>
      <c r="J4039" s="711"/>
      <c r="K4039" s="711"/>
      <c r="L4039" s="711"/>
      <c r="Q4039" s="11"/>
      <c r="R4039" s="11"/>
      <c r="S4039" s="11"/>
      <c r="T4039" s="11"/>
    </row>
    <row r="4040" spans="8:20" x14ac:dyDescent="0.35">
      <c r="H4040" s="711"/>
      <c r="I4040" s="711"/>
      <c r="J4040" s="711"/>
      <c r="K4040" s="711"/>
      <c r="L4040" s="711"/>
      <c r="Q4040" s="11"/>
      <c r="R4040" s="11"/>
      <c r="S4040" s="11"/>
      <c r="T4040" s="11"/>
    </row>
    <row r="4041" spans="8:20" x14ac:dyDescent="0.35">
      <c r="H4041" s="711"/>
      <c r="I4041" s="711"/>
      <c r="J4041" s="711"/>
      <c r="K4041" s="711"/>
      <c r="L4041" s="711"/>
      <c r="Q4041" s="11"/>
      <c r="R4041" s="11"/>
      <c r="S4041" s="11"/>
      <c r="T4041" s="11"/>
    </row>
    <row r="4042" spans="8:20" x14ac:dyDescent="0.35">
      <c r="H4042" s="711"/>
      <c r="I4042" s="711"/>
      <c r="J4042" s="711"/>
      <c r="K4042" s="711"/>
      <c r="L4042" s="711"/>
      <c r="Q4042" s="11"/>
      <c r="R4042" s="11"/>
      <c r="S4042" s="11"/>
      <c r="T4042" s="11"/>
    </row>
    <row r="4043" spans="8:20" x14ac:dyDescent="0.35">
      <c r="H4043" s="711"/>
      <c r="I4043" s="711"/>
      <c r="J4043" s="711"/>
      <c r="K4043" s="711"/>
      <c r="L4043" s="711"/>
      <c r="Q4043" s="11"/>
      <c r="R4043" s="11"/>
      <c r="S4043" s="11"/>
      <c r="T4043" s="11"/>
    </row>
    <row r="4044" spans="8:20" x14ac:dyDescent="0.35">
      <c r="H4044" s="711"/>
      <c r="I4044" s="711"/>
      <c r="J4044" s="711"/>
      <c r="K4044" s="711"/>
      <c r="L4044" s="711"/>
      <c r="Q4044" s="11"/>
      <c r="R4044" s="11"/>
      <c r="S4044" s="11"/>
      <c r="T4044" s="11"/>
    </row>
    <row r="4045" spans="8:20" x14ac:dyDescent="0.35">
      <c r="H4045" s="711"/>
      <c r="I4045" s="711"/>
      <c r="J4045" s="711"/>
      <c r="K4045" s="711"/>
      <c r="L4045" s="711"/>
      <c r="Q4045" s="11"/>
      <c r="R4045" s="11"/>
      <c r="S4045" s="11"/>
      <c r="T4045" s="11"/>
    </row>
    <row r="4046" spans="8:20" x14ac:dyDescent="0.35">
      <c r="H4046" s="711"/>
      <c r="I4046" s="711"/>
      <c r="J4046" s="711"/>
      <c r="K4046" s="711"/>
      <c r="L4046" s="711"/>
      <c r="Q4046" s="11"/>
      <c r="R4046" s="11"/>
      <c r="S4046" s="11"/>
      <c r="T4046" s="11"/>
    </row>
    <row r="4047" spans="8:20" x14ac:dyDescent="0.35">
      <c r="H4047" s="711"/>
      <c r="I4047" s="711"/>
      <c r="J4047" s="711"/>
      <c r="K4047" s="711"/>
      <c r="L4047" s="711"/>
      <c r="Q4047" s="11"/>
      <c r="R4047" s="11"/>
      <c r="S4047" s="11"/>
      <c r="T4047" s="11"/>
    </row>
    <row r="4048" spans="8:20" x14ac:dyDescent="0.35">
      <c r="H4048" s="711"/>
      <c r="I4048" s="711"/>
      <c r="J4048" s="711"/>
      <c r="K4048" s="711"/>
      <c r="L4048" s="711"/>
      <c r="Q4048" s="11"/>
      <c r="R4048" s="11"/>
      <c r="S4048" s="11"/>
      <c r="T4048" s="11"/>
    </row>
    <row r="4049" spans="8:20" x14ac:dyDescent="0.35">
      <c r="H4049" s="711"/>
      <c r="I4049" s="711"/>
      <c r="J4049" s="711"/>
      <c r="K4049" s="711"/>
      <c r="L4049" s="711"/>
      <c r="Q4049" s="11"/>
      <c r="R4049" s="11"/>
      <c r="S4049" s="11"/>
      <c r="T4049" s="11"/>
    </row>
    <row r="4050" spans="8:20" x14ac:dyDescent="0.35">
      <c r="H4050" s="711"/>
      <c r="I4050" s="711"/>
      <c r="J4050" s="711"/>
      <c r="K4050" s="711"/>
      <c r="L4050" s="711"/>
      <c r="Q4050" s="11"/>
      <c r="R4050" s="11"/>
      <c r="S4050" s="11"/>
      <c r="T4050" s="11"/>
    </row>
    <row r="4051" spans="8:20" x14ac:dyDescent="0.35">
      <c r="H4051" s="711"/>
      <c r="I4051" s="711"/>
      <c r="J4051" s="711"/>
      <c r="K4051" s="711"/>
      <c r="L4051" s="711"/>
      <c r="Q4051" s="11"/>
      <c r="R4051" s="11"/>
      <c r="S4051" s="11"/>
      <c r="T4051" s="11"/>
    </row>
    <row r="4052" spans="8:20" x14ac:dyDescent="0.35">
      <c r="H4052" s="711"/>
      <c r="I4052" s="711"/>
      <c r="J4052" s="711"/>
      <c r="K4052" s="711"/>
      <c r="L4052" s="711"/>
      <c r="Q4052" s="11"/>
      <c r="R4052" s="11"/>
      <c r="S4052" s="11"/>
      <c r="T4052" s="11"/>
    </row>
    <row r="4053" spans="8:20" x14ac:dyDescent="0.35">
      <c r="H4053" s="711"/>
      <c r="I4053" s="711"/>
      <c r="J4053" s="711"/>
      <c r="K4053" s="711"/>
      <c r="L4053" s="711"/>
      <c r="Q4053" s="11"/>
      <c r="R4053" s="11"/>
      <c r="S4053" s="11"/>
      <c r="T4053" s="11"/>
    </row>
    <row r="4054" spans="8:20" x14ac:dyDescent="0.35">
      <c r="H4054" s="711"/>
      <c r="I4054" s="711"/>
      <c r="J4054" s="711"/>
      <c r="K4054" s="711"/>
      <c r="L4054" s="711"/>
      <c r="Q4054" s="11"/>
      <c r="R4054" s="11"/>
      <c r="S4054" s="11"/>
      <c r="T4054" s="11"/>
    </row>
    <row r="4055" spans="8:20" x14ac:dyDescent="0.35">
      <c r="H4055" s="711"/>
      <c r="I4055" s="711"/>
      <c r="J4055" s="711"/>
      <c r="K4055" s="711"/>
      <c r="L4055" s="711"/>
      <c r="Q4055" s="11"/>
      <c r="R4055" s="11"/>
      <c r="S4055" s="11"/>
      <c r="T4055" s="11"/>
    </row>
    <row r="4056" spans="8:20" x14ac:dyDescent="0.35">
      <c r="H4056" s="711"/>
      <c r="I4056" s="711"/>
      <c r="J4056" s="711"/>
      <c r="K4056" s="711"/>
      <c r="L4056" s="711"/>
      <c r="Q4056" s="11"/>
      <c r="R4056" s="11"/>
      <c r="S4056" s="11"/>
      <c r="T4056" s="11"/>
    </row>
    <row r="4057" spans="8:20" x14ac:dyDescent="0.35">
      <c r="H4057" s="711"/>
      <c r="I4057" s="711"/>
      <c r="J4057" s="711"/>
      <c r="K4057" s="711"/>
      <c r="L4057" s="711"/>
      <c r="Q4057" s="11"/>
      <c r="R4057" s="11"/>
      <c r="S4057" s="11"/>
      <c r="T4057" s="11"/>
    </row>
    <row r="4058" spans="8:20" x14ac:dyDescent="0.35">
      <c r="H4058" s="711"/>
      <c r="I4058" s="711"/>
      <c r="J4058" s="711"/>
      <c r="K4058" s="711"/>
      <c r="L4058" s="711"/>
      <c r="Q4058" s="11"/>
      <c r="R4058" s="11"/>
      <c r="S4058" s="11"/>
      <c r="T4058" s="11"/>
    </row>
    <row r="4059" spans="8:20" x14ac:dyDescent="0.35">
      <c r="H4059" s="711"/>
      <c r="I4059" s="711"/>
      <c r="J4059" s="711"/>
      <c r="K4059" s="711"/>
      <c r="L4059" s="711"/>
      <c r="Q4059" s="11"/>
      <c r="R4059" s="11"/>
      <c r="S4059" s="11"/>
      <c r="T4059" s="11"/>
    </row>
    <row r="4060" spans="8:20" x14ac:dyDescent="0.35">
      <c r="H4060" s="711"/>
      <c r="I4060" s="711"/>
      <c r="J4060" s="711"/>
      <c r="K4060" s="711"/>
      <c r="L4060" s="711"/>
      <c r="Q4060" s="11"/>
      <c r="R4060" s="11"/>
      <c r="S4060" s="11"/>
      <c r="T4060" s="11"/>
    </row>
    <row r="4061" spans="8:20" x14ac:dyDescent="0.35">
      <c r="H4061" s="711"/>
      <c r="I4061" s="711"/>
      <c r="J4061" s="711"/>
      <c r="K4061" s="711"/>
      <c r="L4061" s="711"/>
      <c r="Q4061" s="11"/>
      <c r="R4061" s="11"/>
      <c r="S4061" s="11"/>
      <c r="T4061" s="11"/>
    </row>
    <row r="4062" spans="8:20" x14ac:dyDescent="0.35">
      <c r="H4062" s="711"/>
      <c r="I4062" s="711"/>
      <c r="J4062" s="711"/>
      <c r="K4062" s="711"/>
      <c r="L4062" s="711"/>
      <c r="Q4062" s="11"/>
      <c r="R4062" s="11"/>
      <c r="S4062" s="11"/>
      <c r="T4062" s="11"/>
    </row>
    <row r="4063" spans="8:20" x14ac:dyDescent="0.35">
      <c r="H4063" s="711"/>
      <c r="I4063" s="711"/>
      <c r="J4063" s="711"/>
      <c r="K4063" s="711"/>
      <c r="L4063" s="711"/>
      <c r="Q4063" s="11"/>
      <c r="R4063" s="11"/>
      <c r="S4063" s="11"/>
      <c r="T4063" s="11"/>
    </row>
    <row r="4064" spans="8:20" x14ac:dyDescent="0.35">
      <c r="H4064" s="711"/>
      <c r="I4064" s="711"/>
      <c r="J4064" s="711"/>
      <c r="K4064" s="711"/>
      <c r="L4064" s="711"/>
      <c r="Q4064" s="11"/>
      <c r="R4064" s="11"/>
      <c r="S4064" s="11"/>
      <c r="T4064" s="11"/>
    </row>
    <row r="4065" spans="8:20" x14ac:dyDescent="0.35">
      <c r="H4065" s="711"/>
      <c r="I4065" s="711"/>
      <c r="J4065" s="711"/>
      <c r="K4065" s="711"/>
      <c r="L4065" s="711"/>
      <c r="Q4065" s="11"/>
      <c r="R4065" s="11"/>
      <c r="S4065" s="11"/>
      <c r="T4065" s="11"/>
    </row>
    <row r="4066" spans="8:20" x14ac:dyDescent="0.35">
      <c r="H4066" s="711"/>
      <c r="I4066" s="711"/>
      <c r="J4066" s="711"/>
      <c r="K4066" s="711"/>
      <c r="L4066" s="711"/>
      <c r="Q4066" s="11"/>
      <c r="R4066" s="11"/>
      <c r="S4066" s="11"/>
      <c r="T4066" s="11"/>
    </row>
    <row r="4067" spans="8:20" x14ac:dyDescent="0.35">
      <c r="H4067" s="711"/>
      <c r="I4067" s="711"/>
      <c r="J4067" s="711"/>
      <c r="K4067" s="711"/>
      <c r="L4067" s="711"/>
      <c r="Q4067" s="11"/>
      <c r="R4067" s="11"/>
      <c r="S4067" s="11"/>
      <c r="T4067" s="11"/>
    </row>
    <row r="4068" spans="8:20" x14ac:dyDescent="0.35">
      <c r="H4068" s="711"/>
      <c r="I4068" s="711"/>
      <c r="J4068" s="711"/>
      <c r="K4068" s="711"/>
      <c r="L4068" s="711"/>
      <c r="Q4068" s="11"/>
      <c r="R4068" s="11"/>
      <c r="S4068" s="11"/>
      <c r="T4068" s="11"/>
    </row>
    <row r="4069" spans="8:20" x14ac:dyDescent="0.35">
      <c r="H4069" s="711"/>
      <c r="I4069" s="711"/>
      <c r="J4069" s="711"/>
      <c r="K4069" s="711"/>
      <c r="L4069" s="711"/>
      <c r="Q4069" s="11"/>
      <c r="R4069" s="11"/>
      <c r="S4069" s="11"/>
      <c r="T4069" s="11"/>
    </row>
    <row r="4070" spans="8:20" x14ac:dyDescent="0.35">
      <c r="H4070" s="711"/>
      <c r="I4070" s="711"/>
      <c r="J4070" s="711"/>
      <c r="K4070" s="711"/>
      <c r="L4070" s="711"/>
      <c r="Q4070" s="11"/>
      <c r="R4070" s="11"/>
      <c r="S4070" s="11"/>
      <c r="T4070" s="11"/>
    </row>
    <row r="4071" spans="8:20" x14ac:dyDescent="0.35">
      <c r="H4071" s="711"/>
      <c r="I4071" s="711"/>
      <c r="J4071" s="711"/>
      <c r="K4071" s="711"/>
      <c r="L4071" s="711"/>
      <c r="Q4071" s="11"/>
      <c r="R4071" s="11"/>
      <c r="S4071" s="11"/>
      <c r="T4071" s="11"/>
    </row>
    <row r="4072" spans="8:20" x14ac:dyDescent="0.35">
      <c r="H4072" s="711"/>
      <c r="I4072" s="711"/>
      <c r="J4072" s="711"/>
      <c r="K4072" s="711"/>
      <c r="L4072" s="711"/>
      <c r="Q4072" s="11"/>
      <c r="R4072" s="11"/>
      <c r="S4072" s="11"/>
      <c r="T4072" s="11"/>
    </row>
    <row r="4073" spans="8:20" x14ac:dyDescent="0.35">
      <c r="H4073" s="711"/>
      <c r="I4073" s="711"/>
      <c r="J4073" s="711"/>
      <c r="K4073" s="711"/>
      <c r="L4073" s="711"/>
      <c r="Q4073" s="11"/>
      <c r="R4073" s="11"/>
      <c r="S4073" s="11"/>
      <c r="T4073" s="11"/>
    </row>
    <row r="4074" spans="8:20" x14ac:dyDescent="0.35">
      <c r="H4074" s="711"/>
      <c r="I4074" s="711"/>
      <c r="J4074" s="711"/>
      <c r="K4074" s="711"/>
      <c r="L4074" s="711"/>
      <c r="Q4074" s="11"/>
      <c r="R4074" s="11"/>
      <c r="S4074" s="11"/>
      <c r="T4074" s="11"/>
    </row>
    <row r="4075" spans="8:20" x14ac:dyDescent="0.35">
      <c r="H4075" s="711"/>
      <c r="I4075" s="711"/>
      <c r="J4075" s="711"/>
      <c r="K4075" s="711"/>
      <c r="L4075" s="711"/>
      <c r="Q4075" s="11"/>
      <c r="R4075" s="11"/>
      <c r="S4075" s="11"/>
      <c r="T4075" s="11"/>
    </row>
    <row r="4076" spans="8:20" x14ac:dyDescent="0.35">
      <c r="H4076" s="711"/>
      <c r="I4076" s="711"/>
      <c r="J4076" s="711"/>
      <c r="K4076" s="711"/>
      <c r="L4076" s="711"/>
      <c r="Q4076" s="11"/>
      <c r="R4076" s="11"/>
      <c r="S4076" s="11"/>
      <c r="T4076" s="11"/>
    </row>
    <row r="4077" spans="8:20" x14ac:dyDescent="0.35">
      <c r="H4077" s="711"/>
      <c r="I4077" s="711"/>
      <c r="J4077" s="711"/>
      <c r="K4077" s="711"/>
      <c r="L4077" s="711"/>
      <c r="Q4077" s="11"/>
      <c r="R4077" s="11"/>
      <c r="S4077" s="11"/>
      <c r="T4077" s="11"/>
    </row>
    <row r="4078" spans="8:20" x14ac:dyDescent="0.35">
      <c r="H4078" s="711"/>
      <c r="I4078" s="711"/>
      <c r="J4078" s="711"/>
      <c r="K4078" s="711"/>
      <c r="L4078" s="711"/>
      <c r="Q4078" s="11"/>
      <c r="R4078" s="11"/>
      <c r="S4078" s="11"/>
      <c r="T4078" s="11"/>
    </row>
    <row r="4079" spans="8:20" x14ac:dyDescent="0.35">
      <c r="H4079" s="711"/>
      <c r="I4079" s="711"/>
      <c r="J4079" s="711"/>
      <c r="K4079" s="711"/>
      <c r="L4079" s="711"/>
      <c r="Q4079" s="11"/>
      <c r="R4079" s="11"/>
      <c r="S4079" s="11"/>
      <c r="T4079" s="11"/>
    </row>
    <row r="4080" spans="8:20" x14ac:dyDescent="0.35">
      <c r="H4080" s="711"/>
      <c r="I4080" s="711"/>
      <c r="J4080" s="711"/>
      <c r="K4080" s="711"/>
      <c r="L4080" s="711"/>
      <c r="Q4080" s="11"/>
      <c r="R4080" s="11"/>
      <c r="S4080" s="11"/>
      <c r="T4080" s="11"/>
    </row>
    <row r="4081" spans="8:20" x14ac:dyDescent="0.35">
      <c r="H4081" s="711"/>
      <c r="I4081" s="711"/>
      <c r="J4081" s="711"/>
      <c r="K4081" s="711"/>
      <c r="L4081" s="711"/>
      <c r="Q4081" s="11"/>
      <c r="R4081" s="11"/>
      <c r="S4081" s="11"/>
      <c r="T4081" s="11"/>
    </row>
    <row r="4082" spans="8:20" x14ac:dyDescent="0.35">
      <c r="H4082" s="711"/>
      <c r="I4082" s="711"/>
      <c r="J4082" s="711"/>
      <c r="K4082" s="711"/>
      <c r="L4082" s="711"/>
      <c r="Q4082" s="11"/>
      <c r="R4082" s="11"/>
      <c r="S4082" s="11"/>
      <c r="T4082" s="11"/>
    </row>
    <row r="4083" spans="8:20" x14ac:dyDescent="0.35">
      <c r="H4083" s="711"/>
      <c r="I4083" s="711"/>
      <c r="J4083" s="711"/>
      <c r="K4083" s="711"/>
      <c r="L4083" s="711"/>
      <c r="Q4083" s="11"/>
      <c r="R4083" s="11"/>
      <c r="S4083" s="11"/>
      <c r="T4083" s="11"/>
    </row>
    <row r="4084" spans="8:20" x14ac:dyDescent="0.35">
      <c r="H4084" s="711"/>
      <c r="I4084" s="711"/>
      <c r="J4084" s="711"/>
      <c r="K4084" s="711"/>
      <c r="L4084" s="711"/>
      <c r="Q4084" s="11"/>
      <c r="R4084" s="11"/>
      <c r="S4084" s="11"/>
      <c r="T4084" s="11"/>
    </row>
    <row r="4085" spans="8:20" x14ac:dyDescent="0.35">
      <c r="H4085" s="711"/>
      <c r="I4085" s="711"/>
      <c r="J4085" s="711"/>
      <c r="K4085" s="711"/>
      <c r="L4085" s="711"/>
      <c r="Q4085" s="11"/>
      <c r="R4085" s="11"/>
      <c r="S4085" s="11"/>
      <c r="T4085" s="11"/>
    </row>
    <row r="4086" spans="8:20" x14ac:dyDescent="0.35">
      <c r="H4086" s="711"/>
      <c r="I4086" s="711"/>
      <c r="J4086" s="711"/>
      <c r="K4086" s="711"/>
      <c r="L4086" s="711"/>
      <c r="Q4086" s="11"/>
      <c r="R4086" s="11"/>
      <c r="S4086" s="11"/>
      <c r="T4086" s="11"/>
    </row>
    <row r="4087" spans="8:20" x14ac:dyDescent="0.35">
      <c r="H4087" s="711"/>
      <c r="I4087" s="711"/>
      <c r="J4087" s="711"/>
      <c r="K4087" s="711"/>
      <c r="L4087" s="711"/>
      <c r="Q4087" s="11"/>
      <c r="R4087" s="11"/>
      <c r="S4087" s="11"/>
      <c r="T4087" s="11"/>
    </row>
    <row r="4088" spans="8:20" x14ac:dyDescent="0.35">
      <c r="H4088" s="711"/>
      <c r="I4088" s="711"/>
      <c r="J4088" s="711"/>
      <c r="K4088" s="711"/>
      <c r="L4088" s="711"/>
      <c r="Q4088" s="11"/>
      <c r="R4088" s="11"/>
      <c r="S4088" s="11"/>
      <c r="T4088" s="11"/>
    </row>
    <row r="4089" spans="8:20" x14ac:dyDescent="0.35">
      <c r="H4089" s="711"/>
      <c r="I4089" s="711"/>
      <c r="J4089" s="711"/>
      <c r="K4089" s="711"/>
      <c r="L4089" s="711"/>
      <c r="Q4089" s="11"/>
      <c r="R4089" s="11"/>
      <c r="S4089" s="11"/>
      <c r="T4089" s="11"/>
    </row>
    <row r="4090" spans="8:20" x14ac:dyDescent="0.35">
      <c r="H4090" s="711"/>
      <c r="I4090" s="711"/>
      <c r="J4090" s="711"/>
      <c r="K4090" s="711"/>
      <c r="L4090" s="711"/>
      <c r="Q4090" s="11"/>
      <c r="R4090" s="11"/>
      <c r="S4090" s="11"/>
      <c r="T4090" s="11"/>
    </row>
    <row r="4091" spans="8:20" x14ac:dyDescent="0.35">
      <c r="H4091" s="711"/>
      <c r="I4091" s="711"/>
      <c r="J4091" s="711"/>
      <c r="K4091" s="711"/>
      <c r="L4091" s="711"/>
      <c r="Q4091" s="11"/>
      <c r="R4091" s="11"/>
      <c r="S4091" s="11"/>
      <c r="T4091" s="11"/>
    </row>
    <row r="4092" spans="8:20" x14ac:dyDescent="0.35">
      <c r="H4092" s="711"/>
      <c r="I4092" s="711"/>
      <c r="J4092" s="711"/>
      <c r="K4092" s="711"/>
      <c r="L4092" s="711"/>
      <c r="Q4092" s="11"/>
      <c r="R4092" s="11"/>
      <c r="S4092" s="11"/>
      <c r="T4092" s="11"/>
    </row>
    <row r="4093" spans="8:20" x14ac:dyDescent="0.35">
      <c r="H4093" s="711"/>
      <c r="I4093" s="711"/>
      <c r="J4093" s="711"/>
      <c r="K4093" s="711"/>
      <c r="L4093" s="711"/>
      <c r="Q4093" s="11"/>
      <c r="R4093" s="11"/>
      <c r="S4093" s="11"/>
      <c r="T4093" s="11"/>
    </row>
    <row r="4094" spans="8:20" x14ac:dyDescent="0.35">
      <c r="H4094" s="711"/>
      <c r="I4094" s="711"/>
      <c r="J4094" s="711"/>
      <c r="K4094" s="711"/>
      <c r="L4094" s="711"/>
      <c r="Q4094" s="11"/>
      <c r="R4094" s="11"/>
      <c r="S4094" s="11"/>
      <c r="T4094" s="11"/>
    </row>
    <row r="4095" spans="8:20" x14ac:dyDescent="0.35">
      <c r="H4095" s="711"/>
      <c r="I4095" s="711"/>
      <c r="J4095" s="711"/>
      <c r="K4095" s="711"/>
      <c r="L4095" s="711"/>
      <c r="Q4095" s="11"/>
      <c r="R4095" s="11"/>
      <c r="S4095" s="11"/>
      <c r="T4095" s="11"/>
    </row>
    <row r="4096" spans="8:20" x14ac:dyDescent="0.35">
      <c r="H4096" s="711"/>
      <c r="I4096" s="711"/>
      <c r="J4096" s="711"/>
      <c r="K4096" s="711"/>
      <c r="L4096" s="711"/>
      <c r="Q4096" s="11"/>
      <c r="R4096" s="11"/>
      <c r="S4096" s="11"/>
      <c r="T4096" s="11"/>
    </row>
    <row r="4097" spans="8:20" x14ac:dyDescent="0.35">
      <c r="H4097" s="711"/>
      <c r="I4097" s="711"/>
      <c r="J4097" s="711"/>
      <c r="K4097" s="711"/>
      <c r="L4097" s="711"/>
      <c r="Q4097" s="11"/>
      <c r="R4097" s="11"/>
      <c r="S4097" s="11"/>
      <c r="T4097" s="11"/>
    </row>
    <row r="4098" spans="8:20" x14ac:dyDescent="0.35">
      <c r="H4098" s="711"/>
      <c r="I4098" s="711"/>
      <c r="J4098" s="711"/>
      <c r="K4098" s="711"/>
      <c r="L4098" s="711"/>
      <c r="Q4098" s="11"/>
      <c r="R4098" s="11"/>
      <c r="S4098" s="11"/>
      <c r="T4098" s="11"/>
    </row>
    <row r="4099" spans="8:20" x14ac:dyDescent="0.35">
      <c r="H4099" s="711"/>
      <c r="I4099" s="711"/>
      <c r="J4099" s="711"/>
      <c r="K4099" s="711"/>
      <c r="L4099" s="711"/>
      <c r="Q4099" s="11"/>
      <c r="R4099" s="11"/>
      <c r="S4099" s="11"/>
      <c r="T4099" s="11"/>
    </row>
    <row r="4100" spans="8:20" x14ac:dyDescent="0.35">
      <c r="H4100" s="711"/>
      <c r="I4100" s="711"/>
      <c r="J4100" s="711"/>
      <c r="K4100" s="711"/>
      <c r="L4100" s="711"/>
      <c r="Q4100" s="11"/>
      <c r="R4100" s="11"/>
      <c r="S4100" s="11"/>
      <c r="T4100" s="11"/>
    </row>
    <row r="4101" spans="8:20" x14ac:dyDescent="0.35">
      <c r="H4101" s="711"/>
      <c r="I4101" s="711"/>
      <c r="J4101" s="711"/>
      <c r="K4101" s="711"/>
      <c r="L4101" s="711"/>
      <c r="Q4101" s="11"/>
      <c r="R4101" s="11"/>
      <c r="S4101" s="11"/>
      <c r="T4101" s="11"/>
    </row>
    <row r="4102" spans="8:20" x14ac:dyDescent="0.35">
      <c r="H4102" s="711"/>
      <c r="I4102" s="711"/>
      <c r="J4102" s="711"/>
      <c r="K4102" s="711"/>
      <c r="L4102" s="711"/>
      <c r="Q4102" s="11"/>
      <c r="R4102" s="11"/>
      <c r="S4102" s="11"/>
      <c r="T4102" s="11"/>
    </row>
    <row r="4103" spans="8:20" x14ac:dyDescent="0.35">
      <c r="H4103" s="711"/>
      <c r="I4103" s="711"/>
      <c r="J4103" s="711"/>
      <c r="K4103" s="711"/>
      <c r="L4103" s="711"/>
      <c r="Q4103" s="11"/>
      <c r="R4103" s="11"/>
      <c r="S4103" s="11"/>
      <c r="T4103" s="11"/>
    </row>
    <row r="4104" spans="8:20" x14ac:dyDescent="0.35">
      <c r="H4104" s="711"/>
      <c r="I4104" s="711"/>
      <c r="J4104" s="711"/>
      <c r="K4104" s="711"/>
      <c r="L4104" s="711"/>
      <c r="Q4104" s="11"/>
      <c r="R4104" s="11"/>
      <c r="S4104" s="11"/>
      <c r="T4104" s="11"/>
    </row>
    <row r="4105" spans="8:20" x14ac:dyDescent="0.35">
      <c r="H4105" s="711"/>
      <c r="I4105" s="711"/>
      <c r="J4105" s="711"/>
      <c r="K4105" s="711"/>
      <c r="L4105" s="711"/>
      <c r="Q4105" s="11"/>
      <c r="R4105" s="11"/>
      <c r="S4105" s="11"/>
      <c r="T4105" s="11"/>
    </row>
    <row r="4106" spans="8:20" x14ac:dyDescent="0.35">
      <c r="H4106" s="711"/>
      <c r="I4106" s="711"/>
      <c r="J4106" s="711"/>
      <c r="K4106" s="711"/>
      <c r="L4106" s="711"/>
      <c r="Q4106" s="11"/>
      <c r="R4106" s="11"/>
      <c r="S4106" s="11"/>
      <c r="T4106" s="11"/>
    </row>
    <row r="4107" spans="8:20" x14ac:dyDescent="0.35">
      <c r="H4107" s="711"/>
      <c r="I4107" s="711"/>
      <c r="J4107" s="711"/>
      <c r="K4107" s="711"/>
      <c r="L4107" s="711"/>
      <c r="Q4107" s="11"/>
      <c r="R4107" s="11"/>
      <c r="S4107" s="11"/>
      <c r="T4107" s="11"/>
    </row>
    <row r="4108" spans="8:20" x14ac:dyDescent="0.35">
      <c r="H4108" s="711"/>
      <c r="I4108" s="711"/>
      <c r="J4108" s="711"/>
      <c r="K4108" s="711"/>
      <c r="L4108" s="711"/>
      <c r="Q4108" s="11"/>
      <c r="R4108" s="11"/>
      <c r="S4108" s="11"/>
      <c r="T4108" s="11"/>
    </row>
    <row r="4109" spans="8:20" x14ac:dyDescent="0.35">
      <c r="H4109" s="711"/>
      <c r="I4109" s="711"/>
      <c r="J4109" s="711"/>
      <c r="K4109" s="711"/>
      <c r="L4109" s="711"/>
      <c r="Q4109" s="11"/>
      <c r="R4109" s="11"/>
      <c r="S4109" s="11"/>
      <c r="T4109" s="11"/>
    </row>
    <row r="4110" spans="8:20" x14ac:dyDescent="0.35">
      <c r="H4110" s="711"/>
      <c r="I4110" s="711"/>
      <c r="J4110" s="711"/>
      <c r="K4110" s="711"/>
      <c r="L4110" s="711"/>
      <c r="Q4110" s="11"/>
      <c r="R4110" s="11"/>
      <c r="S4110" s="11"/>
      <c r="T4110" s="11"/>
    </row>
    <row r="4111" spans="8:20" x14ac:dyDescent="0.35">
      <c r="H4111" s="711"/>
      <c r="I4111" s="711"/>
      <c r="J4111" s="711"/>
      <c r="K4111" s="711"/>
      <c r="L4111" s="711"/>
      <c r="Q4111" s="11"/>
      <c r="R4111" s="11"/>
      <c r="S4111" s="11"/>
      <c r="T4111" s="11"/>
    </row>
    <row r="4112" spans="8:20" x14ac:dyDescent="0.35">
      <c r="H4112" s="711"/>
      <c r="I4112" s="711"/>
      <c r="J4112" s="711"/>
      <c r="K4112" s="711"/>
      <c r="L4112" s="711"/>
      <c r="Q4112" s="11"/>
      <c r="R4112" s="11"/>
      <c r="S4112" s="11"/>
      <c r="T4112" s="11"/>
    </row>
    <row r="4113" spans="8:20" x14ac:dyDescent="0.35">
      <c r="H4113" s="711"/>
      <c r="I4113" s="711"/>
      <c r="J4113" s="711"/>
      <c r="K4113" s="711"/>
      <c r="L4113" s="711"/>
      <c r="Q4113" s="11"/>
      <c r="R4113" s="11"/>
      <c r="S4113" s="11"/>
      <c r="T4113" s="11"/>
    </row>
    <row r="4114" spans="8:20" x14ac:dyDescent="0.35">
      <c r="H4114" s="711"/>
      <c r="I4114" s="711"/>
      <c r="J4114" s="711"/>
      <c r="K4114" s="711"/>
      <c r="L4114" s="711"/>
      <c r="Q4114" s="11"/>
      <c r="R4114" s="11"/>
      <c r="S4114" s="11"/>
      <c r="T4114" s="11"/>
    </row>
    <row r="4115" spans="8:20" x14ac:dyDescent="0.35">
      <c r="H4115" s="711"/>
      <c r="I4115" s="711"/>
      <c r="J4115" s="711"/>
      <c r="K4115" s="711"/>
      <c r="L4115" s="711"/>
      <c r="Q4115" s="11"/>
      <c r="R4115" s="11"/>
      <c r="S4115" s="11"/>
      <c r="T4115" s="11"/>
    </row>
    <row r="4116" spans="8:20" x14ac:dyDescent="0.35">
      <c r="H4116" s="711"/>
      <c r="I4116" s="711"/>
      <c r="J4116" s="711"/>
      <c r="K4116" s="711"/>
      <c r="L4116" s="711"/>
      <c r="Q4116" s="11"/>
      <c r="R4116" s="11"/>
      <c r="S4116" s="11"/>
      <c r="T4116" s="11"/>
    </row>
    <row r="4117" spans="8:20" x14ac:dyDescent="0.35">
      <c r="H4117" s="711"/>
      <c r="I4117" s="711"/>
      <c r="J4117" s="711"/>
      <c r="K4117" s="711"/>
      <c r="L4117" s="711"/>
      <c r="Q4117" s="11"/>
      <c r="R4117" s="11"/>
      <c r="S4117" s="11"/>
      <c r="T4117" s="11"/>
    </row>
    <row r="4118" spans="8:20" x14ac:dyDescent="0.35">
      <c r="H4118" s="711"/>
      <c r="I4118" s="711"/>
      <c r="J4118" s="711"/>
      <c r="K4118" s="711"/>
      <c r="L4118" s="711"/>
      <c r="Q4118" s="11"/>
      <c r="R4118" s="11"/>
      <c r="S4118" s="11"/>
      <c r="T4118" s="11"/>
    </row>
    <row r="4119" spans="8:20" x14ac:dyDescent="0.35">
      <c r="H4119" s="711"/>
      <c r="I4119" s="711"/>
      <c r="J4119" s="711"/>
      <c r="K4119" s="711"/>
      <c r="L4119" s="711"/>
      <c r="Q4119" s="11"/>
      <c r="R4119" s="11"/>
      <c r="S4119" s="11"/>
      <c r="T4119" s="11"/>
    </row>
    <row r="4120" spans="8:20" x14ac:dyDescent="0.35">
      <c r="H4120" s="711"/>
      <c r="I4120" s="711"/>
      <c r="J4120" s="711"/>
      <c r="K4120" s="711"/>
      <c r="L4120" s="711"/>
      <c r="Q4120" s="11"/>
      <c r="R4120" s="11"/>
      <c r="S4120" s="11"/>
      <c r="T4120" s="11"/>
    </row>
    <row r="4121" spans="8:20" x14ac:dyDescent="0.35">
      <c r="H4121" s="711"/>
      <c r="I4121" s="711"/>
      <c r="J4121" s="711"/>
      <c r="K4121" s="711"/>
      <c r="L4121" s="711"/>
      <c r="Q4121" s="11"/>
      <c r="R4121" s="11"/>
      <c r="S4121" s="11"/>
      <c r="T4121" s="11"/>
    </row>
    <row r="4122" spans="8:20" x14ac:dyDescent="0.35">
      <c r="H4122" s="711"/>
      <c r="I4122" s="711"/>
      <c r="J4122" s="711"/>
      <c r="K4122" s="711"/>
      <c r="L4122" s="711"/>
      <c r="Q4122" s="11"/>
      <c r="R4122" s="11"/>
      <c r="S4122" s="11"/>
      <c r="T4122" s="11"/>
    </row>
    <row r="4123" spans="8:20" x14ac:dyDescent="0.35">
      <c r="H4123" s="711"/>
      <c r="I4123" s="711"/>
      <c r="J4123" s="711"/>
      <c r="K4123" s="711"/>
      <c r="L4123" s="711"/>
      <c r="Q4123" s="11"/>
      <c r="R4123" s="11"/>
      <c r="S4123" s="11"/>
      <c r="T4123" s="11"/>
    </row>
    <row r="4124" spans="8:20" x14ac:dyDescent="0.35">
      <c r="H4124" s="711"/>
      <c r="I4124" s="711"/>
      <c r="J4124" s="711"/>
      <c r="K4124" s="711"/>
      <c r="L4124" s="711"/>
      <c r="Q4124" s="11"/>
      <c r="R4124" s="11"/>
      <c r="S4124" s="11"/>
      <c r="T4124" s="11"/>
    </row>
    <row r="4125" spans="8:20" x14ac:dyDescent="0.35">
      <c r="H4125" s="711"/>
      <c r="I4125" s="711"/>
      <c r="J4125" s="711"/>
      <c r="K4125" s="711"/>
      <c r="L4125" s="711"/>
      <c r="Q4125" s="11"/>
      <c r="R4125" s="11"/>
      <c r="S4125" s="11"/>
      <c r="T4125" s="11"/>
    </row>
    <row r="4126" spans="8:20" x14ac:dyDescent="0.35">
      <c r="H4126" s="711"/>
      <c r="I4126" s="711"/>
      <c r="J4126" s="711"/>
      <c r="K4126" s="711"/>
      <c r="L4126" s="711"/>
      <c r="Q4126" s="11"/>
      <c r="R4126" s="11"/>
      <c r="S4126" s="11"/>
      <c r="T4126" s="11"/>
    </row>
    <row r="4127" spans="8:20" x14ac:dyDescent="0.35">
      <c r="H4127" s="711"/>
      <c r="I4127" s="711"/>
      <c r="J4127" s="711"/>
      <c r="K4127" s="711"/>
      <c r="L4127" s="711"/>
      <c r="Q4127" s="11"/>
      <c r="R4127" s="11"/>
      <c r="S4127" s="11"/>
      <c r="T4127" s="11"/>
    </row>
    <row r="4128" spans="8:20" x14ac:dyDescent="0.35">
      <c r="H4128" s="711"/>
      <c r="I4128" s="711"/>
      <c r="J4128" s="711"/>
      <c r="K4128" s="711"/>
      <c r="L4128" s="711"/>
      <c r="Q4128" s="11"/>
      <c r="R4128" s="11"/>
      <c r="S4128" s="11"/>
      <c r="T4128" s="11"/>
    </row>
    <row r="4129" spans="8:20" x14ac:dyDescent="0.35">
      <c r="H4129" s="711"/>
      <c r="I4129" s="711"/>
      <c r="J4129" s="711"/>
      <c r="K4129" s="711"/>
      <c r="L4129" s="711"/>
      <c r="Q4129" s="11"/>
      <c r="R4129" s="11"/>
      <c r="S4129" s="11"/>
      <c r="T4129" s="11"/>
    </row>
    <row r="4130" spans="8:20" x14ac:dyDescent="0.35">
      <c r="H4130" s="711"/>
      <c r="I4130" s="711"/>
      <c r="J4130" s="711"/>
      <c r="K4130" s="711"/>
      <c r="L4130" s="711"/>
      <c r="Q4130" s="11"/>
      <c r="R4130" s="11"/>
      <c r="S4130" s="11"/>
      <c r="T4130" s="11"/>
    </row>
    <row r="4131" spans="8:20" x14ac:dyDescent="0.35">
      <c r="H4131" s="711"/>
      <c r="I4131" s="711"/>
      <c r="J4131" s="711"/>
      <c r="K4131" s="711"/>
      <c r="L4131" s="711"/>
      <c r="Q4131" s="11"/>
      <c r="R4131" s="11"/>
      <c r="S4131" s="11"/>
      <c r="T4131" s="11"/>
    </row>
    <row r="4132" spans="8:20" x14ac:dyDescent="0.35">
      <c r="H4132" s="711"/>
      <c r="I4132" s="711"/>
      <c r="J4132" s="711"/>
      <c r="K4132" s="711"/>
      <c r="L4132" s="711"/>
      <c r="Q4132" s="11"/>
      <c r="R4132" s="11"/>
      <c r="S4132" s="11"/>
      <c r="T4132" s="11"/>
    </row>
    <row r="4133" spans="8:20" x14ac:dyDescent="0.35">
      <c r="H4133" s="711"/>
      <c r="I4133" s="711"/>
      <c r="J4133" s="711"/>
      <c r="K4133" s="711"/>
      <c r="L4133" s="711"/>
      <c r="Q4133" s="11"/>
      <c r="R4133" s="11"/>
      <c r="S4133" s="11"/>
      <c r="T4133" s="11"/>
    </row>
    <row r="4134" spans="8:20" x14ac:dyDescent="0.35">
      <c r="H4134" s="711"/>
      <c r="I4134" s="711"/>
      <c r="J4134" s="711"/>
      <c r="K4134" s="711"/>
      <c r="L4134" s="711"/>
      <c r="Q4134" s="11"/>
      <c r="R4134" s="11"/>
      <c r="S4134" s="11"/>
      <c r="T4134" s="11"/>
    </row>
    <row r="4135" spans="8:20" x14ac:dyDescent="0.35">
      <c r="H4135" s="711"/>
      <c r="I4135" s="711"/>
      <c r="J4135" s="711"/>
      <c r="K4135" s="711"/>
      <c r="L4135" s="711"/>
      <c r="Q4135" s="11"/>
      <c r="R4135" s="11"/>
      <c r="S4135" s="11"/>
      <c r="T4135" s="11"/>
    </row>
    <row r="4136" spans="8:20" x14ac:dyDescent="0.35">
      <c r="H4136" s="711"/>
      <c r="I4136" s="711"/>
      <c r="J4136" s="711"/>
      <c r="K4136" s="711"/>
      <c r="L4136" s="711"/>
      <c r="Q4136" s="11"/>
      <c r="R4136" s="11"/>
      <c r="S4136" s="11"/>
      <c r="T4136" s="11"/>
    </row>
    <row r="4137" spans="8:20" x14ac:dyDescent="0.35">
      <c r="H4137" s="711"/>
      <c r="I4137" s="711"/>
      <c r="J4137" s="711"/>
      <c r="K4137" s="711"/>
      <c r="L4137" s="711"/>
      <c r="Q4137" s="11"/>
      <c r="R4137" s="11"/>
      <c r="S4137" s="11"/>
      <c r="T4137" s="11"/>
    </row>
    <row r="4138" spans="8:20" x14ac:dyDescent="0.35">
      <c r="H4138" s="711"/>
      <c r="I4138" s="711"/>
      <c r="J4138" s="711"/>
      <c r="K4138" s="711"/>
      <c r="L4138" s="711"/>
      <c r="Q4138" s="11"/>
      <c r="R4138" s="11"/>
      <c r="S4138" s="11"/>
      <c r="T4138" s="11"/>
    </row>
    <row r="4139" spans="8:20" x14ac:dyDescent="0.35">
      <c r="H4139" s="711"/>
      <c r="I4139" s="711"/>
      <c r="J4139" s="711"/>
      <c r="K4139" s="711"/>
      <c r="L4139" s="711"/>
      <c r="Q4139" s="11"/>
      <c r="R4139" s="11"/>
      <c r="S4139" s="11"/>
      <c r="T4139" s="11"/>
    </row>
    <row r="4140" spans="8:20" x14ac:dyDescent="0.35">
      <c r="H4140" s="711"/>
      <c r="I4140" s="711"/>
      <c r="J4140" s="711"/>
      <c r="K4140" s="711"/>
      <c r="L4140" s="711"/>
      <c r="Q4140" s="11"/>
      <c r="R4140" s="11"/>
      <c r="S4140" s="11"/>
      <c r="T4140" s="11"/>
    </row>
    <row r="4141" spans="8:20" x14ac:dyDescent="0.35">
      <c r="H4141" s="711"/>
      <c r="I4141" s="711"/>
      <c r="J4141" s="711"/>
      <c r="K4141" s="711"/>
      <c r="L4141" s="711"/>
      <c r="Q4141" s="11"/>
      <c r="R4141" s="11"/>
      <c r="S4141" s="11"/>
      <c r="T4141" s="11"/>
    </row>
    <row r="4142" spans="8:20" x14ac:dyDescent="0.35">
      <c r="H4142" s="711"/>
      <c r="I4142" s="711"/>
      <c r="J4142" s="711"/>
      <c r="K4142" s="711"/>
      <c r="L4142" s="711"/>
      <c r="Q4142" s="11"/>
      <c r="R4142" s="11"/>
      <c r="S4142" s="11"/>
      <c r="T4142" s="11"/>
    </row>
    <row r="4143" spans="8:20" x14ac:dyDescent="0.35">
      <c r="H4143" s="711"/>
      <c r="I4143" s="711"/>
      <c r="J4143" s="711"/>
      <c r="K4143" s="711"/>
      <c r="L4143" s="711"/>
      <c r="Q4143" s="11"/>
      <c r="R4143" s="11"/>
      <c r="S4143" s="11"/>
      <c r="T4143" s="11"/>
    </row>
    <row r="4144" spans="8:20" x14ac:dyDescent="0.35">
      <c r="H4144" s="711"/>
      <c r="I4144" s="711"/>
      <c r="J4144" s="711"/>
      <c r="K4144" s="711"/>
      <c r="L4144" s="711"/>
      <c r="Q4144" s="11"/>
      <c r="R4144" s="11"/>
      <c r="S4144" s="11"/>
      <c r="T4144" s="11"/>
    </row>
    <row r="4145" spans="8:20" x14ac:dyDescent="0.35">
      <c r="H4145" s="711"/>
      <c r="I4145" s="711"/>
      <c r="J4145" s="711"/>
      <c r="K4145" s="711"/>
      <c r="L4145" s="711"/>
      <c r="Q4145" s="11"/>
      <c r="R4145" s="11"/>
      <c r="S4145" s="11"/>
      <c r="T4145" s="11"/>
    </row>
    <row r="4146" spans="8:20" x14ac:dyDescent="0.35">
      <c r="H4146" s="711"/>
      <c r="I4146" s="711"/>
      <c r="J4146" s="711"/>
      <c r="K4146" s="711"/>
      <c r="L4146" s="711"/>
      <c r="Q4146" s="11"/>
      <c r="R4146" s="11"/>
      <c r="S4146" s="11"/>
      <c r="T4146" s="11"/>
    </row>
    <row r="4147" spans="8:20" x14ac:dyDescent="0.35">
      <c r="H4147" s="711"/>
      <c r="I4147" s="711"/>
      <c r="J4147" s="711"/>
      <c r="K4147" s="711"/>
      <c r="L4147" s="711"/>
      <c r="Q4147" s="11"/>
      <c r="R4147" s="11"/>
      <c r="S4147" s="11"/>
      <c r="T4147" s="11"/>
    </row>
    <row r="4148" spans="8:20" x14ac:dyDescent="0.35">
      <c r="H4148" s="711"/>
      <c r="I4148" s="711"/>
      <c r="J4148" s="711"/>
      <c r="K4148" s="711"/>
      <c r="L4148" s="711"/>
      <c r="Q4148" s="11"/>
      <c r="R4148" s="11"/>
      <c r="S4148" s="11"/>
      <c r="T4148" s="11"/>
    </row>
    <row r="4149" spans="8:20" x14ac:dyDescent="0.35">
      <c r="H4149" s="711"/>
      <c r="I4149" s="711"/>
      <c r="J4149" s="711"/>
      <c r="K4149" s="711"/>
      <c r="L4149" s="711"/>
      <c r="Q4149" s="11"/>
      <c r="R4149" s="11"/>
      <c r="S4149" s="11"/>
      <c r="T4149" s="11"/>
    </row>
    <row r="4150" spans="8:20" x14ac:dyDescent="0.35">
      <c r="H4150" s="711"/>
      <c r="I4150" s="711"/>
      <c r="J4150" s="711"/>
      <c r="K4150" s="711"/>
      <c r="L4150" s="711"/>
      <c r="Q4150" s="11"/>
      <c r="R4150" s="11"/>
      <c r="S4150" s="11"/>
      <c r="T4150" s="11"/>
    </row>
    <row r="4151" spans="8:20" x14ac:dyDescent="0.35">
      <c r="H4151" s="711"/>
      <c r="I4151" s="711"/>
      <c r="J4151" s="711"/>
      <c r="K4151" s="711"/>
      <c r="L4151" s="711"/>
      <c r="Q4151" s="11"/>
      <c r="R4151" s="11"/>
      <c r="S4151" s="11"/>
      <c r="T4151" s="11"/>
    </row>
    <row r="4152" spans="8:20" x14ac:dyDescent="0.35">
      <c r="H4152" s="711"/>
      <c r="I4152" s="711"/>
      <c r="J4152" s="711"/>
      <c r="K4152" s="711"/>
      <c r="L4152" s="711"/>
      <c r="Q4152" s="11"/>
      <c r="R4152" s="11"/>
      <c r="S4152" s="11"/>
      <c r="T4152" s="11"/>
    </row>
    <row r="4153" spans="8:20" x14ac:dyDescent="0.35">
      <c r="H4153" s="711"/>
      <c r="I4153" s="711"/>
      <c r="J4153" s="711"/>
      <c r="K4153" s="711"/>
      <c r="L4153" s="711"/>
      <c r="Q4153" s="11"/>
      <c r="R4153" s="11"/>
      <c r="S4153" s="11"/>
      <c r="T4153" s="11"/>
    </row>
    <row r="4154" spans="8:20" x14ac:dyDescent="0.35">
      <c r="H4154" s="711"/>
      <c r="I4154" s="711"/>
      <c r="J4154" s="711"/>
      <c r="K4154" s="711"/>
      <c r="L4154" s="711"/>
      <c r="Q4154" s="11"/>
      <c r="R4154" s="11"/>
      <c r="S4154" s="11"/>
      <c r="T4154" s="11"/>
    </row>
    <row r="4155" spans="8:20" x14ac:dyDescent="0.35">
      <c r="H4155" s="711"/>
      <c r="I4155" s="711"/>
      <c r="J4155" s="711"/>
      <c r="K4155" s="711"/>
      <c r="L4155" s="711"/>
      <c r="Q4155" s="11"/>
      <c r="R4155" s="11"/>
      <c r="S4155" s="11"/>
      <c r="T4155" s="11"/>
    </row>
    <row r="4156" spans="8:20" x14ac:dyDescent="0.35">
      <c r="H4156" s="711"/>
      <c r="I4156" s="711"/>
      <c r="J4156" s="711"/>
      <c r="K4156" s="711"/>
      <c r="L4156" s="711"/>
      <c r="Q4156" s="11"/>
      <c r="R4156" s="11"/>
      <c r="S4156" s="11"/>
      <c r="T4156" s="11"/>
    </row>
    <row r="4157" spans="8:20" x14ac:dyDescent="0.35">
      <c r="H4157" s="711"/>
      <c r="I4157" s="711"/>
      <c r="J4157" s="711"/>
      <c r="K4157" s="711"/>
      <c r="L4157" s="711"/>
      <c r="Q4157" s="11"/>
      <c r="R4157" s="11"/>
      <c r="S4157" s="11"/>
      <c r="T4157" s="11"/>
    </row>
    <row r="4158" spans="8:20" x14ac:dyDescent="0.35">
      <c r="H4158" s="711"/>
      <c r="I4158" s="711"/>
      <c r="J4158" s="711"/>
      <c r="K4158" s="711"/>
      <c r="L4158" s="711"/>
      <c r="Q4158" s="11"/>
      <c r="R4158" s="11"/>
      <c r="S4158" s="11"/>
      <c r="T4158" s="11"/>
    </row>
    <row r="4159" spans="8:20" x14ac:dyDescent="0.35">
      <c r="H4159" s="711"/>
      <c r="I4159" s="711"/>
      <c r="J4159" s="711"/>
      <c r="K4159" s="711"/>
      <c r="L4159" s="711"/>
      <c r="Q4159" s="11"/>
      <c r="R4159" s="11"/>
      <c r="S4159" s="11"/>
      <c r="T4159" s="11"/>
    </row>
    <row r="4160" spans="8:20" x14ac:dyDescent="0.35">
      <c r="H4160" s="711"/>
      <c r="I4160" s="711"/>
      <c r="J4160" s="711"/>
      <c r="K4160" s="711"/>
      <c r="L4160" s="711"/>
      <c r="Q4160" s="11"/>
      <c r="R4160" s="11"/>
      <c r="S4160" s="11"/>
      <c r="T4160" s="11"/>
    </row>
    <row r="4161" spans="8:20" x14ac:dyDescent="0.35">
      <c r="H4161" s="711"/>
      <c r="I4161" s="711"/>
      <c r="J4161" s="711"/>
      <c r="K4161" s="711"/>
      <c r="L4161" s="711"/>
      <c r="Q4161" s="11"/>
      <c r="R4161" s="11"/>
      <c r="S4161" s="11"/>
      <c r="T4161" s="11"/>
    </row>
    <row r="4162" spans="8:20" x14ac:dyDescent="0.35">
      <c r="H4162" s="711"/>
      <c r="I4162" s="711"/>
      <c r="J4162" s="711"/>
      <c r="K4162" s="711"/>
      <c r="L4162" s="711"/>
      <c r="Q4162" s="11"/>
      <c r="R4162" s="11"/>
      <c r="S4162" s="11"/>
      <c r="T4162" s="11"/>
    </row>
    <row r="4163" spans="8:20" x14ac:dyDescent="0.35">
      <c r="H4163" s="711"/>
      <c r="I4163" s="711"/>
      <c r="J4163" s="711"/>
      <c r="K4163" s="711"/>
      <c r="L4163" s="711"/>
      <c r="Q4163" s="11"/>
      <c r="R4163" s="11"/>
      <c r="S4163" s="11"/>
      <c r="T4163" s="11"/>
    </row>
    <row r="4164" spans="8:20" x14ac:dyDescent="0.35">
      <c r="H4164" s="711"/>
      <c r="I4164" s="711"/>
      <c r="J4164" s="711"/>
      <c r="K4164" s="711"/>
      <c r="L4164" s="711"/>
      <c r="Q4164" s="11"/>
      <c r="R4164" s="11"/>
      <c r="S4164" s="11"/>
      <c r="T4164" s="11"/>
    </row>
    <row r="4165" spans="8:20" x14ac:dyDescent="0.35">
      <c r="H4165" s="711"/>
      <c r="I4165" s="711"/>
      <c r="J4165" s="711"/>
      <c r="K4165" s="711"/>
      <c r="L4165" s="711"/>
      <c r="Q4165" s="11"/>
      <c r="R4165" s="11"/>
      <c r="S4165" s="11"/>
      <c r="T4165" s="11"/>
    </row>
    <row r="4166" spans="8:20" x14ac:dyDescent="0.35">
      <c r="H4166" s="711"/>
      <c r="I4166" s="711"/>
      <c r="J4166" s="711"/>
      <c r="K4166" s="711"/>
      <c r="L4166" s="711"/>
      <c r="Q4166" s="11"/>
      <c r="R4166" s="11"/>
      <c r="S4166" s="11"/>
      <c r="T4166" s="11"/>
    </row>
    <row r="4167" spans="8:20" x14ac:dyDescent="0.35">
      <c r="H4167" s="711"/>
      <c r="I4167" s="711"/>
      <c r="J4167" s="711"/>
      <c r="K4167" s="711"/>
      <c r="L4167" s="711"/>
      <c r="Q4167" s="11"/>
      <c r="R4167" s="11"/>
      <c r="S4167" s="11"/>
      <c r="T4167" s="11"/>
    </row>
    <row r="4168" spans="8:20" x14ac:dyDescent="0.35">
      <c r="H4168" s="711"/>
      <c r="I4168" s="711"/>
      <c r="J4168" s="711"/>
      <c r="K4168" s="711"/>
      <c r="L4168" s="711"/>
      <c r="Q4168" s="11"/>
      <c r="R4168" s="11"/>
      <c r="S4168" s="11"/>
      <c r="T4168" s="11"/>
    </row>
    <row r="4169" spans="8:20" x14ac:dyDescent="0.35">
      <c r="H4169" s="711"/>
      <c r="I4169" s="711"/>
      <c r="J4169" s="711"/>
      <c r="K4169" s="711"/>
      <c r="L4169" s="711"/>
      <c r="Q4169" s="11"/>
      <c r="R4169" s="11"/>
      <c r="S4169" s="11"/>
      <c r="T4169" s="11"/>
    </row>
    <row r="4170" spans="8:20" x14ac:dyDescent="0.35">
      <c r="H4170" s="711"/>
      <c r="I4170" s="711"/>
      <c r="J4170" s="711"/>
      <c r="K4170" s="711"/>
      <c r="L4170" s="711"/>
      <c r="Q4170" s="11"/>
      <c r="R4170" s="11"/>
      <c r="S4170" s="11"/>
      <c r="T4170" s="11"/>
    </row>
    <row r="4171" spans="8:20" x14ac:dyDescent="0.35">
      <c r="H4171" s="711"/>
      <c r="I4171" s="711"/>
      <c r="J4171" s="711"/>
      <c r="K4171" s="711"/>
      <c r="L4171" s="711"/>
      <c r="Q4171" s="11"/>
      <c r="R4171" s="11"/>
      <c r="S4171" s="11"/>
      <c r="T4171" s="11"/>
    </row>
    <row r="4172" spans="8:20" x14ac:dyDescent="0.35">
      <c r="H4172" s="711"/>
      <c r="I4172" s="711"/>
      <c r="J4172" s="711"/>
      <c r="K4172" s="711"/>
      <c r="L4172" s="711"/>
      <c r="Q4172" s="11"/>
      <c r="R4172" s="11"/>
      <c r="S4172" s="11"/>
      <c r="T4172" s="11"/>
    </row>
    <row r="4173" spans="8:20" x14ac:dyDescent="0.35">
      <c r="H4173" s="711"/>
      <c r="I4173" s="711"/>
      <c r="J4173" s="711"/>
      <c r="K4173" s="711"/>
      <c r="L4173" s="711"/>
      <c r="Q4173" s="11"/>
      <c r="R4173" s="11"/>
      <c r="S4173" s="11"/>
      <c r="T4173" s="11"/>
    </row>
    <row r="4174" spans="8:20" x14ac:dyDescent="0.35">
      <c r="H4174" s="711"/>
      <c r="I4174" s="711"/>
      <c r="J4174" s="711"/>
      <c r="K4174" s="711"/>
      <c r="L4174" s="711"/>
      <c r="Q4174" s="11"/>
      <c r="R4174" s="11"/>
      <c r="S4174" s="11"/>
      <c r="T4174" s="11"/>
    </row>
    <row r="4175" spans="8:20" x14ac:dyDescent="0.35">
      <c r="H4175" s="711"/>
      <c r="I4175" s="711"/>
      <c r="J4175" s="711"/>
      <c r="K4175" s="711"/>
      <c r="L4175" s="711"/>
      <c r="Q4175" s="11"/>
      <c r="R4175" s="11"/>
      <c r="S4175" s="11"/>
      <c r="T4175" s="11"/>
    </row>
    <row r="4176" spans="8:20" x14ac:dyDescent="0.35">
      <c r="H4176" s="711"/>
      <c r="I4176" s="711"/>
      <c r="J4176" s="711"/>
      <c r="K4176" s="711"/>
      <c r="L4176" s="711"/>
      <c r="Q4176" s="11"/>
      <c r="R4176" s="11"/>
      <c r="S4176" s="11"/>
      <c r="T4176" s="11"/>
    </row>
    <row r="4177" spans="8:20" x14ac:dyDescent="0.35">
      <c r="H4177" s="711"/>
      <c r="I4177" s="711"/>
      <c r="J4177" s="711"/>
      <c r="K4177" s="711"/>
      <c r="L4177" s="711"/>
      <c r="Q4177" s="11"/>
      <c r="R4177" s="11"/>
      <c r="S4177" s="11"/>
      <c r="T4177" s="11"/>
    </row>
    <row r="4178" spans="8:20" x14ac:dyDescent="0.35">
      <c r="H4178" s="711"/>
      <c r="I4178" s="711"/>
      <c r="J4178" s="711"/>
      <c r="K4178" s="711"/>
      <c r="L4178" s="711"/>
      <c r="Q4178" s="11"/>
      <c r="R4178" s="11"/>
      <c r="S4178" s="11"/>
      <c r="T4178" s="11"/>
    </row>
    <row r="4179" spans="8:20" x14ac:dyDescent="0.35">
      <c r="H4179" s="711"/>
      <c r="I4179" s="711"/>
      <c r="J4179" s="711"/>
      <c r="K4179" s="711"/>
      <c r="L4179" s="711"/>
      <c r="Q4179" s="11"/>
      <c r="R4179" s="11"/>
      <c r="S4179" s="11"/>
      <c r="T4179" s="11"/>
    </row>
    <row r="4180" spans="8:20" x14ac:dyDescent="0.35">
      <c r="H4180" s="711"/>
      <c r="I4180" s="711"/>
      <c r="J4180" s="711"/>
      <c r="K4180" s="711"/>
      <c r="L4180" s="711"/>
      <c r="Q4180" s="11"/>
      <c r="R4180" s="11"/>
      <c r="S4180" s="11"/>
      <c r="T4180" s="11"/>
    </row>
    <row r="4181" spans="8:20" x14ac:dyDescent="0.35">
      <c r="H4181" s="711"/>
      <c r="I4181" s="711"/>
      <c r="J4181" s="711"/>
      <c r="K4181" s="711"/>
      <c r="L4181" s="711"/>
      <c r="Q4181" s="11"/>
      <c r="R4181" s="11"/>
      <c r="S4181" s="11"/>
      <c r="T4181" s="11"/>
    </row>
    <row r="4182" spans="8:20" x14ac:dyDescent="0.35">
      <c r="H4182" s="711"/>
      <c r="I4182" s="711"/>
      <c r="J4182" s="711"/>
      <c r="K4182" s="711"/>
      <c r="L4182" s="711"/>
      <c r="Q4182" s="11"/>
      <c r="R4182" s="11"/>
      <c r="S4182" s="11"/>
      <c r="T4182" s="11"/>
    </row>
    <row r="4183" spans="8:20" x14ac:dyDescent="0.35">
      <c r="H4183" s="711"/>
      <c r="I4183" s="711"/>
      <c r="J4183" s="711"/>
      <c r="K4183" s="711"/>
      <c r="L4183" s="711"/>
      <c r="Q4183" s="11"/>
      <c r="R4183" s="11"/>
      <c r="S4183" s="11"/>
      <c r="T4183" s="11"/>
    </row>
    <row r="4184" spans="8:20" x14ac:dyDescent="0.35">
      <c r="H4184" s="711"/>
      <c r="I4184" s="711"/>
      <c r="J4184" s="711"/>
      <c r="K4184" s="711"/>
      <c r="L4184" s="711"/>
      <c r="Q4184" s="11"/>
      <c r="R4184" s="11"/>
      <c r="S4184" s="11"/>
      <c r="T4184" s="11"/>
    </row>
    <row r="4185" spans="8:20" x14ac:dyDescent="0.35">
      <c r="H4185" s="711"/>
      <c r="I4185" s="711"/>
      <c r="J4185" s="711"/>
      <c r="K4185" s="711"/>
      <c r="L4185" s="711"/>
      <c r="Q4185" s="11"/>
      <c r="R4185" s="11"/>
      <c r="S4185" s="11"/>
      <c r="T4185" s="11"/>
    </row>
    <row r="4186" spans="8:20" x14ac:dyDescent="0.35">
      <c r="H4186" s="711"/>
      <c r="I4186" s="711"/>
      <c r="J4186" s="711"/>
      <c r="K4186" s="711"/>
      <c r="L4186" s="711"/>
      <c r="Q4186" s="11"/>
      <c r="R4186" s="11"/>
      <c r="S4186" s="11"/>
      <c r="T4186" s="11"/>
    </row>
    <row r="4187" spans="8:20" x14ac:dyDescent="0.35">
      <c r="H4187" s="711"/>
      <c r="I4187" s="711"/>
      <c r="J4187" s="711"/>
      <c r="K4187" s="711"/>
      <c r="L4187" s="711"/>
      <c r="Q4187" s="11"/>
      <c r="R4187" s="11"/>
      <c r="S4187" s="11"/>
      <c r="T4187" s="11"/>
    </row>
    <row r="4188" spans="8:20" x14ac:dyDescent="0.35">
      <c r="H4188" s="711"/>
      <c r="I4188" s="711"/>
      <c r="J4188" s="711"/>
      <c r="K4188" s="711"/>
      <c r="L4188" s="711"/>
      <c r="Q4188" s="11"/>
      <c r="R4188" s="11"/>
      <c r="S4188" s="11"/>
      <c r="T4188" s="11"/>
    </row>
    <row r="4189" spans="8:20" x14ac:dyDescent="0.35">
      <c r="H4189" s="711"/>
      <c r="I4189" s="711"/>
      <c r="J4189" s="711"/>
      <c r="K4189" s="711"/>
      <c r="L4189" s="711"/>
      <c r="Q4189" s="11"/>
      <c r="R4189" s="11"/>
      <c r="S4189" s="11"/>
      <c r="T4189" s="11"/>
    </row>
    <row r="4190" spans="8:20" x14ac:dyDescent="0.35">
      <c r="H4190" s="711"/>
      <c r="I4190" s="711"/>
      <c r="J4190" s="711"/>
      <c r="K4190" s="711"/>
      <c r="L4190" s="711"/>
      <c r="Q4190" s="11"/>
      <c r="R4190" s="11"/>
      <c r="S4190" s="11"/>
      <c r="T4190" s="11"/>
    </row>
    <row r="4191" spans="8:20" x14ac:dyDescent="0.35">
      <c r="H4191" s="711"/>
      <c r="I4191" s="711"/>
      <c r="J4191" s="711"/>
      <c r="K4191" s="711"/>
      <c r="L4191" s="711"/>
      <c r="Q4191" s="11"/>
      <c r="R4191" s="11"/>
      <c r="S4191" s="11"/>
      <c r="T4191" s="11"/>
    </row>
    <row r="4192" spans="8:20" x14ac:dyDescent="0.35">
      <c r="H4192" s="711"/>
      <c r="I4192" s="711"/>
      <c r="J4192" s="711"/>
      <c r="K4192" s="711"/>
      <c r="L4192" s="711"/>
      <c r="Q4192" s="11"/>
      <c r="R4192" s="11"/>
      <c r="S4192" s="11"/>
      <c r="T4192" s="11"/>
    </row>
    <row r="4193" spans="8:20" x14ac:dyDescent="0.35">
      <c r="H4193" s="711"/>
      <c r="I4193" s="711"/>
      <c r="J4193" s="711"/>
      <c r="K4193" s="711"/>
      <c r="L4193" s="711"/>
      <c r="Q4193" s="11"/>
      <c r="R4193" s="11"/>
      <c r="S4193" s="11"/>
      <c r="T4193" s="11"/>
    </row>
    <row r="4194" spans="8:20" x14ac:dyDescent="0.35">
      <c r="H4194" s="711"/>
      <c r="I4194" s="711"/>
      <c r="J4194" s="711"/>
      <c r="K4194" s="711"/>
      <c r="L4194" s="711"/>
      <c r="Q4194" s="11"/>
      <c r="R4194" s="11"/>
      <c r="S4194" s="11"/>
      <c r="T4194" s="11"/>
    </row>
    <row r="4195" spans="8:20" x14ac:dyDescent="0.35">
      <c r="H4195" s="711"/>
      <c r="I4195" s="711"/>
      <c r="J4195" s="711"/>
      <c r="K4195" s="711"/>
      <c r="L4195" s="711"/>
      <c r="Q4195" s="11"/>
      <c r="R4195" s="11"/>
      <c r="S4195" s="11"/>
      <c r="T4195" s="11"/>
    </row>
    <row r="4196" spans="8:20" x14ac:dyDescent="0.35">
      <c r="H4196" s="711"/>
      <c r="I4196" s="711"/>
      <c r="J4196" s="711"/>
      <c r="K4196" s="711"/>
      <c r="L4196" s="711"/>
      <c r="Q4196" s="11"/>
      <c r="R4196" s="11"/>
      <c r="S4196" s="11"/>
      <c r="T4196" s="11"/>
    </row>
    <row r="4197" spans="8:20" x14ac:dyDescent="0.35">
      <c r="H4197" s="711"/>
      <c r="I4197" s="711"/>
      <c r="J4197" s="711"/>
      <c r="K4197" s="711"/>
      <c r="L4197" s="711"/>
      <c r="Q4197" s="11"/>
      <c r="R4197" s="11"/>
      <c r="S4197" s="11"/>
      <c r="T4197" s="11"/>
    </row>
    <row r="4198" spans="8:20" x14ac:dyDescent="0.35">
      <c r="H4198" s="711"/>
      <c r="I4198" s="711"/>
      <c r="J4198" s="711"/>
      <c r="K4198" s="711"/>
      <c r="L4198" s="711"/>
      <c r="Q4198" s="11"/>
      <c r="R4198" s="11"/>
      <c r="S4198" s="11"/>
      <c r="T4198" s="11"/>
    </row>
    <row r="4199" spans="8:20" x14ac:dyDescent="0.35">
      <c r="H4199" s="711"/>
      <c r="I4199" s="711"/>
      <c r="J4199" s="711"/>
      <c r="K4199" s="711"/>
      <c r="L4199" s="711"/>
      <c r="Q4199" s="11"/>
      <c r="R4199" s="11"/>
      <c r="S4199" s="11"/>
      <c r="T4199" s="11"/>
    </row>
    <row r="4200" spans="8:20" x14ac:dyDescent="0.35">
      <c r="H4200" s="711"/>
      <c r="I4200" s="711"/>
      <c r="J4200" s="711"/>
      <c r="K4200" s="711"/>
      <c r="L4200" s="711"/>
      <c r="Q4200" s="11"/>
      <c r="R4200" s="11"/>
      <c r="S4200" s="11"/>
      <c r="T4200" s="11"/>
    </row>
    <row r="4201" spans="8:20" x14ac:dyDescent="0.35">
      <c r="H4201" s="711"/>
      <c r="I4201" s="711"/>
      <c r="J4201" s="711"/>
      <c r="K4201" s="711"/>
      <c r="L4201" s="711"/>
      <c r="Q4201" s="11"/>
      <c r="R4201" s="11"/>
      <c r="S4201" s="11"/>
      <c r="T4201" s="11"/>
    </row>
    <row r="4202" spans="8:20" x14ac:dyDescent="0.35">
      <c r="H4202" s="711"/>
      <c r="I4202" s="711"/>
      <c r="J4202" s="711"/>
      <c r="K4202" s="711"/>
      <c r="L4202" s="711"/>
      <c r="Q4202" s="11"/>
      <c r="R4202" s="11"/>
      <c r="S4202" s="11"/>
      <c r="T4202" s="11"/>
    </row>
    <row r="4203" spans="8:20" x14ac:dyDescent="0.35">
      <c r="H4203" s="711"/>
      <c r="I4203" s="711"/>
      <c r="J4203" s="711"/>
      <c r="K4203" s="711"/>
      <c r="L4203" s="711"/>
      <c r="Q4203" s="11"/>
      <c r="R4203" s="11"/>
      <c r="S4203" s="11"/>
      <c r="T4203" s="11"/>
    </row>
    <row r="4204" spans="8:20" x14ac:dyDescent="0.35">
      <c r="H4204" s="711"/>
      <c r="I4204" s="711"/>
      <c r="J4204" s="711"/>
      <c r="K4204" s="711"/>
      <c r="L4204" s="711"/>
      <c r="Q4204" s="11"/>
      <c r="R4204" s="11"/>
      <c r="S4204" s="11"/>
      <c r="T4204" s="11"/>
    </row>
    <row r="4205" spans="8:20" x14ac:dyDescent="0.35">
      <c r="H4205" s="711"/>
      <c r="I4205" s="711"/>
      <c r="J4205" s="711"/>
      <c r="K4205" s="711"/>
      <c r="L4205" s="711"/>
      <c r="Q4205" s="11"/>
      <c r="R4205" s="11"/>
      <c r="S4205" s="11"/>
      <c r="T4205" s="11"/>
    </row>
    <row r="4206" spans="8:20" x14ac:dyDescent="0.35">
      <c r="H4206" s="711"/>
      <c r="I4206" s="711"/>
      <c r="J4206" s="711"/>
      <c r="K4206" s="711"/>
      <c r="L4206" s="711"/>
      <c r="Q4206" s="11"/>
      <c r="R4206" s="11"/>
      <c r="S4206" s="11"/>
      <c r="T4206" s="11"/>
    </row>
    <row r="4207" spans="8:20" x14ac:dyDescent="0.35">
      <c r="H4207" s="711"/>
      <c r="I4207" s="711"/>
      <c r="J4207" s="711"/>
      <c r="K4207" s="711"/>
      <c r="L4207" s="711"/>
      <c r="Q4207" s="11"/>
      <c r="R4207" s="11"/>
      <c r="S4207" s="11"/>
      <c r="T4207" s="11"/>
    </row>
    <row r="4208" spans="8:20" x14ac:dyDescent="0.35">
      <c r="H4208" s="711"/>
      <c r="I4208" s="711"/>
      <c r="J4208" s="711"/>
      <c r="K4208" s="711"/>
      <c r="L4208" s="711"/>
      <c r="Q4208" s="11"/>
      <c r="R4208" s="11"/>
      <c r="S4208" s="11"/>
      <c r="T4208" s="11"/>
    </row>
    <row r="4209" spans="8:20" x14ac:dyDescent="0.35">
      <c r="H4209" s="711"/>
      <c r="I4209" s="711"/>
      <c r="J4209" s="711"/>
      <c r="K4209" s="711"/>
      <c r="L4209" s="711"/>
      <c r="Q4209" s="11"/>
      <c r="R4209" s="11"/>
      <c r="S4209" s="11"/>
      <c r="T4209" s="11"/>
    </row>
    <row r="4210" spans="8:20" x14ac:dyDescent="0.35">
      <c r="H4210" s="711"/>
      <c r="I4210" s="711"/>
      <c r="J4210" s="711"/>
      <c r="K4210" s="711"/>
      <c r="L4210" s="711"/>
      <c r="Q4210" s="11"/>
      <c r="R4210" s="11"/>
      <c r="S4210" s="11"/>
      <c r="T4210" s="11"/>
    </row>
    <row r="4211" spans="8:20" x14ac:dyDescent="0.35">
      <c r="H4211" s="711"/>
      <c r="I4211" s="711"/>
      <c r="J4211" s="711"/>
      <c r="K4211" s="711"/>
      <c r="L4211" s="711"/>
      <c r="Q4211" s="11"/>
      <c r="R4211" s="11"/>
      <c r="S4211" s="11"/>
      <c r="T4211" s="11"/>
    </row>
    <row r="4212" spans="8:20" x14ac:dyDescent="0.35">
      <c r="H4212" s="711"/>
      <c r="I4212" s="711"/>
      <c r="J4212" s="711"/>
      <c r="K4212" s="711"/>
      <c r="L4212" s="711"/>
      <c r="Q4212" s="11"/>
      <c r="R4212" s="11"/>
      <c r="S4212" s="11"/>
      <c r="T4212" s="11"/>
    </row>
    <row r="4213" spans="8:20" x14ac:dyDescent="0.35">
      <c r="H4213" s="711"/>
      <c r="I4213" s="711"/>
      <c r="J4213" s="711"/>
      <c r="K4213" s="711"/>
      <c r="L4213" s="711"/>
      <c r="Q4213" s="11"/>
      <c r="R4213" s="11"/>
      <c r="S4213" s="11"/>
      <c r="T4213" s="11"/>
    </row>
    <row r="4214" spans="8:20" x14ac:dyDescent="0.35">
      <c r="H4214" s="711"/>
      <c r="I4214" s="711"/>
      <c r="J4214" s="711"/>
      <c r="K4214" s="711"/>
      <c r="L4214" s="711"/>
      <c r="Q4214" s="11"/>
      <c r="R4214" s="11"/>
      <c r="S4214" s="11"/>
      <c r="T4214" s="11"/>
    </row>
    <row r="4215" spans="8:20" x14ac:dyDescent="0.35">
      <c r="H4215" s="711"/>
      <c r="I4215" s="711"/>
      <c r="J4215" s="711"/>
      <c r="K4215" s="711"/>
      <c r="L4215" s="711"/>
      <c r="Q4215" s="11"/>
      <c r="R4215" s="11"/>
      <c r="S4215" s="11"/>
      <c r="T4215" s="11"/>
    </row>
    <row r="4216" spans="8:20" x14ac:dyDescent="0.35">
      <c r="H4216" s="711"/>
      <c r="I4216" s="711"/>
      <c r="J4216" s="711"/>
      <c r="K4216" s="711"/>
      <c r="L4216" s="711"/>
      <c r="Q4216" s="11"/>
      <c r="R4216" s="11"/>
      <c r="S4216" s="11"/>
      <c r="T4216" s="11"/>
    </row>
    <row r="4217" spans="8:20" x14ac:dyDescent="0.35">
      <c r="H4217" s="711"/>
      <c r="I4217" s="711"/>
      <c r="J4217" s="711"/>
      <c r="K4217" s="711"/>
      <c r="L4217" s="711"/>
      <c r="Q4217" s="11"/>
      <c r="R4217" s="11"/>
      <c r="S4217" s="11"/>
      <c r="T4217" s="11"/>
    </row>
    <row r="4218" spans="8:20" x14ac:dyDescent="0.35">
      <c r="H4218" s="711"/>
      <c r="I4218" s="711"/>
      <c r="J4218" s="711"/>
      <c r="K4218" s="711"/>
      <c r="L4218" s="711"/>
      <c r="Q4218" s="11"/>
      <c r="R4218" s="11"/>
      <c r="S4218" s="11"/>
      <c r="T4218" s="11"/>
    </row>
    <row r="4219" spans="8:20" x14ac:dyDescent="0.35">
      <c r="H4219" s="711"/>
      <c r="I4219" s="711"/>
      <c r="J4219" s="711"/>
      <c r="K4219" s="711"/>
      <c r="L4219" s="711"/>
      <c r="Q4219" s="11"/>
      <c r="R4219" s="11"/>
      <c r="S4219" s="11"/>
      <c r="T4219" s="11"/>
    </row>
    <row r="4220" spans="8:20" x14ac:dyDescent="0.35">
      <c r="H4220" s="711"/>
      <c r="I4220" s="711"/>
      <c r="J4220" s="711"/>
      <c r="K4220" s="711"/>
      <c r="L4220" s="711"/>
      <c r="Q4220" s="11"/>
      <c r="R4220" s="11"/>
      <c r="S4220" s="11"/>
      <c r="T4220" s="11"/>
    </row>
    <row r="4221" spans="8:20" x14ac:dyDescent="0.35">
      <c r="H4221" s="711"/>
      <c r="I4221" s="711"/>
      <c r="J4221" s="711"/>
      <c r="K4221" s="711"/>
      <c r="L4221" s="711"/>
      <c r="Q4221" s="11"/>
      <c r="R4221" s="11"/>
      <c r="S4221" s="11"/>
      <c r="T4221" s="11"/>
    </row>
    <row r="4222" spans="8:20" x14ac:dyDescent="0.35">
      <c r="H4222" s="711"/>
      <c r="I4222" s="711"/>
      <c r="J4222" s="711"/>
      <c r="K4222" s="711"/>
      <c r="L4222" s="711"/>
      <c r="Q4222" s="11"/>
      <c r="R4222" s="11"/>
      <c r="S4222" s="11"/>
      <c r="T4222" s="11"/>
    </row>
    <row r="4223" spans="8:20" x14ac:dyDescent="0.35">
      <c r="H4223" s="711"/>
      <c r="I4223" s="711"/>
      <c r="J4223" s="711"/>
      <c r="K4223" s="711"/>
      <c r="L4223" s="711"/>
      <c r="Q4223" s="11"/>
      <c r="R4223" s="11"/>
      <c r="S4223" s="11"/>
      <c r="T4223" s="11"/>
    </row>
    <row r="4224" spans="8:20" x14ac:dyDescent="0.35">
      <c r="H4224" s="711"/>
      <c r="I4224" s="711"/>
      <c r="J4224" s="711"/>
      <c r="K4224" s="711"/>
      <c r="L4224" s="711"/>
      <c r="Q4224" s="11"/>
      <c r="R4224" s="11"/>
      <c r="S4224" s="11"/>
      <c r="T4224" s="11"/>
    </row>
    <row r="4225" spans="8:20" x14ac:dyDescent="0.35">
      <c r="H4225" s="711"/>
      <c r="I4225" s="711"/>
      <c r="J4225" s="711"/>
      <c r="K4225" s="711"/>
      <c r="L4225" s="711"/>
      <c r="Q4225" s="11"/>
      <c r="R4225" s="11"/>
      <c r="S4225" s="11"/>
      <c r="T4225" s="11"/>
    </row>
    <row r="4226" spans="8:20" x14ac:dyDescent="0.35">
      <c r="H4226" s="711"/>
      <c r="I4226" s="711"/>
      <c r="J4226" s="711"/>
      <c r="K4226" s="711"/>
      <c r="L4226" s="711"/>
      <c r="Q4226" s="11"/>
      <c r="R4226" s="11"/>
      <c r="S4226" s="11"/>
      <c r="T4226" s="11"/>
    </row>
    <row r="4227" spans="8:20" x14ac:dyDescent="0.35">
      <c r="H4227" s="711"/>
      <c r="I4227" s="711"/>
      <c r="J4227" s="711"/>
      <c r="K4227" s="711"/>
      <c r="L4227" s="711"/>
      <c r="Q4227" s="11"/>
      <c r="R4227" s="11"/>
      <c r="S4227" s="11"/>
      <c r="T4227" s="11"/>
    </row>
    <row r="4228" spans="8:20" x14ac:dyDescent="0.35">
      <c r="H4228" s="711"/>
      <c r="I4228" s="711"/>
      <c r="J4228" s="711"/>
      <c r="K4228" s="711"/>
      <c r="L4228" s="711"/>
      <c r="Q4228" s="11"/>
      <c r="R4228" s="11"/>
      <c r="S4228" s="11"/>
      <c r="T4228" s="11"/>
    </row>
    <row r="4229" spans="8:20" x14ac:dyDescent="0.35">
      <c r="H4229" s="711"/>
      <c r="I4229" s="711"/>
      <c r="J4229" s="711"/>
      <c r="K4229" s="711"/>
      <c r="L4229" s="711"/>
      <c r="Q4229" s="11"/>
      <c r="R4229" s="11"/>
      <c r="S4229" s="11"/>
      <c r="T4229" s="11"/>
    </row>
    <row r="4230" spans="8:20" x14ac:dyDescent="0.35">
      <c r="H4230" s="711"/>
      <c r="I4230" s="711"/>
      <c r="J4230" s="711"/>
      <c r="K4230" s="711"/>
      <c r="L4230" s="711"/>
      <c r="Q4230" s="11"/>
      <c r="R4230" s="11"/>
      <c r="S4230" s="11"/>
      <c r="T4230" s="11"/>
    </row>
    <row r="4231" spans="8:20" x14ac:dyDescent="0.35">
      <c r="H4231" s="711"/>
      <c r="I4231" s="711"/>
      <c r="J4231" s="711"/>
      <c r="K4231" s="711"/>
      <c r="L4231" s="711"/>
      <c r="Q4231" s="11"/>
      <c r="R4231" s="11"/>
      <c r="S4231" s="11"/>
      <c r="T4231" s="11"/>
    </row>
    <row r="4232" spans="8:20" x14ac:dyDescent="0.35">
      <c r="H4232" s="711"/>
      <c r="I4232" s="711"/>
      <c r="J4232" s="711"/>
      <c r="K4232" s="711"/>
      <c r="L4232" s="711"/>
      <c r="Q4232" s="11"/>
      <c r="R4232" s="11"/>
      <c r="S4232" s="11"/>
      <c r="T4232" s="11"/>
    </row>
    <row r="4233" spans="8:20" x14ac:dyDescent="0.35">
      <c r="H4233" s="711"/>
      <c r="I4233" s="711"/>
      <c r="J4233" s="711"/>
      <c r="K4233" s="711"/>
      <c r="L4233" s="711"/>
      <c r="Q4233" s="11"/>
      <c r="R4233" s="11"/>
      <c r="S4233" s="11"/>
      <c r="T4233" s="11"/>
    </row>
    <row r="4234" spans="8:20" x14ac:dyDescent="0.35">
      <c r="H4234" s="711"/>
      <c r="I4234" s="711"/>
      <c r="J4234" s="711"/>
      <c r="K4234" s="711"/>
      <c r="L4234" s="711"/>
      <c r="Q4234" s="11"/>
      <c r="R4234" s="11"/>
      <c r="S4234" s="11"/>
      <c r="T4234" s="11"/>
    </row>
    <row r="4235" spans="8:20" x14ac:dyDescent="0.35">
      <c r="H4235" s="711"/>
      <c r="I4235" s="711"/>
      <c r="J4235" s="711"/>
      <c r="K4235" s="711"/>
      <c r="L4235" s="711"/>
      <c r="Q4235" s="11"/>
      <c r="R4235" s="11"/>
      <c r="S4235" s="11"/>
      <c r="T4235" s="11"/>
    </row>
    <row r="4236" spans="8:20" x14ac:dyDescent="0.35">
      <c r="H4236" s="711"/>
      <c r="I4236" s="711"/>
      <c r="J4236" s="711"/>
      <c r="K4236" s="711"/>
      <c r="L4236" s="711"/>
      <c r="Q4236" s="11"/>
      <c r="R4236" s="11"/>
      <c r="S4236" s="11"/>
      <c r="T4236" s="11"/>
    </row>
    <row r="4237" spans="8:20" x14ac:dyDescent="0.35">
      <c r="H4237" s="711"/>
      <c r="I4237" s="711"/>
      <c r="J4237" s="711"/>
      <c r="K4237" s="711"/>
      <c r="L4237" s="711"/>
      <c r="Q4237" s="11"/>
      <c r="R4237" s="11"/>
      <c r="S4237" s="11"/>
      <c r="T4237" s="11"/>
    </row>
    <row r="4238" spans="8:20" x14ac:dyDescent="0.35">
      <c r="H4238" s="711"/>
      <c r="I4238" s="711"/>
      <c r="J4238" s="711"/>
      <c r="K4238" s="711"/>
      <c r="L4238" s="711"/>
      <c r="Q4238" s="11"/>
      <c r="R4238" s="11"/>
      <c r="S4238" s="11"/>
      <c r="T4238" s="11"/>
    </row>
    <row r="4239" spans="8:20" x14ac:dyDescent="0.35">
      <c r="H4239" s="711"/>
      <c r="I4239" s="711"/>
      <c r="J4239" s="711"/>
      <c r="K4239" s="711"/>
      <c r="L4239" s="711"/>
      <c r="Q4239" s="11"/>
      <c r="R4239" s="11"/>
      <c r="S4239" s="11"/>
      <c r="T4239" s="11"/>
    </row>
    <row r="4240" spans="8:20" x14ac:dyDescent="0.35">
      <c r="H4240" s="711"/>
      <c r="I4240" s="711"/>
      <c r="J4240" s="711"/>
      <c r="K4240" s="711"/>
      <c r="L4240" s="711"/>
      <c r="Q4240" s="11"/>
      <c r="R4240" s="11"/>
      <c r="S4240" s="11"/>
      <c r="T4240" s="11"/>
    </row>
    <row r="4241" spans="8:20" x14ac:dyDescent="0.35">
      <c r="H4241" s="711"/>
      <c r="I4241" s="711"/>
      <c r="J4241" s="711"/>
      <c r="K4241" s="711"/>
      <c r="L4241" s="711"/>
      <c r="Q4241" s="11"/>
      <c r="R4241" s="11"/>
      <c r="S4241" s="11"/>
      <c r="T4241" s="11"/>
    </row>
    <row r="4242" spans="8:20" x14ac:dyDescent="0.35">
      <c r="H4242" s="711"/>
      <c r="I4242" s="711"/>
      <c r="J4242" s="711"/>
      <c r="K4242" s="711"/>
      <c r="L4242" s="711"/>
      <c r="Q4242" s="11"/>
      <c r="R4242" s="11"/>
      <c r="S4242" s="11"/>
      <c r="T4242" s="11"/>
    </row>
    <row r="4243" spans="8:20" x14ac:dyDescent="0.35">
      <c r="H4243" s="711"/>
      <c r="I4243" s="711"/>
      <c r="J4243" s="711"/>
      <c r="K4243" s="711"/>
      <c r="L4243" s="711"/>
      <c r="Q4243" s="11"/>
      <c r="R4243" s="11"/>
      <c r="S4243" s="11"/>
      <c r="T4243" s="11"/>
    </row>
    <row r="4244" spans="8:20" x14ac:dyDescent="0.35">
      <c r="H4244" s="711"/>
      <c r="I4244" s="711"/>
      <c r="J4244" s="711"/>
      <c r="K4244" s="711"/>
      <c r="L4244" s="711"/>
      <c r="Q4244" s="11"/>
      <c r="R4244" s="11"/>
      <c r="S4244" s="11"/>
      <c r="T4244" s="11"/>
    </row>
    <row r="4245" spans="8:20" x14ac:dyDescent="0.35">
      <c r="H4245" s="711"/>
      <c r="I4245" s="711"/>
      <c r="J4245" s="711"/>
      <c r="K4245" s="711"/>
      <c r="L4245" s="711"/>
      <c r="Q4245" s="11"/>
      <c r="R4245" s="11"/>
      <c r="S4245" s="11"/>
      <c r="T4245" s="11"/>
    </row>
    <row r="4246" spans="8:20" x14ac:dyDescent="0.35">
      <c r="H4246" s="711"/>
      <c r="I4246" s="711"/>
      <c r="J4246" s="711"/>
      <c r="K4246" s="711"/>
      <c r="L4246" s="711"/>
      <c r="Q4246" s="11"/>
      <c r="R4246" s="11"/>
      <c r="S4246" s="11"/>
      <c r="T4246" s="11"/>
    </row>
    <row r="4247" spans="8:20" x14ac:dyDescent="0.35">
      <c r="H4247" s="711"/>
      <c r="I4247" s="711"/>
      <c r="J4247" s="711"/>
      <c r="K4247" s="711"/>
      <c r="L4247" s="711"/>
      <c r="Q4247" s="11"/>
      <c r="R4247" s="11"/>
      <c r="S4247" s="11"/>
      <c r="T4247" s="11"/>
    </row>
    <row r="4248" spans="8:20" x14ac:dyDescent="0.35">
      <c r="H4248" s="711"/>
      <c r="I4248" s="711"/>
      <c r="J4248" s="711"/>
      <c r="K4248" s="711"/>
      <c r="L4248" s="711"/>
      <c r="Q4248" s="11"/>
      <c r="R4248" s="11"/>
      <c r="S4248" s="11"/>
      <c r="T4248" s="11"/>
    </row>
    <row r="4249" spans="8:20" x14ac:dyDescent="0.35">
      <c r="H4249" s="711"/>
      <c r="I4249" s="711"/>
      <c r="J4249" s="711"/>
      <c r="K4249" s="711"/>
      <c r="L4249" s="711"/>
      <c r="Q4249" s="11"/>
      <c r="R4249" s="11"/>
      <c r="S4249" s="11"/>
      <c r="T4249" s="11"/>
    </row>
    <row r="4250" spans="8:20" x14ac:dyDescent="0.35">
      <c r="H4250" s="711"/>
      <c r="I4250" s="711"/>
      <c r="J4250" s="711"/>
      <c r="K4250" s="711"/>
      <c r="L4250" s="711"/>
      <c r="Q4250" s="11"/>
      <c r="R4250" s="11"/>
      <c r="S4250" s="11"/>
      <c r="T4250" s="11"/>
    </row>
    <row r="4251" spans="8:20" x14ac:dyDescent="0.35">
      <c r="H4251" s="711"/>
      <c r="I4251" s="711"/>
      <c r="J4251" s="711"/>
      <c r="K4251" s="711"/>
      <c r="L4251" s="711"/>
      <c r="Q4251" s="11"/>
      <c r="R4251" s="11"/>
      <c r="S4251" s="11"/>
      <c r="T4251" s="11"/>
    </row>
    <row r="4252" spans="8:20" x14ac:dyDescent="0.35">
      <c r="H4252" s="711"/>
      <c r="I4252" s="711"/>
      <c r="J4252" s="711"/>
      <c r="K4252" s="711"/>
      <c r="L4252" s="711"/>
      <c r="Q4252" s="11"/>
      <c r="R4252" s="11"/>
      <c r="S4252" s="11"/>
      <c r="T4252" s="11"/>
    </row>
    <row r="4253" spans="8:20" x14ac:dyDescent="0.35">
      <c r="H4253" s="711"/>
      <c r="I4253" s="711"/>
      <c r="J4253" s="711"/>
      <c r="K4253" s="711"/>
      <c r="L4253" s="711"/>
      <c r="Q4253" s="11"/>
      <c r="R4253" s="11"/>
      <c r="S4253" s="11"/>
      <c r="T4253" s="11"/>
    </row>
    <row r="4254" spans="8:20" x14ac:dyDescent="0.35">
      <c r="H4254" s="711"/>
      <c r="I4254" s="711"/>
      <c r="J4254" s="711"/>
      <c r="K4254" s="711"/>
      <c r="L4254" s="711"/>
      <c r="Q4254" s="11"/>
      <c r="R4254" s="11"/>
      <c r="S4254" s="11"/>
      <c r="T4254" s="11"/>
    </row>
    <row r="4255" spans="8:20" x14ac:dyDescent="0.35">
      <c r="H4255" s="711"/>
      <c r="I4255" s="711"/>
      <c r="J4255" s="711"/>
      <c r="K4255" s="711"/>
      <c r="L4255" s="711"/>
      <c r="Q4255" s="11"/>
      <c r="R4255" s="11"/>
      <c r="S4255" s="11"/>
      <c r="T4255" s="11"/>
    </row>
    <row r="4256" spans="8:20" x14ac:dyDescent="0.35">
      <c r="H4256" s="711"/>
      <c r="I4256" s="711"/>
      <c r="J4256" s="711"/>
      <c r="K4256" s="711"/>
      <c r="L4256" s="711"/>
      <c r="Q4256" s="11"/>
      <c r="R4256" s="11"/>
      <c r="S4256" s="11"/>
      <c r="T4256" s="11"/>
    </row>
    <row r="4257" spans="8:20" x14ac:dyDescent="0.35">
      <c r="H4257" s="711"/>
      <c r="I4257" s="711"/>
      <c r="J4257" s="711"/>
      <c r="K4257" s="711"/>
      <c r="L4257" s="711"/>
      <c r="Q4257" s="11"/>
      <c r="R4257" s="11"/>
      <c r="S4257" s="11"/>
      <c r="T4257" s="11"/>
    </row>
    <row r="4258" spans="8:20" x14ac:dyDescent="0.35">
      <c r="H4258" s="711"/>
      <c r="I4258" s="711"/>
      <c r="J4258" s="711"/>
      <c r="K4258" s="711"/>
      <c r="L4258" s="711"/>
      <c r="Q4258" s="11"/>
      <c r="R4258" s="11"/>
      <c r="S4258" s="11"/>
      <c r="T4258" s="11"/>
    </row>
    <row r="4259" spans="8:20" x14ac:dyDescent="0.35">
      <c r="H4259" s="711"/>
      <c r="I4259" s="711"/>
      <c r="J4259" s="711"/>
      <c r="K4259" s="711"/>
      <c r="L4259" s="711"/>
      <c r="Q4259" s="11"/>
      <c r="R4259" s="11"/>
      <c r="S4259" s="11"/>
      <c r="T4259" s="11"/>
    </row>
    <row r="4260" spans="8:20" x14ac:dyDescent="0.35">
      <c r="H4260" s="711"/>
      <c r="I4260" s="711"/>
      <c r="J4260" s="711"/>
      <c r="K4260" s="711"/>
      <c r="L4260" s="711"/>
      <c r="Q4260" s="11"/>
      <c r="R4260" s="11"/>
      <c r="S4260" s="11"/>
      <c r="T4260" s="11"/>
    </row>
    <row r="4261" spans="8:20" x14ac:dyDescent="0.35">
      <c r="H4261" s="711"/>
      <c r="I4261" s="711"/>
      <c r="J4261" s="711"/>
      <c r="K4261" s="711"/>
      <c r="L4261" s="711"/>
      <c r="Q4261" s="11"/>
      <c r="R4261" s="11"/>
      <c r="S4261" s="11"/>
      <c r="T4261" s="11"/>
    </row>
    <row r="4262" spans="8:20" x14ac:dyDescent="0.35">
      <c r="H4262" s="711"/>
      <c r="I4262" s="711"/>
      <c r="J4262" s="711"/>
      <c r="K4262" s="711"/>
      <c r="L4262" s="711"/>
      <c r="Q4262" s="11"/>
      <c r="R4262" s="11"/>
      <c r="S4262" s="11"/>
      <c r="T4262" s="11"/>
    </row>
    <row r="4263" spans="8:20" x14ac:dyDescent="0.35">
      <c r="H4263" s="711"/>
      <c r="I4263" s="711"/>
      <c r="J4263" s="711"/>
      <c r="K4263" s="711"/>
      <c r="L4263" s="711"/>
      <c r="Q4263" s="11"/>
      <c r="R4263" s="11"/>
      <c r="S4263" s="11"/>
      <c r="T4263" s="11"/>
    </row>
    <row r="4264" spans="8:20" x14ac:dyDescent="0.35">
      <c r="H4264" s="711"/>
      <c r="I4264" s="711"/>
      <c r="J4264" s="711"/>
      <c r="K4264" s="711"/>
      <c r="L4264" s="711"/>
      <c r="Q4264" s="11"/>
      <c r="R4264" s="11"/>
      <c r="S4264" s="11"/>
      <c r="T4264" s="11"/>
    </row>
    <row r="4265" spans="8:20" x14ac:dyDescent="0.35">
      <c r="H4265" s="711"/>
      <c r="I4265" s="711"/>
      <c r="J4265" s="711"/>
      <c r="K4265" s="711"/>
      <c r="L4265" s="711"/>
      <c r="Q4265" s="11"/>
      <c r="R4265" s="11"/>
      <c r="S4265" s="11"/>
      <c r="T4265" s="11"/>
    </row>
    <row r="4266" spans="8:20" x14ac:dyDescent="0.35">
      <c r="H4266" s="711"/>
      <c r="I4266" s="711"/>
      <c r="J4266" s="711"/>
      <c r="K4266" s="711"/>
      <c r="L4266" s="711"/>
      <c r="Q4266" s="11"/>
      <c r="R4266" s="11"/>
      <c r="S4266" s="11"/>
      <c r="T4266" s="11"/>
    </row>
    <row r="4267" spans="8:20" x14ac:dyDescent="0.35">
      <c r="H4267" s="711"/>
      <c r="I4267" s="711"/>
      <c r="J4267" s="711"/>
      <c r="K4267" s="711"/>
      <c r="L4267" s="711"/>
      <c r="Q4267" s="11"/>
      <c r="R4267" s="11"/>
      <c r="S4267" s="11"/>
      <c r="T4267" s="11"/>
    </row>
    <row r="4268" spans="8:20" x14ac:dyDescent="0.35">
      <c r="H4268" s="711"/>
      <c r="I4268" s="711"/>
      <c r="J4268" s="711"/>
      <c r="K4268" s="711"/>
      <c r="L4268" s="711"/>
      <c r="Q4268" s="11"/>
      <c r="R4268" s="11"/>
      <c r="S4268" s="11"/>
      <c r="T4268" s="11"/>
    </row>
    <row r="4269" spans="8:20" x14ac:dyDescent="0.35">
      <c r="H4269" s="711"/>
      <c r="I4269" s="711"/>
      <c r="J4269" s="711"/>
      <c r="K4269" s="711"/>
      <c r="L4269" s="711"/>
      <c r="Q4269" s="11"/>
      <c r="R4269" s="11"/>
      <c r="S4269" s="11"/>
      <c r="T4269" s="11"/>
    </row>
    <row r="4270" spans="8:20" x14ac:dyDescent="0.35">
      <c r="H4270" s="711"/>
      <c r="I4270" s="711"/>
      <c r="J4270" s="711"/>
      <c r="K4270" s="711"/>
      <c r="L4270" s="711"/>
      <c r="Q4270" s="11"/>
      <c r="R4270" s="11"/>
      <c r="S4270" s="11"/>
      <c r="T4270" s="11"/>
    </row>
    <row r="4271" spans="8:20" x14ac:dyDescent="0.35">
      <c r="H4271" s="711"/>
      <c r="I4271" s="711"/>
      <c r="J4271" s="711"/>
      <c r="K4271" s="711"/>
      <c r="L4271" s="711"/>
      <c r="Q4271" s="11"/>
      <c r="R4271" s="11"/>
      <c r="S4271" s="11"/>
      <c r="T4271" s="11"/>
    </row>
    <row r="4272" spans="8:20" x14ac:dyDescent="0.35">
      <c r="H4272" s="711"/>
      <c r="I4272" s="711"/>
      <c r="J4272" s="711"/>
      <c r="K4272" s="711"/>
      <c r="L4272" s="711"/>
      <c r="Q4272" s="11"/>
      <c r="R4272" s="11"/>
      <c r="S4272" s="11"/>
      <c r="T4272" s="11"/>
    </row>
    <row r="4273" spans="8:20" x14ac:dyDescent="0.35">
      <c r="H4273" s="711"/>
      <c r="I4273" s="711"/>
      <c r="J4273" s="711"/>
      <c r="K4273" s="711"/>
      <c r="L4273" s="711"/>
      <c r="Q4273" s="11"/>
      <c r="R4273" s="11"/>
      <c r="S4273" s="11"/>
      <c r="T4273" s="11"/>
    </row>
    <row r="4274" spans="8:20" x14ac:dyDescent="0.35">
      <c r="H4274" s="711"/>
      <c r="I4274" s="711"/>
      <c r="J4274" s="711"/>
      <c r="K4274" s="711"/>
      <c r="L4274" s="711"/>
      <c r="Q4274" s="11"/>
      <c r="R4274" s="11"/>
      <c r="S4274" s="11"/>
      <c r="T4274" s="11"/>
    </row>
    <row r="4275" spans="8:20" x14ac:dyDescent="0.35">
      <c r="H4275" s="711"/>
      <c r="I4275" s="711"/>
      <c r="J4275" s="711"/>
      <c r="K4275" s="711"/>
      <c r="L4275" s="711"/>
      <c r="Q4275" s="11"/>
      <c r="R4275" s="11"/>
      <c r="S4275" s="11"/>
      <c r="T4275" s="11"/>
    </row>
    <row r="4276" spans="8:20" x14ac:dyDescent="0.35">
      <c r="H4276" s="711"/>
      <c r="I4276" s="711"/>
      <c r="J4276" s="711"/>
      <c r="K4276" s="711"/>
      <c r="L4276" s="711"/>
      <c r="Q4276" s="11"/>
      <c r="R4276" s="11"/>
      <c r="S4276" s="11"/>
      <c r="T4276" s="11"/>
    </row>
    <row r="4277" spans="8:20" x14ac:dyDescent="0.35">
      <c r="H4277" s="711"/>
      <c r="I4277" s="711"/>
      <c r="J4277" s="711"/>
      <c r="K4277" s="711"/>
      <c r="L4277" s="711"/>
      <c r="Q4277" s="11"/>
      <c r="R4277" s="11"/>
      <c r="S4277" s="11"/>
      <c r="T4277" s="11"/>
    </row>
    <row r="4278" spans="8:20" x14ac:dyDescent="0.35">
      <c r="H4278" s="711"/>
      <c r="I4278" s="711"/>
      <c r="J4278" s="711"/>
      <c r="K4278" s="711"/>
      <c r="L4278" s="711"/>
      <c r="Q4278" s="11"/>
      <c r="R4278" s="11"/>
      <c r="S4278" s="11"/>
      <c r="T4278" s="11"/>
    </row>
    <row r="4279" spans="8:20" x14ac:dyDescent="0.35">
      <c r="H4279" s="711"/>
      <c r="I4279" s="711"/>
      <c r="J4279" s="711"/>
      <c r="K4279" s="711"/>
      <c r="L4279" s="711"/>
      <c r="Q4279" s="11"/>
      <c r="R4279" s="11"/>
      <c r="S4279" s="11"/>
      <c r="T4279" s="11"/>
    </row>
    <row r="4280" spans="8:20" x14ac:dyDescent="0.35">
      <c r="H4280" s="711"/>
      <c r="I4280" s="711"/>
      <c r="J4280" s="711"/>
      <c r="K4280" s="711"/>
      <c r="L4280" s="711"/>
      <c r="Q4280" s="11"/>
      <c r="R4280" s="11"/>
      <c r="S4280" s="11"/>
      <c r="T4280" s="11"/>
    </row>
    <row r="4281" spans="8:20" x14ac:dyDescent="0.35">
      <c r="H4281" s="711"/>
      <c r="I4281" s="711"/>
      <c r="J4281" s="711"/>
      <c r="K4281" s="711"/>
      <c r="L4281" s="711"/>
      <c r="Q4281" s="11"/>
      <c r="R4281" s="11"/>
      <c r="S4281" s="11"/>
      <c r="T4281" s="11"/>
    </row>
    <row r="4282" spans="8:20" x14ac:dyDescent="0.35">
      <c r="H4282" s="711"/>
      <c r="I4282" s="711"/>
      <c r="J4282" s="711"/>
      <c r="K4282" s="711"/>
      <c r="L4282" s="711"/>
      <c r="Q4282" s="11"/>
      <c r="R4282" s="11"/>
      <c r="S4282" s="11"/>
      <c r="T4282" s="11"/>
    </row>
    <row r="4283" spans="8:20" x14ac:dyDescent="0.35">
      <c r="H4283" s="711"/>
      <c r="I4283" s="711"/>
      <c r="J4283" s="711"/>
      <c r="K4283" s="711"/>
      <c r="L4283" s="711"/>
      <c r="Q4283" s="11"/>
      <c r="R4283" s="11"/>
      <c r="S4283" s="11"/>
      <c r="T4283" s="11"/>
    </row>
    <row r="4284" spans="8:20" x14ac:dyDescent="0.35">
      <c r="H4284" s="711"/>
      <c r="I4284" s="711"/>
      <c r="J4284" s="711"/>
      <c r="K4284" s="711"/>
      <c r="L4284" s="711"/>
      <c r="Q4284" s="11"/>
      <c r="R4284" s="11"/>
      <c r="S4284" s="11"/>
      <c r="T4284" s="11"/>
    </row>
    <row r="4285" spans="8:20" x14ac:dyDescent="0.35">
      <c r="H4285" s="711"/>
      <c r="I4285" s="711"/>
      <c r="J4285" s="711"/>
      <c r="K4285" s="711"/>
      <c r="L4285" s="711"/>
      <c r="Q4285" s="11"/>
      <c r="R4285" s="11"/>
      <c r="S4285" s="11"/>
      <c r="T4285" s="11"/>
    </row>
    <row r="4286" spans="8:20" x14ac:dyDescent="0.35">
      <c r="H4286" s="711"/>
      <c r="I4286" s="711"/>
      <c r="J4286" s="711"/>
      <c r="K4286" s="711"/>
      <c r="L4286" s="711"/>
      <c r="Q4286" s="11"/>
      <c r="R4286" s="11"/>
      <c r="S4286" s="11"/>
      <c r="T4286" s="11"/>
    </row>
    <row r="4287" spans="8:20" x14ac:dyDescent="0.35">
      <c r="H4287" s="711"/>
      <c r="I4287" s="711"/>
      <c r="J4287" s="711"/>
      <c r="K4287" s="711"/>
      <c r="L4287" s="711"/>
      <c r="Q4287" s="11"/>
      <c r="R4287" s="11"/>
      <c r="S4287" s="11"/>
      <c r="T4287" s="11"/>
    </row>
    <row r="4288" spans="8:20" x14ac:dyDescent="0.35">
      <c r="H4288" s="711"/>
      <c r="I4288" s="711"/>
      <c r="J4288" s="711"/>
      <c r="K4288" s="711"/>
      <c r="L4288" s="711"/>
      <c r="Q4288" s="11"/>
      <c r="R4288" s="11"/>
      <c r="S4288" s="11"/>
      <c r="T4288" s="11"/>
    </row>
    <row r="4289" spans="8:20" x14ac:dyDescent="0.35">
      <c r="H4289" s="711"/>
      <c r="I4289" s="711"/>
      <c r="J4289" s="711"/>
      <c r="K4289" s="711"/>
      <c r="L4289" s="711"/>
      <c r="Q4289" s="11"/>
      <c r="R4289" s="11"/>
      <c r="S4289" s="11"/>
      <c r="T4289" s="11"/>
    </row>
    <row r="4290" spans="8:20" x14ac:dyDescent="0.35">
      <c r="H4290" s="711"/>
      <c r="I4290" s="711"/>
      <c r="J4290" s="711"/>
      <c r="K4290" s="711"/>
      <c r="L4290" s="711"/>
      <c r="Q4290" s="11"/>
      <c r="R4290" s="11"/>
      <c r="S4290" s="11"/>
      <c r="T4290" s="11"/>
    </row>
    <row r="4291" spans="8:20" x14ac:dyDescent="0.35">
      <c r="H4291" s="711"/>
      <c r="I4291" s="711"/>
      <c r="J4291" s="711"/>
      <c r="K4291" s="711"/>
      <c r="L4291" s="711"/>
      <c r="Q4291" s="11"/>
      <c r="R4291" s="11"/>
      <c r="S4291" s="11"/>
      <c r="T4291" s="11"/>
    </row>
    <row r="4292" spans="8:20" x14ac:dyDescent="0.35">
      <c r="H4292" s="711"/>
      <c r="I4292" s="711"/>
      <c r="J4292" s="711"/>
      <c r="K4292" s="711"/>
      <c r="L4292" s="711"/>
      <c r="Q4292" s="11"/>
      <c r="R4292" s="11"/>
      <c r="S4292" s="11"/>
      <c r="T4292" s="11"/>
    </row>
    <row r="4293" spans="8:20" x14ac:dyDescent="0.35">
      <c r="H4293" s="711"/>
      <c r="I4293" s="711"/>
      <c r="J4293" s="711"/>
      <c r="K4293" s="711"/>
      <c r="L4293" s="711"/>
      <c r="Q4293" s="11"/>
      <c r="R4293" s="11"/>
      <c r="S4293" s="11"/>
      <c r="T4293" s="11"/>
    </row>
    <row r="4294" spans="8:20" x14ac:dyDescent="0.35">
      <c r="H4294" s="711"/>
      <c r="I4294" s="711"/>
      <c r="J4294" s="711"/>
      <c r="K4294" s="711"/>
      <c r="L4294" s="711"/>
      <c r="Q4294" s="11"/>
      <c r="R4294" s="11"/>
      <c r="S4294" s="11"/>
      <c r="T4294" s="11"/>
    </row>
    <row r="4295" spans="8:20" x14ac:dyDescent="0.35">
      <c r="H4295" s="711"/>
      <c r="I4295" s="711"/>
      <c r="J4295" s="711"/>
      <c r="K4295" s="711"/>
      <c r="L4295" s="711"/>
      <c r="Q4295" s="11"/>
      <c r="R4295" s="11"/>
      <c r="S4295" s="11"/>
      <c r="T4295" s="11"/>
    </row>
    <row r="4296" spans="8:20" x14ac:dyDescent="0.35">
      <c r="H4296" s="711"/>
      <c r="I4296" s="711"/>
      <c r="J4296" s="711"/>
      <c r="K4296" s="711"/>
      <c r="L4296" s="711"/>
      <c r="Q4296" s="11"/>
      <c r="R4296" s="11"/>
      <c r="S4296" s="11"/>
      <c r="T4296" s="11"/>
    </row>
    <row r="4297" spans="8:20" x14ac:dyDescent="0.35">
      <c r="H4297" s="711"/>
      <c r="I4297" s="711"/>
      <c r="J4297" s="711"/>
      <c r="K4297" s="711"/>
      <c r="L4297" s="711"/>
      <c r="Q4297" s="11"/>
      <c r="R4297" s="11"/>
      <c r="S4297" s="11"/>
      <c r="T4297" s="11"/>
    </row>
    <row r="4298" spans="8:20" x14ac:dyDescent="0.35">
      <c r="H4298" s="711"/>
      <c r="I4298" s="711"/>
      <c r="J4298" s="711"/>
      <c r="K4298" s="711"/>
      <c r="L4298" s="711"/>
      <c r="Q4298" s="11"/>
      <c r="R4298" s="11"/>
      <c r="S4298" s="11"/>
      <c r="T4298" s="11"/>
    </row>
    <row r="4299" spans="8:20" x14ac:dyDescent="0.35">
      <c r="H4299" s="711"/>
      <c r="I4299" s="711"/>
      <c r="J4299" s="711"/>
      <c r="K4299" s="711"/>
      <c r="L4299" s="711"/>
      <c r="Q4299" s="11"/>
      <c r="R4299" s="11"/>
      <c r="S4299" s="11"/>
      <c r="T4299" s="11"/>
    </row>
    <row r="4300" spans="8:20" x14ac:dyDescent="0.35">
      <c r="H4300" s="711"/>
      <c r="I4300" s="711"/>
      <c r="J4300" s="711"/>
      <c r="K4300" s="711"/>
      <c r="L4300" s="711"/>
      <c r="Q4300" s="11"/>
      <c r="R4300" s="11"/>
      <c r="S4300" s="11"/>
      <c r="T4300" s="11"/>
    </row>
    <row r="4301" spans="8:20" x14ac:dyDescent="0.35">
      <c r="H4301" s="711"/>
      <c r="I4301" s="711"/>
      <c r="J4301" s="711"/>
      <c r="K4301" s="711"/>
      <c r="L4301" s="711"/>
      <c r="Q4301" s="11"/>
      <c r="R4301" s="11"/>
      <c r="S4301" s="11"/>
      <c r="T4301" s="11"/>
    </row>
    <row r="4302" spans="8:20" x14ac:dyDescent="0.35">
      <c r="H4302" s="711"/>
      <c r="I4302" s="711"/>
      <c r="J4302" s="711"/>
      <c r="K4302" s="711"/>
      <c r="L4302" s="711"/>
      <c r="Q4302" s="11"/>
      <c r="R4302" s="11"/>
      <c r="S4302" s="11"/>
      <c r="T4302" s="11"/>
    </row>
    <row r="4303" spans="8:20" x14ac:dyDescent="0.35">
      <c r="H4303" s="711"/>
      <c r="I4303" s="711"/>
      <c r="J4303" s="711"/>
      <c r="K4303" s="711"/>
      <c r="L4303" s="711"/>
      <c r="Q4303" s="11"/>
      <c r="R4303" s="11"/>
      <c r="S4303" s="11"/>
      <c r="T4303" s="11"/>
    </row>
    <row r="4304" spans="8:20" x14ac:dyDescent="0.35">
      <c r="H4304" s="711"/>
      <c r="I4304" s="711"/>
      <c r="J4304" s="711"/>
      <c r="K4304" s="711"/>
      <c r="L4304" s="711"/>
      <c r="Q4304" s="11"/>
      <c r="R4304" s="11"/>
      <c r="S4304" s="11"/>
      <c r="T4304" s="11"/>
    </row>
    <row r="4305" spans="8:20" x14ac:dyDescent="0.35">
      <c r="H4305" s="711"/>
      <c r="I4305" s="711"/>
      <c r="J4305" s="711"/>
      <c r="K4305" s="711"/>
      <c r="L4305" s="711"/>
      <c r="Q4305" s="11"/>
      <c r="R4305" s="11"/>
      <c r="S4305" s="11"/>
      <c r="T4305" s="11"/>
    </row>
    <row r="4306" spans="8:20" x14ac:dyDescent="0.35">
      <c r="H4306" s="711"/>
      <c r="I4306" s="711"/>
      <c r="J4306" s="711"/>
      <c r="K4306" s="711"/>
      <c r="L4306" s="711"/>
      <c r="Q4306" s="11"/>
      <c r="R4306" s="11"/>
      <c r="S4306" s="11"/>
      <c r="T4306" s="11"/>
    </row>
    <row r="4307" spans="8:20" x14ac:dyDescent="0.35">
      <c r="H4307" s="711"/>
      <c r="I4307" s="711"/>
      <c r="J4307" s="711"/>
      <c r="K4307" s="711"/>
      <c r="L4307" s="711"/>
      <c r="Q4307" s="11"/>
      <c r="R4307" s="11"/>
      <c r="S4307" s="11"/>
      <c r="T4307" s="11"/>
    </row>
    <row r="4308" spans="8:20" x14ac:dyDescent="0.35">
      <c r="H4308" s="711"/>
      <c r="I4308" s="711"/>
      <c r="J4308" s="711"/>
      <c r="K4308" s="711"/>
      <c r="L4308" s="711"/>
      <c r="Q4308" s="11"/>
      <c r="R4308" s="11"/>
      <c r="S4308" s="11"/>
      <c r="T4308" s="11"/>
    </row>
    <row r="4309" spans="8:20" x14ac:dyDescent="0.35">
      <c r="H4309" s="711"/>
      <c r="I4309" s="711"/>
      <c r="J4309" s="711"/>
      <c r="K4309" s="711"/>
      <c r="L4309" s="711"/>
      <c r="Q4309" s="11"/>
      <c r="R4309" s="11"/>
      <c r="S4309" s="11"/>
      <c r="T4309" s="11"/>
    </row>
    <row r="4310" spans="8:20" x14ac:dyDescent="0.35">
      <c r="H4310" s="711"/>
      <c r="I4310" s="711"/>
      <c r="J4310" s="711"/>
      <c r="K4310" s="711"/>
      <c r="L4310" s="711"/>
      <c r="Q4310" s="11"/>
      <c r="R4310" s="11"/>
      <c r="S4310" s="11"/>
      <c r="T4310" s="11"/>
    </row>
    <row r="4311" spans="8:20" x14ac:dyDescent="0.35">
      <c r="H4311" s="711"/>
      <c r="I4311" s="711"/>
      <c r="J4311" s="711"/>
      <c r="K4311" s="711"/>
      <c r="L4311" s="711"/>
      <c r="Q4311" s="11"/>
      <c r="R4311" s="11"/>
      <c r="S4311" s="11"/>
      <c r="T4311" s="11"/>
    </row>
    <row r="4312" spans="8:20" x14ac:dyDescent="0.35">
      <c r="H4312" s="711"/>
      <c r="I4312" s="711"/>
      <c r="J4312" s="711"/>
      <c r="K4312" s="711"/>
      <c r="L4312" s="711"/>
      <c r="Q4312" s="11"/>
      <c r="R4312" s="11"/>
      <c r="S4312" s="11"/>
      <c r="T4312" s="11"/>
    </row>
    <row r="4313" spans="8:20" x14ac:dyDescent="0.35">
      <c r="H4313" s="711"/>
      <c r="I4313" s="711"/>
      <c r="J4313" s="711"/>
      <c r="K4313" s="711"/>
      <c r="L4313" s="711"/>
      <c r="Q4313" s="11"/>
      <c r="R4313" s="11"/>
      <c r="S4313" s="11"/>
      <c r="T4313" s="11"/>
    </row>
    <row r="4314" spans="8:20" x14ac:dyDescent="0.35">
      <c r="H4314" s="711"/>
      <c r="I4314" s="711"/>
      <c r="J4314" s="711"/>
      <c r="K4314" s="711"/>
      <c r="L4314" s="711"/>
      <c r="Q4314" s="11"/>
      <c r="R4314" s="11"/>
      <c r="S4314" s="11"/>
      <c r="T4314" s="11"/>
    </row>
    <row r="4315" spans="8:20" x14ac:dyDescent="0.35">
      <c r="H4315" s="711"/>
      <c r="I4315" s="711"/>
      <c r="J4315" s="711"/>
      <c r="K4315" s="711"/>
      <c r="L4315" s="711"/>
      <c r="Q4315" s="11"/>
      <c r="R4315" s="11"/>
      <c r="S4315" s="11"/>
      <c r="T4315" s="11"/>
    </row>
    <row r="4316" spans="8:20" x14ac:dyDescent="0.35">
      <c r="H4316" s="711"/>
      <c r="I4316" s="711"/>
      <c r="J4316" s="711"/>
      <c r="K4316" s="711"/>
      <c r="L4316" s="711"/>
      <c r="Q4316" s="11"/>
      <c r="R4316" s="11"/>
      <c r="S4316" s="11"/>
      <c r="T4316" s="11"/>
    </row>
    <row r="4317" spans="8:20" x14ac:dyDescent="0.35">
      <c r="H4317" s="711"/>
      <c r="I4317" s="711"/>
      <c r="J4317" s="711"/>
      <c r="K4317" s="711"/>
      <c r="L4317" s="711"/>
      <c r="Q4317" s="11"/>
      <c r="R4317" s="11"/>
      <c r="S4317" s="11"/>
      <c r="T4317" s="11"/>
    </row>
    <row r="4318" spans="8:20" x14ac:dyDescent="0.35">
      <c r="H4318" s="711"/>
      <c r="I4318" s="711"/>
      <c r="J4318" s="711"/>
      <c r="K4318" s="711"/>
      <c r="L4318" s="711"/>
      <c r="Q4318" s="11"/>
      <c r="R4318" s="11"/>
      <c r="S4318" s="11"/>
      <c r="T4318" s="11"/>
    </row>
    <row r="4319" spans="8:20" x14ac:dyDescent="0.35">
      <c r="H4319" s="711"/>
      <c r="I4319" s="711"/>
      <c r="J4319" s="711"/>
      <c r="K4319" s="711"/>
      <c r="L4319" s="711"/>
      <c r="Q4319" s="11"/>
      <c r="R4319" s="11"/>
      <c r="S4319" s="11"/>
      <c r="T4319" s="11"/>
    </row>
    <row r="4320" spans="8:20" x14ac:dyDescent="0.35">
      <c r="H4320" s="711"/>
      <c r="I4320" s="711"/>
      <c r="J4320" s="711"/>
      <c r="K4320" s="711"/>
      <c r="L4320" s="711"/>
      <c r="Q4320" s="11"/>
      <c r="R4320" s="11"/>
      <c r="S4320" s="11"/>
      <c r="T4320" s="11"/>
    </row>
    <row r="4321" spans="8:20" x14ac:dyDescent="0.35">
      <c r="H4321" s="711"/>
      <c r="I4321" s="711"/>
      <c r="J4321" s="711"/>
      <c r="K4321" s="711"/>
      <c r="L4321" s="711"/>
      <c r="Q4321" s="11"/>
      <c r="R4321" s="11"/>
      <c r="S4321" s="11"/>
      <c r="T4321" s="11"/>
    </row>
    <row r="4322" spans="8:20" x14ac:dyDescent="0.35">
      <c r="H4322" s="711"/>
      <c r="I4322" s="711"/>
      <c r="J4322" s="711"/>
      <c r="K4322" s="711"/>
      <c r="L4322" s="711"/>
      <c r="Q4322" s="11"/>
      <c r="R4322" s="11"/>
      <c r="S4322" s="11"/>
      <c r="T4322" s="11"/>
    </row>
    <row r="4323" spans="8:20" x14ac:dyDescent="0.35">
      <c r="H4323" s="711"/>
      <c r="I4323" s="711"/>
      <c r="J4323" s="711"/>
      <c r="K4323" s="711"/>
      <c r="L4323" s="711"/>
      <c r="Q4323" s="11"/>
      <c r="R4323" s="11"/>
      <c r="S4323" s="11"/>
      <c r="T4323" s="11"/>
    </row>
    <row r="4324" spans="8:20" x14ac:dyDescent="0.35">
      <c r="H4324" s="711"/>
      <c r="I4324" s="711"/>
      <c r="J4324" s="711"/>
      <c r="K4324" s="711"/>
      <c r="L4324" s="711"/>
      <c r="Q4324" s="11"/>
      <c r="R4324" s="11"/>
      <c r="S4324" s="11"/>
      <c r="T4324" s="11"/>
    </row>
    <row r="4325" spans="8:20" x14ac:dyDescent="0.35">
      <c r="H4325" s="711"/>
      <c r="I4325" s="711"/>
      <c r="J4325" s="711"/>
      <c r="K4325" s="711"/>
      <c r="L4325" s="711"/>
      <c r="Q4325" s="11"/>
      <c r="R4325" s="11"/>
      <c r="S4325" s="11"/>
      <c r="T4325" s="11"/>
    </row>
    <row r="4326" spans="8:20" x14ac:dyDescent="0.35">
      <c r="H4326" s="711"/>
      <c r="I4326" s="711"/>
      <c r="J4326" s="711"/>
      <c r="K4326" s="711"/>
      <c r="L4326" s="711"/>
      <c r="Q4326" s="11"/>
      <c r="R4326" s="11"/>
      <c r="S4326" s="11"/>
      <c r="T4326" s="11"/>
    </row>
    <row r="4327" spans="8:20" x14ac:dyDescent="0.35">
      <c r="H4327" s="711"/>
      <c r="I4327" s="711"/>
      <c r="J4327" s="711"/>
      <c r="K4327" s="711"/>
      <c r="L4327" s="711"/>
      <c r="Q4327" s="11"/>
      <c r="R4327" s="11"/>
      <c r="S4327" s="11"/>
      <c r="T4327" s="11"/>
    </row>
    <row r="4328" spans="8:20" x14ac:dyDescent="0.35">
      <c r="H4328" s="711"/>
      <c r="I4328" s="711"/>
      <c r="J4328" s="711"/>
      <c r="K4328" s="711"/>
      <c r="L4328" s="711"/>
      <c r="Q4328" s="11"/>
      <c r="R4328" s="11"/>
      <c r="S4328" s="11"/>
      <c r="T4328" s="11"/>
    </row>
    <row r="4329" spans="8:20" x14ac:dyDescent="0.35">
      <c r="H4329" s="711"/>
      <c r="I4329" s="711"/>
      <c r="J4329" s="711"/>
      <c r="K4329" s="711"/>
      <c r="L4329" s="711"/>
      <c r="Q4329" s="11"/>
      <c r="R4329" s="11"/>
      <c r="S4329" s="11"/>
      <c r="T4329" s="11"/>
    </row>
    <row r="4330" spans="8:20" x14ac:dyDescent="0.35">
      <c r="H4330" s="711"/>
      <c r="I4330" s="711"/>
      <c r="J4330" s="711"/>
      <c r="K4330" s="711"/>
      <c r="L4330" s="711"/>
      <c r="Q4330" s="11"/>
      <c r="R4330" s="11"/>
      <c r="S4330" s="11"/>
      <c r="T4330" s="11"/>
    </row>
    <row r="4331" spans="8:20" x14ac:dyDescent="0.35">
      <c r="H4331" s="711"/>
      <c r="I4331" s="711"/>
      <c r="J4331" s="711"/>
      <c r="K4331" s="711"/>
      <c r="L4331" s="711"/>
      <c r="Q4331" s="11"/>
      <c r="R4331" s="11"/>
      <c r="S4331" s="11"/>
      <c r="T4331" s="11"/>
    </row>
    <row r="4332" spans="8:20" x14ac:dyDescent="0.35">
      <c r="H4332" s="711"/>
      <c r="I4332" s="711"/>
      <c r="J4332" s="711"/>
      <c r="K4332" s="711"/>
      <c r="L4332" s="711"/>
      <c r="Q4332" s="11"/>
      <c r="R4332" s="11"/>
      <c r="S4332" s="11"/>
      <c r="T4332" s="11"/>
    </row>
    <row r="4333" spans="8:20" x14ac:dyDescent="0.35">
      <c r="H4333" s="711"/>
      <c r="I4333" s="711"/>
      <c r="J4333" s="711"/>
      <c r="K4333" s="711"/>
      <c r="L4333" s="711"/>
      <c r="Q4333" s="11"/>
      <c r="R4333" s="11"/>
      <c r="S4333" s="11"/>
      <c r="T4333" s="11"/>
    </row>
    <row r="4334" spans="8:20" x14ac:dyDescent="0.35">
      <c r="H4334" s="711"/>
      <c r="I4334" s="711"/>
      <c r="J4334" s="711"/>
      <c r="K4334" s="711"/>
      <c r="L4334" s="711"/>
      <c r="Q4334" s="11"/>
      <c r="R4334" s="11"/>
      <c r="S4334" s="11"/>
      <c r="T4334" s="11"/>
    </row>
    <row r="4335" spans="8:20" x14ac:dyDescent="0.35">
      <c r="H4335" s="711"/>
      <c r="I4335" s="711"/>
      <c r="J4335" s="711"/>
      <c r="K4335" s="711"/>
      <c r="L4335" s="711"/>
      <c r="Q4335" s="11"/>
      <c r="R4335" s="11"/>
      <c r="S4335" s="11"/>
      <c r="T4335" s="11"/>
    </row>
    <row r="4336" spans="8:20" x14ac:dyDescent="0.35">
      <c r="H4336" s="711"/>
      <c r="I4336" s="711"/>
      <c r="J4336" s="711"/>
      <c r="K4336" s="711"/>
      <c r="L4336" s="711"/>
      <c r="Q4336" s="11"/>
      <c r="R4336" s="11"/>
      <c r="S4336" s="11"/>
      <c r="T4336" s="11"/>
    </row>
    <row r="4337" spans="8:20" x14ac:dyDescent="0.35">
      <c r="H4337" s="711"/>
      <c r="I4337" s="711"/>
      <c r="J4337" s="711"/>
      <c r="K4337" s="711"/>
      <c r="L4337" s="711"/>
      <c r="Q4337" s="11"/>
      <c r="R4337" s="11"/>
      <c r="S4337" s="11"/>
      <c r="T4337" s="11"/>
    </row>
    <row r="4338" spans="8:20" x14ac:dyDescent="0.35">
      <c r="H4338" s="711"/>
      <c r="I4338" s="711"/>
      <c r="J4338" s="711"/>
      <c r="K4338" s="711"/>
      <c r="L4338" s="711"/>
      <c r="Q4338" s="11"/>
      <c r="R4338" s="11"/>
      <c r="S4338" s="11"/>
      <c r="T4338" s="11"/>
    </row>
    <row r="4339" spans="8:20" x14ac:dyDescent="0.35">
      <c r="H4339" s="711"/>
      <c r="I4339" s="711"/>
      <c r="J4339" s="711"/>
      <c r="K4339" s="711"/>
      <c r="L4339" s="711"/>
      <c r="Q4339" s="11"/>
      <c r="R4339" s="11"/>
      <c r="S4339" s="11"/>
      <c r="T4339" s="11"/>
    </row>
    <row r="4340" spans="8:20" x14ac:dyDescent="0.35">
      <c r="H4340" s="711"/>
      <c r="I4340" s="711"/>
      <c r="J4340" s="711"/>
      <c r="K4340" s="711"/>
      <c r="L4340" s="711"/>
      <c r="Q4340" s="11"/>
      <c r="R4340" s="11"/>
      <c r="S4340" s="11"/>
      <c r="T4340" s="11"/>
    </row>
    <row r="4341" spans="8:20" x14ac:dyDescent="0.35">
      <c r="H4341" s="711"/>
      <c r="I4341" s="711"/>
      <c r="J4341" s="711"/>
      <c r="K4341" s="711"/>
      <c r="L4341" s="711"/>
      <c r="Q4341" s="11"/>
      <c r="R4341" s="11"/>
      <c r="S4341" s="11"/>
      <c r="T4341" s="11"/>
    </row>
    <row r="4342" spans="8:20" x14ac:dyDescent="0.35">
      <c r="H4342" s="711"/>
      <c r="I4342" s="711"/>
      <c r="J4342" s="711"/>
      <c r="K4342" s="711"/>
      <c r="L4342" s="711"/>
      <c r="Q4342" s="11"/>
      <c r="R4342" s="11"/>
      <c r="S4342" s="11"/>
      <c r="T4342" s="11"/>
    </row>
    <row r="4343" spans="8:20" x14ac:dyDescent="0.35">
      <c r="H4343" s="711"/>
      <c r="I4343" s="711"/>
      <c r="J4343" s="711"/>
      <c r="K4343" s="711"/>
      <c r="L4343" s="711"/>
      <c r="Q4343" s="11"/>
      <c r="R4343" s="11"/>
      <c r="S4343" s="11"/>
      <c r="T4343" s="11"/>
    </row>
    <row r="4344" spans="8:20" x14ac:dyDescent="0.35">
      <c r="H4344" s="711"/>
      <c r="I4344" s="711"/>
      <c r="J4344" s="711"/>
      <c r="K4344" s="711"/>
      <c r="L4344" s="711"/>
      <c r="Q4344" s="11"/>
      <c r="R4344" s="11"/>
      <c r="S4344" s="11"/>
      <c r="T4344" s="11"/>
    </row>
    <row r="4345" spans="8:20" x14ac:dyDescent="0.35">
      <c r="H4345" s="711"/>
      <c r="I4345" s="711"/>
      <c r="J4345" s="711"/>
      <c r="K4345" s="711"/>
      <c r="L4345" s="711"/>
      <c r="Q4345" s="11"/>
      <c r="R4345" s="11"/>
      <c r="S4345" s="11"/>
      <c r="T4345" s="11"/>
    </row>
    <row r="4346" spans="8:20" x14ac:dyDescent="0.35">
      <c r="H4346" s="711"/>
      <c r="I4346" s="711"/>
      <c r="J4346" s="711"/>
      <c r="K4346" s="711"/>
      <c r="L4346" s="711"/>
      <c r="Q4346" s="11"/>
      <c r="R4346" s="11"/>
      <c r="S4346" s="11"/>
      <c r="T4346" s="11"/>
    </row>
    <row r="4347" spans="8:20" x14ac:dyDescent="0.35">
      <c r="H4347" s="711"/>
      <c r="I4347" s="711"/>
      <c r="J4347" s="711"/>
      <c r="K4347" s="711"/>
      <c r="L4347" s="711"/>
      <c r="Q4347" s="11"/>
      <c r="R4347" s="11"/>
      <c r="S4347" s="11"/>
      <c r="T4347" s="11"/>
    </row>
    <row r="4348" spans="8:20" x14ac:dyDescent="0.35">
      <c r="H4348" s="711"/>
      <c r="I4348" s="711"/>
      <c r="J4348" s="711"/>
      <c r="K4348" s="711"/>
      <c r="L4348" s="711"/>
      <c r="Q4348" s="11"/>
      <c r="R4348" s="11"/>
      <c r="S4348" s="11"/>
      <c r="T4348" s="11"/>
    </row>
    <row r="4349" spans="8:20" x14ac:dyDescent="0.35">
      <c r="H4349" s="711"/>
      <c r="I4349" s="711"/>
      <c r="J4349" s="711"/>
      <c r="K4349" s="711"/>
      <c r="L4349" s="711"/>
      <c r="Q4349" s="11"/>
      <c r="R4349" s="11"/>
      <c r="S4349" s="11"/>
      <c r="T4349" s="11"/>
    </row>
    <row r="4350" spans="8:20" x14ac:dyDescent="0.35">
      <c r="H4350" s="711"/>
      <c r="I4350" s="711"/>
      <c r="J4350" s="711"/>
      <c r="K4350" s="711"/>
      <c r="L4350" s="711"/>
      <c r="Q4350" s="11"/>
      <c r="R4350" s="11"/>
      <c r="S4350" s="11"/>
      <c r="T4350" s="11"/>
    </row>
    <row r="4351" spans="8:20" x14ac:dyDescent="0.35">
      <c r="H4351" s="711"/>
      <c r="I4351" s="711"/>
      <c r="J4351" s="711"/>
      <c r="K4351" s="711"/>
      <c r="L4351" s="711"/>
      <c r="Q4351" s="11"/>
      <c r="R4351" s="11"/>
      <c r="S4351" s="11"/>
      <c r="T4351" s="11"/>
    </row>
    <row r="4352" spans="8:20" x14ac:dyDescent="0.35">
      <c r="H4352" s="711"/>
      <c r="I4352" s="711"/>
      <c r="J4352" s="711"/>
      <c r="K4352" s="711"/>
      <c r="L4352" s="711"/>
      <c r="Q4352" s="11"/>
      <c r="R4352" s="11"/>
      <c r="S4352" s="11"/>
      <c r="T4352" s="11"/>
    </row>
    <row r="4353" spans="8:20" x14ac:dyDescent="0.35">
      <c r="H4353" s="711"/>
      <c r="I4353" s="711"/>
      <c r="J4353" s="711"/>
      <c r="K4353" s="711"/>
      <c r="L4353" s="711"/>
      <c r="Q4353" s="11"/>
      <c r="R4353" s="11"/>
      <c r="S4353" s="11"/>
      <c r="T4353" s="11"/>
    </row>
    <row r="4354" spans="8:20" x14ac:dyDescent="0.35">
      <c r="H4354" s="711"/>
      <c r="I4354" s="711"/>
      <c r="J4354" s="711"/>
      <c r="K4354" s="711"/>
      <c r="L4354" s="711"/>
      <c r="Q4354" s="11"/>
      <c r="R4354" s="11"/>
      <c r="S4354" s="11"/>
      <c r="T4354" s="11"/>
    </row>
    <row r="4355" spans="8:20" x14ac:dyDescent="0.35">
      <c r="H4355" s="711"/>
      <c r="I4355" s="711"/>
      <c r="J4355" s="711"/>
      <c r="K4355" s="711"/>
      <c r="L4355" s="711"/>
      <c r="Q4355" s="11"/>
      <c r="R4355" s="11"/>
      <c r="S4355" s="11"/>
      <c r="T4355" s="11"/>
    </row>
    <row r="4356" spans="8:20" x14ac:dyDescent="0.35">
      <c r="H4356" s="711"/>
      <c r="I4356" s="711"/>
      <c r="J4356" s="711"/>
      <c r="K4356" s="711"/>
      <c r="L4356" s="711"/>
      <c r="Q4356" s="11"/>
      <c r="R4356" s="11"/>
      <c r="S4356" s="11"/>
      <c r="T4356" s="11"/>
    </row>
    <row r="4357" spans="8:20" x14ac:dyDescent="0.35">
      <c r="H4357" s="711"/>
      <c r="I4357" s="711"/>
      <c r="J4357" s="711"/>
      <c r="K4357" s="711"/>
      <c r="L4357" s="711"/>
      <c r="Q4357" s="11"/>
      <c r="R4357" s="11"/>
      <c r="S4357" s="11"/>
      <c r="T4357" s="11"/>
    </row>
    <row r="4358" spans="8:20" x14ac:dyDescent="0.35">
      <c r="H4358" s="711"/>
      <c r="I4358" s="711"/>
      <c r="J4358" s="711"/>
      <c r="K4358" s="711"/>
      <c r="L4358" s="711"/>
      <c r="Q4358" s="11"/>
      <c r="R4358" s="11"/>
      <c r="S4358" s="11"/>
      <c r="T4358" s="11"/>
    </row>
    <row r="4359" spans="8:20" x14ac:dyDescent="0.35">
      <c r="H4359" s="711"/>
      <c r="I4359" s="711"/>
      <c r="J4359" s="711"/>
      <c r="K4359" s="711"/>
      <c r="L4359" s="711"/>
      <c r="Q4359" s="11"/>
      <c r="R4359" s="11"/>
      <c r="S4359" s="11"/>
      <c r="T4359" s="11"/>
    </row>
    <row r="4360" spans="8:20" x14ac:dyDescent="0.35">
      <c r="H4360" s="711"/>
      <c r="I4360" s="711"/>
      <c r="J4360" s="711"/>
      <c r="K4360" s="711"/>
      <c r="L4360" s="711"/>
      <c r="Q4360" s="11"/>
      <c r="R4360" s="11"/>
      <c r="S4360" s="11"/>
      <c r="T4360" s="11"/>
    </row>
    <row r="4361" spans="8:20" x14ac:dyDescent="0.35">
      <c r="H4361" s="711"/>
      <c r="I4361" s="711"/>
      <c r="J4361" s="711"/>
      <c r="K4361" s="711"/>
      <c r="L4361" s="711"/>
      <c r="Q4361" s="11"/>
      <c r="R4361" s="11"/>
      <c r="S4361" s="11"/>
      <c r="T4361" s="11"/>
    </row>
    <row r="4362" spans="8:20" x14ac:dyDescent="0.35">
      <c r="H4362" s="711"/>
      <c r="I4362" s="711"/>
      <c r="J4362" s="711"/>
      <c r="K4362" s="711"/>
      <c r="L4362" s="711"/>
      <c r="Q4362" s="11"/>
      <c r="R4362" s="11"/>
      <c r="S4362" s="11"/>
      <c r="T4362" s="11"/>
    </row>
    <row r="4363" spans="8:20" x14ac:dyDescent="0.35">
      <c r="H4363" s="711"/>
      <c r="I4363" s="711"/>
      <c r="J4363" s="711"/>
      <c r="K4363" s="711"/>
      <c r="L4363" s="711"/>
      <c r="Q4363" s="11"/>
      <c r="R4363" s="11"/>
      <c r="S4363" s="11"/>
      <c r="T4363" s="11"/>
    </row>
    <row r="4364" spans="8:20" x14ac:dyDescent="0.35">
      <c r="H4364" s="711"/>
      <c r="I4364" s="711"/>
      <c r="J4364" s="711"/>
      <c r="K4364" s="711"/>
      <c r="L4364" s="711"/>
      <c r="Q4364" s="11"/>
      <c r="R4364" s="11"/>
      <c r="S4364" s="11"/>
      <c r="T4364" s="11"/>
    </row>
    <row r="4365" spans="8:20" x14ac:dyDescent="0.35">
      <c r="H4365" s="711"/>
      <c r="I4365" s="711"/>
      <c r="J4365" s="711"/>
      <c r="K4365" s="711"/>
      <c r="L4365" s="711"/>
      <c r="Q4365" s="11"/>
      <c r="R4365" s="11"/>
      <c r="S4365" s="11"/>
      <c r="T4365" s="11"/>
    </row>
    <row r="4366" spans="8:20" x14ac:dyDescent="0.35">
      <c r="H4366" s="711"/>
      <c r="I4366" s="711"/>
      <c r="J4366" s="711"/>
      <c r="K4366" s="711"/>
      <c r="L4366" s="711"/>
      <c r="Q4366" s="11"/>
      <c r="R4366" s="11"/>
      <c r="S4366" s="11"/>
      <c r="T4366" s="11"/>
    </row>
    <row r="4367" spans="8:20" x14ac:dyDescent="0.35">
      <c r="H4367" s="711"/>
      <c r="I4367" s="711"/>
      <c r="J4367" s="711"/>
      <c r="K4367" s="711"/>
      <c r="L4367" s="711"/>
      <c r="Q4367" s="11"/>
      <c r="R4367" s="11"/>
      <c r="S4367" s="11"/>
      <c r="T4367" s="11"/>
    </row>
    <row r="4368" spans="8:20" x14ac:dyDescent="0.35">
      <c r="H4368" s="711"/>
      <c r="I4368" s="711"/>
      <c r="J4368" s="711"/>
      <c r="K4368" s="711"/>
      <c r="L4368" s="711"/>
      <c r="Q4368" s="11"/>
      <c r="R4368" s="11"/>
      <c r="S4368" s="11"/>
      <c r="T4368" s="11"/>
    </row>
    <row r="4369" spans="8:20" x14ac:dyDescent="0.35">
      <c r="H4369" s="711"/>
      <c r="I4369" s="711"/>
      <c r="J4369" s="711"/>
      <c r="K4369" s="711"/>
      <c r="L4369" s="711"/>
      <c r="Q4369" s="11"/>
      <c r="R4369" s="11"/>
      <c r="S4369" s="11"/>
      <c r="T4369" s="11"/>
    </row>
    <row r="4370" spans="8:20" x14ac:dyDescent="0.35">
      <c r="H4370" s="711"/>
      <c r="I4370" s="711"/>
      <c r="J4370" s="711"/>
      <c r="K4370" s="711"/>
      <c r="L4370" s="711"/>
      <c r="Q4370" s="11"/>
      <c r="R4370" s="11"/>
      <c r="S4370" s="11"/>
      <c r="T4370" s="11"/>
    </row>
    <row r="4371" spans="8:20" x14ac:dyDescent="0.35">
      <c r="H4371" s="711"/>
      <c r="I4371" s="711"/>
      <c r="J4371" s="711"/>
      <c r="K4371" s="711"/>
      <c r="L4371" s="711"/>
      <c r="Q4371" s="11"/>
      <c r="R4371" s="11"/>
      <c r="S4371" s="11"/>
      <c r="T4371" s="11"/>
    </row>
    <row r="4372" spans="8:20" x14ac:dyDescent="0.35">
      <c r="H4372" s="711"/>
      <c r="I4372" s="711"/>
      <c r="J4372" s="711"/>
      <c r="K4372" s="711"/>
      <c r="L4372" s="711"/>
      <c r="Q4372" s="11"/>
      <c r="R4372" s="11"/>
      <c r="S4372" s="11"/>
      <c r="T4372" s="11"/>
    </row>
    <row r="4373" spans="8:20" x14ac:dyDescent="0.35">
      <c r="H4373" s="711"/>
      <c r="I4373" s="711"/>
      <c r="J4373" s="711"/>
      <c r="K4373" s="711"/>
      <c r="L4373" s="711"/>
      <c r="Q4373" s="11"/>
      <c r="R4373" s="11"/>
      <c r="S4373" s="11"/>
      <c r="T4373" s="11"/>
    </row>
    <row r="4374" spans="8:20" x14ac:dyDescent="0.35">
      <c r="H4374" s="711"/>
      <c r="I4374" s="711"/>
      <c r="J4374" s="711"/>
      <c r="K4374" s="711"/>
      <c r="L4374" s="711"/>
      <c r="Q4374" s="11"/>
      <c r="R4374" s="11"/>
      <c r="S4374" s="11"/>
      <c r="T4374" s="11"/>
    </row>
    <row r="4375" spans="8:20" x14ac:dyDescent="0.35">
      <c r="H4375" s="711"/>
      <c r="I4375" s="711"/>
      <c r="J4375" s="711"/>
      <c r="K4375" s="711"/>
      <c r="L4375" s="711"/>
      <c r="Q4375" s="11"/>
      <c r="R4375" s="11"/>
      <c r="S4375" s="11"/>
      <c r="T4375" s="11"/>
    </row>
    <row r="4376" spans="8:20" x14ac:dyDescent="0.35">
      <c r="H4376" s="711"/>
      <c r="I4376" s="711"/>
      <c r="J4376" s="711"/>
      <c r="K4376" s="711"/>
      <c r="L4376" s="711"/>
      <c r="Q4376" s="11"/>
      <c r="R4376" s="11"/>
      <c r="S4376" s="11"/>
      <c r="T4376" s="11"/>
    </row>
    <row r="4377" spans="8:20" x14ac:dyDescent="0.35">
      <c r="H4377" s="711"/>
      <c r="I4377" s="711"/>
      <c r="J4377" s="711"/>
      <c r="K4377" s="711"/>
      <c r="L4377" s="711"/>
      <c r="Q4377" s="11"/>
      <c r="R4377" s="11"/>
      <c r="S4377" s="11"/>
      <c r="T4377" s="11"/>
    </row>
    <row r="4378" spans="8:20" x14ac:dyDescent="0.35">
      <c r="H4378" s="711"/>
      <c r="I4378" s="711"/>
      <c r="J4378" s="711"/>
      <c r="K4378" s="711"/>
      <c r="L4378" s="711"/>
      <c r="Q4378" s="11"/>
      <c r="R4378" s="11"/>
      <c r="S4378" s="11"/>
      <c r="T4378" s="11"/>
    </row>
    <row r="4379" spans="8:20" x14ac:dyDescent="0.35">
      <c r="H4379" s="711"/>
      <c r="I4379" s="711"/>
      <c r="J4379" s="711"/>
      <c r="K4379" s="711"/>
      <c r="L4379" s="711"/>
      <c r="Q4379" s="11"/>
      <c r="R4379" s="11"/>
      <c r="S4379" s="11"/>
      <c r="T4379" s="11"/>
    </row>
    <row r="4380" spans="8:20" x14ac:dyDescent="0.35">
      <c r="H4380" s="711"/>
      <c r="I4380" s="711"/>
      <c r="J4380" s="711"/>
      <c r="K4380" s="711"/>
      <c r="L4380" s="711"/>
      <c r="Q4380" s="11"/>
      <c r="R4380" s="11"/>
      <c r="S4380" s="11"/>
      <c r="T4380" s="11"/>
    </row>
    <row r="4381" spans="8:20" x14ac:dyDescent="0.35">
      <c r="H4381" s="711"/>
      <c r="I4381" s="711"/>
      <c r="J4381" s="711"/>
      <c r="K4381" s="711"/>
      <c r="L4381" s="711"/>
      <c r="Q4381" s="11"/>
      <c r="R4381" s="11"/>
      <c r="S4381" s="11"/>
      <c r="T4381" s="11"/>
    </row>
    <row r="4382" spans="8:20" x14ac:dyDescent="0.35">
      <c r="H4382" s="711"/>
      <c r="I4382" s="711"/>
      <c r="J4382" s="711"/>
      <c r="K4382" s="711"/>
      <c r="L4382" s="711"/>
      <c r="Q4382" s="11"/>
      <c r="R4382" s="11"/>
      <c r="S4382" s="11"/>
      <c r="T4382" s="11"/>
    </row>
    <row r="4383" spans="8:20" x14ac:dyDescent="0.35">
      <c r="H4383" s="711"/>
      <c r="I4383" s="711"/>
      <c r="J4383" s="711"/>
      <c r="K4383" s="711"/>
      <c r="L4383" s="711"/>
      <c r="Q4383" s="11"/>
      <c r="R4383" s="11"/>
      <c r="S4383" s="11"/>
      <c r="T4383" s="11"/>
    </row>
    <row r="4384" spans="8:20" x14ac:dyDescent="0.35">
      <c r="H4384" s="711"/>
      <c r="I4384" s="711"/>
      <c r="J4384" s="711"/>
      <c r="K4384" s="711"/>
      <c r="L4384" s="711"/>
      <c r="Q4384" s="11"/>
      <c r="R4384" s="11"/>
      <c r="S4384" s="11"/>
      <c r="T4384" s="11"/>
    </row>
    <row r="4385" spans="8:20" x14ac:dyDescent="0.35">
      <c r="H4385" s="711"/>
      <c r="I4385" s="711"/>
      <c r="J4385" s="711"/>
      <c r="K4385" s="711"/>
      <c r="L4385" s="711"/>
      <c r="Q4385" s="11"/>
      <c r="R4385" s="11"/>
      <c r="S4385" s="11"/>
      <c r="T4385" s="11"/>
    </row>
    <row r="4386" spans="8:20" x14ac:dyDescent="0.35">
      <c r="H4386" s="711"/>
      <c r="I4386" s="711"/>
      <c r="J4386" s="711"/>
      <c r="K4386" s="711"/>
      <c r="L4386" s="711"/>
      <c r="Q4386" s="11"/>
      <c r="R4386" s="11"/>
      <c r="S4386" s="11"/>
      <c r="T4386" s="11"/>
    </row>
    <row r="4387" spans="8:20" x14ac:dyDescent="0.35">
      <c r="H4387" s="711"/>
      <c r="I4387" s="711"/>
      <c r="J4387" s="711"/>
      <c r="K4387" s="711"/>
      <c r="L4387" s="711"/>
      <c r="Q4387" s="11"/>
      <c r="R4387" s="11"/>
      <c r="S4387" s="11"/>
      <c r="T4387" s="11"/>
    </row>
    <row r="4388" spans="8:20" x14ac:dyDescent="0.35">
      <c r="H4388" s="711"/>
      <c r="I4388" s="711"/>
      <c r="J4388" s="711"/>
      <c r="K4388" s="711"/>
      <c r="L4388" s="711"/>
      <c r="Q4388" s="11"/>
      <c r="R4388" s="11"/>
      <c r="S4388" s="11"/>
      <c r="T4388" s="11"/>
    </row>
    <row r="4389" spans="8:20" x14ac:dyDescent="0.35">
      <c r="H4389" s="711"/>
      <c r="I4389" s="711"/>
      <c r="J4389" s="711"/>
      <c r="K4389" s="711"/>
      <c r="L4389" s="711"/>
      <c r="Q4389" s="11"/>
      <c r="R4389" s="11"/>
      <c r="S4389" s="11"/>
      <c r="T4389" s="11"/>
    </row>
    <row r="4390" spans="8:20" x14ac:dyDescent="0.35">
      <c r="H4390" s="711"/>
      <c r="I4390" s="711"/>
      <c r="J4390" s="711"/>
      <c r="K4390" s="711"/>
      <c r="L4390" s="711"/>
      <c r="Q4390" s="11"/>
      <c r="R4390" s="11"/>
      <c r="S4390" s="11"/>
      <c r="T4390" s="11"/>
    </row>
    <row r="4391" spans="8:20" x14ac:dyDescent="0.35">
      <c r="H4391" s="711"/>
      <c r="I4391" s="711"/>
      <c r="J4391" s="711"/>
      <c r="K4391" s="711"/>
      <c r="L4391" s="711"/>
      <c r="Q4391" s="11"/>
      <c r="R4391" s="11"/>
      <c r="S4391" s="11"/>
      <c r="T4391" s="11"/>
    </row>
    <row r="4392" spans="8:20" x14ac:dyDescent="0.35">
      <c r="H4392" s="711"/>
      <c r="I4392" s="711"/>
      <c r="J4392" s="711"/>
      <c r="K4392" s="711"/>
      <c r="L4392" s="711"/>
      <c r="Q4392" s="11"/>
      <c r="R4392" s="11"/>
      <c r="S4392" s="11"/>
      <c r="T4392" s="11"/>
    </row>
    <row r="4393" spans="8:20" x14ac:dyDescent="0.35">
      <c r="H4393" s="711"/>
      <c r="I4393" s="711"/>
      <c r="J4393" s="711"/>
      <c r="K4393" s="711"/>
      <c r="L4393" s="711"/>
      <c r="Q4393" s="11"/>
      <c r="R4393" s="11"/>
      <c r="S4393" s="11"/>
      <c r="T4393" s="11"/>
    </row>
    <row r="4394" spans="8:20" x14ac:dyDescent="0.35">
      <c r="H4394" s="711"/>
      <c r="I4394" s="711"/>
      <c r="J4394" s="711"/>
      <c r="K4394" s="711"/>
      <c r="L4394" s="711"/>
      <c r="Q4394" s="11"/>
      <c r="R4394" s="11"/>
      <c r="S4394" s="11"/>
      <c r="T4394" s="11"/>
    </row>
    <row r="4395" spans="8:20" x14ac:dyDescent="0.35">
      <c r="H4395" s="711"/>
      <c r="I4395" s="711"/>
      <c r="J4395" s="711"/>
      <c r="K4395" s="711"/>
      <c r="L4395" s="711"/>
      <c r="Q4395" s="11"/>
      <c r="R4395" s="11"/>
      <c r="S4395" s="11"/>
      <c r="T4395" s="11"/>
    </row>
    <row r="4396" spans="8:20" x14ac:dyDescent="0.35">
      <c r="H4396" s="711"/>
      <c r="I4396" s="711"/>
      <c r="J4396" s="711"/>
      <c r="K4396" s="711"/>
      <c r="L4396" s="711"/>
      <c r="Q4396" s="11"/>
      <c r="R4396" s="11"/>
      <c r="S4396" s="11"/>
      <c r="T4396" s="11"/>
    </row>
    <row r="4397" spans="8:20" x14ac:dyDescent="0.35">
      <c r="H4397" s="711"/>
      <c r="I4397" s="711"/>
      <c r="J4397" s="711"/>
      <c r="K4397" s="711"/>
      <c r="L4397" s="711"/>
      <c r="Q4397" s="11"/>
      <c r="R4397" s="11"/>
      <c r="S4397" s="11"/>
      <c r="T4397" s="11"/>
    </row>
    <row r="4398" spans="8:20" x14ac:dyDescent="0.35">
      <c r="H4398" s="711"/>
      <c r="I4398" s="711"/>
      <c r="J4398" s="711"/>
      <c r="K4398" s="711"/>
      <c r="L4398" s="711"/>
      <c r="Q4398" s="11"/>
      <c r="R4398" s="11"/>
      <c r="S4398" s="11"/>
      <c r="T4398" s="11"/>
    </row>
    <row r="4399" spans="8:20" x14ac:dyDescent="0.35">
      <c r="H4399" s="711"/>
      <c r="I4399" s="711"/>
      <c r="J4399" s="711"/>
      <c r="K4399" s="711"/>
      <c r="L4399" s="711"/>
      <c r="Q4399" s="11"/>
      <c r="R4399" s="11"/>
      <c r="S4399" s="11"/>
      <c r="T4399" s="11"/>
    </row>
    <row r="4400" spans="8:20" x14ac:dyDescent="0.35">
      <c r="H4400" s="711"/>
      <c r="I4400" s="711"/>
      <c r="J4400" s="711"/>
      <c r="K4400" s="711"/>
      <c r="L4400" s="711"/>
      <c r="Q4400" s="11"/>
      <c r="R4400" s="11"/>
      <c r="S4400" s="11"/>
      <c r="T4400" s="11"/>
    </row>
    <row r="4401" spans="8:20" x14ac:dyDescent="0.35">
      <c r="H4401" s="711"/>
      <c r="I4401" s="711"/>
      <c r="J4401" s="711"/>
      <c r="K4401" s="711"/>
      <c r="L4401" s="711"/>
      <c r="Q4401" s="11"/>
      <c r="R4401" s="11"/>
      <c r="S4401" s="11"/>
      <c r="T4401" s="11"/>
    </row>
    <row r="4402" spans="8:20" x14ac:dyDescent="0.35">
      <c r="H4402" s="711"/>
      <c r="I4402" s="711"/>
      <c r="J4402" s="711"/>
      <c r="K4402" s="711"/>
      <c r="L4402" s="711"/>
      <c r="Q4402" s="11"/>
      <c r="R4402" s="11"/>
      <c r="S4402" s="11"/>
      <c r="T4402" s="11"/>
    </row>
    <row r="4403" spans="8:20" x14ac:dyDescent="0.35">
      <c r="H4403" s="711"/>
      <c r="I4403" s="711"/>
      <c r="J4403" s="711"/>
      <c r="K4403" s="711"/>
      <c r="L4403" s="711"/>
      <c r="Q4403" s="11"/>
      <c r="R4403" s="11"/>
      <c r="S4403" s="11"/>
      <c r="T4403" s="11"/>
    </row>
    <row r="4404" spans="8:20" x14ac:dyDescent="0.35">
      <c r="H4404" s="711"/>
      <c r="I4404" s="711"/>
      <c r="J4404" s="711"/>
      <c r="K4404" s="711"/>
      <c r="L4404" s="711"/>
      <c r="Q4404" s="11"/>
      <c r="R4404" s="11"/>
      <c r="S4404" s="11"/>
      <c r="T4404" s="11"/>
    </row>
    <row r="4405" spans="8:20" x14ac:dyDescent="0.35">
      <c r="H4405" s="711"/>
      <c r="I4405" s="711"/>
      <c r="J4405" s="711"/>
      <c r="K4405" s="711"/>
      <c r="L4405" s="711"/>
      <c r="Q4405" s="11"/>
      <c r="R4405" s="11"/>
      <c r="S4405" s="11"/>
      <c r="T4405" s="11"/>
    </row>
    <row r="4406" spans="8:20" x14ac:dyDescent="0.35">
      <c r="H4406" s="711"/>
      <c r="I4406" s="711"/>
      <c r="J4406" s="711"/>
      <c r="K4406" s="711"/>
      <c r="L4406" s="711"/>
      <c r="Q4406" s="11"/>
      <c r="R4406" s="11"/>
      <c r="S4406" s="11"/>
      <c r="T4406" s="11"/>
    </row>
    <row r="4407" spans="8:20" x14ac:dyDescent="0.35">
      <c r="H4407" s="711"/>
      <c r="I4407" s="711"/>
      <c r="J4407" s="711"/>
      <c r="K4407" s="711"/>
      <c r="L4407" s="711"/>
      <c r="Q4407" s="11"/>
      <c r="R4407" s="11"/>
      <c r="S4407" s="11"/>
      <c r="T4407" s="11"/>
    </row>
    <row r="4408" spans="8:20" x14ac:dyDescent="0.35">
      <c r="H4408" s="711"/>
      <c r="I4408" s="711"/>
      <c r="J4408" s="711"/>
      <c r="K4408" s="711"/>
      <c r="L4408" s="711"/>
      <c r="Q4408" s="11"/>
      <c r="R4408" s="11"/>
      <c r="S4408" s="11"/>
      <c r="T4408" s="11"/>
    </row>
    <row r="4409" spans="8:20" x14ac:dyDescent="0.35">
      <c r="H4409" s="711"/>
      <c r="I4409" s="711"/>
      <c r="J4409" s="711"/>
      <c r="K4409" s="711"/>
      <c r="L4409" s="711"/>
      <c r="Q4409" s="11"/>
      <c r="R4409" s="11"/>
      <c r="S4409" s="11"/>
      <c r="T4409" s="11"/>
    </row>
    <row r="4410" spans="8:20" x14ac:dyDescent="0.35">
      <c r="H4410" s="711"/>
      <c r="I4410" s="711"/>
      <c r="J4410" s="711"/>
      <c r="K4410" s="711"/>
      <c r="L4410" s="711"/>
      <c r="Q4410" s="11"/>
      <c r="R4410" s="11"/>
      <c r="S4410" s="11"/>
      <c r="T4410" s="11"/>
    </row>
    <row r="4411" spans="8:20" x14ac:dyDescent="0.35">
      <c r="H4411" s="711"/>
      <c r="I4411" s="711"/>
      <c r="J4411" s="711"/>
      <c r="K4411" s="711"/>
      <c r="L4411" s="711"/>
      <c r="Q4411" s="11"/>
      <c r="R4411" s="11"/>
      <c r="S4411" s="11"/>
      <c r="T4411" s="11"/>
    </row>
    <row r="4412" spans="8:20" x14ac:dyDescent="0.35">
      <c r="H4412" s="711"/>
      <c r="I4412" s="711"/>
      <c r="J4412" s="711"/>
      <c r="K4412" s="711"/>
      <c r="L4412" s="711"/>
      <c r="Q4412" s="11"/>
      <c r="R4412" s="11"/>
      <c r="S4412" s="11"/>
      <c r="T4412" s="11"/>
    </row>
    <row r="4413" spans="8:20" x14ac:dyDescent="0.35">
      <c r="H4413" s="711"/>
      <c r="I4413" s="711"/>
      <c r="J4413" s="711"/>
      <c r="K4413" s="711"/>
      <c r="L4413" s="711"/>
      <c r="Q4413" s="11"/>
      <c r="R4413" s="11"/>
      <c r="S4413" s="11"/>
      <c r="T4413" s="11"/>
    </row>
    <row r="4414" spans="8:20" x14ac:dyDescent="0.35">
      <c r="H4414" s="711"/>
      <c r="I4414" s="711"/>
      <c r="J4414" s="711"/>
      <c r="K4414" s="711"/>
      <c r="L4414" s="711"/>
      <c r="Q4414" s="11"/>
      <c r="R4414" s="11"/>
      <c r="S4414" s="11"/>
      <c r="T4414" s="11"/>
    </row>
    <row r="4415" spans="8:20" x14ac:dyDescent="0.35">
      <c r="H4415" s="711"/>
      <c r="I4415" s="711"/>
      <c r="J4415" s="711"/>
      <c r="K4415" s="711"/>
      <c r="L4415" s="711"/>
      <c r="Q4415" s="11"/>
      <c r="R4415" s="11"/>
      <c r="S4415" s="11"/>
      <c r="T4415" s="11"/>
    </row>
    <row r="4416" spans="8:20" x14ac:dyDescent="0.35">
      <c r="H4416" s="711"/>
      <c r="I4416" s="711"/>
      <c r="J4416" s="711"/>
      <c r="K4416" s="711"/>
      <c r="L4416" s="711"/>
      <c r="Q4416" s="11"/>
      <c r="R4416" s="11"/>
      <c r="S4416" s="11"/>
      <c r="T4416" s="11"/>
    </row>
    <row r="4417" spans="8:20" x14ac:dyDescent="0.35">
      <c r="H4417" s="711"/>
      <c r="I4417" s="711"/>
      <c r="J4417" s="711"/>
      <c r="K4417" s="711"/>
      <c r="L4417" s="711"/>
      <c r="Q4417" s="11"/>
      <c r="R4417" s="11"/>
      <c r="S4417" s="11"/>
      <c r="T4417" s="11"/>
    </row>
    <row r="4418" spans="8:20" x14ac:dyDescent="0.35">
      <c r="H4418" s="711"/>
      <c r="I4418" s="711"/>
      <c r="J4418" s="711"/>
      <c r="K4418" s="711"/>
      <c r="L4418" s="711"/>
      <c r="Q4418" s="11"/>
      <c r="R4418" s="11"/>
      <c r="S4418" s="11"/>
      <c r="T4418" s="11"/>
    </row>
    <row r="4419" spans="8:20" x14ac:dyDescent="0.35">
      <c r="H4419" s="711"/>
      <c r="I4419" s="711"/>
      <c r="J4419" s="711"/>
      <c r="K4419" s="711"/>
      <c r="L4419" s="711"/>
      <c r="Q4419" s="11"/>
      <c r="R4419" s="11"/>
      <c r="S4419" s="11"/>
      <c r="T4419" s="11"/>
    </row>
    <row r="4420" spans="8:20" x14ac:dyDescent="0.35">
      <c r="H4420" s="711"/>
      <c r="I4420" s="711"/>
      <c r="J4420" s="711"/>
      <c r="K4420" s="711"/>
      <c r="L4420" s="711"/>
      <c r="Q4420" s="11"/>
      <c r="R4420" s="11"/>
      <c r="S4420" s="11"/>
      <c r="T4420" s="11"/>
    </row>
    <row r="4421" spans="8:20" x14ac:dyDescent="0.35">
      <c r="H4421" s="711"/>
      <c r="I4421" s="711"/>
      <c r="J4421" s="711"/>
      <c r="K4421" s="711"/>
      <c r="L4421" s="711"/>
      <c r="Q4421" s="11"/>
      <c r="R4421" s="11"/>
      <c r="S4421" s="11"/>
      <c r="T4421" s="11"/>
    </row>
    <row r="4422" spans="8:20" x14ac:dyDescent="0.35">
      <c r="H4422" s="711"/>
      <c r="I4422" s="711"/>
      <c r="J4422" s="711"/>
      <c r="K4422" s="711"/>
      <c r="L4422" s="711"/>
      <c r="Q4422" s="11"/>
      <c r="R4422" s="11"/>
      <c r="S4422" s="11"/>
      <c r="T4422" s="11"/>
    </row>
    <row r="4423" spans="8:20" x14ac:dyDescent="0.35">
      <c r="H4423" s="711"/>
      <c r="I4423" s="711"/>
      <c r="J4423" s="711"/>
      <c r="K4423" s="711"/>
      <c r="L4423" s="711"/>
      <c r="Q4423" s="11"/>
      <c r="R4423" s="11"/>
      <c r="S4423" s="11"/>
      <c r="T4423" s="11"/>
    </row>
    <row r="4424" spans="8:20" x14ac:dyDescent="0.35">
      <c r="H4424" s="711"/>
      <c r="I4424" s="711"/>
      <c r="J4424" s="711"/>
      <c r="K4424" s="711"/>
      <c r="L4424" s="711"/>
      <c r="Q4424" s="11"/>
      <c r="R4424" s="11"/>
      <c r="S4424" s="11"/>
      <c r="T4424" s="11"/>
    </row>
    <row r="4425" spans="8:20" x14ac:dyDescent="0.35">
      <c r="H4425" s="711"/>
      <c r="I4425" s="711"/>
      <c r="J4425" s="711"/>
      <c r="K4425" s="711"/>
      <c r="L4425" s="711"/>
      <c r="Q4425" s="11"/>
      <c r="R4425" s="11"/>
      <c r="S4425" s="11"/>
      <c r="T4425" s="11"/>
    </row>
    <row r="4426" spans="8:20" x14ac:dyDescent="0.35">
      <c r="H4426" s="711"/>
      <c r="I4426" s="711"/>
      <c r="J4426" s="711"/>
      <c r="K4426" s="711"/>
      <c r="L4426" s="711"/>
      <c r="Q4426" s="11"/>
      <c r="R4426" s="11"/>
      <c r="S4426" s="11"/>
      <c r="T4426" s="11"/>
    </row>
    <row r="4427" spans="8:20" x14ac:dyDescent="0.35">
      <c r="H4427" s="711"/>
      <c r="I4427" s="711"/>
      <c r="J4427" s="711"/>
      <c r="K4427" s="711"/>
      <c r="L4427" s="711"/>
      <c r="Q4427" s="11"/>
      <c r="R4427" s="11"/>
      <c r="S4427" s="11"/>
      <c r="T4427" s="11"/>
    </row>
    <row r="4428" spans="8:20" x14ac:dyDescent="0.35">
      <c r="H4428" s="711"/>
      <c r="I4428" s="711"/>
      <c r="J4428" s="711"/>
      <c r="K4428" s="711"/>
      <c r="L4428" s="711"/>
      <c r="Q4428" s="11"/>
      <c r="R4428" s="11"/>
      <c r="S4428" s="11"/>
      <c r="T4428" s="11"/>
    </row>
    <row r="4429" spans="8:20" x14ac:dyDescent="0.35">
      <c r="H4429" s="711"/>
      <c r="I4429" s="711"/>
      <c r="J4429" s="711"/>
      <c r="K4429" s="711"/>
      <c r="L4429" s="711"/>
      <c r="Q4429" s="11"/>
      <c r="R4429" s="11"/>
      <c r="S4429" s="11"/>
      <c r="T4429" s="11"/>
    </row>
    <row r="4430" spans="8:20" x14ac:dyDescent="0.35">
      <c r="H4430" s="711"/>
      <c r="I4430" s="711"/>
      <c r="J4430" s="711"/>
      <c r="K4430" s="711"/>
      <c r="L4430" s="711"/>
      <c r="Q4430" s="11"/>
      <c r="R4430" s="11"/>
      <c r="S4430" s="11"/>
      <c r="T4430" s="11"/>
    </row>
    <row r="4431" spans="8:20" x14ac:dyDescent="0.35">
      <c r="H4431" s="711"/>
      <c r="I4431" s="711"/>
      <c r="J4431" s="711"/>
      <c r="K4431" s="711"/>
      <c r="L4431" s="711"/>
      <c r="Q4431" s="11"/>
      <c r="R4431" s="11"/>
      <c r="S4431" s="11"/>
      <c r="T4431" s="11"/>
    </row>
    <row r="4432" spans="8:20" x14ac:dyDescent="0.35">
      <c r="H4432" s="711"/>
      <c r="I4432" s="711"/>
      <c r="J4432" s="711"/>
      <c r="K4432" s="711"/>
      <c r="L4432" s="711"/>
      <c r="Q4432" s="11"/>
      <c r="R4432" s="11"/>
      <c r="S4432" s="11"/>
      <c r="T4432" s="11"/>
    </row>
    <row r="4433" spans="8:20" x14ac:dyDescent="0.35">
      <c r="H4433" s="711"/>
      <c r="I4433" s="711"/>
      <c r="J4433" s="711"/>
      <c r="K4433" s="711"/>
      <c r="L4433" s="711"/>
      <c r="Q4433" s="11"/>
      <c r="R4433" s="11"/>
      <c r="S4433" s="11"/>
      <c r="T4433" s="11"/>
    </row>
    <row r="4434" spans="8:20" x14ac:dyDescent="0.35">
      <c r="H4434" s="711"/>
      <c r="I4434" s="711"/>
      <c r="J4434" s="711"/>
      <c r="K4434" s="711"/>
      <c r="L4434" s="711"/>
      <c r="Q4434" s="11"/>
      <c r="R4434" s="11"/>
      <c r="S4434" s="11"/>
      <c r="T4434" s="11"/>
    </row>
    <row r="4435" spans="8:20" x14ac:dyDescent="0.35">
      <c r="H4435" s="711"/>
      <c r="I4435" s="711"/>
      <c r="J4435" s="711"/>
      <c r="K4435" s="711"/>
      <c r="L4435" s="711"/>
      <c r="Q4435" s="11"/>
      <c r="R4435" s="11"/>
      <c r="S4435" s="11"/>
      <c r="T4435" s="11"/>
    </row>
    <row r="4436" spans="8:20" x14ac:dyDescent="0.35">
      <c r="H4436" s="711"/>
      <c r="I4436" s="711"/>
      <c r="J4436" s="711"/>
      <c r="K4436" s="711"/>
      <c r="L4436" s="711"/>
      <c r="Q4436" s="11"/>
      <c r="R4436" s="11"/>
      <c r="S4436" s="11"/>
      <c r="T4436" s="11"/>
    </row>
    <row r="4437" spans="8:20" x14ac:dyDescent="0.35">
      <c r="H4437" s="711"/>
      <c r="I4437" s="711"/>
      <c r="J4437" s="711"/>
      <c r="K4437" s="711"/>
      <c r="L4437" s="711"/>
      <c r="Q4437" s="11"/>
      <c r="R4437" s="11"/>
      <c r="S4437" s="11"/>
      <c r="T4437" s="11"/>
    </row>
    <row r="4438" spans="8:20" x14ac:dyDescent="0.35">
      <c r="H4438" s="711"/>
      <c r="I4438" s="711"/>
      <c r="J4438" s="711"/>
      <c r="K4438" s="711"/>
      <c r="L4438" s="711"/>
      <c r="Q4438" s="11"/>
      <c r="R4438" s="11"/>
      <c r="S4438" s="11"/>
      <c r="T4438" s="11"/>
    </row>
    <row r="4439" spans="8:20" x14ac:dyDescent="0.35">
      <c r="H4439" s="711"/>
      <c r="I4439" s="711"/>
      <c r="J4439" s="711"/>
      <c r="K4439" s="711"/>
      <c r="L4439" s="711"/>
      <c r="Q4439" s="11"/>
      <c r="R4439" s="11"/>
      <c r="S4439" s="11"/>
      <c r="T4439" s="11"/>
    </row>
    <row r="4440" spans="8:20" x14ac:dyDescent="0.35">
      <c r="H4440" s="711"/>
      <c r="I4440" s="711"/>
      <c r="J4440" s="711"/>
      <c r="K4440" s="711"/>
      <c r="L4440" s="711"/>
      <c r="Q4440" s="11"/>
      <c r="R4440" s="11"/>
      <c r="S4440" s="11"/>
      <c r="T4440" s="11"/>
    </row>
    <row r="4441" spans="8:20" x14ac:dyDescent="0.35">
      <c r="H4441" s="711"/>
      <c r="I4441" s="711"/>
      <c r="J4441" s="711"/>
      <c r="K4441" s="711"/>
      <c r="L4441" s="711"/>
      <c r="Q4441" s="11"/>
      <c r="R4441" s="11"/>
      <c r="S4441" s="11"/>
      <c r="T4441" s="11"/>
    </row>
    <row r="4442" spans="8:20" x14ac:dyDescent="0.35">
      <c r="H4442" s="711"/>
      <c r="I4442" s="711"/>
      <c r="J4442" s="711"/>
      <c r="K4442" s="711"/>
      <c r="L4442" s="711"/>
      <c r="Q4442" s="11"/>
      <c r="R4442" s="11"/>
      <c r="S4442" s="11"/>
      <c r="T4442" s="11"/>
    </row>
    <row r="4443" spans="8:20" x14ac:dyDescent="0.35">
      <c r="H4443" s="711"/>
      <c r="I4443" s="711"/>
      <c r="J4443" s="711"/>
      <c r="K4443" s="711"/>
      <c r="L4443" s="711"/>
      <c r="Q4443" s="11"/>
      <c r="R4443" s="11"/>
      <c r="S4443" s="11"/>
      <c r="T4443" s="11"/>
    </row>
    <row r="4444" spans="8:20" x14ac:dyDescent="0.35">
      <c r="H4444" s="711"/>
      <c r="I4444" s="711"/>
      <c r="J4444" s="711"/>
      <c r="K4444" s="711"/>
      <c r="L4444" s="711"/>
      <c r="Q4444" s="11"/>
      <c r="R4444" s="11"/>
      <c r="S4444" s="11"/>
      <c r="T4444" s="11"/>
    </row>
    <row r="4445" spans="8:20" x14ac:dyDescent="0.35">
      <c r="H4445" s="711"/>
      <c r="I4445" s="711"/>
      <c r="J4445" s="711"/>
      <c r="K4445" s="711"/>
      <c r="L4445" s="711"/>
      <c r="Q4445" s="11"/>
      <c r="R4445" s="11"/>
      <c r="S4445" s="11"/>
      <c r="T4445" s="11"/>
    </row>
    <row r="4446" spans="8:20" x14ac:dyDescent="0.35">
      <c r="H4446" s="711"/>
      <c r="I4446" s="711"/>
      <c r="J4446" s="711"/>
      <c r="K4446" s="711"/>
      <c r="L4446" s="711"/>
      <c r="Q4446" s="11"/>
      <c r="R4446" s="11"/>
      <c r="S4446" s="11"/>
      <c r="T4446" s="11"/>
    </row>
    <row r="4447" spans="8:20" x14ac:dyDescent="0.35">
      <c r="H4447" s="711"/>
      <c r="I4447" s="711"/>
      <c r="J4447" s="711"/>
      <c r="K4447" s="711"/>
      <c r="L4447" s="711"/>
      <c r="Q4447" s="11"/>
      <c r="R4447" s="11"/>
      <c r="S4447" s="11"/>
      <c r="T4447" s="11"/>
    </row>
    <row r="4448" spans="8:20" x14ac:dyDescent="0.35">
      <c r="H4448" s="711"/>
      <c r="I4448" s="711"/>
      <c r="J4448" s="711"/>
      <c r="K4448" s="711"/>
      <c r="L4448" s="711"/>
      <c r="Q4448" s="11"/>
      <c r="R4448" s="11"/>
      <c r="S4448" s="11"/>
      <c r="T4448" s="11"/>
    </row>
    <row r="4449" spans="8:20" x14ac:dyDescent="0.35">
      <c r="H4449" s="711"/>
      <c r="I4449" s="711"/>
      <c r="J4449" s="711"/>
      <c r="K4449" s="711"/>
      <c r="L4449" s="711"/>
      <c r="Q4449" s="11"/>
      <c r="R4449" s="11"/>
      <c r="S4449" s="11"/>
      <c r="T4449" s="11"/>
    </row>
    <row r="4450" spans="8:20" x14ac:dyDescent="0.35">
      <c r="H4450" s="711"/>
      <c r="I4450" s="711"/>
      <c r="J4450" s="711"/>
      <c r="K4450" s="711"/>
      <c r="L4450" s="711"/>
      <c r="Q4450" s="11"/>
      <c r="R4450" s="11"/>
      <c r="S4450" s="11"/>
      <c r="T4450" s="11"/>
    </row>
    <row r="4451" spans="8:20" x14ac:dyDescent="0.35">
      <c r="H4451" s="711"/>
      <c r="I4451" s="711"/>
      <c r="J4451" s="711"/>
      <c r="K4451" s="711"/>
      <c r="L4451" s="711"/>
      <c r="Q4451" s="11"/>
      <c r="R4451" s="11"/>
      <c r="S4451" s="11"/>
      <c r="T4451" s="11"/>
    </row>
    <row r="4452" spans="8:20" x14ac:dyDescent="0.35">
      <c r="H4452" s="711"/>
      <c r="I4452" s="711"/>
      <c r="J4452" s="711"/>
      <c r="K4452" s="711"/>
      <c r="L4452" s="711"/>
      <c r="Q4452" s="11"/>
      <c r="R4452" s="11"/>
      <c r="S4452" s="11"/>
      <c r="T4452" s="11"/>
    </row>
    <row r="4453" spans="8:20" x14ac:dyDescent="0.35">
      <c r="H4453" s="711"/>
      <c r="I4453" s="711"/>
      <c r="J4453" s="711"/>
      <c r="K4453" s="711"/>
      <c r="L4453" s="711"/>
      <c r="Q4453" s="11"/>
      <c r="R4453" s="11"/>
      <c r="S4453" s="11"/>
      <c r="T4453" s="11"/>
    </row>
    <row r="4454" spans="8:20" x14ac:dyDescent="0.35">
      <c r="H4454" s="711"/>
      <c r="I4454" s="711"/>
      <c r="J4454" s="711"/>
      <c r="K4454" s="711"/>
      <c r="L4454" s="711"/>
      <c r="Q4454" s="11"/>
      <c r="R4454" s="11"/>
      <c r="S4454" s="11"/>
      <c r="T4454" s="11"/>
    </row>
    <row r="4455" spans="8:20" x14ac:dyDescent="0.35">
      <c r="H4455" s="711"/>
      <c r="I4455" s="711"/>
      <c r="J4455" s="711"/>
      <c r="K4455" s="711"/>
      <c r="L4455" s="711"/>
      <c r="Q4455" s="11"/>
      <c r="R4455" s="11"/>
      <c r="S4455" s="11"/>
      <c r="T4455" s="11"/>
    </row>
    <row r="4456" spans="8:20" x14ac:dyDescent="0.35">
      <c r="H4456" s="711"/>
      <c r="I4456" s="711"/>
      <c r="J4456" s="711"/>
      <c r="K4456" s="711"/>
      <c r="L4456" s="711"/>
      <c r="Q4456" s="11"/>
      <c r="R4456" s="11"/>
      <c r="S4456" s="11"/>
      <c r="T4456" s="11"/>
    </row>
    <row r="4457" spans="8:20" x14ac:dyDescent="0.35">
      <c r="H4457" s="711"/>
      <c r="I4457" s="711"/>
      <c r="J4457" s="711"/>
      <c r="K4457" s="711"/>
      <c r="L4457" s="711"/>
      <c r="Q4457" s="11"/>
      <c r="R4457" s="11"/>
      <c r="S4457" s="11"/>
      <c r="T4457" s="11"/>
    </row>
    <row r="4458" spans="8:20" x14ac:dyDescent="0.35">
      <c r="H4458" s="711"/>
      <c r="I4458" s="711"/>
      <c r="J4458" s="711"/>
      <c r="K4458" s="711"/>
      <c r="L4458" s="711"/>
      <c r="Q4458" s="11"/>
      <c r="R4458" s="11"/>
      <c r="S4458" s="11"/>
      <c r="T4458" s="11"/>
    </row>
    <row r="4459" spans="8:20" x14ac:dyDescent="0.35">
      <c r="H4459" s="711"/>
      <c r="I4459" s="711"/>
      <c r="J4459" s="711"/>
      <c r="K4459" s="711"/>
      <c r="L4459" s="711"/>
      <c r="Q4459" s="11"/>
      <c r="R4459" s="11"/>
      <c r="S4459" s="11"/>
      <c r="T4459" s="11"/>
    </row>
    <row r="4460" spans="8:20" x14ac:dyDescent="0.35">
      <c r="H4460" s="711"/>
      <c r="I4460" s="711"/>
      <c r="J4460" s="711"/>
      <c r="K4460" s="711"/>
      <c r="L4460" s="711"/>
      <c r="Q4460" s="11"/>
      <c r="R4460" s="11"/>
      <c r="S4460" s="11"/>
      <c r="T4460" s="11"/>
    </row>
    <row r="4461" spans="8:20" x14ac:dyDescent="0.35">
      <c r="H4461" s="711"/>
      <c r="I4461" s="711"/>
      <c r="J4461" s="711"/>
      <c r="K4461" s="711"/>
      <c r="L4461" s="711"/>
      <c r="Q4461" s="11"/>
      <c r="R4461" s="11"/>
      <c r="S4461" s="11"/>
      <c r="T4461" s="11"/>
    </row>
    <row r="4462" spans="8:20" x14ac:dyDescent="0.35">
      <c r="H4462" s="711"/>
      <c r="I4462" s="711"/>
      <c r="J4462" s="711"/>
      <c r="K4462" s="711"/>
      <c r="L4462" s="711"/>
      <c r="Q4462" s="11"/>
      <c r="R4462" s="11"/>
      <c r="S4462" s="11"/>
      <c r="T4462" s="11"/>
    </row>
    <row r="4463" spans="8:20" x14ac:dyDescent="0.35">
      <c r="H4463" s="711"/>
      <c r="I4463" s="711"/>
      <c r="J4463" s="711"/>
      <c r="K4463" s="711"/>
      <c r="L4463" s="711"/>
      <c r="Q4463" s="11"/>
      <c r="R4463" s="11"/>
      <c r="S4463" s="11"/>
      <c r="T4463" s="11"/>
    </row>
    <row r="4464" spans="8:20" x14ac:dyDescent="0.35">
      <c r="H4464" s="711"/>
      <c r="I4464" s="711"/>
      <c r="J4464" s="711"/>
      <c r="K4464" s="711"/>
      <c r="L4464" s="711"/>
      <c r="Q4464" s="11"/>
      <c r="R4464" s="11"/>
      <c r="S4464" s="11"/>
      <c r="T4464" s="11"/>
    </row>
    <row r="4465" spans="8:20" x14ac:dyDescent="0.35">
      <c r="H4465" s="711"/>
      <c r="I4465" s="711"/>
      <c r="J4465" s="711"/>
      <c r="K4465" s="711"/>
      <c r="L4465" s="711"/>
      <c r="Q4465" s="11"/>
      <c r="R4465" s="11"/>
      <c r="S4465" s="11"/>
      <c r="T4465" s="11"/>
    </row>
    <row r="4466" spans="8:20" x14ac:dyDescent="0.35">
      <c r="H4466" s="711"/>
      <c r="I4466" s="711"/>
      <c r="J4466" s="711"/>
      <c r="K4466" s="711"/>
      <c r="L4466" s="711"/>
      <c r="Q4466" s="11"/>
      <c r="R4466" s="11"/>
      <c r="S4466" s="11"/>
      <c r="T4466" s="11"/>
    </row>
    <row r="4467" spans="8:20" x14ac:dyDescent="0.35">
      <c r="H4467" s="711"/>
      <c r="I4467" s="711"/>
      <c r="J4467" s="711"/>
      <c r="K4467" s="711"/>
      <c r="L4467" s="711"/>
      <c r="Q4467" s="11"/>
      <c r="R4467" s="11"/>
      <c r="S4467" s="11"/>
      <c r="T4467" s="11"/>
    </row>
    <row r="4468" spans="8:20" x14ac:dyDescent="0.35">
      <c r="H4468" s="711"/>
      <c r="I4468" s="711"/>
      <c r="J4468" s="711"/>
      <c r="K4468" s="711"/>
      <c r="L4468" s="711"/>
      <c r="Q4468" s="11"/>
      <c r="R4468" s="11"/>
      <c r="S4468" s="11"/>
      <c r="T4468" s="11"/>
    </row>
    <row r="4469" spans="8:20" x14ac:dyDescent="0.35">
      <c r="H4469" s="711"/>
      <c r="I4469" s="711"/>
      <c r="J4469" s="711"/>
      <c r="K4469" s="711"/>
      <c r="L4469" s="711"/>
      <c r="Q4469" s="11"/>
      <c r="R4469" s="11"/>
      <c r="S4469" s="11"/>
      <c r="T4469" s="11"/>
    </row>
    <row r="4470" spans="8:20" x14ac:dyDescent="0.35">
      <c r="H4470" s="711"/>
      <c r="I4470" s="711"/>
      <c r="J4470" s="711"/>
      <c r="K4470" s="711"/>
      <c r="L4470" s="711"/>
      <c r="Q4470" s="11"/>
      <c r="R4470" s="11"/>
      <c r="S4470" s="11"/>
      <c r="T4470" s="11"/>
    </row>
    <row r="4471" spans="8:20" x14ac:dyDescent="0.35">
      <c r="H4471" s="711"/>
      <c r="I4471" s="711"/>
      <c r="J4471" s="711"/>
      <c r="K4471" s="711"/>
      <c r="L4471" s="711"/>
      <c r="Q4471" s="11"/>
      <c r="R4471" s="11"/>
      <c r="S4471" s="11"/>
      <c r="T4471" s="11"/>
    </row>
    <row r="4472" spans="8:20" x14ac:dyDescent="0.35">
      <c r="H4472" s="711"/>
      <c r="I4472" s="711"/>
      <c r="J4472" s="711"/>
      <c r="K4472" s="711"/>
      <c r="L4472" s="711"/>
      <c r="Q4472" s="11"/>
      <c r="R4472" s="11"/>
      <c r="S4472" s="11"/>
      <c r="T4472" s="11"/>
    </row>
    <row r="4473" spans="8:20" x14ac:dyDescent="0.35">
      <c r="H4473" s="711"/>
      <c r="I4473" s="711"/>
      <c r="J4473" s="711"/>
      <c r="K4473" s="711"/>
      <c r="L4473" s="711"/>
      <c r="Q4473" s="11"/>
      <c r="R4473" s="11"/>
      <c r="S4473" s="11"/>
      <c r="T4473" s="11"/>
    </row>
    <row r="4474" spans="8:20" x14ac:dyDescent="0.35">
      <c r="H4474" s="711"/>
      <c r="I4474" s="711"/>
      <c r="J4474" s="711"/>
      <c r="K4474" s="711"/>
      <c r="L4474" s="711"/>
      <c r="Q4474" s="11"/>
      <c r="R4474" s="11"/>
      <c r="S4474" s="11"/>
      <c r="T4474" s="11"/>
    </row>
    <row r="4475" spans="8:20" x14ac:dyDescent="0.35">
      <c r="H4475" s="711"/>
      <c r="I4475" s="711"/>
      <c r="J4475" s="711"/>
      <c r="K4475" s="711"/>
      <c r="L4475" s="711"/>
      <c r="Q4475" s="11"/>
      <c r="R4475" s="11"/>
      <c r="S4475" s="11"/>
      <c r="T4475" s="11"/>
    </row>
    <row r="4476" spans="8:20" x14ac:dyDescent="0.35">
      <c r="H4476" s="711"/>
      <c r="I4476" s="711"/>
      <c r="J4476" s="711"/>
      <c r="K4476" s="711"/>
      <c r="L4476" s="711"/>
      <c r="Q4476" s="11"/>
      <c r="R4476" s="11"/>
      <c r="S4476" s="11"/>
      <c r="T4476" s="11"/>
    </row>
    <row r="4477" spans="8:20" x14ac:dyDescent="0.35">
      <c r="H4477" s="711"/>
      <c r="I4477" s="711"/>
      <c r="J4477" s="711"/>
      <c r="K4477" s="711"/>
      <c r="L4477" s="711"/>
      <c r="Q4477" s="11"/>
      <c r="R4477" s="11"/>
      <c r="S4477" s="11"/>
      <c r="T4477" s="11"/>
    </row>
    <row r="4478" spans="8:20" x14ac:dyDescent="0.35">
      <c r="H4478" s="711"/>
      <c r="I4478" s="711"/>
      <c r="J4478" s="711"/>
      <c r="K4478" s="711"/>
      <c r="L4478" s="711"/>
      <c r="Q4478" s="11"/>
      <c r="R4478" s="11"/>
      <c r="S4478" s="11"/>
      <c r="T4478" s="11"/>
    </row>
    <row r="4479" spans="8:20" x14ac:dyDescent="0.35">
      <c r="H4479" s="711"/>
      <c r="I4479" s="711"/>
      <c r="J4479" s="711"/>
      <c r="K4479" s="711"/>
      <c r="L4479" s="711"/>
      <c r="Q4479" s="11"/>
      <c r="R4479" s="11"/>
      <c r="S4479" s="11"/>
      <c r="T4479" s="11"/>
    </row>
    <row r="4480" spans="8:20" x14ac:dyDescent="0.35">
      <c r="H4480" s="711"/>
      <c r="I4480" s="711"/>
      <c r="J4480" s="711"/>
      <c r="K4480" s="711"/>
      <c r="L4480" s="711"/>
      <c r="Q4480" s="11"/>
      <c r="R4480" s="11"/>
      <c r="S4480" s="11"/>
      <c r="T4480" s="11"/>
    </row>
    <row r="4481" spans="8:20" x14ac:dyDescent="0.35">
      <c r="H4481" s="711"/>
      <c r="I4481" s="711"/>
      <c r="J4481" s="711"/>
      <c r="K4481" s="711"/>
      <c r="L4481" s="711"/>
      <c r="Q4481" s="11"/>
      <c r="R4481" s="11"/>
      <c r="S4481" s="11"/>
      <c r="T4481" s="11"/>
    </row>
    <row r="4482" spans="8:20" x14ac:dyDescent="0.35">
      <c r="H4482" s="711"/>
      <c r="I4482" s="711"/>
      <c r="J4482" s="711"/>
      <c r="K4482" s="711"/>
      <c r="L4482" s="711"/>
      <c r="Q4482" s="11"/>
      <c r="R4482" s="11"/>
      <c r="S4482" s="11"/>
      <c r="T4482" s="11"/>
    </row>
    <row r="4483" spans="8:20" x14ac:dyDescent="0.35">
      <c r="H4483" s="711"/>
      <c r="I4483" s="711"/>
      <c r="J4483" s="711"/>
      <c r="K4483" s="711"/>
      <c r="L4483" s="711"/>
      <c r="Q4483" s="11"/>
      <c r="R4483" s="11"/>
      <c r="S4483" s="11"/>
      <c r="T4483" s="11"/>
    </row>
    <row r="4484" spans="8:20" x14ac:dyDescent="0.35">
      <c r="H4484" s="711"/>
      <c r="I4484" s="711"/>
      <c r="J4484" s="711"/>
      <c r="K4484" s="711"/>
      <c r="L4484" s="711"/>
      <c r="Q4484" s="11"/>
      <c r="R4484" s="11"/>
      <c r="S4484" s="11"/>
      <c r="T4484" s="11"/>
    </row>
    <row r="4485" spans="8:20" x14ac:dyDescent="0.35">
      <c r="H4485" s="711"/>
      <c r="I4485" s="711"/>
      <c r="J4485" s="711"/>
      <c r="K4485" s="711"/>
      <c r="L4485" s="711"/>
      <c r="Q4485" s="11"/>
      <c r="R4485" s="11"/>
      <c r="S4485" s="11"/>
      <c r="T4485" s="11"/>
    </row>
    <row r="4486" spans="8:20" x14ac:dyDescent="0.35">
      <c r="H4486" s="711"/>
      <c r="I4486" s="711"/>
      <c r="J4486" s="711"/>
      <c r="K4486" s="711"/>
      <c r="L4486" s="711"/>
      <c r="Q4486" s="11"/>
      <c r="R4486" s="11"/>
      <c r="S4486" s="11"/>
      <c r="T4486" s="11"/>
    </row>
    <row r="4487" spans="8:20" x14ac:dyDescent="0.35">
      <c r="H4487" s="711"/>
      <c r="I4487" s="711"/>
      <c r="J4487" s="711"/>
      <c r="K4487" s="711"/>
      <c r="L4487" s="711"/>
      <c r="Q4487" s="11"/>
      <c r="R4487" s="11"/>
      <c r="S4487" s="11"/>
      <c r="T4487" s="11"/>
    </row>
    <row r="4488" spans="8:20" x14ac:dyDescent="0.35">
      <c r="H4488" s="711"/>
      <c r="I4488" s="711"/>
      <c r="J4488" s="711"/>
      <c r="K4488" s="711"/>
      <c r="L4488" s="711"/>
      <c r="Q4488" s="11"/>
      <c r="R4488" s="11"/>
      <c r="S4488" s="11"/>
      <c r="T4488" s="11"/>
    </row>
    <row r="4489" spans="8:20" x14ac:dyDescent="0.35">
      <c r="H4489" s="711"/>
      <c r="I4489" s="711"/>
      <c r="J4489" s="711"/>
      <c r="K4489" s="711"/>
      <c r="L4489" s="711"/>
      <c r="Q4489" s="11"/>
      <c r="R4489" s="11"/>
      <c r="S4489" s="11"/>
      <c r="T4489" s="11"/>
    </row>
    <row r="4490" spans="8:20" x14ac:dyDescent="0.35">
      <c r="H4490" s="711"/>
      <c r="I4490" s="711"/>
      <c r="J4490" s="711"/>
      <c r="K4490" s="711"/>
      <c r="L4490" s="711"/>
      <c r="Q4490" s="11"/>
      <c r="R4490" s="11"/>
      <c r="S4490" s="11"/>
      <c r="T4490" s="11"/>
    </row>
    <row r="4491" spans="8:20" x14ac:dyDescent="0.35">
      <c r="H4491" s="711"/>
      <c r="I4491" s="711"/>
      <c r="J4491" s="711"/>
      <c r="K4491" s="711"/>
      <c r="L4491" s="711"/>
      <c r="Q4491" s="11"/>
      <c r="R4491" s="11"/>
      <c r="S4491" s="11"/>
      <c r="T4491" s="11"/>
    </row>
    <row r="4492" spans="8:20" x14ac:dyDescent="0.35">
      <c r="H4492" s="711"/>
      <c r="I4492" s="711"/>
      <c r="J4492" s="711"/>
      <c r="K4492" s="711"/>
      <c r="L4492" s="711"/>
      <c r="Q4492" s="11"/>
      <c r="R4492" s="11"/>
      <c r="S4492" s="11"/>
      <c r="T4492" s="11"/>
    </row>
    <row r="4493" spans="8:20" x14ac:dyDescent="0.35">
      <c r="H4493" s="711"/>
      <c r="I4493" s="711"/>
      <c r="J4493" s="711"/>
      <c r="K4493" s="711"/>
      <c r="L4493" s="711"/>
      <c r="Q4493" s="11"/>
      <c r="R4493" s="11"/>
      <c r="S4493" s="11"/>
      <c r="T4493" s="11"/>
    </row>
    <row r="4494" spans="8:20" x14ac:dyDescent="0.35">
      <c r="H4494" s="711"/>
      <c r="I4494" s="711"/>
      <c r="J4494" s="711"/>
      <c r="K4494" s="711"/>
      <c r="L4494" s="711"/>
      <c r="Q4494" s="11"/>
      <c r="R4494" s="11"/>
      <c r="S4494" s="11"/>
      <c r="T4494" s="11"/>
    </row>
    <row r="4495" spans="8:20" x14ac:dyDescent="0.35">
      <c r="H4495" s="711"/>
      <c r="I4495" s="711"/>
      <c r="J4495" s="711"/>
      <c r="K4495" s="711"/>
      <c r="L4495" s="711"/>
      <c r="Q4495" s="11"/>
      <c r="R4495" s="11"/>
      <c r="S4495" s="11"/>
      <c r="T4495" s="11"/>
    </row>
    <row r="4496" spans="8:20" x14ac:dyDescent="0.35">
      <c r="H4496" s="711"/>
      <c r="I4496" s="711"/>
      <c r="J4496" s="711"/>
      <c r="K4496" s="711"/>
      <c r="L4496" s="711"/>
      <c r="Q4496" s="11"/>
      <c r="R4496" s="11"/>
      <c r="S4496" s="11"/>
      <c r="T4496" s="11"/>
    </row>
    <row r="4497" spans="8:20" x14ac:dyDescent="0.35">
      <c r="H4497" s="711"/>
      <c r="I4497" s="711"/>
      <c r="J4497" s="711"/>
      <c r="K4497" s="711"/>
      <c r="L4497" s="711"/>
      <c r="Q4497" s="11"/>
      <c r="R4497" s="11"/>
      <c r="S4497" s="11"/>
      <c r="T4497" s="11"/>
    </row>
    <row r="4498" spans="8:20" x14ac:dyDescent="0.35">
      <c r="H4498" s="711"/>
      <c r="I4498" s="711"/>
      <c r="J4498" s="711"/>
      <c r="K4498" s="711"/>
      <c r="L4498" s="711"/>
      <c r="Q4498" s="11"/>
      <c r="R4498" s="11"/>
      <c r="S4498" s="11"/>
      <c r="T4498" s="11"/>
    </row>
    <row r="4499" spans="8:20" x14ac:dyDescent="0.35">
      <c r="H4499" s="711"/>
      <c r="I4499" s="711"/>
      <c r="J4499" s="711"/>
      <c r="K4499" s="711"/>
      <c r="L4499" s="711"/>
      <c r="Q4499" s="11"/>
      <c r="R4499" s="11"/>
      <c r="S4499" s="11"/>
      <c r="T4499" s="11"/>
    </row>
    <row r="4500" spans="8:20" x14ac:dyDescent="0.35">
      <c r="H4500" s="711"/>
      <c r="I4500" s="711"/>
      <c r="J4500" s="711"/>
      <c r="K4500" s="711"/>
      <c r="L4500" s="711"/>
      <c r="Q4500" s="11"/>
      <c r="R4500" s="11"/>
      <c r="S4500" s="11"/>
      <c r="T4500" s="11"/>
    </row>
    <row r="4501" spans="8:20" x14ac:dyDescent="0.35">
      <c r="H4501" s="711"/>
      <c r="I4501" s="711"/>
      <c r="J4501" s="711"/>
      <c r="K4501" s="711"/>
      <c r="L4501" s="711"/>
      <c r="Q4501" s="11"/>
      <c r="R4501" s="11"/>
      <c r="S4501" s="11"/>
      <c r="T4501" s="11"/>
    </row>
    <row r="4502" spans="8:20" x14ac:dyDescent="0.35">
      <c r="H4502" s="711"/>
      <c r="I4502" s="711"/>
      <c r="J4502" s="711"/>
      <c r="K4502" s="711"/>
      <c r="L4502" s="711"/>
      <c r="Q4502" s="11"/>
      <c r="R4502" s="11"/>
      <c r="S4502" s="11"/>
      <c r="T4502" s="11"/>
    </row>
    <row r="4503" spans="8:20" x14ac:dyDescent="0.35">
      <c r="H4503" s="711"/>
      <c r="I4503" s="711"/>
      <c r="J4503" s="711"/>
      <c r="K4503" s="711"/>
      <c r="L4503" s="711"/>
      <c r="Q4503" s="11"/>
      <c r="R4503" s="11"/>
      <c r="S4503" s="11"/>
      <c r="T4503" s="11"/>
    </row>
    <row r="4504" spans="8:20" x14ac:dyDescent="0.35">
      <c r="H4504" s="711"/>
      <c r="I4504" s="711"/>
      <c r="J4504" s="711"/>
      <c r="K4504" s="711"/>
      <c r="L4504" s="711"/>
      <c r="Q4504" s="11"/>
      <c r="R4504" s="11"/>
      <c r="S4504" s="11"/>
      <c r="T4504" s="11"/>
    </row>
    <row r="4505" spans="8:20" x14ac:dyDescent="0.35">
      <c r="H4505" s="711"/>
      <c r="I4505" s="711"/>
      <c r="J4505" s="711"/>
      <c r="K4505" s="711"/>
      <c r="L4505" s="711"/>
      <c r="Q4505" s="11"/>
      <c r="R4505" s="11"/>
      <c r="S4505" s="11"/>
      <c r="T4505" s="11"/>
    </row>
    <row r="4506" spans="8:20" x14ac:dyDescent="0.35">
      <c r="H4506" s="711"/>
      <c r="I4506" s="711"/>
      <c r="J4506" s="711"/>
      <c r="K4506" s="711"/>
      <c r="L4506" s="711"/>
      <c r="Q4506" s="11"/>
      <c r="R4506" s="11"/>
      <c r="S4506" s="11"/>
      <c r="T4506" s="11"/>
    </row>
    <row r="4507" spans="8:20" x14ac:dyDescent="0.35">
      <c r="H4507" s="711"/>
      <c r="I4507" s="711"/>
      <c r="J4507" s="711"/>
      <c r="K4507" s="711"/>
      <c r="L4507" s="711"/>
      <c r="Q4507" s="11"/>
      <c r="R4507" s="11"/>
      <c r="S4507" s="11"/>
      <c r="T4507" s="11"/>
    </row>
    <row r="4508" spans="8:20" x14ac:dyDescent="0.35">
      <c r="H4508" s="711"/>
      <c r="I4508" s="711"/>
      <c r="J4508" s="711"/>
      <c r="K4508" s="711"/>
      <c r="L4508" s="711"/>
      <c r="Q4508" s="11"/>
      <c r="R4508" s="11"/>
      <c r="S4508" s="11"/>
      <c r="T4508" s="11"/>
    </row>
    <row r="4509" spans="8:20" x14ac:dyDescent="0.35">
      <c r="H4509" s="711"/>
      <c r="I4509" s="711"/>
      <c r="J4509" s="711"/>
      <c r="K4509" s="711"/>
      <c r="L4509" s="711"/>
      <c r="Q4509" s="11"/>
      <c r="R4509" s="11"/>
      <c r="S4509" s="11"/>
      <c r="T4509" s="11"/>
    </row>
    <row r="4510" spans="8:20" x14ac:dyDescent="0.35">
      <c r="H4510" s="711"/>
      <c r="I4510" s="711"/>
      <c r="J4510" s="711"/>
      <c r="K4510" s="711"/>
      <c r="L4510" s="711"/>
      <c r="Q4510" s="11"/>
      <c r="R4510" s="11"/>
      <c r="S4510" s="11"/>
      <c r="T4510" s="11"/>
    </row>
    <row r="4511" spans="8:20" x14ac:dyDescent="0.35">
      <c r="H4511" s="711"/>
      <c r="I4511" s="711"/>
      <c r="J4511" s="711"/>
      <c r="K4511" s="711"/>
      <c r="L4511" s="711"/>
      <c r="Q4511" s="11"/>
      <c r="R4511" s="11"/>
      <c r="S4511" s="11"/>
      <c r="T4511" s="11"/>
    </row>
    <row r="4512" spans="8:20" x14ac:dyDescent="0.35">
      <c r="H4512" s="711"/>
      <c r="I4512" s="711"/>
      <c r="J4512" s="711"/>
      <c r="K4512" s="711"/>
      <c r="L4512" s="711"/>
      <c r="Q4512" s="11"/>
      <c r="R4512" s="11"/>
      <c r="S4512" s="11"/>
      <c r="T4512" s="11"/>
    </row>
    <row r="4513" spans="8:20" x14ac:dyDescent="0.35">
      <c r="H4513" s="711"/>
      <c r="I4513" s="711"/>
      <c r="J4513" s="711"/>
      <c r="K4513" s="711"/>
      <c r="L4513" s="711"/>
      <c r="Q4513" s="11"/>
      <c r="R4513" s="11"/>
      <c r="S4513" s="11"/>
      <c r="T4513" s="11"/>
    </row>
    <row r="4514" spans="8:20" x14ac:dyDescent="0.35">
      <c r="H4514" s="711"/>
      <c r="I4514" s="711"/>
      <c r="J4514" s="711"/>
      <c r="K4514" s="711"/>
      <c r="L4514" s="711"/>
      <c r="Q4514" s="11"/>
      <c r="R4514" s="11"/>
      <c r="S4514" s="11"/>
      <c r="T4514" s="11"/>
    </row>
    <row r="4515" spans="8:20" x14ac:dyDescent="0.35">
      <c r="H4515" s="711"/>
      <c r="I4515" s="711"/>
      <c r="J4515" s="711"/>
      <c r="K4515" s="711"/>
      <c r="L4515" s="711"/>
      <c r="Q4515" s="11"/>
      <c r="R4515" s="11"/>
      <c r="S4515" s="11"/>
      <c r="T4515" s="11"/>
    </row>
    <row r="4516" spans="8:20" x14ac:dyDescent="0.35">
      <c r="H4516" s="711"/>
      <c r="I4516" s="711"/>
      <c r="J4516" s="711"/>
      <c r="K4516" s="711"/>
      <c r="L4516" s="711"/>
      <c r="Q4516" s="11"/>
      <c r="R4516" s="11"/>
      <c r="S4516" s="11"/>
      <c r="T4516" s="11"/>
    </row>
    <row r="4517" spans="8:20" x14ac:dyDescent="0.35">
      <c r="H4517" s="711"/>
      <c r="I4517" s="711"/>
      <c r="J4517" s="711"/>
      <c r="K4517" s="711"/>
      <c r="L4517" s="711"/>
      <c r="Q4517" s="11"/>
      <c r="R4517" s="11"/>
      <c r="S4517" s="11"/>
      <c r="T4517" s="11"/>
    </row>
    <row r="4518" spans="8:20" x14ac:dyDescent="0.35">
      <c r="H4518" s="711"/>
      <c r="I4518" s="711"/>
      <c r="J4518" s="711"/>
      <c r="K4518" s="711"/>
      <c r="L4518" s="711"/>
      <c r="Q4518" s="11"/>
      <c r="R4518" s="11"/>
      <c r="S4518" s="11"/>
      <c r="T4518" s="11"/>
    </row>
    <row r="4519" spans="8:20" x14ac:dyDescent="0.35">
      <c r="H4519" s="711"/>
      <c r="I4519" s="711"/>
      <c r="J4519" s="711"/>
      <c r="K4519" s="711"/>
      <c r="L4519" s="711"/>
      <c r="Q4519" s="11"/>
      <c r="R4519" s="11"/>
      <c r="S4519" s="11"/>
      <c r="T4519" s="11"/>
    </row>
    <row r="4520" spans="8:20" x14ac:dyDescent="0.35">
      <c r="H4520" s="711"/>
      <c r="I4520" s="711"/>
      <c r="J4520" s="711"/>
      <c r="K4520" s="711"/>
      <c r="L4520" s="711"/>
      <c r="Q4520" s="11"/>
      <c r="R4520" s="11"/>
      <c r="S4520" s="11"/>
      <c r="T4520" s="11"/>
    </row>
    <row r="4521" spans="8:20" x14ac:dyDescent="0.35">
      <c r="H4521" s="711"/>
      <c r="I4521" s="711"/>
      <c r="J4521" s="711"/>
      <c r="K4521" s="711"/>
      <c r="L4521" s="711"/>
      <c r="Q4521" s="11"/>
      <c r="R4521" s="11"/>
      <c r="S4521" s="11"/>
      <c r="T4521" s="11"/>
    </row>
    <row r="4522" spans="8:20" x14ac:dyDescent="0.35">
      <c r="H4522" s="711"/>
      <c r="I4522" s="711"/>
      <c r="J4522" s="711"/>
      <c r="K4522" s="711"/>
      <c r="L4522" s="711"/>
      <c r="Q4522" s="11"/>
      <c r="R4522" s="11"/>
      <c r="S4522" s="11"/>
      <c r="T4522" s="11"/>
    </row>
    <row r="4523" spans="8:20" x14ac:dyDescent="0.35">
      <c r="H4523" s="711"/>
      <c r="I4523" s="711"/>
      <c r="J4523" s="711"/>
      <c r="K4523" s="711"/>
      <c r="L4523" s="711"/>
      <c r="Q4523" s="11"/>
      <c r="R4523" s="11"/>
      <c r="S4523" s="11"/>
      <c r="T4523" s="11"/>
    </row>
    <row r="4524" spans="8:20" x14ac:dyDescent="0.35">
      <c r="H4524" s="711"/>
      <c r="I4524" s="711"/>
      <c r="J4524" s="711"/>
      <c r="K4524" s="711"/>
      <c r="L4524" s="711"/>
      <c r="Q4524" s="11"/>
      <c r="R4524" s="11"/>
      <c r="S4524" s="11"/>
      <c r="T4524" s="11"/>
    </row>
    <row r="4525" spans="8:20" x14ac:dyDescent="0.35">
      <c r="H4525" s="711"/>
      <c r="I4525" s="711"/>
      <c r="J4525" s="711"/>
      <c r="K4525" s="711"/>
      <c r="L4525" s="711"/>
      <c r="Q4525" s="11"/>
      <c r="R4525" s="11"/>
      <c r="S4525" s="11"/>
      <c r="T4525" s="11"/>
    </row>
    <row r="4526" spans="8:20" x14ac:dyDescent="0.35">
      <c r="H4526" s="711"/>
      <c r="I4526" s="711"/>
      <c r="J4526" s="711"/>
      <c r="K4526" s="711"/>
      <c r="L4526" s="711"/>
      <c r="Q4526" s="11"/>
      <c r="R4526" s="11"/>
      <c r="S4526" s="11"/>
      <c r="T4526" s="11"/>
    </row>
    <row r="4527" spans="8:20" x14ac:dyDescent="0.35">
      <c r="H4527" s="711"/>
      <c r="I4527" s="711"/>
      <c r="J4527" s="711"/>
      <c r="K4527" s="711"/>
      <c r="L4527" s="711"/>
      <c r="Q4527" s="11"/>
      <c r="R4527" s="11"/>
      <c r="S4527" s="11"/>
      <c r="T4527" s="11"/>
    </row>
    <row r="4528" spans="8:20" x14ac:dyDescent="0.35">
      <c r="H4528" s="711"/>
      <c r="I4528" s="711"/>
      <c r="J4528" s="711"/>
      <c r="K4528" s="711"/>
      <c r="L4528" s="711"/>
      <c r="Q4528" s="11"/>
      <c r="R4528" s="11"/>
      <c r="S4528" s="11"/>
      <c r="T4528" s="11"/>
    </row>
    <row r="4529" spans="8:20" x14ac:dyDescent="0.35">
      <c r="H4529" s="711"/>
      <c r="I4529" s="711"/>
      <c r="J4529" s="711"/>
      <c r="K4529" s="711"/>
      <c r="L4529" s="711"/>
      <c r="Q4529" s="11"/>
      <c r="R4529" s="11"/>
      <c r="S4529" s="11"/>
      <c r="T4529" s="11"/>
    </row>
    <row r="4530" spans="8:20" x14ac:dyDescent="0.35">
      <c r="H4530" s="711"/>
      <c r="I4530" s="711"/>
      <c r="J4530" s="711"/>
      <c r="K4530" s="711"/>
      <c r="L4530" s="711"/>
      <c r="Q4530" s="11"/>
      <c r="R4530" s="11"/>
      <c r="S4530" s="11"/>
      <c r="T4530" s="11"/>
    </row>
    <row r="4531" spans="8:20" x14ac:dyDescent="0.35">
      <c r="H4531" s="711"/>
      <c r="I4531" s="711"/>
      <c r="J4531" s="711"/>
      <c r="K4531" s="711"/>
      <c r="L4531" s="711"/>
      <c r="Q4531" s="11"/>
      <c r="R4531" s="11"/>
      <c r="S4531" s="11"/>
      <c r="T4531" s="11"/>
    </row>
    <row r="4532" spans="8:20" x14ac:dyDescent="0.35">
      <c r="H4532" s="711"/>
      <c r="I4532" s="711"/>
      <c r="J4532" s="711"/>
      <c r="K4532" s="711"/>
      <c r="L4532" s="711"/>
      <c r="Q4532" s="11"/>
      <c r="R4532" s="11"/>
      <c r="S4532" s="11"/>
      <c r="T4532" s="11"/>
    </row>
    <row r="4533" spans="8:20" x14ac:dyDescent="0.35">
      <c r="H4533" s="711"/>
      <c r="I4533" s="711"/>
      <c r="J4533" s="711"/>
      <c r="K4533" s="711"/>
      <c r="L4533" s="711"/>
      <c r="Q4533" s="11"/>
      <c r="R4533" s="11"/>
      <c r="S4533" s="11"/>
      <c r="T4533" s="11"/>
    </row>
    <row r="4534" spans="8:20" x14ac:dyDescent="0.35">
      <c r="H4534" s="711"/>
      <c r="I4534" s="711"/>
      <c r="J4534" s="711"/>
      <c r="K4534" s="711"/>
      <c r="L4534" s="711"/>
      <c r="Q4534" s="11"/>
      <c r="R4534" s="11"/>
      <c r="S4534" s="11"/>
      <c r="T4534" s="11"/>
    </row>
    <row r="4535" spans="8:20" x14ac:dyDescent="0.35">
      <c r="H4535" s="711"/>
      <c r="I4535" s="711"/>
      <c r="J4535" s="711"/>
      <c r="K4535" s="711"/>
      <c r="L4535" s="711"/>
      <c r="Q4535" s="11"/>
      <c r="R4535" s="11"/>
      <c r="S4535" s="11"/>
      <c r="T4535" s="11"/>
    </row>
    <row r="4536" spans="8:20" x14ac:dyDescent="0.35">
      <c r="H4536" s="711"/>
      <c r="I4536" s="711"/>
      <c r="J4536" s="711"/>
      <c r="K4536" s="711"/>
      <c r="L4536" s="711"/>
      <c r="Q4536" s="11"/>
      <c r="R4536" s="11"/>
      <c r="S4536" s="11"/>
      <c r="T4536" s="11"/>
    </row>
    <row r="4537" spans="8:20" x14ac:dyDescent="0.35">
      <c r="H4537" s="711"/>
      <c r="I4537" s="711"/>
      <c r="J4537" s="711"/>
      <c r="K4537" s="711"/>
      <c r="L4537" s="711"/>
      <c r="Q4537" s="11"/>
      <c r="R4537" s="11"/>
      <c r="S4537" s="11"/>
      <c r="T4537" s="11"/>
    </row>
    <row r="4538" spans="8:20" x14ac:dyDescent="0.35">
      <c r="H4538" s="711"/>
      <c r="I4538" s="711"/>
      <c r="J4538" s="711"/>
      <c r="K4538" s="711"/>
      <c r="L4538" s="711"/>
      <c r="Q4538" s="11"/>
      <c r="R4538" s="11"/>
      <c r="S4538" s="11"/>
      <c r="T4538" s="11"/>
    </row>
    <row r="4539" spans="8:20" x14ac:dyDescent="0.35">
      <c r="H4539" s="711"/>
      <c r="I4539" s="711"/>
      <c r="J4539" s="711"/>
      <c r="K4539" s="711"/>
      <c r="L4539" s="711"/>
      <c r="Q4539" s="11"/>
      <c r="R4539" s="11"/>
      <c r="S4539" s="11"/>
      <c r="T4539" s="11"/>
    </row>
    <row r="4540" spans="8:20" x14ac:dyDescent="0.35">
      <c r="H4540" s="711"/>
      <c r="I4540" s="711"/>
      <c r="J4540" s="711"/>
      <c r="K4540" s="711"/>
      <c r="L4540" s="711"/>
      <c r="Q4540" s="11"/>
      <c r="R4540" s="11"/>
      <c r="S4540" s="11"/>
      <c r="T4540" s="11"/>
    </row>
    <row r="4541" spans="8:20" x14ac:dyDescent="0.35">
      <c r="H4541" s="711"/>
      <c r="I4541" s="711"/>
      <c r="J4541" s="711"/>
      <c r="K4541" s="711"/>
      <c r="L4541" s="711"/>
      <c r="Q4541" s="11"/>
      <c r="R4541" s="11"/>
      <c r="S4541" s="11"/>
      <c r="T4541" s="11"/>
    </row>
    <row r="4542" spans="8:20" x14ac:dyDescent="0.35">
      <c r="H4542" s="711"/>
      <c r="I4542" s="711"/>
      <c r="J4542" s="711"/>
      <c r="K4542" s="711"/>
      <c r="L4542" s="711"/>
      <c r="Q4542" s="11"/>
      <c r="R4542" s="11"/>
      <c r="S4542" s="11"/>
      <c r="T4542" s="11"/>
    </row>
    <row r="4543" spans="8:20" x14ac:dyDescent="0.35">
      <c r="H4543" s="711"/>
      <c r="I4543" s="711"/>
      <c r="J4543" s="711"/>
      <c r="K4543" s="711"/>
      <c r="L4543" s="711"/>
      <c r="Q4543" s="11"/>
      <c r="R4543" s="11"/>
      <c r="S4543" s="11"/>
      <c r="T4543" s="11"/>
    </row>
    <row r="4544" spans="8:20" x14ac:dyDescent="0.35">
      <c r="H4544" s="711"/>
      <c r="I4544" s="711"/>
      <c r="J4544" s="711"/>
      <c r="K4544" s="711"/>
      <c r="L4544" s="711"/>
      <c r="Q4544" s="11"/>
      <c r="R4544" s="11"/>
      <c r="S4544" s="11"/>
      <c r="T4544" s="11"/>
    </row>
    <row r="4545" spans="8:20" x14ac:dyDescent="0.35">
      <c r="H4545" s="711"/>
      <c r="I4545" s="711"/>
      <c r="J4545" s="711"/>
      <c r="K4545" s="711"/>
      <c r="L4545" s="711"/>
      <c r="Q4545" s="11"/>
      <c r="R4545" s="11"/>
      <c r="S4545" s="11"/>
      <c r="T4545" s="11"/>
    </row>
    <row r="4546" spans="8:20" x14ac:dyDescent="0.35">
      <c r="H4546" s="711"/>
      <c r="I4546" s="711"/>
      <c r="J4546" s="711"/>
      <c r="K4546" s="711"/>
      <c r="L4546" s="711"/>
      <c r="Q4546" s="11"/>
      <c r="R4546" s="11"/>
      <c r="S4546" s="11"/>
      <c r="T4546" s="11"/>
    </row>
    <row r="4547" spans="8:20" x14ac:dyDescent="0.35">
      <c r="H4547" s="711"/>
      <c r="I4547" s="711"/>
      <c r="J4547" s="711"/>
      <c r="K4547" s="711"/>
      <c r="L4547" s="711"/>
      <c r="Q4547" s="11"/>
      <c r="R4547" s="11"/>
      <c r="S4547" s="11"/>
      <c r="T4547" s="11"/>
    </row>
    <row r="4548" spans="8:20" x14ac:dyDescent="0.35">
      <c r="H4548" s="711"/>
      <c r="I4548" s="711"/>
      <c r="J4548" s="711"/>
      <c r="K4548" s="711"/>
      <c r="L4548" s="711"/>
      <c r="Q4548" s="11"/>
      <c r="R4548" s="11"/>
      <c r="S4548" s="11"/>
      <c r="T4548" s="11"/>
    </row>
    <row r="4549" spans="8:20" x14ac:dyDescent="0.35">
      <c r="H4549" s="711"/>
      <c r="I4549" s="711"/>
      <c r="J4549" s="711"/>
      <c r="K4549" s="711"/>
      <c r="L4549" s="711"/>
      <c r="Q4549" s="11"/>
      <c r="R4549" s="11"/>
      <c r="S4549" s="11"/>
      <c r="T4549" s="11"/>
    </row>
    <row r="4550" spans="8:20" x14ac:dyDescent="0.35">
      <c r="H4550" s="711"/>
      <c r="I4550" s="711"/>
      <c r="J4550" s="711"/>
      <c r="K4550" s="711"/>
      <c r="L4550" s="711"/>
      <c r="Q4550" s="11"/>
      <c r="R4550" s="11"/>
      <c r="S4550" s="11"/>
      <c r="T4550" s="11"/>
    </row>
    <row r="4551" spans="8:20" x14ac:dyDescent="0.35">
      <c r="H4551" s="711"/>
      <c r="I4551" s="711"/>
      <c r="J4551" s="711"/>
      <c r="K4551" s="711"/>
      <c r="L4551" s="711"/>
      <c r="Q4551" s="11"/>
      <c r="R4551" s="11"/>
      <c r="S4551" s="11"/>
      <c r="T4551" s="11"/>
    </row>
    <row r="4552" spans="8:20" x14ac:dyDescent="0.35">
      <c r="H4552" s="711"/>
      <c r="I4552" s="711"/>
      <c r="J4552" s="711"/>
      <c r="K4552" s="711"/>
      <c r="L4552" s="711"/>
      <c r="Q4552" s="11"/>
      <c r="R4552" s="11"/>
      <c r="S4552" s="11"/>
      <c r="T4552" s="11"/>
    </row>
    <row r="4553" spans="8:20" x14ac:dyDescent="0.35">
      <c r="H4553" s="711"/>
      <c r="I4553" s="711"/>
      <c r="J4553" s="711"/>
      <c r="K4553" s="711"/>
      <c r="L4553" s="711"/>
      <c r="Q4553" s="11"/>
      <c r="R4553" s="11"/>
      <c r="S4553" s="11"/>
      <c r="T4553" s="11"/>
    </row>
    <row r="4554" spans="8:20" x14ac:dyDescent="0.35">
      <c r="H4554" s="711"/>
      <c r="I4554" s="711"/>
      <c r="J4554" s="711"/>
      <c r="K4554" s="711"/>
      <c r="L4554" s="711"/>
      <c r="Q4554" s="11"/>
      <c r="R4554" s="11"/>
      <c r="S4554" s="11"/>
      <c r="T4554" s="11"/>
    </row>
    <row r="4555" spans="8:20" x14ac:dyDescent="0.35">
      <c r="H4555" s="711"/>
      <c r="I4555" s="711"/>
      <c r="J4555" s="711"/>
      <c r="K4555" s="711"/>
      <c r="L4555" s="711"/>
      <c r="Q4555" s="11"/>
      <c r="R4555" s="11"/>
      <c r="S4555" s="11"/>
      <c r="T4555" s="11"/>
    </row>
    <row r="4556" spans="8:20" x14ac:dyDescent="0.35">
      <c r="H4556" s="711"/>
      <c r="I4556" s="711"/>
      <c r="J4556" s="711"/>
      <c r="K4556" s="711"/>
      <c r="L4556" s="711"/>
      <c r="Q4556" s="11"/>
      <c r="R4556" s="11"/>
      <c r="S4556" s="11"/>
      <c r="T4556" s="11"/>
    </row>
    <row r="4557" spans="8:20" x14ac:dyDescent="0.35">
      <c r="H4557" s="711"/>
      <c r="I4557" s="711"/>
      <c r="J4557" s="711"/>
      <c r="K4557" s="711"/>
      <c r="L4557" s="711"/>
      <c r="Q4557" s="11"/>
      <c r="R4557" s="11"/>
      <c r="S4557" s="11"/>
      <c r="T4557" s="11"/>
    </row>
    <row r="4558" spans="8:20" x14ac:dyDescent="0.35">
      <c r="H4558" s="711"/>
      <c r="I4558" s="711"/>
      <c r="J4558" s="711"/>
      <c r="K4558" s="711"/>
      <c r="L4558" s="711"/>
      <c r="Q4558" s="11"/>
      <c r="R4558" s="11"/>
      <c r="S4558" s="11"/>
      <c r="T4558" s="11"/>
    </row>
    <row r="4559" spans="8:20" x14ac:dyDescent="0.35">
      <c r="H4559" s="711"/>
      <c r="I4559" s="711"/>
      <c r="J4559" s="711"/>
      <c r="K4559" s="711"/>
      <c r="L4559" s="711"/>
      <c r="Q4559" s="11"/>
      <c r="R4559" s="11"/>
      <c r="S4559" s="11"/>
      <c r="T4559" s="11"/>
    </row>
    <row r="4560" spans="8:20" x14ac:dyDescent="0.35">
      <c r="H4560" s="711"/>
      <c r="I4560" s="711"/>
      <c r="J4560" s="711"/>
      <c r="K4560" s="711"/>
      <c r="L4560" s="711"/>
      <c r="Q4560" s="11"/>
      <c r="R4560" s="11"/>
      <c r="S4560" s="11"/>
      <c r="T4560" s="11"/>
    </row>
    <row r="4561" spans="8:20" x14ac:dyDescent="0.35">
      <c r="H4561" s="711"/>
      <c r="I4561" s="711"/>
      <c r="J4561" s="711"/>
      <c r="K4561" s="711"/>
      <c r="L4561" s="711"/>
      <c r="Q4561" s="11"/>
      <c r="R4561" s="11"/>
      <c r="S4561" s="11"/>
      <c r="T4561" s="11"/>
    </row>
    <row r="4562" spans="8:20" x14ac:dyDescent="0.35">
      <c r="H4562" s="711"/>
      <c r="I4562" s="711"/>
      <c r="J4562" s="711"/>
      <c r="K4562" s="711"/>
      <c r="L4562" s="711"/>
      <c r="Q4562" s="11"/>
      <c r="R4562" s="11"/>
      <c r="S4562" s="11"/>
      <c r="T4562" s="11"/>
    </row>
    <row r="4563" spans="8:20" x14ac:dyDescent="0.35">
      <c r="H4563" s="711"/>
      <c r="I4563" s="711"/>
      <c r="J4563" s="711"/>
      <c r="K4563" s="711"/>
      <c r="L4563" s="711"/>
      <c r="Q4563" s="11"/>
      <c r="R4563" s="11"/>
      <c r="S4563" s="11"/>
      <c r="T4563" s="11"/>
    </row>
    <row r="4564" spans="8:20" x14ac:dyDescent="0.35">
      <c r="H4564" s="711"/>
      <c r="I4564" s="711"/>
      <c r="J4564" s="711"/>
      <c r="K4564" s="711"/>
      <c r="L4564" s="711"/>
      <c r="Q4564" s="11"/>
      <c r="R4564" s="11"/>
      <c r="S4564" s="11"/>
      <c r="T4564" s="11"/>
    </row>
    <row r="4565" spans="8:20" x14ac:dyDescent="0.35">
      <c r="H4565" s="711"/>
      <c r="I4565" s="711"/>
      <c r="J4565" s="711"/>
      <c r="K4565" s="711"/>
      <c r="L4565" s="711"/>
      <c r="Q4565" s="11"/>
      <c r="R4565" s="11"/>
      <c r="S4565" s="11"/>
      <c r="T4565" s="11"/>
    </row>
    <row r="4566" spans="8:20" x14ac:dyDescent="0.35">
      <c r="H4566" s="711"/>
      <c r="I4566" s="711"/>
      <c r="J4566" s="711"/>
      <c r="K4566" s="711"/>
      <c r="L4566" s="711"/>
      <c r="Q4566" s="11"/>
      <c r="R4566" s="11"/>
      <c r="S4566" s="11"/>
      <c r="T4566" s="11"/>
    </row>
    <row r="4567" spans="8:20" x14ac:dyDescent="0.35">
      <c r="H4567" s="711"/>
      <c r="I4567" s="711"/>
      <c r="J4567" s="711"/>
      <c r="K4567" s="711"/>
      <c r="L4567" s="711"/>
      <c r="Q4567" s="11"/>
      <c r="R4567" s="11"/>
      <c r="S4567" s="11"/>
      <c r="T4567" s="11"/>
    </row>
    <row r="4568" spans="8:20" x14ac:dyDescent="0.35">
      <c r="H4568" s="711"/>
      <c r="I4568" s="711"/>
      <c r="J4568" s="711"/>
      <c r="K4568" s="711"/>
      <c r="L4568" s="711"/>
      <c r="Q4568" s="11"/>
      <c r="R4568" s="11"/>
      <c r="S4568" s="11"/>
      <c r="T4568" s="11"/>
    </row>
    <row r="4569" spans="8:20" x14ac:dyDescent="0.35">
      <c r="H4569" s="711"/>
      <c r="I4569" s="711"/>
      <c r="J4569" s="711"/>
      <c r="K4569" s="711"/>
      <c r="L4569" s="711"/>
      <c r="Q4569" s="11"/>
      <c r="R4569" s="11"/>
      <c r="S4569" s="11"/>
      <c r="T4569" s="11"/>
    </row>
    <row r="4570" spans="8:20" x14ac:dyDescent="0.35">
      <c r="H4570" s="711"/>
      <c r="I4570" s="711"/>
      <c r="J4570" s="711"/>
      <c r="K4570" s="711"/>
      <c r="L4570" s="711"/>
      <c r="Q4570" s="11"/>
      <c r="R4570" s="11"/>
      <c r="S4570" s="11"/>
      <c r="T4570" s="11"/>
    </row>
    <row r="4571" spans="8:20" x14ac:dyDescent="0.35">
      <c r="H4571" s="711"/>
      <c r="I4571" s="711"/>
      <c r="J4571" s="711"/>
      <c r="K4571" s="711"/>
      <c r="L4571" s="711"/>
      <c r="Q4571" s="11"/>
      <c r="R4571" s="11"/>
      <c r="S4571" s="11"/>
      <c r="T4571" s="11"/>
    </row>
    <row r="4572" spans="8:20" x14ac:dyDescent="0.35">
      <c r="H4572" s="711"/>
      <c r="I4572" s="711"/>
      <c r="J4572" s="711"/>
      <c r="K4572" s="711"/>
      <c r="L4572" s="711"/>
      <c r="Q4572" s="11"/>
      <c r="R4572" s="11"/>
      <c r="S4572" s="11"/>
      <c r="T4572" s="11"/>
    </row>
    <row r="4573" spans="8:20" x14ac:dyDescent="0.35">
      <c r="H4573" s="711"/>
      <c r="I4573" s="711"/>
      <c r="J4573" s="711"/>
      <c r="K4573" s="711"/>
      <c r="L4573" s="711"/>
      <c r="Q4573" s="11"/>
      <c r="R4573" s="11"/>
      <c r="S4573" s="11"/>
      <c r="T4573" s="11"/>
    </row>
    <row r="4574" spans="8:20" x14ac:dyDescent="0.35">
      <c r="H4574" s="711"/>
      <c r="I4574" s="711"/>
      <c r="J4574" s="711"/>
      <c r="K4574" s="711"/>
      <c r="L4574" s="711"/>
      <c r="Q4574" s="11"/>
      <c r="R4574" s="11"/>
      <c r="S4574" s="11"/>
      <c r="T4574" s="11"/>
    </row>
    <row r="4575" spans="8:20" x14ac:dyDescent="0.35">
      <c r="H4575" s="711"/>
      <c r="I4575" s="711"/>
      <c r="J4575" s="711"/>
      <c r="K4575" s="711"/>
      <c r="L4575" s="711"/>
      <c r="Q4575" s="11"/>
      <c r="R4575" s="11"/>
      <c r="S4575" s="11"/>
      <c r="T4575" s="11"/>
    </row>
    <row r="4576" spans="8:20" x14ac:dyDescent="0.35">
      <c r="H4576" s="711"/>
      <c r="I4576" s="711"/>
      <c r="J4576" s="711"/>
      <c r="K4576" s="711"/>
      <c r="L4576" s="711"/>
      <c r="Q4576" s="11"/>
      <c r="R4576" s="11"/>
      <c r="S4576" s="11"/>
      <c r="T4576" s="11"/>
    </row>
    <row r="4577" spans="8:20" x14ac:dyDescent="0.35">
      <c r="H4577" s="711"/>
      <c r="I4577" s="711"/>
      <c r="J4577" s="711"/>
      <c r="K4577" s="711"/>
      <c r="L4577" s="711"/>
      <c r="Q4577" s="11"/>
      <c r="R4577" s="11"/>
      <c r="S4577" s="11"/>
      <c r="T4577" s="11"/>
    </row>
    <row r="4578" spans="8:20" x14ac:dyDescent="0.35">
      <c r="H4578" s="711"/>
      <c r="I4578" s="711"/>
      <c r="J4578" s="711"/>
      <c r="K4578" s="711"/>
      <c r="L4578" s="711"/>
      <c r="Q4578" s="11"/>
      <c r="R4578" s="11"/>
      <c r="S4578" s="11"/>
      <c r="T4578" s="11"/>
    </row>
    <row r="4579" spans="8:20" x14ac:dyDescent="0.35">
      <c r="H4579" s="711"/>
      <c r="I4579" s="711"/>
      <c r="J4579" s="711"/>
      <c r="K4579" s="711"/>
      <c r="L4579" s="711"/>
      <c r="Q4579" s="11"/>
      <c r="R4579" s="11"/>
      <c r="S4579" s="11"/>
      <c r="T4579" s="11"/>
    </row>
    <row r="4580" spans="8:20" x14ac:dyDescent="0.35">
      <c r="H4580" s="711"/>
      <c r="I4580" s="711"/>
      <c r="J4580" s="711"/>
      <c r="K4580" s="711"/>
      <c r="L4580" s="711"/>
      <c r="Q4580" s="11"/>
      <c r="R4580" s="11"/>
      <c r="S4580" s="11"/>
      <c r="T4580" s="11"/>
    </row>
    <row r="4581" spans="8:20" x14ac:dyDescent="0.35">
      <c r="H4581" s="711"/>
      <c r="I4581" s="711"/>
      <c r="J4581" s="711"/>
      <c r="K4581" s="711"/>
      <c r="L4581" s="711"/>
      <c r="Q4581" s="11"/>
      <c r="R4581" s="11"/>
      <c r="S4581" s="11"/>
      <c r="T4581" s="11"/>
    </row>
    <row r="4582" spans="8:20" x14ac:dyDescent="0.35">
      <c r="H4582" s="711"/>
      <c r="I4582" s="711"/>
      <c r="J4582" s="711"/>
      <c r="K4582" s="711"/>
      <c r="L4582" s="711"/>
      <c r="Q4582" s="11"/>
      <c r="R4582" s="11"/>
      <c r="S4582" s="11"/>
      <c r="T4582" s="11"/>
    </row>
    <row r="4583" spans="8:20" x14ac:dyDescent="0.35">
      <c r="H4583" s="711"/>
      <c r="I4583" s="711"/>
      <c r="J4583" s="711"/>
      <c r="K4583" s="711"/>
      <c r="L4583" s="711"/>
      <c r="Q4583" s="11"/>
      <c r="R4583" s="11"/>
      <c r="S4583" s="11"/>
      <c r="T4583" s="11"/>
    </row>
    <row r="4584" spans="8:20" x14ac:dyDescent="0.35">
      <c r="H4584" s="711"/>
      <c r="I4584" s="711"/>
      <c r="J4584" s="711"/>
      <c r="K4584" s="711"/>
      <c r="L4584" s="711"/>
      <c r="Q4584" s="11"/>
      <c r="R4584" s="11"/>
      <c r="S4584" s="11"/>
      <c r="T4584" s="11"/>
    </row>
    <row r="4585" spans="8:20" x14ac:dyDescent="0.35">
      <c r="H4585" s="711"/>
      <c r="I4585" s="711"/>
      <c r="J4585" s="711"/>
      <c r="K4585" s="711"/>
      <c r="L4585" s="711"/>
      <c r="Q4585" s="11"/>
      <c r="R4585" s="11"/>
      <c r="S4585" s="11"/>
      <c r="T4585" s="11"/>
    </row>
    <row r="4586" spans="8:20" x14ac:dyDescent="0.35">
      <c r="H4586" s="711"/>
      <c r="I4586" s="711"/>
      <c r="J4586" s="711"/>
      <c r="K4586" s="711"/>
      <c r="L4586" s="711"/>
      <c r="Q4586" s="11"/>
      <c r="R4586" s="11"/>
      <c r="S4586" s="11"/>
      <c r="T4586" s="11"/>
    </row>
    <row r="4587" spans="8:20" x14ac:dyDescent="0.35">
      <c r="H4587" s="711"/>
      <c r="I4587" s="711"/>
      <c r="J4587" s="711"/>
      <c r="K4587" s="711"/>
      <c r="L4587" s="711"/>
      <c r="Q4587" s="11"/>
      <c r="R4587" s="11"/>
      <c r="S4587" s="11"/>
      <c r="T4587" s="11"/>
    </row>
    <row r="4588" spans="8:20" x14ac:dyDescent="0.35">
      <c r="H4588" s="711"/>
      <c r="I4588" s="711"/>
      <c r="J4588" s="711"/>
      <c r="K4588" s="711"/>
      <c r="L4588" s="711"/>
      <c r="Q4588" s="11"/>
      <c r="R4588" s="11"/>
      <c r="S4588" s="11"/>
      <c r="T4588" s="11"/>
    </row>
    <row r="4589" spans="8:20" x14ac:dyDescent="0.35">
      <c r="H4589" s="711"/>
      <c r="I4589" s="711"/>
      <c r="J4589" s="711"/>
      <c r="K4589" s="711"/>
      <c r="L4589" s="711"/>
      <c r="Q4589" s="11"/>
      <c r="R4589" s="11"/>
      <c r="S4589" s="11"/>
      <c r="T4589" s="11"/>
    </row>
    <row r="4590" spans="8:20" x14ac:dyDescent="0.35">
      <c r="H4590" s="711"/>
      <c r="I4590" s="711"/>
      <c r="J4590" s="711"/>
      <c r="K4590" s="711"/>
      <c r="L4590" s="711"/>
      <c r="Q4590" s="11"/>
      <c r="R4590" s="11"/>
      <c r="S4590" s="11"/>
      <c r="T4590" s="11"/>
    </row>
    <row r="4591" spans="8:20" x14ac:dyDescent="0.35">
      <c r="H4591" s="711"/>
      <c r="I4591" s="711"/>
      <c r="J4591" s="711"/>
      <c r="K4591" s="711"/>
      <c r="L4591" s="711"/>
      <c r="Q4591" s="11"/>
      <c r="R4591" s="11"/>
      <c r="S4591" s="11"/>
      <c r="T4591" s="11"/>
    </row>
    <row r="4592" spans="8:20" x14ac:dyDescent="0.35">
      <c r="H4592" s="711"/>
      <c r="I4592" s="711"/>
      <c r="J4592" s="711"/>
      <c r="K4592" s="711"/>
      <c r="L4592" s="711"/>
      <c r="Q4592" s="11"/>
      <c r="R4592" s="11"/>
      <c r="S4592" s="11"/>
      <c r="T4592" s="11"/>
    </row>
    <row r="4593" spans="8:20" x14ac:dyDescent="0.35">
      <c r="H4593" s="711"/>
      <c r="I4593" s="711"/>
      <c r="J4593" s="711"/>
      <c r="K4593" s="711"/>
      <c r="L4593" s="711"/>
      <c r="Q4593" s="11"/>
      <c r="R4593" s="11"/>
      <c r="S4593" s="11"/>
      <c r="T4593" s="11"/>
    </row>
    <row r="4594" spans="8:20" x14ac:dyDescent="0.35">
      <c r="H4594" s="711"/>
      <c r="I4594" s="711"/>
      <c r="J4594" s="711"/>
      <c r="K4594" s="711"/>
      <c r="L4594" s="711"/>
      <c r="Q4594" s="11"/>
      <c r="R4594" s="11"/>
      <c r="S4594" s="11"/>
      <c r="T4594" s="11"/>
    </row>
    <row r="4595" spans="8:20" x14ac:dyDescent="0.35">
      <c r="H4595" s="711"/>
      <c r="I4595" s="711"/>
      <c r="J4595" s="711"/>
      <c r="K4595" s="711"/>
      <c r="L4595" s="711"/>
      <c r="Q4595" s="11"/>
      <c r="R4595" s="11"/>
      <c r="S4595" s="11"/>
      <c r="T4595" s="11"/>
    </row>
    <row r="4596" spans="8:20" x14ac:dyDescent="0.35">
      <c r="H4596" s="711"/>
      <c r="I4596" s="711"/>
      <c r="J4596" s="711"/>
      <c r="K4596" s="711"/>
      <c r="L4596" s="711"/>
      <c r="Q4596" s="11"/>
      <c r="R4596" s="11"/>
      <c r="S4596" s="11"/>
      <c r="T4596" s="11"/>
    </row>
    <row r="4597" spans="8:20" x14ac:dyDescent="0.35">
      <c r="H4597" s="711"/>
      <c r="I4597" s="711"/>
      <c r="J4597" s="711"/>
      <c r="K4597" s="711"/>
      <c r="L4597" s="711"/>
      <c r="Q4597" s="11"/>
      <c r="R4597" s="11"/>
      <c r="S4597" s="11"/>
      <c r="T4597" s="11"/>
    </row>
    <row r="4598" spans="8:20" x14ac:dyDescent="0.35">
      <c r="H4598" s="711"/>
      <c r="I4598" s="711"/>
      <c r="J4598" s="711"/>
      <c r="K4598" s="711"/>
      <c r="L4598" s="711"/>
      <c r="Q4598" s="11"/>
      <c r="R4598" s="11"/>
      <c r="S4598" s="11"/>
      <c r="T4598" s="11"/>
    </row>
    <row r="4599" spans="8:20" x14ac:dyDescent="0.35">
      <c r="H4599" s="711"/>
      <c r="I4599" s="711"/>
      <c r="J4599" s="711"/>
      <c r="K4599" s="711"/>
      <c r="L4599" s="711"/>
      <c r="Q4599" s="11"/>
      <c r="R4599" s="11"/>
      <c r="S4599" s="11"/>
      <c r="T4599" s="11"/>
    </row>
    <row r="4600" spans="8:20" x14ac:dyDescent="0.35">
      <c r="H4600" s="711"/>
      <c r="I4600" s="711"/>
      <c r="J4600" s="711"/>
      <c r="K4600" s="711"/>
      <c r="L4600" s="711"/>
      <c r="Q4600" s="11"/>
      <c r="R4600" s="11"/>
      <c r="S4600" s="11"/>
      <c r="T4600" s="11"/>
    </row>
    <row r="4601" spans="8:20" x14ac:dyDescent="0.35">
      <c r="H4601" s="711"/>
      <c r="I4601" s="711"/>
      <c r="J4601" s="711"/>
      <c r="K4601" s="711"/>
      <c r="L4601" s="711"/>
      <c r="Q4601" s="11"/>
      <c r="R4601" s="11"/>
      <c r="S4601" s="11"/>
      <c r="T4601" s="11"/>
    </row>
    <row r="4602" spans="8:20" x14ac:dyDescent="0.35">
      <c r="H4602" s="711"/>
      <c r="I4602" s="711"/>
      <c r="J4602" s="711"/>
      <c r="K4602" s="711"/>
      <c r="L4602" s="711"/>
      <c r="Q4602" s="11"/>
      <c r="R4602" s="11"/>
      <c r="S4602" s="11"/>
      <c r="T4602" s="11"/>
    </row>
    <row r="4603" spans="8:20" x14ac:dyDescent="0.35">
      <c r="H4603" s="711"/>
      <c r="I4603" s="711"/>
      <c r="J4603" s="711"/>
      <c r="K4603" s="711"/>
      <c r="L4603" s="711"/>
      <c r="Q4603" s="11"/>
      <c r="R4603" s="11"/>
      <c r="S4603" s="11"/>
      <c r="T4603" s="11"/>
    </row>
    <row r="4604" spans="8:20" x14ac:dyDescent="0.35">
      <c r="H4604" s="711"/>
      <c r="I4604" s="711"/>
      <c r="J4604" s="711"/>
      <c r="K4604" s="711"/>
      <c r="L4604" s="711"/>
      <c r="Q4604" s="11"/>
      <c r="R4604" s="11"/>
      <c r="S4604" s="11"/>
      <c r="T4604" s="11"/>
    </row>
    <row r="4605" spans="8:20" x14ac:dyDescent="0.35">
      <c r="H4605" s="711"/>
      <c r="I4605" s="711"/>
      <c r="J4605" s="711"/>
      <c r="K4605" s="711"/>
      <c r="L4605" s="711"/>
      <c r="Q4605" s="11"/>
      <c r="R4605" s="11"/>
      <c r="S4605" s="11"/>
      <c r="T4605" s="11"/>
    </row>
    <row r="4606" spans="8:20" x14ac:dyDescent="0.35">
      <c r="H4606" s="711"/>
      <c r="I4606" s="711"/>
      <c r="J4606" s="711"/>
      <c r="K4606" s="711"/>
      <c r="L4606" s="711"/>
      <c r="Q4606" s="11"/>
      <c r="R4606" s="11"/>
      <c r="S4606" s="11"/>
      <c r="T4606" s="11"/>
    </row>
    <row r="4607" spans="8:20" x14ac:dyDescent="0.35">
      <c r="H4607" s="711"/>
      <c r="I4607" s="711"/>
      <c r="J4607" s="711"/>
      <c r="K4607" s="711"/>
      <c r="L4607" s="711"/>
      <c r="Q4607" s="11"/>
      <c r="R4607" s="11"/>
      <c r="S4607" s="11"/>
      <c r="T4607" s="11"/>
    </row>
    <row r="4608" spans="8:20" x14ac:dyDescent="0.35">
      <c r="H4608" s="711"/>
      <c r="I4608" s="711"/>
      <c r="J4608" s="711"/>
      <c r="K4608" s="711"/>
      <c r="L4608" s="711"/>
      <c r="Q4608" s="11"/>
      <c r="R4608" s="11"/>
      <c r="S4608" s="11"/>
      <c r="T4608" s="11"/>
    </row>
    <row r="4609" spans="8:20" x14ac:dyDescent="0.35">
      <c r="H4609" s="711"/>
      <c r="I4609" s="711"/>
      <c r="J4609" s="711"/>
      <c r="K4609" s="711"/>
      <c r="L4609" s="711"/>
      <c r="Q4609" s="11"/>
      <c r="R4609" s="11"/>
      <c r="S4609" s="11"/>
      <c r="T4609" s="11"/>
    </row>
    <row r="4610" spans="8:20" x14ac:dyDescent="0.35">
      <c r="H4610" s="711"/>
      <c r="I4610" s="711"/>
      <c r="J4610" s="711"/>
      <c r="K4610" s="711"/>
      <c r="L4610" s="711"/>
      <c r="Q4610" s="11"/>
      <c r="R4610" s="11"/>
      <c r="S4610" s="11"/>
      <c r="T4610" s="11"/>
    </row>
    <row r="4611" spans="8:20" x14ac:dyDescent="0.35">
      <c r="H4611" s="711"/>
      <c r="I4611" s="711"/>
      <c r="J4611" s="711"/>
      <c r="K4611" s="711"/>
      <c r="L4611" s="711"/>
      <c r="Q4611" s="11"/>
      <c r="R4611" s="11"/>
      <c r="S4611" s="11"/>
      <c r="T4611" s="11"/>
    </row>
    <row r="4612" spans="8:20" x14ac:dyDescent="0.35">
      <c r="H4612" s="711"/>
      <c r="I4612" s="711"/>
      <c r="J4612" s="711"/>
      <c r="K4612" s="711"/>
      <c r="L4612" s="711"/>
      <c r="Q4612" s="11"/>
      <c r="R4612" s="11"/>
      <c r="S4612" s="11"/>
      <c r="T4612" s="11"/>
    </row>
    <row r="4613" spans="8:20" x14ac:dyDescent="0.35">
      <c r="H4613" s="711"/>
      <c r="I4613" s="711"/>
      <c r="J4613" s="711"/>
      <c r="K4613" s="711"/>
      <c r="L4613" s="711"/>
      <c r="Q4613" s="11"/>
      <c r="R4613" s="11"/>
      <c r="S4613" s="11"/>
      <c r="T4613" s="11"/>
    </row>
    <row r="4614" spans="8:20" x14ac:dyDescent="0.35">
      <c r="H4614" s="711"/>
      <c r="I4614" s="711"/>
      <c r="J4614" s="711"/>
      <c r="K4614" s="711"/>
      <c r="L4614" s="711"/>
      <c r="Q4614" s="11"/>
      <c r="R4614" s="11"/>
      <c r="S4614" s="11"/>
      <c r="T4614" s="11"/>
    </row>
    <row r="4615" spans="8:20" x14ac:dyDescent="0.35">
      <c r="H4615" s="711"/>
      <c r="I4615" s="711"/>
      <c r="J4615" s="711"/>
      <c r="K4615" s="711"/>
      <c r="L4615" s="711"/>
      <c r="Q4615" s="11"/>
      <c r="R4615" s="11"/>
      <c r="S4615" s="11"/>
      <c r="T4615" s="11"/>
    </row>
    <row r="4616" spans="8:20" x14ac:dyDescent="0.35">
      <c r="H4616" s="711"/>
      <c r="I4616" s="711"/>
      <c r="J4616" s="711"/>
      <c r="K4616" s="711"/>
      <c r="L4616" s="711"/>
      <c r="Q4616" s="11"/>
      <c r="R4616" s="11"/>
      <c r="S4616" s="11"/>
      <c r="T4616" s="11"/>
    </row>
    <row r="4617" spans="8:20" x14ac:dyDescent="0.35">
      <c r="H4617" s="711"/>
      <c r="I4617" s="711"/>
      <c r="J4617" s="711"/>
      <c r="K4617" s="711"/>
      <c r="L4617" s="711"/>
      <c r="Q4617" s="11"/>
      <c r="R4617" s="11"/>
      <c r="S4617" s="11"/>
      <c r="T4617" s="11"/>
    </row>
    <row r="4618" spans="8:20" x14ac:dyDescent="0.35">
      <c r="H4618" s="711"/>
      <c r="I4618" s="711"/>
      <c r="J4618" s="711"/>
      <c r="K4618" s="711"/>
      <c r="L4618" s="711"/>
      <c r="Q4618" s="11"/>
      <c r="R4618" s="11"/>
      <c r="S4618" s="11"/>
      <c r="T4618" s="11"/>
    </row>
    <row r="4619" spans="8:20" x14ac:dyDescent="0.35">
      <c r="H4619" s="711"/>
      <c r="I4619" s="711"/>
      <c r="J4619" s="711"/>
      <c r="K4619" s="711"/>
      <c r="L4619" s="711"/>
      <c r="Q4619" s="11"/>
      <c r="R4619" s="11"/>
      <c r="S4619" s="11"/>
      <c r="T4619" s="11"/>
    </row>
    <row r="4620" spans="8:20" x14ac:dyDescent="0.35">
      <c r="H4620" s="711"/>
      <c r="I4620" s="711"/>
      <c r="J4620" s="711"/>
      <c r="K4620" s="711"/>
      <c r="L4620" s="711"/>
      <c r="Q4620" s="11"/>
      <c r="R4620" s="11"/>
      <c r="S4620" s="11"/>
      <c r="T4620" s="11"/>
    </row>
    <row r="4621" spans="8:20" x14ac:dyDescent="0.35">
      <c r="H4621" s="711"/>
      <c r="I4621" s="711"/>
      <c r="J4621" s="711"/>
      <c r="K4621" s="711"/>
      <c r="L4621" s="711"/>
      <c r="Q4621" s="11"/>
      <c r="R4621" s="11"/>
      <c r="S4621" s="11"/>
      <c r="T4621" s="11"/>
    </row>
    <row r="4622" spans="8:20" x14ac:dyDescent="0.35">
      <c r="H4622" s="711"/>
      <c r="I4622" s="711"/>
      <c r="J4622" s="711"/>
      <c r="K4622" s="711"/>
      <c r="L4622" s="711"/>
      <c r="Q4622" s="11"/>
      <c r="R4622" s="11"/>
      <c r="S4622" s="11"/>
      <c r="T4622" s="11"/>
    </row>
    <row r="4623" spans="8:20" x14ac:dyDescent="0.35">
      <c r="H4623" s="711"/>
      <c r="I4623" s="711"/>
      <c r="J4623" s="711"/>
      <c r="K4623" s="711"/>
      <c r="L4623" s="711"/>
      <c r="Q4623" s="11"/>
      <c r="R4623" s="11"/>
      <c r="S4623" s="11"/>
      <c r="T4623" s="11"/>
    </row>
    <row r="4624" spans="8:20" x14ac:dyDescent="0.35">
      <c r="H4624" s="711"/>
      <c r="I4624" s="711"/>
      <c r="J4624" s="711"/>
      <c r="K4624" s="711"/>
      <c r="L4624" s="711"/>
      <c r="Q4624" s="11"/>
      <c r="R4624" s="11"/>
      <c r="S4624" s="11"/>
      <c r="T4624" s="11"/>
    </row>
    <row r="4625" spans="8:20" x14ac:dyDescent="0.35">
      <c r="H4625" s="711"/>
      <c r="I4625" s="711"/>
      <c r="J4625" s="711"/>
      <c r="K4625" s="711"/>
      <c r="L4625" s="711"/>
      <c r="Q4625" s="11"/>
      <c r="R4625" s="11"/>
      <c r="S4625" s="11"/>
      <c r="T4625" s="11"/>
    </row>
    <row r="4626" spans="8:20" x14ac:dyDescent="0.35">
      <c r="H4626" s="711"/>
      <c r="I4626" s="711"/>
      <c r="J4626" s="711"/>
      <c r="K4626" s="711"/>
      <c r="L4626" s="711"/>
      <c r="Q4626" s="11"/>
      <c r="R4626" s="11"/>
      <c r="S4626" s="11"/>
      <c r="T4626" s="11"/>
    </row>
    <row r="4627" spans="8:20" x14ac:dyDescent="0.35">
      <c r="H4627" s="711"/>
      <c r="I4627" s="711"/>
      <c r="J4627" s="711"/>
      <c r="K4627" s="711"/>
      <c r="L4627" s="711"/>
      <c r="Q4627" s="11"/>
      <c r="R4627" s="11"/>
      <c r="S4627" s="11"/>
      <c r="T4627" s="11"/>
    </row>
    <row r="4628" spans="8:20" x14ac:dyDescent="0.35">
      <c r="H4628" s="711"/>
      <c r="I4628" s="711"/>
      <c r="J4628" s="711"/>
      <c r="K4628" s="711"/>
      <c r="L4628" s="711"/>
      <c r="Q4628" s="11"/>
      <c r="R4628" s="11"/>
      <c r="S4628" s="11"/>
      <c r="T4628" s="11"/>
    </row>
    <row r="4629" spans="8:20" x14ac:dyDescent="0.35">
      <c r="H4629" s="711"/>
      <c r="I4629" s="711"/>
      <c r="J4629" s="711"/>
      <c r="K4629" s="711"/>
      <c r="L4629" s="711"/>
      <c r="Q4629" s="11"/>
      <c r="R4629" s="11"/>
      <c r="S4629" s="11"/>
      <c r="T4629" s="11"/>
    </row>
    <row r="4630" spans="8:20" x14ac:dyDescent="0.35">
      <c r="H4630" s="711"/>
      <c r="I4630" s="711"/>
      <c r="J4630" s="711"/>
      <c r="K4630" s="711"/>
      <c r="L4630" s="711"/>
      <c r="Q4630" s="11"/>
      <c r="R4630" s="11"/>
      <c r="S4630" s="11"/>
      <c r="T4630" s="11"/>
    </row>
    <row r="4631" spans="8:20" x14ac:dyDescent="0.35">
      <c r="H4631" s="711"/>
      <c r="I4631" s="711"/>
      <c r="J4631" s="711"/>
      <c r="K4631" s="711"/>
      <c r="L4631" s="711"/>
      <c r="Q4631" s="11"/>
      <c r="R4631" s="11"/>
      <c r="S4631" s="11"/>
      <c r="T4631" s="11"/>
    </row>
    <row r="4632" spans="8:20" x14ac:dyDescent="0.35">
      <c r="H4632" s="711"/>
      <c r="I4632" s="711"/>
      <c r="J4632" s="711"/>
      <c r="K4632" s="711"/>
      <c r="L4632" s="711"/>
      <c r="Q4632" s="11"/>
      <c r="R4632" s="11"/>
      <c r="S4632" s="11"/>
      <c r="T4632" s="11"/>
    </row>
    <row r="4633" spans="8:20" x14ac:dyDescent="0.35">
      <c r="H4633" s="711"/>
      <c r="I4633" s="711"/>
      <c r="J4633" s="711"/>
      <c r="K4633" s="711"/>
      <c r="L4633" s="711"/>
      <c r="Q4633" s="11"/>
      <c r="R4633" s="11"/>
      <c r="S4633" s="11"/>
      <c r="T4633" s="11"/>
    </row>
    <row r="4634" spans="8:20" x14ac:dyDescent="0.35">
      <c r="H4634" s="711"/>
      <c r="I4634" s="711"/>
      <c r="J4634" s="711"/>
      <c r="K4634" s="711"/>
      <c r="L4634" s="711"/>
      <c r="Q4634" s="11"/>
      <c r="R4634" s="11"/>
      <c r="S4634" s="11"/>
      <c r="T4634" s="11"/>
    </row>
    <row r="4635" spans="8:20" x14ac:dyDescent="0.35">
      <c r="H4635" s="711"/>
      <c r="I4635" s="711"/>
      <c r="J4635" s="711"/>
      <c r="K4635" s="711"/>
      <c r="L4635" s="711"/>
      <c r="Q4635" s="11"/>
      <c r="R4635" s="11"/>
      <c r="S4635" s="11"/>
      <c r="T4635" s="11"/>
    </row>
    <row r="4636" spans="8:20" x14ac:dyDescent="0.35">
      <c r="H4636" s="711"/>
      <c r="I4636" s="711"/>
      <c r="J4636" s="711"/>
      <c r="K4636" s="711"/>
      <c r="L4636" s="711"/>
      <c r="Q4636" s="11"/>
      <c r="R4636" s="11"/>
      <c r="S4636" s="11"/>
      <c r="T4636" s="11"/>
    </row>
    <row r="4637" spans="8:20" x14ac:dyDescent="0.35">
      <c r="H4637" s="711"/>
      <c r="I4637" s="711"/>
      <c r="J4637" s="711"/>
      <c r="K4637" s="711"/>
      <c r="L4637" s="711"/>
      <c r="Q4637" s="11"/>
      <c r="R4637" s="11"/>
      <c r="S4637" s="11"/>
      <c r="T4637" s="11"/>
    </row>
    <row r="4638" spans="8:20" x14ac:dyDescent="0.35">
      <c r="H4638" s="711"/>
      <c r="I4638" s="711"/>
      <c r="J4638" s="711"/>
      <c r="K4638" s="711"/>
      <c r="L4638" s="711"/>
      <c r="Q4638" s="11"/>
      <c r="R4638" s="11"/>
      <c r="S4638" s="11"/>
      <c r="T4638" s="11"/>
    </row>
    <row r="4639" spans="8:20" x14ac:dyDescent="0.35">
      <c r="H4639" s="711"/>
      <c r="I4639" s="711"/>
      <c r="J4639" s="711"/>
      <c r="K4639" s="711"/>
      <c r="L4639" s="711"/>
      <c r="Q4639" s="11"/>
      <c r="R4639" s="11"/>
      <c r="S4639" s="11"/>
      <c r="T4639" s="11"/>
    </row>
    <row r="4640" spans="8:20" x14ac:dyDescent="0.35">
      <c r="H4640" s="711"/>
      <c r="I4640" s="711"/>
      <c r="J4640" s="711"/>
      <c r="K4640" s="711"/>
      <c r="L4640" s="711"/>
      <c r="Q4640" s="11"/>
      <c r="R4640" s="11"/>
      <c r="S4640" s="11"/>
      <c r="T4640" s="11"/>
    </row>
    <row r="4641" spans="8:20" x14ac:dyDescent="0.35">
      <c r="H4641" s="711"/>
      <c r="I4641" s="711"/>
      <c r="J4641" s="711"/>
      <c r="K4641" s="711"/>
      <c r="L4641" s="711"/>
      <c r="Q4641" s="11"/>
      <c r="R4641" s="11"/>
      <c r="S4641" s="11"/>
      <c r="T4641" s="11"/>
    </row>
    <row r="4642" spans="8:20" x14ac:dyDescent="0.35">
      <c r="H4642" s="711"/>
      <c r="I4642" s="711"/>
      <c r="J4642" s="711"/>
      <c r="K4642" s="711"/>
      <c r="L4642" s="711"/>
      <c r="Q4642" s="11"/>
      <c r="R4642" s="11"/>
      <c r="S4642" s="11"/>
      <c r="T4642" s="11"/>
    </row>
    <row r="4643" spans="8:20" x14ac:dyDescent="0.35">
      <c r="H4643" s="711"/>
      <c r="I4643" s="711"/>
      <c r="J4643" s="711"/>
      <c r="K4643" s="711"/>
      <c r="L4643" s="711"/>
      <c r="Q4643" s="11"/>
      <c r="R4643" s="11"/>
      <c r="S4643" s="11"/>
      <c r="T4643" s="11"/>
    </row>
    <row r="4644" spans="8:20" x14ac:dyDescent="0.35">
      <c r="H4644" s="711"/>
      <c r="I4644" s="711"/>
      <c r="J4644" s="711"/>
      <c r="K4644" s="711"/>
      <c r="L4644" s="711"/>
      <c r="Q4644" s="11"/>
      <c r="R4644" s="11"/>
      <c r="S4644" s="11"/>
      <c r="T4644" s="11"/>
    </row>
    <row r="4645" spans="8:20" x14ac:dyDescent="0.35">
      <c r="H4645" s="711"/>
      <c r="I4645" s="711"/>
      <c r="J4645" s="711"/>
      <c r="K4645" s="711"/>
      <c r="L4645" s="711"/>
      <c r="Q4645" s="11"/>
      <c r="R4645" s="11"/>
      <c r="S4645" s="11"/>
      <c r="T4645" s="11"/>
    </row>
    <row r="4646" spans="8:20" x14ac:dyDescent="0.35">
      <c r="H4646" s="711"/>
      <c r="I4646" s="711"/>
      <c r="J4646" s="711"/>
      <c r="K4646" s="711"/>
      <c r="L4646" s="711"/>
      <c r="Q4646" s="11"/>
      <c r="R4646" s="11"/>
      <c r="S4646" s="11"/>
      <c r="T4646" s="11"/>
    </row>
    <row r="4647" spans="8:20" x14ac:dyDescent="0.35">
      <c r="H4647" s="711"/>
      <c r="I4647" s="711"/>
      <c r="J4647" s="711"/>
      <c r="K4647" s="711"/>
      <c r="L4647" s="711"/>
      <c r="Q4647" s="11"/>
      <c r="R4647" s="11"/>
      <c r="S4647" s="11"/>
      <c r="T4647" s="11"/>
    </row>
    <row r="4648" spans="8:20" x14ac:dyDescent="0.35">
      <c r="H4648" s="711"/>
      <c r="I4648" s="711"/>
      <c r="J4648" s="711"/>
      <c r="K4648" s="711"/>
      <c r="L4648" s="711"/>
      <c r="Q4648" s="11"/>
      <c r="R4648" s="11"/>
      <c r="S4648" s="11"/>
      <c r="T4648" s="11"/>
    </row>
    <row r="4649" spans="8:20" x14ac:dyDescent="0.35">
      <c r="H4649" s="711"/>
      <c r="I4649" s="711"/>
      <c r="J4649" s="711"/>
      <c r="K4649" s="711"/>
      <c r="L4649" s="711"/>
      <c r="Q4649" s="11"/>
      <c r="R4649" s="11"/>
      <c r="S4649" s="11"/>
      <c r="T4649" s="11"/>
    </row>
    <row r="4650" spans="8:20" x14ac:dyDescent="0.35">
      <c r="H4650" s="711"/>
      <c r="I4650" s="711"/>
      <c r="J4650" s="711"/>
      <c r="K4650" s="711"/>
      <c r="L4650" s="711"/>
      <c r="Q4650" s="11"/>
      <c r="R4650" s="11"/>
      <c r="S4650" s="11"/>
      <c r="T4650" s="11"/>
    </row>
    <row r="4651" spans="8:20" x14ac:dyDescent="0.35">
      <c r="H4651" s="711"/>
      <c r="I4651" s="711"/>
      <c r="J4651" s="711"/>
      <c r="K4651" s="711"/>
      <c r="L4651" s="711"/>
      <c r="Q4651" s="11"/>
      <c r="R4651" s="11"/>
      <c r="S4651" s="11"/>
      <c r="T4651" s="11"/>
    </row>
    <row r="4652" spans="8:20" x14ac:dyDescent="0.35">
      <c r="H4652" s="711"/>
      <c r="I4652" s="711"/>
      <c r="J4652" s="711"/>
      <c r="K4652" s="711"/>
      <c r="L4652" s="711"/>
      <c r="Q4652" s="11"/>
      <c r="R4652" s="11"/>
      <c r="S4652" s="11"/>
      <c r="T4652" s="11"/>
    </row>
    <row r="4653" spans="8:20" x14ac:dyDescent="0.35">
      <c r="H4653" s="711"/>
      <c r="I4653" s="711"/>
      <c r="J4653" s="711"/>
      <c r="K4653" s="711"/>
      <c r="L4653" s="711"/>
      <c r="Q4653" s="11"/>
      <c r="R4653" s="11"/>
      <c r="S4653" s="11"/>
      <c r="T4653" s="11"/>
    </row>
    <row r="4654" spans="8:20" x14ac:dyDescent="0.35">
      <c r="H4654" s="711"/>
      <c r="I4654" s="711"/>
      <c r="J4654" s="711"/>
      <c r="K4654" s="711"/>
      <c r="L4654" s="711"/>
      <c r="Q4654" s="11"/>
      <c r="R4654" s="11"/>
      <c r="S4654" s="11"/>
      <c r="T4654" s="11"/>
    </row>
    <row r="4655" spans="8:20" x14ac:dyDescent="0.35">
      <c r="H4655" s="711"/>
      <c r="I4655" s="711"/>
      <c r="J4655" s="711"/>
      <c r="K4655" s="711"/>
      <c r="L4655" s="711"/>
      <c r="Q4655" s="11"/>
      <c r="R4655" s="11"/>
      <c r="S4655" s="11"/>
      <c r="T4655" s="11"/>
    </row>
    <row r="4656" spans="8:20" x14ac:dyDescent="0.35">
      <c r="H4656" s="711"/>
      <c r="I4656" s="711"/>
      <c r="J4656" s="711"/>
      <c r="K4656" s="711"/>
      <c r="L4656" s="711"/>
      <c r="Q4656" s="11"/>
      <c r="R4656" s="11"/>
      <c r="S4656" s="11"/>
      <c r="T4656" s="11"/>
    </row>
    <row r="4657" spans="8:20" x14ac:dyDescent="0.35">
      <c r="H4657" s="711"/>
      <c r="I4657" s="711"/>
      <c r="J4657" s="711"/>
      <c r="K4657" s="711"/>
      <c r="L4657" s="711"/>
      <c r="Q4657" s="11"/>
      <c r="R4657" s="11"/>
      <c r="S4657" s="11"/>
      <c r="T4657" s="11"/>
    </row>
    <row r="4658" spans="8:20" x14ac:dyDescent="0.35">
      <c r="H4658" s="711"/>
      <c r="I4658" s="711"/>
      <c r="J4658" s="711"/>
      <c r="K4658" s="711"/>
      <c r="L4658" s="711"/>
      <c r="Q4658" s="11"/>
      <c r="R4658" s="11"/>
      <c r="S4658" s="11"/>
      <c r="T4658" s="11"/>
    </row>
    <row r="4659" spans="8:20" x14ac:dyDescent="0.35">
      <c r="H4659" s="711"/>
      <c r="I4659" s="711"/>
      <c r="J4659" s="711"/>
      <c r="K4659" s="711"/>
      <c r="L4659" s="711"/>
      <c r="Q4659" s="11"/>
      <c r="R4659" s="11"/>
      <c r="S4659" s="11"/>
      <c r="T4659" s="11"/>
    </row>
    <row r="4660" spans="8:20" x14ac:dyDescent="0.35">
      <c r="H4660" s="711"/>
      <c r="I4660" s="711"/>
      <c r="J4660" s="711"/>
      <c r="K4660" s="711"/>
      <c r="L4660" s="711"/>
      <c r="Q4660" s="11"/>
      <c r="R4660" s="11"/>
      <c r="S4660" s="11"/>
      <c r="T4660" s="11"/>
    </row>
    <row r="4661" spans="8:20" x14ac:dyDescent="0.35">
      <c r="H4661" s="711"/>
      <c r="I4661" s="711"/>
      <c r="J4661" s="711"/>
      <c r="K4661" s="711"/>
      <c r="L4661" s="711"/>
      <c r="Q4661" s="11"/>
      <c r="R4661" s="11"/>
      <c r="S4661" s="11"/>
      <c r="T4661" s="11"/>
    </row>
    <row r="4662" spans="8:20" x14ac:dyDescent="0.35">
      <c r="H4662" s="711"/>
      <c r="I4662" s="711"/>
      <c r="J4662" s="711"/>
      <c r="K4662" s="711"/>
      <c r="L4662" s="711"/>
      <c r="Q4662" s="11"/>
      <c r="R4662" s="11"/>
      <c r="S4662" s="11"/>
      <c r="T4662" s="11"/>
    </row>
    <row r="4663" spans="8:20" x14ac:dyDescent="0.35">
      <c r="H4663" s="711"/>
      <c r="I4663" s="711"/>
      <c r="J4663" s="711"/>
      <c r="K4663" s="711"/>
      <c r="L4663" s="711"/>
      <c r="Q4663" s="11"/>
      <c r="R4663" s="11"/>
      <c r="S4663" s="11"/>
      <c r="T4663" s="11"/>
    </row>
    <row r="4664" spans="8:20" x14ac:dyDescent="0.35">
      <c r="H4664" s="711"/>
      <c r="I4664" s="711"/>
      <c r="J4664" s="711"/>
      <c r="K4664" s="711"/>
      <c r="L4664" s="711"/>
      <c r="Q4664" s="11"/>
      <c r="R4664" s="11"/>
      <c r="S4664" s="11"/>
      <c r="T4664" s="11"/>
    </row>
    <row r="4665" spans="8:20" x14ac:dyDescent="0.35">
      <c r="H4665" s="711"/>
      <c r="I4665" s="711"/>
      <c r="J4665" s="711"/>
      <c r="K4665" s="711"/>
      <c r="L4665" s="711"/>
      <c r="Q4665" s="11"/>
      <c r="R4665" s="11"/>
      <c r="S4665" s="11"/>
      <c r="T4665" s="11"/>
    </row>
    <row r="4666" spans="8:20" x14ac:dyDescent="0.35">
      <c r="H4666" s="711"/>
      <c r="I4666" s="711"/>
      <c r="J4666" s="711"/>
      <c r="K4666" s="711"/>
      <c r="L4666" s="711"/>
      <c r="Q4666" s="11"/>
      <c r="R4666" s="11"/>
      <c r="S4666" s="11"/>
      <c r="T4666" s="11"/>
    </row>
    <row r="4667" spans="8:20" x14ac:dyDescent="0.35">
      <c r="H4667" s="711"/>
      <c r="I4667" s="711"/>
      <c r="J4667" s="711"/>
      <c r="K4667" s="711"/>
      <c r="L4667" s="711"/>
      <c r="Q4667" s="11"/>
      <c r="R4667" s="11"/>
      <c r="S4667" s="11"/>
      <c r="T4667" s="11"/>
    </row>
    <row r="4668" spans="8:20" x14ac:dyDescent="0.35">
      <c r="H4668" s="711"/>
      <c r="I4668" s="711"/>
      <c r="J4668" s="711"/>
      <c r="K4668" s="711"/>
      <c r="L4668" s="711"/>
      <c r="Q4668" s="11"/>
      <c r="R4668" s="11"/>
      <c r="S4668" s="11"/>
      <c r="T4668" s="11"/>
    </row>
    <row r="4669" spans="8:20" x14ac:dyDescent="0.35">
      <c r="H4669" s="711"/>
      <c r="I4669" s="711"/>
      <c r="J4669" s="711"/>
      <c r="K4669" s="711"/>
      <c r="L4669" s="711"/>
      <c r="Q4669" s="11"/>
      <c r="R4669" s="11"/>
      <c r="S4669" s="11"/>
      <c r="T4669" s="11"/>
    </row>
    <row r="4670" spans="8:20" x14ac:dyDescent="0.35">
      <c r="H4670" s="711"/>
      <c r="I4670" s="711"/>
      <c r="J4670" s="711"/>
      <c r="K4670" s="711"/>
      <c r="L4670" s="711"/>
      <c r="Q4670" s="11"/>
      <c r="R4670" s="11"/>
      <c r="S4670" s="11"/>
      <c r="T4670" s="11"/>
    </row>
    <row r="4671" spans="8:20" x14ac:dyDescent="0.35">
      <c r="H4671" s="711"/>
      <c r="I4671" s="711"/>
      <c r="J4671" s="711"/>
      <c r="K4671" s="711"/>
      <c r="L4671" s="711"/>
      <c r="Q4671" s="11"/>
      <c r="R4671" s="11"/>
      <c r="S4671" s="11"/>
      <c r="T4671" s="11"/>
    </row>
    <row r="4672" spans="8:20" x14ac:dyDescent="0.35">
      <c r="H4672" s="711"/>
      <c r="I4672" s="711"/>
      <c r="J4672" s="711"/>
      <c r="K4672" s="711"/>
      <c r="L4672" s="711"/>
      <c r="Q4672" s="11"/>
      <c r="R4672" s="11"/>
      <c r="S4672" s="11"/>
      <c r="T4672" s="11"/>
    </row>
    <row r="4673" spans="8:20" x14ac:dyDescent="0.35">
      <c r="H4673" s="711"/>
      <c r="I4673" s="711"/>
      <c r="J4673" s="711"/>
      <c r="K4673" s="711"/>
      <c r="L4673" s="711"/>
      <c r="Q4673" s="11"/>
      <c r="R4673" s="11"/>
      <c r="S4673" s="11"/>
      <c r="T4673" s="11"/>
    </row>
    <row r="4674" spans="8:20" x14ac:dyDescent="0.35">
      <c r="H4674" s="711"/>
      <c r="I4674" s="711"/>
      <c r="J4674" s="711"/>
      <c r="K4674" s="711"/>
      <c r="L4674" s="711"/>
      <c r="Q4674" s="11"/>
      <c r="R4674" s="11"/>
      <c r="S4674" s="11"/>
      <c r="T4674" s="11"/>
    </row>
    <row r="4675" spans="8:20" x14ac:dyDescent="0.35">
      <c r="H4675" s="711"/>
      <c r="I4675" s="711"/>
      <c r="J4675" s="711"/>
      <c r="K4675" s="711"/>
      <c r="L4675" s="711"/>
      <c r="Q4675" s="11"/>
      <c r="R4675" s="11"/>
      <c r="S4675" s="11"/>
      <c r="T4675" s="11"/>
    </row>
    <row r="4676" spans="8:20" x14ac:dyDescent="0.35">
      <c r="H4676" s="711"/>
      <c r="I4676" s="711"/>
      <c r="J4676" s="711"/>
      <c r="K4676" s="711"/>
      <c r="L4676" s="711"/>
      <c r="Q4676" s="11"/>
      <c r="R4676" s="11"/>
      <c r="S4676" s="11"/>
      <c r="T4676" s="11"/>
    </row>
    <row r="4677" spans="8:20" x14ac:dyDescent="0.35">
      <c r="H4677" s="711"/>
      <c r="I4677" s="711"/>
      <c r="J4677" s="711"/>
      <c r="K4677" s="711"/>
      <c r="L4677" s="711"/>
      <c r="Q4677" s="11"/>
      <c r="R4677" s="11"/>
      <c r="S4677" s="11"/>
      <c r="T4677" s="11"/>
    </row>
    <row r="4678" spans="8:20" x14ac:dyDescent="0.35">
      <c r="H4678" s="711"/>
      <c r="I4678" s="711"/>
      <c r="J4678" s="711"/>
      <c r="K4678" s="711"/>
      <c r="L4678" s="711"/>
      <c r="Q4678" s="11"/>
      <c r="R4678" s="11"/>
      <c r="S4678" s="11"/>
      <c r="T4678" s="11"/>
    </row>
    <row r="4679" spans="8:20" x14ac:dyDescent="0.35">
      <c r="H4679" s="711"/>
      <c r="I4679" s="711"/>
      <c r="J4679" s="711"/>
      <c r="K4679" s="711"/>
      <c r="L4679" s="711"/>
      <c r="Q4679" s="11"/>
      <c r="R4679" s="11"/>
      <c r="S4679" s="11"/>
      <c r="T4679" s="11"/>
    </row>
    <row r="4680" spans="8:20" x14ac:dyDescent="0.35">
      <c r="H4680" s="711"/>
      <c r="I4680" s="711"/>
      <c r="J4680" s="711"/>
      <c r="K4680" s="711"/>
      <c r="L4680" s="711"/>
      <c r="Q4680" s="11"/>
      <c r="R4680" s="11"/>
      <c r="S4680" s="11"/>
      <c r="T4680" s="11"/>
    </row>
    <row r="4681" spans="8:20" x14ac:dyDescent="0.35">
      <c r="H4681" s="711"/>
      <c r="I4681" s="711"/>
      <c r="J4681" s="711"/>
      <c r="K4681" s="711"/>
      <c r="L4681" s="711"/>
      <c r="Q4681" s="11"/>
      <c r="R4681" s="11"/>
      <c r="S4681" s="11"/>
      <c r="T4681" s="11"/>
    </row>
    <row r="4682" spans="8:20" x14ac:dyDescent="0.35">
      <c r="H4682" s="711"/>
      <c r="I4682" s="711"/>
      <c r="J4682" s="711"/>
      <c r="K4682" s="711"/>
      <c r="L4682" s="711"/>
      <c r="Q4682" s="11"/>
      <c r="R4682" s="11"/>
      <c r="S4682" s="11"/>
      <c r="T4682" s="11"/>
    </row>
    <row r="4683" spans="8:20" x14ac:dyDescent="0.35">
      <c r="H4683" s="711"/>
      <c r="I4683" s="711"/>
      <c r="J4683" s="711"/>
      <c r="K4683" s="711"/>
      <c r="L4683" s="711"/>
      <c r="Q4683" s="11"/>
      <c r="R4683" s="11"/>
      <c r="S4683" s="11"/>
      <c r="T4683" s="11"/>
    </row>
    <row r="4684" spans="8:20" x14ac:dyDescent="0.35">
      <c r="H4684" s="711"/>
      <c r="I4684" s="711"/>
      <c r="J4684" s="711"/>
      <c r="K4684" s="711"/>
      <c r="L4684" s="711"/>
      <c r="Q4684" s="11"/>
      <c r="R4684" s="11"/>
      <c r="S4684" s="11"/>
      <c r="T4684" s="11"/>
    </row>
    <row r="4685" spans="8:20" x14ac:dyDescent="0.35">
      <c r="H4685" s="711"/>
      <c r="I4685" s="711"/>
      <c r="J4685" s="711"/>
      <c r="K4685" s="711"/>
      <c r="L4685" s="711"/>
      <c r="Q4685" s="11"/>
      <c r="R4685" s="11"/>
      <c r="S4685" s="11"/>
      <c r="T4685" s="11"/>
    </row>
    <row r="4686" spans="8:20" x14ac:dyDescent="0.35">
      <c r="H4686" s="711"/>
      <c r="I4686" s="711"/>
      <c r="J4686" s="711"/>
      <c r="K4686" s="711"/>
      <c r="L4686" s="711"/>
      <c r="Q4686" s="11"/>
      <c r="R4686" s="11"/>
      <c r="S4686" s="11"/>
      <c r="T4686" s="11"/>
    </row>
    <row r="4687" spans="8:20" x14ac:dyDescent="0.35">
      <c r="H4687" s="711"/>
      <c r="I4687" s="711"/>
      <c r="J4687" s="711"/>
      <c r="K4687" s="711"/>
      <c r="L4687" s="711"/>
      <c r="Q4687" s="11"/>
      <c r="R4687" s="11"/>
      <c r="S4687" s="11"/>
      <c r="T4687" s="11"/>
    </row>
    <row r="4688" spans="8:20" x14ac:dyDescent="0.35">
      <c r="H4688" s="711"/>
      <c r="I4688" s="711"/>
      <c r="J4688" s="711"/>
      <c r="K4688" s="711"/>
      <c r="L4688" s="711"/>
      <c r="Q4688" s="11"/>
      <c r="R4688" s="11"/>
      <c r="S4688" s="11"/>
      <c r="T4688" s="11"/>
    </row>
    <row r="4689" spans="8:20" x14ac:dyDescent="0.35">
      <c r="H4689" s="711"/>
      <c r="I4689" s="711"/>
      <c r="J4689" s="711"/>
      <c r="K4689" s="711"/>
      <c r="L4689" s="711"/>
      <c r="Q4689" s="11"/>
      <c r="R4689" s="11"/>
      <c r="S4689" s="11"/>
      <c r="T4689" s="11"/>
    </row>
    <row r="4690" spans="8:20" x14ac:dyDescent="0.35">
      <c r="H4690" s="711"/>
      <c r="I4690" s="711"/>
      <c r="J4690" s="711"/>
      <c r="K4690" s="711"/>
      <c r="L4690" s="711"/>
      <c r="Q4690" s="11"/>
      <c r="R4690" s="11"/>
      <c r="S4690" s="11"/>
      <c r="T4690" s="11"/>
    </row>
    <row r="4691" spans="8:20" x14ac:dyDescent="0.35">
      <c r="H4691" s="711"/>
      <c r="I4691" s="711"/>
      <c r="J4691" s="711"/>
      <c r="K4691" s="711"/>
      <c r="L4691" s="711"/>
      <c r="Q4691" s="11"/>
      <c r="R4691" s="11"/>
      <c r="S4691" s="11"/>
      <c r="T4691" s="11"/>
    </row>
    <row r="4692" spans="8:20" x14ac:dyDescent="0.35">
      <c r="H4692" s="711"/>
      <c r="I4692" s="711"/>
      <c r="J4692" s="711"/>
      <c r="K4692" s="711"/>
      <c r="L4692" s="711"/>
      <c r="Q4692" s="11"/>
      <c r="R4692" s="11"/>
      <c r="S4692" s="11"/>
      <c r="T4692" s="11"/>
    </row>
    <row r="4693" spans="8:20" x14ac:dyDescent="0.35">
      <c r="H4693" s="711"/>
      <c r="I4693" s="711"/>
      <c r="J4693" s="711"/>
      <c r="K4693" s="711"/>
      <c r="L4693" s="711"/>
      <c r="Q4693" s="11"/>
      <c r="R4693" s="11"/>
      <c r="S4693" s="11"/>
      <c r="T4693" s="11"/>
    </row>
    <row r="4694" spans="8:20" x14ac:dyDescent="0.35">
      <c r="H4694" s="711"/>
      <c r="I4694" s="711"/>
      <c r="J4694" s="711"/>
      <c r="K4694" s="711"/>
      <c r="L4694" s="711"/>
      <c r="Q4694" s="11"/>
      <c r="R4694" s="11"/>
      <c r="S4694" s="11"/>
      <c r="T4694" s="11"/>
    </row>
    <row r="4695" spans="8:20" x14ac:dyDescent="0.35">
      <c r="H4695" s="711"/>
      <c r="I4695" s="711"/>
      <c r="J4695" s="711"/>
      <c r="K4695" s="711"/>
      <c r="L4695" s="711"/>
      <c r="Q4695" s="11"/>
      <c r="R4695" s="11"/>
      <c r="S4695" s="11"/>
      <c r="T4695" s="11"/>
    </row>
    <row r="4696" spans="8:20" x14ac:dyDescent="0.35">
      <c r="H4696" s="711"/>
      <c r="I4696" s="711"/>
      <c r="J4696" s="711"/>
      <c r="K4696" s="711"/>
      <c r="L4696" s="711"/>
      <c r="Q4696" s="11"/>
      <c r="R4696" s="11"/>
      <c r="S4696" s="11"/>
      <c r="T4696" s="11"/>
    </row>
    <row r="4697" spans="8:20" x14ac:dyDescent="0.35">
      <c r="H4697" s="711"/>
      <c r="I4697" s="711"/>
      <c r="J4697" s="711"/>
      <c r="K4697" s="711"/>
      <c r="L4697" s="711"/>
      <c r="Q4697" s="11"/>
      <c r="R4697" s="11"/>
      <c r="S4697" s="11"/>
      <c r="T4697" s="11"/>
    </row>
    <row r="4698" spans="8:20" x14ac:dyDescent="0.35">
      <c r="H4698" s="711"/>
      <c r="I4698" s="711"/>
      <c r="J4698" s="711"/>
      <c r="K4698" s="711"/>
      <c r="L4698" s="711"/>
      <c r="Q4698" s="11"/>
      <c r="R4698" s="11"/>
      <c r="S4698" s="11"/>
      <c r="T4698" s="11"/>
    </row>
    <row r="4699" spans="8:20" x14ac:dyDescent="0.35">
      <c r="H4699" s="711"/>
      <c r="I4699" s="711"/>
      <c r="J4699" s="711"/>
      <c r="K4699" s="711"/>
      <c r="L4699" s="711"/>
      <c r="Q4699" s="11"/>
      <c r="R4699" s="11"/>
      <c r="S4699" s="11"/>
      <c r="T4699" s="11"/>
    </row>
    <row r="4700" spans="8:20" x14ac:dyDescent="0.35">
      <c r="H4700" s="711"/>
      <c r="I4700" s="711"/>
      <c r="J4700" s="711"/>
      <c r="K4700" s="711"/>
      <c r="L4700" s="711"/>
      <c r="Q4700" s="11"/>
      <c r="R4700" s="11"/>
      <c r="S4700" s="11"/>
      <c r="T4700" s="11"/>
    </row>
    <row r="4701" spans="8:20" x14ac:dyDescent="0.35">
      <c r="H4701" s="711"/>
      <c r="I4701" s="711"/>
      <c r="J4701" s="711"/>
      <c r="K4701" s="711"/>
      <c r="L4701" s="711"/>
      <c r="Q4701" s="11"/>
      <c r="R4701" s="11"/>
      <c r="S4701" s="11"/>
      <c r="T4701" s="11"/>
    </row>
    <row r="4702" spans="8:20" x14ac:dyDescent="0.35">
      <c r="H4702" s="711"/>
      <c r="I4702" s="711"/>
      <c r="J4702" s="711"/>
      <c r="K4702" s="711"/>
      <c r="L4702" s="711"/>
      <c r="Q4702" s="11"/>
      <c r="R4702" s="11"/>
      <c r="S4702" s="11"/>
      <c r="T4702" s="11"/>
    </row>
    <row r="4703" spans="8:20" x14ac:dyDescent="0.35">
      <c r="H4703" s="711"/>
      <c r="I4703" s="711"/>
      <c r="J4703" s="711"/>
      <c r="K4703" s="711"/>
      <c r="L4703" s="711"/>
      <c r="Q4703" s="11"/>
      <c r="R4703" s="11"/>
      <c r="S4703" s="11"/>
      <c r="T4703" s="11"/>
    </row>
    <row r="4704" spans="8:20" x14ac:dyDescent="0.35">
      <c r="H4704" s="711"/>
      <c r="I4704" s="711"/>
      <c r="J4704" s="711"/>
      <c r="K4704" s="711"/>
      <c r="L4704" s="711"/>
      <c r="Q4704" s="11"/>
      <c r="R4704" s="11"/>
      <c r="S4704" s="11"/>
      <c r="T4704" s="11"/>
    </row>
    <row r="4705" spans="8:20" x14ac:dyDescent="0.35">
      <c r="H4705" s="711"/>
      <c r="I4705" s="711"/>
      <c r="J4705" s="711"/>
      <c r="K4705" s="711"/>
      <c r="L4705" s="711"/>
      <c r="Q4705" s="11"/>
      <c r="R4705" s="11"/>
      <c r="S4705" s="11"/>
      <c r="T4705" s="11"/>
    </row>
    <row r="4706" spans="8:20" x14ac:dyDescent="0.35">
      <c r="H4706" s="711"/>
      <c r="I4706" s="711"/>
      <c r="J4706" s="711"/>
      <c r="K4706" s="711"/>
      <c r="L4706" s="711"/>
      <c r="Q4706" s="11"/>
      <c r="R4706" s="11"/>
      <c r="S4706" s="11"/>
      <c r="T4706" s="11"/>
    </row>
    <row r="4707" spans="8:20" x14ac:dyDescent="0.35">
      <c r="H4707" s="711"/>
      <c r="I4707" s="711"/>
      <c r="J4707" s="711"/>
      <c r="K4707" s="711"/>
      <c r="L4707" s="711"/>
      <c r="Q4707" s="11"/>
      <c r="R4707" s="11"/>
      <c r="S4707" s="11"/>
      <c r="T4707" s="11"/>
    </row>
    <row r="4708" spans="8:20" x14ac:dyDescent="0.35">
      <c r="H4708" s="711"/>
      <c r="I4708" s="711"/>
      <c r="J4708" s="711"/>
      <c r="K4708" s="711"/>
      <c r="L4708" s="711"/>
      <c r="Q4708" s="11"/>
      <c r="R4708" s="11"/>
      <c r="S4708" s="11"/>
      <c r="T4708" s="11"/>
    </row>
    <row r="4709" spans="8:20" x14ac:dyDescent="0.35">
      <c r="H4709" s="711"/>
      <c r="I4709" s="711"/>
      <c r="J4709" s="711"/>
      <c r="K4709" s="711"/>
      <c r="L4709" s="711"/>
      <c r="Q4709" s="11"/>
      <c r="R4709" s="11"/>
      <c r="S4709" s="11"/>
      <c r="T4709" s="11"/>
    </row>
    <row r="4710" spans="8:20" x14ac:dyDescent="0.35">
      <c r="H4710" s="711"/>
      <c r="I4710" s="711"/>
      <c r="J4710" s="711"/>
      <c r="K4710" s="711"/>
      <c r="L4710" s="711"/>
      <c r="Q4710" s="11"/>
      <c r="R4710" s="11"/>
      <c r="S4710" s="11"/>
      <c r="T4710" s="11"/>
    </row>
    <row r="4711" spans="8:20" x14ac:dyDescent="0.35">
      <c r="H4711" s="711"/>
      <c r="I4711" s="711"/>
      <c r="J4711" s="711"/>
      <c r="K4711" s="711"/>
      <c r="L4711" s="711"/>
      <c r="Q4711" s="11"/>
      <c r="R4711" s="11"/>
      <c r="S4711" s="11"/>
      <c r="T4711" s="11"/>
    </row>
    <row r="4712" spans="8:20" x14ac:dyDescent="0.35">
      <c r="H4712" s="711"/>
      <c r="I4712" s="711"/>
      <c r="J4712" s="711"/>
      <c r="K4712" s="711"/>
      <c r="L4712" s="711"/>
      <c r="Q4712" s="11"/>
      <c r="R4712" s="11"/>
      <c r="S4712" s="11"/>
      <c r="T4712" s="11"/>
    </row>
    <row r="4713" spans="8:20" x14ac:dyDescent="0.35">
      <c r="H4713" s="711"/>
      <c r="I4713" s="711"/>
      <c r="J4713" s="711"/>
      <c r="K4713" s="711"/>
      <c r="L4713" s="711"/>
      <c r="Q4713" s="11"/>
      <c r="R4713" s="11"/>
      <c r="S4713" s="11"/>
      <c r="T4713" s="11"/>
    </row>
    <row r="4714" spans="8:20" x14ac:dyDescent="0.35">
      <c r="H4714" s="711"/>
      <c r="I4714" s="711"/>
      <c r="J4714" s="711"/>
      <c r="K4714" s="711"/>
      <c r="L4714" s="711"/>
      <c r="Q4714" s="11"/>
      <c r="R4714" s="11"/>
      <c r="S4714" s="11"/>
      <c r="T4714" s="11"/>
    </row>
    <row r="4715" spans="8:20" x14ac:dyDescent="0.35">
      <c r="H4715" s="711"/>
      <c r="I4715" s="711"/>
      <c r="J4715" s="711"/>
      <c r="K4715" s="711"/>
      <c r="L4715" s="711"/>
      <c r="Q4715" s="11"/>
      <c r="R4715" s="11"/>
      <c r="S4715" s="11"/>
      <c r="T4715" s="11"/>
    </row>
    <row r="4716" spans="8:20" x14ac:dyDescent="0.35">
      <c r="H4716" s="711"/>
      <c r="I4716" s="711"/>
      <c r="J4716" s="711"/>
      <c r="K4716" s="711"/>
      <c r="L4716" s="711"/>
      <c r="Q4716" s="11"/>
      <c r="R4716" s="11"/>
      <c r="S4716" s="11"/>
      <c r="T4716" s="11"/>
    </row>
    <row r="4717" spans="8:20" x14ac:dyDescent="0.35">
      <c r="H4717" s="711"/>
      <c r="I4717" s="711"/>
      <c r="J4717" s="711"/>
      <c r="K4717" s="711"/>
      <c r="L4717" s="711"/>
      <c r="Q4717" s="11"/>
      <c r="R4717" s="11"/>
      <c r="S4717" s="11"/>
      <c r="T4717" s="11"/>
    </row>
    <row r="4718" spans="8:20" x14ac:dyDescent="0.35">
      <c r="H4718" s="711"/>
      <c r="I4718" s="711"/>
      <c r="J4718" s="711"/>
      <c r="K4718" s="711"/>
      <c r="L4718" s="711"/>
      <c r="Q4718" s="11"/>
      <c r="R4718" s="11"/>
      <c r="S4718" s="11"/>
      <c r="T4718" s="11"/>
    </row>
    <row r="4719" spans="8:20" x14ac:dyDescent="0.35">
      <c r="H4719" s="711"/>
      <c r="I4719" s="711"/>
      <c r="J4719" s="711"/>
      <c r="K4719" s="711"/>
      <c r="L4719" s="711"/>
      <c r="Q4719" s="11"/>
      <c r="R4719" s="11"/>
      <c r="S4719" s="11"/>
      <c r="T4719" s="11"/>
    </row>
    <row r="4720" spans="8:20" x14ac:dyDescent="0.35">
      <c r="H4720" s="711"/>
      <c r="I4720" s="711"/>
      <c r="J4720" s="711"/>
      <c r="K4720" s="711"/>
      <c r="L4720" s="711"/>
      <c r="Q4720" s="11"/>
      <c r="R4720" s="11"/>
      <c r="S4720" s="11"/>
      <c r="T4720" s="11"/>
    </row>
    <row r="4721" spans="8:20" x14ac:dyDescent="0.35">
      <c r="H4721" s="711"/>
      <c r="I4721" s="711"/>
      <c r="J4721" s="711"/>
      <c r="K4721" s="711"/>
      <c r="L4721" s="711"/>
      <c r="Q4721" s="11"/>
      <c r="R4721" s="11"/>
      <c r="S4721" s="11"/>
      <c r="T4721" s="11"/>
    </row>
    <row r="4722" spans="8:20" x14ac:dyDescent="0.35">
      <c r="H4722" s="711"/>
      <c r="I4722" s="711"/>
      <c r="J4722" s="711"/>
      <c r="K4722" s="711"/>
      <c r="L4722" s="711"/>
      <c r="Q4722" s="11"/>
      <c r="R4722" s="11"/>
      <c r="S4722" s="11"/>
      <c r="T4722" s="11"/>
    </row>
    <row r="4723" spans="8:20" x14ac:dyDescent="0.35">
      <c r="H4723" s="711"/>
      <c r="I4723" s="711"/>
      <c r="J4723" s="711"/>
      <c r="K4723" s="711"/>
      <c r="L4723" s="711"/>
      <c r="Q4723" s="11"/>
      <c r="R4723" s="11"/>
      <c r="S4723" s="11"/>
      <c r="T4723" s="11"/>
    </row>
    <row r="4724" spans="8:20" x14ac:dyDescent="0.35">
      <c r="H4724" s="711"/>
      <c r="I4724" s="711"/>
      <c r="J4724" s="711"/>
      <c r="K4724" s="711"/>
      <c r="L4724" s="711"/>
      <c r="Q4724" s="11"/>
      <c r="R4724" s="11"/>
      <c r="S4724" s="11"/>
      <c r="T4724" s="11"/>
    </row>
    <row r="4725" spans="8:20" x14ac:dyDescent="0.35">
      <c r="H4725" s="711"/>
      <c r="I4725" s="711"/>
      <c r="J4725" s="711"/>
      <c r="K4725" s="711"/>
      <c r="L4725" s="711"/>
      <c r="Q4725" s="11"/>
      <c r="R4725" s="11"/>
      <c r="S4725" s="11"/>
      <c r="T4725" s="11"/>
    </row>
    <row r="4726" spans="8:20" x14ac:dyDescent="0.35">
      <c r="H4726" s="711"/>
      <c r="I4726" s="711"/>
      <c r="J4726" s="711"/>
      <c r="K4726" s="711"/>
      <c r="L4726" s="711"/>
      <c r="Q4726" s="11"/>
      <c r="R4726" s="11"/>
      <c r="S4726" s="11"/>
      <c r="T4726" s="11"/>
    </row>
    <row r="4727" spans="8:20" x14ac:dyDescent="0.35">
      <c r="H4727" s="711"/>
      <c r="I4727" s="711"/>
      <c r="J4727" s="711"/>
      <c r="K4727" s="711"/>
      <c r="L4727" s="711"/>
      <c r="Q4727" s="11"/>
      <c r="R4727" s="11"/>
      <c r="S4727" s="11"/>
      <c r="T4727" s="11"/>
    </row>
    <row r="4728" spans="8:20" x14ac:dyDescent="0.35">
      <c r="H4728" s="711"/>
      <c r="I4728" s="711"/>
      <c r="J4728" s="711"/>
      <c r="K4728" s="711"/>
      <c r="L4728" s="711"/>
      <c r="Q4728" s="11"/>
      <c r="R4728" s="11"/>
      <c r="S4728" s="11"/>
      <c r="T4728" s="11"/>
    </row>
    <row r="4729" spans="8:20" x14ac:dyDescent="0.35">
      <c r="H4729" s="711"/>
      <c r="I4729" s="711"/>
      <c r="J4729" s="711"/>
      <c r="K4729" s="711"/>
      <c r="L4729" s="711"/>
      <c r="Q4729" s="11"/>
      <c r="R4729" s="11"/>
      <c r="S4729" s="11"/>
      <c r="T4729" s="11"/>
    </row>
    <row r="4730" spans="8:20" x14ac:dyDescent="0.35">
      <c r="H4730" s="711"/>
      <c r="I4730" s="711"/>
      <c r="J4730" s="711"/>
      <c r="K4730" s="711"/>
      <c r="L4730" s="711"/>
      <c r="Q4730" s="11"/>
      <c r="R4730" s="11"/>
      <c r="S4730" s="11"/>
      <c r="T4730" s="11"/>
    </row>
    <row r="4731" spans="8:20" x14ac:dyDescent="0.35">
      <c r="H4731" s="711"/>
      <c r="I4731" s="711"/>
      <c r="J4731" s="711"/>
      <c r="K4731" s="711"/>
      <c r="L4731" s="711"/>
      <c r="Q4731" s="11"/>
      <c r="R4731" s="11"/>
      <c r="S4731" s="11"/>
      <c r="T4731" s="11"/>
    </row>
    <row r="4732" spans="8:20" x14ac:dyDescent="0.35">
      <c r="H4732" s="711"/>
      <c r="I4732" s="711"/>
      <c r="J4732" s="711"/>
      <c r="K4732" s="711"/>
      <c r="L4732" s="711"/>
      <c r="Q4732" s="11"/>
      <c r="R4732" s="11"/>
      <c r="S4732" s="11"/>
      <c r="T4732" s="11"/>
    </row>
    <row r="4733" spans="8:20" x14ac:dyDescent="0.35">
      <c r="H4733" s="711"/>
      <c r="I4733" s="711"/>
      <c r="J4733" s="711"/>
      <c r="K4733" s="711"/>
      <c r="L4733" s="711"/>
      <c r="Q4733" s="11"/>
      <c r="R4733" s="11"/>
      <c r="S4733" s="11"/>
      <c r="T4733" s="11"/>
    </row>
    <row r="4734" spans="8:20" x14ac:dyDescent="0.35">
      <c r="H4734" s="711"/>
      <c r="I4734" s="711"/>
      <c r="J4734" s="711"/>
      <c r="K4734" s="711"/>
      <c r="L4734" s="711"/>
      <c r="Q4734" s="11"/>
      <c r="R4734" s="11"/>
      <c r="S4734" s="11"/>
      <c r="T4734" s="11"/>
    </row>
    <row r="4735" spans="8:20" x14ac:dyDescent="0.35">
      <c r="H4735" s="711"/>
      <c r="I4735" s="711"/>
      <c r="J4735" s="711"/>
      <c r="K4735" s="711"/>
      <c r="L4735" s="711"/>
      <c r="Q4735" s="11"/>
      <c r="R4735" s="11"/>
      <c r="S4735" s="11"/>
      <c r="T4735" s="11"/>
    </row>
    <row r="4736" spans="8:20" x14ac:dyDescent="0.35">
      <c r="H4736" s="711"/>
      <c r="I4736" s="711"/>
      <c r="J4736" s="711"/>
      <c r="K4736" s="711"/>
      <c r="L4736" s="711"/>
      <c r="Q4736" s="11"/>
      <c r="R4736" s="11"/>
      <c r="S4736" s="11"/>
      <c r="T4736" s="11"/>
    </row>
    <row r="4737" spans="8:20" x14ac:dyDescent="0.35">
      <c r="H4737" s="711"/>
      <c r="I4737" s="711"/>
      <c r="J4737" s="711"/>
      <c r="K4737" s="711"/>
      <c r="L4737" s="711"/>
      <c r="Q4737" s="11"/>
      <c r="R4737" s="11"/>
      <c r="S4737" s="11"/>
      <c r="T4737" s="11"/>
    </row>
    <row r="4738" spans="8:20" x14ac:dyDescent="0.35">
      <c r="H4738" s="711"/>
      <c r="I4738" s="711"/>
      <c r="J4738" s="711"/>
      <c r="K4738" s="711"/>
      <c r="L4738" s="711"/>
      <c r="Q4738" s="11"/>
      <c r="R4738" s="11"/>
      <c r="S4738" s="11"/>
      <c r="T4738" s="11"/>
    </row>
    <row r="4739" spans="8:20" x14ac:dyDescent="0.35">
      <c r="H4739" s="711"/>
      <c r="I4739" s="711"/>
      <c r="J4739" s="711"/>
      <c r="K4739" s="711"/>
      <c r="L4739" s="711"/>
      <c r="Q4739" s="11"/>
      <c r="R4739" s="11"/>
      <c r="S4739" s="11"/>
      <c r="T4739" s="11"/>
    </row>
    <row r="4740" spans="8:20" x14ac:dyDescent="0.35">
      <c r="H4740" s="711"/>
      <c r="I4740" s="711"/>
      <c r="J4740" s="711"/>
      <c r="K4740" s="711"/>
      <c r="L4740" s="711"/>
      <c r="Q4740" s="11"/>
      <c r="R4740" s="11"/>
      <c r="S4740" s="11"/>
      <c r="T4740" s="11"/>
    </row>
    <row r="4741" spans="8:20" x14ac:dyDescent="0.35">
      <c r="H4741" s="711"/>
      <c r="I4741" s="711"/>
      <c r="J4741" s="711"/>
      <c r="K4741" s="711"/>
      <c r="L4741" s="711"/>
      <c r="Q4741" s="11"/>
      <c r="R4741" s="11"/>
      <c r="S4741" s="11"/>
      <c r="T4741" s="11"/>
    </row>
    <row r="4742" spans="8:20" x14ac:dyDescent="0.35">
      <c r="H4742" s="711"/>
      <c r="I4742" s="711"/>
      <c r="J4742" s="711"/>
      <c r="K4742" s="711"/>
      <c r="L4742" s="711"/>
      <c r="Q4742" s="11"/>
      <c r="R4742" s="11"/>
      <c r="S4742" s="11"/>
      <c r="T4742" s="11"/>
    </row>
    <row r="4743" spans="8:20" x14ac:dyDescent="0.35">
      <c r="H4743" s="711"/>
      <c r="I4743" s="711"/>
      <c r="J4743" s="711"/>
      <c r="K4743" s="711"/>
      <c r="L4743" s="711"/>
      <c r="Q4743" s="11"/>
      <c r="R4743" s="11"/>
      <c r="S4743" s="11"/>
      <c r="T4743" s="11"/>
    </row>
    <row r="4744" spans="8:20" x14ac:dyDescent="0.35">
      <c r="H4744" s="711"/>
      <c r="I4744" s="711"/>
      <c r="J4744" s="711"/>
      <c r="K4744" s="711"/>
      <c r="L4744" s="711"/>
      <c r="Q4744" s="11"/>
      <c r="R4744" s="11"/>
      <c r="S4744" s="11"/>
      <c r="T4744" s="11"/>
    </row>
    <row r="4745" spans="8:20" x14ac:dyDescent="0.35">
      <c r="H4745" s="711"/>
      <c r="I4745" s="711"/>
      <c r="J4745" s="711"/>
      <c r="K4745" s="711"/>
      <c r="L4745" s="711"/>
      <c r="Q4745" s="11"/>
      <c r="R4745" s="11"/>
      <c r="S4745" s="11"/>
      <c r="T4745" s="11"/>
    </row>
    <row r="4746" spans="8:20" x14ac:dyDescent="0.35">
      <c r="H4746" s="711"/>
      <c r="I4746" s="711"/>
      <c r="J4746" s="711"/>
      <c r="K4746" s="711"/>
      <c r="L4746" s="711"/>
      <c r="Q4746" s="11"/>
      <c r="R4746" s="11"/>
      <c r="S4746" s="11"/>
      <c r="T4746" s="11"/>
    </row>
    <row r="4747" spans="8:20" x14ac:dyDescent="0.35">
      <c r="H4747" s="711"/>
      <c r="I4747" s="711"/>
      <c r="J4747" s="711"/>
      <c r="K4747" s="711"/>
      <c r="L4747" s="711"/>
      <c r="Q4747" s="11"/>
      <c r="R4747" s="11"/>
      <c r="S4747" s="11"/>
      <c r="T4747" s="11"/>
    </row>
    <row r="4748" spans="8:20" x14ac:dyDescent="0.35">
      <c r="H4748" s="711"/>
      <c r="I4748" s="711"/>
      <c r="J4748" s="711"/>
      <c r="K4748" s="711"/>
      <c r="L4748" s="711"/>
      <c r="Q4748" s="11"/>
      <c r="R4748" s="11"/>
      <c r="S4748" s="11"/>
      <c r="T4748" s="11"/>
    </row>
    <row r="4749" spans="8:20" x14ac:dyDescent="0.35">
      <c r="H4749" s="711"/>
      <c r="I4749" s="711"/>
      <c r="J4749" s="711"/>
      <c r="K4749" s="711"/>
      <c r="L4749" s="711"/>
      <c r="Q4749" s="11"/>
      <c r="R4749" s="11"/>
      <c r="S4749" s="11"/>
      <c r="T4749" s="11"/>
    </row>
    <row r="4750" spans="8:20" x14ac:dyDescent="0.35">
      <c r="H4750" s="711"/>
      <c r="I4750" s="711"/>
      <c r="J4750" s="711"/>
      <c r="K4750" s="711"/>
      <c r="L4750" s="711"/>
      <c r="Q4750" s="11"/>
      <c r="R4750" s="11"/>
      <c r="S4750" s="11"/>
      <c r="T4750" s="11"/>
    </row>
    <row r="4751" spans="8:20" x14ac:dyDescent="0.35">
      <c r="H4751" s="711"/>
      <c r="I4751" s="711"/>
      <c r="J4751" s="711"/>
      <c r="K4751" s="711"/>
      <c r="L4751" s="711"/>
      <c r="Q4751" s="11"/>
      <c r="R4751" s="11"/>
      <c r="S4751" s="11"/>
      <c r="T4751" s="11"/>
    </row>
    <row r="4752" spans="8:20" x14ac:dyDescent="0.35">
      <c r="H4752" s="711"/>
      <c r="I4752" s="711"/>
      <c r="J4752" s="711"/>
      <c r="K4752" s="711"/>
      <c r="L4752" s="711"/>
      <c r="Q4752" s="11"/>
      <c r="R4752" s="11"/>
      <c r="S4752" s="11"/>
      <c r="T4752" s="11"/>
    </row>
    <row r="4753" spans="8:20" x14ac:dyDescent="0.35">
      <c r="H4753" s="711"/>
      <c r="I4753" s="711"/>
      <c r="J4753" s="711"/>
      <c r="K4753" s="711"/>
      <c r="L4753" s="711"/>
      <c r="Q4753" s="11"/>
      <c r="R4753" s="11"/>
      <c r="S4753" s="11"/>
      <c r="T4753" s="11"/>
    </row>
    <row r="4754" spans="8:20" x14ac:dyDescent="0.35">
      <c r="H4754" s="711"/>
      <c r="I4754" s="711"/>
      <c r="J4754" s="711"/>
      <c r="K4754" s="711"/>
      <c r="L4754" s="711"/>
      <c r="Q4754" s="11"/>
      <c r="R4754" s="11"/>
      <c r="S4754" s="11"/>
      <c r="T4754" s="11"/>
    </row>
    <row r="4755" spans="8:20" x14ac:dyDescent="0.35">
      <c r="H4755" s="711"/>
      <c r="I4755" s="711"/>
      <c r="J4755" s="711"/>
      <c r="K4755" s="711"/>
      <c r="L4755" s="711"/>
      <c r="Q4755" s="11"/>
      <c r="R4755" s="11"/>
      <c r="S4755" s="11"/>
      <c r="T4755" s="11"/>
    </row>
    <row r="4756" spans="8:20" x14ac:dyDescent="0.35">
      <c r="H4756" s="711"/>
      <c r="I4756" s="711"/>
      <c r="J4756" s="711"/>
      <c r="K4756" s="711"/>
      <c r="L4756" s="711"/>
      <c r="Q4756" s="11"/>
      <c r="R4756" s="11"/>
      <c r="S4756" s="11"/>
      <c r="T4756" s="11"/>
    </row>
    <row r="4757" spans="8:20" x14ac:dyDescent="0.35">
      <c r="H4757" s="711"/>
      <c r="I4757" s="711"/>
      <c r="J4757" s="711"/>
      <c r="K4757" s="711"/>
      <c r="L4757" s="711"/>
      <c r="Q4757" s="11"/>
      <c r="R4757" s="11"/>
      <c r="S4757" s="11"/>
      <c r="T4757" s="11"/>
    </row>
    <row r="4758" spans="8:20" x14ac:dyDescent="0.35">
      <c r="H4758" s="711"/>
      <c r="I4758" s="711"/>
      <c r="J4758" s="711"/>
      <c r="K4758" s="711"/>
      <c r="L4758" s="711"/>
      <c r="Q4758" s="11"/>
      <c r="R4758" s="11"/>
      <c r="S4758" s="11"/>
      <c r="T4758" s="11"/>
    </row>
    <row r="4759" spans="8:20" x14ac:dyDescent="0.35">
      <c r="H4759" s="711"/>
      <c r="I4759" s="711"/>
      <c r="J4759" s="711"/>
      <c r="K4759" s="711"/>
      <c r="L4759" s="711"/>
      <c r="Q4759" s="11"/>
      <c r="R4759" s="11"/>
      <c r="S4759" s="11"/>
      <c r="T4759" s="11"/>
    </row>
    <row r="4760" spans="8:20" x14ac:dyDescent="0.35">
      <c r="H4760" s="711"/>
      <c r="I4760" s="711"/>
      <c r="J4760" s="711"/>
      <c r="K4760" s="711"/>
      <c r="L4760" s="711"/>
      <c r="Q4760" s="11"/>
      <c r="R4760" s="11"/>
      <c r="S4760" s="11"/>
      <c r="T4760" s="11"/>
    </row>
    <row r="4761" spans="8:20" x14ac:dyDescent="0.35">
      <c r="H4761" s="711"/>
      <c r="I4761" s="711"/>
      <c r="J4761" s="711"/>
      <c r="K4761" s="711"/>
      <c r="L4761" s="711"/>
      <c r="Q4761" s="11"/>
      <c r="R4761" s="11"/>
      <c r="S4761" s="11"/>
      <c r="T4761" s="11"/>
    </row>
    <row r="4762" spans="8:20" x14ac:dyDescent="0.35">
      <c r="H4762" s="711"/>
      <c r="I4762" s="711"/>
      <c r="J4762" s="711"/>
      <c r="K4762" s="711"/>
      <c r="L4762" s="711"/>
      <c r="Q4762" s="11"/>
      <c r="R4762" s="11"/>
      <c r="S4762" s="11"/>
      <c r="T4762" s="11"/>
    </row>
    <row r="4763" spans="8:20" x14ac:dyDescent="0.35">
      <c r="H4763" s="711"/>
      <c r="I4763" s="711"/>
      <c r="J4763" s="711"/>
      <c r="K4763" s="711"/>
      <c r="L4763" s="711"/>
      <c r="Q4763" s="11"/>
      <c r="R4763" s="11"/>
      <c r="S4763" s="11"/>
      <c r="T4763" s="11"/>
    </row>
    <row r="4764" spans="8:20" x14ac:dyDescent="0.35">
      <c r="H4764" s="711"/>
      <c r="I4764" s="711"/>
      <c r="J4764" s="711"/>
      <c r="K4764" s="711"/>
      <c r="L4764" s="711"/>
      <c r="Q4764" s="11"/>
      <c r="R4764" s="11"/>
      <c r="S4764" s="11"/>
      <c r="T4764" s="11"/>
    </row>
    <row r="4765" spans="8:20" x14ac:dyDescent="0.35">
      <c r="H4765" s="711"/>
      <c r="I4765" s="711"/>
      <c r="J4765" s="711"/>
      <c r="K4765" s="711"/>
      <c r="L4765" s="711"/>
      <c r="Q4765" s="11"/>
      <c r="R4765" s="11"/>
      <c r="S4765" s="11"/>
      <c r="T4765" s="11"/>
    </row>
    <row r="4766" spans="8:20" x14ac:dyDescent="0.35">
      <c r="H4766" s="711"/>
      <c r="I4766" s="711"/>
      <c r="J4766" s="711"/>
      <c r="K4766" s="711"/>
      <c r="L4766" s="711"/>
      <c r="Q4766" s="11"/>
      <c r="R4766" s="11"/>
      <c r="S4766" s="11"/>
      <c r="T4766" s="11"/>
    </row>
    <row r="4767" spans="8:20" x14ac:dyDescent="0.35">
      <c r="H4767" s="711"/>
      <c r="I4767" s="711"/>
      <c r="J4767" s="711"/>
      <c r="K4767" s="711"/>
      <c r="L4767" s="711"/>
      <c r="Q4767" s="11"/>
      <c r="R4767" s="11"/>
      <c r="S4767" s="11"/>
      <c r="T4767" s="11"/>
    </row>
    <row r="4768" spans="8:20" x14ac:dyDescent="0.35">
      <c r="H4768" s="711"/>
      <c r="I4768" s="711"/>
      <c r="J4768" s="711"/>
      <c r="K4768" s="711"/>
      <c r="L4768" s="711"/>
      <c r="Q4768" s="11"/>
      <c r="R4768" s="11"/>
      <c r="S4768" s="11"/>
      <c r="T4768" s="11"/>
    </row>
    <row r="4769" spans="8:20" x14ac:dyDescent="0.35">
      <c r="H4769" s="711"/>
      <c r="I4769" s="711"/>
      <c r="J4769" s="711"/>
      <c r="K4769" s="711"/>
      <c r="L4769" s="711"/>
      <c r="Q4769" s="11"/>
      <c r="R4769" s="11"/>
      <c r="S4769" s="11"/>
      <c r="T4769" s="11"/>
    </row>
    <row r="4770" spans="8:20" x14ac:dyDescent="0.35">
      <c r="H4770" s="711"/>
      <c r="I4770" s="711"/>
      <c r="J4770" s="711"/>
      <c r="K4770" s="711"/>
      <c r="L4770" s="711"/>
      <c r="Q4770" s="11"/>
      <c r="R4770" s="11"/>
      <c r="S4770" s="11"/>
      <c r="T4770" s="11"/>
    </row>
    <row r="4771" spans="8:20" x14ac:dyDescent="0.35">
      <c r="H4771" s="711"/>
      <c r="I4771" s="711"/>
      <c r="J4771" s="711"/>
      <c r="K4771" s="711"/>
      <c r="L4771" s="711"/>
      <c r="Q4771" s="11"/>
      <c r="R4771" s="11"/>
      <c r="S4771" s="11"/>
      <c r="T4771" s="11"/>
    </row>
    <row r="4772" spans="8:20" x14ac:dyDescent="0.35">
      <c r="H4772" s="711"/>
      <c r="I4772" s="711"/>
      <c r="J4772" s="711"/>
      <c r="K4772" s="711"/>
      <c r="L4772" s="711"/>
      <c r="Q4772" s="11"/>
      <c r="R4772" s="11"/>
      <c r="S4772" s="11"/>
      <c r="T4772" s="11"/>
    </row>
    <row r="4773" spans="8:20" x14ac:dyDescent="0.35">
      <c r="H4773" s="711"/>
      <c r="I4773" s="711"/>
      <c r="J4773" s="711"/>
      <c r="K4773" s="711"/>
      <c r="L4773" s="711"/>
      <c r="Q4773" s="11"/>
      <c r="R4773" s="11"/>
      <c r="S4773" s="11"/>
      <c r="T4773" s="11"/>
    </row>
    <row r="4774" spans="8:20" x14ac:dyDescent="0.35">
      <c r="H4774" s="711"/>
      <c r="I4774" s="711"/>
      <c r="J4774" s="711"/>
      <c r="K4774" s="711"/>
      <c r="L4774" s="711"/>
      <c r="Q4774" s="11"/>
      <c r="R4774" s="11"/>
      <c r="S4774" s="11"/>
      <c r="T4774" s="11"/>
    </row>
    <row r="4775" spans="8:20" x14ac:dyDescent="0.35">
      <c r="H4775" s="711"/>
      <c r="I4775" s="711"/>
      <c r="J4775" s="711"/>
      <c r="K4775" s="711"/>
      <c r="L4775" s="711"/>
      <c r="Q4775" s="11"/>
      <c r="R4775" s="11"/>
      <c r="S4775" s="11"/>
      <c r="T4775" s="11"/>
    </row>
    <row r="4776" spans="8:20" x14ac:dyDescent="0.35">
      <c r="H4776" s="711"/>
      <c r="I4776" s="711"/>
      <c r="J4776" s="711"/>
      <c r="K4776" s="711"/>
      <c r="L4776" s="711"/>
      <c r="Q4776" s="11"/>
      <c r="R4776" s="11"/>
      <c r="S4776" s="11"/>
      <c r="T4776" s="11"/>
    </row>
    <row r="4777" spans="8:20" x14ac:dyDescent="0.35">
      <c r="H4777" s="711"/>
      <c r="I4777" s="711"/>
      <c r="J4777" s="711"/>
      <c r="K4777" s="711"/>
      <c r="L4777" s="711"/>
      <c r="Q4777" s="11"/>
      <c r="R4777" s="11"/>
      <c r="S4777" s="11"/>
      <c r="T4777" s="11"/>
    </row>
    <row r="4778" spans="8:20" x14ac:dyDescent="0.35">
      <c r="H4778" s="711"/>
      <c r="I4778" s="711"/>
      <c r="J4778" s="711"/>
      <c r="K4778" s="711"/>
      <c r="L4778" s="711"/>
      <c r="Q4778" s="11"/>
      <c r="R4778" s="11"/>
      <c r="S4778" s="11"/>
      <c r="T4778" s="11"/>
    </row>
    <row r="4779" spans="8:20" x14ac:dyDescent="0.35">
      <c r="H4779" s="711"/>
      <c r="I4779" s="711"/>
      <c r="J4779" s="711"/>
      <c r="K4779" s="711"/>
      <c r="L4779" s="711"/>
      <c r="Q4779" s="11"/>
      <c r="R4779" s="11"/>
      <c r="S4779" s="11"/>
      <c r="T4779" s="11"/>
    </row>
    <row r="4780" spans="8:20" x14ac:dyDescent="0.35">
      <c r="H4780" s="711"/>
      <c r="I4780" s="711"/>
      <c r="J4780" s="711"/>
      <c r="K4780" s="711"/>
      <c r="L4780" s="711"/>
      <c r="Q4780" s="11"/>
      <c r="R4780" s="11"/>
      <c r="S4780" s="11"/>
      <c r="T4780" s="11"/>
    </row>
    <row r="4781" spans="8:20" x14ac:dyDescent="0.35">
      <c r="H4781" s="711"/>
      <c r="I4781" s="711"/>
      <c r="J4781" s="711"/>
      <c r="K4781" s="711"/>
      <c r="L4781" s="711"/>
      <c r="Q4781" s="11"/>
      <c r="R4781" s="11"/>
      <c r="S4781" s="11"/>
      <c r="T4781" s="11"/>
    </row>
    <row r="4782" spans="8:20" x14ac:dyDescent="0.35">
      <c r="H4782" s="711"/>
      <c r="I4782" s="711"/>
      <c r="J4782" s="711"/>
      <c r="K4782" s="711"/>
      <c r="L4782" s="711"/>
      <c r="Q4782" s="11"/>
      <c r="R4782" s="11"/>
      <c r="S4782" s="11"/>
      <c r="T4782" s="11"/>
    </row>
    <row r="4783" spans="8:20" x14ac:dyDescent="0.35">
      <c r="H4783" s="711"/>
      <c r="I4783" s="711"/>
      <c r="J4783" s="711"/>
      <c r="K4783" s="711"/>
      <c r="L4783" s="711"/>
      <c r="Q4783" s="11"/>
      <c r="R4783" s="11"/>
      <c r="S4783" s="11"/>
      <c r="T4783" s="11"/>
    </row>
    <row r="4784" spans="8:20" x14ac:dyDescent="0.35">
      <c r="H4784" s="711"/>
      <c r="I4784" s="711"/>
      <c r="J4784" s="711"/>
      <c r="K4784" s="711"/>
      <c r="L4784" s="711"/>
      <c r="Q4784" s="11"/>
      <c r="R4784" s="11"/>
      <c r="S4784" s="11"/>
      <c r="T4784" s="11"/>
    </row>
    <row r="4785" spans="8:20" x14ac:dyDescent="0.35">
      <c r="H4785" s="711"/>
      <c r="I4785" s="711"/>
      <c r="J4785" s="711"/>
      <c r="K4785" s="711"/>
      <c r="L4785" s="711"/>
      <c r="Q4785" s="11"/>
      <c r="R4785" s="11"/>
      <c r="S4785" s="11"/>
      <c r="T4785" s="11"/>
    </row>
    <row r="4786" spans="8:20" x14ac:dyDescent="0.35">
      <c r="H4786" s="711"/>
      <c r="I4786" s="711"/>
      <c r="J4786" s="711"/>
      <c r="K4786" s="711"/>
      <c r="L4786" s="711"/>
      <c r="Q4786" s="11"/>
      <c r="R4786" s="11"/>
      <c r="S4786" s="11"/>
      <c r="T4786" s="11"/>
    </row>
    <row r="4787" spans="8:20" x14ac:dyDescent="0.35">
      <c r="H4787" s="711"/>
      <c r="I4787" s="711"/>
      <c r="J4787" s="711"/>
      <c r="K4787" s="711"/>
      <c r="L4787" s="711"/>
      <c r="Q4787" s="11"/>
      <c r="R4787" s="11"/>
      <c r="S4787" s="11"/>
      <c r="T4787" s="11"/>
    </row>
    <row r="4788" spans="8:20" x14ac:dyDescent="0.35">
      <c r="H4788" s="711"/>
      <c r="I4788" s="711"/>
      <c r="J4788" s="711"/>
      <c r="K4788" s="711"/>
      <c r="L4788" s="711"/>
      <c r="Q4788" s="11"/>
      <c r="R4788" s="11"/>
      <c r="S4788" s="11"/>
      <c r="T4788" s="11"/>
    </row>
    <row r="4789" spans="8:20" x14ac:dyDescent="0.35">
      <c r="H4789" s="711"/>
      <c r="I4789" s="711"/>
      <c r="J4789" s="711"/>
      <c r="K4789" s="711"/>
      <c r="L4789" s="711"/>
      <c r="Q4789" s="11"/>
      <c r="R4789" s="11"/>
      <c r="S4789" s="11"/>
      <c r="T4789" s="11"/>
    </row>
    <row r="4790" spans="8:20" x14ac:dyDescent="0.35">
      <c r="H4790" s="711"/>
      <c r="I4790" s="711"/>
      <c r="J4790" s="711"/>
      <c r="K4790" s="711"/>
      <c r="L4790" s="711"/>
      <c r="Q4790" s="11"/>
      <c r="R4790" s="11"/>
      <c r="S4790" s="11"/>
      <c r="T4790" s="11"/>
    </row>
    <row r="4791" spans="8:20" x14ac:dyDescent="0.35">
      <c r="H4791" s="711"/>
      <c r="I4791" s="711"/>
      <c r="J4791" s="711"/>
      <c r="K4791" s="711"/>
      <c r="L4791" s="711"/>
      <c r="Q4791" s="11"/>
      <c r="R4791" s="11"/>
      <c r="S4791" s="11"/>
      <c r="T4791" s="11"/>
    </row>
    <row r="4792" spans="8:20" x14ac:dyDescent="0.35">
      <c r="H4792" s="711"/>
      <c r="I4792" s="711"/>
      <c r="J4792" s="711"/>
      <c r="K4792" s="711"/>
      <c r="L4792" s="711"/>
      <c r="Q4792" s="11"/>
      <c r="R4792" s="11"/>
      <c r="S4792" s="11"/>
      <c r="T4792" s="11"/>
    </row>
    <row r="4793" spans="8:20" x14ac:dyDescent="0.35">
      <c r="H4793" s="711"/>
      <c r="I4793" s="711"/>
      <c r="J4793" s="711"/>
      <c r="K4793" s="711"/>
      <c r="L4793" s="711"/>
      <c r="Q4793" s="11"/>
      <c r="R4793" s="11"/>
      <c r="S4793" s="11"/>
      <c r="T4793" s="11"/>
    </row>
    <row r="4794" spans="8:20" x14ac:dyDescent="0.35">
      <c r="H4794" s="711"/>
      <c r="I4794" s="711"/>
      <c r="J4794" s="711"/>
      <c r="K4794" s="711"/>
      <c r="L4794" s="711"/>
      <c r="Q4794" s="11"/>
      <c r="R4794" s="11"/>
      <c r="S4794" s="11"/>
      <c r="T4794" s="11"/>
    </row>
    <row r="4795" spans="8:20" x14ac:dyDescent="0.35">
      <c r="H4795" s="711"/>
      <c r="I4795" s="711"/>
      <c r="J4795" s="711"/>
      <c r="K4795" s="711"/>
      <c r="L4795" s="711"/>
      <c r="Q4795" s="11"/>
      <c r="R4795" s="11"/>
      <c r="S4795" s="11"/>
      <c r="T4795" s="11"/>
    </row>
    <row r="4796" spans="8:20" x14ac:dyDescent="0.35">
      <c r="H4796" s="711"/>
      <c r="I4796" s="711"/>
      <c r="J4796" s="711"/>
      <c r="K4796" s="711"/>
      <c r="L4796" s="711"/>
      <c r="Q4796" s="11"/>
      <c r="R4796" s="11"/>
      <c r="S4796" s="11"/>
      <c r="T4796" s="11"/>
    </row>
    <row r="4797" spans="8:20" x14ac:dyDescent="0.35">
      <c r="H4797" s="711"/>
      <c r="I4797" s="711"/>
      <c r="J4797" s="711"/>
      <c r="K4797" s="711"/>
      <c r="L4797" s="711"/>
      <c r="Q4797" s="11"/>
      <c r="R4797" s="11"/>
      <c r="S4797" s="11"/>
      <c r="T4797" s="11"/>
    </row>
    <row r="4798" spans="8:20" x14ac:dyDescent="0.35">
      <c r="H4798" s="711"/>
      <c r="I4798" s="711"/>
      <c r="J4798" s="711"/>
      <c r="K4798" s="711"/>
      <c r="L4798" s="711"/>
      <c r="Q4798" s="11"/>
      <c r="R4798" s="11"/>
      <c r="S4798" s="11"/>
      <c r="T4798" s="11"/>
    </row>
    <row r="4799" spans="8:20" x14ac:dyDescent="0.35">
      <c r="H4799" s="711"/>
      <c r="I4799" s="711"/>
      <c r="J4799" s="711"/>
      <c r="K4799" s="711"/>
      <c r="L4799" s="711"/>
      <c r="Q4799" s="11"/>
      <c r="R4799" s="11"/>
      <c r="S4799" s="11"/>
      <c r="T4799" s="11"/>
    </row>
    <row r="4800" spans="8:20" x14ac:dyDescent="0.35">
      <c r="H4800" s="711"/>
      <c r="I4800" s="711"/>
      <c r="J4800" s="711"/>
      <c r="K4800" s="711"/>
      <c r="L4800" s="711"/>
      <c r="Q4800" s="11"/>
      <c r="R4800" s="11"/>
      <c r="S4800" s="11"/>
      <c r="T4800" s="11"/>
    </row>
    <row r="4801" spans="8:20" x14ac:dyDescent="0.35">
      <c r="H4801" s="711"/>
      <c r="I4801" s="711"/>
      <c r="J4801" s="711"/>
      <c r="K4801" s="711"/>
      <c r="L4801" s="711"/>
      <c r="Q4801" s="11"/>
      <c r="R4801" s="11"/>
      <c r="S4801" s="11"/>
      <c r="T4801" s="11"/>
    </row>
    <row r="4802" spans="8:20" x14ac:dyDescent="0.35">
      <c r="H4802" s="711"/>
      <c r="I4802" s="711"/>
      <c r="J4802" s="711"/>
      <c r="K4802" s="711"/>
      <c r="L4802" s="711"/>
      <c r="Q4802" s="11"/>
      <c r="R4802" s="11"/>
      <c r="S4802" s="11"/>
      <c r="T4802" s="11"/>
    </row>
    <row r="4803" spans="8:20" x14ac:dyDescent="0.35">
      <c r="H4803" s="711"/>
      <c r="I4803" s="711"/>
      <c r="J4803" s="711"/>
      <c r="K4803" s="711"/>
      <c r="L4803" s="711"/>
      <c r="Q4803" s="11"/>
      <c r="R4803" s="11"/>
      <c r="S4803" s="11"/>
      <c r="T4803" s="11"/>
    </row>
    <row r="4804" spans="8:20" x14ac:dyDescent="0.35">
      <c r="H4804" s="711"/>
      <c r="I4804" s="711"/>
      <c r="J4804" s="711"/>
      <c r="K4804" s="711"/>
      <c r="L4804" s="711"/>
      <c r="Q4804" s="11"/>
      <c r="R4804" s="11"/>
      <c r="S4804" s="11"/>
      <c r="T4804" s="11"/>
    </row>
    <row r="4805" spans="8:20" x14ac:dyDescent="0.35">
      <c r="H4805" s="711"/>
      <c r="I4805" s="711"/>
      <c r="J4805" s="711"/>
      <c r="K4805" s="711"/>
      <c r="L4805" s="711"/>
      <c r="Q4805" s="11"/>
      <c r="R4805" s="11"/>
      <c r="S4805" s="11"/>
      <c r="T4805" s="11"/>
    </row>
    <row r="4806" spans="8:20" x14ac:dyDescent="0.35">
      <c r="H4806" s="711"/>
      <c r="I4806" s="711"/>
      <c r="J4806" s="711"/>
      <c r="K4806" s="711"/>
      <c r="L4806" s="711"/>
      <c r="Q4806" s="11"/>
      <c r="R4806" s="11"/>
      <c r="S4806" s="11"/>
      <c r="T4806" s="11"/>
    </row>
    <row r="4807" spans="8:20" x14ac:dyDescent="0.35">
      <c r="H4807" s="711"/>
      <c r="I4807" s="711"/>
      <c r="J4807" s="711"/>
      <c r="K4807" s="711"/>
      <c r="L4807" s="711"/>
      <c r="Q4807" s="11"/>
      <c r="R4807" s="11"/>
      <c r="S4807" s="11"/>
      <c r="T4807" s="11"/>
    </row>
    <row r="4808" spans="8:20" x14ac:dyDescent="0.35">
      <c r="H4808" s="711"/>
      <c r="I4808" s="711"/>
      <c r="J4808" s="711"/>
      <c r="K4808" s="711"/>
      <c r="L4808" s="711"/>
      <c r="Q4808" s="11"/>
      <c r="R4808" s="11"/>
      <c r="S4808" s="11"/>
      <c r="T4808" s="11"/>
    </row>
    <row r="4809" spans="8:20" x14ac:dyDescent="0.35">
      <c r="H4809" s="711"/>
      <c r="I4809" s="711"/>
      <c r="J4809" s="711"/>
      <c r="K4809" s="711"/>
      <c r="L4809" s="711"/>
      <c r="Q4809" s="11"/>
      <c r="R4809" s="11"/>
      <c r="S4809" s="11"/>
      <c r="T4809" s="11"/>
    </row>
    <row r="4810" spans="8:20" x14ac:dyDescent="0.35">
      <c r="H4810" s="711"/>
      <c r="I4810" s="711"/>
      <c r="J4810" s="711"/>
      <c r="K4810" s="711"/>
      <c r="L4810" s="711"/>
      <c r="Q4810" s="11"/>
      <c r="R4810" s="11"/>
      <c r="S4810" s="11"/>
      <c r="T4810" s="11"/>
    </row>
    <row r="4811" spans="8:20" x14ac:dyDescent="0.35">
      <c r="H4811" s="711"/>
      <c r="I4811" s="711"/>
      <c r="J4811" s="711"/>
      <c r="K4811" s="711"/>
      <c r="L4811" s="711"/>
      <c r="Q4811" s="11"/>
      <c r="R4811" s="11"/>
      <c r="S4811" s="11"/>
      <c r="T4811" s="11"/>
    </row>
    <row r="4812" spans="8:20" x14ac:dyDescent="0.35">
      <c r="H4812" s="711"/>
      <c r="I4812" s="711"/>
      <c r="J4812" s="711"/>
      <c r="K4812" s="711"/>
      <c r="L4812" s="711"/>
      <c r="Q4812" s="11"/>
      <c r="R4812" s="11"/>
      <c r="S4812" s="11"/>
      <c r="T4812" s="11"/>
    </row>
    <row r="4813" spans="8:20" x14ac:dyDescent="0.35">
      <c r="H4813" s="711"/>
      <c r="I4813" s="711"/>
      <c r="J4813" s="711"/>
      <c r="K4813" s="711"/>
      <c r="L4813" s="711"/>
      <c r="Q4813" s="11"/>
      <c r="R4813" s="11"/>
      <c r="S4813" s="11"/>
      <c r="T4813" s="11"/>
    </row>
    <row r="4814" spans="8:20" x14ac:dyDescent="0.35">
      <c r="H4814" s="711"/>
      <c r="I4814" s="711"/>
      <c r="J4814" s="711"/>
      <c r="K4814" s="711"/>
      <c r="L4814" s="711"/>
      <c r="Q4814" s="11"/>
      <c r="R4814" s="11"/>
      <c r="S4814" s="11"/>
      <c r="T4814" s="11"/>
    </row>
    <row r="4815" spans="8:20" x14ac:dyDescent="0.35">
      <c r="H4815" s="711"/>
      <c r="I4815" s="711"/>
      <c r="J4815" s="711"/>
      <c r="K4815" s="711"/>
      <c r="L4815" s="711"/>
      <c r="Q4815" s="11"/>
      <c r="R4815" s="11"/>
      <c r="S4815" s="11"/>
      <c r="T4815" s="11"/>
    </row>
    <row r="4816" spans="8:20" x14ac:dyDescent="0.35">
      <c r="H4816" s="711"/>
      <c r="I4816" s="711"/>
      <c r="J4816" s="711"/>
      <c r="K4816" s="711"/>
      <c r="L4816" s="711"/>
      <c r="Q4816" s="11"/>
      <c r="R4816" s="11"/>
      <c r="S4816" s="11"/>
      <c r="T4816" s="11"/>
    </row>
    <row r="4817" spans="8:20" x14ac:dyDescent="0.35">
      <c r="H4817" s="711"/>
      <c r="I4817" s="711"/>
      <c r="J4817" s="711"/>
      <c r="K4817" s="711"/>
      <c r="L4817" s="711"/>
      <c r="Q4817" s="11"/>
      <c r="R4817" s="11"/>
      <c r="S4817" s="11"/>
      <c r="T4817" s="11"/>
    </row>
    <row r="4818" spans="8:20" x14ac:dyDescent="0.35">
      <c r="H4818" s="711"/>
      <c r="I4818" s="711"/>
      <c r="J4818" s="711"/>
      <c r="K4818" s="711"/>
      <c r="L4818" s="711"/>
      <c r="Q4818" s="11"/>
      <c r="R4818" s="11"/>
      <c r="S4818" s="11"/>
      <c r="T4818" s="11"/>
    </row>
    <row r="4819" spans="8:20" x14ac:dyDescent="0.35">
      <c r="H4819" s="711"/>
      <c r="I4819" s="711"/>
      <c r="J4819" s="711"/>
      <c r="K4819" s="711"/>
      <c r="L4819" s="711"/>
      <c r="Q4819" s="11"/>
      <c r="R4819" s="11"/>
      <c r="S4819" s="11"/>
      <c r="T4819" s="11"/>
    </row>
    <row r="4820" spans="8:20" x14ac:dyDescent="0.35">
      <c r="H4820" s="711"/>
      <c r="I4820" s="711"/>
      <c r="J4820" s="711"/>
      <c r="K4820" s="711"/>
      <c r="L4820" s="711"/>
      <c r="Q4820" s="11"/>
      <c r="R4820" s="11"/>
      <c r="S4820" s="11"/>
      <c r="T4820" s="11"/>
    </row>
    <row r="4821" spans="8:20" x14ac:dyDescent="0.35">
      <c r="H4821" s="711"/>
      <c r="I4821" s="711"/>
      <c r="J4821" s="711"/>
      <c r="K4821" s="711"/>
      <c r="L4821" s="711"/>
      <c r="Q4821" s="11"/>
      <c r="R4821" s="11"/>
      <c r="S4821" s="11"/>
      <c r="T4821" s="11"/>
    </row>
    <row r="4822" spans="8:20" x14ac:dyDescent="0.35">
      <c r="H4822" s="711"/>
      <c r="I4822" s="711"/>
      <c r="J4822" s="711"/>
      <c r="K4822" s="711"/>
      <c r="L4822" s="711"/>
      <c r="Q4822" s="11"/>
      <c r="R4822" s="11"/>
      <c r="S4822" s="11"/>
      <c r="T4822" s="11"/>
    </row>
    <row r="4823" spans="8:20" x14ac:dyDescent="0.35">
      <c r="H4823" s="711"/>
      <c r="I4823" s="711"/>
      <c r="J4823" s="711"/>
      <c r="K4823" s="711"/>
      <c r="L4823" s="711"/>
      <c r="Q4823" s="11"/>
      <c r="R4823" s="11"/>
      <c r="S4823" s="11"/>
      <c r="T4823" s="11"/>
    </row>
    <row r="4824" spans="8:20" x14ac:dyDescent="0.35">
      <c r="H4824" s="711"/>
      <c r="I4824" s="711"/>
      <c r="J4824" s="711"/>
      <c r="K4824" s="711"/>
      <c r="L4824" s="711"/>
      <c r="Q4824" s="11"/>
      <c r="R4824" s="11"/>
      <c r="S4824" s="11"/>
      <c r="T4824" s="11"/>
    </row>
    <row r="4825" spans="8:20" x14ac:dyDescent="0.35">
      <c r="H4825" s="711"/>
      <c r="I4825" s="711"/>
      <c r="J4825" s="711"/>
      <c r="K4825" s="711"/>
      <c r="L4825" s="711"/>
      <c r="Q4825" s="11"/>
      <c r="R4825" s="11"/>
      <c r="S4825" s="11"/>
      <c r="T4825" s="11"/>
    </row>
    <row r="4826" spans="8:20" x14ac:dyDescent="0.35">
      <c r="H4826" s="711"/>
      <c r="I4826" s="711"/>
      <c r="J4826" s="711"/>
      <c r="K4826" s="711"/>
      <c r="L4826" s="711"/>
      <c r="Q4826" s="11"/>
      <c r="R4826" s="11"/>
      <c r="S4826" s="11"/>
      <c r="T4826" s="11"/>
    </row>
    <row r="4827" spans="8:20" x14ac:dyDescent="0.35">
      <c r="H4827" s="711"/>
      <c r="I4827" s="711"/>
      <c r="J4827" s="711"/>
      <c r="K4827" s="711"/>
      <c r="L4827" s="711"/>
      <c r="Q4827" s="11"/>
      <c r="R4827" s="11"/>
      <c r="S4827" s="11"/>
      <c r="T4827" s="11"/>
    </row>
    <row r="4828" spans="8:20" x14ac:dyDescent="0.35">
      <c r="H4828" s="711"/>
      <c r="I4828" s="711"/>
      <c r="J4828" s="711"/>
      <c r="K4828" s="711"/>
      <c r="L4828" s="711"/>
      <c r="Q4828" s="11"/>
      <c r="R4828" s="11"/>
      <c r="S4828" s="11"/>
      <c r="T4828" s="11"/>
    </row>
    <row r="4829" spans="8:20" x14ac:dyDescent="0.35">
      <c r="H4829" s="711"/>
      <c r="I4829" s="711"/>
      <c r="J4829" s="711"/>
      <c r="K4829" s="711"/>
      <c r="L4829" s="711"/>
      <c r="Q4829" s="11"/>
      <c r="R4829" s="11"/>
      <c r="S4829" s="11"/>
      <c r="T4829" s="11"/>
    </row>
    <row r="4830" spans="8:20" x14ac:dyDescent="0.35">
      <c r="H4830" s="711"/>
      <c r="I4830" s="711"/>
      <c r="J4830" s="711"/>
      <c r="K4830" s="711"/>
      <c r="L4830" s="711"/>
      <c r="Q4830" s="11"/>
      <c r="R4830" s="11"/>
      <c r="S4830" s="11"/>
      <c r="T4830" s="11"/>
    </row>
    <row r="4831" spans="8:20" x14ac:dyDescent="0.35">
      <c r="H4831" s="711"/>
      <c r="I4831" s="711"/>
      <c r="J4831" s="711"/>
      <c r="K4831" s="711"/>
      <c r="L4831" s="711"/>
      <c r="Q4831" s="11"/>
      <c r="R4831" s="11"/>
      <c r="S4831" s="11"/>
      <c r="T4831" s="11"/>
    </row>
    <row r="4832" spans="8:20" x14ac:dyDescent="0.35">
      <c r="H4832" s="711"/>
      <c r="I4832" s="711"/>
      <c r="J4832" s="711"/>
      <c r="K4832" s="711"/>
      <c r="L4832" s="711"/>
      <c r="Q4832" s="11"/>
      <c r="R4832" s="11"/>
      <c r="S4832" s="11"/>
      <c r="T4832" s="11"/>
    </row>
    <row r="4833" spans="8:20" x14ac:dyDescent="0.35">
      <c r="H4833" s="711"/>
      <c r="I4833" s="711"/>
      <c r="J4833" s="711"/>
      <c r="K4833" s="711"/>
      <c r="L4833" s="711"/>
      <c r="Q4833" s="11"/>
      <c r="R4833" s="11"/>
      <c r="S4833" s="11"/>
      <c r="T4833" s="11"/>
    </row>
    <row r="4834" spans="8:20" x14ac:dyDescent="0.35">
      <c r="H4834" s="711"/>
      <c r="I4834" s="711"/>
      <c r="J4834" s="711"/>
      <c r="K4834" s="711"/>
      <c r="L4834" s="711"/>
      <c r="Q4834" s="11"/>
      <c r="R4834" s="11"/>
      <c r="S4834" s="11"/>
      <c r="T4834" s="11"/>
    </row>
    <row r="4835" spans="8:20" x14ac:dyDescent="0.35">
      <c r="H4835" s="711"/>
      <c r="I4835" s="711"/>
      <c r="J4835" s="711"/>
      <c r="K4835" s="711"/>
      <c r="L4835" s="711"/>
      <c r="Q4835" s="11"/>
      <c r="R4835" s="11"/>
      <c r="S4835" s="11"/>
      <c r="T4835" s="11"/>
    </row>
    <row r="4836" spans="8:20" x14ac:dyDescent="0.35">
      <c r="H4836" s="711"/>
      <c r="I4836" s="711"/>
      <c r="J4836" s="711"/>
      <c r="K4836" s="711"/>
      <c r="L4836" s="711"/>
      <c r="Q4836" s="11"/>
      <c r="R4836" s="11"/>
      <c r="S4836" s="11"/>
      <c r="T4836" s="11"/>
    </row>
    <row r="4837" spans="8:20" x14ac:dyDescent="0.35">
      <c r="H4837" s="711"/>
      <c r="I4837" s="711"/>
      <c r="J4837" s="711"/>
      <c r="K4837" s="711"/>
      <c r="L4837" s="711"/>
      <c r="Q4837" s="11"/>
      <c r="R4837" s="11"/>
      <c r="S4837" s="11"/>
      <c r="T4837" s="11"/>
    </row>
    <row r="4838" spans="8:20" x14ac:dyDescent="0.35">
      <c r="H4838" s="711"/>
      <c r="I4838" s="711"/>
      <c r="J4838" s="711"/>
      <c r="K4838" s="711"/>
      <c r="L4838" s="711"/>
      <c r="Q4838" s="11"/>
      <c r="R4838" s="11"/>
      <c r="S4838" s="11"/>
      <c r="T4838" s="11"/>
    </row>
    <row r="4839" spans="8:20" x14ac:dyDescent="0.35">
      <c r="H4839" s="711"/>
      <c r="I4839" s="711"/>
      <c r="J4839" s="711"/>
      <c r="K4839" s="711"/>
      <c r="L4839" s="711"/>
      <c r="Q4839" s="11"/>
      <c r="R4839" s="11"/>
      <c r="S4839" s="11"/>
      <c r="T4839" s="11"/>
    </row>
    <row r="4840" spans="8:20" x14ac:dyDescent="0.35">
      <c r="H4840" s="711"/>
      <c r="I4840" s="711"/>
      <c r="J4840" s="711"/>
      <c r="K4840" s="711"/>
      <c r="L4840" s="711"/>
      <c r="Q4840" s="11"/>
      <c r="R4840" s="11"/>
      <c r="S4840" s="11"/>
      <c r="T4840" s="11"/>
    </row>
    <row r="4841" spans="8:20" x14ac:dyDescent="0.35">
      <c r="H4841" s="711"/>
      <c r="I4841" s="711"/>
      <c r="J4841" s="711"/>
      <c r="K4841" s="711"/>
      <c r="L4841" s="711"/>
      <c r="Q4841" s="11"/>
      <c r="R4841" s="11"/>
      <c r="S4841" s="11"/>
      <c r="T4841" s="11"/>
    </row>
    <row r="4842" spans="8:20" x14ac:dyDescent="0.35">
      <c r="H4842" s="711"/>
      <c r="I4842" s="711"/>
      <c r="J4842" s="711"/>
      <c r="K4842" s="711"/>
      <c r="L4842" s="711"/>
      <c r="Q4842" s="11"/>
      <c r="R4842" s="11"/>
      <c r="S4842" s="11"/>
      <c r="T4842" s="11"/>
    </row>
    <row r="4843" spans="8:20" x14ac:dyDescent="0.35">
      <c r="H4843" s="711"/>
      <c r="I4843" s="711"/>
      <c r="J4843" s="711"/>
      <c r="K4843" s="711"/>
      <c r="L4843" s="711"/>
      <c r="Q4843" s="11"/>
      <c r="R4843" s="11"/>
      <c r="S4843" s="11"/>
      <c r="T4843" s="11"/>
    </row>
    <row r="4844" spans="8:20" x14ac:dyDescent="0.35">
      <c r="H4844" s="711"/>
      <c r="I4844" s="711"/>
      <c r="J4844" s="711"/>
      <c r="K4844" s="711"/>
      <c r="L4844" s="711"/>
      <c r="Q4844" s="11"/>
      <c r="R4844" s="11"/>
      <c r="S4844" s="11"/>
      <c r="T4844" s="11"/>
    </row>
    <row r="4845" spans="8:20" x14ac:dyDescent="0.35">
      <c r="H4845" s="711"/>
      <c r="I4845" s="711"/>
      <c r="J4845" s="711"/>
      <c r="K4845" s="711"/>
      <c r="L4845" s="711"/>
      <c r="Q4845" s="11"/>
      <c r="R4845" s="11"/>
      <c r="S4845" s="11"/>
      <c r="T4845" s="11"/>
    </row>
    <row r="4846" spans="8:20" x14ac:dyDescent="0.35">
      <c r="H4846" s="711"/>
      <c r="I4846" s="711"/>
      <c r="J4846" s="711"/>
      <c r="K4846" s="711"/>
      <c r="L4846" s="711"/>
      <c r="Q4846" s="11"/>
      <c r="R4846" s="11"/>
      <c r="S4846" s="11"/>
      <c r="T4846" s="11"/>
    </row>
    <row r="4847" spans="8:20" x14ac:dyDescent="0.35">
      <c r="H4847" s="711"/>
      <c r="I4847" s="711"/>
      <c r="J4847" s="711"/>
      <c r="K4847" s="711"/>
      <c r="L4847" s="711"/>
      <c r="Q4847" s="11"/>
      <c r="R4847" s="11"/>
      <c r="S4847" s="11"/>
      <c r="T4847" s="11"/>
    </row>
    <row r="4848" spans="8:20" x14ac:dyDescent="0.35">
      <c r="H4848" s="711"/>
      <c r="I4848" s="711"/>
      <c r="J4848" s="711"/>
      <c r="K4848" s="711"/>
      <c r="L4848" s="711"/>
      <c r="Q4848" s="11"/>
      <c r="R4848" s="11"/>
      <c r="S4848" s="11"/>
      <c r="T4848" s="11"/>
    </row>
    <row r="4849" spans="8:20" x14ac:dyDescent="0.35">
      <c r="H4849" s="711"/>
      <c r="I4849" s="711"/>
      <c r="J4849" s="711"/>
      <c r="K4849" s="711"/>
      <c r="L4849" s="711"/>
      <c r="Q4849" s="11"/>
      <c r="R4849" s="11"/>
      <c r="S4849" s="11"/>
      <c r="T4849" s="11"/>
    </row>
    <row r="4850" spans="8:20" x14ac:dyDescent="0.35">
      <c r="H4850" s="711"/>
      <c r="I4850" s="711"/>
      <c r="J4850" s="711"/>
      <c r="K4850" s="711"/>
      <c r="L4850" s="711"/>
      <c r="Q4850" s="11"/>
      <c r="R4850" s="11"/>
      <c r="S4850" s="11"/>
      <c r="T4850" s="11"/>
    </row>
    <row r="4851" spans="8:20" x14ac:dyDescent="0.35">
      <c r="H4851" s="711"/>
      <c r="I4851" s="711"/>
      <c r="J4851" s="711"/>
      <c r="K4851" s="711"/>
      <c r="L4851" s="711"/>
      <c r="Q4851" s="11"/>
      <c r="R4851" s="11"/>
      <c r="S4851" s="11"/>
      <c r="T4851" s="11"/>
    </row>
    <row r="4852" spans="8:20" x14ac:dyDescent="0.35">
      <c r="H4852" s="711"/>
      <c r="I4852" s="711"/>
      <c r="J4852" s="711"/>
      <c r="K4852" s="711"/>
      <c r="L4852" s="711"/>
      <c r="Q4852" s="11"/>
      <c r="R4852" s="11"/>
      <c r="S4852" s="11"/>
      <c r="T4852" s="11"/>
    </row>
    <row r="4853" spans="8:20" x14ac:dyDescent="0.35">
      <c r="H4853" s="711"/>
      <c r="I4853" s="711"/>
      <c r="J4853" s="711"/>
      <c r="K4853" s="711"/>
      <c r="L4853" s="711"/>
      <c r="Q4853" s="11"/>
      <c r="R4853" s="11"/>
      <c r="S4853" s="11"/>
      <c r="T4853" s="11"/>
    </row>
    <row r="4854" spans="8:20" x14ac:dyDescent="0.35">
      <c r="H4854" s="711"/>
      <c r="I4854" s="711"/>
      <c r="J4854" s="711"/>
      <c r="K4854" s="711"/>
      <c r="L4854" s="711"/>
      <c r="Q4854" s="11"/>
      <c r="R4854" s="11"/>
      <c r="S4854" s="11"/>
      <c r="T4854" s="11"/>
    </row>
    <row r="4855" spans="8:20" x14ac:dyDescent="0.35">
      <c r="H4855" s="711"/>
      <c r="I4855" s="711"/>
      <c r="J4855" s="711"/>
      <c r="K4855" s="711"/>
      <c r="L4855" s="711"/>
      <c r="Q4855" s="11"/>
      <c r="R4855" s="11"/>
      <c r="S4855" s="11"/>
      <c r="T4855" s="11"/>
    </row>
    <row r="4856" spans="8:20" x14ac:dyDescent="0.35">
      <c r="H4856" s="711"/>
      <c r="I4856" s="711"/>
      <c r="J4856" s="711"/>
      <c r="K4856" s="711"/>
      <c r="L4856" s="711"/>
      <c r="Q4856" s="11"/>
      <c r="R4856" s="11"/>
      <c r="S4856" s="11"/>
      <c r="T4856" s="11"/>
    </row>
    <row r="4857" spans="8:20" x14ac:dyDescent="0.35">
      <c r="H4857" s="711"/>
      <c r="I4857" s="711"/>
      <c r="J4857" s="711"/>
      <c r="K4857" s="711"/>
      <c r="L4857" s="711"/>
      <c r="Q4857" s="11"/>
      <c r="R4857" s="11"/>
      <c r="S4857" s="11"/>
      <c r="T4857" s="11"/>
    </row>
    <row r="4858" spans="8:20" x14ac:dyDescent="0.35">
      <c r="H4858" s="711"/>
      <c r="I4858" s="711"/>
      <c r="J4858" s="711"/>
      <c r="K4858" s="711"/>
      <c r="L4858" s="711"/>
      <c r="Q4858" s="11"/>
      <c r="R4858" s="11"/>
      <c r="S4858" s="11"/>
      <c r="T4858" s="11"/>
    </row>
    <row r="4859" spans="8:20" x14ac:dyDescent="0.35">
      <c r="H4859" s="711"/>
      <c r="I4859" s="711"/>
      <c r="J4859" s="711"/>
      <c r="K4859" s="711"/>
      <c r="L4859" s="711"/>
      <c r="Q4859" s="11"/>
      <c r="R4859" s="11"/>
      <c r="S4859" s="11"/>
      <c r="T4859" s="11"/>
    </row>
    <row r="4860" spans="8:20" x14ac:dyDescent="0.35">
      <c r="H4860" s="711"/>
      <c r="I4860" s="711"/>
      <c r="J4860" s="711"/>
      <c r="K4860" s="711"/>
      <c r="L4860" s="711"/>
      <c r="Q4860" s="11"/>
      <c r="R4860" s="11"/>
      <c r="S4860" s="11"/>
      <c r="T4860" s="11"/>
    </row>
    <row r="4861" spans="8:20" x14ac:dyDescent="0.35">
      <c r="H4861" s="711"/>
      <c r="I4861" s="711"/>
      <c r="J4861" s="711"/>
      <c r="K4861" s="711"/>
      <c r="L4861" s="711"/>
      <c r="Q4861" s="11"/>
      <c r="R4861" s="11"/>
      <c r="S4861" s="11"/>
      <c r="T4861" s="11"/>
    </row>
    <row r="4862" spans="8:20" x14ac:dyDescent="0.35">
      <c r="H4862" s="711"/>
      <c r="I4862" s="711"/>
      <c r="J4862" s="711"/>
      <c r="K4862" s="711"/>
      <c r="L4862" s="711"/>
      <c r="Q4862" s="11"/>
      <c r="R4862" s="11"/>
      <c r="S4862" s="11"/>
      <c r="T4862" s="11"/>
    </row>
    <row r="4863" spans="8:20" x14ac:dyDescent="0.35">
      <c r="H4863" s="711"/>
      <c r="I4863" s="711"/>
      <c r="J4863" s="711"/>
      <c r="K4863" s="711"/>
      <c r="L4863" s="711"/>
      <c r="Q4863" s="11"/>
      <c r="R4863" s="11"/>
      <c r="S4863" s="11"/>
      <c r="T4863" s="11"/>
    </row>
    <row r="4864" spans="8:20" x14ac:dyDescent="0.35">
      <c r="H4864" s="711"/>
      <c r="I4864" s="711"/>
      <c r="J4864" s="711"/>
      <c r="K4864" s="711"/>
      <c r="L4864" s="711"/>
      <c r="Q4864" s="11"/>
      <c r="R4864" s="11"/>
      <c r="S4864" s="11"/>
      <c r="T4864" s="11"/>
    </row>
    <row r="4865" spans="8:20" x14ac:dyDescent="0.35">
      <c r="H4865" s="711"/>
      <c r="I4865" s="711"/>
      <c r="J4865" s="711"/>
      <c r="K4865" s="711"/>
      <c r="L4865" s="711"/>
      <c r="Q4865" s="11"/>
      <c r="R4865" s="11"/>
      <c r="S4865" s="11"/>
      <c r="T4865" s="11"/>
    </row>
    <row r="4866" spans="8:20" x14ac:dyDescent="0.35">
      <c r="H4866" s="711"/>
      <c r="I4866" s="711"/>
      <c r="J4866" s="711"/>
      <c r="K4866" s="711"/>
      <c r="L4866" s="711"/>
      <c r="Q4866" s="11"/>
      <c r="R4866" s="11"/>
      <c r="S4866" s="11"/>
      <c r="T4866" s="11"/>
    </row>
    <row r="4867" spans="8:20" x14ac:dyDescent="0.35">
      <c r="H4867" s="711"/>
      <c r="I4867" s="711"/>
      <c r="J4867" s="711"/>
      <c r="K4867" s="711"/>
      <c r="L4867" s="711"/>
      <c r="Q4867" s="11"/>
      <c r="R4867" s="11"/>
      <c r="S4867" s="11"/>
      <c r="T4867" s="11"/>
    </row>
    <row r="4868" spans="8:20" x14ac:dyDescent="0.35">
      <c r="H4868" s="711"/>
      <c r="I4868" s="711"/>
      <c r="J4868" s="711"/>
      <c r="K4868" s="711"/>
      <c r="L4868" s="711"/>
      <c r="Q4868" s="11"/>
      <c r="R4868" s="11"/>
      <c r="S4868" s="11"/>
      <c r="T4868" s="11"/>
    </row>
    <row r="4869" spans="8:20" x14ac:dyDescent="0.35">
      <c r="H4869" s="711"/>
      <c r="I4869" s="711"/>
      <c r="J4869" s="711"/>
      <c r="K4869" s="711"/>
      <c r="L4869" s="711"/>
      <c r="Q4869" s="11"/>
      <c r="R4869" s="11"/>
      <c r="S4869" s="11"/>
      <c r="T4869" s="11"/>
    </row>
    <row r="4870" spans="8:20" x14ac:dyDescent="0.35">
      <c r="H4870" s="711"/>
      <c r="I4870" s="711"/>
      <c r="J4870" s="711"/>
      <c r="K4870" s="711"/>
      <c r="L4870" s="711"/>
      <c r="Q4870" s="11"/>
      <c r="R4870" s="11"/>
      <c r="S4870" s="11"/>
      <c r="T4870" s="11"/>
    </row>
    <row r="4871" spans="8:20" x14ac:dyDescent="0.35">
      <c r="H4871" s="711"/>
      <c r="I4871" s="711"/>
      <c r="J4871" s="711"/>
      <c r="K4871" s="711"/>
      <c r="L4871" s="711"/>
      <c r="Q4871" s="11"/>
      <c r="R4871" s="11"/>
      <c r="S4871" s="11"/>
      <c r="T4871" s="11"/>
    </row>
    <row r="4872" spans="8:20" x14ac:dyDescent="0.35">
      <c r="H4872" s="711"/>
      <c r="I4872" s="711"/>
      <c r="J4872" s="711"/>
      <c r="K4872" s="711"/>
      <c r="L4872" s="711"/>
      <c r="Q4872" s="11"/>
      <c r="R4872" s="11"/>
      <c r="S4872" s="11"/>
      <c r="T4872" s="11"/>
    </row>
    <row r="4873" spans="8:20" x14ac:dyDescent="0.35">
      <c r="H4873" s="711"/>
      <c r="I4873" s="711"/>
      <c r="J4873" s="711"/>
      <c r="K4873" s="711"/>
      <c r="L4873" s="711"/>
      <c r="Q4873" s="11"/>
      <c r="R4873" s="11"/>
      <c r="S4873" s="11"/>
      <c r="T4873" s="11"/>
    </row>
    <row r="4874" spans="8:20" x14ac:dyDescent="0.35">
      <c r="H4874" s="711"/>
      <c r="I4874" s="711"/>
      <c r="J4874" s="711"/>
      <c r="K4874" s="711"/>
      <c r="L4874" s="711"/>
      <c r="Q4874" s="11"/>
      <c r="R4874" s="11"/>
      <c r="S4874" s="11"/>
      <c r="T4874" s="11"/>
    </row>
    <row r="4875" spans="8:20" x14ac:dyDescent="0.35">
      <c r="H4875" s="711"/>
      <c r="I4875" s="711"/>
      <c r="J4875" s="711"/>
      <c r="K4875" s="711"/>
      <c r="L4875" s="711"/>
      <c r="Q4875" s="11"/>
      <c r="R4875" s="11"/>
      <c r="S4875" s="11"/>
      <c r="T4875" s="11"/>
    </row>
    <row r="4876" spans="8:20" x14ac:dyDescent="0.35">
      <c r="H4876" s="711"/>
      <c r="I4876" s="711"/>
      <c r="J4876" s="711"/>
      <c r="K4876" s="711"/>
      <c r="L4876" s="711"/>
      <c r="Q4876" s="11"/>
      <c r="R4876" s="11"/>
      <c r="S4876" s="11"/>
      <c r="T4876" s="11"/>
    </row>
    <row r="4877" spans="8:20" x14ac:dyDescent="0.35">
      <c r="H4877" s="711"/>
      <c r="I4877" s="711"/>
      <c r="J4877" s="711"/>
      <c r="K4877" s="711"/>
      <c r="L4877" s="711"/>
      <c r="Q4877" s="11"/>
      <c r="R4877" s="11"/>
      <c r="S4877" s="11"/>
      <c r="T4877" s="11"/>
    </row>
    <row r="4878" spans="8:20" x14ac:dyDescent="0.35">
      <c r="H4878" s="711"/>
      <c r="I4878" s="711"/>
      <c r="J4878" s="711"/>
      <c r="K4878" s="711"/>
      <c r="L4878" s="711"/>
      <c r="Q4878" s="11"/>
      <c r="R4878" s="11"/>
      <c r="S4878" s="11"/>
      <c r="T4878" s="11"/>
    </row>
    <row r="4879" spans="8:20" x14ac:dyDescent="0.35">
      <c r="H4879" s="711"/>
      <c r="I4879" s="711"/>
      <c r="J4879" s="711"/>
      <c r="K4879" s="711"/>
      <c r="L4879" s="711"/>
      <c r="Q4879" s="11"/>
      <c r="R4879" s="11"/>
      <c r="S4879" s="11"/>
      <c r="T4879" s="11"/>
    </row>
    <row r="4880" spans="8:20" x14ac:dyDescent="0.35">
      <c r="H4880" s="711"/>
      <c r="I4880" s="711"/>
      <c r="J4880" s="711"/>
      <c r="K4880" s="711"/>
      <c r="L4880" s="711"/>
      <c r="Q4880" s="11"/>
      <c r="R4880" s="11"/>
      <c r="S4880" s="11"/>
      <c r="T4880" s="11"/>
    </row>
    <row r="4881" spans="8:20" x14ac:dyDescent="0.35">
      <c r="H4881" s="711"/>
      <c r="I4881" s="711"/>
      <c r="J4881" s="711"/>
      <c r="K4881" s="711"/>
      <c r="L4881" s="711"/>
      <c r="Q4881" s="11"/>
      <c r="R4881" s="11"/>
      <c r="S4881" s="11"/>
      <c r="T4881" s="11"/>
    </row>
    <row r="4882" spans="8:20" x14ac:dyDescent="0.35">
      <c r="H4882" s="711"/>
      <c r="I4882" s="711"/>
      <c r="J4882" s="711"/>
      <c r="K4882" s="711"/>
      <c r="L4882" s="711"/>
      <c r="Q4882" s="11"/>
      <c r="R4882" s="11"/>
      <c r="S4882" s="11"/>
      <c r="T4882" s="11"/>
    </row>
    <row r="4883" spans="8:20" x14ac:dyDescent="0.35">
      <c r="H4883" s="711"/>
      <c r="I4883" s="711"/>
      <c r="J4883" s="711"/>
      <c r="K4883" s="711"/>
      <c r="L4883" s="711"/>
      <c r="Q4883" s="11"/>
      <c r="R4883" s="11"/>
      <c r="S4883" s="11"/>
      <c r="T4883" s="11"/>
    </row>
    <row r="4884" spans="8:20" x14ac:dyDescent="0.35">
      <c r="H4884" s="711"/>
      <c r="I4884" s="711"/>
      <c r="J4884" s="711"/>
      <c r="K4884" s="711"/>
      <c r="L4884" s="711"/>
      <c r="Q4884" s="11"/>
      <c r="R4884" s="11"/>
      <c r="S4884" s="11"/>
      <c r="T4884" s="11"/>
    </row>
    <row r="4885" spans="8:20" x14ac:dyDescent="0.35">
      <c r="H4885" s="711"/>
      <c r="I4885" s="711"/>
      <c r="J4885" s="711"/>
      <c r="K4885" s="711"/>
      <c r="L4885" s="711"/>
      <c r="Q4885" s="11"/>
      <c r="R4885" s="11"/>
      <c r="S4885" s="11"/>
      <c r="T4885" s="11"/>
    </row>
    <row r="4886" spans="8:20" x14ac:dyDescent="0.35">
      <c r="H4886" s="711"/>
      <c r="I4886" s="711"/>
      <c r="J4886" s="711"/>
      <c r="K4886" s="711"/>
      <c r="L4886" s="711"/>
      <c r="Q4886" s="11"/>
      <c r="R4886" s="11"/>
      <c r="S4886" s="11"/>
      <c r="T4886" s="11"/>
    </row>
    <row r="4887" spans="8:20" x14ac:dyDescent="0.35">
      <c r="H4887" s="711"/>
      <c r="I4887" s="711"/>
      <c r="J4887" s="711"/>
      <c r="K4887" s="711"/>
      <c r="L4887" s="711"/>
      <c r="Q4887" s="11"/>
      <c r="R4887" s="11"/>
      <c r="S4887" s="11"/>
      <c r="T4887" s="11"/>
    </row>
    <row r="4888" spans="8:20" x14ac:dyDescent="0.35">
      <c r="H4888" s="711"/>
      <c r="I4888" s="711"/>
      <c r="J4888" s="711"/>
      <c r="K4888" s="711"/>
      <c r="L4888" s="711"/>
      <c r="Q4888" s="11"/>
      <c r="R4888" s="11"/>
      <c r="S4888" s="11"/>
      <c r="T4888" s="11"/>
    </row>
    <row r="4889" spans="8:20" x14ac:dyDescent="0.35">
      <c r="H4889" s="711"/>
      <c r="I4889" s="711"/>
      <c r="J4889" s="711"/>
      <c r="K4889" s="711"/>
      <c r="L4889" s="711"/>
      <c r="Q4889" s="11"/>
      <c r="R4889" s="11"/>
      <c r="S4889" s="11"/>
      <c r="T4889" s="11"/>
    </row>
    <row r="4890" spans="8:20" x14ac:dyDescent="0.35">
      <c r="H4890" s="711"/>
      <c r="I4890" s="711"/>
      <c r="J4890" s="711"/>
      <c r="K4890" s="711"/>
      <c r="L4890" s="711"/>
      <c r="Q4890" s="11"/>
      <c r="R4890" s="11"/>
      <c r="S4890" s="11"/>
      <c r="T4890" s="11"/>
    </row>
    <row r="4891" spans="8:20" x14ac:dyDescent="0.35">
      <c r="H4891" s="711"/>
      <c r="I4891" s="711"/>
      <c r="J4891" s="711"/>
      <c r="K4891" s="711"/>
      <c r="L4891" s="711"/>
      <c r="Q4891" s="11"/>
      <c r="R4891" s="11"/>
      <c r="S4891" s="11"/>
      <c r="T4891" s="11"/>
    </row>
    <row r="4892" spans="8:20" x14ac:dyDescent="0.35">
      <c r="H4892" s="711"/>
      <c r="I4892" s="711"/>
      <c r="J4892" s="711"/>
      <c r="K4892" s="711"/>
      <c r="L4892" s="711"/>
      <c r="Q4892" s="11"/>
      <c r="R4892" s="11"/>
      <c r="S4892" s="11"/>
      <c r="T4892" s="11"/>
    </row>
    <row r="4893" spans="8:20" x14ac:dyDescent="0.35">
      <c r="H4893" s="711"/>
      <c r="I4893" s="711"/>
      <c r="J4893" s="711"/>
      <c r="K4893" s="711"/>
      <c r="L4893" s="711"/>
      <c r="Q4893" s="11"/>
      <c r="R4893" s="11"/>
      <c r="S4893" s="11"/>
      <c r="T4893" s="11"/>
    </row>
    <row r="4894" spans="8:20" x14ac:dyDescent="0.35">
      <c r="H4894" s="711"/>
      <c r="I4894" s="711"/>
      <c r="J4894" s="711"/>
      <c r="K4894" s="711"/>
      <c r="L4894" s="711"/>
      <c r="Q4894" s="11"/>
      <c r="R4894" s="11"/>
      <c r="S4894" s="11"/>
      <c r="T4894" s="11"/>
    </row>
    <row r="4895" spans="8:20" x14ac:dyDescent="0.35">
      <c r="H4895" s="711"/>
      <c r="I4895" s="711"/>
      <c r="J4895" s="711"/>
      <c r="K4895" s="711"/>
      <c r="L4895" s="711"/>
      <c r="Q4895" s="11"/>
      <c r="R4895" s="11"/>
      <c r="S4895" s="11"/>
      <c r="T4895" s="11"/>
    </row>
    <row r="4896" spans="8:20" x14ac:dyDescent="0.35">
      <c r="H4896" s="711"/>
      <c r="I4896" s="711"/>
      <c r="J4896" s="711"/>
      <c r="K4896" s="711"/>
      <c r="L4896" s="711"/>
      <c r="Q4896" s="11"/>
      <c r="R4896" s="11"/>
      <c r="S4896" s="11"/>
      <c r="T4896" s="11"/>
    </row>
    <row r="4897" spans="8:20" x14ac:dyDescent="0.35">
      <c r="H4897" s="711"/>
      <c r="I4897" s="711"/>
      <c r="J4897" s="711"/>
      <c r="K4897" s="711"/>
      <c r="L4897" s="711"/>
      <c r="Q4897" s="11"/>
      <c r="R4897" s="11"/>
      <c r="S4897" s="11"/>
      <c r="T4897" s="11"/>
    </row>
    <row r="4898" spans="8:20" x14ac:dyDescent="0.35">
      <c r="H4898" s="711"/>
      <c r="I4898" s="711"/>
      <c r="J4898" s="711"/>
      <c r="K4898" s="711"/>
      <c r="L4898" s="711"/>
      <c r="Q4898" s="11"/>
      <c r="R4898" s="11"/>
      <c r="S4898" s="11"/>
      <c r="T4898" s="11"/>
    </row>
    <row r="4899" spans="8:20" x14ac:dyDescent="0.35">
      <c r="H4899" s="711"/>
      <c r="I4899" s="711"/>
      <c r="J4899" s="711"/>
      <c r="K4899" s="711"/>
      <c r="L4899" s="711"/>
      <c r="Q4899" s="11"/>
      <c r="R4899" s="11"/>
      <c r="S4899" s="11"/>
      <c r="T4899" s="11"/>
    </row>
    <row r="4900" spans="8:20" x14ac:dyDescent="0.35">
      <c r="H4900" s="711"/>
      <c r="I4900" s="711"/>
      <c r="J4900" s="711"/>
      <c r="K4900" s="711"/>
      <c r="L4900" s="711"/>
      <c r="Q4900" s="11"/>
      <c r="R4900" s="11"/>
      <c r="S4900" s="11"/>
      <c r="T4900" s="11"/>
    </row>
    <row r="4901" spans="8:20" x14ac:dyDescent="0.35">
      <c r="H4901" s="711"/>
      <c r="I4901" s="711"/>
      <c r="J4901" s="711"/>
      <c r="K4901" s="711"/>
      <c r="L4901" s="711"/>
      <c r="Q4901" s="11"/>
      <c r="R4901" s="11"/>
      <c r="S4901" s="11"/>
      <c r="T4901" s="11"/>
    </row>
    <row r="4902" spans="8:20" x14ac:dyDescent="0.35">
      <c r="H4902" s="711"/>
      <c r="I4902" s="711"/>
      <c r="J4902" s="711"/>
      <c r="K4902" s="711"/>
      <c r="L4902" s="711"/>
      <c r="Q4902" s="11"/>
      <c r="R4902" s="11"/>
      <c r="S4902" s="11"/>
      <c r="T4902" s="11"/>
    </row>
    <row r="4903" spans="8:20" x14ac:dyDescent="0.35">
      <c r="H4903" s="711"/>
      <c r="I4903" s="711"/>
      <c r="J4903" s="711"/>
      <c r="K4903" s="711"/>
      <c r="L4903" s="711"/>
      <c r="Q4903" s="11"/>
      <c r="R4903" s="11"/>
      <c r="S4903" s="11"/>
      <c r="T4903" s="11"/>
    </row>
    <row r="4904" spans="8:20" x14ac:dyDescent="0.35">
      <c r="H4904" s="711"/>
      <c r="I4904" s="711"/>
      <c r="J4904" s="711"/>
      <c r="K4904" s="711"/>
      <c r="L4904" s="711"/>
      <c r="Q4904" s="11"/>
      <c r="R4904" s="11"/>
      <c r="S4904" s="11"/>
      <c r="T4904" s="11"/>
    </row>
    <row r="4905" spans="8:20" x14ac:dyDescent="0.35">
      <c r="H4905" s="711"/>
      <c r="I4905" s="711"/>
      <c r="J4905" s="711"/>
      <c r="K4905" s="711"/>
      <c r="L4905" s="711"/>
      <c r="Q4905" s="11"/>
      <c r="R4905" s="11"/>
      <c r="S4905" s="11"/>
      <c r="T4905" s="11"/>
    </row>
    <row r="4906" spans="8:20" x14ac:dyDescent="0.35">
      <c r="H4906" s="711"/>
      <c r="I4906" s="711"/>
      <c r="J4906" s="711"/>
      <c r="K4906" s="711"/>
      <c r="L4906" s="711"/>
      <c r="Q4906" s="11"/>
      <c r="R4906" s="11"/>
      <c r="S4906" s="11"/>
      <c r="T4906" s="11"/>
    </row>
    <row r="4907" spans="8:20" x14ac:dyDescent="0.35">
      <c r="H4907" s="711"/>
      <c r="I4907" s="711"/>
      <c r="J4907" s="711"/>
      <c r="K4907" s="711"/>
      <c r="L4907" s="711"/>
      <c r="Q4907" s="11"/>
      <c r="R4907" s="11"/>
      <c r="S4907" s="11"/>
      <c r="T4907" s="11"/>
    </row>
    <row r="4908" spans="8:20" x14ac:dyDescent="0.35">
      <c r="H4908" s="711"/>
      <c r="I4908" s="711"/>
      <c r="J4908" s="711"/>
      <c r="K4908" s="711"/>
      <c r="L4908" s="711"/>
      <c r="Q4908" s="11"/>
      <c r="R4908" s="11"/>
      <c r="S4908" s="11"/>
      <c r="T4908" s="11"/>
    </row>
    <row r="4909" spans="8:20" x14ac:dyDescent="0.35">
      <c r="H4909" s="711"/>
      <c r="I4909" s="711"/>
      <c r="J4909" s="711"/>
      <c r="K4909" s="711"/>
      <c r="L4909" s="711"/>
      <c r="Q4909" s="11"/>
      <c r="R4909" s="11"/>
      <c r="S4909" s="11"/>
      <c r="T4909" s="11"/>
    </row>
    <row r="4910" spans="8:20" x14ac:dyDescent="0.35">
      <c r="H4910" s="711"/>
      <c r="I4910" s="711"/>
      <c r="J4910" s="711"/>
      <c r="K4910" s="711"/>
      <c r="L4910" s="711"/>
      <c r="Q4910" s="11"/>
      <c r="R4910" s="11"/>
      <c r="S4910" s="11"/>
      <c r="T4910" s="11"/>
    </row>
    <row r="4911" spans="8:20" x14ac:dyDescent="0.35">
      <c r="H4911" s="711"/>
      <c r="I4911" s="711"/>
      <c r="J4911" s="711"/>
      <c r="K4911" s="711"/>
      <c r="L4911" s="711"/>
      <c r="Q4911" s="11"/>
      <c r="R4911" s="11"/>
      <c r="S4911" s="11"/>
      <c r="T4911" s="11"/>
    </row>
    <row r="4912" spans="8:20" x14ac:dyDescent="0.35">
      <c r="H4912" s="711"/>
      <c r="I4912" s="711"/>
      <c r="J4912" s="711"/>
      <c r="K4912" s="711"/>
      <c r="L4912" s="711"/>
      <c r="Q4912" s="11"/>
      <c r="R4912" s="11"/>
      <c r="S4912" s="11"/>
      <c r="T4912" s="11"/>
    </row>
    <row r="4913" spans="8:20" x14ac:dyDescent="0.35">
      <c r="H4913" s="711"/>
      <c r="I4913" s="711"/>
      <c r="J4913" s="711"/>
      <c r="K4913" s="711"/>
      <c r="L4913" s="711"/>
      <c r="Q4913" s="11"/>
      <c r="R4913" s="11"/>
      <c r="S4913" s="11"/>
      <c r="T4913" s="11"/>
    </row>
    <row r="4914" spans="8:20" x14ac:dyDescent="0.35">
      <c r="H4914" s="711"/>
      <c r="I4914" s="711"/>
      <c r="J4914" s="711"/>
      <c r="K4914" s="711"/>
      <c r="L4914" s="711"/>
      <c r="Q4914" s="11"/>
      <c r="R4914" s="11"/>
      <c r="S4914" s="11"/>
      <c r="T4914" s="11"/>
    </row>
    <row r="4915" spans="8:20" x14ac:dyDescent="0.35">
      <c r="H4915" s="711"/>
      <c r="I4915" s="711"/>
      <c r="J4915" s="711"/>
      <c r="K4915" s="711"/>
      <c r="L4915" s="711"/>
      <c r="Q4915" s="11"/>
      <c r="R4915" s="11"/>
      <c r="S4915" s="11"/>
      <c r="T4915" s="11"/>
    </row>
    <row r="4916" spans="8:20" x14ac:dyDescent="0.35">
      <c r="H4916" s="711"/>
      <c r="I4916" s="711"/>
      <c r="J4916" s="711"/>
      <c r="K4916" s="711"/>
      <c r="L4916" s="711"/>
      <c r="Q4916" s="11"/>
      <c r="R4916" s="11"/>
      <c r="S4916" s="11"/>
      <c r="T4916" s="11"/>
    </row>
    <row r="4917" spans="8:20" x14ac:dyDescent="0.35">
      <c r="H4917" s="711"/>
      <c r="I4917" s="711"/>
      <c r="J4917" s="711"/>
      <c r="K4917" s="711"/>
      <c r="L4917" s="711"/>
      <c r="Q4917" s="11"/>
      <c r="R4917" s="11"/>
      <c r="S4917" s="11"/>
      <c r="T4917" s="11"/>
    </row>
    <row r="4918" spans="8:20" x14ac:dyDescent="0.35">
      <c r="H4918" s="711"/>
      <c r="I4918" s="711"/>
      <c r="J4918" s="711"/>
      <c r="K4918" s="711"/>
      <c r="L4918" s="711"/>
      <c r="Q4918" s="11"/>
      <c r="R4918" s="11"/>
      <c r="S4918" s="11"/>
      <c r="T4918" s="11"/>
    </row>
    <row r="4919" spans="8:20" x14ac:dyDescent="0.35">
      <c r="H4919" s="711"/>
      <c r="I4919" s="711"/>
      <c r="J4919" s="711"/>
      <c r="K4919" s="711"/>
      <c r="L4919" s="711"/>
      <c r="Q4919" s="11"/>
      <c r="R4919" s="11"/>
      <c r="S4919" s="11"/>
      <c r="T4919" s="11"/>
    </row>
    <row r="4920" spans="8:20" x14ac:dyDescent="0.35">
      <c r="H4920" s="711"/>
      <c r="I4920" s="711"/>
      <c r="J4920" s="711"/>
      <c r="K4920" s="711"/>
      <c r="L4920" s="711"/>
      <c r="Q4920" s="11"/>
      <c r="R4920" s="11"/>
      <c r="S4920" s="11"/>
      <c r="T4920" s="11"/>
    </row>
    <row r="4921" spans="8:20" x14ac:dyDescent="0.35">
      <c r="H4921" s="711"/>
      <c r="I4921" s="711"/>
      <c r="J4921" s="711"/>
      <c r="K4921" s="711"/>
      <c r="L4921" s="711"/>
      <c r="Q4921" s="11"/>
      <c r="R4921" s="11"/>
      <c r="S4921" s="11"/>
      <c r="T4921" s="11"/>
    </row>
    <row r="4922" spans="8:20" x14ac:dyDescent="0.35">
      <c r="H4922" s="711"/>
      <c r="I4922" s="711"/>
      <c r="J4922" s="711"/>
      <c r="K4922" s="711"/>
      <c r="L4922" s="711"/>
      <c r="Q4922" s="11"/>
      <c r="R4922" s="11"/>
      <c r="S4922" s="11"/>
      <c r="T4922" s="11"/>
    </row>
    <row r="4923" spans="8:20" x14ac:dyDescent="0.35">
      <c r="H4923" s="711"/>
      <c r="I4923" s="711"/>
      <c r="J4923" s="711"/>
      <c r="K4923" s="711"/>
      <c r="L4923" s="711"/>
      <c r="Q4923" s="11"/>
      <c r="R4923" s="11"/>
      <c r="S4923" s="11"/>
      <c r="T4923" s="11"/>
    </row>
    <row r="4924" spans="8:20" x14ac:dyDescent="0.35">
      <c r="H4924" s="711"/>
      <c r="I4924" s="711"/>
      <c r="J4924" s="711"/>
      <c r="K4924" s="711"/>
      <c r="L4924" s="711"/>
      <c r="Q4924" s="11"/>
      <c r="R4924" s="11"/>
      <c r="S4924" s="11"/>
      <c r="T4924" s="11"/>
    </row>
    <row r="4925" spans="8:20" x14ac:dyDescent="0.35">
      <c r="H4925" s="711"/>
      <c r="I4925" s="711"/>
      <c r="J4925" s="711"/>
      <c r="K4925" s="711"/>
      <c r="L4925" s="711"/>
      <c r="Q4925" s="11"/>
      <c r="R4925" s="11"/>
      <c r="S4925" s="11"/>
      <c r="T4925" s="11"/>
    </row>
    <row r="4926" spans="8:20" x14ac:dyDescent="0.35">
      <c r="H4926" s="711"/>
      <c r="I4926" s="711"/>
      <c r="J4926" s="711"/>
      <c r="K4926" s="711"/>
      <c r="L4926" s="711"/>
      <c r="Q4926" s="11"/>
      <c r="R4926" s="11"/>
      <c r="S4926" s="11"/>
      <c r="T4926" s="11"/>
    </row>
    <row r="4927" spans="8:20" x14ac:dyDescent="0.35">
      <c r="H4927" s="711"/>
      <c r="I4927" s="711"/>
      <c r="J4927" s="711"/>
      <c r="K4927" s="711"/>
      <c r="L4927" s="711"/>
      <c r="Q4927" s="11"/>
      <c r="R4927" s="11"/>
      <c r="S4927" s="11"/>
      <c r="T4927" s="11"/>
    </row>
    <row r="4928" spans="8:20" x14ac:dyDescent="0.35">
      <c r="H4928" s="711"/>
      <c r="I4928" s="711"/>
      <c r="J4928" s="711"/>
      <c r="K4928" s="711"/>
      <c r="L4928" s="711"/>
      <c r="Q4928" s="11"/>
      <c r="R4928" s="11"/>
      <c r="S4928" s="11"/>
      <c r="T4928" s="11"/>
    </row>
    <row r="4929" spans="8:20" x14ac:dyDescent="0.35">
      <c r="H4929" s="711"/>
      <c r="I4929" s="711"/>
      <c r="J4929" s="711"/>
      <c r="K4929" s="711"/>
      <c r="L4929" s="711"/>
      <c r="Q4929" s="11"/>
      <c r="R4929" s="11"/>
      <c r="S4929" s="11"/>
      <c r="T4929" s="11"/>
    </row>
    <row r="4930" spans="8:20" x14ac:dyDescent="0.35">
      <c r="H4930" s="711"/>
      <c r="I4930" s="711"/>
      <c r="J4930" s="711"/>
      <c r="K4930" s="711"/>
      <c r="L4930" s="711"/>
      <c r="Q4930" s="11"/>
      <c r="R4930" s="11"/>
      <c r="S4930" s="11"/>
      <c r="T4930" s="11"/>
    </row>
    <row r="4931" spans="8:20" x14ac:dyDescent="0.35">
      <c r="H4931" s="711"/>
      <c r="I4931" s="711"/>
      <c r="J4931" s="711"/>
      <c r="K4931" s="711"/>
      <c r="L4931" s="711"/>
      <c r="Q4931" s="11"/>
      <c r="R4931" s="11"/>
      <c r="S4931" s="11"/>
      <c r="T4931" s="11"/>
    </row>
    <row r="4932" spans="8:20" x14ac:dyDescent="0.35">
      <c r="H4932" s="711"/>
      <c r="I4932" s="711"/>
      <c r="J4932" s="711"/>
      <c r="K4932" s="711"/>
      <c r="L4932" s="711"/>
      <c r="Q4932" s="11"/>
      <c r="R4932" s="11"/>
      <c r="S4932" s="11"/>
      <c r="T4932" s="11"/>
    </row>
    <row r="4933" spans="8:20" x14ac:dyDescent="0.35">
      <c r="H4933" s="711"/>
      <c r="I4933" s="711"/>
      <c r="J4933" s="711"/>
      <c r="K4933" s="711"/>
      <c r="L4933" s="711"/>
      <c r="Q4933" s="11"/>
      <c r="R4933" s="11"/>
      <c r="S4933" s="11"/>
      <c r="T4933" s="11"/>
    </row>
    <row r="4934" spans="8:20" x14ac:dyDescent="0.35">
      <c r="H4934" s="711"/>
      <c r="I4934" s="711"/>
      <c r="J4934" s="711"/>
      <c r="K4934" s="711"/>
      <c r="L4934" s="711"/>
      <c r="Q4934" s="11"/>
      <c r="R4934" s="11"/>
      <c r="S4934" s="11"/>
      <c r="T4934" s="11"/>
    </row>
    <row r="4935" spans="8:20" x14ac:dyDescent="0.35">
      <c r="H4935" s="711"/>
      <c r="I4935" s="711"/>
      <c r="J4935" s="711"/>
      <c r="K4935" s="711"/>
      <c r="L4935" s="711"/>
      <c r="Q4935" s="11"/>
      <c r="R4935" s="11"/>
      <c r="S4935" s="11"/>
      <c r="T4935" s="11"/>
    </row>
    <row r="4936" spans="8:20" x14ac:dyDescent="0.35">
      <c r="H4936" s="711"/>
      <c r="I4936" s="711"/>
      <c r="J4936" s="711"/>
      <c r="K4936" s="711"/>
      <c r="L4936" s="711"/>
      <c r="Q4936" s="11"/>
      <c r="R4936" s="11"/>
      <c r="S4936" s="11"/>
      <c r="T4936" s="11"/>
    </row>
    <row r="4937" spans="8:20" x14ac:dyDescent="0.35">
      <c r="H4937" s="711"/>
      <c r="I4937" s="711"/>
      <c r="J4937" s="711"/>
      <c r="K4937" s="711"/>
      <c r="L4937" s="711"/>
      <c r="Q4937" s="11"/>
      <c r="R4937" s="11"/>
      <c r="S4937" s="11"/>
      <c r="T4937" s="11"/>
    </row>
    <row r="4938" spans="8:20" x14ac:dyDescent="0.35">
      <c r="H4938" s="711"/>
      <c r="I4938" s="711"/>
      <c r="J4938" s="711"/>
      <c r="K4938" s="711"/>
      <c r="L4938" s="711"/>
      <c r="Q4938" s="11"/>
      <c r="R4938" s="11"/>
      <c r="S4938" s="11"/>
      <c r="T4938" s="11"/>
    </row>
    <row r="4939" spans="8:20" x14ac:dyDescent="0.35">
      <c r="H4939" s="711"/>
      <c r="I4939" s="711"/>
      <c r="J4939" s="711"/>
      <c r="K4939" s="711"/>
      <c r="L4939" s="711"/>
      <c r="Q4939" s="11"/>
      <c r="R4939" s="11"/>
      <c r="S4939" s="11"/>
      <c r="T4939" s="11"/>
    </row>
    <row r="4940" spans="8:20" x14ac:dyDescent="0.35">
      <c r="H4940" s="711"/>
      <c r="I4940" s="711"/>
      <c r="J4940" s="711"/>
      <c r="K4940" s="711"/>
      <c r="L4940" s="711"/>
      <c r="Q4940" s="11"/>
      <c r="R4940" s="11"/>
      <c r="S4940" s="11"/>
      <c r="T4940" s="11"/>
    </row>
    <row r="4941" spans="8:20" x14ac:dyDescent="0.35">
      <c r="H4941" s="711"/>
      <c r="I4941" s="711"/>
      <c r="J4941" s="711"/>
      <c r="K4941" s="711"/>
      <c r="L4941" s="711"/>
      <c r="Q4941" s="11"/>
      <c r="R4941" s="11"/>
      <c r="S4941" s="11"/>
      <c r="T4941" s="11"/>
    </row>
    <row r="4942" spans="8:20" x14ac:dyDescent="0.35">
      <c r="H4942" s="711"/>
      <c r="I4942" s="711"/>
      <c r="J4942" s="711"/>
      <c r="K4942" s="711"/>
      <c r="L4942" s="711"/>
      <c r="Q4942" s="11"/>
      <c r="R4942" s="11"/>
      <c r="S4942" s="11"/>
      <c r="T4942" s="11"/>
    </row>
    <row r="4943" spans="8:20" x14ac:dyDescent="0.35">
      <c r="H4943" s="711"/>
      <c r="I4943" s="711"/>
      <c r="J4943" s="711"/>
      <c r="K4943" s="711"/>
      <c r="L4943" s="711"/>
      <c r="Q4943" s="11"/>
      <c r="R4943" s="11"/>
      <c r="S4943" s="11"/>
      <c r="T4943" s="11"/>
    </row>
    <row r="4944" spans="8:20" x14ac:dyDescent="0.35">
      <c r="H4944" s="711"/>
      <c r="I4944" s="711"/>
      <c r="J4944" s="711"/>
      <c r="K4944" s="711"/>
      <c r="L4944" s="711"/>
      <c r="Q4944" s="11"/>
      <c r="R4944" s="11"/>
      <c r="S4944" s="11"/>
      <c r="T4944" s="11"/>
    </row>
    <row r="4945" spans="8:20" x14ac:dyDescent="0.35">
      <c r="H4945" s="711"/>
      <c r="I4945" s="711"/>
      <c r="J4945" s="711"/>
      <c r="K4945" s="711"/>
      <c r="L4945" s="711"/>
      <c r="Q4945" s="11"/>
      <c r="R4945" s="11"/>
      <c r="S4945" s="11"/>
      <c r="T4945" s="11"/>
    </row>
    <row r="4946" spans="8:20" x14ac:dyDescent="0.35">
      <c r="H4946" s="711"/>
      <c r="I4946" s="711"/>
      <c r="J4946" s="711"/>
      <c r="K4946" s="711"/>
      <c r="L4946" s="711"/>
      <c r="Q4946" s="11"/>
      <c r="R4946" s="11"/>
      <c r="S4946" s="11"/>
      <c r="T4946" s="11"/>
    </row>
    <row r="4947" spans="8:20" x14ac:dyDescent="0.35">
      <c r="H4947" s="711"/>
      <c r="I4947" s="711"/>
      <c r="J4947" s="711"/>
      <c r="K4947" s="711"/>
      <c r="L4947" s="711"/>
      <c r="Q4947" s="11"/>
      <c r="R4947" s="11"/>
      <c r="S4947" s="11"/>
      <c r="T4947" s="11"/>
    </row>
    <row r="4948" spans="8:20" x14ac:dyDescent="0.35">
      <c r="H4948" s="711"/>
      <c r="I4948" s="711"/>
      <c r="J4948" s="711"/>
      <c r="K4948" s="711"/>
      <c r="L4948" s="711"/>
      <c r="Q4948" s="11"/>
      <c r="R4948" s="11"/>
      <c r="S4948" s="11"/>
      <c r="T4948" s="11"/>
    </row>
    <row r="4949" spans="8:20" x14ac:dyDescent="0.35">
      <c r="H4949" s="711"/>
      <c r="I4949" s="711"/>
      <c r="J4949" s="711"/>
      <c r="K4949" s="711"/>
      <c r="L4949" s="711"/>
      <c r="Q4949" s="11"/>
      <c r="R4949" s="11"/>
      <c r="S4949" s="11"/>
      <c r="T4949" s="11"/>
    </row>
    <row r="4950" spans="8:20" x14ac:dyDescent="0.35">
      <c r="H4950" s="711"/>
      <c r="I4950" s="711"/>
      <c r="J4950" s="711"/>
      <c r="K4950" s="711"/>
      <c r="L4950" s="711"/>
      <c r="Q4950" s="11"/>
      <c r="R4950" s="11"/>
      <c r="S4950" s="11"/>
      <c r="T4950" s="11"/>
    </row>
    <row r="4951" spans="8:20" x14ac:dyDescent="0.35">
      <c r="H4951" s="711"/>
      <c r="I4951" s="711"/>
      <c r="J4951" s="711"/>
      <c r="K4951" s="711"/>
      <c r="L4951" s="711"/>
      <c r="Q4951" s="11"/>
      <c r="R4951" s="11"/>
      <c r="S4951" s="11"/>
      <c r="T4951" s="11"/>
    </row>
    <row r="4952" spans="8:20" x14ac:dyDescent="0.35">
      <c r="H4952" s="711"/>
      <c r="I4952" s="711"/>
      <c r="J4952" s="711"/>
      <c r="K4952" s="711"/>
      <c r="L4952" s="711"/>
      <c r="Q4952" s="11"/>
      <c r="R4952" s="11"/>
      <c r="S4952" s="11"/>
      <c r="T4952" s="11"/>
    </row>
    <row r="4953" spans="8:20" x14ac:dyDescent="0.35">
      <c r="H4953" s="711"/>
      <c r="I4953" s="711"/>
      <c r="J4953" s="711"/>
      <c r="K4953" s="711"/>
      <c r="L4953" s="711"/>
      <c r="Q4953" s="11"/>
      <c r="R4953" s="11"/>
      <c r="S4953" s="11"/>
      <c r="T4953" s="11"/>
    </row>
    <row r="4954" spans="8:20" x14ac:dyDescent="0.35">
      <c r="H4954" s="711"/>
      <c r="I4954" s="711"/>
      <c r="J4954" s="711"/>
      <c r="K4954" s="711"/>
      <c r="L4954" s="711"/>
      <c r="Q4954" s="11"/>
      <c r="R4954" s="11"/>
      <c r="S4954" s="11"/>
      <c r="T4954" s="11"/>
    </row>
    <row r="4955" spans="8:20" x14ac:dyDescent="0.35">
      <c r="H4955" s="711"/>
      <c r="I4955" s="711"/>
      <c r="J4955" s="711"/>
      <c r="K4955" s="711"/>
      <c r="L4955" s="711"/>
      <c r="Q4955" s="11"/>
      <c r="R4955" s="11"/>
      <c r="S4955" s="11"/>
      <c r="T4955" s="11"/>
    </row>
    <row r="4956" spans="8:20" x14ac:dyDescent="0.35">
      <c r="H4956" s="711"/>
      <c r="I4956" s="711"/>
      <c r="J4956" s="711"/>
      <c r="K4956" s="711"/>
      <c r="L4956" s="711"/>
      <c r="Q4956" s="11"/>
      <c r="R4956" s="11"/>
      <c r="S4956" s="11"/>
      <c r="T4956" s="11"/>
    </row>
    <row r="4957" spans="8:20" x14ac:dyDescent="0.35">
      <c r="H4957" s="711"/>
      <c r="I4957" s="711"/>
      <c r="J4957" s="711"/>
      <c r="K4957" s="711"/>
      <c r="L4957" s="711"/>
      <c r="Q4957" s="11"/>
      <c r="R4957" s="11"/>
      <c r="S4957" s="11"/>
      <c r="T4957" s="11"/>
    </row>
    <row r="4958" spans="8:20" x14ac:dyDescent="0.35">
      <c r="H4958" s="711"/>
      <c r="I4958" s="711"/>
      <c r="J4958" s="711"/>
      <c r="K4958" s="711"/>
      <c r="L4958" s="711"/>
      <c r="Q4958" s="11"/>
      <c r="R4958" s="11"/>
      <c r="S4958" s="11"/>
      <c r="T4958" s="11"/>
    </row>
    <row r="4959" spans="8:20" x14ac:dyDescent="0.35">
      <c r="H4959" s="711"/>
      <c r="I4959" s="711"/>
      <c r="J4959" s="711"/>
      <c r="K4959" s="711"/>
      <c r="L4959" s="711"/>
      <c r="Q4959" s="11"/>
      <c r="R4959" s="11"/>
      <c r="S4959" s="11"/>
      <c r="T4959" s="11"/>
    </row>
    <row r="4960" spans="8:20" x14ac:dyDescent="0.35">
      <c r="H4960" s="711"/>
      <c r="I4960" s="711"/>
      <c r="J4960" s="711"/>
      <c r="K4960" s="711"/>
      <c r="L4960" s="711"/>
      <c r="Q4960" s="11"/>
      <c r="R4960" s="11"/>
      <c r="S4960" s="11"/>
      <c r="T4960" s="11"/>
    </row>
    <row r="4961" spans="8:20" x14ac:dyDescent="0.35">
      <c r="H4961" s="711"/>
      <c r="I4961" s="711"/>
      <c r="J4961" s="711"/>
      <c r="K4961" s="711"/>
      <c r="L4961" s="711"/>
      <c r="Q4961" s="11"/>
      <c r="R4961" s="11"/>
      <c r="S4961" s="11"/>
      <c r="T4961" s="11"/>
    </row>
    <row r="4962" spans="8:20" x14ac:dyDescent="0.35">
      <c r="H4962" s="711"/>
      <c r="I4962" s="711"/>
      <c r="J4962" s="711"/>
      <c r="K4962" s="711"/>
      <c r="L4962" s="711"/>
      <c r="Q4962" s="11"/>
      <c r="R4962" s="11"/>
      <c r="S4962" s="11"/>
      <c r="T4962" s="11"/>
    </row>
    <row r="4963" spans="8:20" x14ac:dyDescent="0.35">
      <c r="H4963" s="711"/>
      <c r="I4963" s="711"/>
      <c r="J4963" s="711"/>
      <c r="K4963" s="711"/>
      <c r="L4963" s="711"/>
      <c r="Q4963" s="11"/>
      <c r="R4963" s="11"/>
      <c r="S4963" s="11"/>
      <c r="T4963" s="11"/>
    </row>
    <row r="4964" spans="8:20" x14ac:dyDescent="0.35">
      <c r="H4964" s="711"/>
      <c r="I4964" s="711"/>
      <c r="J4964" s="711"/>
      <c r="K4964" s="711"/>
      <c r="L4964" s="711"/>
      <c r="Q4964" s="11"/>
      <c r="R4964" s="11"/>
      <c r="S4964" s="11"/>
      <c r="T4964" s="11"/>
    </row>
    <row r="4965" spans="8:20" x14ac:dyDescent="0.35">
      <c r="H4965" s="711"/>
      <c r="I4965" s="711"/>
      <c r="J4965" s="711"/>
      <c r="K4965" s="711"/>
      <c r="L4965" s="711"/>
      <c r="Q4965" s="11"/>
      <c r="R4965" s="11"/>
      <c r="S4965" s="11"/>
      <c r="T4965" s="11"/>
    </row>
    <row r="4966" spans="8:20" x14ac:dyDescent="0.35">
      <c r="H4966" s="711"/>
      <c r="I4966" s="711"/>
      <c r="J4966" s="711"/>
      <c r="K4966" s="711"/>
      <c r="L4966" s="711"/>
      <c r="Q4966" s="11"/>
      <c r="R4966" s="11"/>
      <c r="S4966" s="11"/>
      <c r="T4966" s="11"/>
    </row>
    <row r="4967" spans="8:20" x14ac:dyDescent="0.35">
      <c r="H4967" s="711"/>
      <c r="I4967" s="711"/>
      <c r="J4967" s="711"/>
      <c r="K4967" s="711"/>
      <c r="L4967" s="711"/>
      <c r="Q4967" s="11"/>
      <c r="R4967" s="11"/>
      <c r="S4967" s="11"/>
      <c r="T4967" s="11"/>
    </row>
    <row r="4968" spans="8:20" x14ac:dyDescent="0.35">
      <c r="H4968" s="711"/>
      <c r="I4968" s="711"/>
      <c r="J4968" s="711"/>
      <c r="K4968" s="711"/>
      <c r="L4968" s="711"/>
      <c r="Q4968" s="11"/>
      <c r="R4968" s="11"/>
      <c r="S4968" s="11"/>
      <c r="T4968" s="11"/>
    </row>
    <row r="4969" spans="8:20" x14ac:dyDescent="0.35">
      <c r="H4969" s="711"/>
      <c r="I4969" s="711"/>
      <c r="J4969" s="711"/>
      <c r="K4969" s="711"/>
      <c r="L4969" s="711"/>
      <c r="Q4969" s="11"/>
      <c r="R4969" s="11"/>
      <c r="S4969" s="11"/>
      <c r="T4969" s="11"/>
    </row>
    <row r="4970" spans="8:20" x14ac:dyDescent="0.35">
      <c r="H4970" s="711"/>
      <c r="I4970" s="711"/>
      <c r="J4970" s="711"/>
      <c r="K4970" s="711"/>
      <c r="L4970" s="711"/>
      <c r="Q4970" s="11"/>
      <c r="R4970" s="11"/>
      <c r="S4970" s="11"/>
      <c r="T4970" s="11"/>
    </row>
    <row r="4971" spans="8:20" x14ac:dyDescent="0.35">
      <c r="H4971" s="711"/>
      <c r="I4971" s="711"/>
      <c r="J4971" s="711"/>
      <c r="K4971" s="711"/>
      <c r="L4971" s="711"/>
      <c r="Q4971" s="11"/>
      <c r="R4971" s="11"/>
      <c r="S4971" s="11"/>
      <c r="T4971" s="11"/>
    </row>
    <row r="4972" spans="8:20" x14ac:dyDescent="0.35">
      <c r="H4972" s="711"/>
      <c r="I4972" s="711"/>
      <c r="J4972" s="711"/>
      <c r="K4972" s="711"/>
      <c r="L4972" s="711"/>
      <c r="Q4972" s="11"/>
      <c r="R4972" s="11"/>
      <c r="S4972" s="11"/>
      <c r="T4972" s="11"/>
    </row>
    <row r="4973" spans="8:20" x14ac:dyDescent="0.35">
      <c r="H4973" s="711"/>
      <c r="I4973" s="711"/>
      <c r="J4973" s="711"/>
      <c r="K4973" s="711"/>
      <c r="L4973" s="711"/>
      <c r="Q4973" s="11"/>
      <c r="R4973" s="11"/>
      <c r="S4973" s="11"/>
      <c r="T4973" s="11"/>
    </row>
    <row r="4974" spans="8:20" x14ac:dyDescent="0.35">
      <c r="H4974" s="711"/>
      <c r="I4974" s="711"/>
      <c r="J4974" s="711"/>
      <c r="K4974" s="711"/>
      <c r="L4974" s="711"/>
      <c r="Q4974" s="11"/>
      <c r="R4974" s="11"/>
      <c r="S4974" s="11"/>
      <c r="T4974" s="11"/>
    </row>
    <row r="4975" spans="8:20" x14ac:dyDescent="0.35">
      <c r="H4975" s="711"/>
      <c r="I4975" s="711"/>
      <c r="J4975" s="711"/>
      <c r="K4975" s="711"/>
      <c r="L4975" s="711"/>
      <c r="Q4975" s="11"/>
      <c r="R4975" s="11"/>
      <c r="S4975" s="11"/>
      <c r="T4975" s="11"/>
    </row>
    <row r="4976" spans="8:20" x14ac:dyDescent="0.35">
      <c r="H4976" s="711"/>
      <c r="I4976" s="711"/>
      <c r="J4976" s="711"/>
      <c r="K4976" s="711"/>
      <c r="L4976" s="711"/>
      <c r="Q4976" s="11"/>
      <c r="R4976" s="11"/>
      <c r="S4976" s="11"/>
      <c r="T4976" s="11"/>
    </row>
    <row r="4977" spans="8:20" x14ac:dyDescent="0.35">
      <c r="H4977" s="711"/>
      <c r="I4977" s="711"/>
      <c r="J4977" s="711"/>
      <c r="K4977" s="711"/>
      <c r="L4977" s="711"/>
      <c r="Q4977" s="11"/>
      <c r="R4977" s="11"/>
      <c r="S4977" s="11"/>
      <c r="T4977" s="11"/>
    </row>
    <row r="4978" spans="8:20" x14ac:dyDescent="0.35">
      <c r="H4978" s="711"/>
      <c r="I4978" s="711"/>
      <c r="J4978" s="711"/>
      <c r="K4978" s="711"/>
      <c r="L4978" s="711"/>
      <c r="Q4978" s="11"/>
      <c r="R4978" s="11"/>
      <c r="S4978" s="11"/>
      <c r="T4978" s="11"/>
    </row>
    <row r="4979" spans="8:20" x14ac:dyDescent="0.35">
      <c r="H4979" s="711"/>
      <c r="I4979" s="711"/>
      <c r="J4979" s="711"/>
      <c r="K4979" s="711"/>
      <c r="L4979" s="711"/>
      <c r="Q4979" s="11"/>
      <c r="R4979" s="11"/>
      <c r="S4979" s="11"/>
      <c r="T4979" s="11"/>
    </row>
    <row r="4980" spans="8:20" x14ac:dyDescent="0.35">
      <c r="H4980" s="711"/>
      <c r="I4980" s="711"/>
      <c r="J4980" s="711"/>
      <c r="K4980" s="711"/>
      <c r="L4980" s="711"/>
      <c r="Q4980" s="11"/>
      <c r="R4980" s="11"/>
      <c r="S4980" s="11"/>
      <c r="T4980" s="11"/>
    </row>
    <row r="4981" spans="8:20" x14ac:dyDescent="0.35">
      <c r="H4981" s="711"/>
      <c r="I4981" s="711"/>
      <c r="J4981" s="711"/>
      <c r="K4981" s="711"/>
      <c r="L4981" s="711"/>
      <c r="Q4981" s="11"/>
      <c r="R4981" s="11"/>
      <c r="S4981" s="11"/>
      <c r="T4981" s="11"/>
    </row>
    <row r="4982" spans="8:20" x14ac:dyDescent="0.35">
      <c r="H4982" s="711"/>
      <c r="I4982" s="711"/>
      <c r="J4982" s="711"/>
      <c r="K4982" s="711"/>
      <c r="L4982" s="711"/>
      <c r="Q4982" s="11"/>
      <c r="R4982" s="11"/>
      <c r="S4982" s="11"/>
      <c r="T4982" s="11"/>
    </row>
    <row r="4983" spans="8:20" x14ac:dyDescent="0.35">
      <c r="H4983" s="711"/>
      <c r="I4983" s="711"/>
      <c r="J4983" s="711"/>
      <c r="K4983" s="711"/>
      <c r="L4983" s="711"/>
      <c r="Q4983" s="11"/>
      <c r="R4983" s="11"/>
      <c r="S4983" s="11"/>
      <c r="T4983" s="11"/>
    </row>
    <row r="4984" spans="8:20" x14ac:dyDescent="0.35">
      <c r="H4984" s="711"/>
      <c r="I4984" s="711"/>
      <c r="J4984" s="711"/>
      <c r="K4984" s="711"/>
      <c r="L4984" s="711"/>
      <c r="Q4984" s="11"/>
      <c r="R4984" s="11"/>
      <c r="S4984" s="11"/>
      <c r="T4984" s="11"/>
    </row>
    <row r="4985" spans="8:20" x14ac:dyDescent="0.35">
      <c r="H4985" s="711"/>
      <c r="I4985" s="711"/>
      <c r="J4985" s="711"/>
      <c r="K4985" s="711"/>
      <c r="L4985" s="711"/>
      <c r="Q4985" s="11"/>
      <c r="R4985" s="11"/>
      <c r="S4985" s="11"/>
      <c r="T4985" s="11"/>
    </row>
    <row r="4986" spans="8:20" x14ac:dyDescent="0.35">
      <c r="H4986" s="711"/>
      <c r="I4986" s="711"/>
      <c r="J4986" s="711"/>
      <c r="K4986" s="711"/>
      <c r="L4986" s="711"/>
      <c r="Q4986" s="11"/>
      <c r="R4986" s="11"/>
      <c r="S4986" s="11"/>
      <c r="T4986" s="11"/>
    </row>
    <row r="4987" spans="8:20" x14ac:dyDescent="0.35">
      <c r="H4987" s="711"/>
      <c r="I4987" s="711"/>
      <c r="J4987" s="711"/>
      <c r="K4987" s="711"/>
      <c r="L4987" s="711"/>
      <c r="Q4987" s="11"/>
      <c r="R4987" s="11"/>
      <c r="S4987" s="11"/>
      <c r="T4987" s="11"/>
    </row>
    <row r="4988" spans="8:20" x14ac:dyDescent="0.35">
      <c r="H4988" s="711"/>
      <c r="I4988" s="711"/>
      <c r="J4988" s="711"/>
      <c r="K4988" s="711"/>
      <c r="L4988" s="711"/>
      <c r="Q4988" s="11"/>
      <c r="R4988" s="11"/>
      <c r="S4988" s="11"/>
      <c r="T4988" s="11"/>
    </row>
    <row r="4989" spans="8:20" x14ac:dyDescent="0.35">
      <c r="H4989" s="711"/>
      <c r="I4989" s="711"/>
      <c r="J4989" s="711"/>
      <c r="K4989" s="711"/>
      <c r="L4989" s="711"/>
      <c r="Q4989" s="11"/>
      <c r="R4989" s="11"/>
      <c r="S4989" s="11"/>
      <c r="T4989" s="11"/>
    </row>
    <row r="4990" spans="8:20" x14ac:dyDescent="0.35">
      <c r="H4990" s="711"/>
      <c r="I4990" s="711"/>
      <c r="J4990" s="711"/>
      <c r="K4990" s="711"/>
      <c r="L4990" s="711"/>
      <c r="Q4990" s="11"/>
      <c r="R4990" s="11"/>
      <c r="S4990" s="11"/>
      <c r="T4990" s="11"/>
    </row>
    <row r="4991" spans="8:20" x14ac:dyDescent="0.35">
      <c r="H4991" s="711"/>
      <c r="I4991" s="711"/>
      <c r="J4991" s="711"/>
      <c r="K4991" s="711"/>
      <c r="L4991" s="711"/>
      <c r="Q4991" s="11"/>
      <c r="R4991" s="11"/>
      <c r="S4991" s="11"/>
      <c r="T4991" s="11"/>
    </row>
    <row r="4992" spans="8:20" x14ac:dyDescent="0.35">
      <c r="H4992" s="711"/>
      <c r="I4992" s="711"/>
      <c r="J4992" s="711"/>
      <c r="K4992" s="711"/>
      <c r="L4992" s="711"/>
      <c r="Q4992" s="11"/>
      <c r="R4992" s="11"/>
      <c r="S4992" s="11"/>
      <c r="T4992" s="11"/>
    </row>
    <row r="4993" spans="8:20" x14ac:dyDescent="0.35">
      <c r="H4993" s="711"/>
      <c r="I4993" s="711"/>
      <c r="J4993" s="711"/>
      <c r="K4993" s="711"/>
      <c r="L4993" s="711"/>
      <c r="Q4993" s="11"/>
      <c r="R4993" s="11"/>
      <c r="S4993" s="11"/>
      <c r="T4993" s="11"/>
    </row>
    <row r="4994" spans="8:20" x14ac:dyDescent="0.35">
      <c r="H4994" s="711"/>
      <c r="I4994" s="711"/>
      <c r="J4994" s="711"/>
      <c r="K4994" s="711"/>
      <c r="L4994" s="711"/>
      <c r="Q4994" s="11"/>
      <c r="R4994" s="11"/>
      <c r="S4994" s="11"/>
      <c r="T4994" s="11"/>
    </row>
    <row r="4995" spans="8:20" x14ac:dyDescent="0.35">
      <c r="H4995" s="711"/>
      <c r="I4995" s="711"/>
      <c r="J4995" s="711"/>
      <c r="K4995" s="711"/>
      <c r="L4995" s="711"/>
      <c r="Q4995" s="11"/>
      <c r="R4995" s="11"/>
      <c r="S4995" s="11"/>
      <c r="T4995" s="11"/>
    </row>
    <row r="4996" spans="8:20" x14ac:dyDescent="0.35">
      <c r="H4996" s="711"/>
      <c r="I4996" s="711"/>
      <c r="J4996" s="711"/>
      <c r="K4996" s="711"/>
      <c r="L4996" s="711"/>
      <c r="Q4996" s="11"/>
      <c r="R4996" s="11"/>
      <c r="S4996" s="11"/>
      <c r="T4996" s="11"/>
    </row>
    <row r="4997" spans="8:20" x14ac:dyDescent="0.35">
      <c r="H4997" s="711"/>
      <c r="I4997" s="711"/>
      <c r="J4997" s="711"/>
      <c r="K4997" s="711"/>
      <c r="L4997" s="711"/>
      <c r="Q4997" s="11"/>
      <c r="R4997" s="11"/>
      <c r="S4997" s="11"/>
      <c r="T4997" s="11"/>
    </row>
    <row r="4998" spans="8:20" x14ac:dyDescent="0.35">
      <c r="H4998" s="711"/>
      <c r="I4998" s="711"/>
      <c r="J4998" s="711"/>
      <c r="K4998" s="711"/>
      <c r="L4998" s="711"/>
      <c r="Q4998" s="11"/>
      <c r="R4998" s="11"/>
      <c r="S4998" s="11"/>
      <c r="T4998" s="11"/>
    </row>
    <row r="4999" spans="8:20" x14ac:dyDescent="0.35">
      <c r="H4999" s="711"/>
      <c r="I4999" s="711"/>
      <c r="J4999" s="711"/>
      <c r="K4999" s="711"/>
      <c r="L4999" s="711"/>
      <c r="Q4999" s="11"/>
      <c r="R4999" s="11"/>
      <c r="S4999" s="11"/>
      <c r="T4999" s="11"/>
    </row>
    <row r="5000" spans="8:20" x14ac:dyDescent="0.35">
      <c r="H5000" s="711"/>
      <c r="I5000" s="711"/>
      <c r="J5000" s="711"/>
      <c r="K5000" s="711"/>
      <c r="L5000" s="711"/>
      <c r="Q5000" s="11"/>
      <c r="R5000" s="11"/>
      <c r="S5000" s="11"/>
      <c r="T5000" s="11"/>
    </row>
    <row r="5001" spans="8:20" x14ac:dyDescent="0.35">
      <c r="H5001" s="711"/>
      <c r="I5001" s="711"/>
      <c r="J5001" s="711"/>
      <c r="K5001" s="711"/>
      <c r="L5001" s="711"/>
      <c r="Q5001" s="11"/>
      <c r="R5001" s="11"/>
      <c r="S5001" s="11"/>
      <c r="T5001" s="11"/>
    </row>
    <row r="5002" spans="8:20" x14ac:dyDescent="0.35">
      <c r="H5002" s="711"/>
      <c r="I5002" s="711"/>
      <c r="J5002" s="711"/>
      <c r="K5002" s="711"/>
      <c r="L5002" s="711"/>
      <c r="Q5002" s="11"/>
      <c r="R5002" s="11"/>
      <c r="S5002" s="11"/>
      <c r="T5002" s="11"/>
    </row>
    <row r="5003" spans="8:20" x14ac:dyDescent="0.35">
      <c r="H5003" s="711"/>
      <c r="I5003" s="711"/>
      <c r="J5003" s="711"/>
      <c r="K5003" s="711"/>
      <c r="L5003" s="711"/>
      <c r="Q5003" s="11"/>
      <c r="R5003" s="11"/>
      <c r="S5003" s="11"/>
      <c r="T5003" s="11"/>
    </row>
    <row r="5004" spans="8:20" x14ac:dyDescent="0.35">
      <c r="H5004" s="711"/>
      <c r="I5004" s="711"/>
      <c r="J5004" s="711"/>
      <c r="K5004" s="711"/>
      <c r="L5004" s="711"/>
      <c r="Q5004" s="11"/>
      <c r="R5004" s="11"/>
      <c r="S5004" s="11"/>
      <c r="T5004" s="11"/>
    </row>
    <row r="5005" spans="8:20" x14ac:dyDescent="0.35">
      <c r="H5005" s="711"/>
      <c r="I5005" s="711"/>
      <c r="J5005" s="711"/>
      <c r="K5005" s="711"/>
      <c r="L5005" s="711"/>
      <c r="Q5005" s="11"/>
      <c r="R5005" s="11"/>
      <c r="S5005" s="11"/>
      <c r="T5005" s="11"/>
    </row>
    <row r="5006" spans="8:20" x14ac:dyDescent="0.35">
      <c r="H5006" s="711"/>
      <c r="I5006" s="711"/>
      <c r="J5006" s="711"/>
      <c r="K5006" s="711"/>
      <c r="L5006" s="711"/>
      <c r="Q5006" s="11"/>
      <c r="R5006" s="11"/>
      <c r="S5006" s="11"/>
      <c r="T5006" s="11"/>
    </row>
    <row r="5007" spans="8:20" x14ac:dyDescent="0.35">
      <c r="H5007" s="711"/>
      <c r="I5007" s="711"/>
      <c r="J5007" s="711"/>
      <c r="K5007" s="711"/>
      <c r="L5007" s="711"/>
      <c r="Q5007" s="11"/>
      <c r="R5007" s="11"/>
      <c r="S5007" s="11"/>
      <c r="T5007" s="11"/>
    </row>
    <row r="5008" spans="8:20" x14ac:dyDescent="0.35">
      <c r="H5008" s="711"/>
      <c r="I5008" s="711"/>
      <c r="J5008" s="711"/>
      <c r="K5008" s="711"/>
      <c r="L5008" s="711"/>
      <c r="Q5008" s="11"/>
      <c r="R5008" s="11"/>
      <c r="S5008" s="11"/>
      <c r="T5008" s="11"/>
    </row>
    <row r="5009" spans="8:20" x14ac:dyDescent="0.35">
      <c r="H5009" s="711"/>
      <c r="I5009" s="711"/>
      <c r="J5009" s="711"/>
      <c r="K5009" s="711"/>
      <c r="L5009" s="711"/>
      <c r="Q5009" s="11"/>
      <c r="R5009" s="11"/>
      <c r="S5009" s="11"/>
      <c r="T5009" s="11"/>
    </row>
    <row r="5010" spans="8:20" x14ac:dyDescent="0.35">
      <c r="H5010" s="711"/>
      <c r="I5010" s="711"/>
      <c r="J5010" s="711"/>
      <c r="K5010" s="711"/>
      <c r="L5010" s="711"/>
      <c r="Q5010" s="11"/>
      <c r="R5010" s="11"/>
      <c r="S5010" s="11"/>
      <c r="T5010" s="11"/>
    </row>
    <row r="5011" spans="8:20" x14ac:dyDescent="0.35">
      <c r="H5011" s="711"/>
      <c r="I5011" s="711"/>
      <c r="J5011" s="711"/>
      <c r="K5011" s="711"/>
      <c r="L5011" s="711"/>
      <c r="Q5011" s="11"/>
      <c r="R5011" s="11"/>
      <c r="S5011" s="11"/>
      <c r="T5011" s="11"/>
    </row>
    <row r="5012" spans="8:20" x14ac:dyDescent="0.35">
      <c r="H5012" s="711"/>
      <c r="I5012" s="711"/>
      <c r="J5012" s="711"/>
      <c r="K5012" s="711"/>
      <c r="L5012" s="711"/>
      <c r="Q5012" s="11"/>
      <c r="R5012" s="11"/>
      <c r="S5012" s="11"/>
      <c r="T5012" s="11"/>
    </row>
    <row r="5013" spans="8:20" x14ac:dyDescent="0.35">
      <c r="H5013" s="711"/>
      <c r="I5013" s="711"/>
      <c r="J5013" s="711"/>
      <c r="K5013" s="711"/>
      <c r="L5013" s="711"/>
      <c r="Q5013" s="11"/>
      <c r="R5013" s="11"/>
      <c r="S5013" s="11"/>
      <c r="T5013" s="11"/>
    </row>
    <row r="5014" spans="8:20" x14ac:dyDescent="0.35">
      <c r="H5014" s="711"/>
      <c r="I5014" s="711"/>
      <c r="J5014" s="711"/>
      <c r="K5014" s="711"/>
      <c r="L5014" s="711"/>
      <c r="Q5014" s="11"/>
      <c r="R5014" s="11"/>
      <c r="S5014" s="11"/>
      <c r="T5014" s="11"/>
    </row>
    <row r="5015" spans="8:20" x14ac:dyDescent="0.35">
      <c r="H5015" s="711"/>
      <c r="I5015" s="711"/>
      <c r="J5015" s="711"/>
      <c r="K5015" s="711"/>
      <c r="L5015" s="711"/>
      <c r="Q5015" s="11"/>
      <c r="R5015" s="11"/>
      <c r="S5015" s="11"/>
      <c r="T5015" s="11"/>
    </row>
    <row r="5016" spans="8:20" x14ac:dyDescent="0.35">
      <c r="H5016" s="711"/>
      <c r="I5016" s="711"/>
      <c r="J5016" s="711"/>
      <c r="K5016" s="711"/>
      <c r="L5016" s="711"/>
      <c r="Q5016" s="11"/>
      <c r="R5016" s="11"/>
      <c r="S5016" s="11"/>
      <c r="T5016" s="11"/>
    </row>
    <row r="5017" spans="8:20" x14ac:dyDescent="0.35">
      <c r="H5017" s="711"/>
      <c r="I5017" s="711"/>
      <c r="J5017" s="711"/>
      <c r="K5017" s="711"/>
      <c r="L5017" s="711"/>
      <c r="Q5017" s="11"/>
      <c r="R5017" s="11"/>
      <c r="S5017" s="11"/>
      <c r="T5017" s="11"/>
    </row>
    <row r="5018" spans="8:20" x14ac:dyDescent="0.35">
      <c r="H5018" s="711"/>
      <c r="I5018" s="711"/>
      <c r="J5018" s="711"/>
      <c r="K5018" s="711"/>
      <c r="L5018" s="711"/>
      <c r="Q5018" s="11"/>
      <c r="R5018" s="11"/>
      <c r="S5018" s="11"/>
      <c r="T5018" s="11"/>
    </row>
    <row r="5019" spans="8:20" x14ac:dyDescent="0.35">
      <c r="H5019" s="711"/>
      <c r="I5019" s="711"/>
      <c r="J5019" s="711"/>
      <c r="K5019" s="711"/>
      <c r="L5019" s="711"/>
      <c r="Q5019" s="11"/>
      <c r="R5019" s="11"/>
      <c r="S5019" s="11"/>
      <c r="T5019" s="11"/>
    </row>
    <row r="5020" spans="8:20" x14ac:dyDescent="0.35">
      <c r="H5020" s="711"/>
      <c r="I5020" s="711"/>
      <c r="J5020" s="711"/>
      <c r="K5020" s="711"/>
      <c r="L5020" s="711"/>
      <c r="Q5020" s="11"/>
      <c r="R5020" s="11"/>
      <c r="S5020" s="11"/>
      <c r="T5020" s="11"/>
    </row>
    <row r="5021" spans="8:20" x14ac:dyDescent="0.35">
      <c r="H5021" s="711"/>
      <c r="I5021" s="711"/>
      <c r="J5021" s="711"/>
      <c r="K5021" s="711"/>
      <c r="L5021" s="711"/>
      <c r="Q5021" s="11"/>
      <c r="R5021" s="11"/>
      <c r="S5021" s="11"/>
      <c r="T5021" s="11"/>
    </row>
    <row r="5022" spans="8:20" x14ac:dyDescent="0.35">
      <c r="H5022" s="711"/>
      <c r="I5022" s="711"/>
      <c r="J5022" s="711"/>
      <c r="K5022" s="711"/>
      <c r="L5022" s="711"/>
      <c r="Q5022" s="11"/>
      <c r="R5022" s="11"/>
      <c r="S5022" s="11"/>
      <c r="T5022" s="11"/>
    </row>
    <row r="5023" spans="8:20" x14ac:dyDescent="0.35">
      <c r="H5023" s="711"/>
      <c r="I5023" s="711"/>
      <c r="J5023" s="711"/>
      <c r="K5023" s="711"/>
      <c r="L5023" s="711"/>
      <c r="Q5023" s="11"/>
      <c r="R5023" s="11"/>
      <c r="S5023" s="11"/>
      <c r="T5023" s="11"/>
    </row>
    <row r="5024" spans="8:20" x14ac:dyDescent="0.35">
      <c r="H5024" s="711"/>
      <c r="I5024" s="711"/>
      <c r="J5024" s="711"/>
      <c r="K5024" s="711"/>
      <c r="L5024" s="711"/>
      <c r="Q5024" s="11"/>
      <c r="R5024" s="11"/>
      <c r="S5024" s="11"/>
      <c r="T5024" s="11"/>
    </row>
    <row r="5025" spans="8:20" x14ac:dyDescent="0.35">
      <c r="H5025" s="711"/>
      <c r="I5025" s="711"/>
      <c r="J5025" s="711"/>
      <c r="K5025" s="711"/>
      <c r="L5025" s="711"/>
      <c r="Q5025" s="11"/>
      <c r="R5025" s="11"/>
      <c r="S5025" s="11"/>
      <c r="T5025" s="11"/>
    </row>
    <row r="5026" spans="8:20" x14ac:dyDescent="0.35">
      <c r="H5026" s="711"/>
      <c r="I5026" s="711"/>
      <c r="J5026" s="711"/>
      <c r="K5026" s="711"/>
      <c r="L5026" s="711"/>
      <c r="Q5026" s="11"/>
      <c r="R5026" s="11"/>
      <c r="S5026" s="11"/>
      <c r="T5026" s="11"/>
    </row>
    <row r="5027" spans="8:20" x14ac:dyDescent="0.35">
      <c r="H5027" s="711"/>
      <c r="I5027" s="711"/>
      <c r="J5027" s="711"/>
      <c r="K5027" s="711"/>
      <c r="L5027" s="711"/>
      <c r="Q5027" s="11"/>
      <c r="R5027" s="11"/>
      <c r="S5027" s="11"/>
      <c r="T5027" s="11"/>
    </row>
    <row r="5028" spans="8:20" x14ac:dyDescent="0.35">
      <c r="H5028" s="711"/>
      <c r="I5028" s="711"/>
      <c r="J5028" s="711"/>
      <c r="K5028" s="711"/>
      <c r="L5028" s="711"/>
      <c r="Q5028" s="11"/>
      <c r="R5028" s="11"/>
      <c r="S5028" s="11"/>
      <c r="T5028" s="11"/>
    </row>
    <row r="5029" spans="8:20" x14ac:dyDescent="0.35">
      <c r="H5029" s="711"/>
      <c r="I5029" s="711"/>
      <c r="J5029" s="711"/>
      <c r="K5029" s="711"/>
      <c r="L5029" s="711"/>
      <c r="Q5029" s="11"/>
      <c r="R5029" s="11"/>
      <c r="S5029" s="11"/>
      <c r="T5029" s="11"/>
    </row>
    <row r="5030" spans="8:20" x14ac:dyDescent="0.35">
      <c r="H5030" s="711"/>
      <c r="I5030" s="711"/>
      <c r="J5030" s="711"/>
      <c r="K5030" s="711"/>
      <c r="L5030" s="711"/>
      <c r="Q5030" s="11"/>
      <c r="R5030" s="11"/>
      <c r="S5030" s="11"/>
      <c r="T5030" s="11"/>
    </row>
    <row r="5031" spans="8:20" x14ac:dyDescent="0.35">
      <c r="H5031" s="711"/>
      <c r="I5031" s="711"/>
      <c r="J5031" s="711"/>
      <c r="K5031" s="711"/>
      <c r="L5031" s="711"/>
      <c r="Q5031" s="11"/>
      <c r="R5031" s="11"/>
      <c r="S5031" s="11"/>
      <c r="T5031" s="11"/>
    </row>
    <row r="5032" spans="8:20" x14ac:dyDescent="0.35">
      <c r="H5032" s="711"/>
      <c r="I5032" s="711"/>
      <c r="J5032" s="711"/>
      <c r="K5032" s="711"/>
      <c r="L5032" s="711"/>
      <c r="Q5032" s="11"/>
      <c r="R5032" s="11"/>
      <c r="S5032" s="11"/>
      <c r="T5032" s="11"/>
    </row>
    <row r="5033" spans="8:20" x14ac:dyDescent="0.35">
      <c r="H5033" s="711"/>
      <c r="I5033" s="711"/>
      <c r="J5033" s="711"/>
      <c r="K5033" s="711"/>
      <c r="L5033" s="711"/>
      <c r="Q5033" s="11"/>
      <c r="R5033" s="11"/>
      <c r="S5033" s="11"/>
      <c r="T5033" s="11"/>
    </row>
    <row r="5034" spans="8:20" x14ac:dyDescent="0.35">
      <c r="H5034" s="711"/>
      <c r="I5034" s="711"/>
      <c r="J5034" s="711"/>
      <c r="K5034" s="711"/>
      <c r="L5034" s="711"/>
      <c r="Q5034" s="11"/>
      <c r="R5034" s="11"/>
      <c r="S5034" s="11"/>
      <c r="T5034" s="11"/>
    </row>
    <row r="5035" spans="8:20" x14ac:dyDescent="0.35">
      <c r="H5035" s="711"/>
      <c r="I5035" s="711"/>
      <c r="J5035" s="711"/>
      <c r="K5035" s="711"/>
      <c r="L5035" s="711"/>
      <c r="Q5035" s="11"/>
      <c r="R5035" s="11"/>
      <c r="S5035" s="11"/>
      <c r="T5035" s="11"/>
    </row>
    <row r="5036" spans="8:20" x14ac:dyDescent="0.35">
      <c r="H5036" s="711"/>
      <c r="I5036" s="711"/>
      <c r="J5036" s="711"/>
      <c r="K5036" s="711"/>
      <c r="L5036" s="711"/>
      <c r="Q5036" s="11"/>
      <c r="R5036" s="11"/>
      <c r="S5036" s="11"/>
      <c r="T5036" s="11"/>
    </row>
    <row r="5037" spans="8:20" x14ac:dyDescent="0.35">
      <c r="H5037" s="711"/>
      <c r="I5037" s="711"/>
      <c r="J5037" s="711"/>
      <c r="K5037" s="711"/>
      <c r="L5037" s="711"/>
      <c r="Q5037" s="11"/>
      <c r="R5037" s="11"/>
      <c r="S5037" s="11"/>
      <c r="T5037" s="11"/>
    </row>
    <row r="5038" spans="8:20" x14ac:dyDescent="0.35">
      <c r="H5038" s="711"/>
      <c r="I5038" s="711"/>
      <c r="J5038" s="711"/>
      <c r="K5038" s="711"/>
      <c r="L5038" s="711"/>
      <c r="Q5038" s="11"/>
      <c r="R5038" s="11"/>
      <c r="S5038" s="11"/>
      <c r="T5038" s="11"/>
    </row>
    <row r="5039" spans="8:20" x14ac:dyDescent="0.35">
      <c r="H5039" s="711"/>
      <c r="I5039" s="711"/>
      <c r="J5039" s="711"/>
      <c r="K5039" s="711"/>
      <c r="L5039" s="711"/>
      <c r="Q5039" s="11"/>
      <c r="R5039" s="11"/>
      <c r="S5039" s="11"/>
      <c r="T5039" s="11"/>
    </row>
    <row r="5040" spans="8:20" x14ac:dyDescent="0.35">
      <c r="H5040" s="711"/>
      <c r="I5040" s="711"/>
      <c r="J5040" s="711"/>
      <c r="K5040" s="711"/>
      <c r="L5040" s="711"/>
      <c r="Q5040" s="11"/>
      <c r="R5040" s="11"/>
      <c r="S5040" s="11"/>
      <c r="T5040" s="11"/>
    </row>
    <row r="5041" spans="8:20" x14ac:dyDescent="0.35">
      <c r="H5041" s="711"/>
      <c r="I5041" s="711"/>
      <c r="J5041" s="711"/>
      <c r="K5041" s="711"/>
      <c r="L5041" s="711"/>
      <c r="Q5041" s="11"/>
      <c r="R5041" s="11"/>
      <c r="S5041" s="11"/>
      <c r="T5041" s="11"/>
    </row>
    <row r="5042" spans="8:20" x14ac:dyDescent="0.35">
      <c r="H5042" s="711"/>
      <c r="I5042" s="711"/>
      <c r="J5042" s="711"/>
      <c r="K5042" s="711"/>
      <c r="L5042" s="711"/>
      <c r="Q5042" s="11"/>
      <c r="R5042" s="11"/>
      <c r="S5042" s="11"/>
      <c r="T5042" s="11"/>
    </row>
    <row r="5043" spans="8:20" x14ac:dyDescent="0.35">
      <c r="H5043" s="711"/>
      <c r="I5043" s="711"/>
      <c r="J5043" s="711"/>
      <c r="K5043" s="711"/>
      <c r="L5043" s="711"/>
      <c r="Q5043" s="11"/>
      <c r="R5043" s="11"/>
      <c r="S5043" s="11"/>
      <c r="T5043" s="11"/>
    </row>
    <row r="5044" spans="8:20" x14ac:dyDescent="0.35">
      <c r="H5044" s="711"/>
      <c r="I5044" s="711"/>
      <c r="J5044" s="711"/>
      <c r="K5044" s="711"/>
      <c r="L5044" s="711"/>
      <c r="Q5044" s="11"/>
      <c r="R5044" s="11"/>
      <c r="S5044" s="11"/>
      <c r="T5044" s="11"/>
    </row>
    <row r="5045" spans="8:20" x14ac:dyDescent="0.35">
      <c r="H5045" s="711"/>
      <c r="I5045" s="711"/>
      <c r="J5045" s="711"/>
      <c r="K5045" s="711"/>
      <c r="L5045" s="711"/>
      <c r="Q5045" s="11"/>
      <c r="R5045" s="11"/>
      <c r="S5045" s="11"/>
      <c r="T5045" s="11"/>
    </row>
    <row r="5046" spans="8:20" x14ac:dyDescent="0.35">
      <c r="H5046" s="711"/>
      <c r="I5046" s="711"/>
      <c r="J5046" s="711"/>
      <c r="K5046" s="711"/>
      <c r="L5046" s="711"/>
      <c r="Q5046" s="11"/>
      <c r="R5046" s="11"/>
      <c r="S5046" s="11"/>
      <c r="T5046" s="11"/>
    </row>
    <row r="5047" spans="8:20" x14ac:dyDescent="0.35">
      <c r="H5047" s="711"/>
      <c r="I5047" s="711"/>
      <c r="J5047" s="711"/>
      <c r="K5047" s="711"/>
      <c r="L5047" s="711"/>
      <c r="Q5047" s="11"/>
      <c r="R5047" s="11"/>
      <c r="S5047" s="11"/>
      <c r="T5047" s="11"/>
    </row>
    <row r="5048" spans="8:20" x14ac:dyDescent="0.35">
      <c r="H5048" s="711"/>
      <c r="I5048" s="711"/>
      <c r="J5048" s="711"/>
      <c r="K5048" s="711"/>
      <c r="L5048" s="711"/>
      <c r="Q5048" s="11"/>
      <c r="R5048" s="11"/>
      <c r="S5048" s="11"/>
      <c r="T5048" s="11"/>
    </row>
    <row r="5049" spans="8:20" x14ac:dyDescent="0.35">
      <c r="H5049" s="711"/>
      <c r="I5049" s="711"/>
      <c r="J5049" s="711"/>
      <c r="K5049" s="711"/>
      <c r="L5049" s="711"/>
      <c r="Q5049" s="11"/>
      <c r="R5049" s="11"/>
      <c r="S5049" s="11"/>
      <c r="T5049" s="11"/>
    </row>
    <row r="5050" spans="8:20" x14ac:dyDescent="0.35">
      <c r="H5050" s="711"/>
      <c r="I5050" s="711"/>
      <c r="J5050" s="711"/>
      <c r="K5050" s="711"/>
      <c r="L5050" s="711"/>
      <c r="Q5050" s="11"/>
      <c r="R5050" s="11"/>
      <c r="S5050" s="11"/>
      <c r="T5050" s="11"/>
    </row>
    <row r="5051" spans="8:20" x14ac:dyDescent="0.35">
      <c r="H5051" s="711"/>
      <c r="I5051" s="711"/>
      <c r="J5051" s="711"/>
      <c r="K5051" s="711"/>
      <c r="L5051" s="711"/>
      <c r="Q5051" s="11"/>
      <c r="R5051" s="11"/>
      <c r="S5051" s="11"/>
      <c r="T5051" s="11"/>
    </row>
    <row r="5052" spans="8:20" x14ac:dyDescent="0.35">
      <c r="H5052" s="711"/>
      <c r="I5052" s="711"/>
      <c r="J5052" s="711"/>
      <c r="K5052" s="711"/>
      <c r="L5052" s="711"/>
      <c r="Q5052" s="11"/>
      <c r="R5052" s="11"/>
      <c r="S5052" s="11"/>
      <c r="T5052" s="11"/>
    </row>
    <row r="5053" spans="8:20" x14ac:dyDescent="0.35">
      <c r="H5053" s="711"/>
      <c r="I5053" s="711"/>
      <c r="J5053" s="711"/>
      <c r="K5053" s="711"/>
      <c r="L5053" s="711"/>
      <c r="Q5053" s="11"/>
      <c r="R5053" s="11"/>
      <c r="S5053" s="11"/>
      <c r="T5053" s="11"/>
    </row>
    <row r="5054" spans="8:20" x14ac:dyDescent="0.35">
      <c r="H5054" s="711"/>
      <c r="I5054" s="711"/>
      <c r="J5054" s="711"/>
      <c r="K5054" s="711"/>
      <c r="L5054" s="711"/>
      <c r="Q5054" s="11"/>
      <c r="R5054" s="11"/>
      <c r="S5054" s="11"/>
      <c r="T5054" s="11"/>
    </row>
    <row r="5055" spans="8:20" x14ac:dyDescent="0.35">
      <c r="H5055" s="711"/>
      <c r="I5055" s="711"/>
      <c r="J5055" s="711"/>
      <c r="K5055" s="711"/>
      <c r="L5055" s="711"/>
      <c r="Q5055" s="11"/>
      <c r="R5055" s="11"/>
      <c r="S5055" s="11"/>
      <c r="T5055" s="11"/>
    </row>
    <row r="5056" spans="8:20" x14ac:dyDescent="0.35">
      <c r="H5056" s="711"/>
      <c r="I5056" s="711"/>
      <c r="J5056" s="711"/>
      <c r="K5056" s="711"/>
      <c r="L5056" s="711"/>
      <c r="Q5056" s="11"/>
      <c r="R5056" s="11"/>
      <c r="S5056" s="11"/>
      <c r="T5056" s="11"/>
    </row>
    <row r="5057" spans="8:20" x14ac:dyDescent="0.35">
      <c r="H5057" s="711"/>
      <c r="I5057" s="711"/>
      <c r="J5057" s="711"/>
      <c r="K5057" s="711"/>
      <c r="L5057" s="711"/>
      <c r="Q5057" s="11"/>
      <c r="R5057" s="11"/>
      <c r="S5057" s="11"/>
      <c r="T5057" s="11"/>
    </row>
    <row r="5058" spans="8:20" x14ac:dyDescent="0.35">
      <c r="H5058" s="711"/>
      <c r="I5058" s="711"/>
      <c r="J5058" s="711"/>
      <c r="K5058" s="711"/>
      <c r="L5058" s="711"/>
      <c r="Q5058" s="11"/>
      <c r="R5058" s="11"/>
      <c r="S5058" s="11"/>
      <c r="T5058" s="11"/>
    </row>
    <row r="5059" spans="8:20" x14ac:dyDescent="0.35">
      <c r="H5059" s="711"/>
      <c r="I5059" s="711"/>
      <c r="J5059" s="711"/>
      <c r="K5059" s="711"/>
      <c r="L5059" s="711"/>
      <c r="Q5059" s="11"/>
      <c r="R5059" s="11"/>
      <c r="S5059" s="11"/>
      <c r="T5059" s="11"/>
    </row>
    <row r="5060" spans="8:20" x14ac:dyDescent="0.35">
      <c r="H5060" s="711"/>
      <c r="I5060" s="711"/>
      <c r="J5060" s="711"/>
      <c r="K5060" s="711"/>
      <c r="L5060" s="711"/>
      <c r="Q5060" s="11"/>
      <c r="R5060" s="11"/>
      <c r="S5060" s="11"/>
      <c r="T5060" s="11"/>
    </row>
    <row r="5061" spans="8:20" x14ac:dyDescent="0.35">
      <c r="H5061" s="711"/>
      <c r="I5061" s="711"/>
      <c r="J5061" s="711"/>
      <c r="K5061" s="711"/>
      <c r="L5061" s="711"/>
      <c r="Q5061" s="11"/>
      <c r="R5061" s="11"/>
      <c r="S5061" s="11"/>
      <c r="T5061" s="11"/>
    </row>
    <row r="5062" spans="8:20" x14ac:dyDescent="0.35">
      <c r="H5062" s="711"/>
      <c r="I5062" s="711"/>
      <c r="J5062" s="711"/>
      <c r="K5062" s="711"/>
      <c r="L5062" s="711"/>
      <c r="Q5062" s="11"/>
      <c r="R5062" s="11"/>
      <c r="S5062" s="11"/>
      <c r="T5062" s="11"/>
    </row>
    <row r="5063" spans="8:20" x14ac:dyDescent="0.35">
      <c r="H5063" s="711"/>
      <c r="I5063" s="711"/>
      <c r="J5063" s="711"/>
      <c r="K5063" s="711"/>
      <c r="L5063" s="711"/>
      <c r="Q5063" s="11"/>
      <c r="R5063" s="11"/>
      <c r="S5063" s="11"/>
      <c r="T5063" s="11"/>
    </row>
    <row r="5064" spans="8:20" x14ac:dyDescent="0.35">
      <c r="H5064" s="711"/>
      <c r="I5064" s="711"/>
      <c r="J5064" s="711"/>
      <c r="K5064" s="711"/>
      <c r="L5064" s="711"/>
      <c r="Q5064" s="11"/>
      <c r="R5064" s="11"/>
      <c r="S5064" s="11"/>
      <c r="T5064" s="11"/>
    </row>
    <row r="5065" spans="8:20" x14ac:dyDescent="0.35">
      <c r="H5065" s="711"/>
      <c r="I5065" s="711"/>
      <c r="J5065" s="711"/>
      <c r="K5065" s="711"/>
      <c r="L5065" s="711"/>
      <c r="Q5065" s="11"/>
      <c r="R5065" s="11"/>
      <c r="S5065" s="11"/>
      <c r="T5065" s="11"/>
    </row>
    <row r="5066" spans="8:20" x14ac:dyDescent="0.35">
      <c r="H5066" s="711"/>
      <c r="I5066" s="711"/>
      <c r="J5066" s="711"/>
      <c r="K5066" s="711"/>
      <c r="L5066" s="711"/>
      <c r="Q5066" s="11"/>
      <c r="R5066" s="11"/>
      <c r="S5066" s="11"/>
      <c r="T5066" s="11"/>
    </row>
    <row r="5067" spans="8:20" x14ac:dyDescent="0.35">
      <c r="H5067" s="711"/>
      <c r="I5067" s="711"/>
      <c r="J5067" s="711"/>
      <c r="K5067" s="711"/>
      <c r="L5067" s="711"/>
      <c r="Q5067" s="11"/>
      <c r="R5067" s="11"/>
      <c r="S5067" s="11"/>
      <c r="T5067" s="11"/>
    </row>
    <row r="5068" spans="8:20" x14ac:dyDescent="0.35">
      <c r="H5068" s="711"/>
      <c r="I5068" s="711"/>
      <c r="J5068" s="711"/>
      <c r="K5068" s="711"/>
      <c r="L5068" s="711"/>
      <c r="Q5068" s="11"/>
      <c r="R5068" s="11"/>
      <c r="S5068" s="11"/>
      <c r="T5068" s="11"/>
    </row>
    <row r="5069" spans="8:20" x14ac:dyDescent="0.35">
      <c r="H5069" s="711"/>
      <c r="I5069" s="711"/>
      <c r="J5069" s="711"/>
      <c r="K5069" s="711"/>
      <c r="L5069" s="711"/>
      <c r="Q5069" s="11"/>
      <c r="R5069" s="11"/>
      <c r="S5069" s="11"/>
      <c r="T5069" s="11"/>
    </row>
    <row r="5070" spans="8:20" x14ac:dyDescent="0.35">
      <c r="H5070" s="711"/>
      <c r="I5070" s="711"/>
      <c r="J5070" s="711"/>
      <c r="K5070" s="711"/>
      <c r="L5070" s="711"/>
      <c r="Q5070" s="11"/>
      <c r="R5070" s="11"/>
      <c r="S5070" s="11"/>
      <c r="T5070" s="11"/>
    </row>
    <row r="5071" spans="8:20" x14ac:dyDescent="0.35">
      <c r="H5071" s="711"/>
      <c r="I5071" s="711"/>
      <c r="J5071" s="711"/>
      <c r="K5071" s="711"/>
      <c r="L5071" s="711"/>
      <c r="Q5071" s="11"/>
      <c r="R5071" s="11"/>
      <c r="S5071" s="11"/>
      <c r="T5071" s="11"/>
    </row>
    <row r="5072" spans="8:20" x14ac:dyDescent="0.35">
      <c r="H5072" s="711"/>
      <c r="I5072" s="711"/>
      <c r="J5072" s="711"/>
      <c r="K5072" s="711"/>
      <c r="L5072" s="711"/>
      <c r="Q5072" s="11"/>
      <c r="R5072" s="11"/>
      <c r="S5072" s="11"/>
      <c r="T5072" s="11"/>
    </row>
    <row r="5073" spans="8:20" x14ac:dyDescent="0.35">
      <c r="H5073" s="711"/>
      <c r="I5073" s="711"/>
      <c r="J5073" s="711"/>
      <c r="K5073" s="711"/>
      <c r="L5073" s="711"/>
      <c r="Q5073" s="11"/>
      <c r="R5073" s="11"/>
      <c r="S5073" s="11"/>
      <c r="T5073" s="11"/>
    </row>
    <row r="5074" spans="8:20" x14ac:dyDescent="0.35">
      <c r="H5074" s="711"/>
      <c r="I5074" s="711"/>
      <c r="J5074" s="711"/>
      <c r="K5074" s="711"/>
      <c r="L5074" s="711"/>
      <c r="Q5074" s="11"/>
      <c r="R5074" s="11"/>
      <c r="S5074" s="11"/>
      <c r="T5074" s="11"/>
    </row>
    <row r="5075" spans="8:20" x14ac:dyDescent="0.35">
      <c r="H5075" s="711"/>
      <c r="I5075" s="711"/>
      <c r="J5075" s="711"/>
      <c r="K5075" s="711"/>
      <c r="L5075" s="711"/>
      <c r="Q5075" s="11"/>
      <c r="R5075" s="11"/>
      <c r="S5075" s="11"/>
      <c r="T5075" s="11"/>
    </row>
    <row r="5076" spans="8:20" x14ac:dyDescent="0.35">
      <c r="H5076" s="711"/>
      <c r="I5076" s="711"/>
      <c r="J5076" s="711"/>
      <c r="K5076" s="711"/>
      <c r="L5076" s="711"/>
      <c r="Q5076" s="11"/>
      <c r="R5076" s="11"/>
      <c r="S5076" s="11"/>
      <c r="T5076" s="11"/>
    </row>
    <row r="5077" spans="8:20" x14ac:dyDescent="0.35">
      <c r="H5077" s="711"/>
      <c r="I5077" s="711"/>
      <c r="J5077" s="711"/>
      <c r="K5077" s="711"/>
      <c r="L5077" s="711"/>
      <c r="Q5077" s="11"/>
      <c r="R5077" s="11"/>
      <c r="S5077" s="11"/>
      <c r="T5077" s="11"/>
    </row>
    <row r="5078" spans="8:20" x14ac:dyDescent="0.35">
      <c r="H5078" s="711"/>
      <c r="I5078" s="711"/>
      <c r="J5078" s="711"/>
      <c r="K5078" s="711"/>
      <c r="L5078" s="711"/>
      <c r="Q5078" s="11"/>
      <c r="R5078" s="11"/>
      <c r="S5078" s="11"/>
      <c r="T5078" s="11"/>
    </row>
    <row r="5079" spans="8:20" x14ac:dyDescent="0.35">
      <c r="H5079" s="711"/>
      <c r="I5079" s="711"/>
      <c r="J5079" s="711"/>
      <c r="K5079" s="711"/>
      <c r="L5079" s="711"/>
      <c r="Q5079" s="11"/>
      <c r="R5079" s="11"/>
      <c r="S5079" s="11"/>
      <c r="T5079" s="11"/>
    </row>
    <row r="5080" spans="8:20" x14ac:dyDescent="0.35">
      <c r="H5080" s="711"/>
      <c r="I5080" s="711"/>
      <c r="J5080" s="711"/>
      <c r="K5080" s="711"/>
      <c r="L5080" s="711"/>
      <c r="Q5080" s="11"/>
      <c r="R5080" s="11"/>
      <c r="S5080" s="11"/>
      <c r="T5080" s="11"/>
    </row>
    <row r="5081" spans="8:20" x14ac:dyDescent="0.35">
      <c r="H5081" s="711"/>
      <c r="I5081" s="711"/>
      <c r="J5081" s="711"/>
      <c r="K5081" s="711"/>
      <c r="L5081" s="711"/>
      <c r="Q5081" s="11"/>
      <c r="R5081" s="11"/>
      <c r="S5081" s="11"/>
      <c r="T5081" s="11"/>
    </row>
    <row r="5082" spans="8:20" x14ac:dyDescent="0.35">
      <c r="H5082" s="711"/>
      <c r="I5082" s="711"/>
      <c r="J5082" s="711"/>
      <c r="K5082" s="711"/>
      <c r="L5082" s="711"/>
      <c r="Q5082" s="11"/>
      <c r="R5082" s="11"/>
      <c r="S5082" s="11"/>
      <c r="T5082" s="11"/>
    </row>
    <row r="5083" spans="8:20" x14ac:dyDescent="0.35">
      <c r="H5083" s="711"/>
      <c r="I5083" s="711"/>
      <c r="J5083" s="711"/>
      <c r="K5083" s="711"/>
      <c r="L5083" s="711"/>
      <c r="Q5083" s="11"/>
      <c r="R5083" s="11"/>
      <c r="S5083" s="11"/>
      <c r="T5083" s="11"/>
    </row>
    <row r="5084" spans="8:20" x14ac:dyDescent="0.35">
      <c r="H5084" s="711"/>
      <c r="I5084" s="711"/>
      <c r="J5084" s="711"/>
      <c r="K5084" s="711"/>
      <c r="L5084" s="711"/>
      <c r="Q5084" s="11"/>
      <c r="R5084" s="11"/>
      <c r="S5084" s="11"/>
      <c r="T5084" s="11"/>
    </row>
    <row r="5085" spans="8:20" x14ac:dyDescent="0.35">
      <c r="H5085" s="711"/>
      <c r="I5085" s="711"/>
      <c r="J5085" s="711"/>
      <c r="K5085" s="711"/>
      <c r="L5085" s="711"/>
      <c r="Q5085" s="11"/>
      <c r="R5085" s="11"/>
      <c r="S5085" s="11"/>
      <c r="T5085" s="11"/>
    </row>
    <row r="5086" spans="8:20" x14ac:dyDescent="0.35">
      <c r="H5086" s="711"/>
      <c r="I5086" s="711"/>
      <c r="J5086" s="711"/>
      <c r="K5086" s="711"/>
      <c r="L5086" s="711"/>
      <c r="Q5086" s="11"/>
      <c r="R5086" s="11"/>
      <c r="S5086" s="11"/>
      <c r="T5086" s="11"/>
    </row>
    <row r="5087" spans="8:20" x14ac:dyDescent="0.35">
      <c r="H5087" s="711"/>
      <c r="I5087" s="711"/>
      <c r="J5087" s="711"/>
      <c r="K5087" s="711"/>
      <c r="L5087" s="711"/>
      <c r="Q5087" s="11"/>
      <c r="R5087" s="11"/>
      <c r="S5087" s="11"/>
      <c r="T5087" s="11"/>
    </row>
    <row r="5088" spans="8:20" x14ac:dyDescent="0.35">
      <c r="H5088" s="711"/>
      <c r="I5088" s="711"/>
      <c r="J5088" s="711"/>
      <c r="K5088" s="711"/>
      <c r="L5088" s="711"/>
      <c r="Q5088" s="11"/>
      <c r="R5088" s="11"/>
      <c r="S5088" s="11"/>
      <c r="T5088" s="11"/>
    </row>
    <row r="5089" spans="8:20" x14ac:dyDescent="0.35">
      <c r="H5089" s="711"/>
      <c r="I5089" s="711"/>
      <c r="J5089" s="711"/>
      <c r="K5089" s="711"/>
      <c r="L5089" s="711"/>
      <c r="Q5089" s="11"/>
      <c r="R5089" s="11"/>
      <c r="S5089" s="11"/>
      <c r="T5089" s="11"/>
    </row>
    <row r="5090" spans="8:20" x14ac:dyDescent="0.35">
      <c r="H5090" s="711"/>
      <c r="I5090" s="711"/>
      <c r="J5090" s="711"/>
      <c r="K5090" s="711"/>
      <c r="L5090" s="711"/>
      <c r="Q5090" s="11"/>
      <c r="R5090" s="11"/>
      <c r="S5090" s="11"/>
      <c r="T5090" s="11"/>
    </row>
    <row r="5091" spans="8:20" x14ac:dyDescent="0.35">
      <c r="H5091" s="711"/>
      <c r="I5091" s="711"/>
      <c r="J5091" s="711"/>
      <c r="K5091" s="711"/>
      <c r="L5091" s="711"/>
      <c r="Q5091" s="11"/>
      <c r="R5091" s="11"/>
      <c r="S5091" s="11"/>
      <c r="T5091" s="11"/>
    </row>
    <row r="5092" spans="8:20" x14ac:dyDescent="0.35">
      <c r="H5092" s="711"/>
      <c r="I5092" s="711"/>
      <c r="J5092" s="711"/>
      <c r="K5092" s="711"/>
      <c r="L5092" s="711"/>
      <c r="Q5092" s="11"/>
      <c r="R5092" s="11"/>
      <c r="S5092" s="11"/>
      <c r="T5092" s="11"/>
    </row>
    <row r="5093" spans="8:20" x14ac:dyDescent="0.35">
      <c r="H5093" s="711"/>
      <c r="I5093" s="711"/>
      <c r="J5093" s="711"/>
      <c r="K5093" s="711"/>
      <c r="L5093" s="711"/>
      <c r="Q5093" s="11"/>
      <c r="R5093" s="11"/>
      <c r="S5093" s="11"/>
      <c r="T5093" s="11"/>
    </row>
    <row r="5094" spans="8:20" x14ac:dyDescent="0.35">
      <c r="H5094" s="711"/>
      <c r="I5094" s="711"/>
      <c r="J5094" s="711"/>
      <c r="K5094" s="711"/>
      <c r="L5094" s="711"/>
      <c r="Q5094" s="11"/>
      <c r="R5094" s="11"/>
      <c r="S5094" s="11"/>
      <c r="T5094" s="11"/>
    </row>
    <row r="5095" spans="8:20" x14ac:dyDescent="0.35">
      <c r="H5095" s="711"/>
      <c r="I5095" s="711"/>
      <c r="J5095" s="711"/>
      <c r="K5095" s="711"/>
      <c r="L5095" s="711"/>
      <c r="Q5095" s="11"/>
      <c r="R5095" s="11"/>
      <c r="S5095" s="11"/>
      <c r="T5095" s="11"/>
    </row>
    <row r="5096" spans="8:20" x14ac:dyDescent="0.35">
      <c r="H5096" s="711"/>
      <c r="I5096" s="711"/>
      <c r="J5096" s="711"/>
      <c r="K5096" s="711"/>
      <c r="L5096" s="711"/>
      <c r="Q5096" s="11"/>
      <c r="R5096" s="11"/>
      <c r="S5096" s="11"/>
      <c r="T5096" s="11"/>
    </row>
    <row r="5097" spans="8:20" x14ac:dyDescent="0.35">
      <c r="H5097" s="711"/>
      <c r="I5097" s="711"/>
      <c r="J5097" s="711"/>
      <c r="K5097" s="711"/>
      <c r="L5097" s="711"/>
      <c r="Q5097" s="11"/>
      <c r="R5097" s="11"/>
      <c r="S5097" s="11"/>
      <c r="T5097" s="11"/>
    </row>
    <row r="5098" spans="8:20" x14ac:dyDescent="0.35">
      <c r="H5098" s="711"/>
      <c r="I5098" s="711"/>
      <c r="J5098" s="711"/>
      <c r="K5098" s="711"/>
      <c r="L5098" s="711"/>
      <c r="Q5098" s="11"/>
      <c r="R5098" s="11"/>
      <c r="S5098" s="11"/>
      <c r="T5098" s="11"/>
    </row>
    <row r="5099" spans="8:20" x14ac:dyDescent="0.35">
      <c r="H5099" s="711"/>
      <c r="I5099" s="711"/>
      <c r="J5099" s="711"/>
      <c r="K5099" s="711"/>
      <c r="L5099" s="711"/>
      <c r="Q5099" s="11"/>
      <c r="R5099" s="11"/>
      <c r="S5099" s="11"/>
      <c r="T5099" s="11"/>
    </row>
    <row r="5100" spans="8:20" x14ac:dyDescent="0.35">
      <c r="H5100" s="711"/>
      <c r="I5100" s="711"/>
      <c r="J5100" s="711"/>
      <c r="K5100" s="711"/>
      <c r="L5100" s="711"/>
      <c r="Q5100" s="11"/>
      <c r="R5100" s="11"/>
      <c r="S5100" s="11"/>
      <c r="T5100" s="11"/>
    </row>
    <row r="5101" spans="8:20" x14ac:dyDescent="0.35">
      <c r="H5101" s="711"/>
      <c r="I5101" s="711"/>
      <c r="J5101" s="711"/>
      <c r="K5101" s="711"/>
      <c r="L5101" s="711"/>
      <c r="Q5101" s="11"/>
      <c r="R5101" s="11"/>
      <c r="S5101" s="11"/>
      <c r="T5101" s="11"/>
    </row>
    <row r="5102" spans="8:20" x14ac:dyDescent="0.35">
      <c r="H5102" s="711"/>
      <c r="I5102" s="711"/>
      <c r="J5102" s="711"/>
      <c r="K5102" s="711"/>
      <c r="L5102" s="711"/>
      <c r="Q5102" s="11"/>
      <c r="R5102" s="11"/>
      <c r="S5102" s="11"/>
      <c r="T5102" s="11"/>
    </row>
    <row r="5103" spans="8:20" x14ac:dyDescent="0.35">
      <c r="H5103" s="711"/>
      <c r="I5103" s="711"/>
      <c r="J5103" s="711"/>
      <c r="K5103" s="711"/>
      <c r="L5103" s="711"/>
      <c r="Q5103" s="11"/>
      <c r="R5103" s="11"/>
      <c r="S5103" s="11"/>
      <c r="T5103" s="11"/>
    </row>
    <row r="5104" spans="8:20" x14ac:dyDescent="0.35">
      <c r="H5104" s="711"/>
      <c r="I5104" s="711"/>
      <c r="J5104" s="711"/>
      <c r="K5104" s="711"/>
      <c r="L5104" s="711"/>
      <c r="Q5104" s="11"/>
      <c r="R5104" s="11"/>
      <c r="S5104" s="11"/>
      <c r="T5104" s="11"/>
    </row>
    <row r="5105" spans="8:20" x14ac:dyDescent="0.35">
      <c r="H5105" s="711"/>
      <c r="I5105" s="711"/>
      <c r="J5105" s="711"/>
      <c r="K5105" s="711"/>
      <c r="L5105" s="711"/>
      <c r="Q5105" s="11"/>
      <c r="R5105" s="11"/>
      <c r="S5105" s="11"/>
      <c r="T5105" s="11"/>
    </row>
    <row r="5106" spans="8:20" x14ac:dyDescent="0.35">
      <c r="H5106" s="711"/>
      <c r="I5106" s="711"/>
      <c r="J5106" s="711"/>
      <c r="K5106" s="711"/>
      <c r="L5106" s="711"/>
      <c r="Q5106" s="11"/>
      <c r="R5106" s="11"/>
      <c r="S5106" s="11"/>
      <c r="T5106" s="11"/>
    </row>
    <row r="5107" spans="8:20" x14ac:dyDescent="0.35">
      <c r="H5107" s="711"/>
      <c r="I5107" s="711"/>
      <c r="J5107" s="711"/>
      <c r="K5107" s="711"/>
      <c r="L5107" s="711"/>
      <c r="Q5107" s="11"/>
      <c r="R5107" s="11"/>
      <c r="S5107" s="11"/>
      <c r="T5107" s="11"/>
    </row>
    <row r="5108" spans="8:20" x14ac:dyDescent="0.35">
      <c r="H5108" s="711"/>
      <c r="I5108" s="711"/>
      <c r="J5108" s="711"/>
      <c r="K5108" s="711"/>
      <c r="L5108" s="711"/>
      <c r="Q5108" s="11"/>
      <c r="R5108" s="11"/>
      <c r="S5108" s="11"/>
      <c r="T5108" s="11"/>
    </row>
    <row r="5109" spans="8:20" x14ac:dyDescent="0.35">
      <c r="H5109" s="711"/>
      <c r="I5109" s="711"/>
      <c r="J5109" s="711"/>
      <c r="K5109" s="711"/>
      <c r="L5109" s="711"/>
      <c r="Q5109" s="11"/>
      <c r="R5109" s="11"/>
      <c r="S5109" s="11"/>
      <c r="T5109" s="11"/>
    </row>
    <row r="5110" spans="8:20" x14ac:dyDescent="0.35">
      <c r="H5110" s="711"/>
      <c r="I5110" s="711"/>
      <c r="J5110" s="711"/>
      <c r="K5110" s="711"/>
      <c r="L5110" s="711"/>
      <c r="Q5110" s="11"/>
      <c r="R5110" s="11"/>
      <c r="S5110" s="11"/>
      <c r="T5110" s="11"/>
    </row>
    <row r="5111" spans="8:20" x14ac:dyDescent="0.35">
      <c r="H5111" s="711"/>
      <c r="I5111" s="711"/>
      <c r="J5111" s="711"/>
      <c r="K5111" s="711"/>
      <c r="L5111" s="711"/>
      <c r="Q5111" s="11"/>
      <c r="R5111" s="11"/>
      <c r="S5111" s="11"/>
      <c r="T5111" s="11"/>
    </row>
    <row r="5112" spans="8:20" x14ac:dyDescent="0.35">
      <c r="H5112" s="711"/>
      <c r="I5112" s="711"/>
      <c r="J5112" s="711"/>
      <c r="K5112" s="711"/>
      <c r="L5112" s="711"/>
      <c r="Q5112" s="11"/>
      <c r="R5112" s="11"/>
      <c r="S5112" s="11"/>
      <c r="T5112" s="11"/>
    </row>
    <row r="5113" spans="8:20" x14ac:dyDescent="0.35">
      <c r="H5113" s="711"/>
      <c r="I5113" s="711"/>
      <c r="J5113" s="711"/>
      <c r="K5113" s="711"/>
      <c r="L5113" s="711"/>
      <c r="Q5113" s="11"/>
      <c r="R5113" s="11"/>
      <c r="S5113" s="11"/>
      <c r="T5113" s="11"/>
    </row>
    <row r="5114" spans="8:20" x14ac:dyDescent="0.35">
      <c r="H5114" s="711"/>
      <c r="I5114" s="711"/>
      <c r="J5114" s="711"/>
      <c r="K5114" s="711"/>
      <c r="L5114" s="711"/>
      <c r="Q5114" s="11"/>
      <c r="R5114" s="11"/>
      <c r="S5114" s="11"/>
      <c r="T5114" s="11"/>
    </row>
    <row r="5115" spans="8:20" x14ac:dyDescent="0.35">
      <c r="H5115" s="711"/>
      <c r="I5115" s="711"/>
      <c r="J5115" s="711"/>
      <c r="K5115" s="711"/>
      <c r="L5115" s="711"/>
      <c r="Q5115" s="11"/>
      <c r="R5115" s="11"/>
      <c r="S5115" s="11"/>
      <c r="T5115" s="11"/>
    </row>
    <row r="5116" spans="8:20" x14ac:dyDescent="0.35">
      <c r="H5116" s="711"/>
      <c r="I5116" s="711"/>
      <c r="J5116" s="711"/>
      <c r="K5116" s="711"/>
      <c r="L5116" s="711"/>
      <c r="Q5116" s="11"/>
      <c r="R5116" s="11"/>
      <c r="S5116" s="11"/>
      <c r="T5116" s="11"/>
    </row>
    <row r="5117" spans="8:20" x14ac:dyDescent="0.35">
      <c r="H5117" s="711"/>
      <c r="I5117" s="711"/>
      <c r="J5117" s="711"/>
      <c r="K5117" s="711"/>
      <c r="L5117" s="711"/>
      <c r="Q5117" s="11"/>
      <c r="R5117" s="11"/>
      <c r="S5117" s="11"/>
      <c r="T5117" s="11"/>
    </row>
    <row r="5118" spans="8:20" x14ac:dyDescent="0.35">
      <c r="H5118" s="711"/>
      <c r="I5118" s="711"/>
      <c r="J5118" s="711"/>
      <c r="K5118" s="711"/>
      <c r="L5118" s="711"/>
      <c r="Q5118" s="11"/>
      <c r="R5118" s="11"/>
      <c r="S5118" s="11"/>
      <c r="T5118" s="11"/>
    </row>
    <row r="5119" spans="8:20" x14ac:dyDescent="0.35">
      <c r="H5119" s="711"/>
      <c r="I5119" s="711"/>
      <c r="J5119" s="711"/>
      <c r="K5119" s="711"/>
      <c r="L5119" s="711"/>
      <c r="Q5119" s="11"/>
      <c r="R5119" s="11"/>
      <c r="S5119" s="11"/>
      <c r="T5119" s="11"/>
    </row>
    <row r="5120" spans="8:20" x14ac:dyDescent="0.35">
      <c r="H5120" s="711"/>
      <c r="I5120" s="711"/>
      <c r="J5120" s="711"/>
      <c r="K5120" s="711"/>
      <c r="L5120" s="711"/>
      <c r="Q5120" s="11"/>
      <c r="R5120" s="11"/>
      <c r="S5120" s="11"/>
      <c r="T5120" s="11"/>
    </row>
    <row r="5121" spans="8:20" x14ac:dyDescent="0.35">
      <c r="H5121" s="711"/>
      <c r="I5121" s="711"/>
      <c r="J5121" s="711"/>
      <c r="K5121" s="711"/>
      <c r="L5121" s="711"/>
      <c r="Q5121" s="11"/>
      <c r="R5121" s="11"/>
      <c r="S5121" s="11"/>
      <c r="T5121" s="11"/>
    </row>
    <row r="5122" spans="8:20" x14ac:dyDescent="0.35">
      <c r="H5122" s="711"/>
      <c r="I5122" s="711"/>
      <c r="J5122" s="711"/>
      <c r="K5122" s="711"/>
      <c r="L5122" s="711"/>
      <c r="Q5122" s="11"/>
      <c r="R5122" s="11"/>
      <c r="S5122" s="11"/>
      <c r="T5122" s="11"/>
    </row>
    <row r="5123" spans="8:20" x14ac:dyDescent="0.35">
      <c r="H5123" s="711"/>
      <c r="I5123" s="711"/>
      <c r="J5123" s="711"/>
      <c r="K5123" s="711"/>
      <c r="L5123" s="711"/>
      <c r="Q5123" s="11"/>
      <c r="R5123" s="11"/>
      <c r="S5123" s="11"/>
      <c r="T5123" s="11"/>
    </row>
    <row r="5124" spans="8:20" x14ac:dyDescent="0.35">
      <c r="H5124" s="711"/>
      <c r="I5124" s="711"/>
      <c r="J5124" s="711"/>
      <c r="K5124" s="711"/>
      <c r="L5124" s="711"/>
      <c r="Q5124" s="11"/>
      <c r="R5124" s="11"/>
      <c r="S5124" s="11"/>
      <c r="T5124" s="11"/>
    </row>
    <row r="5125" spans="8:20" x14ac:dyDescent="0.35">
      <c r="H5125" s="711"/>
      <c r="I5125" s="711"/>
      <c r="J5125" s="711"/>
      <c r="K5125" s="711"/>
      <c r="L5125" s="711"/>
      <c r="Q5125" s="11"/>
      <c r="R5125" s="11"/>
      <c r="S5125" s="11"/>
      <c r="T5125" s="11"/>
    </row>
    <row r="5126" spans="8:20" x14ac:dyDescent="0.35">
      <c r="H5126" s="711"/>
      <c r="I5126" s="711"/>
      <c r="J5126" s="711"/>
      <c r="K5126" s="711"/>
      <c r="L5126" s="711"/>
      <c r="Q5126" s="11"/>
      <c r="R5126" s="11"/>
      <c r="S5126" s="11"/>
      <c r="T5126" s="11"/>
    </row>
    <row r="5127" spans="8:20" x14ac:dyDescent="0.35">
      <c r="H5127" s="711"/>
      <c r="I5127" s="711"/>
      <c r="J5127" s="711"/>
      <c r="K5127" s="711"/>
      <c r="L5127" s="711"/>
      <c r="Q5127" s="11"/>
      <c r="R5127" s="11"/>
      <c r="S5127" s="11"/>
      <c r="T5127" s="11"/>
    </row>
    <row r="5128" spans="8:20" x14ac:dyDescent="0.35">
      <c r="H5128" s="711"/>
      <c r="I5128" s="711"/>
      <c r="J5128" s="711"/>
      <c r="K5128" s="711"/>
      <c r="L5128" s="711"/>
      <c r="Q5128" s="11"/>
      <c r="R5128" s="11"/>
      <c r="S5128" s="11"/>
      <c r="T5128" s="11"/>
    </row>
    <row r="5129" spans="8:20" x14ac:dyDescent="0.35">
      <c r="H5129" s="711"/>
      <c r="I5129" s="711"/>
      <c r="J5129" s="711"/>
      <c r="K5129" s="711"/>
      <c r="L5129" s="711"/>
      <c r="Q5129" s="11"/>
      <c r="R5129" s="11"/>
      <c r="S5129" s="11"/>
      <c r="T5129" s="11"/>
    </row>
    <row r="5130" spans="8:20" x14ac:dyDescent="0.35">
      <c r="H5130" s="711"/>
      <c r="I5130" s="711"/>
      <c r="J5130" s="711"/>
      <c r="K5130" s="711"/>
      <c r="L5130" s="711"/>
      <c r="Q5130" s="11"/>
      <c r="R5130" s="11"/>
      <c r="S5130" s="11"/>
      <c r="T5130" s="11"/>
    </row>
    <row r="5131" spans="8:20" x14ac:dyDescent="0.35">
      <c r="H5131" s="711"/>
      <c r="I5131" s="711"/>
      <c r="J5131" s="711"/>
      <c r="K5131" s="711"/>
      <c r="L5131" s="711"/>
      <c r="Q5131" s="11"/>
      <c r="R5131" s="11"/>
      <c r="S5131" s="11"/>
      <c r="T5131" s="11"/>
    </row>
    <row r="5132" spans="8:20" x14ac:dyDescent="0.35">
      <c r="H5132" s="711"/>
      <c r="I5132" s="711"/>
      <c r="J5132" s="711"/>
      <c r="K5132" s="711"/>
      <c r="L5132" s="711"/>
      <c r="Q5132" s="11"/>
      <c r="R5132" s="11"/>
      <c r="S5132" s="11"/>
      <c r="T5132" s="11"/>
    </row>
    <row r="5133" spans="8:20" x14ac:dyDescent="0.35">
      <c r="H5133" s="711"/>
      <c r="I5133" s="711"/>
      <c r="J5133" s="711"/>
      <c r="K5133" s="711"/>
      <c r="L5133" s="711"/>
      <c r="Q5133" s="11"/>
      <c r="R5133" s="11"/>
      <c r="S5133" s="11"/>
      <c r="T5133" s="11"/>
    </row>
    <row r="5134" spans="8:20" x14ac:dyDescent="0.35">
      <c r="H5134" s="711"/>
      <c r="I5134" s="711"/>
      <c r="J5134" s="711"/>
      <c r="K5134" s="711"/>
      <c r="L5134" s="711"/>
      <c r="Q5134" s="11"/>
      <c r="R5134" s="11"/>
      <c r="S5134" s="11"/>
      <c r="T5134" s="11"/>
    </row>
    <row r="5135" spans="8:20" x14ac:dyDescent="0.35">
      <c r="H5135" s="711"/>
      <c r="I5135" s="711"/>
      <c r="J5135" s="711"/>
      <c r="K5135" s="711"/>
      <c r="L5135" s="711"/>
      <c r="Q5135" s="11"/>
      <c r="R5135" s="11"/>
      <c r="S5135" s="11"/>
      <c r="T5135" s="11"/>
    </row>
    <row r="5136" spans="8:20" x14ac:dyDescent="0.35">
      <c r="H5136" s="711"/>
      <c r="I5136" s="711"/>
      <c r="J5136" s="711"/>
      <c r="K5136" s="711"/>
      <c r="L5136" s="711"/>
      <c r="Q5136" s="11"/>
      <c r="R5136" s="11"/>
      <c r="S5136" s="11"/>
      <c r="T5136" s="11"/>
    </row>
    <row r="5137" spans="8:20" x14ac:dyDescent="0.35">
      <c r="H5137" s="711"/>
      <c r="I5137" s="711"/>
      <c r="J5137" s="711"/>
      <c r="K5137" s="711"/>
      <c r="L5137" s="711"/>
      <c r="Q5137" s="11"/>
      <c r="R5137" s="11"/>
      <c r="S5137" s="11"/>
      <c r="T5137" s="11"/>
    </row>
    <row r="5138" spans="8:20" x14ac:dyDescent="0.35">
      <c r="H5138" s="711"/>
      <c r="I5138" s="711"/>
      <c r="J5138" s="711"/>
      <c r="K5138" s="711"/>
      <c r="L5138" s="711"/>
      <c r="Q5138" s="11"/>
      <c r="R5138" s="11"/>
      <c r="S5138" s="11"/>
      <c r="T5138" s="11"/>
    </row>
    <row r="5139" spans="8:20" x14ac:dyDescent="0.35">
      <c r="H5139" s="711"/>
      <c r="I5139" s="711"/>
      <c r="J5139" s="711"/>
      <c r="K5139" s="711"/>
      <c r="L5139" s="711"/>
      <c r="Q5139" s="11"/>
      <c r="R5139" s="11"/>
      <c r="S5139" s="11"/>
      <c r="T5139" s="11"/>
    </row>
    <row r="5140" spans="8:20" x14ac:dyDescent="0.35">
      <c r="H5140" s="711"/>
      <c r="I5140" s="711"/>
      <c r="J5140" s="711"/>
      <c r="K5140" s="711"/>
      <c r="L5140" s="711"/>
      <c r="Q5140" s="11"/>
      <c r="R5140" s="11"/>
      <c r="S5140" s="11"/>
      <c r="T5140" s="11"/>
    </row>
    <row r="5141" spans="8:20" x14ac:dyDescent="0.35">
      <c r="H5141" s="711"/>
      <c r="I5141" s="711"/>
      <c r="J5141" s="711"/>
      <c r="K5141" s="711"/>
      <c r="L5141" s="711"/>
      <c r="Q5141" s="11"/>
      <c r="R5141" s="11"/>
      <c r="S5141" s="11"/>
      <c r="T5141" s="11"/>
    </row>
    <row r="5142" spans="8:20" x14ac:dyDescent="0.35">
      <c r="H5142" s="711"/>
      <c r="I5142" s="711"/>
      <c r="J5142" s="711"/>
      <c r="K5142" s="711"/>
      <c r="L5142" s="711"/>
      <c r="Q5142" s="11"/>
      <c r="R5142" s="11"/>
      <c r="S5142" s="11"/>
      <c r="T5142" s="11"/>
    </row>
    <row r="5143" spans="8:20" x14ac:dyDescent="0.35">
      <c r="H5143" s="711"/>
      <c r="I5143" s="711"/>
      <c r="J5143" s="711"/>
      <c r="K5143" s="711"/>
      <c r="L5143" s="711"/>
      <c r="Q5143" s="11"/>
      <c r="R5143" s="11"/>
      <c r="S5143" s="11"/>
      <c r="T5143" s="11"/>
    </row>
    <row r="5144" spans="8:20" x14ac:dyDescent="0.35">
      <c r="H5144" s="711"/>
      <c r="I5144" s="711"/>
      <c r="J5144" s="711"/>
      <c r="K5144" s="711"/>
      <c r="L5144" s="711"/>
      <c r="Q5144" s="11"/>
      <c r="R5144" s="11"/>
      <c r="S5144" s="11"/>
      <c r="T5144" s="11"/>
    </row>
    <row r="5145" spans="8:20" x14ac:dyDescent="0.35">
      <c r="H5145" s="711"/>
      <c r="I5145" s="711"/>
      <c r="J5145" s="711"/>
      <c r="K5145" s="711"/>
      <c r="L5145" s="711"/>
      <c r="Q5145" s="11"/>
      <c r="R5145" s="11"/>
      <c r="S5145" s="11"/>
      <c r="T5145" s="11"/>
    </row>
    <row r="5146" spans="8:20" x14ac:dyDescent="0.35">
      <c r="H5146" s="711"/>
      <c r="I5146" s="711"/>
      <c r="J5146" s="711"/>
      <c r="K5146" s="711"/>
      <c r="L5146" s="711"/>
      <c r="Q5146" s="11"/>
      <c r="R5146" s="11"/>
      <c r="S5146" s="11"/>
      <c r="T5146" s="11"/>
    </row>
    <row r="5147" spans="8:20" x14ac:dyDescent="0.35">
      <c r="H5147" s="711"/>
      <c r="I5147" s="711"/>
      <c r="J5147" s="711"/>
      <c r="K5147" s="711"/>
      <c r="L5147" s="711"/>
      <c r="Q5147" s="11"/>
      <c r="R5147" s="11"/>
      <c r="S5147" s="11"/>
      <c r="T5147" s="11"/>
    </row>
    <row r="5148" spans="8:20" x14ac:dyDescent="0.35">
      <c r="H5148" s="711"/>
      <c r="I5148" s="711"/>
      <c r="J5148" s="711"/>
      <c r="K5148" s="711"/>
      <c r="L5148" s="711"/>
      <c r="Q5148" s="11"/>
      <c r="R5148" s="11"/>
      <c r="S5148" s="11"/>
      <c r="T5148" s="11"/>
    </row>
    <row r="5149" spans="8:20" x14ac:dyDescent="0.35">
      <c r="H5149" s="711"/>
      <c r="I5149" s="711"/>
      <c r="J5149" s="711"/>
      <c r="K5149" s="711"/>
      <c r="L5149" s="711"/>
      <c r="Q5149" s="11"/>
      <c r="R5149" s="11"/>
      <c r="S5149" s="11"/>
      <c r="T5149" s="11"/>
    </row>
    <row r="5150" spans="8:20" x14ac:dyDescent="0.35">
      <c r="H5150" s="711"/>
      <c r="I5150" s="711"/>
      <c r="J5150" s="711"/>
      <c r="K5150" s="711"/>
      <c r="L5150" s="711"/>
      <c r="Q5150" s="11"/>
      <c r="R5150" s="11"/>
      <c r="S5150" s="11"/>
      <c r="T5150" s="11"/>
    </row>
    <row r="5151" spans="8:20" x14ac:dyDescent="0.35">
      <c r="H5151" s="711"/>
      <c r="I5151" s="711"/>
      <c r="J5151" s="711"/>
      <c r="K5151" s="711"/>
      <c r="L5151" s="711"/>
      <c r="Q5151" s="11"/>
      <c r="R5151" s="11"/>
      <c r="S5151" s="11"/>
      <c r="T5151" s="11"/>
    </row>
    <row r="5152" spans="8:20" x14ac:dyDescent="0.35">
      <c r="H5152" s="711"/>
      <c r="I5152" s="711"/>
      <c r="J5152" s="711"/>
      <c r="K5152" s="711"/>
      <c r="L5152" s="711"/>
      <c r="Q5152" s="11"/>
      <c r="R5152" s="11"/>
      <c r="S5152" s="11"/>
      <c r="T5152" s="11"/>
    </row>
    <row r="5153" spans="8:20" x14ac:dyDescent="0.35">
      <c r="H5153" s="711"/>
      <c r="I5153" s="711"/>
      <c r="J5153" s="711"/>
      <c r="K5153" s="711"/>
      <c r="L5153" s="711"/>
      <c r="Q5153" s="11"/>
      <c r="R5153" s="11"/>
      <c r="S5153" s="11"/>
      <c r="T5153" s="11"/>
    </row>
    <row r="5154" spans="8:20" x14ac:dyDescent="0.35">
      <c r="H5154" s="711"/>
      <c r="I5154" s="711"/>
      <c r="J5154" s="711"/>
      <c r="K5154" s="711"/>
      <c r="L5154" s="711"/>
      <c r="Q5154" s="11"/>
      <c r="R5154" s="11"/>
      <c r="S5154" s="11"/>
      <c r="T5154" s="11"/>
    </row>
    <row r="5155" spans="8:20" x14ac:dyDescent="0.35">
      <c r="H5155" s="711"/>
      <c r="I5155" s="711"/>
      <c r="J5155" s="711"/>
      <c r="K5155" s="711"/>
      <c r="L5155" s="711"/>
      <c r="Q5155" s="11"/>
      <c r="R5155" s="11"/>
      <c r="S5155" s="11"/>
      <c r="T5155" s="11"/>
    </row>
    <row r="5156" spans="8:20" x14ac:dyDescent="0.35">
      <c r="H5156" s="711"/>
      <c r="I5156" s="711"/>
      <c r="J5156" s="711"/>
      <c r="K5156" s="711"/>
      <c r="L5156" s="711"/>
      <c r="Q5156" s="11"/>
      <c r="R5156" s="11"/>
      <c r="S5156" s="11"/>
      <c r="T5156" s="11"/>
    </row>
    <row r="5157" spans="8:20" x14ac:dyDescent="0.35">
      <c r="H5157" s="711"/>
      <c r="I5157" s="711"/>
      <c r="J5157" s="711"/>
      <c r="K5157" s="711"/>
      <c r="L5157" s="711"/>
      <c r="Q5157" s="11"/>
      <c r="R5157" s="11"/>
      <c r="S5157" s="11"/>
      <c r="T5157" s="11"/>
    </row>
    <row r="5158" spans="8:20" x14ac:dyDescent="0.35">
      <c r="H5158" s="711"/>
      <c r="I5158" s="711"/>
      <c r="J5158" s="711"/>
      <c r="K5158" s="711"/>
      <c r="L5158" s="711"/>
      <c r="Q5158" s="11"/>
      <c r="R5158" s="11"/>
      <c r="S5158" s="11"/>
      <c r="T5158" s="11"/>
    </row>
    <row r="5159" spans="8:20" x14ac:dyDescent="0.35">
      <c r="H5159" s="711"/>
      <c r="I5159" s="711"/>
      <c r="J5159" s="711"/>
      <c r="K5159" s="711"/>
      <c r="L5159" s="711"/>
      <c r="Q5159" s="11"/>
      <c r="R5159" s="11"/>
      <c r="S5159" s="11"/>
      <c r="T5159" s="11"/>
    </row>
    <row r="5160" spans="8:20" x14ac:dyDescent="0.35">
      <c r="H5160" s="711"/>
      <c r="I5160" s="711"/>
      <c r="J5160" s="711"/>
      <c r="K5160" s="711"/>
      <c r="L5160" s="711"/>
      <c r="Q5160" s="11"/>
      <c r="R5160" s="11"/>
      <c r="S5160" s="11"/>
      <c r="T5160" s="11"/>
    </row>
    <row r="5161" spans="8:20" x14ac:dyDescent="0.35">
      <c r="H5161" s="711"/>
      <c r="I5161" s="711"/>
      <c r="J5161" s="711"/>
      <c r="K5161" s="711"/>
      <c r="L5161" s="711"/>
      <c r="Q5161" s="11"/>
      <c r="R5161" s="11"/>
      <c r="S5161" s="11"/>
      <c r="T5161" s="11"/>
    </row>
    <row r="5162" spans="8:20" x14ac:dyDescent="0.35">
      <c r="H5162" s="711"/>
      <c r="I5162" s="711"/>
      <c r="J5162" s="711"/>
      <c r="K5162" s="711"/>
      <c r="L5162" s="711"/>
      <c r="Q5162" s="11"/>
      <c r="R5162" s="11"/>
      <c r="S5162" s="11"/>
      <c r="T5162" s="11"/>
    </row>
    <row r="5163" spans="8:20" x14ac:dyDescent="0.35">
      <c r="H5163" s="711"/>
      <c r="I5163" s="711"/>
      <c r="J5163" s="711"/>
      <c r="K5163" s="711"/>
      <c r="L5163" s="711"/>
      <c r="Q5163" s="11"/>
      <c r="R5163" s="11"/>
      <c r="S5163" s="11"/>
      <c r="T5163" s="11"/>
    </row>
    <row r="5164" spans="8:20" x14ac:dyDescent="0.35">
      <c r="H5164" s="711"/>
      <c r="I5164" s="711"/>
      <c r="J5164" s="711"/>
      <c r="K5164" s="711"/>
      <c r="L5164" s="711"/>
      <c r="Q5164" s="11"/>
      <c r="R5164" s="11"/>
      <c r="S5164" s="11"/>
      <c r="T5164" s="11"/>
    </row>
    <row r="5165" spans="8:20" x14ac:dyDescent="0.35">
      <c r="H5165" s="711"/>
      <c r="I5165" s="711"/>
      <c r="J5165" s="711"/>
      <c r="K5165" s="711"/>
      <c r="L5165" s="711"/>
      <c r="Q5165" s="11"/>
      <c r="R5165" s="11"/>
      <c r="S5165" s="11"/>
      <c r="T5165" s="11"/>
    </row>
    <row r="5166" spans="8:20" x14ac:dyDescent="0.35">
      <c r="H5166" s="711"/>
      <c r="I5166" s="711"/>
      <c r="J5166" s="711"/>
      <c r="K5166" s="711"/>
      <c r="L5166" s="711"/>
      <c r="Q5166" s="11"/>
      <c r="R5166" s="11"/>
      <c r="S5166" s="11"/>
      <c r="T5166" s="11"/>
    </row>
    <row r="5167" spans="8:20" x14ac:dyDescent="0.35">
      <c r="H5167" s="711"/>
      <c r="I5167" s="711"/>
      <c r="J5167" s="711"/>
      <c r="K5167" s="711"/>
      <c r="L5167" s="711"/>
      <c r="Q5167" s="11"/>
      <c r="R5167" s="11"/>
      <c r="S5167" s="11"/>
      <c r="T5167" s="11"/>
    </row>
    <row r="5168" spans="8:20" x14ac:dyDescent="0.35">
      <c r="H5168" s="711"/>
      <c r="I5168" s="711"/>
      <c r="J5168" s="711"/>
      <c r="K5168" s="711"/>
      <c r="L5168" s="711"/>
      <c r="Q5168" s="11"/>
      <c r="R5168" s="11"/>
      <c r="S5168" s="11"/>
      <c r="T5168" s="11"/>
    </row>
    <row r="5169" spans="8:20" x14ac:dyDescent="0.35">
      <c r="H5169" s="711"/>
      <c r="I5169" s="711"/>
      <c r="J5169" s="711"/>
      <c r="K5169" s="711"/>
      <c r="L5169" s="711"/>
      <c r="Q5169" s="11"/>
      <c r="R5169" s="11"/>
      <c r="S5169" s="11"/>
      <c r="T5169" s="11"/>
    </row>
    <row r="5170" spans="8:20" x14ac:dyDescent="0.35">
      <c r="H5170" s="711"/>
      <c r="I5170" s="711"/>
      <c r="J5170" s="711"/>
      <c r="K5170" s="711"/>
      <c r="L5170" s="711"/>
      <c r="Q5170" s="11"/>
      <c r="R5170" s="11"/>
      <c r="S5170" s="11"/>
      <c r="T5170" s="11"/>
    </row>
    <row r="5171" spans="8:20" x14ac:dyDescent="0.35">
      <c r="H5171" s="711"/>
      <c r="I5171" s="711"/>
      <c r="J5171" s="711"/>
      <c r="K5171" s="711"/>
      <c r="L5171" s="711"/>
      <c r="Q5171" s="11"/>
      <c r="R5171" s="11"/>
      <c r="S5171" s="11"/>
      <c r="T5171" s="11"/>
    </row>
    <row r="5172" spans="8:20" x14ac:dyDescent="0.35">
      <c r="H5172" s="711"/>
      <c r="I5172" s="711"/>
      <c r="J5172" s="711"/>
      <c r="K5172" s="711"/>
      <c r="L5172" s="711"/>
      <c r="Q5172" s="11"/>
      <c r="R5172" s="11"/>
      <c r="S5172" s="11"/>
      <c r="T5172" s="11"/>
    </row>
    <row r="5173" spans="8:20" x14ac:dyDescent="0.35">
      <c r="H5173" s="711"/>
      <c r="I5173" s="711"/>
      <c r="J5173" s="711"/>
      <c r="K5173" s="711"/>
      <c r="L5173" s="711"/>
      <c r="Q5173" s="11"/>
      <c r="R5173" s="11"/>
      <c r="S5173" s="11"/>
      <c r="T5173" s="11"/>
    </row>
    <row r="5174" spans="8:20" x14ac:dyDescent="0.35">
      <c r="H5174" s="711"/>
      <c r="I5174" s="711"/>
      <c r="J5174" s="711"/>
      <c r="K5174" s="711"/>
      <c r="L5174" s="711"/>
      <c r="Q5174" s="11"/>
      <c r="R5174" s="11"/>
      <c r="S5174" s="11"/>
      <c r="T5174" s="11"/>
    </row>
    <row r="5175" spans="8:20" x14ac:dyDescent="0.35">
      <c r="H5175" s="711"/>
      <c r="I5175" s="711"/>
      <c r="J5175" s="711"/>
      <c r="K5175" s="711"/>
      <c r="L5175" s="711"/>
      <c r="Q5175" s="11"/>
      <c r="R5175" s="11"/>
      <c r="S5175" s="11"/>
      <c r="T5175" s="11"/>
    </row>
    <row r="5176" spans="8:20" x14ac:dyDescent="0.35">
      <c r="H5176" s="711"/>
      <c r="I5176" s="711"/>
      <c r="J5176" s="711"/>
      <c r="K5176" s="711"/>
      <c r="L5176" s="711"/>
      <c r="Q5176" s="11"/>
      <c r="R5176" s="11"/>
      <c r="S5176" s="11"/>
      <c r="T5176" s="11"/>
    </row>
    <row r="5177" spans="8:20" x14ac:dyDescent="0.35">
      <c r="H5177" s="711"/>
      <c r="I5177" s="711"/>
      <c r="J5177" s="711"/>
      <c r="K5177" s="711"/>
      <c r="L5177" s="711"/>
      <c r="Q5177" s="11"/>
      <c r="R5177" s="11"/>
      <c r="S5177" s="11"/>
      <c r="T5177" s="11"/>
    </row>
    <row r="5178" spans="8:20" x14ac:dyDescent="0.35">
      <c r="H5178" s="711"/>
      <c r="I5178" s="711"/>
      <c r="J5178" s="711"/>
      <c r="K5178" s="711"/>
      <c r="L5178" s="711"/>
      <c r="Q5178" s="11"/>
      <c r="R5178" s="11"/>
      <c r="S5178" s="11"/>
      <c r="T5178" s="11"/>
    </row>
    <row r="5179" spans="8:20" x14ac:dyDescent="0.35">
      <c r="H5179" s="711"/>
      <c r="I5179" s="711"/>
      <c r="J5179" s="711"/>
      <c r="K5179" s="711"/>
      <c r="L5179" s="711"/>
      <c r="Q5179" s="11"/>
      <c r="R5179" s="11"/>
      <c r="S5179" s="11"/>
      <c r="T5179" s="11"/>
    </row>
    <row r="5180" spans="8:20" x14ac:dyDescent="0.35">
      <c r="H5180" s="711"/>
      <c r="I5180" s="711"/>
      <c r="J5180" s="711"/>
      <c r="K5180" s="711"/>
      <c r="L5180" s="711"/>
      <c r="Q5180" s="11"/>
      <c r="R5180" s="11"/>
      <c r="S5180" s="11"/>
      <c r="T5180" s="11"/>
    </row>
    <row r="5181" spans="8:20" x14ac:dyDescent="0.35">
      <c r="H5181" s="711"/>
      <c r="I5181" s="711"/>
      <c r="J5181" s="711"/>
      <c r="K5181" s="711"/>
      <c r="L5181" s="711"/>
      <c r="Q5181" s="11"/>
      <c r="R5181" s="11"/>
      <c r="S5181" s="11"/>
      <c r="T5181" s="11"/>
    </row>
    <row r="5182" spans="8:20" x14ac:dyDescent="0.35">
      <c r="H5182" s="711"/>
      <c r="I5182" s="711"/>
      <c r="J5182" s="711"/>
      <c r="K5182" s="711"/>
      <c r="L5182" s="711"/>
      <c r="Q5182" s="11"/>
      <c r="R5182" s="11"/>
      <c r="S5182" s="11"/>
      <c r="T5182" s="11"/>
    </row>
    <row r="5183" spans="8:20" x14ac:dyDescent="0.35">
      <c r="H5183" s="711"/>
      <c r="I5183" s="711"/>
      <c r="J5183" s="711"/>
      <c r="K5183" s="711"/>
      <c r="L5183" s="711"/>
      <c r="Q5183" s="11"/>
      <c r="R5183" s="11"/>
      <c r="S5183" s="11"/>
      <c r="T5183" s="11"/>
    </row>
    <row r="5184" spans="8:20" x14ac:dyDescent="0.35">
      <c r="H5184" s="711"/>
      <c r="I5184" s="711"/>
      <c r="J5184" s="711"/>
      <c r="K5184" s="711"/>
      <c r="L5184" s="711"/>
      <c r="Q5184" s="11"/>
      <c r="R5184" s="11"/>
      <c r="S5184" s="11"/>
      <c r="T5184" s="11"/>
    </row>
    <row r="5185" spans="8:20" x14ac:dyDescent="0.35">
      <c r="H5185" s="711"/>
      <c r="I5185" s="711"/>
      <c r="J5185" s="711"/>
      <c r="K5185" s="711"/>
      <c r="L5185" s="711"/>
      <c r="Q5185" s="11"/>
      <c r="R5185" s="11"/>
      <c r="S5185" s="11"/>
      <c r="T5185" s="11"/>
    </row>
    <row r="5186" spans="8:20" x14ac:dyDescent="0.35">
      <c r="H5186" s="711"/>
      <c r="I5186" s="711"/>
      <c r="J5186" s="711"/>
      <c r="K5186" s="711"/>
      <c r="L5186" s="711"/>
      <c r="Q5186" s="11"/>
      <c r="R5186" s="11"/>
      <c r="S5186" s="11"/>
      <c r="T5186" s="11"/>
    </row>
    <row r="5187" spans="8:20" x14ac:dyDescent="0.35">
      <c r="H5187" s="711"/>
      <c r="I5187" s="711"/>
      <c r="J5187" s="711"/>
      <c r="K5187" s="711"/>
      <c r="L5187" s="711"/>
      <c r="Q5187" s="11"/>
      <c r="R5187" s="11"/>
      <c r="S5187" s="11"/>
      <c r="T5187" s="11"/>
    </row>
    <row r="5188" spans="8:20" x14ac:dyDescent="0.35">
      <c r="H5188" s="711"/>
      <c r="I5188" s="711"/>
      <c r="J5188" s="711"/>
      <c r="K5188" s="711"/>
      <c r="L5188" s="711"/>
      <c r="Q5188" s="11"/>
      <c r="R5188" s="11"/>
      <c r="S5188" s="11"/>
      <c r="T5188" s="11"/>
    </row>
    <row r="5189" spans="8:20" x14ac:dyDescent="0.35">
      <c r="H5189" s="711"/>
      <c r="I5189" s="711"/>
      <c r="J5189" s="711"/>
      <c r="K5189" s="711"/>
      <c r="L5189" s="711"/>
      <c r="Q5189" s="11"/>
      <c r="R5189" s="11"/>
      <c r="S5189" s="11"/>
      <c r="T5189" s="11"/>
    </row>
    <row r="5190" spans="8:20" x14ac:dyDescent="0.35">
      <c r="H5190" s="711"/>
      <c r="I5190" s="711"/>
      <c r="J5190" s="711"/>
      <c r="K5190" s="711"/>
      <c r="L5190" s="711"/>
      <c r="Q5190" s="11"/>
      <c r="R5190" s="11"/>
      <c r="S5190" s="11"/>
      <c r="T5190" s="11"/>
    </row>
    <row r="5191" spans="8:20" x14ac:dyDescent="0.35">
      <c r="H5191" s="711"/>
      <c r="I5191" s="711"/>
      <c r="J5191" s="711"/>
      <c r="K5191" s="711"/>
      <c r="L5191" s="711"/>
      <c r="Q5191" s="11"/>
      <c r="R5191" s="11"/>
      <c r="S5191" s="11"/>
      <c r="T5191" s="11"/>
    </row>
    <row r="5192" spans="8:20" x14ac:dyDescent="0.35">
      <c r="H5192" s="711"/>
      <c r="I5192" s="711"/>
      <c r="J5192" s="711"/>
      <c r="K5192" s="711"/>
      <c r="L5192" s="711"/>
      <c r="Q5192" s="11"/>
      <c r="R5192" s="11"/>
      <c r="S5192" s="11"/>
      <c r="T5192" s="11"/>
    </row>
    <row r="5193" spans="8:20" x14ac:dyDescent="0.35">
      <c r="H5193" s="711"/>
      <c r="I5193" s="711"/>
      <c r="J5193" s="711"/>
      <c r="K5193" s="711"/>
      <c r="L5193" s="711"/>
      <c r="Q5193" s="11"/>
      <c r="R5193" s="11"/>
      <c r="S5193" s="11"/>
      <c r="T5193" s="11"/>
    </row>
    <row r="5194" spans="8:20" x14ac:dyDescent="0.35">
      <c r="H5194" s="711"/>
      <c r="I5194" s="711"/>
      <c r="J5194" s="711"/>
      <c r="K5194" s="711"/>
      <c r="L5194" s="711"/>
      <c r="Q5194" s="11"/>
      <c r="R5194" s="11"/>
      <c r="S5194" s="11"/>
      <c r="T5194" s="11"/>
    </row>
    <row r="5195" spans="8:20" x14ac:dyDescent="0.35">
      <c r="H5195" s="711"/>
      <c r="I5195" s="711"/>
      <c r="J5195" s="711"/>
      <c r="K5195" s="711"/>
      <c r="L5195" s="711"/>
      <c r="Q5195" s="11"/>
      <c r="R5195" s="11"/>
      <c r="S5195" s="11"/>
      <c r="T5195" s="11"/>
    </row>
    <row r="5196" spans="8:20" x14ac:dyDescent="0.35">
      <c r="H5196" s="711"/>
      <c r="I5196" s="711"/>
      <c r="J5196" s="711"/>
      <c r="K5196" s="711"/>
      <c r="L5196" s="711"/>
      <c r="Q5196" s="11"/>
      <c r="R5196" s="11"/>
      <c r="S5196" s="11"/>
      <c r="T5196" s="11"/>
    </row>
    <row r="5197" spans="8:20" x14ac:dyDescent="0.35">
      <c r="H5197" s="711"/>
      <c r="I5197" s="711"/>
      <c r="J5197" s="711"/>
      <c r="K5197" s="711"/>
      <c r="L5197" s="711"/>
      <c r="Q5197" s="11"/>
      <c r="R5197" s="11"/>
      <c r="S5197" s="11"/>
      <c r="T5197" s="11"/>
    </row>
    <row r="5198" spans="8:20" x14ac:dyDescent="0.35">
      <c r="H5198" s="711"/>
      <c r="I5198" s="711"/>
      <c r="J5198" s="711"/>
      <c r="K5198" s="711"/>
      <c r="L5198" s="711"/>
      <c r="Q5198" s="11"/>
      <c r="R5198" s="11"/>
      <c r="S5198" s="11"/>
      <c r="T5198" s="11"/>
    </row>
    <row r="5199" spans="8:20" x14ac:dyDescent="0.35">
      <c r="H5199" s="711"/>
      <c r="I5199" s="711"/>
      <c r="J5199" s="711"/>
      <c r="K5199" s="711"/>
      <c r="L5199" s="711"/>
      <c r="Q5199" s="11"/>
      <c r="R5199" s="11"/>
      <c r="S5199" s="11"/>
      <c r="T5199" s="11"/>
    </row>
    <row r="5200" spans="8:20" x14ac:dyDescent="0.35">
      <c r="H5200" s="711"/>
      <c r="I5200" s="711"/>
      <c r="J5200" s="711"/>
      <c r="K5200" s="711"/>
      <c r="L5200" s="711"/>
      <c r="Q5200" s="11"/>
      <c r="R5200" s="11"/>
      <c r="S5200" s="11"/>
      <c r="T5200" s="11"/>
    </row>
    <row r="5201" spans="8:20" x14ac:dyDescent="0.35">
      <c r="H5201" s="711"/>
      <c r="I5201" s="711"/>
      <c r="J5201" s="711"/>
      <c r="K5201" s="711"/>
      <c r="L5201" s="711"/>
      <c r="Q5201" s="11"/>
      <c r="R5201" s="11"/>
      <c r="S5201" s="11"/>
      <c r="T5201" s="11"/>
    </row>
    <row r="5202" spans="8:20" x14ac:dyDescent="0.35">
      <c r="H5202" s="711"/>
      <c r="I5202" s="711"/>
      <c r="J5202" s="711"/>
      <c r="K5202" s="711"/>
      <c r="L5202" s="711"/>
      <c r="Q5202" s="11"/>
      <c r="R5202" s="11"/>
      <c r="S5202" s="11"/>
      <c r="T5202" s="11"/>
    </row>
    <row r="5203" spans="8:20" x14ac:dyDescent="0.35">
      <c r="H5203" s="711"/>
      <c r="I5203" s="711"/>
      <c r="J5203" s="711"/>
      <c r="K5203" s="711"/>
      <c r="L5203" s="711"/>
      <c r="Q5203" s="11"/>
      <c r="R5203" s="11"/>
      <c r="S5203" s="11"/>
      <c r="T5203" s="11"/>
    </row>
    <row r="5204" spans="8:20" x14ac:dyDescent="0.35">
      <c r="H5204" s="711"/>
      <c r="I5204" s="711"/>
      <c r="J5204" s="711"/>
      <c r="K5204" s="711"/>
      <c r="L5204" s="711"/>
      <c r="Q5204" s="11"/>
      <c r="R5204" s="11"/>
      <c r="S5204" s="11"/>
      <c r="T5204" s="11"/>
    </row>
    <row r="5205" spans="8:20" x14ac:dyDescent="0.35">
      <c r="H5205" s="711"/>
      <c r="I5205" s="711"/>
      <c r="J5205" s="711"/>
      <c r="K5205" s="711"/>
      <c r="L5205" s="711"/>
      <c r="Q5205" s="11"/>
      <c r="R5205" s="11"/>
      <c r="S5205" s="11"/>
      <c r="T5205" s="11"/>
    </row>
    <row r="5206" spans="8:20" x14ac:dyDescent="0.35">
      <c r="H5206" s="711"/>
      <c r="I5206" s="711"/>
      <c r="J5206" s="711"/>
      <c r="K5206" s="711"/>
      <c r="L5206" s="711"/>
      <c r="Q5206" s="11"/>
      <c r="R5206" s="11"/>
      <c r="S5206" s="11"/>
      <c r="T5206" s="11"/>
    </row>
    <row r="5207" spans="8:20" x14ac:dyDescent="0.35">
      <c r="H5207" s="711"/>
      <c r="I5207" s="711"/>
      <c r="J5207" s="711"/>
      <c r="K5207" s="711"/>
      <c r="L5207" s="711"/>
      <c r="Q5207" s="11"/>
      <c r="R5207" s="11"/>
      <c r="S5207" s="11"/>
      <c r="T5207" s="11"/>
    </row>
    <row r="5208" spans="8:20" x14ac:dyDescent="0.35">
      <c r="H5208" s="711"/>
      <c r="I5208" s="711"/>
      <c r="J5208" s="711"/>
      <c r="K5208" s="711"/>
      <c r="L5208" s="711"/>
      <c r="Q5208" s="11"/>
      <c r="R5208" s="11"/>
      <c r="S5208" s="11"/>
      <c r="T5208" s="11"/>
    </row>
    <row r="5209" spans="8:20" x14ac:dyDescent="0.35">
      <c r="H5209" s="711"/>
      <c r="I5209" s="711"/>
      <c r="J5209" s="711"/>
      <c r="K5209" s="711"/>
      <c r="L5209" s="711"/>
      <c r="Q5209" s="11"/>
      <c r="R5209" s="11"/>
      <c r="S5209" s="11"/>
      <c r="T5209" s="11"/>
    </row>
    <row r="5210" spans="8:20" x14ac:dyDescent="0.35">
      <c r="H5210" s="711"/>
      <c r="I5210" s="711"/>
      <c r="J5210" s="711"/>
      <c r="K5210" s="711"/>
      <c r="L5210" s="711"/>
      <c r="Q5210" s="11"/>
      <c r="R5210" s="11"/>
      <c r="S5210" s="11"/>
      <c r="T5210" s="11"/>
    </row>
    <row r="5211" spans="8:20" x14ac:dyDescent="0.35">
      <c r="H5211" s="711"/>
      <c r="I5211" s="711"/>
      <c r="J5211" s="711"/>
      <c r="K5211" s="711"/>
      <c r="L5211" s="711"/>
      <c r="Q5211" s="11"/>
      <c r="R5211" s="11"/>
      <c r="S5211" s="11"/>
      <c r="T5211" s="11"/>
    </row>
    <row r="5212" spans="8:20" x14ac:dyDescent="0.35">
      <c r="H5212" s="711"/>
      <c r="I5212" s="711"/>
      <c r="J5212" s="711"/>
      <c r="K5212" s="711"/>
      <c r="L5212" s="711"/>
      <c r="Q5212" s="11"/>
      <c r="R5212" s="11"/>
      <c r="S5212" s="11"/>
      <c r="T5212" s="11"/>
    </row>
    <row r="5213" spans="8:20" x14ac:dyDescent="0.35">
      <c r="H5213" s="711"/>
      <c r="I5213" s="711"/>
      <c r="J5213" s="711"/>
      <c r="K5213" s="711"/>
      <c r="L5213" s="711"/>
      <c r="Q5213" s="11"/>
      <c r="R5213" s="11"/>
      <c r="S5213" s="11"/>
      <c r="T5213" s="11"/>
    </row>
    <row r="5214" spans="8:20" x14ac:dyDescent="0.35">
      <c r="H5214" s="711"/>
      <c r="I5214" s="711"/>
      <c r="J5214" s="711"/>
      <c r="K5214" s="711"/>
      <c r="L5214" s="711"/>
      <c r="Q5214" s="11"/>
      <c r="R5214" s="11"/>
      <c r="S5214" s="11"/>
      <c r="T5214" s="11"/>
    </row>
    <row r="5215" spans="8:20" x14ac:dyDescent="0.35">
      <c r="H5215" s="711"/>
      <c r="I5215" s="711"/>
      <c r="J5215" s="711"/>
      <c r="K5215" s="711"/>
      <c r="L5215" s="711"/>
      <c r="Q5215" s="11"/>
      <c r="R5215" s="11"/>
      <c r="S5215" s="11"/>
      <c r="T5215" s="11"/>
    </row>
    <row r="5216" spans="8:20" x14ac:dyDescent="0.35">
      <c r="H5216" s="711"/>
      <c r="I5216" s="711"/>
      <c r="J5216" s="711"/>
      <c r="K5216" s="711"/>
      <c r="L5216" s="711"/>
      <c r="Q5216" s="11"/>
      <c r="R5216" s="11"/>
      <c r="S5216" s="11"/>
      <c r="T5216" s="11"/>
    </row>
    <row r="5217" spans="8:20" x14ac:dyDescent="0.35">
      <c r="H5217" s="711"/>
      <c r="I5217" s="711"/>
      <c r="J5217" s="711"/>
      <c r="K5217" s="711"/>
      <c r="L5217" s="711"/>
      <c r="Q5217" s="11"/>
      <c r="R5217" s="11"/>
      <c r="S5217" s="11"/>
      <c r="T5217" s="11"/>
    </row>
    <row r="5218" spans="8:20" x14ac:dyDescent="0.35">
      <c r="H5218" s="711"/>
      <c r="I5218" s="711"/>
      <c r="J5218" s="711"/>
      <c r="K5218" s="711"/>
      <c r="L5218" s="711"/>
      <c r="Q5218" s="11"/>
      <c r="R5218" s="11"/>
      <c r="S5218" s="11"/>
      <c r="T5218" s="11"/>
    </row>
    <row r="5219" spans="8:20" x14ac:dyDescent="0.35">
      <c r="H5219" s="711"/>
      <c r="I5219" s="711"/>
      <c r="J5219" s="711"/>
      <c r="K5219" s="711"/>
      <c r="L5219" s="711"/>
      <c r="Q5219" s="11"/>
      <c r="R5219" s="11"/>
      <c r="S5219" s="11"/>
      <c r="T5219" s="11"/>
    </row>
    <row r="5220" spans="8:20" x14ac:dyDescent="0.35">
      <c r="H5220" s="711"/>
      <c r="I5220" s="711"/>
      <c r="J5220" s="711"/>
      <c r="K5220" s="711"/>
      <c r="L5220" s="711"/>
      <c r="Q5220" s="11"/>
      <c r="R5220" s="11"/>
      <c r="S5220" s="11"/>
      <c r="T5220" s="11"/>
    </row>
    <row r="5221" spans="8:20" x14ac:dyDescent="0.35">
      <c r="H5221" s="711"/>
      <c r="I5221" s="711"/>
      <c r="J5221" s="711"/>
      <c r="K5221" s="711"/>
      <c r="L5221" s="711"/>
      <c r="Q5221" s="11"/>
      <c r="R5221" s="11"/>
      <c r="S5221" s="11"/>
      <c r="T5221" s="11"/>
    </row>
    <row r="5222" spans="8:20" x14ac:dyDescent="0.35">
      <c r="H5222" s="711"/>
      <c r="I5222" s="711"/>
      <c r="J5222" s="711"/>
      <c r="K5222" s="711"/>
      <c r="L5222" s="711"/>
      <c r="Q5222" s="11"/>
      <c r="R5222" s="11"/>
      <c r="S5222" s="11"/>
      <c r="T5222" s="11"/>
    </row>
    <row r="5223" spans="8:20" x14ac:dyDescent="0.35">
      <c r="H5223" s="711"/>
      <c r="I5223" s="711"/>
      <c r="J5223" s="711"/>
      <c r="K5223" s="711"/>
      <c r="L5223" s="711"/>
      <c r="Q5223" s="11"/>
      <c r="R5223" s="11"/>
      <c r="S5223" s="11"/>
      <c r="T5223" s="11"/>
    </row>
    <row r="5224" spans="8:20" x14ac:dyDescent="0.35">
      <c r="H5224" s="711"/>
      <c r="I5224" s="711"/>
      <c r="J5224" s="711"/>
      <c r="K5224" s="711"/>
      <c r="L5224" s="711"/>
      <c r="Q5224" s="11"/>
      <c r="R5224" s="11"/>
      <c r="S5224" s="11"/>
      <c r="T5224" s="11"/>
    </row>
    <row r="5225" spans="8:20" x14ac:dyDescent="0.35">
      <c r="H5225" s="711"/>
      <c r="I5225" s="711"/>
      <c r="J5225" s="711"/>
      <c r="K5225" s="711"/>
      <c r="L5225" s="711"/>
      <c r="Q5225" s="11"/>
      <c r="R5225" s="11"/>
      <c r="S5225" s="11"/>
      <c r="T5225" s="11"/>
    </row>
    <row r="5226" spans="8:20" x14ac:dyDescent="0.35">
      <c r="H5226" s="711"/>
      <c r="I5226" s="711"/>
      <c r="J5226" s="711"/>
      <c r="K5226" s="711"/>
      <c r="L5226" s="711"/>
      <c r="Q5226" s="11"/>
      <c r="R5226" s="11"/>
      <c r="S5226" s="11"/>
      <c r="T5226" s="11"/>
    </row>
    <row r="5227" spans="8:20" x14ac:dyDescent="0.35">
      <c r="H5227" s="711"/>
      <c r="I5227" s="711"/>
      <c r="J5227" s="711"/>
      <c r="K5227" s="711"/>
      <c r="L5227" s="711"/>
      <c r="Q5227" s="11"/>
      <c r="R5227" s="11"/>
      <c r="S5227" s="11"/>
      <c r="T5227" s="11"/>
    </row>
    <row r="5228" spans="8:20" x14ac:dyDescent="0.35">
      <c r="H5228" s="711"/>
      <c r="I5228" s="711"/>
      <c r="J5228" s="711"/>
      <c r="K5228" s="711"/>
      <c r="L5228" s="711"/>
      <c r="Q5228" s="11"/>
      <c r="R5228" s="11"/>
      <c r="S5228" s="11"/>
      <c r="T5228" s="11"/>
    </row>
    <row r="5229" spans="8:20" x14ac:dyDescent="0.35">
      <c r="H5229" s="711"/>
      <c r="I5229" s="711"/>
      <c r="J5229" s="711"/>
      <c r="K5229" s="711"/>
      <c r="L5229" s="711"/>
      <c r="Q5229" s="11"/>
      <c r="R5229" s="11"/>
      <c r="S5229" s="11"/>
      <c r="T5229" s="11"/>
    </row>
    <row r="5230" spans="8:20" x14ac:dyDescent="0.35">
      <c r="H5230" s="711"/>
      <c r="I5230" s="711"/>
      <c r="J5230" s="711"/>
      <c r="K5230" s="711"/>
      <c r="L5230" s="711"/>
      <c r="Q5230" s="11"/>
      <c r="R5230" s="11"/>
      <c r="S5230" s="11"/>
      <c r="T5230" s="11"/>
    </row>
    <row r="5231" spans="8:20" x14ac:dyDescent="0.35">
      <c r="H5231" s="711"/>
      <c r="I5231" s="711"/>
      <c r="J5231" s="711"/>
      <c r="K5231" s="711"/>
      <c r="L5231" s="711"/>
      <c r="Q5231" s="11"/>
      <c r="R5231" s="11"/>
      <c r="S5231" s="11"/>
      <c r="T5231" s="11"/>
    </row>
    <row r="5232" spans="8:20" x14ac:dyDescent="0.35">
      <c r="H5232" s="711"/>
      <c r="I5232" s="711"/>
      <c r="J5232" s="711"/>
      <c r="K5232" s="711"/>
      <c r="L5232" s="711"/>
      <c r="Q5232" s="11"/>
      <c r="R5232" s="11"/>
      <c r="S5232" s="11"/>
      <c r="T5232" s="11"/>
    </row>
    <row r="5233" spans="8:20" x14ac:dyDescent="0.35">
      <c r="H5233" s="711"/>
      <c r="I5233" s="711"/>
      <c r="J5233" s="711"/>
      <c r="K5233" s="711"/>
      <c r="L5233" s="711"/>
      <c r="Q5233" s="11"/>
      <c r="R5233" s="11"/>
      <c r="S5233" s="11"/>
      <c r="T5233" s="11"/>
    </row>
    <row r="5234" spans="8:20" x14ac:dyDescent="0.35">
      <c r="H5234" s="711"/>
      <c r="I5234" s="711"/>
      <c r="J5234" s="711"/>
      <c r="K5234" s="711"/>
      <c r="L5234" s="711"/>
      <c r="Q5234" s="11"/>
      <c r="R5234" s="11"/>
      <c r="S5234" s="11"/>
      <c r="T5234" s="11"/>
    </row>
    <row r="5235" spans="8:20" x14ac:dyDescent="0.35">
      <c r="H5235" s="711"/>
      <c r="I5235" s="711"/>
      <c r="J5235" s="711"/>
      <c r="K5235" s="711"/>
      <c r="L5235" s="711"/>
      <c r="Q5235" s="11"/>
      <c r="R5235" s="11"/>
      <c r="S5235" s="11"/>
      <c r="T5235" s="11"/>
    </row>
    <row r="5236" spans="8:20" x14ac:dyDescent="0.35">
      <c r="H5236" s="711"/>
      <c r="I5236" s="711"/>
      <c r="J5236" s="711"/>
      <c r="K5236" s="711"/>
      <c r="L5236" s="711"/>
      <c r="Q5236" s="11"/>
      <c r="R5236" s="11"/>
      <c r="S5236" s="11"/>
      <c r="T5236" s="11"/>
    </row>
    <row r="5237" spans="8:20" x14ac:dyDescent="0.35">
      <c r="H5237" s="711"/>
      <c r="I5237" s="711"/>
      <c r="J5237" s="711"/>
      <c r="K5237" s="711"/>
      <c r="L5237" s="711"/>
      <c r="Q5237" s="11"/>
      <c r="R5237" s="11"/>
      <c r="S5237" s="11"/>
      <c r="T5237" s="11"/>
    </row>
    <row r="5238" spans="8:20" x14ac:dyDescent="0.35">
      <c r="H5238" s="711"/>
      <c r="I5238" s="711"/>
      <c r="J5238" s="711"/>
      <c r="K5238" s="711"/>
      <c r="L5238" s="711"/>
      <c r="Q5238" s="11"/>
      <c r="R5238" s="11"/>
      <c r="S5238" s="11"/>
      <c r="T5238" s="11"/>
    </row>
    <row r="5239" spans="8:20" x14ac:dyDescent="0.35">
      <c r="H5239" s="711"/>
      <c r="I5239" s="711"/>
      <c r="J5239" s="711"/>
      <c r="K5239" s="711"/>
      <c r="L5239" s="711"/>
      <c r="Q5239" s="11"/>
      <c r="R5239" s="11"/>
      <c r="S5239" s="11"/>
      <c r="T5239" s="11"/>
    </row>
    <row r="5240" spans="8:20" x14ac:dyDescent="0.35">
      <c r="H5240" s="711"/>
      <c r="I5240" s="711"/>
      <c r="J5240" s="711"/>
      <c r="K5240" s="711"/>
      <c r="L5240" s="711"/>
      <c r="Q5240" s="11"/>
      <c r="R5240" s="11"/>
      <c r="S5240" s="11"/>
      <c r="T5240" s="11"/>
    </row>
    <row r="5241" spans="8:20" x14ac:dyDescent="0.35">
      <c r="H5241" s="711"/>
      <c r="I5241" s="711"/>
      <c r="J5241" s="711"/>
      <c r="K5241" s="711"/>
      <c r="L5241" s="711"/>
      <c r="Q5241" s="11"/>
      <c r="R5241" s="11"/>
      <c r="S5241" s="11"/>
      <c r="T5241" s="11"/>
    </row>
    <row r="5242" spans="8:20" x14ac:dyDescent="0.35">
      <c r="H5242" s="711"/>
      <c r="I5242" s="711"/>
      <c r="J5242" s="711"/>
      <c r="K5242" s="711"/>
      <c r="L5242" s="711"/>
      <c r="Q5242" s="11"/>
      <c r="R5242" s="11"/>
      <c r="S5242" s="11"/>
      <c r="T5242" s="11"/>
    </row>
    <row r="5243" spans="8:20" x14ac:dyDescent="0.35">
      <c r="H5243" s="711"/>
      <c r="I5243" s="711"/>
      <c r="J5243" s="711"/>
      <c r="K5243" s="711"/>
      <c r="L5243" s="711"/>
      <c r="Q5243" s="11"/>
      <c r="R5243" s="11"/>
      <c r="S5243" s="11"/>
      <c r="T5243" s="11"/>
    </row>
    <row r="5244" spans="8:20" x14ac:dyDescent="0.35">
      <c r="H5244" s="711"/>
      <c r="I5244" s="711"/>
      <c r="J5244" s="711"/>
      <c r="K5244" s="711"/>
      <c r="L5244" s="711"/>
      <c r="Q5244" s="11"/>
      <c r="R5244" s="11"/>
      <c r="S5244" s="11"/>
      <c r="T5244" s="11"/>
    </row>
    <row r="5245" spans="8:20" x14ac:dyDescent="0.35">
      <c r="H5245" s="711"/>
      <c r="I5245" s="711"/>
      <c r="J5245" s="711"/>
      <c r="K5245" s="711"/>
      <c r="L5245" s="711"/>
      <c r="Q5245" s="11"/>
      <c r="R5245" s="11"/>
      <c r="S5245" s="11"/>
      <c r="T5245" s="11"/>
    </row>
    <row r="5246" spans="8:20" x14ac:dyDescent="0.35">
      <c r="H5246" s="711"/>
      <c r="I5246" s="711"/>
      <c r="J5246" s="711"/>
      <c r="K5246" s="711"/>
      <c r="L5246" s="711"/>
      <c r="Q5246" s="11"/>
      <c r="R5246" s="11"/>
      <c r="S5246" s="11"/>
      <c r="T5246" s="11"/>
    </row>
    <row r="5247" spans="8:20" x14ac:dyDescent="0.35">
      <c r="H5247" s="711"/>
      <c r="I5247" s="711"/>
      <c r="J5247" s="711"/>
      <c r="K5247" s="711"/>
      <c r="L5247" s="711"/>
      <c r="Q5247" s="11"/>
      <c r="R5247" s="11"/>
      <c r="S5247" s="11"/>
      <c r="T5247" s="11"/>
    </row>
    <row r="5248" spans="8:20" x14ac:dyDescent="0.35">
      <c r="H5248" s="711"/>
      <c r="I5248" s="711"/>
      <c r="J5248" s="711"/>
      <c r="K5248" s="711"/>
      <c r="L5248" s="711"/>
      <c r="Q5248" s="11"/>
      <c r="R5248" s="11"/>
      <c r="S5248" s="11"/>
      <c r="T5248" s="11"/>
    </row>
    <row r="5249" spans="8:20" x14ac:dyDescent="0.35">
      <c r="H5249" s="711"/>
      <c r="I5249" s="711"/>
      <c r="J5249" s="711"/>
      <c r="K5249" s="711"/>
      <c r="L5249" s="711"/>
      <c r="Q5249" s="11"/>
      <c r="R5249" s="11"/>
      <c r="S5249" s="11"/>
      <c r="T5249" s="11"/>
    </row>
    <row r="5250" spans="8:20" x14ac:dyDescent="0.35">
      <c r="H5250" s="711"/>
      <c r="I5250" s="711"/>
      <c r="J5250" s="711"/>
      <c r="K5250" s="711"/>
      <c r="L5250" s="711"/>
      <c r="Q5250" s="11"/>
      <c r="R5250" s="11"/>
      <c r="S5250" s="11"/>
      <c r="T5250" s="11"/>
    </row>
    <row r="5251" spans="8:20" x14ac:dyDescent="0.35">
      <c r="H5251" s="711"/>
      <c r="I5251" s="711"/>
      <c r="J5251" s="711"/>
      <c r="K5251" s="711"/>
      <c r="L5251" s="711"/>
      <c r="Q5251" s="11"/>
      <c r="R5251" s="11"/>
      <c r="S5251" s="11"/>
      <c r="T5251" s="11"/>
    </row>
    <row r="5252" spans="8:20" x14ac:dyDescent="0.35">
      <c r="H5252" s="711"/>
      <c r="I5252" s="711"/>
      <c r="J5252" s="711"/>
      <c r="K5252" s="711"/>
      <c r="L5252" s="711"/>
      <c r="Q5252" s="11"/>
      <c r="R5252" s="11"/>
      <c r="S5252" s="11"/>
      <c r="T5252" s="11"/>
    </row>
    <row r="5253" spans="8:20" x14ac:dyDescent="0.35">
      <c r="H5253" s="711"/>
      <c r="I5253" s="711"/>
      <c r="J5253" s="711"/>
      <c r="K5253" s="711"/>
      <c r="L5253" s="711"/>
      <c r="Q5253" s="11"/>
      <c r="R5253" s="11"/>
      <c r="S5253" s="11"/>
      <c r="T5253" s="11"/>
    </row>
    <row r="5254" spans="8:20" x14ac:dyDescent="0.35">
      <c r="H5254" s="711"/>
      <c r="I5254" s="711"/>
      <c r="J5254" s="711"/>
      <c r="K5254" s="711"/>
      <c r="L5254" s="711"/>
      <c r="Q5254" s="11"/>
      <c r="R5254" s="11"/>
      <c r="S5254" s="11"/>
      <c r="T5254" s="11"/>
    </row>
    <row r="5255" spans="8:20" x14ac:dyDescent="0.35">
      <c r="H5255" s="711"/>
      <c r="I5255" s="711"/>
      <c r="J5255" s="711"/>
      <c r="K5255" s="711"/>
      <c r="L5255" s="711"/>
      <c r="Q5255" s="11"/>
      <c r="R5255" s="11"/>
      <c r="S5255" s="11"/>
      <c r="T5255" s="11"/>
    </row>
    <row r="5256" spans="8:20" x14ac:dyDescent="0.35">
      <c r="H5256" s="711"/>
      <c r="I5256" s="711"/>
      <c r="J5256" s="711"/>
      <c r="K5256" s="711"/>
      <c r="L5256" s="711"/>
      <c r="Q5256" s="11"/>
      <c r="R5256" s="11"/>
      <c r="S5256" s="11"/>
      <c r="T5256" s="11"/>
    </row>
    <row r="5257" spans="8:20" x14ac:dyDescent="0.35">
      <c r="H5257" s="711"/>
      <c r="I5257" s="711"/>
      <c r="J5257" s="711"/>
      <c r="K5257" s="711"/>
      <c r="L5257" s="711"/>
      <c r="Q5257" s="11"/>
      <c r="R5257" s="11"/>
      <c r="S5257" s="11"/>
      <c r="T5257" s="11"/>
    </row>
    <row r="5258" spans="8:20" x14ac:dyDescent="0.35">
      <c r="H5258" s="711"/>
      <c r="I5258" s="711"/>
      <c r="J5258" s="711"/>
      <c r="K5258" s="711"/>
      <c r="L5258" s="711"/>
      <c r="Q5258" s="11"/>
      <c r="R5258" s="11"/>
      <c r="S5258" s="11"/>
      <c r="T5258" s="11"/>
    </row>
    <row r="5259" spans="8:20" x14ac:dyDescent="0.35">
      <c r="H5259" s="711"/>
      <c r="I5259" s="711"/>
      <c r="J5259" s="711"/>
      <c r="K5259" s="711"/>
      <c r="L5259" s="711"/>
      <c r="Q5259" s="11"/>
      <c r="R5259" s="11"/>
      <c r="S5259" s="11"/>
      <c r="T5259" s="11"/>
    </row>
    <row r="5260" spans="8:20" x14ac:dyDescent="0.35">
      <c r="H5260" s="711"/>
      <c r="I5260" s="711"/>
      <c r="J5260" s="711"/>
      <c r="K5260" s="711"/>
      <c r="L5260" s="711"/>
      <c r="Q5260" s="11"/>
      <c r="R5260" s="11"/>
      <c r="S5260" s="11"/>
      <c r="T5260" s="11"/>
    </row>
    <row r="5261" spans="8:20" x14ac:dyDescent="0.35">
      <c r="H5261" s="711"/>
      <c r="I5261" s="711"/>
      <c r="J5261" s="711"/>
      <c r="K5261" s="711"/>
      <c r="L5261" s="711"/>
      <c r="Q5261" s="11"/>
      <c r="R5261" s="11"/>
      <c r="S5261" s="11"/>
      <c r="T5261" s="11"/>
    </row>
    <row r="5262" spans="8:20" x14ac:dyDescent="0.35">
      <c r="H5262" s="711"/>
      <c r="I5262" s="711"/>
      <c r="J5262" s="711"/>
      <c r="K5262" s="711"/>
      <c r="L5262" s="711"/>
      <c r="Q5262" s="11"/>
      <c r="R5262" s="11"/>
      <c r="S5262" s="11"/>
      <c r="T5262" s="11"/>
    </row>
    <row r="5263" spans="8:20" x14ac:dyDescent="0.35">
      <c r="H5263" s="711"/>
      <c r="I5263" s="711"/>
      <c r="J5263" s="711"/>
      <c r="K5263" s="711"/>
      <c r="L5263" s="711"/>
      <c r="Q5263" s="11"/>
      <c r="R5263" s="11"/>
      <c r="S5263" s="11"/>
      <c r="T5263" s="11"/>
    </row>
    <row r="5264" spans="8:20" x14ac:dyDescent="0.35">
      <c r="H5264" s="711"/>
      <c r="I5264" s="711"/>
      <c r="J5264" s="711"/>
      <c r="K5264" s="711"/>
      <c r="L5264" s="711"/>
      <c r="Q5264" s="11"/>
      <c r="R5264" s="11"/>
      <c r="S5264" s="11"/>
      <c r="T5264" s="11"/>
    </row>
    <row r="5265" spans="8:20" x14ac:dyDescent="0.35">
      <c r="H5265" s="711"/>
      <c r="I5265" s="711"/>
      <c r="J5265" s="711"/>
      <c r="K5265" s="711"/>
      <c r="L5265" s="711"/>
      <c r="Q5265" s="11"/>
      <c r="R5265" s="11"/>
      <c r="S5265" s="11"/>
      <c r="T5265" s="11"/>
    </row>
    <row r="5266" spans="8:20" x14ac:dyDescent="0.35">
      <c r="H5266" s="711"/>
      <c r="I5266" s="711"/>
      <c r="J5266" s="711"/>
      <c r="K5266" s="711"/>
      <c r="L5266" s="711"/>
      <c r="Q5266" s="11"/>
      <c r="R5266" s="11"/>
      <c r="S5266" s="11"/>
      <c r="T5266" s="11"/>
    </row>
    <row r="5267" spans="8:20" x14ac:dyDescent="0.35">
      <c r="H5267" s="711"/>
      <c r="I5267" s="711"/>
      <c r="J5267" s="711"/>
      <c r="K5267" s="711"/>
      <c r="L5267" s="711"/>
      <c r="Q5267" s="11"/>
      <c r="R5267" s="11"/>
      <c r="S5267" s="11"/>
      <c r="T5267" s="11"/>
    </row>
    <row r="5268" spans="8:20" x14ac:dyDescent="0.35">
      <c r="H5268" s="711"/>
      <c r="I5268" s="711"/>
      <c r="J5268" s="711"/>
      <c r="K5268" s="711"/>
      <c r="L5268" s="711"/>
      <c r="Q5268" s="11"/>
      <c r="R5268" s="11"/>
      <c r="S5268" s="11"/>
      <c r="T5268" s="11"/>
    </row>
    <row r="5269" spans="8:20" x14ac:dyDescent="0.35">
      <c r="H5269" s="711"/>
      <c r="I5269" s="711"/>
      <c r="J5269" s="711"/>
      <c r="K5269" s="711"/>
      <c r="L5269" s="711"/>
      <c r="Q5269" s="11"/>
      <c r="R5269" s="11"/>
      <c r="S5269" s="11"/>
      <c r="T5269" s="11"/>
    </row>
    <row r="5270" spans="8:20" x14ac:dyDescent="0.35">
      <c r="H5270" s="711"/>
      <c r="I5270" s="711"/>
      <c r="J5270" s="711"/>
      <c r="K5270" s="711"/>
      <c r="L5270" s="711"/>
      <c r="Q5270" s="11"/>
      <c r="R5270" s="11"/>
      <c r="S5270" s="11"/>
      <c r="T5270" s="11"/>
    </row>
    <row r="5271" spans="8:20" x14ac:dyDescent="0.35">
      <c r="H5271" s="711"/>
      <c r="I5271" s="711"/>
      <c r="J5271" s="711"/>
      <c r="K5271" s="711"/>
      <c r="L5271" s="711"/>
      <c r="Q5271" s="11"/>
      <c r="R5271" s="11"/>
      <c r="S5271" s="11"/>
      <c r="T5271" s="11"/>
    </row>
    <row r="5272" spans="8:20" x14ac:dyDescent="0.35">
      <c r="H5272" s="711"/>
      <c r="I5272" s="711"/>
      <c r="J5272" s="711"/>
      <c r="K5272" s="711"/>
      <c r="L5272" s="711"/>
      <c r="Q5272" s="11"/>
      <c r="R5272" s="11"/>
      <c r="S5272" s="11"/>
      <c r="T5272" s="11"/>
    </row>
    <row r="5273" spans="8:20" x14ac:dyDescent="0.35">
      <c r="H5273" s="711"/>
      <c r="I5273" s="711"/>
      <c r="J5273" s="711"/>
      <c r="K5273" s="711"/>
      <c r="L5273" s="711"/>
      <c r="Q5273" s="11"/>
      <c r="R5273" s="11"/>
      <c r="S5273" s="11"/>
      <c r="T5273" s="11"/>
    </row>
    <row r="5274" spans="8:20" x14ac:dyDescent="0.35">
      <c r="H5274" s="711"/>
      <c r="I5274" s="711"/>
      <c r="J5274" s="711"/>
      <c r="K5274" s="711"/>
      <c r="L5274" s="711"/>
      <c r="Q5274" s="11"/>
      <c r="R5274" s="11"/>
      <c r="S5274" s="11"/>
      <c r="T5274" s="11"/>
    </row>
    <row r="5275" spans="8:20" x14ac:dyDescent="0.35">
      <c r="H5275" s="711"/>
      <c r="I5275" s="711"/>
      <c r="J5275" s="711"/>
      <c r="K5275" s="711"/>
      <c r="L5275" s="711"/>
      <c r="Q5275" s="11"/>
      <c r="R5275" s="11"/>
      <c r="S5275" s="11"/>
      <c r="T5275" s="11"/>
    </row>
    <row r="5276" spans="8:20" x14ac:dyDescent="0.35">
      <c r="H5276" s="711"/>
      <c r="I5276" s="711"/>
      <c r="J5276" s="711"/>
      <c r="K5276" s="711"/>
      <c r="L5276" s="711"/>
      <c r="Q5276" s="11"/>
      <c r="R5276" s="11"/>
      <c r="S5276" s="11"/>
      <c r="T5276" s="11"/>
    </row>
    <row r="5277" spans="8:20" x14ac:dyDescent="0.35">
      <c r="H5277" s="711"/>
      <c r="I5277" s="711"/>
      <c r="J5277" s="711"/>
      <c r="K5277" s="711"/>
      <c r="L5277" s="711"/>
      <c r="Q5277" s="11"/>
      <c r="R5277" s="11"/>
      <c r="S5277" s="11"/>
      <c r="T5277" s="11"/>
    </row>
    <row r="5278" spans="8:20" x14ac:dyDescent="0.35">
      <c r="H5278" s="711"/>
      <c r="I5278" s="711"/>
      <c r="J5278" s="711"/>
      <c r="K5278" s="711"/>
      <c r="L5278" s="711"/>
      <c r="Q5278" s="11"/>
      <c r="R5278" s="11"/>
      <c r="S5278" s="11"/>
      <c r="T5278" s="11"/>
    </row>
    <row r="5279" spans="8:20" x14ac:dyDescent="0.35">
      <c r="H5279" s="711"/>
      <c r="I5279" s="711"/>
      <c r="J5279" s="711"/>
      <c r="K5279" s="711"/>
      <c r="L5279" s="711"/>
      <c r="Q5279" s="11"/>
      <c r="R5279" s="11"/>
      <c r="S5279" s="11"/>
      <c r="T5279" s="11"/>
    </row>
    <row r="5280" spans="8:20" x14ac:dyDescent="0.35">
      <c r="H5280" s="711"/>
      <c r="I5280" s="711"/>
      <c r="J5280" s="711"/>
      <c r="K5280" s="711"/>
      <c r="L5280" s="711"/>
      <c r="Q5280" s="11"/>
      <c r="R5280" s="11"/>
      <c r="S5280" s="11"/>
      <c r="T5280" s="11"/>
    </row>
    <row r="5281" spans="8:20" x14ac:dyDescent="0.35">
      <c r="H5281" s="711"/>
      <c r="I5281" s="711"/>
      <c r="J5281" s="711"/>
      <c r="K5281" s="711"/>
      <c r="L5281" s="711"/>
      <c r="Q5281" s="11"/>
      <c r="R5281" s="11"/>
      <c r="S5281" s="11"/>
      <c r="T5281" s="11"/>
    </row>
    <row r="5282" spans="8:20" x14ac:dyDescent="0.35">
      <c r="H5282" s="711"/>
      <c r="I5282" s="711"/>
      <c r="J5282" s="711"/>
      <c r="K5282" s="711"/>
      <c r="L5282" s="711"/>
      <c r="Q5282" s="11"/>
      <c r="R5282" s="11"/>
      <c r="S5282" s="11"/>
      <c r="T5282" s="11"/>
    </row>
    <row r="5283" spans="8:20" x14ac:dyDescent="0.35">
      <c r="H5283" s="711"/>
      <c r="I5283" s="711"/>
      <c r="J5283" s="711"/>
      <c r="K5283" s="711"/>
      <c r="L5283" s="711"/>
      <c r="Q5283" s="11"/>
      <c r="R5283" s="11"/>
      <c r="S5283" s="11"/>
      <c r="T5283" s="11"/>
    </row>
    <row r="5284" spans="8:20" x14ac:dyDescent="0.35">
      <c r="H5284" s="711"/>
      <c r="I5284" s="711"/>
      <c r="J5284" s="711"/>
      <c r="K5284" s="711"/>
      <c r="L5284" s="711"/>
      <c r="Q5284" s="11"/>
      <c r="R5284" s="11"/>
      <c r="S5284" s="11"/>
      <c r="T5284" s="11"/>
    </row>
    <row r="5285" spans="8:20" x14ac:dyDescent="0.35">
      <c r="H5285" s="711"/>
      <c r="I5285" s="711"/>
      <c r="J5285" s="711"/>
      <c r="K5285" s="711"/>
      <c r="L5285" s="711"/>
      <c r="Q5285" s="11"/>
      <c r="R5285" s="11"/>
      <c r="S5285" s="11"/>
      <c r="T5285" s="11"/>
    </row>
    <row r="5286" spans="8:20" x14ac:dyDescent="0.35">
      <c r="H5286" s="711"/>
      <c r="I5286" s="711"/>
      <c r="J5286" s="711"/>
      <c r="K5286" s="711"/>
      <c r="L5286" s="711"/>
      <c r="Q5286" s="11"/>
      <c r="R5286" s="11"/>
      <c r="S5286" s="11"/>
      <c r="T5286" s="11"/>
    </row>
    <row r="5287" spans="8:20" x14ac:dyDescent="0.35">
      <c r="H5287" s="711"/>
      <c r="I5287" s="711"/>
      <c r="J5287" s="711"/>
      <c r="K5287" s="711"/>
      <c r="L5287" s="711"/>
      <c r="Q5287" s="11"/>
      <c r="R5287" s="11"/>
      <c r="S5287" s="11"/>
      <c r="T5287" s="11"/>
    </row>
    <row r="5288" spans="8:20" x14ac:dyDescent="0.35">
      <c r="H5288" s="711"/>
      <c r="I5288" s="711"/>
      <c r="J5288" s="711"/>
      <c r="K5288" s="711"/>
      <c r="L5288" s="711"/>
      <c r="Q5288" s="11"/>
      <c r="R5288" s="11"/>
      <c r="S5288" s="11"/>
      <c r="T5288" s="11"/>
    </row>
    <row r="5289" spans="8:20" x14ac:dyDescent="0.35">
      <c r="H5289" s="711"/>
      <c r="I5289" s="711"/>
      <c r="J5289" s="711"/>
      <c r="K5289" s="711"/>
      <c r="L5289" s="711"/>
      <c r="Q5289" s="11"/>
      <c r="R5289" s="11"/>
      <c r="S5289" s="11"/>
      <c r="T5289" s="11"/>
    </row>
    <row r="5290" spans="8:20" x14ac:dyDescent="0.35">
      <c r="H5290" s="711"/>
      <c r="I5290" s="711"/>
      <c r="J5290" s="711"/>
      <c r="K5290" s="711"/>
      <c r="L5290" s="711"/>
      <c r="Q5290" s="11"/>
      <c r="R5290" s="11"/>
      <c r="S5290" s="11"/>
      <c r="T5290" s="11"/>
    </row>
    <row r="5291" spans="8:20" x14ac:dyDescent="0.35">
      <c r="H5291" s="711"/>
      <c r="I5291" s="711"/>
      <c r="J5291" s="711"/>
      <c r="K5291" s="711"/>
      <c r="L5291" s="711"/>
      <c r="Q5291" s="11"/>
      <c r="R5291" s="11"/>
      <c r="S5291" s="11"/>
      <c r="T5291" s="11"/>
    </row>
    <row r="5292" spans="8:20" x14ac:dyDescent="0.35">
      <c r="H5292" s="711"/>
      <c r="I5292" s="711"/>
      <c r="J5292" s="711"/>
      <c r="K5292" s="711"/>
      <c r="L5292" s="711"/>
      <c r="Q5292" s="11"/>
      <c r="R5292" s="11"/>
      <c r="S5292" s="11"/>
      <c r="T5292" s="11"/>
    </row>
    <row r="5293" spans="8:20" x14ac:dyDescent="0.35">
      <c r="H5293" s="711"/>
      <c r="I5293" s="711"/>
      <c r="J5293" s="711"/>
      <c r="K5293" s="711"/>
      <c r="L5293" s="711"/>
      <c r="Q5293" s="11"/>
      <c r="R5293" s="11"/>
      <c r="S5293" s="11"/>
      <c r="T5293" s="11"/>
    </row>
    <row r="5294" spans="8:20" x14ac:dyDescent="0.35">
      <c r="H5294" s="711"/>
      <c r="I5294" s="711"/>
      <c r="J5294" s="711"/>
      <c r="K5294" s="711"/>
      <c r="L5294" s="711"/>
      <c r="Q5294" s="11"/>
      <c r="R5294" s="11"/>
      <c r="S5294" s="11"/>
      <c r="T5294" s="11"/>
    </row>
    <row r="5295" spans="8:20" x14ac:dyDescent="0.35">
      <c r="H5295" s="711"/>
      <c r="I5295" s="711"/>
      <c r="J5295" s="711"/>
      <c r="K5295" s="711"/>
      <c r="L5295" s="711"/>
      <c r="Q5295" s="11"/>
      <c r="R5295" s="11"/>
      <c r="S5295" s="11"/>
      <c r="T5295" s="11"/>
    </row>
    <row r="5296" spans="8:20" x14ac:dyDescent="0.35">
      <c r="H5296" s="711"/>
      <c r="I5296" s="711"/>
      <c r="J5296" s="711"/>
      <c r="K5296" s="711"/>
      <c r="L5296" s="711"/>
      <c r="Q5296" s="11"/>
      <c r="R5296" s="11"/>
      <c r="S5296" s="11"/>
      <c r="T5296" s="11"/>
    </row>
    <row r="5297" spans="8:20" x14ac:dyDescent="0.35">
      <c r="H5297" s="711"/>
      <c r="I5297" s="711"/>
      <c r="J5297" s="711"/>
      <c r="K5297" s="711"/>
      <c r="L5297" s="711"/>
      <c r="Q5297" s="11"/>
      <c r="R5297" s="11"/>
      <c r="S5297" s="11"/>
      <c r="T5297" s="11"/>
    </row>
    <row r="5298" spans="8:20" x14ac:dyDescent="0.35">
      <c r="H5298" s="711"/>
      <c r="I5298" s="711"/>
      <c r="J5298" s="711"/>
      <c r="K5298" s="711"/>
      <c r="L5298" s="711"/>
      <c r="Q5298" s="11"/>
      <c r="R5298" s="11"/>
      <c r="S5298" s="11"/>
      <c r="T5298" s="11"/>
    </row>
    <row r="5299" spans="8:20" x14ac:dyDescent="0.35">
      <c r="H5299" s="711"/>
      <c r="I5299" s="711"/>
      <c r="J5299" s="711"/>
      <c r="K5299" s="711"/>
      <c r="L5299" s="711"/>
      <c r="Q5299" s="11"/>
      <c r="R5299" s="11"/>
      <c r="S5299" s="11"/>
      <c r="T5299" s="11"/>
    </row>
    <row r="5300" spans="8:20" x14ac:dyDescent="0.35">
      <c r="H5300" s="711"/>
      <c r="I5300" s="711"/>
      <c r="J5300" s="711"/>
      <c r="K5300" s="711"/>
      <c r="L5300" s="711"/>
      <c r="Q5300" s="11"/>
      <c r="R5300" s="11"/>
      <c r="S5300" s="11"/>
      <c r="T5300" s="11"/>
    </row>
    <row r="5301" spans="8:20" x14ac:dyDescent="0.35">
      <c r="H5301" s="711"/>
      <c r="I5301" s="711"/>
      <c r="J5301" s="711"/>
      <c r="K5301" s="711"/>
      <c r="L5301" s="711"/>
      <c r="Q5301" s="11"/>
      <c r="R5301" s="11"/>
      <c r="S5301" s="11"/>
      <c r="T5301" s="11"/>
    </row>
    <row r="5302" spans="8:20" x14ac:dyDescent="0.35">
      <c r="H5302" s="711"/>
      <c r="I5302" s="711"/>
      <c r="J5302" s="711"/>
      <c r="K5302" s="711"/>
      <c r="L5302" s="711"/>
      <c r="Q5302" s="11"/>
      <c r="R5302" s="11"/>
      <c r="S5302" s="11"/>
      <c r="T5302" s="11"/>
    </row>
    <row r="5303" spans="8:20" x14ac:dyDescent="0.35">
      <c r="H5303" s="711"/>
      <c r="I5303" s="711"/>
      <c r="J5303" s="711"/>
      <c r="K5303" s="711"/>
      <c r="L5303" s="711"/>
      <c r="Q5303" s="11"/>
      <c r="R5303" s="11"/>
      <c r="S5303" s="11"/>
      <c r="T5303" s="11"/>
    </row>
    <row r="5304" spans="8:20" x14ac:dyDescent="0.35">
      <c r="H5304" s="711"/>
      <c r="I5304" s="711"/>
      <c r="J5304" s="711"/>
      <c r="K5304" s="711"/>
      <c r="L5304" s="711"/>
      <c r="Q5304" s="11"/>
      <c r="R5304" s="11"/>
      <c r="S5304" s="11"/>
      <c r="T5304" s="11"/>
    </row>
    <row r="5305" spans="8:20" x14ac:dyDescent="0.35">
      <c r="H5305" s="711"/>
      <c r="I5305" s="711"/>
      <c r="J5305" s="711"/>
      <c r="K5305" s="711"/>
      <c r="L5305" s="711"/>
      <c r="Q5305" s="11"/>
      <c r="R5305" s="11"/>
      <c r="S5305" s="11"/>
      <c r="T5305" s="11"/>
    </row>
    <row r="5306" spans="8:20" x14ac:dyDescent="0.35">
      <c r="H5306" s="711"/>
      <c r="I5306" s="711"/>
      <c r="J5306" s="711"/>
      <c r="K5306" s="711"/>
      <c r="L5306" s="711"/>
      <c r="Q5306" s="11"/>
      <c r="R5306" s="11"/>
      <c r="S5306" s="11"/>
      <c r="T5306" s="11"/>
    </row>
    <row r="5307" spans="8:20" x14ac:dyDescent="0.35">
      <c r="H5307" s="711"/>
      <c r="I5307" s="711"/>
      <c r="J5307" s="711"/>
      <c r="K5307" s="711"/>
      <c r="L5307" s="711"/>
      <c r="Q5307" s="11"/>
      <c r="R5307" s="11"/>
      <c r="S5307" s="11"/>
      <c r="T5307" s="11"/>
    </row>
    <row r="5308" spans="8:20" x14ac:dyDescent="0.35">
      <c r="H5308" s="711"/>
      <c r="I5308" s="711"/>
      <c r="J5308" s="711"/>
      <c r="K5308" s="711"/>
      <c r="L5308" s="711"/>
      <c r="Q5308" s="11"/>
      <c r="R5308" s="11"/>
      <c r="S5308" s="11"/>
      <c r="T5308" s="11"/>
    </row>
    <row r="5309" spans="8:20" x14ac:dyDescent="0.35">
      <c r="H5309" s="711"/>
      <c r="I5309" s="711"/>
      <c r="J5309" s="711"/>
      <c r="K5309" s="711"/>
      <c r="L5309" s="711"/>
      <c r="Q5309" s="11"/>
      <c r="R5309" s="11"/>
      <c r="S5309" s="11"/>
      <c r="T5309" s="11"/>
    </row>
    <row r="5310" spans="8:20" x14ac:dyDescent="0.35">
      <c r="H5310" s="711"/>
      <c r="I5310" s="711"/>
      <c r="J5310" s="711"/>
      <c r="K5310" s="711"/>
      <c r="L5310" s="711"/>
      <c r="Q5310" s="11"/>
      <c r="R5310" s="11"/>
      <c r="S5310" s="11"/>
      <c r="T5310" s="11"/>
    </row>
    <row r="5311" spans="8:20" x14ac:dyDescent="0.35">
      <c r="H5311" s="711"/>
      <c r="I5311" s="711"/>
      <c r="J5311" s="711"/>
      <c r="K5311" s="711"/>
      <c r="L5311" s="711"/>
      <c r="Q5311" s="11"/>
      <c r="R5311" s="11"/>
      <c r="S5311" s="11"/>
      <c r="T5311" s="11"/>
    </row>
    <row r="5312" spans="8:20" x14ac:dyDescent="0.35">
      <c r="H5312" s="711"/>
      <c r="I5312" s="711"/>
      <c r="J5312" s="711"/>
      <c r="K5312" s="711"/>
      <c r="L5312" s="711"/>
      <c r="Q5312" s="11"/>
      <c r="R5312" s="11"/>
      <c r="S5312" s="11"/>
      <c r="T5312" s="11"/>
    </row>
    <row r="5313" spans="8:20" x14ac:dyDescent="0.35">
      <c r="H5313" s="711"/>
      <c r="I5313" s="711"/>
      <c r="J5313" s="711"/>
      <c r="K5313" s="711"/>
      <c r="L5313" s="711"/>
      <c r="Q5313" s="11"/>
      <c r="R5313" s="11"/>
      <c r="S5313" s="11"/>
      <c r="T5313" s="11"/>
    </row>
    <row r="5314" spans="8:20" x14ac:dyDescent="0.35">
      <c r="H5314" s="711"/>
      <c r="I5314" s="711"/>
      <c r="J5314" s="711"/>
      <c r="K5314" s="711"/>
      <c r="L5314" s="711"/>
      <c r="Q5314" s="11"/>
      <c r="R5314" s="11"/>
      <c r="S5314" s="11"/>
      <c r="T5314" s="11"/>
    </row>
    <row r="5315" spans="8:20" x14ac:dyDescent="0.35">
      <c r="H5315" s="711"/>
      <c r="I5315" s="711"/>
      <c r="J5315" s="711"/>
      <c r="K5315" s="711"/>
      <c r="L5315" s="711"/>
      <c r="Q5315" s="11"/>
      <c r="R5315" s="11"/>
      <c r="S5315" s="11"/>
      <c r="T5315" s="11"/>
    </row>
    <row r="5316" spans="8:20" x14ac:dyDescent="0.35">
      <c r="H5316" s="711"/>
      <c r="I5316" s="711"/>
      <c r="J5316" s="711"/>
      <c r="K5316" s="711"/>
      <c r="L5316" s="711"/>
      <c r="Q5316" s="11"/>
      <c r="R5316" s="11"/>
      <c r="S5316" s="11"/>
      <c r="T5316" s="11"/>
    </row>
    <row r="5317" spans="8:20" x14ac:dyDescent="0.35">
      <c r="H5317" s="711"/>
      <c r="I5317" s="711"/>
      <c r="J5317" s="711"/>
      <c r="K5317" s="711"/>
      <c r="L5317" s="711"/>
      <c r="Q5317" s="11"/>
      <c r="R5317" s="11"/>
      <c r="S5317" s="11"/>
      <c r="T5317" s="11"/>
    </row>
    <row r="5318" spans="8:20" x14ac:dyDescent="0.35">
      <c r="H5318" s="711"/>
      <c r="I5318" s="711"/>
      <c r="J5318" s="711"/>
      <c r="K5318" s="711"/>
      <c r="L5318" s="711"/>
      <c r="Q5318" s="11"/>
      <c r="R5318" s="11"/>
      <c r="S5318" s="11"/>
      <c r="T5318" s="11"/>
    </row>
    <row r="5319" spans="8:20" x14ac:dyDescent="0.35">
      <c r="H5319" s="711"/>
      <c r="I5319" s="711"/>
      <c r="J5319" s="711"/>
      <c r="K5319" s="711"/>
      <c r="L5319" s="711"/>
      <c r="Q5319" s="11"/>
      <c r="R5319" s="11"/>
      <c r="S5319" s="11"/>
      <c r="T5319" s="11"/>
    </row>
    <row r="5320" spans="8:20" x14ac:dyDescent="0.35">
      <c r="H5320" s="711"/>
      <c r="I5320" s="711"/>
      <c r="J5320" s="711"/>
      <c r="K5320" s="711"/>
      <c r="L5320" s="711"/>
      <c r="Q5320" s="11"/>
      <c r="R5320" s="11"/>
      <c r="S5320" s="11"/>
      <c r="T5320" s="11"/>
    </row>
    <row r="5321" spans="8:20" x14ac:dyDescent="0.35">
      <c r="H5321" s="711"/>
      <c r="I5321" s="711"/>
      <c r="J5321" s="711"/>
      <c r="K5321" s="711"/>
      <c r="L5321" s="711"/>
      <c r="Q5321" s="11"/>
      <c r="R5321" s="11"/>
      <c r="S5321" s="11"/>
      <c r="T5321" s="11"/>
    </row>
    <row r="5322" spans="8:20" x14ac:dyDescent="0.35">
      <c r="H5322" s="711"/>
      <c r="I5322" s="711"/>
      <c r="J5322" s="711"/>
      <c r="K5322" s="711"/>
      <c r="L5322" s="711"/>
      <c r="Q5322" s="11"/>
      <c r="R5322" s="11"/>
      <c r="S5322" s="11"/>
      <c r="T5322" s="11"/>
    </row>
    <row r="5323" spans="8:20" x14ac:dyDescent="0.35">
      <c r="H5323" s="711"/>
      <c r="I5323" s="711"/>
      <c r="J5323" s="711"/>
      <c r="K5323" s="711"/>
      <c r="L5323" s="711"/>
      <c r="Q5323" s="11"/>
      <c r="R5323" s="11"/>
      <c r="S5323" s="11"/>
      <c r="T5323" s="11"/>
    </row>
    <row r="5324" spans="8:20" x14ac:dyDescent="0.35">
      <c r="H5324" s="711"/>
      <c r="I5324" s="711"/>
      <c r="J5324" s="711"/>
      <c r="K5324" s="711"/>
      <c r="L5324" s="711"/>
      <c r="Q5324" s="11"/>
      <c r="R5324" s="11"/>
      <c r="S5324" s="11"/>
      <c r="T5324" s="11"/>
    </row>
    <row r="5325" spans="8:20" x14ac:dyDescent="0.35">
      <c r="H5325" s="711"/>
      <c r="I5325" s="711"/>
      <c r="J5325" s="711"/>
      <c r="K5325" s="711"/>
      <c r="L5325" s="711"/>
      <c r="Q5325" s="11"/>
      <c r="R5325" s="11"/>
      <c r="S5325" s="11"/>
      <c r="T5325" s="11"/>
    </row>
    <row r="5326" spans="8:20" x14ac:dyDescent="0.35">
      <c r="H5326" s="711"/>
      <c r="I5326" s="711"/>
      <c r="J5326" s="711"/>
      <c r="K5326" s="711"/>
      <c r="L5326" s="711"/>
      <c r="Q5326" s="11"/>
      <c r="R5326" s="11"/>
      <c r="S5326" s="11"/>
      <c r="T5326" s="11"/>
    </row>
    <row r="5327" spans="8:20" x14ac:dyDescent="0.35">
      <c r="H5327" s="711"/>
      <c r="I5327" s="711"/>
      <c r="J5327" s="711"/>
      <c r="K5327" s="711"/>
      <c r="L5327" s="711"/>
      <c r="Q5327" s="11"/>
      <c r="R5327" s="11"/>
      <c r="S5327" s="11"/>
      <c r="T5327" s="11"/>
    </row>
    <row r="5328" spans="8:20" x14ac:dyDescent="0.35">
      <c r="H5328" s="711"/>
      <c r="I5328" s="711"/>
      <c r="J5328" s="711"/>
      <c r="K5328" s="711"/>
      <c r="L5328" s="711"/>
      <c r="Q5328" s="11"/>
      <c r="R5328" s="11"/>
      <c r="S5328" s="11"/>
      <c r="T5328" s="11"/>
    </row>
    <row r="5329" spans="8:20" x14ac:dyDescent="0.35">
      <c r="H5329" s="711"/>
      <c r="I5329" s="711"/>
      <c r="J5329" s="711"/>
      <c r="K5329" s="711"/>
      <c r="L5329" s="711"/>
      <c r="Q5329" s="11"/>
      <c r="R5329" s="11"/>
      <c r="S5329" s="11"/>
      <c r="T5329" s="11"/>
    </row>
    <row r="5330" spans="8:20" x14ac:dyDescent="0.35">
      <c r="H5330" s="711"/>
      <c r="I5330" s="711"/>
      <c r="J5330" s="711"/>
      <c r="K5330" s="711"/>
      <c r="L5330" s="711"/>
      <c r="Q5330" s="11"/>
      <c r="R5330" s="11"/>
      <c r="S5330" s="11"/>
      <c r="T5330" s="11"/>
    </row>
    <row r="5331" spans="8:20" x14ac:dyDescent="0.35">
      <c r="H5331" s="711"/>
      <c r="I5331" s="711"/>
      <c r="J5331" s="711"/>
      <c r="K5331" s="711"/>
      <c r="L5331" s="711"/>
      <c r="Q5331" s="11"/>
      <c r="R5331" s="11"/>
      <c r="S5331" s="11"/>
      <c r="T5331" s="11"/>
    </row>
    <row r="5332" spans="8:20" x14ac:dyDescent="0.35">
      <c r="H5332" s="711"/>
      <c r="I5332" s="711"/>
      <c r="J5332" s="711"/>
      <c r="K5332" s="711"/>
      <c r="L5332" s="711"/>
      <c r="Q5332" s="11"/>
      <c r="R5332" s="11"/>
      <c r="S5332" s="11"/>
      <c r="T5332" s="11"/>
    </row>
    <row r="5333" spans="8:20" x14ac:dyDescent="0.35">
      <c r="H5333" s="711"/>
      <c r="I5333" s="711"/>
      <c r="J5333" s="711"/>
      <c r="K5333" s="711"/>
      <c r="L5333" s="711"/>
      <c r="Q5333" s="11"/>
      <c r="R5333" s="11"/>
      <c r="S5333" s="11"/>
      <c r="T5333" s="11"/>
    </row>
    <row r="5334" spans="8:20" x14ac:dyDescent="0.35">
      <c r="H5334" s="711"/>
      <c r="I5334" s="711"/>
      <c r="J5334" s="711"/>
      <c r="K5334" s="711"/>
      <c r="L5334" s="711"/>
      <c r="Q5334" s="11"/>
      <c r="R5334" s="11"/>
      <c r="S5334" s="11"/>
      <c r="T5334" s="11"/>
    </row>
    <row r="5335" spans="8:20" x14ac:dyDescent="0.35">
      <c r="H5335" s="711"/>
      <c r="I5335" s="711"/>
      <c r="J5335" s="711"/>
      <c r="K5335" s="711"/>
      <c r="L5335" s="711"/>
      <c r="Q5335" s="11"/>
      <c r="R5335" s="11"/>
      <c r="S5335" s="11"/>
      <c r="T5335" s="11"/>
    </row>
    <row r="5336" spans="8:20" x14ac:dyDescent="0.35">
      <c r="H5336" s="711"/>
      <c r="I5336" s="711"/>
      <c r="J5336" s="711"/>
      <c r="K5336" s="711"/>
      <c r="L5336" s="711"/>
      <c r="Q5336" s="11"/>
      <c r="R5336" s="11"/>
      <c r="S5336" s="11"/>
      <c r="T5336" s="11"/>
    </row>
    <row r="5337" spans="8:20" x14ac:dyDescent="0.35">
      <c r="H5337" s="711"/>
      <c r="I5337" s="711"/>
      <c r="J5337" s="711"/>
      <c r="K5337" s="711"/>
      <c r="L5337" s="711"/>
      <c r="Q5337" s="11"/>
      <c r="R5337" s="11"/>
      <c r="S5337" s="11"/>
      <c r="T5337" s="11"/>
    </row>
    <row r="5338" spans="8:20" x14ac:dyDescent="0.35">
      <c r="H5338" s="711"/>
      <c r="I5338" s="711"/>
      <c r="J5338" s="711"/>
      <c r="K5338" s="711"/>
      <c r="L5338" s="711"/>
      <c r="Q5338" s="11"/>
      <c r="R5338" s="11"/>
      <c r="S5338" s="11"/>
      <c r="T5338" s="11"/>
    </row>
    <row r="5339" spans="8:20" x14ac:dyDescent="0.35">
      <c r="H5339" s="711"/>
      <c r="I5339" s="711"/>
      <c r="J5339" s="711"/>
      <c r="K5339" s="711"/>
      <c r="L5339" s="711"/>
      <c r="Q5339" s="11"/>
      <c r="R5339" s="11"/>
      <c r="S5339" s="11"/>
      <c r="T5339" s="11"/>
    </row>
    <row r="5340" spans="8:20" x14ac:dyDescent="0.35">
      <c r="H5340" s="711"/>
      <c r="I5340" s="711"/>
      <c r="J5340" s="711"/>
      <c r="K5340" s="711"/>
      <c r="L5340" s="711"/>
      <c r="Q5340" s="11"/>
      <c r="R5340" s="11"/>
      <c r="S5340" s="11"/>
      <c r="T5340" s="11"/>
    </row>
    <row r="5341" spans="8:20" x14ac:dyDescent="0.35">
      <c r="H5341" s="711"/>
      <c r="I5341" s="711"/>
      <c r="J5341" s="711"/>
      <c r="K5341" s="711"/>
      <c r="L5341" s="711"/>
      <c r="Q5341" s="11"/>
      <c r="R5341" s="11"/>
      <c r="S5341" s="11"/>
      <c r="T5341" s="11"/>
    </row>
    <row r="5342" spans="8:20" x14ac:dyDescent="0.35">
      <c r="H5342" s="711"/>
      <c r="I5342" s="711"/>
      <c r="J5342" s="711"/>
      <c r="K5342" s="711"/>
      <c r="L5342" s="711"/>
      <c r="Q5342" s="11"/>
      <c r="R5342" s="11"/>
      <c r="S5342" s="11"/>
      <c r="T5342" s="11"/>
    </row>
    <row r="5343" spans="8:20" x14ac:dyDescent="0.35">
      <c r="H5343" s="711"/>
      <c r="I5343" s="711"/>
      <c r="J5343" s="711"/>
      <c r="K5343" s="711"/>
      <c r="L5343" s="711"/>
      <c r="Q5343" s="11"/>
      <c r="R5343" s="11"/>
      <c r="S5343" s="11"/>
      <c r="T5343" s="11"/>
    </row>
    <row r="5344" spans="8:20" x14ac:dyDescent="0.35">
      <c r="H5344" s="711"/>
      <c r="I5344" s="711"/>
      <c r="J5344" s="711"/>
      <c r="K5344" s="711"/>
      <c r="L5344" s="711"/>
      <c r="Q5344" s="11"/>
      <c r="R5344" s="11"/>
      <c r="S5344" s="11"/>
      <c r="T5344" s="11"/>
    </row>
    <row r="5345" spans="8:20" x14ac:dyDescent="0.35">
      <c r="H5345" s="711"/>
      <c r="I5345" s="711"/>
      <c r="J5345" s="711"/>
      <c r="K5345" s="711"/>
      <c r="L5345" s="711"/>
      <c r="Q5345" s="11"/>
      <c r="R5345" s="11"/>
      <c r="S5345" s="11"/>
      <c r="T5345" s="11"/>
    </row>
    <row r="5346" spans="8:20" x14ac:dyDescent="0.35">
      <c r="H5346" s="711"/>
      <c r="I5346" s="711"/>
      <c r="J5346" s="711"/>
      <c r="K5346" s="711"/>
      <c r="L5346" s="711"/>
      <c r="Q5346" s="11"/>
      <c r="R5346" s="11"/>
      <c r="S5346" s="11"/>
      <c r="T5346" s="11"/>
    </row>
    <row r="5347" spans="8:20" x14ac:dyDescent="0.35">
      <c r="H5347" s="711"/>
      <c r="I5347" s="711"/>
      <c r="J5347" s="711"/>
      <c r="K5347" s="711"/>
      <c r="L5347" s="711"/>
      <c r="Q5347" s="11"/>
      <c r="R5347" s="11"/>
      <c r="S5347" s="11"/>
      <c r="T5347" s="11"/>
    </row>
    <row r="5348" spans="8:20" x14ac:dyDescent="0.35">
      <c r="H5348" s="711"/>
      <c r="I5348" s="711"/>
      <c r="J5348" s="711"/>
      <c r="K5348" s="711"/>
      <c r="L5348" s="711"/>
      <c r="Q5348" s="11"/>
      <c r="R5348" s="11"/>
      <c r="S5348" s="11"/>
      <c r="T5348" s="11"/>
    </row>
    <row r="5349" spans="8:20" x14ac:dyDescent="0.35">
      <c r="H5349" s="711"/>
      <c r="I5349" s="711"/>
      <c r="J5349" s="711"/>
      <c r="K5349" s="711"/>
      <c r="L5349" s="711"/>
      <c r="Q5349" s="11"/>
      <c r="R5349" s="11"/>
      <c r="S5349" s="11"/>
      <c r="T5349" s="11"/>
    </row>
    <row r="5350" spans="8:20" x14ac:dyDescent="0.35">
      <c r="H5350" s="711"/>
      <c r="I5350" s="711"/>
      <c r="J5350" s="711"/>
      <c r="K5350" s="711"/>
      <c r="L5350" s="711"/>
      <c r="Q5350" s="11"/>
      <c r="R5350" s="11"/>
      <c r="S5350" s="11"/>
      <c r="T5350" s="11"/>
    </row>
    <row r="5351" spans="8:20" x14ac:dyDescent="0.35">
      <c r="H5351" s="711"/>
      <c r="I5351" s="711"/>
      <c r="J5351" s="711"/>
      <c r="K5351" s="711"/>
      <c r="L5351" s="711"/>
      <c r="Q5351" s="11"/>
      <c r="R5351" s="11"/>
      <c r="S5351" s="11"/>
      <c r="T5351" s="11"/>
    </row>
    <row r="5352" spans="8:20" x14ac:dyDescent="0.35">
      <c r="H5352" s="711"/>
      <c r="I5352" s="711"/>
      <c r="J5352" s="711"/>
      <c r="K5352" s="711"/>
      <c r="L5352" s="711"/>
      <c r="Q5352" s="11"/>
      <c r="R5352" s="11"/>
      <c r="S5352" s="11"/>
      <c r="T5352" s="11"/>
    </row>
    <row r="5353" spans="8:20" x14ac:dyDescent="0.35">
      <c r="H5353" s="711"/>
      <c r="I5353" s="711"/>
      <c r="J5353" s="711"/>
      <c r="K5353" s="711"/>
      <c r="L5353" s="711"/>
      <c r="Q5353" s="11"/>
      <c r="R5353" s="11"/>
      <c r="S5353" s="11"/>
      <c r="T5353" s="11"/>
    </row>
    <row r="5354" spans="8:20" x14ac:dyDescent="0.35">
      <c r="H5354" s="711"/>
      <c r="I5354" s="711"/>
      <c r="J5354" s="711"/>
      <c r="K5354" s="711"/>
      <c r="L5354" s="711"/>
      <c r="Q5354" s="11"/>
      <c r="R5354" s="11"/>
      <c r="S5354" s="11"/>
      <c r="T5354" s="11"/>
    </row>
    <row r="5355" spans="8:20" x14ac:dyDescent="0.35">
      <c r="H5355" s="711"/>
      <c r="I5355" s="711"/>
      <c r="J5355" s="711"/>
      <c r="K5355" s="711"/>
      <c r="L5355" s="711"/>
      <c r="Q5355" s="11"/>
      <c r="R5355" s="11"/>
      <c r="S5355" s="11"/>
      <c r="T5355" s="11"/>
    </row>
    <row r="5356" spans="8:20" x14ac:dyDescent="0.35">
      <c r="H5356" s="711"/>
      <c r="I5356" s="711"/>
      <c r="J5356" s="711"/>
      <c r="K5356" s="711"/>
      <c r="L5356" s="711"/>
      <c r="Q5356" s="11"/>
      <c r="R5356" s="11"/>
      <c r="S5356" s="11"/>
      <c r="T5356" s="11"/>
    </row>
    <row r="5357" spans="8:20" x14ac:dyDescent="0.35">
      <c r="H5357" s="711"/>
      <c r="I5357" s="711"/>
      <c r="J5357" s="711"/>
      <c r="K5357" s="711"/>
      <c r="L5357" s="711"/>
      <c r="Q5357" s="11"/>
      <c r="R5357" s="11"/>
      <c r="S5357" s="11"/>
      <c r="T5357" s="11"/>
    </row>
    <row r="5358" spans="8:20" x14ac:dyDescent="0.35">
      <c r="H5358" s="711"/>
      <c r="I5358" s="711"/>
      <c r="J5358" s="711"/>
      <c r="K5358" s="711"/>
      <c r="L5358" s="711"/>
      <c r="Q5358" s="11"/>
      <c r="R5358" s="11"/>
      <c r="S5358" s="11"/>
      <c r="T5358" s="11"/>
    </row>
    <row r="5359" spans="8:20" x14ac:dyDescent="0.35">
      <c r="H5359" s="711"/>
      <c r="I5359" s="711"/>
      <c r="J5359" s="711"/>
      <c r="K5359" s="711"/>
      <c r="L5359" s="711"/>
      <c r="Q5359" s="11"/>
      <c r="R5359" s="11"/>
      <c r="S5359" s="11"/>
      <c r="T5359" s="11"/>
    </row>
    <row r="5360" spans="8:20" x14ac:dyDescent="0.35">
      <c r="H5360" s="711"/>
      <c r="I5360" s="711"/>
      <c r="J5360" s="711"/>
      <c r="K5360" s="711"/>
      <c r="L5360" s="711"/>
      <c r="Q5360" s="11"/>
      <c r="R5360" s="11"/>
      <c r="S5360" s="11"/>
      <c r="T5360" s="11"/>
    </row>
    <row r="5361" spans="8:20" x14ac:dyDescent="0.35">
      <c r="H5361" s="711"/>
      <c r="I5361" s="711"/>
      <c r="J5361" s="711"/>
      <c r="K5361" s="711"/>
      <c r="L5361" s="711"/>
      <c r="Q5361" s="11"/>
      <c r="R5361" s="11"/>
      <c r="S5361" s="11"/>
      <c r="T5361" s="11"/>
    </row>
    <row r="5362" spans="8:20" x14ac:dyDescent="0.35">
      <c r="H5362" s="711"/>
      <c r="I5362" s="711"/>
      <c r="J5362" s="711"/>
      <c r="K5362" s="711"/>
      <c r="L5362" s="711"/>
      <c r="Q5362" s="11"/>
      <c r="R5362" s="11"/>
      <c r="S5362" s="11"/>
      <c r="T5362" s="11"/>
    </row>
    <row r="5363" spans="8:20" x14ac:dyDescent="0.35">
      <c r="H5363" s="711"/>
      <c r="I5363" s="711"/>
      <c r="J5363" s="711"/>
      <c r="K5363" s="711"/>
      <c r="L5363" s="711"/>
      <c r="Q5363" s="11"/>
      <c r="R5363" s="11"/>
      <c r="S5363" s="11"/>
      <c r="T5363" s="11"/>
    </row>
    <row r="5364" spans="8:20" x14ac:dyDescent="0.35">
      <c r="H5364" s="711"/>
      <c r="I5364" s="711"/>
      <c r="J5364" s="711"/>
      <c r="K5364" s="711"/>
      <c r="L5364" s="711"/>
      <c r="Q5364" s="11"/>
      <c r="R5364" s="11"/>
      <c r="S5364" s="11"/>
      <c r="T5364" s="11"/>
    </row>
    <row r="5365" spans="8:20" x14ac:dyDescent="0.35">
      <c r="H5365" s="711"/>
      <c r="I5365" s="711"/>
      <c r="J5365" s="711"/>
      <c r="K5365" s="711"/>
      <c r="L5365" s="711"/>
      <c r="Q5365" s="11"/>
      <c r="R5365" s="11"/>
      <c r="S5365" s="11"/>
      <c r="T5365" s="11"/>
    </row>
    <row r="5366" spans="8:20" x14ac:dyDescent="0.35">
      <c r="H5366" s="711"/>
      <c r="I5366" s="711"/>
      <c r="J5366" s="711"/>
      <c r="K5366" s="711"/>
      <c r="L5366" s="711"/>
      <c r="Q5366" s="11"/>
      <c r="R5366" s="11"/>
      <c r="S5366" s="11"/>
      <c r="T5366" s="11"/>
    </row>
    <row r="5367" spans="8:20" x14ac:dyDescent="0.35">
      <c r="H5367" s="711"/>
      <c r="I5367" s="711"/>
      <c r="J5367" s="711"/>
      <c r="K5367" s="711"/>
      <c r="L5367" s="711"/>
      <c r="Q5367" s="11"/>
      <c r="R5367" s="11"/>
      <c r="S5367" s="11"/>
      <c r="T5367" s="11"/>
    </row>
    <row r="5368" spans="8:20" x14ac:dyDescent="0.35">
      <c r="H5368" s="711"/>
      <c r="I5368" s="711"/>
      <c r="J5368" s="711"/>
      <c r="K5368" s="711"/>
      <c r="L5368" s="711"/>
      <c r="Q5368" s="11"/>
      <c r="R5368" s="11"/>
      <c r="S5368" s="11"/>
      <c r="T5368" s="11"/>
    </row>
    <row r="5369" spans="8:20" x14ac:dyDescent="0.35">
      <c r="H5369" s="711"/>
      <c r="I5369" s="711"/>
      <c r="J5369" s="711"/>
      <c r="K5369" s="711"/>
      <c r="L5369" s="711"/>
      <c r="Q5369" s="11"/>
      <c r="R5369" s="11"/>
      <c r="S5369" s="11"/>
      <c r="T5369" s="11"/>
    </row>
    <row r="5370" spans="8:20" x14ac:dyDescent="0.35">
      <c r="H5370" s="711"/>
      <c r="I5370" s="711"/>
      <c r="J5370" s="711"/>
      <c r="K5370" s="711"/>
      <c r="L5370" s="711"/>
      <c r="Q5370" s="11"/>
      <c r="R5370" s="11"/>
      <c r="S5370" s="11"/>
      <c r="T5370" s="11"/>
    </row>
    <row r="5371" spans="8:20" x14ac:dyDescent="0.35">
      <c r="H5371" s="711"/>
      <c r="I5371" s="711"/>
      <c r="J5371" s="711"/>
      <c r="K5371" s="711"/>
      <c r="L5371" s="711"/>
      <c r="Q5371" s="11"/>
      <c r="R5371" s="11"/>
      <c r="S5371" s="11"/>
      <c r="T5371" s="11"/>
    </row>
    <row r="5372" spans="8:20" x14ac:dyDescent="0.35">
      <c r="H5372" s="711"/>
      <c r="I5372" s="711"/>
      <c r="J5372" s="711"/>
      <c r="K5372" s="711"/>
      <c r="L5372" s="711"/>
      <c r="Q5372" s="11"/>
      <c r="R5372" s="11"/>
      <c r="S5372" s="11"/>
      <c r="T5372" s="11"/>
    </row>
    <row r="5373" spans="8:20" x14ac:dyDescent="0.35">
      <c r="H5373" s="711"/>
      <c r="I5373" s="711"/>
      <c r="J5373" s="711"/>
      <c r="K5373" s="711"/>
      <c r="L5373" s="711"/>
      <c r="Q5373" s="11"/>
      <c r="R5373" s="11"/>
      <c r="S5373" s="11"/>
      <c r="T5373" s="11"/>
    </row>
    <row r="5374" spans="8:20" x14ac:dyDescent="0.35">
      <c r="H5374" s="711"/>
      <c r="I5374" s="711"/>
      <c r="J5374" s="711"/>
      <c r="K5374" s="711"/>
      <c r="L5374" s="711"/>
      <c r="Q5374" s="11"/>
      <c r="R5374" s="11"/>
      <c r="S5374" s="11"/>
      <c r="T5374" s="11"/>
    </row>
    <row r="5375" spans="8:20" x14ac:dyDescent="0.35">
      <c r="H5375" s="711"/>
      <c r="I5375" s="711"/>
      <c r="J5375" s="711"/>
      <c r="K5375" s="711"/>
      <c r="L5375" s="711"/>
      <c r="Q5375" s="11"/>
      <c r="R5375" s="11"/>
      <c r="S5375" s="11"/>
      <c r="T5375" s="11"/>
    </row>
    <row r="5376" spans="8:20" x14ac:dyDescent="0.35">
      <c r="H5376" s="711"/>
      <c r="I5376" s="711"/>
      <c r="J5376" s="711"/>
      <c r="K5376" s="711"/>
      <c r="L5376" s="711"/>
      <c r="Q5376" s="11"/>
      <c r="R5376" s="11"/>
      <c r="S5376" s="11"/>
      <c r="T5376" s="11"/>
    </row>
    <row r="5377" spans="8:20" x14ac:dyDescent="0.35">
      <c r="H5377" s="711"/>
      <c r="I5377" s="711"/>
      <c r="J5377" s="711"/>
      <c r="K5377" s="711"/>
      <c r="L5377" s="711"/>
      <c r="Q5377" s="11"/>
      <c r="R5377" s="11"/>
      <c r="S5377" s="11"/>
      <c r="T5377" s="11"/>
    </row>
    <row r="5378" spans="8:20" x14ac:dyDescent="0.35">
      <c r="H5378" s="711"/>
      <c r="I5378" s="711"/>
      <c r="J5378" s="711"/>
      <c r="K5378" s="711"/>
      <c r="L5378" s="711"/>
      <c r="Q5378" s="11"/>
      <c r="R5378" s="11"/>
      <c r="S5378" s="11"/>
      <c r="T5378" s="11"/>
    </row>
    <row r="5379" spans="8:20" x14ac:dyDescent="0.35">
      <c r="H5379" s="711"/>
      <c r="I5379" s="711"/>
      <c r="J5379" s="711"/>
      <c r="K5379" s="711"/>
      <c r="L5379" s="711"/>
      <c r="Q5379" s="11"/>
      <c r="R5379" s="11"/>
      <c r="S5379" s="11"/>
      <c r="T5379" s="11"/>
    </row>
    <row r="5380" spans="8:20" x14ac:dyDescent="0.35">
      <c r="H5380" s="711"/>
      <c r="I5380" s="711"/>
      <c r="J5380" s="711"/>
      <c r="K5380" s="711"/>
      <c r="L5380" s="711"/>
      <c r="Q5380" s="11"/>
      <c r="R5380" s="11"/>
      <c r="S5380" s="11"/>
      <c r="T5380" s="11"/>
    </row>
    <row r="5381" spans="8:20" x14ac:dyDescent="0.35">
      <c r="H5381" s="711"/>
      <c r="I5381" s="711"/>
      <c r="J5381" s="711"/>
      <c r="K5381" s="711"/>
      <c r="L5381" s="711"/>
      <c r="Q5381" s="11"/>
      <c r="R5381" s="11"/>
      <c r="S5381" s="11"/>
      <c r="T5381" s="11"/>
    </row>
    <row r="5382" spans="8:20" x14ac:dyDescent="0.35">
      <c r="H5382" s="711"/>
      <c r="I5382" s="711"/>
      <c r="J5382" s="711"/>
      <c r="K5382" s="711"/>
      <c r="L5382" s="711"/>
      <c r="Q5382" s="11"/>
      <c r="R5382" s="11"/>
      <c r="S5382" s="11"/>
      <c r="T5382" s="11"/>
    </row>
    <row r="5383" spans="8:20" x14ac:dyDescent="0.35">
      <c r="H5383" s="711"/>
      <c r="I5383" s="711"/>
      <c r="J5383" s="711"/>
      <c r="K5383" s="711"/>
      <c r="L5383" s="711"/>
      <c r="Q5383" s="11"/>
      <c r="R5383" s="11"/>
      <c r="S5383" s="11"/>
      <c r="T5383" s="11"/>
    </row>
    <row r="5384" spans="8:20" x14ac:dyDescent="0.35">
      <c r="H5384" s="711"/>
      <c r="I5384" s="711"/>
      <c r="J5384" s="711"/>
      <c r="K5384" s="711"/>
      <c r="L5384" s="711"/>
      <c r="Q5384" s="11"/>
      <c r="R5384" s="11"/>
      <c r="S5384" s="11"/>
      <c r="T5384" s="11"/>
    </row>
    <row r="5385" spans="8:20" x14ac:dyDescent="0.35">
      <c r="H5385" s="711"/>
      <c r="I5385" s="711"/>
      <c r="J5385" s="711"/>
      <c r="K5385" s="711"/>
      <c r="L5385" s="711"/>
      <c r="Q5385" s="11"/>
      <c r="R5385" s="11"/>
      <c r="S5385" s="11"/>
      <c r="T5385" s="11"/>
    </row>
    <row r="5386" spans="8:20" x14ac:dyDescent="0.35">
      <c r="H5386" s="711"/>
      <c r="I5386" s="711"/>
      <c r="J5386" s="711"/>
      <c r="K5386" s="711"/>
      <c r="L5386" s="711"/>
      <c r="Q5386" s="11"/>
      <c r="R5386" s="11"/>
      <c r="S5386" s="11"/>
      <c r="T5386" s="11"/>
    </row>
    <row r="5387" spans="8:20" x14ac:dyDescent="0.35">
      <c r="H5387" s="711"/>
      <c r="I5387" s="711"/>
      <c r="J5387" s="711"/>
      <c r="K5387" s="711"/>
      <c r="L5387" s="711"/>
      <c r="Q5387" s="11"/>
      <c r="R5387" s="11"/>
      <c r="S5387" s="11"/>
      <c r="T5387" s="11"/>
    </row>
    <row r="5388" spans="8:20" x14ac:dyDescent="0.35">
      <c r="H5388" s="711"/>
      <c r="I5388" s="711"/>
      <c r="J5388" s="711"/>
      <c r="K5388" s="711"/>
      <c r="L5388" s="711"/>
      <c r="Q5388" s="11"/>
      <c r="R5388" s="11"/>
      <c r="S5388" s="11"/>
      <c r="T5388" s="11"/>
    </row>
    <row r="5389" spans="8:20" x14ac:dyDescent="0.35">
      <c r="H5389" s="711"/>
      <c r="I5389" s="711"/>
      <c r="J5389" s="711"/>
      <c r="K5389" s="711"/>
      <c r="L5389" s="711"/>
      <c r="Q5389" s="11"/>
      <c r="R5389" s="11"/>
      <c r="S5389" s="11"/>
      <c r="T5389" s="11"/>
    </row>
    <row r="5390" spans="8:20" x14ac:dyDescent="0.35">
      <c r="H5390" s="711"/>
      <c r="I5390" s="711"/>
      <c r="J5390" s="711"/>
      <c r="K5390" s="711"/>
      <c r="L5390" s="711"/>
      <c r="Q5390" s="11"/>
      <c r="R5390" s="11"/>
      <c r="S5390" s="11"/>
      <c r="T5390" s="11"/>
    </row>
    <row r="5391" spans="8:20" x14ac:dyDescent="0.35">
      <c r="H5391" s="711"/>
      <c r="I5391" s="711"/>
      <c r="J5391" s="711"/>
      <c r="K5391" s="711"/>
      <c r="L5391" s="711"/>
      <c r="Q5391" s="11"/>
      <c r="R5391" s="11"/>
      <c r="S5391" s="11"/>
      <c r="T5391" s="11"/>
    </row>
    <row r="5392" spans="8:20" x14ac:dyDescent="0.35">
      <c r="H5392" s="711"/>
      <c r="I5392" s="711"/>
      <c r="J5392" s="711"/>
      <c r="K5392" s="711"/>
      <c r="L5392" s="711"/>
      <c r="Q5392" s="11"/>
      <c r="R5392" s="11"/>
      <c r="S5392" s="11"/>
      <c r="T5392" s="11"/>
    </row>
    <row r="5393" spans="8:20" x14ac:dyDescent="0.35">
      <c r="H5393" s="711"/>
      <c r="I5393" s="711"/>
      <c r="J5393" s="711"/>
      <c r="K5393" s="711"/>
      <c r="L5393" s="711"/>
      <c r="Q5393" s="11"/>
      <c r="R5393" s="11"/>
      <c r="S5393" s="11"/>
      <c r="T5393" s="11"/>
    </row>
    <row r="5394" spans="8:20" x14ac:dyDescent="0.35">
      <c r="H5394" s="711"/>
      <c r="I5394" s="711"/>
      <c r="J5394" s="711"/>
      <c r="K5394" s="711"/>
      <c r="L5394" s="711"/>
      <c r="Q5394" s="11"/>
      <c r="R5394" s="11"/>
      <c r="S5394" s="11"/>
      <c r="T5394" s="11"/>
    </row>
    <row r="5395" spans="8:20" x14ac:dyDescent="0.35">
      <c r="H5395" s="711"/>
      <c r="I5395" s="711"/>
      <c r="J5395" s="711"/>
      <c r="K5395" s="711"/>
      <c r="L5395" s="711"/>
      <c r="Q5395" s="11"/>
      <c r="R5395" s="11"/>
      <c r="S5395" s="11"/>
      <c r="T5395" s="11"/>
    </row>
    <row r="5396" spans="8:20" x14ac:dyDescent="0.35">
      <c r="H5396" s="711"/>
      <c r="I5396" s="711"/>
      <c r="J5396" s="711"/>
      <c r="K5396" s="711"/>
      <c r="L5396" s="711"/>
      <c r="Q5396" s="11"/>
      <c r="R5396" s="11"/>
      <c r="S5396" s="11"/>
      <c r="T5396" s="11"/>
    </row>
    <row r="5397" spans="8:20" x14ac:dyDescent="0.35">
      <c r="H5397" s="711"/>
      <c r="I5397" s="711"/>
      <c r="J5397" s="711"/>
      <c r="K5397" s="711"/>
      <c r="L5397" s="711"/>
      <c r="Q5397" s="11"/>
      <c r="R5397" s="11"/>
      <c r="S5397" s="11"/>
      <c r="T5397" s="11"/>
    </row>
    <row r="5398" spans="8:20" x14ac:dyDescent="0.35">
      <c r="H5398" s="711"/>
      <c r="I5398" s="711"/>
      <c r="J5398" s="711"/>
      <c r="K5398" s="711"/>
      <c r="L5398" s="711"/>
      <c r="Q5398" s="11"/>
      <c r="R5398" s="11"/>
      <c r="S5398" s="11"/>
      <c r="T5398" s="11"/>
    </row>
    <row r="5399" spans="8:20" x14ac:dyDescent="0.35">
      <c r="H5399" s="711"/>
      <c r="I5399" s="711"/>
      <c r="J5399" s="711"/>
      <c r="K5399" s="711"/>
      <c r="L5399" s="711"/>
      <c r="Q5399" s="11"/>
      <c r="R5399" s="11"/>
      <c r="S5399" s="11"/>
      <c r="T5399" s="11"/>
    </row>
    <row r="5400" spans="8:20" x14ac:dyDescent="0.35">
      <c r="H5400" s="711"/>
      <c r="I5400" s="711"/>
      <c r="J5400" s="711"/>
      <c r="K5400" s="711"/>
      <c r="L5400" s="711"/>
      <c r="Q5400" s="11"/>
      <c r="R5400" s="11"/>
      <c r="S5400" s="11"/>
      <c r="T5400" s="11"/>
    </row>
    <row r="5401" spans="8:20" x14ac:dyDescent="0.35">
      <c r="H5401" s="711"/>
      <c r="I5401" s="711"/>
      <c r="J5401" s="711"/>
      <c r="K5401" s="711"/>
      <c r="L5401" s="711"/>
      <c r="Q5401" s="11"/>
      <c r="R5401" s="11"/>
      <c r="S5401" s="11"/>
      <c r="T5401" s="11"/>
    </row>
    <row r="5402" spans="8:20" x14ac:dyDescent="0.35">
      <c r="H5402" s="711"/>
      <c r="I5402" s="711"/>
      <c r="J5402" s="711"/>
      <c r="K5402" s="711"/>
      <c r="L5402" s="711"/>
      <c r="Q5402" s="11"/>
      <c r="R5402" s="11"/>
      <c r="S5402" s="11"/>
      <c r="T5402" s="11"/>
    </row>
    <row r="5403" spans="8:20" x14ac:dyDescent="0.35">
      <c r="H5403" s="711"/>
      <c r="I5403" s="711"/>
      <c r="J5403" s="711"/>
      <c r="K5403" s="711"/>
      <c r="L5403" s="711"/>
      <c r="Q5403" s="11"/>
      <c r="R5403" s="11"/>
      <c r="S5403" s="11"/>
      <c r="T5403" s="11"/>
    </row>
    <row r="5404" spans="8:20" x14ac:dyDescent="0.35">
      <c r="H5404" s="711"/>
      <c r="I5404" s="711"/>
      <c r="J5404" s="711"/>
      <c r="K5404" s="711"/>
      <c r="L5404" s="711"/>
      <c r="Q5404" s="11"/>
      <c r="R5404" s="11"/>
      <c r="S5404" s="11"/>
      <c r="T5404" s="11"/>
    </row>
    <row r="5405" spans="8:20" x14ac:dyDescent="0.35">
      <c r="H5405" s="711"/>
      <c r="I5405" s="711"/>
      <c r="J5405" s="711"/>
      <c r="K5405" s="711"/>
      <c r="L5405" s="711"/>
      <c r="Q5405" s="11"/>
      <c r="R5405" s="11"/>
      <c r="S5405" s="11"/>
      <c r="T5405" s="11"/>
    </row>
    <row r="5406" spans="8:20" x14ac:dyDescent="0.35">
      <c r="H5406" s="711"/>
      <c r="I5406" s="711"/>
      <c r="J5406" s="711"/>
      <c r="K5406" s="711"/>
      <c r="L5406" s="711"/>
      <c r="Q5406" s="11"/>
      <c r="R5406" s="11"/>
      <c r="S5406" s="11"/>
      <c r="T5406" s="11"/>
    </row>
    <row r="5407" spans="8:20" x14ac:dyDescent="0.35">
      <c r="H5407" s="711"/>
      <c r="I5407" s="711"/>
      <c r="J5407" s="711"/>
      <c r="K5407" s="711"/>
      <c r="L5407" s="711"/>
      <c r="Q5407" s="11"/>
      <c r="R5407" s="11"/>
      <c r="S5407" s="11"/>
      <c r="T5407" s="11"/>
    </row>
    <row r="5408" spans="8:20" x14ac:dyDescent="0.35">
      <c r="H5408" s="711"/>
      <c r="I5408" s="711"/>
      <c r="J5408" s="711"/>
      <c r="K5408" s="711"/>
      <c r="L5408" s="711"/>
      <c r="Q5408" s="11"/>
      <c r="R5408" s="11"/>
      <c r="S5408" s="11"/>
      <c r="T5408" s="11"/>
    </row>
    <row r="5409" spans="8:20" x14ac:dyDescent="0.35">
      <c r="H5409" s="711"/>
      <c r="I5409" s="711"/>
      <c r="J5409" s="711"/>
      <c r="K5409" s="711"/>
      <c r="L5409" s="711"/>
      <c r="Q5409" s="11"/>
      <c r="R5409" s="11"/>
      <c r="S5409" s="11"/>
      <c r="T5409" s="11"/>
    </row>
    <row r="5410" spans="8:20" x14ac:dyDescent="0.35">
      <c r="H5410" s="711"/>
      <c r="I5410" s="711"/>
      <c r="J5410" s="711"/>
      <c r="K5410" s="711"/>
      <c r="L5410" s="711"/>
      <c r="Q5410" s="11"/>
      <c r="R5410" s="11"/>
      <c r="S5410" s="11"/>
      <c r="T5410" s="11"/>
    </row>
    <row r="5411" spans="8:20" x14ac:dyDescent="0.35">
      <c r="H5411" s="711"/>
      <c r="I5411" s="711"/>
      <c r="J5411" s="711"/>
      <c r="K5411" s="711"/>
      <c r="L5411" s="711"/>
      <c r="Q5411" s="11"/>
      <c r="R5411" s="11"/>
      <c r="S5411" s="11"/>
      <c r="T5411" s="11"/>
    </row>
    <row r="5412" spans="8:20" x14ac:dyDescent="0.35">
      <c r="H5412" s="711"/>
      <c r="I5412" s="711"/>
      <c r="J5412" s="711"/>
      <c r="K5412" s="711"/>
      <c r="L5412" s="711"/>
      <c r="Q5412" s="11"/>
      <c r="R5412" s="11"/>
      <c r="S5412" s="11"/>
      <c r="T5412" s="11"/>
    </row>
    <row r="5413" spans="8:20" x14ac:dyDescent="0.35">
      <c r="H5413" s="711"/>
      <c r="I5413" s="711"/>
      <c r="J5413" s="711"/>
      <c r="K5413" s="711"/>
      <c r="L5413" s="711"/>
      <c r="Q5413" s="11"/>
      <c r="R5413" s="11"/>
      <c r="S5413" s="11"/>
      <c r="T5413" s="11"/>
    </row>
    <row r="5414" spans="8:20" x14ac:dyDescent="0.35">
      <c r="H5414" s="711"/>
      <c r="I5414" s="711"/>
      <c r="J5414" s="711"/>
      <c r="K5414" s="711"/>
      <c r="L5414" s="711"/>
      <c r="Q5414" s="11"/>
      <c r="R5414" s="11"/>
      <c r="S5414" s="11"/>
      <c r="T5414" s="11"/>
    </row>
    <row r="5415" spans="8:20" x14ac:dyDescent="0.35">
      <c r="H5415" s="711"/>
      <c r="I5415" s="711"/>
      <c r="J5415" s="711"/>
      <c r="K5415" s="711"/>
      <c r="L5415" s="711"/>
      <c r="Q5415" s="11"/>
      <c r="R5415" s="11"/>
      <c r="S5415" s="11"/>
      <c r="T5415" s="11"/>
    </row>
    <row r="5416" spans="8:20" x14ac:dyDescent="0.35">
      <c r="H5416" s="711"/>
      <c r="I5416" s="711"/>
      <c r="J5416" s="711"/>
      <c r="K5416" s="711"/>
      <c r="L5416" s="711"/>
      <c r="Q5416" s="11"/>
      <c r="R5416" s="11"/>
      <c r="S5416" s="11"/>
      <c r="T5416" s="11"/>
    </row>
    <row r="5417" spans="8:20" x14ac:dyDescent="0.35">
      <c r="H5417" s="711"/>
      <c r="I5417" s="711"/>
      <c r="J5417" s="711"/>
      <c r="K5417" s="711"/>
      <c r="L5417" s="711"/>
      <c r="Q5417" s="11"/>
      <c r="R5417" s="11"/>
      <c r="S5417" s="11"/>
      <c r="T5417" s="11"/>
    </row>
    <row r="5418" spans="8:20" x14ac:dyDescent="0.35">
      <c r="H5418" s="711"/>
      <c r="I5418" s="711"/>
      <c r="J5418" s="711"/>
      <c r="K5418" s="711"/>
      <c r="L5418" s="711"/>
      <c r="Q5418" s="11"/>
      <c r="R5418" s="11"/>
      <c r="S5418" s="11"/>
      <c r="T5418" s="11"/>
    </row>
    <row r="5419" spans="8:20" x14ac:dyDescent="0.35">
      <c r="H5419" s="711"/>
      <c r="I5419" s="711"/>
      <c r="J5419" s="711"/>
      <c r="K5419" s="711"/>
      <c r="L5419" s="711"/>
      <c r="Q5419" s="11"/>
      <c r="R5419" s="11"/>
      <c r="S5419" s="11"/>
      <c r="T5419" s="11"/>
    </row>
    <row r="5420" spans="8:20" x14ac:dyDescent="0.35">
      <c r="H5420" s="711"/>
      <c r="I5420" s="711"/>
      <c r="J5420" s="711"/>
      <c r="K5420" s="711"/>
      <c r="L5420" s="711"/>
      <c r="Q5420" s="11"/>
      <c r="R5420" s="11"/>
      <c r="S5420" s="11"/>
      <c r="T5420" s="11"/>
    </row>
    <row r="5421" spans="8:20" x14ac:dyDescent="0.35">
      <c r="H5421" s="711"/>
      <c r="I5421" s="711"/>
      <c r="J5421" s="711"/>
      <c r="K5421" s="711"/>
      <c r="L5421" s="711"/>
      <c r="Q5421" s="11"/>
      <c r="R5421" s="11"/>
      <c r="S5421" s="11"/>
      <c r="T5421" s="11"/>
    </row>
    <row r="5422" spans="8:20" x14ac:dyDescent="0.35">
      <c r="H5422" s="711"/>
      <c r="I5422" s="711"/>
      <c r="J5422" s="711"/>
      <c r="K5422" s="711"/>
      <c r="L5422" s="711"/>
      <c r="Q5422" s="11"/>
      <c r="R5422" s="11"/>
      <c r="S5422" s="11"/>
      <c r="T5422" s="11"/>
    </row>
    <row r="5423" spans="8:20" x14ac:dyDescent="0.35">
      <c r="H5423" s="711"/>
      <c r="I5423" s="711"/>
      <c r="J5423" s="711"/>
      <c r="K5423" s="711"/>
      <c r="L5423" s="711"/>
      <c r="Q5423" s="11"/>
      <c r="R5423" s="11"/>
      <c r="S5423" s="11"/>
      <c r="T5423" s="11"/>
    </row>
    <row r="5424" spans="8:20" x14ac:dyDescent="0.35">
      <c r="H5424" s="711"/>
      <c r="I5424" s="711"/>
      <c r="J5424" s="711"/>
      <c r="K5424" s="711"/>
      <c r="L5424" s="711"/>
      <c r="Q5424" s="11"/>
      <c r="R5424" s="11"/>
      <c r="S5424" s="11"/>
      <c r="T5424" s="11"/>
    </row>
    <row r="5425" spans="8:20" x14ac:dyDescent="0.35">
      <c r="H5425" s="711"/>
      <c r="I5425" s="711"/>
      <c r="J5425" s="711"/>
      <c r="K5425" s="711"/>
      <c r="L5425" s="711"/>
      <c r="Q5425" s="11"/>
      <c r="R5425" s="11"/>
      <c r="S5425" s="11"/>
      <c r="T5425" s="11"/>
    </row>
    <row r="5426" spans="8:20" x14ac:dyDescent="0.35">
      <c r="H5426" s="711"/>
      <c r="I5426" s="711"/>
      <c r="J5426" s="711"/>
      <c r="K5426" s="711"/>
      <c r="L5426" s="711"/>
      <c r="Q5426" s="11"/>
      <c r="R5426" s="11"/>
      <c r="S5426" s="11"/>
      <c r="T5426" s="11"/>
    </row>
    <row r="5427" spans="8:20" x14ac:dyDescent="0.35">
      <c r="H5427" s="711"/>
      <c r="I5427" s="711"/>
      <c r="J5427" s="711"/>
      <c r="K5427" s="711"/>
      <c r="L5427" s="711"/>
      <c r="Q5427" s="11"/>
      <c r="R5427" s="11"/>
      <c r="S5427" s="11"/>
      <c r="T5427" s="11"/>
    </row>
    <row r="5428" spans="8:20" x14ac:dyDescent="0.35">
      <c r="H5428" s="711"/>
      <c r="I5428" s="711"/>
      <c r="J5428" s="711"/>
      <c r="K5428" s="711"/>
      <c r="L5428" s="711"/>
      <c r="Q5428" s="11"/>
      <c r="R5428" s="11"/>
      <c r="S5428" s="11"/>
      <c r="T5428" s="11"/>
    </row>
    <row r="5429" spans="8:20" x14ac:dyDescent="0.35">
      <c r="H5429" s="711"/>
      <c r="I5429" s="711"/>
      <c r="J5429" s="711"/>
      <c r="K5429" s="711"/>
      <c r="L5429" s="711"/>
      <c r="Q5429" s="11"/>
      <c r="R5429" s="11"/>
      <c r="S5429" s="11"/>
      <c r="T5429" s="11"/>
    </row>
    <row r="5430" spans="8:20" x14ac:dyDescent="0.35">
      <c r="H5430" s="711"/>
      <c r="I5430" s="711"/>
      <c r="J5430" s="711"/>
      <c r="K5430" s="711"/>
      <c r="L5430" s="711"/>
      <c r="Q5430" s="11"/>
      <c r="R5430" s="11"/>
      <c r="S5430" s="11"/>
      <c r="T5430" s="11"/>
    </row>
    <row r="5431" spans="8:20" x14ac:dyDescent="0.35">
      <c r="H5431" s="711"/>
      <c r="I5431" s="711"/>
      <c r="J5431" s="711"/>
      <c r="K5431" s="711"/>
      <c r="L5431" s="711"/>
      <c r="Q5431" s="11"/>
      <c r="R5431" s="11"/>
      <c r="S5431" s="11"/>
      <c r="T5431" s="11"/>
    </row>
    <row r="5432" spans="8:20" x14ac:dyDescent="0.35">
      <c r="H5432" s="711"/>
      <c r="I5432" s="711"/>
      <c r="J5432" s="711"/>
      <c r="K5432" s="711"/>
      <c r="L5432" s="711"/>
      <c r="Q5432" s="11"/>
      <c r="R5432" s="11"/>
      <c r="S5432" s="11"/>
      <c r="T5432" s="11"/>
    </row>
    <row r="5433" spans="8:20" x14ac:dyDescent="0.35">
      <c r="H5433" s="711"/>
      <c r="I5433" s="711"/>
      <c r="J5433" s="711"/>
      <c r="K5433" s="711"/>
      <c r="L5433" s="711"/>
      <c r="Q5433" s="11"/>
      <c r="R5433" s="11"/>
      <c r="S5433" s="11"/>
      <c r="T5433" s="11"/>
    </row>
    <row r="5434" spans="8:20" x14ac:dyDescent="0.35">
      <c r="H5434" s="711"/>
      <c r="I5434" s="711"/>
      <c r="J5434" s="711"/>
      <c r="K5434" s="711"/>
      <c r="L5434" s="711"/>
      <c r="Q5434" s="11"/>
      <c r="R5434" s="11"/>
      <c r="S5434" s="11"/>
      <c r="T5434" s="11"/>
    </row>
    <row r="5435" spans="8:20" x14ac:dyDescent="0.35">
      <c r="H5435" s="711"/>
      <c r="I5435" s="711"/>
      <c r="J5435" s="711"/>
      <c r="K5435" s="711"/>
      <c r="L5435" s="711"/>
      <c r="Q5435" s="11"/>
      <c r="R5435" s="11"/>
      <c r="S5435" s="11"/>
      <c r="T5435" s="11"/>
    </row>
    <row r="5436" spans="8:20" x14ac:dyDescent="0.35">
      <c r="H5436" s="711"/>
      <c r="I5436" s="711"/>
      <c r="J5436" s="711"/>
      <c r="K5436" s="711"/>
      <c r="L5436" s="711"/>
      <c r="Q5436" s="11"/>
      <c r="R5436" s="11"/>
      <c r="S5436" s="11"/>
      <c r="T5436" s="11"/>
    </row>
    <row r="5437" spans="8:20" x14ac:dyDescent="0.35">
      <c r="H5437" s="711"/>
      <c r="I5437" s="711"/>
      <c r="J5437" s="711"/>
      <c r="K5437" s="711"/>
      <c r="L5437" s="711"/>
      <c r="Q5437" s="11"/>
      <c r="R5437" s="11"/>
      <c r="S5437" s="11"/>
      <c r="T5437" s="11"/>
    </row>
    <row r="5438" spans="8:20" x14ac:dyDescent="0.35">
      <c r="H5438" s="711"/>
      <c r="I5438" s="711"/>
      <c r="J5438" s="711"/>
      <c r="K5438" s="711"/>
      <c r="L5438" s="711"/>
      <c r="Q5438" s="11"/>
      <c r="R5438" s="11"/>
      <c r="S5438" s="11"/>
      <c r="T5438" s="11"/>
    </row>
    <row r="5439" spans="8:20" x14ac:dyDescent="0.35">
      <c r="H5439" s="711"/>
      <c r="I5439" s="711"/>
      <c r="J5439" s="711"/>
      <c r="K5439" s="711"/>
      <c r="L5439" s="711"/>
      <c r="Q5439" s="11"/>
      <c r="R5439" s="11"/>
      <c r="S5439" s="11"/>
      <c r="T5439" s="11"/>
    </row>
    <row r="5440" spans="8:20" x14ac:dyDescent="0.35">
      <c r="H5440" s="711"/>
      <c r="I5440" s="711"/>
      <c r="J5440" s="711"/>
      <c r="K5440" s="711"/>
      <c r="L5440" s="711"/>
      <c r="Q5440" s="11"/>
      <c r="R5440" s="11"/>
      <c r="S5440" s="11"/>
      <c r="T5440" s="11"/>
    </row>
    <row r="5441" spans="8:20" x14ac:dyDescent="0.35">
      <c r="H5441" s="711"/>
      <c r="I5441" s="711"/>
      <c r="J5441" s="711"/>
      <c r="K5441" s="711"/>
      <c r="L5441" s="711"/>
      <c r="Q5441" s="11"/>
      <c r="R5441" s="11"/>
      <c r="S5441" s="11"/>
      <c r="T5441" s="11"/>
    </row>
    <row r="5442" spans="8:20" x14ac:dyDescent="0.35">
      <c r="H5442" s="711"/>
      <c r="I5442" s="711"/>
      <c r="J5442" s="711"/>
      <c r="K5442" s="711"/>
      <c r="L5442" s="711"/>
      <c r="Q5442" s="11"/>
      <c r="R5442" s="11"/>
      <c r="S5442" s="11"/>
      <c r="T5442" s="11"/>
    </row>
    <row r="5443" spans="8:20" x14ac:dyDescent="0.35">
      <c r="H5443" s="711"/>
      <c r="I5443" s="711"/>
      <c r="J5443" s="711"/>
      <c r="K5443" s="711"/>
      <c r="L5443" s="711"/>
      <c r="Q5443" s="11"/>
      <c r="R5443" s="11"/>
      <c r="S5443" s="11"/>
      <c r="T5443" s="11"/>
    </row>
    <row r="5444" spans="8:20" x14ac:dyDescent="0.35">
      <c r="H5444" s="711"/>
      <c r="I5444" s="711"/>
      <c r="J5444" s="711"/>
      <c r="K5444" s="711"/>
      <c r="L5444" s="711"/>
      <c r="Q5444" s="11"/>
      <c r="R5444" s="11"/>
      <c r="S5444" s="11"/>
      <c r="T5444" s="11"/>
    </row>
    <row r="5445" spans="8:20" x14ac:dyDescent="0.35">
      <c r="H5445" s="711"/>
      <c r="I5445" s="711"/>
      <c r="J5445" s="711"/>
      <c r="K5445" s="711"/>
      <c r="L5445" s="711"/>
      <c r="Q5445" s="11"/>
      <c r="R5445" s="11"/>
      <c r="S5445" s="11"/>
      <c r="T5445" s="11"/>
    </row>
    <row r="5446" spans="8:20" x14ac:dyDescent="0.35">
      <c r="H5446" s="711"/>
      <c r="I5446" s="711"/>
      <c r="J5446" s="711"/>
      <c r="K5446" s="711"/>
      <c r="L5446" s="711"/>
      <c r="Q5446" s="11"/>
      <c r="R5446" s="11"/>
      <c r="S5446" s="11"/>
      <c r="T5446" s="11"/>
    </row>
    <row r="5447" spans="8:20" x14ac:dyDescent="0.35">
      <c r="H5447" s="711"/>
      <c r="I5447" s="711"/>
      <c r="J5447" s="711"/>
      <c r="K5447" s="711"/>
      <c r="L5447" s="711"/>
      <c r="Q5447" s="11"/>
      <c r="R5447" s="11"/>
      <c r="S5447" s="11"/>
      <c r="T5447" s="11"/>
    </row>
    <row r="5448" spans="8:20" x14ac:dyDescent="0.35">
      <c r="H5448" s="711"/>
      <c r="I5448" s="711"/>
      <c r="J5448" s="711"/>
      <c r="K5448" s="711"/>
      <c r="L5448" s="711"/>
      <c r="Q5448" s="11"/>
      <c r="R5448" s="11"/>
      <c r="S5448" s="11"/>
      <c r="T5448" s="11"/>
    </row>
    <row r="5449" spans="8:20" x14ac:dyDescent="0.35">
      <c r="H5449" s="711"/>
      <c r="I5449" s="711"/>
      <c r="J5449" s="711"/>
      <c r="K5449" s="711"/>
      <c r="L5449" s="711"/>
      <c r="Q5449" s="11"/>
      <c r="R5449" s="11"/>
      <c r="S5449" s="11"/>
      <c r="T5449" s="11"/>
    </row>
    <row r="5450" spans="8:20" x14ac:dyDescent="0.35">
      <c r="H5450" s="711"/>
      <c r="I5450" s="711"/>
      <c r="J5450" s="711"/>
      <c r="K5450" s="711"/>
      <c r="L5450" s="711"/>
      <c r="Q5450" s="11"/>
      <c r="R5450" s="11"/>
      <c r="S5450" s="11"/>
      <c r="T5450" s="11"/>
    </row>
    <row r="5451" spans="8:20" x14ac:dyDescent="0.35">
      <c r="H5451" s="711"/>
      <c r="I5451" s="711"/>
      <c r="J5451" s="711"/>
      <c r="K5451" s="711"/>
      <c r="L5451" s="711"/>
      <c r="Q5451" s="11"/>
      <c r="R5451" s="11"/>
      <c r="S5451" s="11"/>
      <c r="T5451" s="11"/>
    </row>
    <row r="5452" spans="8:20" x14ac:dyDescent="0.35">
      <c r="H5452" s="711"/>
      <c r="I5452" s="711"/>
      <c r="J5452" s="711"/>
      <c r="K5452" s="711"/>
      <c r="L5452" s="711"/>
      <c r="Q5452" s="11"/>
      <c r="R5452" s="11"/>
      <c r="S5452" s="11"/>
      <c r="T5452" s="11"/>
    </row>
    <row r="5453" spans="8:20" x14ac:dyDescent="0.35">
      <c r="H5453" s="711"/>
      <c r="I5453" s="711"/>
      <c r="J5453" s="711"/>
      <c r="K5453" s="711"/>
      <c r="L5453" s="711"/>
      <c r="Q5453" s="11"/>
      <c r="R5453" s="11"/>
      <c r="S5453" s="11"/>
      <c r="T5453" s="11"/>
    </row>
    <row r="5454" spans="8:20" x14ac:dyDescent="0.35">
      <c r="H5454" s="711"/>
      <c r="I5454" s="711"/>
      <c r="J5454" s="711"/>
      <c r="K5454" s="711"/>
      <c r="L5454" s="711"/>
      <c r="Q5454" s="11"/>
      <c r="R5454" s="11"/>
      <c r="S5454" s="11"/>
      <c r="T5454" s="11"/>
    </row>
    <row r="5455" spans="8:20" x14ac:dyDescent="0.35">
      <c r="H5455" s="711"/>
      <c r="I5455" s="711"/>
      <c r="J5455" s="711"/>
      <c r="K5455" s="711"/>
      <c r="L5455" s="711"/>
      <c r="Q5455" s="11"/>
      <c r="R5455" s="11"/>
      <c r="S5455" s="11"/>
      <c r="T5455" s="11"/>
    </row>
    <row r="5456" spans="8:20" x14ac:dyDescent="0.35">
      <c r="H5456" s="711"/>
      <c r="I5456" s="711"/>
      <c r="J5456" s="711"/>
      <c r="K5456" s="711"/>
      <c r="L5456" s="711"/>
      <c r="Q5456" s="11"/>
      <c r="R5456" s="11"/>
      <c r="S5456" s="11"/>
      <c r="T5456" s="11"/>
    </row>
    <row r="5457" spans="8:20" x14ac:dyDescent="0.35">
      <c r="H5457" s="711"/>
      <c r="I5457" s="711"/>
      <c r="J5457" s="711"/>
      <c r="K5457" s="711"/>
      <c r="L5457" s="711"/>
      <c r="Q5457" s="11"/>
      <c r="R5457" s="11"/>
      <c r="S5457" s="11"/>
      <c r="T5457" s="11"/>
    </row>
    <row r="5458" spans="8:20" x14ac:dyDescent="0.35">
      <c r="H5458" s="711"/>
      <c r="I5458" s="711"/>
      <c r="J5458" s="711"/>
      <c r="K5458" s="711"/>
      <c r="L5458" s="711"/>
      <c r="Q5458" s="11"/>
      <c r="R5458" s="11"/>
      <c r="S5458" s="11"/>
      <c r="T5458" s="11"/>
    </row>
    <row r="5459" spans="8:20" x14ac:dyDescent="0.35">
      <c r="H5459" s="711"/>
      <c r="I5459" s="711"/>
      <c r="J5459" s="711"/>
      <c r="K5459" s="711"/>
      <c r="L5459" s="711"/>
      <c r="Q5459" s="11"/>
      <c r="R5459" s="11"/>
      <c r="S5459" s="11"/>
      <c r="T5459" s="11"/>
    </row>
    <row r="5460" spans="8:20" x14ac:dyDescent="0.35">
      <c r="H5460" s="711"/>
      <c r="I5460" s="711"/>
      <c r="J5460" s="711"/>
      <c r="K5460" s="711"/>
      <c r="L5460" s="711"/>
      <c r="Q5460" s="11"/>
      <c r="R5460" s="11"/>
      <c r="S5460" s="11"/>
      <c r="T5460" s="11"/>
    </row>
    <row r="5461" spans="8:20" x14ac:dyDescent="0.35">
      <c r="H5461" s="711"/>
      <c r="I5461" s="711"/>
      <c r="J5461" s="711"/>
      <c r="K5461" s="711"/>
      <c r="L5461" s="711"/>
      <c r="Q5461" s="11"/>
      <c r="R5461" s="11"/>
      <c r="S5461" s="11"/>
      <c r="T5461" s="11"/>
    </row>
    <row r="5462" spans="8:20" x14ac:dyDescent="0.35">
      <c r="H5462" s="711"/>
      <c r="I5462" s="711"/>
      <c r="J5462" s="711"/>
      <c r="K5462" s="711"/>
      <c r="L5462" s="711"/>
      <c r="Q5462" s="11"/>
      <c r="R5462" s="11"/>
      <c r="S5462" s="11"/>
      <c r="T5462" s="11"/>
    </row>
    <row r="5463" spans="8:20" x14ac:dyDescent="0.35">
      <c r="H5463" s="711"/>
      <c r="I5463" s="711"/>
      <c r="J5463" s="711"/>
      <c r="K5463" s="711"/>
      <c r="L5463" s="711"/>
      <c r="Q5463" s="11"/>
      <c r="R5463" s="11"/>
      <c r="S5463" s="11"/>
      <c r="T5463" s="11"/>
    </row>
    <row r="5464" spans="8:20" x14ac:dyDescent="0.35">
      <c r="H5464" s="711"/>
      <c r="I5464" s="711"/>
      <c r="J5464" s="711"/>
      <c r="K5464" s="711"/>
      <c r="L5464" s="711"/>
      <c r="Q5464" s="11"/>
      <c r="R5464" s="11"/>
      <c r="S5464" s="11"/>
      <c r="T5464" s="11"/>
    </row>
    <row r="5465" spans="8:20" x14ac:dyDescent="0.35">
      <c r="H5465" s="711"/>
      <c r="I5465" s="711"/>
      <c r="J5465" s="711"/>
      <c r="K5465" s="711"/>
      <c r="L5465" s="711"/>
      <c r="Q5465" s="11"/>
      <c r="R5465" s="11"/>
      <c r="S5465" s="11"/>
      <c r="T5465" s="11"/>
    </row>
    <row r="5466" spans="8:20" x14ac:dyDescent="0.35">
      <c r="H5466" s="711"/>
      <c r="I5466" s="711"/>
      <c r="J5466" s="711"/>
      <c r="K5466" s="711"/>
      <c r="L5466" s="711"/>
      <c r="Q5466" s="11"/>
      <c r="R5466" s="11"/>
      <c r="S5466" s="11"/>
      <c r="T5466" s="11"/>
    </row>
    <row r="5467" spans="8:20" x14ac:dyDescent="0.35">
      <c r="H5467" s="711"/>
      <c r="I5467" s="711"/>
      <c r="J5467" s="711"/>
      <c r="K5467" s="711"/>
      <c r="L5467" s="711"/>
      <c r="Q5467" s="11"/>
      <c r="R5467" s="11"/>
      <c r="S5467" s="11"/>
      <c r="T5467" s="11"/>
    </row>
    <row r="5468" spans="8:20" x14ac:dyDescent="0.35">
      <c r="H5468" s="711"/>
      <c r="I5468" s="711"/>
      <c r="J5468" s="711"/>
      <c r="K5468" s="711"/>
      <c r="L5468" s="711"/>
      <c r="Q5468" s="11"/>
      <c r="R5468" s="11"/>
      <c r="S5468" s="11"/>
      <c r="T5468" s="11"/>
    </row>
    <row r="5469" spans="8:20" x14ac:dyDescent="0.35">
      <c r="H5469" s="711"/>
      <c r="I5469" s="711"/>
      <c r="J5469" s="711"/>
      <c r="K5469" s="711"/>
      <c r="L5469" s="711"/>
      <c r="Q5469" s="11"/>
      <c r="R5469" s="11"/>
      <c r="S5469" s="11"/>
      <c r="T5469" s="11"/>
    </row>
    <row r="5470" spans="8:20" x14ac:dyDescent="0.35">
      <c r="H5470" s="711"/>
      <c r="I5470" s="711"/>
      <c r="J5470" s="711"/>
      <c r="K5470" s="711"/>
      <c r="L5470" s="711"/>
      <c r="Q5470" s="11"/>
      <c r="R5470" s="11"/>
      <c r="S5470" s="11"/>
      <c r="T5470" s="11"/>
    </row>
    <row r="5471" spans="8:20" x14ac:dyDescent="0.35">
      <c r="H5471" s="711"/>
      <c r="I5471" s="711"/>
      <c r="J5471" s="711"/>
      <c r="K5471" s="711"/>
      <c r="L5471" s="711"/>
      <c r="Q5471" s="11"/>
      <c r="R5471" s="11"/>
      <c r="S5471" s="11"/>
      <c r="T5471" s="11"/>
    </row>
    <row r="5472" spans="8:20" x14ac:dyDescent="0.35">
      <c r="H5472" s="711"/>
      <c r="I5472" s="711"/>
      <c r="J5472" s="711"/>
      <c r="K5472" s="711"/>
      <c r="L5472" s="711"/>
      <c r="Q5472" s="11"/>
      <c r="R5472" s="11"/>
      <c r="S5472" s="11"/>
      <c r="T5472" s="11"/>
    </row>
    <row r="5473" spans="8:20" x14ac:dyDescent="0.35">
      <c r="H5473" s="711"/>
      <c r="I5473" s="711"/>
      <c r="J5473" s="711"/>
      <c r="K5473" s="711"/>
      <c r="L5473" s="711"/>
      <c r="Q5473" s="11"/>
      <c r="R5473" s="11"/>
      <c r="S5473" s="11"/>
      <c r="T5473" s="11"/>
    </row>
    <row r="5474" spans="8:20" x14ac:dyDescent="0.35">
      <c r="H5474" s="711"/>
      <c r="I5474" s="711"/>
      <c r="J5474" s="711"/>
      <c r="K5474" s="711"/>
      <c r="L5474" s="711"/>
      <c r="Q5474" s="11"/>
      <c r="R5474" s="11"/>
      <c r="S5474" s="11"/>
      <c r="T5474" s="11"/>
    </row>
    <row r="5475" spans="8:20" x14ac:dyDescent="0.35">
      <c r="H5475" s="711"/>
      <c r="I5475" s="711"/>
      <c r="J5475" s="711"/>
      <c r="K5475" s="711"/>
      <c r="L5475" s="711"/>
      <c r="Q5475" s="11"/>
      <c r="R5475" s="11"/>
      <c r="S5475" s="11"/>
      <c r="T5475" s="11"/>
    </row>
    <row r="5476" spans="8:20" x14ac:dyDescent="0.35">
      <c r="H5476" s="711"/>
      <c r="I5476" s="711"/>
      <c r="J5476" s="711"/>
      <c r="K5476" s="711"/>
      <c r="L5476" s="711"/>
      <c r="Q5476" s="11"/>
      <c r="R5476" s="11"/>
      <c r="S5476" s="11"/>
      <c r="T5476" s="11"/>
    </row>
    <row r="5477" spans="8:20" x14ac:dyDescent="0.35">
      <c r="H5477" s="711"/>
      <c r="I5477" s="711"/>
      <c r="J5477" s="711"/>
      <c r="K5477" s="711"/>
      <c r="L5477" s="711"/>
      <c r="Q5477" s="11"/>
      <c r="R5477" s="11"/>
      <c r="S5477" s="11"/>
      <c r="T5477" s="11"/>
    </row>
    <row r="5478" spans="8:20" x14ac:dyDescent="0.35">
      <c r="H5478" s="711"/>
      <c r="I5478" s="711"/>
      <c r="J5478" s="711"/>
      <c r="K5478" s="711"/>
      <c r="L5478" s="711"/>
      <c r="Q5478" s="11"/>
      <c r="R5478" s="11"/>
      <c r="S5478" s="11"/>
      <c r="T5478" s="11"/>
    </row>
    <row r="5479" spans="8:20" x14ac:dyDescent="0.35">
      <c r="H5479" s="711"/>
      <c r="I5479" s="711"/>
      <c r="J5479" s="711"/>
      <c r="K5479" s="711"/>
      <c r="L5479" s="711"/>
      <c r="Q5479" s="11"/>
      <c r="R5479" s="11"/>
      <c r="S5479" s="11"/>
      <c r="T5479" s="11"/>
    </row>
    <row r="5480" spans="8:20" x14ac:dyDescent="0.35">
      <c r="H5480" s="711"/>
      <c r="I5480" s="711"/>
      <c r="J5480" s="711"/>
      <c r="K5480" s="711"/>
      <c r="L5480" s="711"/>
      <c r="Q5480" s="11"/>
      <c r="R5480" s="11"/>
      <c r="S5480" s="11"/>
      <c r="T5480" s="11"/>
    </row>
    <row r="5481" spans="8:20" x14ac:dyDescent="0.35">
      <c r="H5481" s="711"/>
      <c r="I5481" s="711"/>
      <c r="J5481" s="711"/>
      <c r="K5481" s="711"/>
      <c r="L5481" s="711"/>
      <c r="Q5481" s="11"/>
      <c r="R5481" s="11"/>
      <c r="S5481" s="11"/>
      <c r="T5481" s="11"/>
    </row>
    <row r="5482" spans="8:20" x14ac:dyDescent="0.35">
      <c r="H5482" s="711"/>
      <c r="I5482" s="711"/>
      <c r="J5482" s="711"/>
      <c r="K5482" s="711"/>
      <c r="L5482" s="711"/>
      <c r="Q5482" s="11"/>
      <c r="R5482" s="11"/>
      <c r="S5482" s="11"/>
      <c r="T5482" s="11"/>
    </row>
    <row r="5483" spans="8:20" x14ac:dyDescent="0.35">
      <c r="H5483" s="711"/>
      <c r="I5483" s="711"/>
      <c r="J5483" s="711"/>
      <c r="K5483" s="711"/>
      <c r="L5483" s="711"/>
      <c r="Q5483" s="11"/>
      <c r="R5483" s="11"/>
      <c r="S5483" s="11"/>
      <c r="T5483" s="11"/>
    </row>
    <row r="5484" spans="8:20" x14ac:dyDescent="0.35">
      <c r="H5484" s="711"/>
      <c r="I5484" s="711"/>
      <c r="J5484" s="711"/>
      <c r="K5484" s="711"/>
      <c r="L5484" s="711"/>
      <c r="Q5484" s="11"/>
      <c r="R5484" s="11"/>
      <c r="S5484" s="11"/>
      <c r="T5484" s="11"/>
    </row>
    <row r="5485" spans="8:20" x14ac:dyDescent="0.35">
      <c r="H5485" s="711"/>
      <c r="I5485" s="711"/>
      <c r="J5485" s="711"/>
      <c r="K5485" s="711"/>
      <c r="L5485" s="711"/>
      <c r="Q5485" s="11"/>
      <c r="R5485" s="11"/>
      <c r="S5485" s="11"/>
      <c r="T5485" s="11"/>
    </row>
    <row r="5486" spans="8:20" x14ac:dyDescent="0.35">
      <c r="H5486" s="711"/>
      <c r="I5486" s="711"/>
      <c r="J5486" s="711"/>
      <c r="K5486" s="711"/>
      <c r="L5486" s="711"/>
      <c r="Q5486" s="11"/>
      <c r="R5486" s="11"/>
      <c r="S5486" s="11"/>
      <c r="T5486" s="11"/>
    </row>
    <row r="5487" spans="8:20" x14ac:dyDescent="0.35">
      <c r="H5487" s="711"/>
      <c r="I5487" s="711"/>
      <c r="J5487" s="711"/>
      <c r="K5487" s="711"/>
      <c r="L5487" s="711"/>
      <c r="Q5487" s="11"/>
      <c r="R5487" s="11"/>
      <c r="S5487" s="11"/>
      <c r="T5487" s="11"/>
    </row>
    <row r="5488" spans="8:20" x14ac:dyDescent="0.35">
      <c r="H5488" s="711"/>
      <c r="I5488" s="711"/>
      <c r="J5488" s="711"/>
      <c r="K5488" s="711"/>
      <c r="L5488" s="711"/>
      <c r="Q5488" s="11"/>
      <c r="R5488" s="11"/>
      <c r="S5488" s="11"/>
      <c r="T5488" s="11"/>
    </row>
    <row r="5489" spans="8:20" x14ac:dyDescent="0.35">
      <c r="H5489" s="711"/>
      <c r="I5489" s="711"/>
      <c r="J5489" s="711"/>
      <c r="K5489" s="711"/>
      <c r="L5489" s="711"/>
      <c r="Q5489" s="11"/>
      <c r="R5489" s="11"/>
      <c r="S5489" s="11"/>
      <c r="T5489" s="11"/>
    </row>
    <row r="5490" spans="8:20" x14ac:dyDescent="0.35">
      <c r="H5490" s="711"/>
      <c r="I5490" s="711"/>
      <c r="J5490" s="711"/>
      <c r="K5490" s="711"/>
      <c r="L5490" s="711"/>
      <c r="Q5490" s="11"/>
      <c r="R5490" s="11"/>
      <c r="S5490" s="11"/>
      <c r="T5490" s="11"/>
    </row>
    <row r="5491" spans="8:20" x14ac:dyDescent="0.35">
      <c r="H5491" s="711"/>
      <c r="I5491" s="711"/>
      <c r="J5491" s="711"/>
      <c r="K5491" s="711"/>
      <c r="L5491" s="711"/>
      <c r="Q5491" s="11"/>
      <c r="R5491" s="11"/>
      <c r="S5491" s="11"/>
      <c r="T5491" s="11"/>
    </row>
    <row r="5492" spans="8:20" x14ac:dyDescent="0.35">
      <c r="H5492" s="711"/>
      <c r="I5492" s="711"/>
      <c r="J5492" s="711"/>
      <c r="K5492" s="711"/>
      <c r="L5492" s="711"/>
      <c r="Q5492" s="11"/>
      <c r="R5492" s="11"/>
      <c r="S5492" s="11"/>
      <c r="T5492" s="11"/>
    </row>
    <row r="5493" spans="8:20" x14ac:dyDescent="0.35">
      <c r="H5493" s="711"/>
      <c r="I5493" s="711"/>
      <c r="J5493" s="711"/>
      <c r="K5493" s="711"/>
      <c r="L5493" s="711"/>
      <c r="Q5493" s="11"/>
      <c r="R5493" s="11"/>
      <c r="S5493" s="11"/>
      <c r="T5493" s="11"/>
    </row>
    <row r="5494" spans="8:20" x14ac:dyDescent="0.35">
      <c r="H5494" s="711"/>
      <c r="I5494" s="711"/>
      <c r="J5494" s="711"/>
      <c r="K5494" s="711"/>
      <c r="L5494" s="711"/>
      <c r="Q5494" s="11"/>
      <c r="R5494" s="11"/>
      <c r="S5494" s="11"/>
      <c r="T5494" s="11"/>
    </row>
    <row r="5495" spans="8:20" x14ac:dyDescent="0.35">
      <c r="H5495" s="711"/>
      <c r="I5495" s="711"/>
      <c r="J5495" s="711"/>
      <c r="K5495" s="711"/>
      <c r="L5495" s="711"/>
      <c r="Q5495" s="11"/>
      <c r="R5495" s="11"/>
      <c r="S5495" s="11"/>
      <c r="T5495" s="11"/>
    </row>
    <row r="5496" spans="8:20" x14ac:dyDescent="0.35">
      <c r="H5496" s="711"/>
      <c r="I5496" s="711"/>
      <c r="J5496" s="711"/>
      <c r="K5496" s="711"/>
      <c r="L5496" s="711"/>
      <c r="Q5496" s="11"/>
      <c r="R5496" s="11"/>
      <c r="S5496" s="11"/>
      <c r="T5496" s="11"/>
    </row>
    <row r="5497" spans="8:20" x14ac:dyDescent="0.35">
      <c r="H5497" s="711"/>
      <c r="I5497" s="711"/>
      <c r="J5497" s="711"/>
      <c r="K5497" s="711"/>
      <c r="L5497" s="711"/>
      <c r="Q5497" s="11"/>
      <c r="R5497" s="11"/>
      <c r="S5497" s="11"/>
      <c r="T5497" s="11"/>
    </row>
    <row r="5498" spans="8:20" x14ac:dyDescent="0.35">
      <c r="H5498" s="711"/>
      <c r="I5498" s="711"/>
      <c r="J5498" s="711"/>
      <c r="K5498" s="711"/>
      <c r="L5498" s="711"/>
      <c r="Q5498" s="11"/>
      <c r="R5498" s="11"/>
      <c r="S5498" s="11"/>
      <c r="T5498" s="11"/>
    </row>
    <row r="5499" spans="8:20" x14ac:dyDescent="0.35">
      <c r="H5499" s="711"/>
      <c r="I5499" s="711"/>
      <c r="J5499" s="711"/>
      <c r="K5499" s="711"/>
      <c r="L5499" s="711"/>
      <c r="Q5499" s="11"/>
      <c r="R5499" s="11"/>
      <c r="S5499" s="11"/>
      <c r="T5499" s="11"/>
    </row>
    <row r="5500" spans="8:20" x14ac:dyDescent="0.35">
      <c r="H5500" s="711"/>
      <c r="I5500" s="711"/>
      <c r="J5500" s="711"/>
      <c r="K5500" s="711"/>
      <c r="L5500" s="711"/>
      <c r="Q5500" s="11"/>
      <c r="R5500" s="11"/>
      <c r="S5500" s="11"/>
      <c r="T5500" s="11"/>
    </row>
    <row r="5501" spans="8:20" x14ac:dyDescent="0.35">
      <c r="H5501" s="711"/>
      <c r="I5501" s="711"/>
      <c r="J5501" s="711"/>
      <c r="K5501" s="711"/>
      <c r="L5501" s="711"/>
      <c r="Q5501" s="11"/>
      <c r="R5501" s="11"/>
      <c r="S5501" s="11"/>
      <c r="T5501" s="11"/>
    </row>
    <row r="5502" spans="8:20" x14ac:dyDescent="0.35">
      <c r="H5502" s="711"/>
      <c r="I5502" s="711"/>
      <c r="J5502" s="711"/>
      <c r="K5502" s="711"/>
      <c r="L5502" s="711"/>
      <c r="Q5502" s="11"/>
      <c r="R5502" s="11"/>
      <c r="S5502" s="11"/>
      <c r="T5502" s="11"/>
    </row>
    <row r="5503" spans="8:20" x14ac:dyDescent="0.35">
      <c r="H5503" s="711"/>
      <c r="I5503" s="711"/>
      <c r="J5503" s="711"/>
      <c r="K5503" s="711"/>
      <c r="L5503" s="711"/>
      <c r="Q5503" s="11"/>
      <c r="R5503" s="11"/>
      <c r="S5503" s="11"/>
      <c r="T5503" s="11"/>
    </row>
    <row r="5504" spans="8:20" x14ac:dyDescent="0.35">
      <c r="H5504" s="711"/>
      <c r="I5504" s="711"/>
      <c r="J5504" s="711"/>
      <c r="K5504" s="711"/>
      <c r="L5504" s="711"/>
      <c r="Q5504" s="11"/>
      <c r="R5504" s="11"/>
      <c r="S5504" s="11"/>
      <c r="T5504" s="11"/>
    </row>
    <row r="5505" spans="8:20" x14ac:dyDescent="0.35">
      <c r="H5505" s="711"/>
      <c r="I5505" s="711"/>
      <c r="J5505" s="711"/>
      <c r="K5505" s="711"/>
      <c r="L5505" s="711"/>
      <c r="Q5505" s="11"/>
      <c r="R5505" s="11"/>
      <c r="S5505" s="11"/>
      <c r="T5505" s="11"/>
    </row>
    <row r="5506" spans="8:20" x14ac:dyDescent="0.35">
      <c r="H5506" s="711"/>
      <c r="I5506" s="711"/>
      <c r="J5506" s="711"/>
      <c r="K5506" s="711"/>
      <c r="L5506" s="711"/>
      <c r="Q5506" s="11"/>
      <c r="R5506" s="11"/>
      <c r="S5506" s="11"/>
      <c r="T5506" s="11"/>
    </row>
    <row r="5507" spans="8:20" x14ac:dyDescent="0.35">
      <c r="H5507" s="711"/>
      <c r="I5507" s="711"/>
      <c r="J5507" s="711"/>
      <c r="K5507" s="711"/>
      <c r="L5507" s="711"/>
      <c r="Q5507" s="11"/>
      <c r="R5507" s="11"/>
      <c r="S5507" s="11"/>
      <c r="T5507" s="11"/>
    </row>
    <row r="5508" spans="8:20" x14ac:dyDescent="0.35">
      <c r="H5508" s="711"/>
      <c r="I5508" s="711"/>
      <c r="J5508" s="711"/>
      <c r="K5508" s="711"/>
      <c r="L5508" s="711"/>
      <c r="Q5508" s="11"/>
      <c r="R5508" s="11"/>
      <c r="S5508" s="11"/>
      <c r="T5508" s="11"/>
    </row>
    <row r="5509" spans="8:20" x14ac:dyDescent="0.35">
      <c r="H5509" s="711"/>
      <c r="I5509" s="711"/>
      <c r="J5509" s="711"/>
      <c r="K5509" s="711"/>
      <c r="L5509" s="711"/>
      <c r="Q5509" s="11"/>
      <c r="R5509" s="11"/>
      <c r="S5509" s="11"/>
      <c r="T5509" s="11"/>
    </row>
    <row r="5510" spans="8:20" x14ac:dyDescent="0.35">
      <c r="H5510" s="711"/>
      <c r="I5510" s="711"/>
      <c r="J5510" s="711"/>
      <c r="K5510" s="711"/>
      <c r="L5510" s="711"/>
      <c r="Q5510" s="11"/>
      <c r="R5510" s="11"/>
      <c r="S5510" s="11"/>
      <c r="T5510" s="11"/>
    </row>
    <row r="5511" spans="8:20" x14ac:dyDescent="0.35">
      <c r="H5511" s="711"/>
      <c r="I5511" s="711"/>
      <c r="J5511" s="711"/>
      <c r="K5511" s="711"/>
      <c r="L5511" s="711"/>
      <c r="Q5511" s="11"/>
      <c r="R5511" s="11"/>
      <c r="S5511" s="11"/>
      <c r="T5511" s="11"/>
    </row>
    <row r="5512" spans="8:20" x14ac:dyDescent="0.35">
      <c r="H5512" s="711"/>
      <c r="I5512" s="711"/>
      <c r="J5512" s="711"/>
      <c r="K5512" s="711"/>
      <c r="L5512" s="711"/>
      <c r="Q5512" s="11"/>
      <c r="R5512" s="11"/>
      <c r="S5512" s="11"/>
      <c r="T5512" s="11"/>
    </row>
    <row r="5513" spans="8:20" x14ac:dyDescent="0.35">
      <c r="H5513" s="711"/>
      <c r="I5513" s="711"/>
      <c r="J5513" s="711"/>
      <c r="K5513" s="711"/>
      <c r="L5513" s="711"/>
      <c r="Q5513" s="11"/>
      <c r="R5513" s="11"/>
      <c r="S5513" s="11"/>
      <c r="T5513" s="11"/>
    </row>
    <row r="5514" spans="8:20" x14ac:dyDescent="0.35">
      <c r="H5514" s="711"/>
      <c r="I5514" s="711"/>
      <c r="J5514" s="711"/>
      <c r="K5514" s="711"/>
      <c r="L5514" s="711"/>
      <c r="Q5514" s="11"/>
      <c r="R5514" s="11"/>
      <c r="S5514" s="11"/>
      <c r="T5514" s="11"/>
    </row>
    <row r="5515" spans="8:20" x14ac:dyDescent="0.35">
      <c r="H5515" s="711"/>
      <c r="I5515" s="711"/>
      <c r="J5515" s="711"/>
      <c r="K5515" s="711"/>
      <c r="L5515" s="711"/>
      <c r="Q5515" s="11"/>
      <c r="R5515" s="11"/>
      <c r="S5515" s="11"/>
      <c r="T5515" s="11"/>
    </row>
    <row r="5516" spans="8:20" x14ac:dyDescent="0.35">
      <c r="H5516" s="711"/>
      <c r="I5516" s="711"/>
      <c r="J5516" s="711"/>
      <c r="K5516" s="711"/>
      <c r="L5516" s="711"/>
      <c r="Q5516" s="11"/>
      <c r="R5516" s="11"/>
      <c r="S5516" s="11"/>
      <c r="T5516" s="11"/>
    </row>
    <row r="5517" spans="8:20" x14ac:dyDescent="0.35">
      <c r="H5517" s="711"/>
      <c r="I5517" s="711"/>
      <c r="J5517" s="711"/>
      <c r="K5517" s="711"/>
      <c r="L5517" s="711"/>
      <c r="Q5517" s="11"/>
      <c r="R5517" s="11"/>
      <c r="S5517" s="11"/>
      <c r="T5517" s="11"/>
    </row>
    <row r="5518" spans="8:20" x14ac:dyDescent="0.35">
      <c r="H5518" s="711"/>
      <c r="I5518" s="711"/>
      <c r="J5518" s="711"/>
      <c r="K5518" s="711"/>
      <c r="L5518" s="711"/>
      <c r="Q5518" s="11"/>
      <c r="R5518" s="11"/>
      <c r="S5518" s="11"/>
      <c r="T5518" s="11"/>
    </row>
    <row r="5519" spans="8:20" x14ac:dyDescent="0.35">
      <c r="H5519" s="711"/>
      <c r="I5519" s="711"/>
      <c r="J5519" s="711"/>
      <c r="K5519" s="711"/>
      <c r="L5519" s="711"/>
      <c r="Q5519" s="11"/>
      <c r="R5519" s="11"/>
      <c r="S5519" s="11"/>
      <c r="T5519" s="11"/>
    </row>
    <row r="5520" spans="8:20" x14ac:dyDescent="0.35">
      <c r="H5520" s="711"/>
      <c r="I5520" s="711"/>
      <c r="J5520" s="711"/>
      <c r="K5520" s="711"/>
      <c r="L5520" s="711"/>
      <c r="Q5520" s="11"/>
      <c r="R5520" s="11"/>
      <c r="S5520" s="11"/>
      <c r="T5520" s="11"/>
    </row>
    <row r="5521" spans="8:20" x14ac:dyDescent="0.35">
      <c r="H5521" s="711"/>
      <c r="I5521" s="711"/>
      <c r="J5521" s="711"/>
      <c r="K5521" s="711"/>
      <c r="L5521" s="711"/>
      <c r="Q5521" s="11"/>
      <c r="R5521" s="11"/>
      <c r="S5521" s="11"/>
      <c r="T5521" s="11"/>
    </row>
    <row r="5522" spans="8:20" x14ac:dyDescent="0.35">
      <c r="H5522" s="711"/>
      <c r="I5522" s="711"/>
      <c r="J5522" s="711"/>
      <c r="K5522" s="711"/>
      <c r="L5522" s="711"/>
      <c r="Q5522" s="11"/>
      <c r="R5522" s="11"/>
      <c r="S5522" s="11"/>
      <c r="T5522" s="11"/>
    </row>
    <row r="5523" spans="8:20" x14ac:dyDescent="0.35">
      <c r="H5523" s="711"/>
      <c r="I5523" s="711"/>
      <c r="J5523" s="711"/>
      <c r="K5523" s="711"/>
      <c r="L5523" s="711"/>
      <c r="Q5523" s="11"/>
      <c r="R5523" s="11"/>
      <c r="S5523" s="11"/>
      <c r="T5523" s="11"/>
    </row>
    <row r="5524" spans="8:20" x14ac:dyDescent="0.35">
      <c r="H5524" s="711"/>
      <c r="I5524" s="711"/>
      <c r="J5524" s="711"/>
      <c r="K5524" s="711"/>
      <c r="L5524" s="711"/>
      <c r="Q5524" s="11"/>
      <c r="R5524" s="11"/>
      <c r="S5524" s="11"/>
      <c r="T5524" s="11"/>
    </row>
    <row r="5525" spans="8:20" x14ac:dyDescent="0.35">
      <c r="H5525" s="711"/>
      <c r="I5525" s="711"/>
      <c r="J5525" s="711"/>
      <c r="K5525" s="711"/>
      <c r="L5525" s="711"/>
      <c r="Q5525" s="11"/>
      <c r="R5525" s="11"/>
      <c r="S5525" s="11"/>
      <c r="T5525" s="11"/>
    </row>
    <row r="5526" spans="8:20" x14ac:dyDescent="0.35">
      <c r="H5526" s="711"/>
      <c r="I5526" s="711"/>
      <c r="J5526" s="711"/>
      <c r="K5526" s="711"/>
      <c r="L5526" s="711"/>
      <c r="Q5526" s="11"/>
      <c r="R5526" s="11"/>
      <c r="S5526" s="11"/>
      <c r="T5526" s="11"/>
    </row>
    <row r="5527" spans="8:20" x14ac:dyDescent="0.35">
      <c r="H5527" s="711"/>
      <c r="I5527" s="711"/>
      <c r="J5527" s="711"/>
      <c r="K5527" s="711"/>
      <c r="L5527" s="711"/>
      <c r="Q5527" s="11"/>
      <c r="R5527" s="11"/>
      <c r="S5527" s="11"/>
      <c r="T5527" s="11"/>
    </row>
    <row r="5528" spans="8:20" x14ac:dyDescent="0.35">
      <c r="H5528" s="711"/>
      <c r="I5528" s="711"/>
      <c r="J5528" s="711"/>
      <c r="K5528" s="711"/>
      <c r="L5528" s="711"/>
      <c r="Q5528" s="11"/>
      <c r="R5528" s="11"/>
      <c r="S5528" s="11"/>
      <c r="T5528" s="11"/>
    </row>
    <row r="5529" spans="8:20" x14ac:dyDescent="0.35">
      <c r="H5529" s="711"/>
      <c r="I5529" s="711"/>
      <c r="J5529" s="711"/>
      <c r="K5529" s="711"/>
      <c r="L5529" s="711"/>
      <c r="Q5529" s="11"/>
      <c r="R5529" s="11"/>
      <c r="S5529" s="11"/>
      <c r="T5529" s="11"/>
    </row>
    <row r="5530" spans="8:20" x14ac:dyDescent="0.35">
      <c r="H5530" s="711"/>
      <c r="I5530" s="711"/>
      <c r="J5530" s="711"/>
      <c r="K5530" s="711"/>
      <c r="L5530" s="711"/>
      <c r="Q5530" s="11"/>
      <c r="R5530" s="11"/>
      <c r="S5530" s="11"/>
      <c r="T5530" s="11"/>
    </row>
    <row r="5531" spans="8:20" x14ac:dyDescent="0.35">
      <c r="H5531" s="711"/>
      <c r="I5531" s="711"/>
      <c r="J5531" s="711"/>
      <c r="K5531" s="711"/>
      <c r="L5531" s="711"/>
      <c r="Q5531" s="11"/>
      <c r="R5531" s="11"/>
      <c r="S5531" s="11"/>
      <c r="T5531" s="11"/>
    </row>
    <row r="5532" spans="8:20" x14ac:dyDescent="0.35">
      <c r="H5532" s="711"/>
      <c r="I5532" s="711"/>
      <c r="J5532" s="711"/>
      <c r="K5532" s="711"/>
      <c r="L5532" s="711"/>
      <c r="Q5532" s="11"/>
      <c r="R5532" s="11"/>
      <c r="S5532" s="11"/>
      <c r="T5532" s="11"/>
    </row>
    <row r="5533" spans="8:20" x14ac:dyDescent="0.35">
      <c r="H5533" s="711"/>
      <c r="I5533" s="711"/>
      <c r="J5533" s="711"/>
      <c r="K5533" s="711"/>
      <c r="L5533" s="711"/>
      <c r="Q5533" s="11"/>
      <c r="R5533" s="11"/>
      <c r="S5533" s="11"/>
      <c r="T5533" s="11"/>
    </row>
    <row r="5534" spans="8:20" x14ac:dyDescent="0.35">
      <c r="H5534" s="711"/>
      <c r="I5534" s="711"/>
      <c r="J5534" s="711"/>
      <c r="K5534" s="711"/>
      <c r="L5534" s="711"/>
      <c r="Q5534" s="11"/>
      <c r="R5534" s="11"/>
      <c r="S5534" s="11"/>
      <c r="T5534" s="11"/>
    </row>
    <row r="5535" spans="8:20" x14ac:dyDescent="0.35">
      <c r="H5535" s="711"/>
      <c r="I5535" s="711"/>
      <c r="J5535" s="711"/>
      <c r="K5535" s="711"/>
      <c r="L5535" s="711"/>
      <c r="Q5535" s="11"/>
      <c r="R5535" s="11"/>
      <c r="S5535" s="11"/>
      <c r="T5535" s="11"/>
    </row>
    <row r="5536" spans="8:20" x14ac:dyDescent="0.35">
      <c r="H5536" s="711"/>
      <c r="I5536" s="711"/>
      <c r="J5536" s="711"/>
      <c r="K5536" s="711"/>
      <c r="L5536" s="711"/>
      <c r="Q5536" s="11"/>
      <c r="R5536" s="11"/>
      <c r="S5536" s="11"/>
      <c r="T5536" s="11"/>
    </row>
    <row r="5537" spans="8:20" x14ac:dyDescent="0.35">
      <c r="H5537" s="711"/>
      <c r="I5537" s="711"/>
      <c r="J5537" s="711"/>
      <c r="K5537" s="711"/>
      <c r="L5537" s="711"/>
      <c r="Q5537" s="11"/>
      <c r="R5537" s="11"/>
      <c r="S5537" s="11"/>
      <c r="T5537" s="11"/>
    </row>
    <row r="5538" spans="8:20" x14ac:dyDescent="0.35">
      <c r="H5538" s="711"/>
      <c r="I5538" s="711"/>
      <c r="J5538" s="711"/>
      <c r="K5538" s="711"/>
      <c r="L5538" s="711"/>
      <c r="Q5538" s="11"/>
      <c r="R5538" s="11"/>
      <c r="S5538" s="11"/>
      <c r="T5538" s="11"/>
    </row>
    <row r="5539" spans="8:20" x14ac:dyDescent="0.35">
      <c r="H5539" s="711"/>
      <c r="I5539" s="711"/>
      <c r="J5539" s="711"/>
      <c r="K5539" s="711"/>
      <c r="L5539" s="711"/>
      <c r="Q5539" s="11"/>
      <c r="R5539" s="11"/>
      <c r="S5539" s="11"/>
      <c r="T5539" s="11"/>
    </row>
    <row r="5540" spans="8:20" x14ac:dyDescent="0.35">
      <c r="H5540" s="711"/>
      <c r="I5540" s="711"/>
      <c r="J5540" s="711"/>
      <c r="K5540" s="711"/>
      <c r="L5540" s="711"/>
      <c r="Q5540" s="11"/>
      <c r="R5540" s="11"/>
      <c r="S5540" s="11"/>
      <c r="T5540" s="11"/>
    </row>
    <row r="5541" spans="8:20" x14ac:dyDescent="0.35">
      <c r="H5541" s="711"/>
      <c r="I5541" s="711"/>
      <c r="J5541" s="711"/>
      <c r="K5541" s="711"/>
      <c r="L5541" s="711"/>
      <c r="Q5541" s="11"/>
      <c r="R5541" s="11"/>
      <c r="S5541" s="11"/>
      <c r="T5541" s="11"/>
    </row>
    <row r="5542" spans="8:20" x14ac:dyDescent="0.35">
      <c r="H5542" s="711"/>
      <c r="I5542" s="711"/>
      <c r="J5542" s="711"/>
      <c r="K5542" s="711"/>
      <c r="L5542" s="711"/>
      <c r="Q5542" s="11"/>
      <c r="R5542" s="11"/>
      <c r="S5542" s="11"/>
      <c r="T5542" s="11"/>
    </row>
    <row r="5543" spans="8:20" x14ac:dyDescent="0.35">
      <c r="H5543" s="711"/>
      <c r="I5543" s="711"/>
      <c r="J5543" s="711"/>
      <c r="K5543" s="711"/>
      <c r="L5543" s="711"/>
      <c r="Q5543" s="11"/>
      <c r="R5543" s="11"/>
      <c r="S5543" s="11"/>
      <c r="T5543" s="11"/>
    </row>
    <row r="5544" spans="8:20" x14ac:dyDescent="0.35">
      <c r="H5544" s="711"/>
      <c r="I5544" s="711"/>
      <c r="J5544" s="711"/>
      <c r="K5544" s="711"/>
      <c r="L5544" s="711"/>
      <c r="Q5544" s="11"/>
      <c r="R5544" s="11"/>
      <c r="S5544" s="11"/>
      <c r="T5544" s="11"/>
    </row>
    <row r="5545" spans="8:20" x14ac:dyDescent="0.35">
      <c r="H5545" s="711"/>
      <c r="I5545" s="711"/>
      <c r="J5545" s="711"/>
      <c r="K5545" s="711"/>
      <c r="L5545" s="711"/>
      <c r="Q5545" s="11"/>
      <c r="R5545" s="11"/>
      <c r="S5545" s="11"/>
      <c r="T5545" s="11"/>
    </row>
    <row r="5546" spans="8:20" x14ac:dyDescent="0.35">
      <c r="H5546" s="711"/>
      <c r="I5546" s="711"/>
      <c r="J5546" s="711"/>
      <c r="K5546" s="711"/>
      <c r="L5546" s="711"/>
      <c r="Q5546" s="11"/>
      <c r="R5546" s="11"/>
      <c r="S5546" s="11"/>
      <c r="T5546" s="11"/>
    </row>
    <row r="5547" spans="8:20" x14ac:dyDescent="0.35">
      <c r="H5547" s="711"/>
      <c r="I5547" s="711"/>
      <c r="J5547" s="711"/>
      <c r="K5547" s="711"/>
      <c r="L5547" s="711"/>
      <c r="Q5547" s="11"/>
      <c r="R5547" s="11"/>
      <c r="S5547" s="11"/>
      <c r="T5547" s="11"/>
    </row>
    <row r="5548" spans="8:20" x14ac:dyDescent="0.35">
      <c r="H5548" s="711"/>
      <c r="I5548" s="711"/>
      <c r="J5548" s="711"/>
      <c r="K5548" s="711"/>
      <c r="L5548" s="711"/>
      <c r="Q5548" s="11"/>
      <c r="R5548" s="11"/>
      <c r="S5548" s="11"/>
      <c r="T5548" s="11"/>
    </row>
    <row r="5549" spans="8:20" x14ac:dyDescent="0.35">
      <c r="H5549" s="711"/>
      <c r="I5549" s="711"/>
      <c r="J5549" s="711"/>
      <c r="K5549" s="711"/>
      <c r="L5549" s="711"/>
      <c r="Q5549" s="11"/>
      <c r="R5549" s="11"/>
      <c r="S5549" s="11"/>
      <c r="T5549" s="11"/>
    </row>
    <row r="5550" spans="8:20" x14ac:dyDescent="0.35">
      <c r="H5550" s="711"/>
      <c r="I5550" s="711"/>
      <c r="J5550" s="711"/>
      <c r="K5550" s="711"/>
      <c r="L5550" s="711"/>
      <c r="Q5550" s="11"/>
      <c r="R5550" s="11"/>
      <c r="S5550" s="11"/>
      <c r="T5550" s="11"/>
    </row>
    <row r="5551" spans="8:20" x14ac:dyDescent="0.35">
      <c r="H5551" s="711"/>
      <c r="I5551" s="711"/>
      <c r="J5551" s="711"/>
      <c r="K5551" s="711"/>
      <c r="L5551" s="711"/>
      <c r="Q5551" s="11"/>
      <c r="R5551" s="11"/>
      <c r="S5551" s="11"/>
      <c r="T5551" s="11"/>
    </row>
    <row r="5552" spans="8:20" x14ac:dyDescent="0.35">
      <c r="H5552" s="711"/>
      <c r="I5552" s="711"/>
      <c r="J5552" s="711"/>
      <c r="K5552" s="711"/>
      <c r="L5552" s="711"/>
      <c r="Q5552" s="11"/>
      <c r="R5552" s="11"/>
      <c r="S5552" s="11"/>
      <c r="T5552" s="11"/>
    </row>
    <row r="5553" spans="8:20" x14ac:dyDescent="0.35">
      <c r="H5553" s="711"/>
      <c r="I5553" s="711"/>
      <c r="J5553" s="711"/>
      <c r="K5553" s="711"/>
      <c r="L5553" s="711"/>
      <c r="Q5553" s="11"/>
      <c r="R5553" s="11"/>
      <c r="S5553" s="11"/>
      <c r="T5553" s="11"/>
    </row>
    <row r="5554" spans="8:20" x14ac:dyDescent="0.35">
      <c r="H5554" s="711"/>
      <c r="I5554" s="711"/>
      <c r="J5554" s="711"/>
      <c r="K5554" s="711"/>
      <c r="L5554" s="711"/>
      <c r="Q5554" s="11"/>
      <c r="R5554" s="11"/>
      <c r="S5554" s="11"/>
      <c r="T5554" s="11"/>
    </row>
    <row r="5555" spans="8:20" x14ac:dyDescent="0.35">
      <c r="H5555" s="711"/>
      <c r="I5555" s="711"/>
      <c r="J5555" s="711"/>
      <c r="K5555" s="711"/>
      <c r="L5555" s="711"/>
      <c r="Q5555" s="11"/>
      <c r="R5555" s="11"/>
      <c r="S5555" s="11"/>
      <c r="T5555" s="11"/>
    </row>
    <row r="5556" spans="8:20" x14ac:dyDescent="0.35">
      <c r="H5556" s="711"/>
      <c r="I5556" s="711"/>
      <c r="J5556" s="711"/>
      <c r="K5556" s="711"/>
      <c r="L5556" s="711"/>
      <c r="Q5556" s="11"/>
      <c r="R5556" s="11"/>
      <c r="S5556" s="11"/>
      <c r="T5556" s="11"/>
    </row>
    <row r="5557" spans="8:20" x14ac:dyDescent="0.35">
      <c r="H5557" s="711"/>
      <c r="I5557" s="711"/>
      <c r="J5557" s="711"/>
      <c r="K5557" s="711"/>
      <c r="L5557" s="711"/>
      <c r="Q5557" s="11"/>
      <c r="R5557" s="11"/>
      <c r="S5557" s="11"/>
      <c r="T5557" s="11"/>
    </row>
    <row r="5558" spans="8:20" x14ac:dyDescent="0.35">
      <c r="H5558" s="711"/>
      <c r="I5558" s="711"/>
      <c r="J5558" s="711"/>
      <c r="K5558" s="711"/>
      <c r="L5558" s="711"/>
      <c r="Q5558" s="11"/>
      <c r="R5558" s="11"/>
      <c r="S5558" s="11"/>
      <c r="T5558" s="11"/>
    </row>
    <row r="5559" spans="8:20" x14ac:dyDescent="0.35">
      <c r="H5559" s="711"/>
      <c r="I5559" s="711"/>
      <c r="J5559" s="711"/>
      <c r="K5559" s="711"/>
      <c r="L5559" s="711"/>
      <c r="Q5559" s="11"/>
      <c r="R5559" s="11"/>
      <c r="S5559" s="11"/>
      <c r="T5559" s="11"/>
    </row>
    <row r="5560" spans="8:20" x14ac:dyDescent="0.35">
      <c r="H5560" s="711"/>
      <c r="I5560" s="711"/>
      <c r="J5560" s="711"/>
      <c r="K5560" s="711"/>
      <c r="L5560" s="711"/>
      <c r="Q5560" s="11"/>
      <c r="R5560" s="11"/>
      <c r="S5560" s="11"/>
      <c r="T5560" s="11"/>
    </row>
    <row r="5561" spans="8:20" x14ac:dyDescent="0.35">
      <c r="H5561" s="711"/>
      <c r="I5561" s="711"/>
      <c r="J5561" s="711"/>
      <c r="K5561" s="711"/>
      <c r="L5561" s="711"/>
      <c r="Q5561" s="11"/>
      <c r="R5561" s="11"/>
      <c r="S5561" s="11"/>
      <c r="T5561" s="11"/>
    </row>
    <row r="5562" spans="8:20" x14ac:dyDescent="0.35">
      <c r="H5562" s="711"/>
      <c r="I5562" s="711"/>
      <c r="J5562" s="711"/>
      <c r="K5562" s="711"/>
      <c r="L5562" s="711"/>
      <c r="Q5562" s="11"/>
      <c r="R5562" s="11"/>
      <c r="S5562" s="11"/>
      <c r="T5562" s="11"/>
    </row>
    <row r="5563" spans="8:20" x14ac:dyDescent="0.35">
      <c r="H5563" s="711"/>
      <c r="I5563" s="711"/>
      <c r="J5563" s="711"/>
      <c r="K5563" s="711"/>
      <c r="L5563" s="711"/>
      <c r="Q5563" s="11"/>
      <c r="R5563" s="11"/>
      <c r="S5563" s="11"/>
      <c r="T5563" s="11"/>
    </row>
    <row r="5564" spans="8:20" x14ac:dyDescent="0.35">
      <c r="H5564" s="711"/>
      <c r="I5564" s="711"/>
      <c r="J5564" s="711"/>
      <c r="K5564" s="711"/>
      <c r="L5564" s="711"/>
      <c r="Q5564" s="11"/>
      <c r="R5564" s="11"/>
      <c r="S5564" s="11"/>
      <c r="T5564" s="11"/>
    </row>
    <row r="5565" spans="8:20" x14ac:dyDescent="0.35">
      <c r="H5565" s="711"/>
      <c r="I5565" s="711"/>
      <c r="J5565" s="711"/>
      <c r="K5565" s="711"/>
      <c r="L5565" s="711"/>
      <c r="Q5565" s="11"/>
      <c r="R5565" s="11"/>
      <c r="S5565" s="11"/>
      <c r="T5565" s="11"/>
    </row>
    <row r="5566" spans="8:20" x14ac:dyDescent="0.35">
      <c r="H5566" s="711"/>
      <c r="I5566" s="711"/>
      <c r="J5566" s="711"/>
      <c r="K5566" s="711"/>
      <c r="L5566" s="711"/>
      <c r="Q5566" s="11"/>
      <c r="R5566" s="11"/>
      <c r="S5566" s="11"/>
      <c r="T5566" s="11"/>
    </row>
    <row r="5567" spans="8:20" x14ac:dyDescent="0.35">
      <c r="H5567" s="711"/>
      <c r="I5567" s="711"/>
      <c r="J5567" s="711"/>
      <c r="K5567" s="711"/>
      <c r="L5567" s="711"/>
      <c r="Q5567" s="11"/>
      <c r="R5567" s="11"/>
      <c r="S5567" s="11"/>
      <c r="T5567" s="11"/>
    </row>
    <row r="5568" spans="8:20" x14ac:dyDescent="0.35">
      <c r="H5568" s="711"/>
      <c r="I5568" s="711"/>
      <c r="J5568" s="711"/>
      <c r="K5568" s="711"/>
      <c r="L5568" s="711"/>
      <c r="Q5568" s="11"/>
      <c r="R5568" s="11"/>
      <c r="S5568" s="11"/>
      <c r="T5568" s="11"/>
    </row>
    <row r="5569" spans="8:20" x14ac:dyDescent="0.35">
      <c r="H5569" s="711"/>
      <c r="I5569" s="711"/>
      <c r="J5569" s="711"/>
      <c r="K5569" s="711"/>
      <c r="L5569" s="711"/>
      <c r="Q5569" s="11"/>
      <c r="R5569" s="11"/>
      <c r="S5569" s="11"/>
      <c r="T5569" s="11"/>
    </row>
    <row r="5570" spans="8:20" x14ac:dyDescent="0.35">
      <c r="H5570" s="711"/>
      <c r="I5570" s="711"/>
      <c r="J5570" s="711"/>
      <c r="K5570" s="711"/>
      <c r="L5570" s="711"/>
      <c r="Q5570" s="11"/>
      <c r="R5570" s="11"/>
      <c r="S5570" s="11"/>
      <c r="T5570" s="11"/>
    </row>
    <row r="5571" spans="8:20" x14ac:dyDescent="0.35">
      <c r="H5571" s="711"/>
      <c r="I5571" s="711"/>
      <c r="J5571" s="711"/>
      <c r="K5571" s="711"/>
      <c r="L5571" s="711"/>
      <c r="Q5571" s="11"/>
      <c r="R5571" s="11"/>
      <c r="S5571" s="11"/>
      <c r="T5571" s="11"/>
    </row>
    <row r="5572" spans="8:20" x14ac:dyDescent="0.35">
      <c r="H5572" s="711"/>
      <c r="I5572" s="711"/>
      <c r="J5572" s="711"/>
      <c r="K5572" s="711"/>
      <c r="L5572" s="711"/>
      <c r="Q5572" s="11"/>
      <c r="R5572" s="11"/>
      <c r="S5572" s="11"/>
      <c r="T5572" s="11"/>
    </row>
    <row r="5573" spans="8:20" x14ac:dyDescent="0.35">
      <c r="H5573" s="711"/>
      <c r="I5573" s="711"/>
      <c r="J5573" s="711"/>
      <c r="K5573" s="711"/>
      <c r="L5573" s="711"/>
      <c r="Q5573" s="11"/>
      <c r="R5573" s="11"/>
      <c r="S5573" s="11"/>
      <c r="T5573" s="11"/>
    </row>
    <row r="5574" spans="8:20" x14ac:dyDescent="0.35">
      <c r="H5574" s="711"/>
      <c r="I5574" s="711"/>
      <c r="J5574" s="711"/>
      <c r="K5574" s="711"/>
      <c r="L5574" s="711"/>
      <c r="Q5574" s="11"/>
      <c r="R5574" s="11"/>
      <c r="S5574" s="11"/>
      <c r="T5574" s="11"/>
    </row>
    <row r="5575" spans="8:20" x14ac:dyDescent="0.35">
      <c r="H5575" s="711"/>
      <c r="I5575" s="711"/>
      <c r="J5575" s="711"/>
      <c r="K5575" s="711"/>
      <c r="L5575" s="711"/>
      <c r="Q5575" s="11"/>
      <c r="R5575" s="11"/>
      <c r="S5575" s="11"/>
      <c r="T5575" s="11"/>
    </row>
    <row r="5576" spans="8:20" x14ac:dyDescent="0.35">
      <c r="H5576" s="711"/>
      <c r="I5576" s="711"/>
      <c r="J5576" s="711"/>
      <c r="K5576" s="711"/>
      <c r="L5576" s="711"/>
      <c r="Q5576" s="11"/>
      <c r="R5576" s="11"/>
      <c r="S5576" s="11"/>
      <c r="T5576" s="11"/>
    </row>
    <row r="5577" spans="8:20" x14ac:dyDescent="0.35">
      <c r="H5577" s="711"/>
      <c r="I5577" s="711"/>
      <c r="J5577" s="711"/>
      <c r="K5577" s="711"/>
      <c r="L5577" s="711"/>
      <c r="Q5577" s="11"/>
      <c r="R5577" s="11"/>
      <c r="S5577" s="11"/>
      <c r="T5577" s="11"/>
    </row>
    <row r="5578" spans="8:20" x14ac:dyDescent="0.35">
      <c r="H5578" s="711"/>
      <c r="I5578" s="711"/>
      <c r="J5578" s="711"/>
      <c r="K5578" s="711"/>
      <c r="L5578" s="711"/>
      <c r="Q5578" s="11"/>
      <c r="R5578" s="11"/>
      <c r="S5578" s="11"/>
      <c r="T5578" s="11"/>
    </row>
    <row r="5579" spans="8:20" x14ac:dyDescent="0.35">
      <c r="H5579" s="711"/>
      <c r="I5579" s="711"/>
      <c r="J5579" s="711"/>
      <c r="K5579" s="711"/>
      <c r="L5579" s="711"/>
      <c r="Q5579" s="11"/>
      <c r="R5579" s="11"/>
      <c r="S5579" s="11"/>
      <c r="T5579" s="11"/>
    </row>
    <row r="5580" spans="8:20" x14ac:dyDescent="0.35">
      <c r="H5580" s="711"/>
      <c r="I5580" s="711"/>
      <c r="J5580" s="711"/>
      <c r="K5580" s="711"/>
      <c r="L5580" s="711"/>
      <c r="Q5580" s="11"/>
      <c r="R5580" s="11"/>
      <c r="S5580" s="11"/>
      <c r="T5580" s="11"/>
    </row>
    <row r="5581" spans="8:20" x14ac:dyDescent="0.35">
      <c r="H5581" s="711"/>
      <c r="I5581" s="711"/>
      <c r="J5581" s="711"/>
      <c r="K5581" s="711"/>
      <c r="L5581" s="711"/>
      <c r="Q5581" s="11"/>
      <c r="R5581" s="11"/>
      <c r="S5581" s="11"/>
      <c r="T5581" s="11"/>
    </row>
    <row r="5582" spans="8:20" x14ac:dyDescent="0.35">
      <c r="H5582" s="711"/>
      <c r="I5582" s="711"/>
      <c r="J5582" s="711"/>
      <c r="K5582" s="711"/>
      <c r="L5582" s="711"/>
      <c r="Q5582" s="11"/>
      <c r="R5582" s="11"/>
      <c r="S5582" s="11"/>
      <c r="T5582" s="11"/>
    </row>
    <row r="5583" spans="8:20" x14ac:dyDescent="0.35">
      <c r="H5583" s="711"/>
      <c r="I5583" s="711"/>
      <c r="J5583" s="711"/>
      <c r="K5583" s="711"/>
      <c r="L5583" s="711"/>
      <c r="Q5583" s="11"/>
      <c r="R5583" s="11"/>
      <c r="S5583" s="11"/>
      <c r="T5583" s="11"/>
    </row>
    <row r="5584" spans="8:20" x14ac:dyDescent="0.35">
      <c r="H5584" s="711"/>
      <c r="I5584" s="711"/>
      <c r="J5584" s="711"/>
      <c r="K5584" s="711"/>
      <c r="L5584" s="711"/>
      <c r="Q5584" s="11"/>
      <c r="R5584" s="11"/>
      <c r="S5584" s="11"/>
      <c r="T5584" s="11"/>
    </row>
    <row r="5585" spans="8:20" x14ac:dyDescent="0.35">
      <c r="H5585" s="711"/>
      <c r="I5585" s="711"/>
      <c r="J5585" s="711"/>
      <c r="K5585" s="711"/>
      <c r="L5585" s="711"/>
      <c r="Q5585" s="11"/>
      <c r="R5585" s="11"/>
      <c r="S5585" s="11"/>
      <c r="T5585" s="11"/>
    </row>
    <row r="5586" spans="8:20" x14ac:dyDescent="0.35">
      <c r="H5586" s="711"/>
      <c r="I5586" s="711"/>
      <c r="J5586" s="711"/>
      <c r="K5586" s="711"/>
      <c r="L5586" s="711"/>
      <c r="Q5586" s="11"/>
      <c r="R5586" s="11"/>
      <c r="S5586" s="11"/>
      <c r="T5586" s="11"/>
    </row>
    <row r="5587" spans="8:20" x14ac:dyDescent="0.35">
      <c r="H5587" s="711"/>
      <c r="I5587" s="711"/>
      <c r="J5587" s="711"/>
      <c r="K5587" s="711"/>
      <c r="L5587" s="711"/>
      <c r="Q5587" s="11"/>
      <c r="R5587" s="11"/>
      <c r="S5587" s="11"/>
      <c r="T5587" s="11"/>
    </row>
    <row r="5588" spans="8:20" x14ac:dyDescent="0.35">
      <c r="H5588" s="711"/>
      <c r="I5588" s="711"/>
      <c r="J5588" s="711"/>
      <c r="K5588" s="711"/>
      <c r="L5588" s="711"/>
      <c r="Q5588" s="11"/>
      <c r="R5588" s="11"/>
      <c r="S5588" s="11"/>
      <c r="T5588" s="11"/>
    </row>
    <row r="5589" spans="8:20" x14ac:dyDescent="0.35">
      <c r="H5589" s="711"/>
      <c r="I5589" s="711"/>
      <c r="J5589" s="711"/>
      <c r="K5589" s="711"/>
      <c r="L5589" s="711"/>
      <c r="Q5589" s="11"/>
      <c r="R5589" s="11"/>
      <c r="S5589" s="11"/>
      <c r="T5589" s="11"/>
    </row>
    <row r="5590" spans="8:20" x14ac:dyDescent="0.35">
      <c r="H5590" s="711"/>
      <c r="I5590" s="711"/>
      <c r="J5590" s="711"/>
      <c r="K5590" s="711"/>
      <c r="L5590" s="711"/>
      <c r="Q5590" s="11"/>
      <c r="R5590" s="11"/>
      <c r="S5590" s="11"/>
      <c r="T5590" s="11"/>
    </row>
    <row r="5591" spans="8:20" x14ac:dyDescent="0.35">
      <c r="H5591" s="711"/>
      <c r="I5591" s="711"/>
      <c r="J5591" s="711"/>
      <c r="K5591" s="711"/>
      <c r="L5591" s="711"/>
      <c r="Q5591" s="11"/>
      <c r="R5591" s="11"/>
      <c r="S5591" s="11"/>
      <c r="T5591" s="11"/>
    </row>
    <row r="5592" spans="8:20" x14ac:dyDescent="0.35">
      <c r="H5592" s="711"/>
      <c r="I5592" s="711"/>
      <c r="J5592" s="711"/>
      <c r="K5592" s="711"/>
      <c r="L5592" s="711"/>
      <c r="Q5592" s="11"/>
      <c r="R5592" s="11"/>
      <c r="S5592" s="11"/>
      <c r="T5592" s="11"/>
    </row>
    <row r="5593" spans="8:20" x14ac:dyDescent="0.35">
      <c r="H5593" s="711"/>
      <c r="I5593" s="711"/>
      <c r="J5593" s="711"/>
      <c r="K5593" s="711"/>
      <c r="L5593" s="711"/>
      <c r="Q5593" s="11"/>
      <c r="R5593" s="11"/>
      <c r="S5593" s="11"/>
      <c r="T5593" s="11"/>
    </row>
    <row r="5594" spans="8:20" x14ac:dyDescent="0.35">
      <c r="H5594" s="711"/>
      <c r="I5594" s="711"/>
      <c r="J5594" s="711"/>
      <c r="K5594" s="711"/>
      <c r="L5594" s="711"/>
      <c r="Q5594" s="11"/>
      <c r="R5594" s="11"/>
      <c r="S5594" s="11"/>
      <c r="T5594" s="11"/>
    </row>
    <row r="5595" spans="8:20" x14ac:dyDescent="0.35">
      <c r="H5595" s="711"/>
      <c r="I5595" s="711"/>
      <c r="J5595" s="711"/>
      <c r="K5595" s="711"/>
      <c r="L5595" s="711"/>
      <c r="Q5595" s="11"/>
      <c r="R5595" s="11"/>
      <c r="S5595" s="11"/>
      <c r="T5595" s="11"/>
    </row>
    <row r="5596" spans="8:20" x14ac:dyDescent="0.35">
      <c r="H5596" s="711"/>
      <c r="I5596" s="711"/>
      <c r="J5596" s="711"/>
      <c r="K5596" s="711"/>
      <c r="L5596" s="711"/>
      <c r="Q5596" s="11"/>
      <c r="R5596" s="11"/>
      <c r="S5596" s="11"/>
      <c r="T5596" s="11"/>
    </row>
    <row r="5597" spans="8:20" x14ac:dyDescent="0.35">
      <c r="H5597" s="711"/>
      <c r="I5597" s="711"/>
      <c r="J5597" s="711"/>
      <c r="K5597" s="711"/>
      <c r="L5597" s="711"/>
      <c r="Q5597" s="11"/>
      <c r="R5597" s="11"/>
      <c r="S5597" s="11"/>
      <c r="T5597" s="11"/>
    </row>
    <row r="5598" spans="8:20" x14ac:dyDescent="0.35">
      <c r="H5598" s="711"/>
      <c r="I5598" s="711"/>
      <c r="J5598" s="711"/>
      <c r="K5598" s="711"/>
      <c r="L5598" s="711"/>
      <c r="Q5598" s="11"/>
      <c r="R5598" s="11"/>
      <c r="S5598" s="11"/>
      <c r="T5598" s="11"/>
    </row>
    <row r="5599" spans="8:20" x14ac:dyDescent="0.35">
      <c r="H5599" s="711"/>
      <c r="I5599" s="711"/>
      <c r="J5599" s="711"/>
      <c r="K5599" s="711"/>
      <c r="L5599" s="711"/>
      <c r="Q5599" s="11"/>
      <c r="R5599" s="11"/>
      <c r="S5599" s="11"/>
      <c r="T5599" s="11"/>
    </row>
    <row r="5600" spans="8:20" x14ac:dyDescent="0.35">
      <c r="H5600" s="711"/>
      <c r="I5600" s="711"/>
      <c r="J5600" s="711"/>
      <c r="K5600" s="711"/>
      <c r="L5600" s="711"/>
      <c r="Q5600" s="11"/>
      <c r="R5600" s="11"/>
      <c r="S5600" s="11"/>
      <c r="T5600" s="11"/>
    </row>
    <row r="5601" spans="8:20" x14ac:dyDescent="0.35">
      <c r="H5601" s="711"/>
      <c r="I5601" s="711"/>
      <c r="J5601" s="711"/>
      <c r="K5601" s="711"/>
      <c r="L5601" s="711"/>
      <c r="Q5601" s="11"/>
      <c r="R5601" s="11"/>
      <c r="S5601" s="11"/>
      <c r="T5601" s="11"/>
    </row>
    <row r="5602" spans="8:20" x14ac:dyDescent="0.35">
      <c r="H5602" s="711"/>
      <c r="I5602" s="711"/>
      <c r="J5602" s="711"/>
      <c r="K5602" s="711"/>
      <c r="L5602" s="711"/>
      <c r="Q5602" s="11"/>
      <c r="R5602" s="11"/>
      <c r="S5602" s="11"/>
      <c r="T5602" s="11"/>
    </row>
    <row r="5603" spans="8:20" x14ac:dyDescent="0.35">
      <c r="H5603" s="711"/>
      <c r="I5603" s="711"/>
      <c r="J5603" s="711"/>
      <c r="K5603" s="711"/>
      <c r="L5603" s="711"/>
      <c r="Q5603" s="11"/>
      <c r="R5603" s="11"/>
      <c r="S5603" s="11"/>
      <c r="T5603" s="11"/>
    </row>
    <row r="5604" spans="8:20" x14ac:dyDescent="0.35">
      <c r="H5604" s="711"/>
      <c r="I5604" s="711"/>
      <c r="J5604" s="711"/>
      <c r="K5604" s="711"/>
      <c r="L5604" s="711"/>
      <c r="Q5604" s="11"/>
      <c r="R5604" s="11"/>
      <c r="S5604" s="11"/>
      <c r="T5604" s="11"/>
    </row>
    <row r="5605" spans="8:20" x14ac:dyDescent="0.35">
      <c r="H5605" s="711"/>
      <c r="I5605" s="711"/>
      <c r="J5605" s="711"/>
      <c r="K5605" s="711"/>
      <c r="L5605" s="711"/>
      <c r="Q5605" s="11"/>
      <c r="R5605" s="11"/>
      <c r="S5605" s="11"/>
      <c r="T5605" s="11"/>
    </row>
    <row r="5606" spans="8:20" x14ac:dyDescent="0.35">
      <c r="H5606" s="711"/>
      <c r="I5606" s="711"/>
      <c r="J5606" s="711"/>
      <c r="K5606" s="711"/>
      <c r="L5606" s="711"/>
      <c r="Q5606" s="11"/>
      <c r="R5606" s="11"/>
      <c r="S5606" s="11"/>
      <c r="T5606" s="11"/>
    </row>
    <row r="5607" spans="8:20" x14ac:dyDescent="0.35">
      <c r="H5607" s="711"/>
      <c r="I5607" s="711"/>
      <c r="J5607" s="711"/>
      <c r="K5607" s="711"/>
      <c r="L5607" s="711"/>
      <c r="Q5607" s="11"/>
      <c r="R5607" s="11"/>
      <c r="S5607" s="11"/>
      <c r="T5607" s="11"/>
    </row>
    <row r="5608" spans="8:20" x14ac:dyDescent="0.35">
      <c r="H5608" s="711"/>
      <c r="I5608" s="711"/>
      <c r="J5608" s="711"/>
      <c r="K5608" s="711"/>
      <c r="L5608" s="711"/>
      <c r="Q5608" s="11"/>
      <c r="R5608" s="11"/>
      <c r="S5608" s="11"/>
      <c r="T5608" s="11"/>
    </row>
    <row r="5609" spans="8:20" x14ac:dyDescent="0.35">
      <c r="H5609" s="711"/>
      <c r="I5609" s="711"/>
      <c r="J5609" s="711"/>
      <c r="K5609" s="711"/>
      <c r="L5609" s="711"/>
      <c r="Q5609" s="11"/>
      <c r="R5609" s="11"/>
      <c r="S5609" s="11"/>
      <c r="T5609" s="11"/>
    </row>
    <row r="5610" spans="8:20" x14ac:dyDescent="0.35">
      <c r="H5610" s="711"/>
      <c r="I5610" s="711"/>
      <c r="J5610" s="711"/>
      <c r="K5610" s="711"/>
      <c r="L5610" s="711"/>
      <c r="Q5610" s="11"/>
      <c r="R5610" s="11"/>
      <c r="S5610" s="11"/>
      <c r="T5610" s="11"/>
    </row>
    <row r="5611" spans="8:20" x14ac:dyDescent="0.35">
      <c r="H5611" s="711"/>
      <c r="I5611" s="711"/>
      <c r="J5611" s="711"/>
      <c r="K5611" s="711"/>
      <c r="L5611" s="711"/>
      <c r="Q5611" s="11"/>
      <c r="R5611" s="11"/>
      <c r="S5611" s="11"/>
      <c r="T5611" s="11"/>
    </row>
    <row r="5612" spans="8:20" x14ac:dyDescent="0.35">
      <c r="H5612" s="711"/>
      <c r="I5612" s="711"/>
      <c r="J5612" s="711"/>
      <c r="K5612" s="711"/>
      <c r="L5612" s="711"/>
      <c r="Q5612" s="11"/>
      <c r="R5612" s="11"/>
      <c r="S5612" s="11"/>
      <c r="T5612" s="11"/>
    </row>
    <row r="5613" spans="8:20" x14ac:dyDescent="0.35">
      <c r="H5613" s="711"/>
      <c r="I5613" s="711"/>
      <c r="J5613" s="711"/>
      <c r="K5613" s="711"/>
      <c r="L5613" s="711"/>
      <c r="Q5613" s="11"/>
      <c r="R5613" s="11"/>
      <c r="S5613" s="11"/>
      <c r="T5613" s="11"/>
    </row>
    <row r="5614" spans="8:20" x14ac:dyDescent="0.35">
      <c r="H5614" s="711"/>
      <c r="I5614" s="711"/>
      <c r="J5614" s="711"/>
      <c r="K5614" s="711"/>
      <c r="L5614" s="711"/>
      <c r="Q5614" s="11"/>
      <c r="R5614" s="11"/>
      <c r="S5614" s="11"/>
      <c r="T5614" s="11"/>
    </row>
    <row r="5615" spans="8:20" x14ac:dyDescent="0.35">
      <c r="H5615" s="711"/>
      <c r="I5615" s="711"/>
      <c r="J5615" s="711"/>
      <c r="K5615" s="711"/>
      <c r="L5615" s="711"/>
      <c r="Q5615" s="11"/>
      <c r="R5615" s="11"/>
      <c r="S5615" s="11"/>
      <c r="T5615" s="11"/>
    </row>
    <row r="5616" spans="8:20" x14ac:dyDescent="0.35">
      <c r="H5616" s="711"/>
      <c r="I5616" s="711"/>
      <c r="J5616" s="711"/>
      <c r="K5616" s="711"/>
      <c r="L5616" s="711"/>
      <c r="Q5616" s="11"/>
      <c r="R5616" s="11"/>
      <c r="S5616" s="11"/>
      <c r="T5616" s="11"/>
    </row>
    <row r="5617" spans="8:20" x14ac:dyDescent="0.35">
      <c r="H5617" s="711"/>
      <c r="I5617" s="711"/>
      <c r="J5617" s="711"/>
      <c r="K5617" s="711"/>
      <c r="L5617" s="711"/>
      <c r="Q5617" s="11"/>
      <c r="R5617" s="11"/>
      <c r="S5617" s="11"/>
      <c r="T5617" s="11"/>
    </row>
    <row r="5618" spans="8:20" x14ac:dyDescent="0.35">
      <c r="H5618" s="711"/>
      <c r="I5618" s="711"/>
      <c r="J5618" s="711"/>
      <c r="K5618" s="711"/>
      <c r="L5618" s="711"/>
      <c r="Q5618" s="11"/>
      <c r="R5618" s="11"/>
      <c r="S5618" s="11"/>
      <c r="T5618" s="11"/>
    </row>
    <row r="5619" spans="8:20" x14ac:dyDescent="0.35">
      <c r="H5619" s="711"/>
      <c r="I5619" s="711"/>
      <c r="J5619" s="711"/>
      <c r="K5619" s="711"/>
      <c r="L5619" s="711"/>
      <c r="Q5619" s="11"/>
      <c r="R5619" s="11"/>
      <c r="S5619" s="11"/>
      <c r="T5619" s="11"/>
    </row>
    <row r="5620" spans="8:20" x14ac:dyDescent="0.35">
      <c r="H5620" s="711"/>
      <c r="I5620" s="711"/>
      <c r="J5620" s="711"/>
      <c r="K5620" s="711"/>
      <c r="L5620" s="711"/>
      <c r="Q5620" s="11"/>
      <c r="R5620" s="11"/>
      <c r="S5620" s="11"/>
      <c r="T5620" s="11"/>
    </row>
    <row r="5621" spans="8:20" x14ac:dyDescent="0.35">
      <c r="H5621" s="711"/>
      <c r="I5621" s="711"/>
      <c r="J5621" s="711"/>
      <c r="K5621" s="711"/>
      <c r="L5621" s="711"/>
      <c r="Q5621" s="11"/>
      <c r="R5621" s="11"/>
      <c r="S5621" s="11"/>
      <c r="T5621" s="11"/>
    </row>
    <row r="5622" spans="8:20" x14ac:dyDescent="0.35">
      <c r="H5622" s="711"/>
      <c r="I5622" s="711"/>
      <c r="J5622" s="711"/>
      <c r="K5622" s="711"/>
      <c r="L5622" s="711"/>
      <c r="Q5622" s="11"/>
      <c r="R5622" s="11"/>
      <c r="S5622" s="11"/>
      <c r="T5622" s="11"/>
    </row>
    <row r="5623" spans="8:20" x14ac:dyDescent="0.35">
      <c r="H5623" s="711"/>
      <c r="I5623" s="711"/>
      <c r="J5623" s="711"/>
      <c r="K5623" s="711"/>
      <c r="L5623" s="711"/>
      <c r="Q5623" s="11"/>
      <c r="R5623" s="11"/>
      <c r="S5623" s="11"/>
      <c r="T5623" s="11"/>
    </row>
    <row r="5624" spans="8:20" x14ac:dyDescent="0.35">
      <c r="H5624" s="711"/>
      <c r="I5624" s="711"/>
      <c r="J5624" s="711"/>
      <c r="K5624" s="711"/>
      <c r="L5624" s="711"/>
      <c r="Q5624" s="11"/>
      <c r="R5624" s="11"/>
      <c r="S5624" s="11"/>
      <c r="T5624" s="11"/>
    </row>
    <row r="5625" spans="8:20" x14ac:dyDescent="0.35">
      <c r="H5625" s="711"/>
      <c r="I5625" s="711"/>
      <c r="J5625" s="711"/>
      <c r="K5625" s="711"/>
      <c r="L5625" s="711"/>
      <c r="Q5625" s="11"/>
      <c r="R5625" s="11"/>
      <c r="S5625" s="11"/>
      <c r="T5625" s="11"/>
    </row>
    <row r="5626" spans="8:20" x14ac:dyDescent="0.35">
      <c r="H5626" s="711"/>
      <c r="I5626" s="711"/>
      <c r="J5626" s="711"/>
      <c r="K5626" s="711"/>
      <c r="L5626" s="711"/>
      <c r="Q5626" s="11"/>
      <c r="R5626" s="11"/>
      <c r="S5626" s="11"/>
      <c r="T5626" s="11"/>
    </row>
    <row r="5627" spans="8:20" x14ac:dyDescent="0.35">
      <c r="H5627" s="711"/>
      <c r="I5627" s="711"/>
      <c r="J5627" s="711"/>
      <c r="K5627" s="711"/>
      <c r="L5627" s="711"/>
      <c r="Q5627" s="11"/>
      <c r="R5627" s="11"/>
      <c r="S5627" s="11"/>
      <c r="T5627" s="11"/>
    </row>
    <row r="5628" spans="8:20" x14ac:dyDescent="0.35">
      <c r="H5628" s="711"/>
      <c r="I5628" s="711"/>
      <c r="J5628" s="711"/>
      <c r="K5628" s="711"/>
      <c r="L5628" s="711"/>
      <c r="Q5628" s="11"/>
      <c r="R5628" s="11"/>
      <c r="S5628" s="11"/>
      <c r="T5628" s="11"/>
    </row>
    <row r="5629" spans="8:20" x14ac:dyDescent="0.35">
      <c r="H5629" s="711"/>
      <c r="I5629" s="711"/>
      <c r="J5629" s="711"/>
      <c r="K5629" s="711"/>
      <c r="L5629" s="711"/>
      <c r="Q5629" s="11"/>
      <c r="R5629" s="11"/>
      <c r="S5629" s="11"/>
      <c r="T5629" s="11"/>
    </row>
    <row r="5630" spans="8:20" x14ac:dyDescent="0.35">
      <c r="H5630" s="711"/>
      <c r="I5630" s="711"/>
      <c r="J5630" s="711"/>
      <c r="K5630" s="711"/>
      <c r="L5630" s="711"/>
      <c r="Q5630" s="11"/>
      <c r="R5630" s="11"/>
      <c r="S5630" s="11"/>
      <c r="T5630" s="11"/>
    </row>
    <row r="5631" spans="8:20" x14ac:dyDescent="0.35">
      <c r="H5631" s="711"/>
      <c r="I5631" s="711"/>
      <c r="J5631" s="711"/>
      <c r="K5631" s="711"/>
      <c r="L5631" s="711"/>
      <c r="Q5631" s="11"/>
      <c r="R5631" s="11"/>
      <c r="S5631" s="11"/>
      <c r="T5631" s="11"/>
    </row>
    <row r="5632" spans="8:20" x14ac:dyDescent="0.35">
      <c r="H5632" s="711"/>
      <c r="I5632" s="711"/>
      <c r="J5632" s="711"/>
      <c r="K5632" s="711"/>
      <c r="L5632" s="711"/>
      <c r="Q5632" s="11"/>
      <c r="R5632" s="11"/>
      <c r="S5632" s="11"/>
      <c r="T5632" s="11"/>
    </row>
    <row r="5633" spans="8:20" x14ac:dyDescent="0.35">
      <c r="H5633" s="711"/>
      <c r="I5633" s="711"/>
      <c r="J5633" s="711"/>
      <c r="K5633" s="711"/>
      <c r="L5633" s="711"/>
      <c r="Q5633" s="11"/>
      <c r="R5633" s="11"/>
      <c r="S5633" s="11"/>
      <c r="T5633" s="11"/>
    </row>
    <row r="5634" spans="8:20" x14ac:dyDescent="0.35">
      <c r="H5634" s="711"/>
      <c r="I5634" s="711"/>
      <c r="J5634" s="711"/>
      <c r="K5634" s="711"/>
      <c r="L5634" s="711"/>
      <c r="Q5634" s="11"/>
      <c r="R5634" s="11"/>
      <c r="S5634" s="11"/>
      <c r="T5634" s="11"/>
    </row>
    <row r="5635" spans="8:20" x14ac:dyDescent="0.35">
      <c r="H5635" s="711"/>
      <c r="I5635" s="711"/>
      <c r="J5635" s="711"/>
      <c r="K5635" s="711"/>
      <c r="L5635" s="711"/>
      <c r="Q5635" s="11"/>
      <c r="R5635" s="11"/>
      <c r="S5635" s="11"/>
      <c r="T5635" s="11"/>
    </row>
    <row r="5636" spans="8:20" x14ac:dyDescent="0.35">
      <c r="H5636" s="711"/>
      <c r="I5636" s="711"/>
      <c r="J5636" s="711"/>
      <c r="K5636" s="711"/>
      <c r="L5636" s="711"/>
      <c r="Q5636" s="11"/>
      <c r="R5636" s="11"/>
      <c r="S5636" s="11"/>
      <c r="T5636" s="11"/>
    </row>
    <row r="5637" spans="8:20" x14ac:dyDescent="0.35">
      <c r="H5637" s="711"/>
      <c r="I5637" s="711"/>
      <c r="J5637" s="711"/>
      <c r="K5637" s="711"/>
      <c r="L5637" s="711"/>
      <c r="Q5637" s="11"/>
      <c r="R5637" s="11"/>
      <c r="S5637" s="11"/>
      <c r="T5637" s="11"/>
    </row>
    <row r="5638" spans="8:20" x14ac:dyDescent="0.35">
      <c r="H5638" s="711"/>
      <c r="I5638" s="711"/>
      <c r="J5638" s="711"/>
      <c r="K5638" s="711"/>
      <c r="L5638" s="711"/>
      <c r="Q5638" s="11"/>
      <c r="R5638" s="11"/>
      <c r="S5638" s="11"/>
      <c r="T5638" s="11"/>
    </row>
    <row r="5639" spans="8:20" x14ac:dyDescent="0.35">
      <c r="H5639" s="711"/>
      <c r="I5639" s="711"/>
      <c r="J5639" s="711"/>
      <c r="K5639" s="711"/>
      <c r="L5639" s="711"/>
      <c r="Q5639" s="11"/>
      <c r="R5639" s="11"/>
      <c r="S5639" s="11"/>
      <c r="T5639" s="11"/>
    </row>
    <row r="5640" spans="8:20" x14ac:dyDescent="0.35">
      <c r="H5640" s="711"/>
      <c r="I5640" s="711"/>
      <c r="J5640" s="711"/>
      <c r="K5640" s="711"/>
      <c r="L5640" s="711"/>
      <c r="Q5640" s="11"/>
      <c r="R5640" s="11"/>
      <c r="S5640" s="11"/>
      <c r="T5640" s="11"/>
    </row>
    <row r="5641" spans="8:20" x14ac:dyDescent="0.35">
      <c r="H5641" s="711"/>
      <c r="I5641" s="711"/>
      <c r="J5641" s="711"/>
      <c r="K5641" s="711"/>
      <c r="L5641" s="711"/>
      <c r="Q5641" s="11"/>
      <c r="R5641" s="11"/>
      <c r="S5641" s="11"/>
      <c r="T5641" s="11"/>
    </row>
    <row r="5642" spans="8:20" x14ac:dyDescent="0.35">
      <c r="H5642" s="711"/>
      <c r="I5642" s="711"/>
      <c r="J5642" s="711"/>
      <c r="K5642" s="711"/>
      <c r="L5642" s="711"/>
      <c r="Q5642" s="11"/>
      <c r="R5642" s="11"/>
      <c r="S5642" s="11"/>
      <c r="T5642" s="11"/>
    </row>
    <row r="5643" spans="8:20" x14ac:dyDescent="0.35">
      <c r="H5643" s="711"/>
      <c r="I5643" s="711"/>
      <c r="J5643" s="711"/>
      <c r="K5643" s="711"/>
      <c r="L5643" s="711"/>
      <c r="Q5643" s="11"/>
      <c r="R5643" s="11"/>
      <c r="S5643" s="11"/>
      <c r="T5643" s="11"/>
    </row>
    <row r="5644" spans="8:20" x14ac:dyDescent="0.35">
      <c r="H5644" s="711"/>
      <c r="I5644" s="711"/>
      <c r="J5644" s="711"/>
      <c r="K5644" s="711"/>
      <c r="L5644" s="711"/>
      <c r="Q5644" s="11"/>
      <c r="R5644" s="11"/>
      <c r="S5644" s="11"/>
      <c r="T5644" s="11"/>
    </row>
    <row r="5645" spans="8:20" x14ac:dyDescent="0.35">
      <c r="H5645" s="711"/>
      <c r="I5645" s="711"/>
      <c r="J5645" s="711"/>
      <c r="K5645" s="711"/>
      <c r="L5645" s="711"/>
      <c r="Q5645" s="11"/>
      <c r="R5645" s="11"/>
      <c r="S5645" s="11"/>
      <c r="T5645" s="11"/>
    </row>
    <row r="5646" spans="8:20" x14ac:dyDescent="0.35">
      <c r="H5646" s="711"/>
      <c r="I5646" s="711"/>
      <c r="J5646" s="711"/>
      <c r="K5646" s="711"/>
      <c r="L5646" s="711"/>
      <c r="Q5646" s="11"/>
      <c r="R5646" s="11"/>
      <c r="S5646" s="11"/>
      <c r="T5646" s="11"/>
    </row>
    <row r="5647" spans="8:20" x14ac:dyDescent="0.35">
      <c r="H5647" s="711"/>
      <c r="I5647" s="711"/>
      <c r="J5647" s="711"/>
      <c r="K5647" s="711"/>
      <c r="L5647" s="711"/>
      <c r="Q5647" s="11"/>
      <c r="R5647" s="11"/>
      <c r="S5647" s="11"/>
      <c r="T5647" s="11"/>
    </row>
    <row r="5648" spans="8:20" x14ac:dyDescent="0.35">
      <c r="H5648" s="711"/>
      <c r="I5648" s="711"/>
      <c r="J5648" s="711"/>
      <c r="K5648" s="711"/>
      <c r="L5648" s="711"/>
      <c r="Q5648" s="11"/>
      <c r="R5648" s="11"/>
      <c r="S5648" s="11"/>
      <c r="T5648" s="11"/>
    </row>
    <row r="5649" spans="8:20" x14ac:dyDescent="0.35">
      <c r="H5649" s="711"/>
      <c r="I5649" s="711"/>
      <c r="J5649" s="711"/>
      <c r="K5649" s="711"/>
      <c r="L5649" s="711"/>
      <c r="Q5649" s="11"/>
      <c r="R5649" s="11"/>
      <c r="S5649" s="11"/>
      <c r="T5649" s="11"/>
    </row>
    <row r="5650" spans="8:20" x14ac:dyDescent="0.35">
      <c r="H5650" s="711"/>
      <c r="I5650" s="711"/>
      <c r="J5650" s="711"/>
      <c r="K5650" s="711"/>
      <c r="L5650" s="711"/>
      <c r="Q5650" s="11"/>
      <c r="R5650" s="11"/>
      <c r="S5650" s="11"/>
      <c r="T5650" s="11"/>
    </row>
    <row r="5651" spans="8:20" x14ac:dyDescent="0.35">
      <c r="H5651" s="711"/>
      <c r="I5651" s="711"/>
      <c r="J5651" s="711"/>
      <c r="K5651" s="711"/>
      <c r="L5651" s="711"/>
      <c r="Q5651" s="11"/>
      <c r="R5651" s="11"/>
      <c r="S5651" s="11"/>
      <c r="T5651" s="11"/>
    </row>
    <row r="5652" spans="8:20" x14ac:dyDescent="0.35">
      <c r="H5652" s="711"/>
      <c r="I5652" s="711"/>
      <c r="J5652" s="711"/>
      <c r="K5652" s="711"/>
      <c r="L5652" s="711"/>
      <c r="Q5652" s="11"/>
      <c r="R5652" s="11"/>
      <c r="S5652" s="11"/>
      <c r="T5652" s="11"/>
    </row>
    <row r="5653" spans="8:20" x14ac:dyDescent="0.35">
      <c r="H5653" s="711"/>
      <c r="I5653" s="711"/>
      <c r="J5653" s="711"/>
      <c r="K5653" s="711"/>
      <c r="L5653" s="711"/>
      <c r="Q5653" s="11"/>
      <c r="R5653" s="11"/>
      <c r="S5653" s="11"/>
      <c r="T5653" s="11"/>
    </row>
    <row r="5654" spans="8:20" x14ac:dyDescent="0.35">
      <c r="H5654" s="711"/>
      <c r="I5654" s="711"/>
      <c r="J5654" s="711"/>
      <c r="K5654" s="711"/>
      <c r="L5654" s="711"/>
      <c r="Q5654" s="11"/>
      <c r="R5654" s="11"/>
      <c r="S5654" s="11"/>
      <c r="T5654" s="11"/>
    </row>
    <row r="5655" spans="8:20" x14ac:dyDescent="0.35">
      <c r="H5655" s="711"/>
      <c r="I5655" s="711"/>
      <c r="J5655" s="711"/>
      <c r="K5655" s="711"/>
      <c r="L5655" s="711"/>
      <c r="Q5655" s="11"/>
      <c r="R5655" s="11"/>
      <c r="S5655" s="11"/>
      <c r="T5655" s="11"/>
    </row>
    <row r="5656" spans="8:20" x14ac:dyDescent="0.35">
      <c r="H5656" s="711"/>
      <c r="I5656" s="711"/>
      <c r="J5656" s="711"/>
      <c r="K5656" s="711"/>
      <c r="L5656" s="711"/>
      <c r="Q5656" s="11"/>
      <c r="R5656" s="11"/>
      <c r="S5656" s="11"/>
      <c r="T5656" s="11"/>
    </row>
    <row r="5657" spans="8:20" x14ac:dyDescent="0.35">
      <c r="H5657" s="711"/>
      <c r="I5657" s="711"/>
      <c r="J5657" s="711"/>
      <c r="K5657" s="711"/>
      <c r="L5657" s="711"/>
      <c r="Q5657" s="11"/>
      <c r="R5657" s="11"/>
      <c r="S5657" s="11"/>
      <c r="T5657" s="11"/>
    </row>
    <row r="5658" spans="8:20" x14ac:dyDescent="0.35">
      <c r="H5658" s="711"/>
      <c r="I5658" s="711"/>
      <c r="J5658" s="711"/>
      <c r="K5658" s="711"/>
      <c r="L5658" s="711"/>
      <c r="Q5658" s="11"/>
      <c r="R5658" s="11"/>
      <c r="S5658" s="11"/>
      <c r="T5658" s="11"/>
    </row>
    <row r="5659" spans="8:20" x14ac:dyDescent="0.35">
      <c r="H5659" s="711"/>
      <c r="I5659" s="711"/>
      <c r="J5659" s="711"/>
      <c r="K5659" s="711"/>
      <c r="L5659" s="711"/>
      <c r="Q5659" s="11"/>
      <c r="R5659" s="11"/>
      <c r="S5659" s="11"/>
      <c r="T5659" s="11"/>
    </row>
    <row r="5660" spans="8:20" x14ac:dyDescent="0.35">
      <c r="H5660" s="711"/>
      <c r="I5660" s="711"/>
      <c r="J5660" s="711"/>
      <c r="K5660" s="711"/>
      <c r="L5660" s="711"/>
      <c r="Q5660" s="11"/>
      <c r="R5660" s="11"/>
      <c r="S5660" s="11"/>
      <c r="T5660" s="11"/>
    </row>
    <row r="5661" spans="8:20" x14ac:dyDescent="0.35">
      <c r="H5661" s="711"/>
      <c r="I5661" s="711"/>
      <c r="J5661" s="711"/>
      <c r="K5661" s="711"/>
      <c r="L5661" s="711"/>
      <c r="Q5661" s="11"/>
      <c r="R5661" s="11"/>
      <c r="S5661" s="11"/>
      <c r="T5661" s="11"/>
    </row>
    <row r="5662" spans="8:20" x14ac:dyDescent="0.35">
      <c r="H5662" s="711"/>
      <c r="I5662" s="711"/>
      <c r="J5662" s="711"/>
      <c r="K5662" s="711"/>
      <c r="L5662" s="711"/>
      <c r="Q5662" s="11"/>
      <c r="R5662" s="11"/>
      <c r="S5662" s="11"/>
      <c r="T5662" s="11"/>
    </row>
    <row r="5663" spans="8:20" x14ac:dyDescent="0.35">
      <c r="H5663" s="711"/>
      <c r="I5663" s="711"/>
      <c r="J5663" s="711"/>
      <c r="K5663" s="711"/>
      <c r="L5663" s="711"/>
      <c r="Q5663" s="11"/>
      <c r="R5663" s="11"/>
      <c r="S5663" s="11"/>
      <c r="T5663" s="11"/>
    </row>
    <row r="5664" spans="8:20" x14ac:dyDescent="0.35">
      <c r="H5664" s="711"/>
      <c r="I5664" s="711"/>
      <c r="J5664" s="711"/>
      <c r="K5664" s="711"/>
      <c r="L5664" s="711"/>
      <c r="Q5664" s="11"/>
      <c r="R5664" s="11"/>
      <c r="S5664" s="11"/>
      <c r="T5664" s="11"/>
    </row>
    <row r="5665" spans="8:20" x14ac:dyDescent="0.35">
      <c r="H5665" s="711"/>
      <c r="I5665" s="711"/>
      <c r="J5665" s="711"/>
      <c r="K5665" s="711"/>
      <c r="L5665" s="711"/>
      <c r="Q5665" s="11"/>
      <c r="R5665" s="11"/>
      <c r="S5665" s="11"/>
      <c r="T5665" s="11"/>
    </row>
    <row r="5666" spans="8:20" x14ac:dyDescent="0.35">
      <c r="H5666" s="711"/>
      <c r="I5666" s="711"/>
      <c r="J5666" s="711"/>
      <c r="K5666" s="711"/>
      <c r="L5666" s="711"/>
      <c r="Q5666" s="11"/>
      <c r="R5666" s="11"/>
      <c r="S5666" s="11"/>
      <c r="T5666" s="11"/>
    </row>
    <row r="5667" spans="8:20" x14ac:dyDescent="0.35">
      <c r="H5667" s="711"/>
      <c r="I5667" s="711"/>
      <c r="J5667" s="711"/>
      <c r="K5667" s="711"/>
      <c r="L5667" s="711"/>
      <c r="Q5667" s="11"/>
      <c r="R5667" s="11"/>
      <c r="S5667" s="11"/>
      <c r="T5667" s="11"/>
    </row>
    <row r="5668" spans="8:20" x14ac:dyDescent="0.35">
      <c r="H5668" s="711"/>
      <c r="I5668" s="711"/>
      <c r="J5668" s="711"/>
      <c r="K5668" s="711"/>
      <c r="L5668" s="711"/>
      <c r="Q5668" s="11"/>
      <c r="R5668" s="11"/>
      <c r="S5668" s="11"/>
      <c r="T5668" s="11"/>
    </row>
    <row r="5669" spans="8:20" x14ac:dyDescent="0.35">
      <c r="H5669" s="711"/>
      <c r="I5669" s="711"/>
      <c r="J5669" s="711"/>
      <c r="K5669" s="711"/>
      <c r="L5669" s="711"/>
      <c r="Q5669" s="11"/>
      <c r="R5669" s="11"/>
      <c r="S5669" s="11"/>
      <c r="T5669" s="11"/>
    </row>
    <row r="5670" spans="8:20" x14ac:dyDescent="0.35">
      <c r="H5670" s="711"/>
      <c r="I5670" s="711"/>
      <c r="J5670" s="711"/>
      <c r="K5670" s="711"/>
      <c r="L5670" s="711"/>
      <c r="Q5670" s="11"/>
      <c r="R5670" s="11"/>
      <c r="S5670" s="11"/>
      <c r="T5670" s="11"/>
    </row>
    <row r="5671" spans="8:20" x14ac:dyDescent="0.35">
      <c r="H5671" s="711"/>
      <c r="I5671" s="711"/>
      <c r="J5671" s="711"/>
      <c r="K5671" s="711"/>
      <c r="L5671" s="711"/>
      <c r="Q5671" s="11"/>
      <c r="R5671" s="11"/>
      <c r="S5671" s="11"/>
      <c r="T5671" s="11"/>
    </row>
    <row r="5672" spans="8:20" x14ac:dyDescent="0.35">
      <c r="H5672" s="711"/>
      <c r="I5672" s="711"/>
      <c r="J5672" s="711"/>
      <c r="K5672" s="711"/>
      <c r="L5672" s="711"/>
      <c r="Q5672" s="11"/>
      <c r="R5672" s="11"/>
      <c r="S5672" s="11"/>
      <c r="T5672" s="11"/>
    </row>
    <row r="5673" spans="8:20" x14ac:dyDescent="0.35">
      <c r="H5673" s="711"/>
      <c r="I5673" s="711"/>
      <c r="J5673" s="711"/>
      <c r="K5673" s="711"/>
      <c r="L5673" s="711"/>
      <c r="Q5673" s="11"/>
      <c r="R5673" s="11"/>
      <c r="S5673" s="11"/>
      <c r="T5673" s="11"/>
    </row>
    <row r="5674" spans="8:20" x14ac:dyDescent="0.35">
      <c r="H5674" s="711"/>
      <c r="I5674" s="711"/>
      <c r="J5674" s="711"/>
      <c r="K5674" s="711"/>
      <c r="L5674" s="711"/>
      <c r="Q5674" s="11"/>
      <c r="R5674" s="11"/>
      <c r="S5674" s="11"/>
      <c r="T5674" s="11"/>
    </row>
    <row r="5675" spans="8:20" x14ac:dyDescent="0.35">
      <c r="H5675" s="711"/>
      <c r="I5675" s="711"/>
      <c r="J5675" s="711"/>
      <c r="K5675" s="711"/>
      <c r="L5675" s="711"/>
      <c r="Q5675" s="11"/>
      <c r="R5675" s="11"/>
      <c r="S5675" s="11"/>
      <c r="T5675" s="11"/>
    </row>
    <row r="5676" spans="8:20" x14ac:dyDescent="0.35">
      <c r="H5676" s="711"/>
      <c r="I5676" s="711"/>
      <c r="J5676" s="711"/>
      <c r="K5676" s="711"/>
      <c r="L5676" s="711"/>
      <c r="Q5676" s="11"/>
      <c r="R5676" s="11"/>
      <c r="S5676" s="11"/>
      <c r="T5676" s="11"/>
    </row>
    <row r="5677" spans="8:20" x14ac:dyDescent="0.35">
      <c r="H5677" s="711"/>
      <c r="I5677" s="711"/>
      <c r="J5677" s="711"/>
      <c r="K5677" s="711"/>
      <c r="L5677" s="711"/>
      <c r="Q5677" s="11"/>
      <c r="R5677" s="11"/>
      <c r="S5677" s="11"/>
      <c r="T5677" s="11"/>
    </row>
    <row r="5678" spans="8:20" x14ac:dyDescent="0.35">
      <c r="H5678" s="711"/>
      <c r="I5678" s="711"/>
      <c r="J5678" s="711"/>
      <c r="K5678" s="711"/>
      <c r="L5678" s="711"/>
      <c r="Q5678" s="11"/>
      <c r="R5678" s="11"/>
      <c r="S5678" s="11"/>
      <c r="T5678" s="11"/>
    </row>
    <row r="5679" spans="8:20" x14ac:dyDescent="0.35">
      <c r="H5679" s="711"/>
      <c r="I5679" s="711"/>
      <c r="J5679" s="711"/>
      <c r="K5679" s="711"/>
      <c r="L5679" s="711"/>
      <c r="Q5679" s="11"/>
      <c r="R5679" s="11"/>
      <c r="S5679" s="11"/>
      <c r="T5679" s="11"/>
    </row>
    <row r="5680" spans="8:20" x14ac:dyDescent="0.35">
      <c r="H5680" s="711"/>
      <c r="I5680" s="711"/>
      <c r="J5680" s="711"/>
      <c r="K5680" s="711"/>
      <c r="L5680" s="711"/>
      <c r="Q5680" s="11"/>
      <c r="R5680" s="11"/>
      <c r="S5680" s="11"/>
      <c r="T5680" s="11"/>
    </row>
    <row r="5681" spans="8:20" x14ac:dyDescent="0.35">
      <c r="H5681" s="711"/>
      <c r="I5681" s="711"/>
      <c r="J5681" s="711"/>
      <c r="K5681" s="711"/>
      <c r="L5681" s="711"/>
      <c r="Q5681" s="11"/>
      <c r="R5681" s="11"/>
      <c r="S5681" s="11"/>
      <c r="T5681" s="11"/>
    </row>
    <row r="5682" spans="8:20" x14ac:dyDescent="0.35">
      <c r="H5682" s="711"/>
      <c r="I5682" s="711"/>
      <c r="J5682" s="711"/>
      <c r="K5682" s="711"/>
      <c r="L5682" s="711"/>
      <c r="Q5682" s="11"/>
      <c r="R5682" s="11"/>
      <c r="S5682" s="11"/>
      <c r="T5682" s="11"/>
    </row>
    <row r="5683" spans="8:20" x14ac:dyDescent="0.35">
      <c r="H5683" s="711"/>
      <c r="I5683" s="711"/>
      <c r="J5683" s="711"/>
      <c r="K5683" s="711"/>
      <c r="L5683" s="711"/>
      <c r="Q5683" s="11"/>
      <c r="R5683" s="11"/>
      <c r="S5683" s="11"/>
      <c r="T5683" s="11"/>
    </row>
    <row r="5684" spans="8:20" x14ac:dyDescent="0.35">
      <c r="H5684" s="711"/>
      <c r="I5684" s="711"/>
      <c r="J5684" s="711"/>
      <c r="K5684" s="711"/>
      <c r="L5684" s="711"/>
      <c r="Q5684" s="11"/>
      <c r="R5684" s="11"/>
      <c r="S5684" s="11"/>
      <c r="T5684" s="11"/>
    </row>
    <row r="5685" spans="8:20" x14ac:dyDescent="0.35">
      <c r="H5685" s="711"/>
      <c r="I5685" s="711"/>
      <c r="J5685" s="711"/>
      <c r="K5685" s="711"/>
      <c r="L5685" s="711"/>
      <c r="Q5685" s="11"/>
      <c r="R5685" s="11"/>
      <c r="S5685" s="11"/>
      <c r="T5685" s="11"/>
    </row>
    <row r="5686" spans="8:20" x14ac:dyDescent="0.35">
      <c r="H5686" s="711"/>
      <c r="I5686" s="711"/>
      <c r="J5686" s="711"/>
      <c r="K5686" s="711"/>
      <c r="L5686" s="711"/>
      <c r="Q5686" s="11"/>
      <c r="R5686" s="11"/>
      <c r="S5686" s="11"/>
      <c r="T5686" s="11"/>
    </row>
    <row r="5687" spans="8:20" x14ac:dyDescent="0.35">
      <c r="H5687" s="711"/>
      <c r="I5687" s="711"/>
      <c r="J5687" s="711"/>
      <c r="K5687" s="711"/>
      <c r="L5687" s="711"/>
      <c r="Q5687" s="11"/>
      <c r="R5687" s="11"/>
      <c r="S5687" s="11"/>
      <c r="T5687" s="11"/>
    </row>
    <row r="5688" spans="8:20" x14ac:dyDescent="0.35">
      <c r="H5688" s="711"/>
      <c r="I5688" s="711"/>
      <c r="J5688" s="711"/>
      <c r="K5688" s="711"/>
      <c r="L5688" s="711"/>
      <c r="Q5688" s="11"/>
      <c r="R5688" s="11"/>
      <c r="S5688" s="11"/>
      <c r="T5688" s="11"/>
    </row>
    <row r="5689" spans="8:20" x14ac:dyDescent="0.35">
      <c r="H5689" s="711"/>
      <c r="I5689" s="711"/>
      <c r="J5689" s="711"/>
      <c r="K5689" s="711"/>
      <c r="L5689" s="711"/>
      <c r="Q5689" s="11"/>
      <c r="R5689" s="11"/>
      <c r="S5689" s="11"/>
      <c r="T5689" s="11"/>
    </row>
    <row r="5690" spans="8:20" x14ac:dyDescent="0.35">
      <c r="H5690" s="711"/>
      <c r="I5690" s="711"/>
      <c r="J5690" s="711"/>
      <c r="K5690" s="711"/>
      <c r="L5690" s="711"/>
      <c r="Q5690" s="11"/>
      <c r="R5690" s="11"/>
      <c r="S5690" s="11"/>
      <c r="T5690" s="11"/>
    </row>
    <row r="5691" spans="8:20" x14ac:dyDescent="0.35">
      <c r="H5691" s="711"/>
      <c r="I5691" s="711"/>
      <c r="J5691" s="711"/>
      <c r="K5691" s="711"/>
      <c r="L5691" s="711"/>
      <c r="Q5691" s="11"/>
      <c r="R5691" s="11"/>
      <c r="S5691" s="11"/>
      <c r="T5691" s="11"/>
    </row>
    <row r="5692" spans="8:20" x14ac:dyDescent="0.35">
      <c r="H5692" s="711"/>
      <c r="I5692" s="711"/>
      <c r="J5692" s="711"/>
      <c r="K5692" s="711"/>
      <c r="L5692" s="711"/>
      <c r="Q5692" s="11"/>
      <c r="R5692" s="11"/>
      <c r="S5692" s="11"/>
      <c r="T5692" s="11"/>
    </row>
    <row r="5693" spans="8:20" x14ac:dyDescent="0.35">
      <c r="H5693" s="711"/>
      <c r="I5693" s="711"/>
      <c r="J5693" s="711"/>
      <c r="K5693" s="711"/>
      <c r="L5693" s="711"/>
      <c r="Q5693" s="11"/>
      <c r="R5693" s="11"/>
      <c r="S5693" s="11"/>
      <c r="T5693" s="11"/>
    </row>
    <row r="5694" spans="8:20" x14ac:dyDescent="0.35">
      <c r="H5694" s="711"/>
      <c r="I5694" s="711"/>
      <c r="J5694" s="711"/>
      <c r="K5694" s="711"/>
      <c r="L5694" s="711"/>
      <c r="Q5694" s="11"/>
      <c r="R5694" s="11"/>
      <c r="S5694" s="11"/>
      <c r="T5694" s="11"/>
    </row>
    <row r="5695" spans="8:20" x14ac:dyDescent="0.35">
      <c r="H5695" s="711"/>
      <c r="I5695" s="711"/>
      <c r="J5695" s="711"/>
      <c r="K5695" s="711"/>
      <c r="L5695" s="711"/>
      <c r="Q5695" s="11"/>
      <c r="R5695" s="11"/>
      <c r="S5695" s="11"/>
      <c r="T5695" s="11"/>
    </row>
    <row r="5696" spans="8:20" x14ac:dyDescent="0.35">
      <c r="H5696" s="711"/>
      <c r="I5696" s="711"/>
      <c r="J5696" s="711"/>
      <c r="K5696" s="711"/>
      <c r="L5696" s="711"/>
      <c r="Q5696" s="11"/>
      <c r="R5696" s="11"/>
      <c r="S5696" s="11"/>
      <c r="T5696" s="11"/>
    </row>
    <row r="5697" spans="8:20" x14ac:dyDescent="0.35">
      <c r="H5697" s="711"/>
      <c r="I5697" s="711"/>
      <c r="J5697" s="711"/>
      <c r="K5697" s="711"/>
      <c r="L5697" s="711"/>
      <c r="Q5697" s="11"/>
      <c r="R5697" s="11"/>
      <c r="S5697" s="11"/>
      <c r="T5697" s="11"/>
    </row>
    <row r="5698" spans="8:20" x14ac:dyDescent="0.35">
      <c r="H5698" s="711"/>
      <c r="I5698" s="711"/>
      <c r="J5698" s="711"/>
      <c r="K5698" s="711"/>
      <c r="L5698" s="711"/>
      <c r="Q5698" s="11"/>
      <c r="R5698" s="11"/>
      <c r="S5698" s="11"/>
      <c r="T5698" s="11"/>
    </row>
    <row r="5699" spans="8:20" x14ac:dyDescent="0.35">
      <c r="H5699" s="711"/>
      <c r="I5699" s="711"/>
      <c r="J5699" s="711"/>
      <c r="K5699" s="711"/>
      <c r="L5699" s="711"/>
      <c r="Q5699" s="11"/>
      <c r="R5699" s="11"/>
      <c r="S5699" s="11"/>
      <c r="T5699" s="11"/>
    </row>
    <row r="5700" spans="8:20" x14ac:dyDescent="0.35">
      <c r="H5700" s="711"/>
      <c r="I5700" s="711"/>
      <c r="J5700" s="711"/>
      <c r="K5700" s="711"/>
      <c r="L5700" s="711"/>
      <c r="Q5700" s="11"/>
      <c r="R5700" s="11"/>
      <c r="S5700" s="11"/>
      <c r="T5700" s="11"/>
    </row>
    <row r="5701" spans="8:20" x14ac:dyDescent="0.35">
      <c r="H5701" s="711"/>
      <c r="I5701" s="711"/>
      <c r="J5701" s="711"/>
      <c r="K5701" s="711"/>
      <c r="L5701" s="711"/>
      <c r="Q5701" s="11"/>
      <c r="R5701" s="11"/>
      <c r="S5701" s="11"/>
      <c r="T5701" s="11"/>
    </row>
    <row r="5702" spans="8:20" x14ac:dyDescent="0.35">
      <c r="H5702" s="711"/>
      <c r="I5702" s="711"/>
      <c r="J5702" s="711"/>
      <c r="K5702" s="711"/>
      <c r="L5702" s="711"/>
      <c r="Q5702" s="11"/>
      <c r="R5702" s="11"/>
      <c r="S5702" s="11"/>
      <c r="T5702" s="11"/>
    </row>
    <row r="5703" spans="8:20" x14ac:dyDescent="0.35">
      <c r="H5703" s="711"/>
      <c r="I5703" s="711"/>
      <c r="J5703" s="711"/>
      <c r="K5703" s="711"/>
      <c r="L5703" s="711"/>
      <c r="Q5703" s="11"/>
      <c r="R5703" s="11"/>
      <c r="S5703" s="11"/>
      <c r="T5703" s="11"/>
    </row>
    <row r="5704" spans="8:20" x14ac:dyDescent="0.35">
      <c r="H5704" s="711"/>
      <c r="I5704" s="711"/>
      <c r="J5704" s="711"/>
      <c r="K5704" s="711"/>
      <c r="L5704" s="711"/>
      <c r="Q5704" s="11"/>
      <c r="R5704" s="11"/>
      <c r="S5704" s="11"/>
      <c r="T5704" s="11"/>
    </row>
    <row r="5705" spans="8:20" x14ac:dyDescent="0.35">
      <c r="H5705" s="711"/>
      <c r="I5705" s="711"/>
      <c r="J5705" s="711"/>
      <c r="K5705" s="711"/>
      <c r="L5705" s="711"/>
      <c r="Q5705" s="11"/>
      <c r="R5705" s="11"/>
      <c r="S5705" s="11"/>
      <c r="T5705" s="11"/>
    </row>
    <row r="5706" spans="8:20" x14ac:dyDescent="0.35">
      <c r="H5706" s="711"/>
      <c r="I5706" s="711"/>
      <c r="J5706" s="711"/>
      <c r="K5706" s="711"/>
      <c r="L5706" s="711"/>
      <c r="Q5706" s="11"/>
      <c r="R5706" s="11"/>
      <c r="S5706" s="11"/>
      <c r="T5706" s="11"/>
    </row>
    <row r="5707" spans="8:20" x14ac:dyDescent="0.35">
      <c r="H5707" s="711"/>
      <c r="I5707" s="711"/>
      <c r="J5707" s="711"/>
      <c r="K5707" s="711"/>
      <c r="L5707" s="711"/>
      <c r="Q5707" s="11"/>
      <c r="R5707" s="11"/>
      <c r="S5707" s="11"/>
      <c r="T5707" s="11"/>
    </row>
    <row r="5708" spans="8:20" x14ac:dyDescent="0.35">
      <c r="H5708" s="711"/>
      <c r="I5708" s="711"/>
      <c r="J5708" s="711"/>
      <c r="K5708" s="711"/>
      <c r="L5708" s="711"/>
      <c r="Q5708" s="11"/>
      <c r="R5708" s="11"/>
      <c r="S5708" s="11"/>
      <c r="T5708" s="11"/>
    </row>
    <row r="5709" spans="8:20" x14ac:dyDescent="0.35">
      <c r="H5709" s="711"/>
      <c r="I5709" s="711"/>
      <c r="J5709" s="711"/>
      <c r="K5709" s="711"/>
      <c r="L5709" s="711"/>
      <c r="Q5709" s="11"/>
      <c r="R5709" s="11"/>
      <c r="S5709" s="11"/>
      <c r="T5709" s="11"/>
    </row>
    <row r="5710" spans="8:20" x14ac:dyDescent="0.35">
      <c r="H5710" s="711"/>
      <c r="I5710" s="711"/>
      <c r="J5710" s="711"/>
      <c r="K5710" s="711"/>
      <c r="L5710" s="711"/>
      <c r="Q5710" s="11"/>
      <c r="R5710" s="11"/>
      <c r="S5710" s="11"/>
      <c r="T5710" s="11"/>
    </row>
    <row r="5711" spans="8:20" x14ac:dyDescent="0.35">
      <c r="H5711" s="711"/>
      <c r="I5711" s="711"/>
      <c r="J5711" s="711"/>
      <c r="K5711" s="711"/>
      <c r="L5711" s="711"/>
      <c r="Q5711" s="11"/>
      <c r="R5711" s="11"/>
      <c r="S5711" s="11"/>
      <c r="T5711" s="11"/>
    </row>
    <row r="5712" spans="8:20" x14ac:dyDescent="0.35">
      <c r="H5712" s="711"/>
      <c r="I5712" s="711"/>
      <c r="J5712" s="711"/>
      <c r="K5712" s="711"/>
      <c r="L5712" s="711"/>
      <c r="Q5712" s="11"/>
      <c r="R5712" s="11"/>
      <c r="S5712" s="11"/>
      <c r="T5712" s="11"/>
    </row>
    <row r="5713" spans="8:20" x14ac:dyDescent="0.35">
      <c r="H5713" s="711"/>
      <c r="I5713" s="711"/>
      <c r="J5713" s="711"/>
      <c r="K5713" s="711"/>
      <c r="L5713" s="711"/>
      <c r="Q5713" s="11"/>
      <c r="R5713" s="11"/>
      <c r="S5713" s="11"/>
      <c r="T5713" s="11"/>
    </row>
    <row r="5714" spans="8:20" x14ac:dyDescent="0.35">
      <c r="H5714" s="711"/>
      <c r="I5714" s="711"/>
      <c r="J5714" s="711"/>
      <c r="K5714" s="711"/>
      <c r="L5714" s="711"/>
      <c r="Q5714" s="11"/>
      <c r="R5714" s="11"/>
      <c r="S5714" s="11"/>
      <c r="T5714" s="11"/>
    </row>
    <row r="5715" spans="8:20" x14ac:dyDescent="0.35">
      <c r="H5715" s="711"/>
      <c r="I5715" s="711"/>
      <c r="J5715" s="711"/>
      <c r="K5715" s="711"/>
      <c r="L5715" s="711"/>
      <c r="Q5715" s="11"/>
      <c r="R5715" s="11"/>
      <c r="S5715" s="11"/>
      <c r="T5715" s="11"/>
    </row>
    <row r="5716" spans="8:20" x14ac:dyDescent="0.35">
      <c r="H5716" s="711"/>
      <c r="I5716" s="711"/>
      <c r="J5716" s="711"/>
      <c r="K5716" s="711"/>
      <c r="L5716" s="711"/>
      <c r="Q5716" s="11"/>
      <c r="R5716" s="11"/>
      <c r="S5716" s="11"/>
      <c r="T5716" s="11"/>
    </row>
    <row r="5717" spans="8:20" x14ac:dyDescent="0.35">
      <c r="H5717" s="711"/>
      <c r="I5717" s="711"/>
      <c r="J5717" s="711"/>
      <c r="K5717" s="711"/>
      <c r="L5717" s="711"/>
      <c r="Q5717" s="11"/>
      <c r="R5717" s="11"/>
      <c r="S5717" s="11"/>
      <c r="T5717" s="11"/>
    </row>
    <row r="5718" spans="8:20" x14ac:dyDescent="0.35">
      <c r="H5718" s="711"/>
      <c r="I5718" s="711"/>
      <c r="J5718" s="711"/>
      <c r="K5718" s="711"/>
      <c r="L5718" s="711"/>
      <c r="Q5718" s="11"/>
      <c r="R5718" s="11"/>
      <c r="S5718" s="11"/>
      <c r="T5718" s="11"/>
    </row>
    <row r="5719" spans="8:20" x14ac:dyDescent="0.35">
      <c r="H5719" s="711"/>
      <c r="I5719" s="711"/>
      <c r="J5719" s="711"/>
      <c r="K5719" s="711"/>
      <c r="L5719" s="711"/>
      <c r="Q5719" s="11"/>
      <c r="R5719" s="11"/>
      <c r="S5719" s="11"/>
      <c r="T5719" s="11"/>
    </row>
    <row r="5720" spans="8:20" x14ac:dyDescent="0.35">
      <c r="H5720" s="711"/>
      <c r="I5720" s="711"/>
      <c r="J5720" s="711"/>
      <c r="K5720" s="711"/>
      <c r="L5720" s="711"/>
      <c r="Q5720" s="11"/>
      <c r="R5720" s="11"/>
      <c r="S5720" s="11"/>
      <c r="T5720" s="11"/>
    </row>
    <row r="5721" spans="8:20" x14ac:dyDescent="0.35">
      <c r="H5721" s="711"/>
      <c r="I5721" s="711"/>
      <c r="J5721" s="711"/>
      <c r="K5721" s="711"/>
      <c r="L5721" s="711"/>
      <c r="Q5721" s="11"/>
      <c r="R5721" s="11"/>
      <c r="S5721" s="11"/>
      <c r="T5721" s="11"/>
    </row>
    <row r="5722" spans="8:20" x14ac:dyDescent="0.35">
      <c r="H5722" s="711"/>
      <c r="I5722" s="711"/>
      <c r="J5722" s="711"/>
      <c r="K5722" s="711"/>
      <c r="L5722" s="711"/>
      <c r="Q5722" s="11"/>
      <c r="R5722" s="11"/>
      <c r="S5722" s="11"/>
      <c r="T5722" s="11"/>
    </row>
    <row r="5723" spans="8:20" x14ac:dyDescent="0.35">
      <c r="H5723" s="711"/>
      <c r="I5723" s="711"/>
      <c r="J5723" s="711"/>
      <c r="K5723" s="711"/>
      <c r="L5723" s="711"/>
      <c r="Q5723" s="11"/>
      <c r="R5723" s="11"/>
      <c r="S5723" s="11"/>
      <c r="T5723" s="11"/>
    </row>
    <row r="5724" spans="8:20" x14ac:dyDescent="0.35">
      <c r="H5724" s="711"/>
      <c r="I5724" s="711"/>
      <c r="J5724" s="711"/>
      <c r="K5724" s="711"/>
      <c r="L5724" s="711"/>
      <c r="Q5724" s="11"/>
      <c r="R5724" s="11"/>
      <c r="S5724" s="11"/>
      <c r="T5724" s="11"/>
    </row>
    <row r="5725" spans="8:20" x14ac:dyDescent="0.35">
      <c r="H5725" s="711"/>
      <c r="I5725" s="711"/>
      <c r="J5725" s="711"/>
      <c r="K5725" s="711"/>
      <c r="L5725" s="711"/>
      <c r="Q5725" s="11"/>
      <c r="R5725" s="11"/>
      <c r="S5725" s="11"/>
      <c r="T5725" s="11"/>
    </row>
    <row r="5726" spans="8:20" x14ac:dyDescent="0.35">
      <c r="H5726" s="711"/>
      <c r="I5726" s="711"/>
      <c r="J5726" s="711"/>
      <c r="K5726" s="711"/>
      <c r="L5726" s="711"/>
      <c r="Q5726" s="11"/>
      <c r="R5726" s="11"/>
      <c r="S5726" s="11"/>
      <c r="T5726" s="11"/>
    </row>
    <row r="5727" spans="8:20" x14ac:dyDescent="0.35">
      <c r="H5727" s="711"/>
      <c r="I5727" s="711"/>
      <c r="J5727" s="711"/>
      <c r="K5727" s="711"/>
      <c r="L5727" s="711"/>
      <c r="Q5727" s="11"/>
      <c r="R5727" s="11"/>
      <c r="S5727" s="11"/>
      <c r="T5727" s="11"/>
    </row>
    <row r="5728" spans="8:20" x14ac:dyDescent="0.35">
      <c r="H5728" s="711"/>
      <c r="I5728" s="711"/>
      <c r="J5728" s="711"/>
      <c r="K5728" s="711"/>
      <c r="L5728" s="711"/>
      <c r="Q5728" s="11"/>
      <c r="R5728" s="11"/>
      <c r="S5728" s="11"/>
      <c r="T5728" s="11"/>
    </row>
    <row r="5729" spans="8:20" x14ac:dyDescent="0.35">
      <c r="H5729" s="711"/>
      <c r="I5729" s="711"/>
      <c r="J5729" s="711"/>
      <c r="K5729" s="711"/>
      <c r="L5729" s="711"/>
      <c r="Q5729" s="11"/>
      <c r="R5729" s="11"/>
      <c r="S5729" s="11"/>
      <c r="T5729" s="11"/>
    </row>
    <row r="5730" spans="8:20" x14ac:dyDescent="0.35">
      <c r="H5730" s="711"/>
      <c r="I5730" s="711"/>
      <c r="J5730" s="711"/>
      <c r="K5730" s="711"/>
      <c r="L5730" s="711"/>
      <c r="Q5730" s="11"/>
      <c r="R5730" s="11"/>
      <c r="S5730" s="11"/>
      <c r="T5730" s="11"/>
    </row>
    <row r="5731" spans="8:20" x14ac:dyDescent="0.35">
      <c r="H5731" s="711"/>
      <c r="I5731" s="711"/>
      <c r="J5731" s="711"/>
      <c r="K5731" s="711"/>
      <c r="L5731" s="711"/>
      <c r="Q5731" s="11"/>
      <c r="R5731" s="11"/>
      <c r="S5731" s="11"/>
      <c r="T5731" s="11"/>
    </row>
    <row r="5732" spans="8:20" x14ac:dyDescent="0.35">
      <c r="H5732" s="711"/>
      <c r="I5732" s="711"/>
      <c r="J5732" s="711"/>
      <c r="K5732" s="711"/>
      <c r="L5732" s="711"/>
      <c r="Q5732" s="11"/>
      <c r="R5732" s="11"/>
      <c r="S5732" s="11"/>
      <c r="T5732" s="11"/>
    </row>
    <row r="5733" spans="8:20" x14ac:dyDescent="0.35">
      <c r="H5733" s="711"/>
      <c r="I5733" s="711"/>
      <c r="J5733" s="711"/>
      <c r="K5733" s="711"/>
      <c r="L5733" s="711"/>
      <c r="Q5733" s="11"/>
      <c r="R5733" s="11"/>
      <c r="S5733" s="11"/>
      <c r="T5733" s="11"/>
    </row>
    <row r="5734" spans="8:20" x14ac:dyDescent="0.35">
      <c r="H5734" s="711"/>
      <c r="I5734" s="711"/>
      <c r="J5734" s="711"/>
      <c r="K5734" s="711"/>
      <c r="L5734" s="711"/>
      <c r="Q5734" s="11"/>
      <c r="R5734" s="11"/>
      <c r="S5734" s="11"/>
      <c r="T5734" s="11"/>
    </row>
    <row r="5735" spans="8:20" x14ac:dyDescent="0.35">
      <c r="H5735" s="711"/>
      <c r="I5735" s="711"/>
      <c r="J5735" s="711"/>
      <c r="K5735" s="711"/>
      <c r="L5735" s="711"/>
      <c r="Q5735" s="11"/>
      <c r="R5735" s="11"/>
      <c r="S5735" s="11"/>
      <c r="T5735" s="11"/>
    </row>
    <row r="5736" spans="8:20" x14ac:dyDescent="0.35">
      <c r="H5736" s="711"/>
      <c r="I5736" s="711"/>
      <c r="J5736" s="711"/>
      <c r="K5736" s="711"/>
      <c r="L5736" s="711"/>
      <c r="Q5736" s="11"/>
      <c r="R5736" s="11"/>
      <c r="S5736" s="11"/>
      <c r="T5736" s="11"/>
    </row>
    <row r="5737" spans="8:20" x14ac:dyDescent="0.35">
      <c r="H5737" s="711"/>
      <c r="I5737" s="711"/>
      <c r="J5737" s="711"/>
      <c r="K5737" s="711"/>
      <c r="L5737" s="711"/>
      <c r="Q5737" s="11"/>
      <c r="R5737" s="11"/>
      <c r="S5737" s="11"/>
      <c r="T5737" s="11"/>
    </row>
    <row r="5738" spans="8:20" x14ac:dyDescent="0.35">
      <c r="H5738" s="711"/>
      <c r="I5738" s="711"/>
      <c r="J5738" s="711"/>
      <c r="K5738" s="711"/>
      <c r="L5738" s="711"/>
      <c r="Q5738" s="11"/>
      <c r="R5738" s="11"/>
      <c r="S5738" s="11"/>
      <c r="T5738" s="11"/>
    </row>
    <row r="5739" spans="8:20" x14ac:dyDescent="0.35">
      <c r="H5739" s="711"/>
      <c r="I5739" s="711"/>
      <c r="J5739" s="711"/>
      <c r="K5739" s="711"/>
      <c r="L5739" s="711"/>
      <c r="Q5739" s="11"/>
      <c r="R5739" s="11"/>
      <c r="S5739" s="11"/>
      <c r="T5739" s="11"/>
    </row>
    <row r="5740" spans="8:20" x14ac:dyDescent="0.35">
      <c r="H5740" s="711"/>
      <c r="I5740" s="711"/>
      <c r="J5740" s="711"/>
      <c r="K5740" s="711"/>
      <c r="L5740" s="711"/>
      <c r="Q5740" s="11"/>
      <c r="R5740" s="11"/>
      <c r="S5740" s="11"/>
      <c r="T5740" s="11"/>
    </row>
    <row r="5741" spans="8:20" x14ac:dyDescent="0.35">
      <c r="H5741" s="711"/>
      <c r="I5741" s="711"/>
      <c r="J5741" s="711"/>
      <c r="K5741" s="711"/>
      <c r="L5741" s="711"/>
      <c r="Q5741" s="11"/>
      <c r="R5741" s="11"/>
      <c r="S5741" s="11"/>
      <c r="T5741" s="11"/>
    </row>
    <row r="5742" spans="8:20" x14ac:dyDescent="0.35">
      <c r="H5742" s="711"/>
      <c r="I5742" s="711"/>
      <c r="J5742" s="711"/>
      <c r="K5742" s="711"/>
      <c r="L5742" s="711"/>
      <c r="Q5742" s="11"/>
      <c r="R5742" s="11"/>
      <c r="S5742" s="11"/>
      <c r="T5742" s="11"/>
    </row>
    <row r="5743" spans="8:20" x14ac:dyDescent="0.35">
      <c r="H5743" s="711"/>
      <c r="I5743" s="711"/>
      <c r="J5743" s="711"/>
      <c r="K5743" s="711"/>
      <c r="L5743" s="711"/>
      <c r="Q5743" s="11"/>
      <c r="R5743" s="11"/>
      <c r="S5743" s="11"/>
      <c r="T5743" s="11"/>
    </row>
    <row r="5744" spans="8:20" x14ac:dyDescent="0.35">
      <c r="H5744" s="711"/>
      <c r="I5744" s="711"/>
      <c r="J5744" s="711"/>
      <c r="K5744" s="711"/>
      <c r="L5744" s="711"/>
      <c r="Q5744" s="11"/>
      <c r="R5744" s="11"/>
      <c r="S5744" s="11"/>
      <c r="T5744" s="11"/>
    </row>
    <row r="5745" spans="8:20" x14ac:dyDescent="0.35">
      <c r="H5745" s="711"/>
      <c r="I5745" s="711"/>
      <c r="J5745" s="711"/>
      <c r="K5745" s="711"/>
      <c r="L5745" s="711"/>
      <c r="Q5745" s="11"/>
      <c r="R5745" s="11"/>
      <c r="S5745" s="11"/>
      <c r="T5745" s="11"/>
    </row>
    <row r="5746" spans="8:20" x14ac:dyDescent="0.35">
      <c r="H5746" s="711"/>
      <c r="I5746" s="711"/>
      <c r="J5746" s="711"/>
      <c r="K5746" s="711"/>
      <c r="L5746" s="711"/>
      <c r="Q5746" s="11"/>
      <c r="R5746" s="11"/>
      <c r="S5746" s="11"/>
      <c r="T5746" s="11"/>
    </row>
    <row r="5747" spans="8:20" x14ac:dyDescent="0.35">
      <c r="H5747" s="711"/>
      <c r="I5747" s="711"/>
      <c r="J5747" s="711"/>
      <c r="K5747" s="711"/>
      <c r="L5747" s="711"/>
      <c r="Q5747" s="11"/>
      <c r="R5747" s="11"/>
      <c r="S5747" s="11"/>
      <c r="T5747" s="11"/>
    </row>
    <row r="5748" spans="8:20" x14ac:dyDescent="0.35">
      <c r="H5748" s="711"/>
      <c r="I5748" s="711"/>
      <c r="J5748" s="711"/>
      <c r="K5748" s="711"/>
      <c r="L5748" s="711"/>
      <c r="Q5748" s="11"/>
      <c r="R5748" s="11"/>
      <c r="S5748" s="11"/>
      <c r="T5748" s="11"/>
    </row>
    <row r="5749" spans="8:20" x14ac:dyDescent="0.35">
      <c r="H5749" s="711"/>
      <c r="I5749" s="711"/>
      <c r="J5749" s="711"/>
      <c r="K5749" s="711"/>
      <c r="L5749" s="711"/>
      <c r="Q5749" s="11"/>
      <c r="R5749" s="11"/>
      <c r="S5749" s="11"/>
      <c r="T5749" s="11"/>
    </row>
    <row r="5750" spans="8:20" x14ac:dyDescent="0.35">
      <c r="H5750" s="711"/>
      <c r="I5750" s="711"/>
      <c r="J5750" s="711"/>
      <c r="K5750" s="711"/>
      <c r="L5750" s="711"/>
      <c r="Q5750" s="11"/>
      <c r="R5750" s="11"/>
      <c r="S5750" s="11"/>
      <c r="T5750" s="11"/>
    </row>
    <row r="5751" spans="8:20" x14ac:dyDescent="0.35">
      <c r="H5751" s="711"/>
      <c r="I5751" s="711"/>
      <c r="J5751" s="711"/>
      <c r="K5751" s="711"/>
      <c r="L5751" s="711"/>
      <c r="Q5751" s="11"/>
      <c r="R5751" s="11"/>
      <c r="S5751" s="11"/>
      <c r="T5751" s="11"/>
    </row>
    <row r="5752" spans="8:20" x14ac:dyDescent="0.35">
      <c r="H5752" s="711"/>
      <c r="I5752" s="711"/>
      <c r="J5752" s="711"/>
      <c r="K5752" s="711"/>
      <c r="L5752" s="711"/>
      <c r="Q5752" s="11"/>
      <c r="R5752" s="11"/>
      <c r="S5752" s="11"/>
      <c r="T5752" s="11"/>
    </row>
    <row r="5753" spans="8:20" x14ac:dyDescent="0.35">
      <c r="H5753" s="711"/>
      <c r="I5753" s="711"/>
      <c r="J5753" s="711"/>
      <c r="K5753" s="711"/>
      <c r="L5753" s="711"/>
      <c r="Q5753" s="11"/>
      <c r="R5753" s="11"/>
      <c r="S5753" s="11"/>
      <c r="T5753" s="11"/>
    </row>
    <row r="5754" spans="8:20" x14ac:dyDescent="0.35">
      <c r="H5754" s="711"/>
      <c r="I5754" s="711"/>
      <c r="J5754" s="711"/>
      <c r="K5754" s="711"/>
      <c r="L5754" s="711"/>
      <c r="Q5754" s="11"/>
      <c r="R5754" s="11"/>
      <c r="S5754" s="11"/>
      <c r="T5754" s="11"/>
    </row>
    <row r="5755" spans="8:20" x14ac:dyDescent="0.35">
      <c r="H5755" s="711"/>
      <c r="I5755" s="711"/>
      <c r="J5755" s="711"/>
      <c r="K5755" s="711"/>
      <c r="L5755" s="711"/>
      <c r="Q5755" s="11"/>
      <c r="R5755" s="11"/>
      <c r="S5755" s="11"/>
      <c r="T5755" s="11"/>
    </row>
    <row r="5756" spans="8:20" x14ac:dyDescent="0.35">
      <c r="H5756" s="711"/>
      <c r="I5756" s="711"/>
      <c r="J5756" s="711"/>
      <c r="K5756" s="711"/>
      <c r="L5756" s="711"/>
      <c r="Q5756" s="11"/>
      <c r="R5756" s="11"/>
      <c r="S5756" s="11"/>
      <c r="T5756" s="11"/>
    </row>
    <row r="5757" spans="8:20" x14ac:dyDescent="0.35">
      <c r="H5757" s="711"/>
      <c r="I5757" s="711"/>
      <c r="J5757" s="711"/>
      <c r="K5757" s="711"/>
      <c r="L5757" s="711"/>
      <c r="Q5757" s="11"/>
      <c r="R5757" s="11"/>
      <c r="S5757" s="11"/>
      <c r="T5757" s="11"/>
    </row>
    <row r="5758" spans="8:20" x14ac:dyDescent="0.35">
      <c r="H5758" s="711"/>
      <c r="I5758" s="711"/>
      <c r="J5758" s="711"/>
      <c r="K5758" s="711"/>
      <c r="L5758" s="711"/>
      <c r="Q5758" s="11"/>
      <c r="R5758" s="11"/>
      <c r="S5758" s="11"/>
      <c r="T5758" s="11"/>
    </row>
    <row r="5759" spans="8:20" x14ac:dyDescent="0.35">
      <c r="H5759" s="711"/>
      <c r="I5759" s="711"/>
      <c r="J5759" s="711"/>
      <c r="K5759" s="711"/>
      <c r="L5759" s="711"/>
      <c r="Q5759" s="11"/>
      <c r="R5759" s="11"/>
      <c r="S5759" s="11"/>
      <c r="T5759" s="11"/>
    </row>
    <row r="5760" spans="8:20" x14ac:dyDescent="0.35">
      <c r="H5760" s="711"/>
      <c r="I5760" s="711"/>
      <c r="J5760" s="711"/>
      <c r="K5760" s="711"/>
      <c r="L5760" s="711"/>
      <c r="Q5760" s="11"/>
      <c r="R5760" s="11"/>
      <c r="S5760" s="11"/>
      <c r="T5760" s="11"/>
    </row>
    <row r="5761" spans="8:20" x14ac:dyDescent="0.35">
      <c r="H5761" s="711"/>
      <c r="I5761" s="711"/>
      <c r="J5761" s="711"/>
      <c r="K5761" s="711"/>
      <c r="L5761" s="711"/>
      <c r="Q5761" s="11"/>
      <c r="R5761" s="11"/>
      <c r="S5761" s="11"/>
      <c r="T5761" s="11"/>
    </row>
    <row r="5762" spans="8:20" x14ac:dyDescent="0.35">
      <c r="H5762" s="711"/>
      <c r="I5762" s="711"/>
      <c r="J5762" s="711"/>
      <c r="K5762" s="711"/>
      <c r="L5762" s="711"/>
      <c r="Q5762" s="11"/>
      <c r="R5762" s="11"/>
      <c r="S5762" s="11"/>
      <c r="T5762" s="11"/>
    </row>
    <row r="5763" spans="8:20" x14ac:dyDescent="0.35">
      <c r="H5763" s="711"/>
      <c r="I5763" s="711"/>
      <c r="J5763" s="711"/>
      <c r="K5763" s="711"/>
      <c r="L5763" s="711"/>
      <c r="Q5763" s="11"/>
      <c r="R5763" s="11"/>
      <c r="S5763" s="11"/>
      <c r="T5763" s="11"/>
    </row>
    <row r="5764" spans="8:20" x14ac:dyDescent="0.35">
      <c r="H5764" s="711"/>
      <c r="I5764" s="711"/>
      <c r="J5764" s="711"/>
      <c r="K5764" s="711"/>
      <c r="L5764" s="711"/>
      <c r="Q5764" s="11"/>
      <c r="R5764" s="11"/>
      <c r="S5764" s="11"/>
      <c r="T5764" s="11"/>
    </row>
    <row r="5765" spans="8:20" x14ac:dyDescent="0.35">
      <c r="H5765" s="711"/>
      <c r="I5765" s="711"/>
      <c r="J5765" s="711"/>
      <c r="K5765" s="711"/>
      <c r="L5765" s="711"/>
      <c r="Q5765" s="11"/>
      <c r="R5765" s="11"/>
      <c r="S5765" s="11"/>
      <c r="T5765" s="11"/>
    </row>
    <row r="5766" spans="8:20" x14ac:dyDescent="0.35">
      <c r="H5766" s="711"/>
      <c r="I5766" s="711"/>
      <c r="J5766" s="711"/>
      <c r="K5766" s="711"/>
      <c r="L5766" s="711"/>
      <c r="Q5766" s="11"/>
      <c r="R5766" s="11"/>
      <c r="S5766" s="11"/>
      <c r="T5766" s="11"/>
    </row>
    <row r="5767" spans="8:20" x14ac:dyDescent="0.35">
      <c r="H5767" s="711"/>
      <c r="I5767" s="711"/>
      <c r="J5767" s="711"/>
      <c r="K5767" s="711"/>
      <c r="L5767" s="711"/>
      <c r="Q5767" s="11"/>
      <c r="R5767" s="11"/>
      <c r="S5767" s="11"/>
      <c r="T5767" s="11"/>
    </row>
    <row r="5768" spans="8:20" x14ac:dyDescent="0.35">
      <c r="H5768" s="711"/>
      <c r="I5768" s="711"/>
      <c r="J5768" s="711"/>
      <c r="K5768" s="711"/>
      <c r="L5768" s="711"/>
      <c r="Q5768" s="11"/>
      <c r="R5768" s="11"/>
      <c r="S5768" s="11"/>
      <c r="T5768" s="11"/>
    </row>
    <row r="5769" spans="8:20" x14ac:dyDescent="0.35">
      <c r="H5769" s="711"/>
      <c r="I5769" s="711"/>
      <c r="J5769" s="711"/>
      <c r="K5769" s="711"/>
      <c r="L5769" s="711"/>
      <c r="Q5769" s="11"/>
      <c r="R5769" s="11"/>
      <c r="S5769" s="11"/>
      <c r="T5769" s="11"/>
    </row>
    <row r="5770" spans="8:20" x14ac:dyDescent="0.35">
      <c r="H5770" s="711"/>
      <c r="I5770" s="711"/>
      <c r="J5770" s="711"/>
      <c r="K5770" s="711"/>
      <c r="L5770" s="711"/>
      <c r="Q5770" s="11"/>
      <c r="R5770" s="11"/>
      <c r="S5770" s="11"/>
      <c r="T5770" s="11"/>
    </row>
    <row r="5771" spans="8:20" x14ac:dyDescent="0.35">
      <c r="H5771" s="711"/>
      <c r="I5771" s="711"/>
      <c r="J5771" s="711"/>
      <c r="K5771" s="711"/>
      <c r="L5771" s="711"/>
      <c r="Q5771" s="11"/>
      <c r="R5771" s="11"/>
      <c r="S5771" s="11"/>
      <c r="T5771" s="11"/>
    </row>
    <row r="5772" spans="8:20" x14ac:dyDescent="0.35">
      <c r="H5772" s="711"/>
      <c r="I5772" s="711"/>
      <c r="J5772" s="711"/>
      <c r="K5772" s="711"/>
      <c r="L5772" s="711"/>
      <c r="Q5772" s="11"/>
      <c r="R5772" s="11"/>
      <c r="S5772" s="11"/>
      <c r="T5772" s="11"/>
    </row>
    <row r="5773" spans="8:20" x14ac:dyDescent="0.35">
      <c r="H5773" s="711"/>
      <c r="I5773" s="711"/>
      <c r="J5773" s="711"/>
      <c r="K5773" s="711"/>
      <c r="L5773" s="711"/>
      <c r="Q5773" s="11"/>
      <c r="R5773" s="11"/>
      <c r="S5773" s="11"/>
      <c r="T5773" s="11"/>
    </row>
    <row r="5774" spans="8:20" x14ac:dyDescent="0.35">
      <c r="H5774" s="711"/>
      <c r="I5774" s="711"/>
      <c r="J5774" s="711"/>
      <c r="K5774" s="711"/>
      <c r="L5774" s="711"/>
      <c r="Q5774" s="11"/>
      <c r="R5774" s="11"/>
      <c r="S5774" s="11"/>
      <c r="T5774" s="11"/>
    </row>
    <row r="5775" spans="8:20" x14ac:dyDescent="0.35">
      <c r="H5775" s="711"/>
      <c r="I5775" s="711"/>
      <c r="J5775" s="711"/>
      <c r="K5775" s="711"/>
      <c r="L5775" s="711"/>
      <c r="Q5775" s="11"/>
      <c r="R5775" s="11"/>
      <c r="S5775" s="11"/>
      <c r="T5775" s="11"/>
    </row>
    <row r="5776" spans="8:20" x14ac:dyDescent="0.35">
      <c r="H5776" s="711"/>
      <c r="I5776" s="711"/>
      <c r="J5776" s="711"/>
      <c r="K5776" s="711"/>
      <c r="L5776" s="711"/>
      <c r="Q5776" s="11"/>
      <c r="R5776" s="11"/>
      <c r="S5776" s="11"/>
      <c r="T5776" s="11"/>
    </row>
    <row r="5777" spans="8:20" x14ac:dyDescent="0.35">
      <c r="H5777" s="711"/>
      <c r="I5777" s="711"/>
      <c r="J5777" s="711"/>
      <c r="K5777" s="711"/>
      <c r="L5777" s="711"/>
      <c r="Q5777" s="11"/>
      <c r="R5777" s="11"/>
      <c r="S5777" s="11"/>
      <c r="T5777" s="11"/>
    </row>
    <row r="5778" spans="8:20" x14ac:dyDescent="0.35">
      <c r="H5778" s="711"/>
      <c r="I5778" s="711"/>
      <c r="J5778" s="711"/>
      <c r="K5778" s="711"/>
      <c r="L5778" s="711"/>
      <c r="Q5778" s="11"/>
      <c r="R5778" s="11"/>
      <c r="S5778" s="11"/>
      <c r="T5778" s="11"/>
    </row>
    <row r="5779" spans="8:20" x14ac:dyDescent="0.35">
      <c r="H5779" s="711"/>
      <c r="I5779" s="711"/>
      <c r="J5779" s="711"/>
      <c r="K5779" s="711"/>
      <c r="L5779" s="711"/>
      <c r="Q5779" s="11"/>
      <c r="R5779" s="11"/>
      <c r="S5779" s="11"/>
      <c r="T5779" s="11"/>
    </row>
    <row r="5780" spans="8:20" x14ac:dyDescent="0.35">
      <c r="H5780" s="711"/>
      <c r="I5780" s="711"/>
      <c r="J5780" s="711"/>
      <c r="K5780" s="711"/>
      <c r="L5780" s="711"/>
      <c r="Q5780" s="11"/>
      <c r="R5780" s="11"/>
      <c r="S5780" s="11"/>
      <c r="T5780" s="11"/>
    </row>
    <row r="5781" spans="8:20" x14ac:dyDescent="0.35">
      <c r="H5781" s="711"/>
      <c r="I5781" s="711"/>
      <c r="J5781" s="711"/>
      <c r="K5781" s="711"/>
      <c r="L5781" s="711"/>
      <c r="Q5781" s="11"/>
      <c r="R5781" s="11"/>
      <c r="S5781" s="11"/>
      <c r="T5781" s="11"/>
    </row>
    <row r="5782" spans="8:20" x14ac:dyDescent="0.35">
      <c r="H5782" s="711"/>
      <c r="I5782" s="711"/>
      <c r="J5782" s="711"/>
      <c r="K5782" s="711"/>
      <c r="L5782" s="711"/>
      <c r="Q5782" s="11"/>
      <c r="R5782" s="11"/>
      <c r="S5782" s="11"/>
      <c r="T5782" s="11"/>
    </row>
    <row r="5783" spans="8:20" x14ac:dyDescent="0.35">
      <c r="H5783" s="711"/>
      <c r="I5783" s="711"/>
      <c r="J5783" s="711"/>
      <c r="K5783" s="711"/>
      <c r="L5783" s="711"/>
      <c r="Q5783" s="11"/>
      <c r="R5783" s="11"/>
      <c r="S5783" s="11"/>
      <c r="T5783" s="11"/>
    </row>
    <row r="5784" spans="8:20" x14ac:dyDescent="0.35">
      <c r="H5784" s="711"/>
      <c r="I5784" s="711"/>
      <c r="J5784" s="711"/>
      <c r="K5784" s="711"/>
      <c r="L5784" s="711"/>
      <c r="Q5784" s="11"/>
      <c r="R5784" s="11"/>
      <c r="S5784" s="11"/>
      <c r="T5784" s="11"/>
    </row>
    <row r="5785" spans="8:20" x14ac:dyDescent="0.35">
      <c r="H5785" s="711"/>
      <c r="I5785" s="711"/>
      <c r="J5785" s="711"/>
      <c r="K5785" s="711"/>
      <c r="L5785" s="711"/>
      <c r="Q5785" s="11"/>
      <c r="R5785" s="11"/>
      <c r="S5785" s="11"/>
      <c r="T5785" s="11"/>
    </row>
    <row r="5786" spans="8:20" x14ac:dyDescent="0.35">
      <c r="H5786" s="711"/>
      <c r="I5786" s="711"/>
      <c r="J5786" s="711"/>
      <c r="K5786" s="711"/>
      <c r="L5786" s="711"/>
      <c r="Q5786" s="11"/>
      <c r="R5786" s="11"/>
      <c r="S5786" s="11"/>
      <c r="T5786" s="11"/>
    </row>
    <row r="5787" spans="8:20" x14ac:dyDescent="0.35">
      <c r="H5787" s="711"/>
      <c r="I5787" s="711"/>
      <c r="J5787" s="711"/>
      <c r="K5787" s="711"/>
      <c r="L5787" s="711"/>
      <c r="Q5787" s="11"/>
      <c r="R5787" s="11"/>
      <c r="S5787" s="11"/>
      <c r="T5787" s="11"/>
    </row>
    <row r="5788" spans="8:20" x14ac:dyDescent="0.35">
      <c r="H5788" s="711"/>
      <c r="I5788" s="711"/>
      <c r="J5788" s="711"/>
      <c r="K5788" s="711"/>
      <c r="L5788" s="711"/>
      <c r="Q5788" s="11"/>
      <c r="R5788" s="11"/>
      <c r="S5788" s="11"/>
      <c r="T5788" s="11"/>
    </row>
    <row r="5789" spans="8:20" x14ac:dyDescent="0.35">
      <c r="H5789" s="711"/>
      <c r="I5789" s="711"/>
      <c r="J5789" s="711"/>
      <c r="K5789" s="711"/>
      <c r="L5789" s="711"/>
      <c r="Q5789" s="11"/>
      <c r="R5789" s="11"/>
      <c r="S5789" s="11"/>
      <c r="T5789" s="11"/>
    </row>
    <row r="5790" spans="8:20" x14ac:dyDescent="0.35">
      <c r="H5790" s="711"/>
      <c r="I5790" s="711"/>
      <c r="J5790" s="711"/>
      <c r="K5790" s="711"/>
      <c r="L5790" s="711"/>
      <c r="Q5790" s="11"/>
      <c r="R5790" s="11"/>
      <c r="S5790" s="11"/>
      <c r="T5790" s="11"/>
    </row>
    <row r="5791" spans="8:20" x14ac:dyDescent="0.35">
      <c r="H5791" s="711"/>
      <c r="I5791" s="711"/>
      <c r="J5791" s="711"/>
      <c r="K5791" s="711"/>
      <c r="L5791" s="711"/>
      <c r="Q5791" s="11"/>
      <c r="R5791" s="11"/>
      <c r="S5791" s="11"/>
      <c r="T5791" s="11"/>
    </row>
    <row r="5792" spans="8:20" x14ac:dyDescent="0.35">
      <c r="H5792" s="711"/>
      <c r="I5792" s="711"/>
      <c r="J5792" s="711"/>
      <c r="K5792" s="711"/>
      <c r="L5792" s="711"/>
      <c r="Q5792" s="11"/>
      <c r="R5792" s="11"/>
      <c r="S5792" s="11"/>
      <c r="T5792" s="11"/>
    </row>
    <row r="5793" spans="8:20" x14ac:dyDescent="0.35">
      <c r="H5793" s="711"/>
      <c r="I5793" s="711"/>
      <c r="J5793" s="711"/>
      <c r="K5793" s="711"/>
      <c r="L5793" s="711"/>
      <c r="Q5793" s="11"/>
      <c r="R5793" s="11"/>
      <c r="S5793" s="11"/>
      <c r="T5793" s="11"/>
    </row>
    <row r="5794" spans="8:20" x14ac:dyDescent="0.35">
      <c r="H5794" s="711"/>
      <c r="I5794" s="711"/>
      <c r="J5794" s="711"/>
      <c r="K5794" s="711"/>
      <c r="L5794" s="711"/>
      <c r="Q5794" s="11"/>
      <c r="R5794" s="11"/>
      <c r="S5794" s="11"/>
      <c r="T5794" s="11"/>
    </row>
    <row r="5795" spans="8:20" x14ac:dyDescent="0.35">
      <c r="H5795" s="711"/>
      <c r="I5795" s="711"/>
      <c r="J5795" s="711"/>
      <c r="K5795" s="711"/>
      <c r="L5795" s="711"/>
      <c r="Q5795" s="11"/>
      <c r="R5795" s="11"/>
      <c r="S5795" s="11"/>
      <c r="T5795" s="11"/>
    </row>
    <row r="5796" spans="8:20" x14ac:dyDescent="0.35">
      <c r="H5796" s="711"/>
      <c r="I5796" s="711"/>
      <c r="J5796" s="711"/>
      <c r="K5796" s="711"/>
      <c r="L5796" s="711"/>
      <c r="Q5796" s="11"/>
      <c r="R5796" s="11"/>
      <c r="S5796" s="11"/>
      <c r="T5796" s="11"/>
    </row>
    <row r="5797" spans="8:20" x14ac:dyDescent="0.35">
      <c r="H5797" s="711"/>
      <c r="I5797" s="711"/>
      <c r="J5797" s="711"/>
      <c r="K5797" s="711"/>
      <c r="L5797" s="711"/>
      <c r="Q5797" s="11"/>
      <c r="R5797" s="11"/>
      <c r="S5797" s="11"/>
      <c r="T5797" s="11"/>
    </row>
    <row r="5798" spans="8:20" x14ac:dyDescent="0.35">
      <c r="H5798" s="711"/>
      <c r="I5798" s="711"/>
      <c r="J5798" s="711"/>
      <c r="K5798" s="711"/>
      <c r="L5798" s="711"/>
      <c r="Q5798" s="11"/>
      <c r="R5798" s="11"/>
      <c r="S5798" s="11"/>
      <c r="T5798" s="11"/>
    </row>
    <row r="5799" spans="8:20" x14ac:dyDescent="0.35">
      <c r="H5799" s="711"/>
      <c r="I5799" s="711"/>
      <c r="J5799" s="711"/>
      <c r="K5799" s="711"/>
      <c r="L5799" s="711"/>
      <c r="Q5799" s="11"/>
      <c r="R5799" s="11"/>
      <c r="S5799" s="11"/>
      <c r="T5799" s="11"/>
    </row>
    <row r="5800" spans="8:20" x14ac:dyDescent="0.35">
      <c r="H5800" s="711"/>
      <c r="I5800" s="711"/>
      <c r="J5800" s="711"/>
      <c r="K5800" s="711"/>
      <c r="L5800" s="711"/>
      <c r="Q5800" s="11"/>
      <c r="R5800" s="11"/>
      <c r="S5800" s="11"/>
      <c r="T5800" s="11"/>
    </row>
    <row r="5801" spans="8:20" x14ac:dyDescent="0.35">
      <c r="H5801" s="711"/>
      <c r="I5801" s="711"/>
      <c r="J5801" s="711"/>
      <c r="K5801" s="711"/>
      <c r="L5801" s="711"/>
      <c r="Q5801" s="11"/>
      <c r="R5801" s="11"/>
      <c r="S5801" s="11"/>
      <c r="T5801" s="11"/>
    </row>
    <row r="5802" spans="8:20" x14ac:dyDescent="0.35">
      <c r="H5802" s="711"/>
      <c r="I5802" s="711"/>
      <c r="J5802" s="711"/>
      <c r="K5802" s="711"/>
      <c r="L5802" s="711"/>
      <c r="Q5802" s="11"/>
      <c r="R5802" s="11"/>
      <c r="S5802" s="11"/>
      <c r="T5802" s="11"/>
    </row>
    <row r="5803" spans="8:20" x14ac:dyDescent="0.35">
      <c r="H5803" s="711"/>
      <c r="I5803" s="711"/>
      <c r="J5803" s="711"/>
      <c r="K5803" s="711"/>
      <c r="L5803" s="711"/>
      <c r="Q5803" s="11"/>
      <c r="R5803" s="11"/>
      <c r="S5803" s="11"/>
      <c r="T5803" s="11"/>
    </row>
    <row r="5804" spans="8:20" x14ac:dyDescent="0.35">
      <c r="H5804" s="711"/>
      <c r="I5804" s="711"/>
      <c r="J5804" s="711"/>
      <c r="K5804" s="711"/>
      <c r="L5804" s="711"/>
      <c r="Q5804" s="11"/>
      <c r="R5804" s="11"/>
      <c r="S5804" s="11"/>
      <c r="T5804" s="11"/>
    </row>
    <row r="5805" spans="8:20" x14ac:dyDescent="0.35">
      <c r="H5805" s="711"/>
      <c r="I5805" s="711"/>
      <c r="J5805" s="711"/>
      <c r="K5805" s="711"/>
      <c r="L5805" s="711"/>
      <c r="Q5805" s="11"/>
      <c r="R5805" s="11"/>
      <c r="S5805" s="11"/>
      <c r="T5805" s="11"/>
    </row>
    <row r="5806" spans="8:20" x14ac:dyDescent="0.35">
      <c r="H5806" s="711"/>
      <c r="I5806" s="711"/>
      <c r="J5806" s="711"/>
      <c r="K5806" s="711"/>
      <c r="L5806" s="711"/>
      <c r="Q5806" s="11"/>
      <c r="R5806" s="11"/>
      <c r="S5806" s="11"/>
      <c r="T5806" s="11"/>
    </row>
    <row r="5807" spans="8:20" x14ac:dyDescent="0.35">
      <c r="H5807" s="711"/>
      <c r="I5807" s="711"/>
      <c r="J5807" s="711"/>
      <c r="K5807" s="711"/>
      <c r="L5807" s="711"/>
      <c r="Q5807" s="11"/>
      <c r="R5807" s="11"/>
      <c r="S5807" s="11"/>
      <c r="T5807" s="11"/>
    </row>
    <row r="5808" spans="8:20" x14ac:dyDescent="0.35">
      <c r="H5808" s="711"/>
      <c r="I5808" s="711"/>
      <c r="J5808" s="711"/>
      <c r="K5808" s="711"/>
      <c r="L5808" s="711"/>
      <c r="Q5808" s="11"/>
      <c r="R5808" s="11"/>
      <c r="S5808" s="11"/>
      <c r="T5808" s="11"/>
    </row>
    <row r="5809" spans="8:20" x14ac:dyDescent="0.35">
      <c r="H5809" s="711"/>
      <c r="I5809" s="711"/>
      <c r="J5809" s="711"/>
      <c r="K5809" s="711"/>
      <c r="L5809" s="711"/>
      <c r="Q5809" s="11"/>
      <c r="R5809" s="11"/>
      <c r="S5809" s="11"/>
      <c r="T5809" s="11"/>
    </row>
    <row r="5810" spans="8:20" x14ac:dyDescent="0.35">
      <c r="H5810" s="711"/>
      <c r="I5810" s="711"/>
      <c r="J5810" s="711"/>
      <c r="K5810" s="711"/>
      <c r="L5810" s="711"/>
      <c r="Q5810" s="11"/>
      <c r="R5810" s="11"/>
      <c r="S5810" s="11"/>
      <c r="T5810" s="11"/>
    </row>
    <row r="5811" spans="8:20" x14ac:dyDescent="0.35">
      <c r="H5811" s="711"/>
      <c r="I5811" s="711"/>
      <c r="J5811" s="711"/>
      <c r="K5811" s="711"/>
      <c r="L5811" s="711"/>
      <c r="Q5811" s="11"/>
      <c r="R5811" s="11"/>
      <c r="S5811" s="11"/>
      <c r="T5811" s="11"/>
    </row>
    <row r="5812" spans="8:20" x14ac:dyDescent="0.35">
      <c r="H5812" s="711"/>
      <c r="I5812" s="711"/>
      <c r="J5812" s="711"/>
      <c r="K5812" s="711"/>
      <c r="L5812" s="711"/>
      <c r="Q5812" s="11"/>
      <c r="R5812" s="11"/>
      <c r="S5812" s="11"/>
      <c r="T5812" s="11"/>
    </row>
    <row r="5813" spans="8:20" x14ac:dyDescent="0.35">
      <c r="H5813" s="711"/>
      <c r="I5813" s="711"/>
      <c r="J5813" s="711"/>
      <c r="K5813" s="711"/>
      <c r="L5813" s="711"/>
      <c r="Q5813" s="11"/>
      <c r="R5813" s="11"/>
      <c r="S5813" s="11"/>
      <c r="T5813" s="11"/>
    </row>
    <row r="5814" spans="8:20" x14ac:dyDescent="0.35">
      <c r="H5814" s="711"/>
      <c r="I5814" s="711"/>
      <c r="J5814" s="711"/>
      <c r="K5814" s="711"/>
      <c r="L5814" s="711"/>
      <c r="Q5814" s="11"/>
      <c r="R5814" s="11"/>
      <c r="S5814" s="11"/>
      <c r="T5814" s="11"/>
    </row>
    <row r="5815" spans="8:20" x14ac:dyDescent="0.35">
      <c r="H5815" s="711"/>
      <c r="I5815" s="711"/>
      <c r="J5815" s="711"/>
      <c r="K5815" s="711"/>
      <c r="L5815" s="711"/>
      <c r="Q5815" s="11"/>
      <c r="R5815" s="11"/>
      <c r="S5815" s="11"/>
      <c r="T5815" s="11"/>
    </row>
    <row r="5816" spans="8:20" x14ac:dyDescent="0.35">
      <c r="H5816" s="711"/>
      <c r="I5816" s="711"/>
      <c r="J5816" s="711"/>
      <c r="K5816" s="711"/>
      <c r="L5816" s="711"/>
      <c r="Q5816" s="11"/>
      <c r="R5816" s="11"/>
      <c r="S5816" s="11"/>
      <c r="T5816" s="11"/>
    </row>
    <row r="5817" spans="8:20" x14ac:dyDescent="0.35">
      <c r="H5817" s="711"/>
      <c r="I5817" s="711"/>
      <c r="J5817" s="711"/>
      <c r="K5817" s="711"/>
      <c r="L5817" s="711"/>
      <c r="Q5817" s="11"/>
      <c r="R5817" s="11"/>
      <c r="S5817" s="11"/>
      <c r="T5817" s="11"/>
    </row>
    <row r="5818" spans="8:20" x14ac:dyDescent="0.35">
      <c r="H5818" s="711"/>
      <c r="I5818" s="711"/>
      <c r="J5818" s="711"/>
      <c r="K5818" s="711"/>
      <c r="L5818" s="711"/>
      <c r="Q5818" s="11"/>
      <c r="R5818" s="11"/>
      <c r="S5818" s="11"/>
      <c r="T5818" s="11"/>
    </row>
    <row r="5819" spans="8:20" x14ac:dyDescent="0.35">
      <c r="H5819" s="711"/>
      <c r="I5819" s="711"/>
      <c r="J5819" s="711"/>
      <c r="K5819" s="711"/>
      <c r="L5819" s="711"/>
      <c r="Q5819" s="11"/>
      <c r="R5819" s="11"/>
      <c r="S5819" s="11"/>
      <c r="T5819" s="11"/>
    </row>
    <row r="5820" spans="8:20" x14ac:dyDescent="0.35">
      <c r="H5820" s="711"/>
      <c r="I5820" s="711"/>
      <c r="J5820" s="711"/>
      <c r="K5820" s="711"/>
      <c r="L5820" s="711"/>
      <c r="Q5820" s="11"/>
      <c r="R5820" s="11"/>
      <c r="S5820" s="11"/>
      <c r="T5820" s="11"/>
    </row>
    <row r="5821" spans="8:20" x14ac:dyDescent="0.35">
      <c r="H5821" s="711"/>
      <c r="I5821" s="711"/>
      <c r="J5821" s="711"/>
      <c r="K5821" s="711"/>
      <c r="L5821" s="711"/>
      <c r="Q5821" s="11"/>
      <c r="R5821" s="11"/>
      <c r="S5821" s="11"/>
      <c r="T5821" s="11"/>
    </row>
    <row r="5822" spans="8:20" x14ac:dyDescent="0.35">
      <c r="H5822" s="711"/>
      <c r="I5822" s="711"/>
      <c r="J5822" s="711"/>
      <c r="K5822" s="711"/>
      <c r="L5822" s="711"/>
      <c r="Q5822" s="11"/>
      <c r="R5822" s="11"/>
      <c r="S5822" s="11"/>
      <c r="T5822" s="11"/>
    </row>
    <row r="5823" spans="8:20" x14ac:dyDescent="0.35">
      <c r="H5823" s="711"/>
      <c r="I5823" s="711"/>
      <c r="J5823" s="711"/>
      <c r="K5823" s="711"/>
      <c r="L5823" s="711"/>
      <c r="Q5823" s="11"/>
      <c r="R5823" s="11"/>
      <c r="S5823" s="11"/>
      <c r="T5823" s="11"/>
    </row>
    <row r="5824" spans="8:20" x14ac:dyDescent="0.35">
      <c r="H5824" s="711"/>
      <c r="I5824" s="711"/>
      <c r="J5824" s="711"/>
      <c r="K5824" s="711"/>
      <c r="L5824" s="711"/>
      <c r="Q5824" s="11"/>
      <c r="R5824" s="11"/>
      <c r="S5824" s="11"/>
      <c r="T5824" s="11"/>
    </row>
    <row r="5825" spans="8:20" x14ac:dyDescent="0.35">
      <c r="H5825" s="711"/>
      <c r="I5825" s="711"/>
      <c r="J5825" s="711"/>
      <c r="K5825" s="711"/>
      <c r="L5825" s="711"/>
      <c r="Q5825" s="11"/>
      <c r="R5825" s="11"/>
      <c r="S5825" s="11"/>
      <c r="T5825" s="11"/>
    </row>
    <row r="5826" spans="8:20" x14ac:dyDescent="0.35">
      <c r="H5826" s="711"/>
      <c r="I5826" s="711"/>
      <c r="J5826" s="711"/>
      <c r="K5826" s="711"/>
      <c r="L5826" s="711"/>
      <c r="Q5826" s="11"/>
      <c r="R5826" s="11"/>
      <c r="S5826" s="11"/>
      <c r="T5826" s="11"/>
    </row>
    <row r="5827" spans="8:20" x14ac:dyDescent="0.35">
      <c r="H5827" s="711"/>
      <c r="I5827" s="711"/>
      <c r="J5827" s="711"/>
      <c r="K5827" s="711"/>
      <c r="L5827" s="711"/>
      <c r="Q5827" s="11"/>
      <c r="R5827" s="11"/>
      <c r="S5827" s="11"/>
      <c r="T5827" s="11"/>
    </row>
    <row r="5828" spans="8:20" x14ac:dyDescent="0.35">
      <c r="H5828" s="711"/>
      <c r="I5828" s="711"/>
      <c r="J5828" s="711"/>
      <c r="K5828" s="711"/>
      <c r="L5828" s="711"/>
      <c r="Q5828" s="11"/>
      <c r="R5828" s="11"/>
      <c r="S5828" s="11"/>
      <c r="T5828" s="11"/>
    </row>
    <row r="5829" spans="8:20" x14ac:dyDescent="0.35">
      <c r="H5829" s="711"/>
      <c r="I5829" s="711"/>
      <c r="J5829" s="711"/>
      <c r="K5829" s="711"/>
      <c r="L5829" s="711"/>
      <c r="Q5829" s="11"/>
      <c r="R5829" s="11"/>
      <c r="S5829" s="11"/>
      <c r="T5829" s="11"/>
    </row>
    <row r="5830" spans="8:20" x14ac:dyDescent="0.35">
      <c r="H5830" s="711"/>
      <c r="I5830" s="711"/>
      <c r="J5830" s="711"/>
      <c r="K5830" s="711"/>
      <c r="L5830" s="711"/>
      <c r="Q5830" s="11"/>
      <c r="R5830" s="11"/>
      <c r="S5830" s="11"/>
      <c r="T5830" s="11"/>
    </row>
    <row r="5831" spans="8:20" x14ac:dyDescent="0.35">
      <c r="H5831" s="711"/>
      <c r="I5831" s="711"/>
      <c r="J5831" s="711"/>
      <c r="K5831" s="711"/>
      <c r="L5831" s="711"/>
      <c r="Q5831" s="11"/>
      <c r="R5831" s="11"/>
      <c r="S5831" s="11"/>
      <c r="T5831" s="11"/>
    </row>
    <row r="5832" spans="8:20" x14ac:dyDescent="0.35">
      <c r="H5832" s="711"/>
      <c r="I5832" s="711"/>
      <c r="J5832" s="711"/>
      <c r="K5832" s="711"/>
      <c r="L5832" s="711"/>
      <c r="Q5832" s="11"/>
      <c r="R5832" s="11"/>
      <c r="S5832" s="11"/>
      <c r="T5832" s="11"/>
    </row>
    <row r="5833" spans="8:20" x14ac:dyDescent="0.35">
      <c r="H5833" s="711"/>
      <c r="I5833" s="711"/>
      <c r="J5833" s="711"/>
      <c r="K5833" s="711"/>
      <c r="L5833" s="711"/>
      <c r="Q5833" s="11"/>
      <c r="R5833" s="11"/>
      <c r="S5833" s="11"/>
      <c r="T5833" s="11"/>
    </row>
    <row r="5834" spans="8:20" x14ac:dyDescent="0.35">
      <c r="H5834" s="711"/>
      <c r="I5834" s="711"/>
      <c r="J5834" s="711"/>
      <c r="K5834" s="711"/>
      <c r="L5834" s="711"/>
      <c r="Q5834" s="11"/>
      <c r="R5834" s="11"/>
      <c r="S5834" s="11"/>
      <c r="T5834" s="11"/>
    </row>
    <row r="5835" spans="8:20" x14ac:dyDescent="0.35">
      <c r="H5835" s="711"/>
      <c r="I5835" s="711"/>
      <c r="J5835" s="711"/>
      <c r="K5835" s="711"/>
      <c r="L5835" s="711"/>
      <c r="Q5835" s="11"/>
      <c r="R5835" s="11"/>
      <c r="S5835" s="11"/>
      <c r="T5835" s="11"/>
    </row>
    <row r="5836" spans="8:20" x14ac:dyDescent="0.35">
      <c r="H5836" s="711"/>
      <c r="I5836" s="711"/>
      <c r="J5836" s="711"/>
      <c r="K5836" s="711"/>
      <c r="L5836" s="711"/>
      <c r="Q5836" s="11"/>
      <c r="R5836" s="11"/>
      <c r="S5836" s="11"/>
      <c r="T5836" s="11"/>
    </row>
    <row r="5837" spans="8:20" x14ac:dyDescent="0.35">
      <c r="H5837" s="711"/>
      <c r="I5837" s="711"/>
      <c r="J5837" s="711"/>
      <c r="K5837" s="711"/>
      <c r="L5837" s="711"/>
      <c r="Q5837" s="11"/>
      <c r="R5837" s="11"/>
      <c r="S5837" s="11"/>
      <c r="T5837" s="11"/>
    </row>
    <row r="5838" spans="8:20" x14ac:dyDescent="0.35">
      <c r="H5838" s="711"/>
      <c r="I5838" s="711"/>
      <c r="J5838" s="711"/>
      <c r="K5838" s="711"/>
      <c r="L5838" s="711"/>
      <c r="Q5838" s="11"/>
      <c r="R5838" s="11"/>
      <c r="S5838" s="11"/>
      <c r="T5838" s="11"/>
    </row>
    <row r="5839" spans="8:20" x14ac:dyDescent="0.35">
      <c r="H5839" s="711"/>
      <c r="I5839" s="711"/>
      <c r="J5839" s="711"/>
      <c r="K5839" s="711"/>
      <c r="L5839" s="711"/>
      <c r="Q5839" s="11"/>
      <c r="R5839" s="11"/>
      <c r="S5839" s="11"/>
      <c r="T5839" s="11"/>
    </row>
    <row r="5840" spans="8:20" x14ac:dyDescent="0.35">
      <c r="H5840" s="711"/>
      <c r="I5840" s="711"/>
      <c r="J5840" s="711"/>
      <c r="K5840" s="711"/>
      <c r="L5840" s="711"/>
      <c r="Q5840" s="11"/>
      <c r="R5840" s="11"/>
      <c r="S5840" s="11"/>
      <c r="T5840" s="11"/>
    </row>
    <row r="5841" spans="8:20" x14ac:dyDescent="0.35">
      <c r="H5841" s="711"/>
      <c r="I5841" s="711"/>
      <c r="J5841" s="711"/>
      <c r="K5841" s="711"/>
      <c r="L5841" s="711"/>
      <c r="Q5841" s="11"/>
      <c r="R5841" s="11"/>
      <c r="S5841" s="11"/>
      <c r="T5841" s="11"/>
    </row>
    <row r="5842" spans="8:20" x14ac:dyDescent="0.35">
      <c r="H5842" s="711"/>
      <c r="I5842" s="711"/>
      <c r="J5842" s="711"/>
      <c r="K5842" s="711"/>
      <c r="L5842" s="711"/>
      <c r="Q5842" s="11"/>
      <c r="R5842" s="11"/>
      <c r="S5842" s="11"/>
      <c r="T5842" s="11"/>
    </row>
    <row r="5843" spans="8:20" x14ac:dyDescent="0.35">
      <c r="H5843" s="711"/>
      <c r="I5843" s="711"/>
      <c r="J5843" s="711"/>
      <c r="K5843" s="711"/>
      <c r="L5843" s="711"/>
      <c r="Q5843" s="11"/>
      <c r="R5843" s="11"/>
      <c r="S5843" s="11"/>
      <c r="T5843" s="11"/>
    </row>
    <row r="5844" spans="8:20" x14ac:dyDescent="0.35">
      <c r="H5844" s="711"/>
      <c r="I5844" s="711"/>
      <c r="J5844" s="711"/>
      <c r="K5844" s="711"/>
      <c r="L5844" s="711"/>
      <c r="Q5844" s="11"/>
      <c r="R5844" s="11"/>
      <c r="S5844" s="11"/>
      <c r="T5844" s="11"/>
    </row>
    <row r="5845" spans="8:20" x14ac:dyDescent="0.35">
      <c r="H5845" s="711"/>
      <c r="I5845" s="711"/>
      <c r="J5845" s="711"/>
      <c r="K5845" s="711"/>
      <c r="L5845" s="711"/>
      <c r="Q5845" s="11"/>
      <c r="R5845" s="11"/>
      <c r="S5845" s="11"/>
      <c r="T5845" s="11"/>
    </row>
    <row r="5846" spans="8:20" x14ac:dyDescent="0.35">
      <c r="H5846" s="711"/>
      <c r="I5846" s="711"/>
      <c r="J5846" s="711"/>
      <c r="K5846" s="711"/>
      <c r="L5846" s="711"/>
      <c r="Q5846" s="11"/>
      <c r="R5846" s="11"/>
      <c r="S5846" s="11"/>
      <c r="T5846" s="11"/>
    </row>
    <row r="5847" spans="8:20" x14ac:dyDescent="0.35">
      <c r="H5847" s="711"/>
      <c r="I5847" s="711"/>
      <c r="J5847" s="711"/>
      <c r="K5847" s="711"/>
      <c r="L5847" s="711"/>
      <c r="Q5847" s="11"/>
      <c r="R5847" s="11"/>
      <c r="S5847" s="11"/>
      <c r="T5847" s="11"/>
    </row>
    <row r="5848" spans="8:20" x14ac:dyDescent="0.35">
      <c r="H5848" s="711"/>
      <c r="I5848" s="711"/>
      <c r="J5848" s="711"/>
      <c r="K5848" s="711"/>
      <c r="L5848" s="711"/>
      <c r="Q5848" s="11"/>
      <c r="R5848" s="11"/>
      <c r="S5848" s="11"/>
      <c r="T5848" s="11"/>
    </row>
    <row r="5849" spans="8:20" x14ac:dyDescent="0.35">
      <c r="H5849" s="711"/>
      <c r="I5849" s="711"/>
      <c r="J5849" s="711"/>
      <c r="K5849" s="711"/>
      <c r="L5849" s="711"/>
      <c r="Q5849" s="11"/>
      <c r="R5849" s="11"/>
      <c r="S5849" s="11"/>
      <c r="T5849" s="11"/>
    </row>
    <row r="5850" spans="8:20" x14ac:dyDescent="0.35">
      <c r="H5850" s="711"/>
      <c r="I5850" s="711"/>
      <c r="J5850" s="711"/>
      <c r="K5850" s="711"/>
      <c r="L5850" s="711"/>
      <c r="Q5850" s="11"/>
      <c r="R5850" s="11"/>
      <c r="S5850" s="11"/>
      <c r="T5850" s="11"/>
    </row>
    <row r="5851" spans="8:20" x14ac:dyDescent="0.35">
      <c r="H5851" s="711"/>
      <c r="I5851" s="711"/>
      <c r="J5851" s="711"/>
      <c r="K5851" s="711"/>
      <c r="L5851" s="711"/>
      <c r="Q5851" s="11"/>
      <c r="R5851" s="11"/>
      <c r="S5851" s="11"/>
      <c r="T5851" s="11"/>
    </row>
    <row r="5852" spans="8:20" x14ac:dyDescent="0.35">
      <c r="H5852" s="711"/>
      <c r="I5852" s="711"/>
      <c r="J5852" s="711"/>
      <c r="K5852" s="711"/>
      <c r="L5852" s="711"/>
      <c r="Q5852" s="11"/>
      <c r="R5852" s="11"/>
      <c r="S5852" s="11"/>
      <c r="T5852" s="11"/>
    </row>
    <row r="5853" spans="8:20" x14ac:dyDescent="0.35">
      <c r="H5853" s="711"/>
      <c r="I5853" s="711"/>
      <c r="J5853" s="711"/>
      <c r="K5853" s="711"/>
      <c r="L5853" s="711"/>
      <c r="Q5853" s="11"/>
      <c r="R5853" s="11"/>
      <c r="S5853" s="11"/>
      <c r="T5853" s="11"/>
    </row>
    <row r="5854" spans="8:20" x14ac:dyDescent="0.35">
      <c r="H5854" s="711"/>
      <c r="I5854" s="711"/>
      <c r="J5854" s="711"/>
      <c r="K5854" s="711"/>
      <c r="L5854" s="711"/>
      <c r="Q5854" s="11"/>
      <c r="R5854" s="11"/>
      <c r="S5854" s="11"/>
      <c r="T5854" s="11"/>
    </row>
    <row r="5855" spans="8:20" x14ac:dyDescent="0.35">
      <c r="H5855" s="711"/>
      <c r="I5855" s="711"/>
      <c r="J5855" s="711"/>
      <c r="K5855" s="711"/>
      <c r="L5855" s="711"/>
      <c r="Q5855" s="11"/>
      <c r="R5855" s="11"/>
      <c r="S5855" s="11"/>
      <c r="T5855" s="11"/>
    </row>
    <row r="5856" spans="8:20" x14ac:dyDescent="0.35">
      <c r="H5856" s="711"/>
      <c r="I5856" s="711"/>
      <c r="J5856" s="711"/>
      <c r="K5856" s="711"/>
      <c r="L5856" s="711"/>
      <c r="Q5856" s="11"/>
      <c r="R5856" s="11"/>
      <c r="S5856" s="11"/>
      <c r="T5856" s="11"/>
    </row>
    <row r="5857" spans="8:20" x14ac:dyDescent="0.35">
      <c r="H5857" s="711"/>
      <c r="I5857" s="711"/>
      <c r="J5857" s="711"/>
      <c r="K5857" s="711"/>
      <c r="L5857" s="711"/>
      <c r="Q5857" s="11"/>
      <c r="R5857" s="11"/>
      <c r="S5857" s="11"/>
      <c r="T5857" s="11"/>
    </row>
    <row r="5858" spans="8:20" x14ac:dyDescent="0.35">
      <c r="H5858" s="711"/>
      <c r="I5858" s="711"/>
      <c r="J5858" s="711"/>
      <c r="K5858" s="711"/>
      <c r="L5858" s="711"/>
      <c r="Q5858" s="11"/>
      <c r="R5858" s="11"/>
      <c r="S5858" s="11"/>
      <c r="T5858" s="11"/>
    </row>
    <row r="5859" spans="8:20" x14ac:dyDescent="0.35">
      <c r="H5859" s="711"/>
      <c r="I5859" s="711"/>
      <c r="J5859" s="711"/>
      <c r="K5859" s="711"/>
      <c r="L5859" s="711"/>
      <c r="Q5859" s="11"/>
      <c r="R5859" s="11"/>
      <c r="S5859" s="11"/>
      <c r="T5859" s="11"/>
    </row>
    <row r="5860" spans="8:20" x14ac:dyDescent="0.35">
      <c r="H5860" s="711"/>
      <c r="I5860" s="711"/>
      <c r="J5860" s="711"/>
      <c r="K5860" s="711"/>
      <c r="L5860" s="711"/>
      <c r="Q5860" s="11"/>
      <c r="R5860" s="11"/>
      <c r="S5860" s="11"/>
      <c r="T5860" s="11"/>
    </row>
    <row r="5861" spans="8:20" x14ac:dyDescent="0.35">
      <c r="H5861" s="711"/>
      <c r="I5861" s="711"/>
      <c r="J5861" s="711"/>
      <c r="K5861" s="711"/>
      <c r="L5861" s="711"/>
      <c r="Q5861" s="11"/>
      <c r="R5861" s="11"/>
      <c r="S5861" s="11"/>
      <c r="T5861" s="11"/>
    </row>
    <row r="5862" spans="8:20" x14ac:dyDescent="0.35">
      <c r="H5862" s="711"/>
      <c r="I5862" s="711"/>
      <c r="J5862" s="711"/>
      <c r="K5862" s="711"/>
      <c r="L5862" s="711"/>
      <c r="Q5862" s="11"/>
      <c r="R5862" s="11"/>
      <c r="S5862" s="11"/>
      <c r="T5862" s="11"/>
    </row>
    <row r="5863" spans="8:20" x14ac:dyDescent="0.35">
      <c r="H5863" s="711"/>
      <c r="I5863" s="711"/>
      <c r="J5863" s="711"/>
      <c r="K5863" s="711"/>
      <c r="L5863" s="711"/>
      <c r="Q5863" s="11"/>
      <c r="R5863" s="11"/>
      <c r="S5863" s="11"/>
      <c r="T5863" s="11"/>
    </row>
    <row r="5864" spans="8:20" x14ac:dyDescent="0.35">
      <c r="H5864" s="711"/>
      <c r="I5864" s="711"/>
      <c r="J5864" s="711"/>
      <c r="K5864" s="711"/>
      <c r="L5864" s="711"/>
      <c r="Q5864" s="11"/>
      <c r="R5864" s="11"/>
      <c r="S5864" s="11"/>
      <c r="T5864" s="11"/>
    </row>
    <row r="5865" spans="8:20" x14ac:dyDescent="0.35">
      <c r="H5865" s="711"/>
      <c r="I5865" s="711"/>
      <c r="J5865" s="711"/>
      <c r="K5865" s="711"/>
      <c r="L5865" s="711"/>
      <c r="Q5865" s="11"/>
      <c r="R5865" s="11"/>
      <c r="S5865" s="11"/>
      <c r="T5865" s="11"/>
    </row>
    <row r="5866" spans="8:20" x14ac:dyDescent="0.35">
      <c r="H5866" s="711"/>
      <c r="I5866" s="711"/>
      <c r="J5866" s="711"/>
      <c r="K5866" s="711"/>
      <c r="L5866" s="711"/>
      <c r="Q5866" s="11"/>
      <c r="R5866" s="11"/>
      <c r="S5866" s="11"/>
      <c r="T5866" s="11"/>
    </row>
    <row r="5867" spans="8:20" x14ac:dyDescent="0.35">
      <c r="H5867" s="711"/>
      <c r="I5867" s="711"/>
      <c r="J5867" s="711"/>
      <c r="K5867" s="711"/>
      <c r="L5867" s="711"/>
      <c r="Q5867" s="11"/>
      <c r="R5867" s="11"/>
      <c r="S5867" s="11"/>
      <c r="T5867" s="11"/>
    </row>
    <row r="5868" spans="8:20" x14ac:dyDescent="0.35">
      <c r="H5868" s="711"/>
      <c r="I5868" s="711"/>
      <c r="J5868" s="711"/>
      <c r="K5868" s="711"/>
      <c r="L5868" s="711"/>
      <c r="Q5868" s="11"/>
      <c r="R5868" s="11"/>
      <c r="S5868" s="11"/>
      <c r="T5868" s="11"/>
    </row>
    <row r="5869" spans="8:20" x14ac:dyDescent="0.35">
      <c r="H5869" s="711"/>
      <c r="I5869" s="711"/>
      <c r="J5869" s="711"/>
      <c r="K5869" s="711"/>
      <c r="L5869" s="711"/>
      <c r="Q5869" s="11"/>
      <c r="R5869" s="11"/>
      <c r="S5869" s="11"/>
      <c r="T5869" s="11"/>
    </row>
    <row r="5870" spans="8:20" x14ac:dyDescent="0.35">
      <c r="H5870" s="711"/>
      <c r="I5870" s="711"/>
      <c r="J5870" s="711"/>
      <c r="K5870" s="711"/>
      <c r="L5870" s="711"/>
      <c r="Q5870" s="11"/>
      <c r="R5870" s="11"/>
      <c r="S5870" s="11"/>
      <c r="T5870" s="11"/>
    </row>
    <row r="5871" spans="8:20" x14ac:dyDescent="0.35">
      <c r="H5871" s="711"/>
      <c r="I5871" s="711"/>
      <c r="J5871" s="711"/>
      <c r="K5871" s="711"/>
      <c r="L5871" s="711"/>
      <c r="Q5871" s="11"/>
      <c r="R5871" s="11"/>
      <c r="S5871" s="11"/>
      <c r="T5871" s="11"/>
    </row>
    <row r="5872" spans="8:20" x14ac:dyDescent="0.35">
      <c r="H5872" s="711"/>
      <c r="I5872" s="711"/>
      <c r="J5872" s="711"/>
      <c r="K5872" s="711"/>
      <c r="L5872" s="711"/>
      <c r="Q5872" s="11"/>
      <c r="R5872" s="11"/>
      <c r="S5872" s="11"/>
      <c r="T5872" s="11"/>
    </row>
    <row r="5873" spans="8:20" x14ac:dyDescent="0.35">
      <c r="H5873" s="711"/>
      <c r="I5873" s="711"/>
      <c r="J5873" s="711"/>
      <c r="K5873" s="711"/>
      <c r="L5873" s="711"/>
      <c r="Q5873" s="11"/>
      <c r="R5873" s="11"/>
      <c r="S5873" s="11"/>
      <c r="T5873" s="11"/>
    </row>
    <row r="5874" spans="8:20" x14ac:dyDescent="0.35">
      <c r="H5874" s="711"/>
      <c r="I5874" s="711"/>
      <c r="J5874" s="711"/>
      <c r="K5874" s="711"/>
      <c r="L5874" s="711"/>
      <c r="Q5874" s="11"/>
      <c r="R5874" s="11"/>
      <c r="S5874" s="11"/>
      <c r="T5874" s="11"/>
    </row>
    <row r="5875" spans="8:20" x14ac:dyDescent="0.35">
      <c r="H5875" s="711"/>
      <c r="I5875" s="711"/>
      <c r="J5875" s="711"/>
      <c r="K5875" s="711"/>
      <c r="L5875" s="711"/>
      <c r="Q5875" s="11"/>
      <c r="R5875" s="11"/>
      <c r="S5875" s="11"/>
      <c r="T5875" s="11"/>
    </row>
    <row r="5876" spans="8:20" x14ac:dyDescent="0.35">
      <c r="H5876" s="711"/>
      <c r="I5876" s="711"/>
      <c r="J5876" s="711"/>
      <c r="K5876" s="711"/>
      <c r="L5876" s="711"/>
      <c r="Q5876" s="11"/>
      <c r="R5876" s="11"/>
      <c r="S5876" s="11"/>
      <c r="T5876" s="11"/>
    </row>
    <row r="5877" spans="8:20" x14ac:dyDescent="0.35">
      <c r="H5877" s="711"/>
      <c r="I5877" s="711"/>
      <c r="J5877" s="711"/>
      <c r="K5877" s="711"/>
      <c r="L5877" s="711"/>
      <c r="Q5877" s="11"/>
      <c r="R5877" s="11"/>
      <c r="S5877" s="11"/>
      <c r="T5877" s="11"/>
    </row>
    <row r="5878" spans="8:20" x14ac:dyDescent="0.35">
      <c r="H5878" s="711"/>
      <c r="I5878" s="711"/>
      <c r="J5878" s="711"/>
      <c r="K5878" s="711"/>
      <c r="L5878" s="711"/>
      <c r="Q5878" s="11"/>
      <c r="R5878" s="11"/>
      <c r="S5878" s="11"/>
      <c r="T5878" s="11"/>
    </row>
    <row r="5879" spans="8:20" x14ac:dyDescent="0.35">
      <c r="H5879" s="711"/>
      <c r="I5879" s="711"/>
      <c r="J5879" s="711"/>
      <c r="K5879" s="711"/>
      <c r="L5879" s="711"/>
      <c r="Q5879" s="11"/>
      <c r="R5879" s="11"/>
      <c r="S5879" s="11"/>
      <c r="T5879" s="11"/>
    </row>
    <row r="5880" spans="8:20" x14ac:dyDescent="0.35">
      <c r="H5880" s="711"/>
      <c r="I5880" s="711"/>
      <c r="J5880" s="711"/>
      <c r="K5880" s="711"/>
      <c r="L5880" s="711"/>
      <c r="Q5880" s="11"/>
      <c r="R5880" s="11"/>
      <c r="S5880" s="11"/>
      <c r="T5880" s="11"/>
    </row>
    <row r="5881" spans="8:20" x14ac:dyDescent="0.35">
      <c r="H5881" s="711"/>
      <c r="I5881" s="711"/>
      <c r="J5881" s="711"/>
      <c r="K5881" s="711"/>
      <c r="L5881" s="711"/>
      <c r="Q5881" s="11"/>
      <c r="R5881" s="11"/>
      <c r="S5881" s="11"/>
      <c r="T5881" s="11"/>
    </row>
    <row r="5882" spans="8:20" x14ac:dyDescent="0.35">
      <c r="H5882" s="711"/>
      <c r="I5882" s="711"/>
      <c r="J5882" s="711"/>
      <c r="K5882" s="711"/>
      <c r="L5882" s="711"/>
      <c r="Q5882" s="11"/>
      <c r="R5882" s="11"/>
      <c r="S5882" s="11"/>
      <c r="T5882" s="11"/>
    </row>
    <row r="5883" spans="8:20" x14ac:dyDescent="0.35">
      <c r="H5883" s="711"/>
      <c r="I5883" s="711"/>
      <c r="J5883" s="711"/>
      <c r="K5883" s="711"/>
      <c r="L5883" s="711"/>
      <c r="Q5883" s="11"/>
      <c r="R5883" s="11"/>
      <c r="S5883" s="11"/>
      <c r="T5883" s="11"/>
    </row>
    <row r="5884" spans="8:20" x14ac:dyDescent="0.35">
      <c r="H5884" s="711"/>
      <c r="I5884" s="711"/>
      <c r="J5884" s="711"/>
      <c r="K5884" s="711"/>
      <c r="L5884" s="711"/>
      <c r="Q5884" s="11"/>
      <c r="R5884" s="11"/>
      <c r="S5884" s="11"/>
      <c r="T5884" s="11"/>
    </row>
    <row r="5885" spans="8:20" x14ac:dyDescent="0.35">
      <c r="H5885" s="711"/>
      <c r="I5885" s="711"/>
      <c r="J5885" s="711"/>
      <c r="K5885" s="711"/>
      <c r="L5885" s="711"/>
      <c r="Q5885" s="11"/>
      <c r="R5885" s="11"/>
      <c r="S5885" s="11"/>
      <c r="T5885" s="11"/>
    </row>
    <row r="5886" spans="8:20" x14ac:dyDescent="0.35">
      <c r="H5886" s="711"/>
      <c r="I5886" s="711"/>
      <c r="J5886" s="711"/>
      <c r="K5886" s="711"/>
      <c r="L5886" s="711"/>
      <c r="Q5886" s="11"/>
      <c r="R5886" s="11"/>
      <c r="S5886" s="11"/>
      <c r="T5886" s="11"/>
    </row>
    <row r="5887" spans="8:20" x14ac:dyDescent="0.35">
      <c r="H5887" s="711"/>
      <c r="I5887" s="711"/>
      <c r="J5887" s="711"/>
      <c r="K5887" s="711"/>
      <c r="L5887" s="711"/>
      <c r="Q5887" s="11"/>
      <c r="R5887" s="11"/>
      <c r="S5887" s="11"/>
      <c r="T5887" s="11"/>
    </row>
    <row r="5888" spans="8:20" x14ac:dyDescent="0.35">
      <c r="H5888" s="711"/>
      <c r="I5888" s="711"/>
      <c r="J5888" s="711"/>
      <c r="K5888" s="711"/>
      <c r="L5888" s="711"/>
      <c r="Q5888" s="11"/>
      <c r="R5888" s="11"/>
      <c r="S5888" s="11"/>
      <c r="T5888" s="11"/>
    </row>
    <row r="5889" spans="8:20" x14ac:dyDescent="0.35">
      <c r="H5889" s="711"/>
      <c r="I5889" s="711"/>
      <c r="J5889" s="711"/>
      <c r="K5889" s="711"/>
      <c r="L5889" s="711"/>
      <c r="Q5889" s="11"/>
      <c r="R5889" s="11"/>
      <c r="S5889" s="11"/>
      <c r="T5889" s="11"/>
    </row>
    <row r="5890" spans="8:20" x14ac:dyDescent="0.35">
      <c r="H5890" s="711"/>
      <c r="I5890" s="711"/>
      <c r="J5890" s="711"/>
      <c r="K5890" s="711"/>
      <c r="L5890" s="711"/>
      <c r="Q5890" s="11"/>
      <c r="R5890" s="11"/>
      <c r="S5890" s="11"/>
      <c r="T5890" s="11"/>
    </row>
    <row r="5891" spans="8:20" x14ac:dyDescent="0.35">
      <c r="H5891" s="711"/>
      <c r="I5891" s="711"/>
      <c r="J5891" s="711"/>
      <c r="K5891" s="711"/>
      <c r="L5891" s="711"/>
      <c r="Q5891" s="11"/>
      <c r="R5891" s="11"/>
      <c r="S5891" s="11"/>
      <c r="T5891" s="11"/>
    </row>
    <row r="5892" spans="8:20" x14ac:dyDescent="0.35">
      <c r="H5892" s="711"/>
      <c r="I5892" s="711"/>
      <c r="J5892" s="711"/>
      <c r="K5892" s="711"/>
      <c r="L5892" s="711"/>
      <c r="Q5892" s="11"/>
      <c r="R5892" s="11"/>
      <c r="S5892" s="11"/>
      <c r="T5892" s="11"/>
    </row>
    <row r="5893" spans="8:20" x14ac:dyDescent="0.35">
      <c r="H5893" s="711"/>
      <c r="I5893" s="711"/>
      <c r="J5893" s="711"/>
      <c r="K5893" s="711"/>
      <c r="L5893" s="711"/>
      <c r="Q5893" s="11"/>
      <c r="R5893" s="11"/>
      <c r="S5893" s="11"/>
      <c r="T5893" s="11"/>
    </row>
    <row r="5894" spans="8:20" x14ac:dyDescent="0.35">
      <c r="H5894" s="711"/>
      <c r="I5894" s="711"/>
      <c r="J5894" s="711"/>
      <c r="K5894" s="711"/>
      <c r="L5894" s="711"/>
      <c r="Q5894" s="11"/>
      <c r="R5894" s="11"/>
      <c r="S5894" s="11"/>
      <c r="T5894" s="11"/>
    </row>
    <row r="5895" spans="8:20" x14ac:dyDescent="0.35">
      <c r="H5895" s="711"/>
      <c r="I5895" s="711"/>
      <c r="J5895" s="711"/>
      <c r="K5895" s="711"/>
      <c r="L5895" s="711"/>
      <c r="Q5895" s="11"/>
      <c r="R5895" s="11"/>
      <c r="S5895" s="11"/>
      <c r="T5895" s="11"/>
    </row>
    <row r="5896" spans="8:20" x14ac:dyDescent="0.35">
      <c r="H5896" s="711"/>
      <c r="I5896" s="711"/>
      <c r="J5896" s="711"/>
      <c r="K5896" s="711"/>
      <c r="L5896" s="711"/>
      <c r="Q5896" s="11"/>
      <c r="R5896" s="11"/>
      <c r="S5896" s="11"/>
      <c r="T5896" s="11"/>
    </row>
    <row r="5897" spans="8:20" x14ac:dyDescent="0.35">
      <c r="H5897" s="711"/>
      <c r="I5897" s="711"/>
      <c r="J5897" s="711"/>
      <c r="K5897" s="711"/>
      <c r="L5897" s="711"/>
      <c r="Q5897" s="11"/>
      <c r="R5897" s="11"/>
      <c r="S5897" s="11"/>
      <c r="T5897" s="11"/>
    </row>
    <row r="5898" spans="8:20" x14ac:dyDescent="0.35">
      <c r="H5898" s="711"/>
      <c r="I5898" s="711"/>
      <c r="J5898" s="711"/>
      <c r="K5898" s="711"/>
      <c r="L5898" s="711"/>
      <c r="Q5898" s="11"/>
      <c r="R5898" s="11"/>
      <c r="S5898" s="11"/>
      <c r="T5898" s="11"/>
    </row>
    <row r="5899" spans="8:20" x14ac:dyDescent="0.35">
      <c r="H5899" s="711"/>
      <c r="I5899" s="711"/>
      <c r="J5899" s="711"/>
      <c r="K5899" s="711"/>
      <c r="L5899" s="711"/>
      <c r="Q5899" s="11"/>
      <c r="R5899" s="11"/>
      <c r="S5899" s="11"/>
      <c r="T5899" s="11"/>
    </row>
    <row r="5900" spans="8:20" x14ac:dyDescent="0.35">
      <c r="H5900" s="711"/>
      <c r="I5900" s="711"/>
      <c r="J5900" s="711"/>
      <c r="K5900" s="711"/>
      <c r="L5900" s="711"/>
      <c r="Q5900" s="11"/>
      <c r="R5900" s="11"/>
      <c r="S5900" s="11"/>
      <c r="T5900" s="11"/>
    </row>
    <row r="5901" spans="8:20" x14ac:dyDescent="0.35">
      <c r="H5901" s="711"/>
      <c r="I5901" s="711"/>
      <c r="J5901" s="711"/>
      <c r="K5901" s="711"/>
      <c r="L5901" s="711"/>
      <c r="Q5901" s="11"/>
      <c r="R5901" s="11"/>
      <c r="S5901" s="11"/>
      <c r="T5901" s="11"/>
    </row>
    <row r="5902" spans="8:20" x14ac:dyDescent="0.35">
      <c r="H5902" s="711"/>
      <c r="I5902" s="711"/>
      <c r="J5902" s="711"/>
      <c r="K5902" s="711"/>
      <c r="L5902" s="711"/>
      <c r="Q5902" s="11"/>
      <c r="R5902" s="11"/>
      <c r="S5902" s="11"/>
      <c r="T5902" s="11"/>
    </row>
    <row r="5903" spans="8:20" x14ac:dyDescent="0.35">
      <c r="H5903" s="711"/>
      <c r="I5903" s="711"/>
      <c r="J5903" s="711"/>
      <c r="K5903" s="711"/>
      <c r="L5903" s="711"/>
      <c r="Q5903" s="11"/>
      <c r="R5903" s="11"/>
      <c r="S5903" s="11"/>
      <c r="T5903" s="11"/>
    </row>
    <row r="5904" spans="8:20" x14ac:dyDescent="0.35">
      <c r="H5904" s="711"/>
      <c r="I5904" s="711"/>
      <c r="J5904" s="711"/>
      <c r="K5904" s="711"/>
      <c r="L5904" s="711"/>
      <c r="Q5904" s="11"/>
      <c r="R5904" s="11"/>
      <c r="S5904" s="11"/>
      <c r="T5904" s="11"/>
    </row>
    <row r="5905" spans="8:20" x14ac:dyDescent="0.35">
      <c r="H5905" s="711"/>
      <c r="I5905" s="711"/>
      <c r="J5905" s="711"/>
      <c r="K5905" s="711"/>
      <c r="L5905" s="711"/>
      <c r="Q5905" s="11"/>
      <c r="R5905" s="11"/>
      <c r="S5905" s="11"/>
      <c r="T5905" s="11"/>
    </row>
    <row r="5906" spans="8:20" x14ac:dyDescent="0.35">
      <c r="H5906" s="711"/>
      <c r="I5906" s="711"/>
      <c r="J5906" s="711"/>
      <c r="K5906" s="711"/>
      <c r="L5906" s="711"/>
      <c r="Q5906" s="11"/>
      <c r="R5906" s="11"/>
      <c r="S5906" s="11"/>
      <c r="T5906" s="11"/>
    </row>
    <row r="5907" spans="8:20" x14ac:dyDescent="0.35">
      <c r="H5907" s="711"/>
      <c r="I5907" s="711"/>
      <c r="J5907" s="711"/>
      <c r="K5907" s="711"/>
      <c r="L5907" s="711"/>
      <c r="Q5907" s="11"/>
      <c r="R5907" s="11"/>
      <c r="S5907" s="11"/>
      <c r="T5907" s="11"/>
    </row>
    <row r="5908" spans="8:20" x14ac:dyDescent="0.35">
      <c r="H5908" s="711"/>
      <c r="I5908" s="711"/>
      <c r="J5908" s="711"/>
      <c r="K5908" s="711"/>
      <c r="L5908" s="711"/>
      <c r="Q5908" s="11"/>
      <c r="R5908" s="11"/>
      <c r="S5908" s="11"/>
      <c r="T5908" s="11"/>
    </row>
    <row r="5909" spans="8:20" x14ac:dyDescent="0.35">
      <c r="H5909" s="711"/>
      <c r="I5909" s="711"/>
      <c r="J5909" s="711"/>
      <c r="K5909" s="711"/>
      <c r="L5909" s="711"/>
      <c r="Q5909" s="11"/>
      <c r="R5909" s="11"/>
      <c r="S5909" s="11"/>
      <c r="T5909" s="11"/>
    </row>
    <row r="5910" spans="8:20" x14ac:dyDescent="0.35">
      <c r="H5910" s="711"/>
      <c r="I5910" s="711"/>
      <c r="J5910" s="711"/>
      <c r="K5910" s="711"/>
      <c r="L5910" s="711"/>
      <c r="Q5910" s="11"/>
      <c r="R5910" s="11"/>
      <c r="S5910" s="11"/>
      <c r="T5910" s="11"/>
    </row>
    <row r="5911" spans="8:20" x14ac:dyDescent="0.35">
      <c r="H5911" s="711"/>
      <c r="I5911" s="711"/>
      <c r="J5911" s="711"/>
      <c r="K5911" s="711"/>
      <c r="L5911" s="711"/>
      <c r="Q5911" s="11"/>
      <c r="R5911" s="11"/>
      <c r="S5911" s="11"/>
      <c r="T5911" s="11"/>
    </row>
    <row r="5912" spans="8:20" x14ac:dyDescent="0.35">
      <c r="H5912" s="711"/>
      <c r="I5912" s="711"/>
      <c r="J5912" s="711"/>
      <c r="K5912" s="711"/>
      <c r="L5912" s="711"/>
      <c r="Q5912" s="11"/>
      <c r="R5912" s="11"/>
      <c r="S5912" s="11"/>
      <c r="T5912" s="11"/>
    </row>
    <row r="5913" spans="8:20" x14ac:dyDescent="0.35">
      <c r="H5913" s="711"/>
      <c r="I5913" s="711"/>
      <c r="J5913" s="711"/>
      <c r="K5913" s="711"/>
      <c r="L5913" s="711"/>
      <c r="Q5913" s="11"/>
      <c r="R5913" s="11"/>
      <c r="S5913" s="11"/>
      <c r="T5913" s="11"/>
    </row>
    <row r="5914" spans="8:20" x14ac:dyDescent="0.35">
      <c r="H5914" s="711"/>
      <c r="I5914" s="711"/>
      <c r="J5914" s="711"/>
      <c r="K5914" s="711"/>
      <c r="L5914" s="711"/>
      <c r="Q5914" s="11"/>
      <c r="R5914" s="11"/>
      <c r="S5914" s="11"/>
      <c r="T5914" s="11"/>
    </row>
    <row r="5915" spans="8:20" x14ac:dyDescent="0.35">
      <c r="H5915" s="711"/>
      <c r="I5915" s="711"/>
      <c r="J5915" s="711"/>
      <c r="K5915" s="711"/>
      <c r="L5915" s="711"/>
      <c r="Q5915" s="11"/>
      <c r="R5915" s="11"/>
      <c r="S5915" s="11"/>
      <c r="T5915" s="11"/>
    </row>
    <row r="5916" spans="8:20" x14ac:dyDescent="0.35">
      <c r="H5916" s="711"/>
      <c r="I5916" s="711"/>
      <c r="J5916" s="711"/>
      <c r="K5916" s="711"/>
      <c r="L5916" s="711"/>
      <c r="Q5916" s="11"/>
      <c r="R5916" s="11"/>
      <c r="S5916" s="11"/>
      <c r="T5916" s="11"/>
    </row>
    <row r="5917" spans="8:20" x14ac:dyDescent="0.35">
      <c r="H5917" s="711"/>
      <c r="I5917" s="711"/>
      <c r="J5917" s="711"/>
      <c r="K5917" s="711"/>
      <c r="L5917" s="711"/>
      <c r="Q5917" s="11"/>
      <c r="R5917" s="11"/>
      <c r="S5917" s="11"/>
      <c r="T5917" s="11"/>
    </row>
    <row r="5918" spans="8:20" x14ac:dyDescent="0.35">
      <c r="H5918" s="711"/>
      <c r="I5918" s="711"/>
      <c r="J5918" s="711"/>
      <c r="K5918" s="711"/>
      <c r="L5918" s="711"/>
      <c r="Q5918" s="11"/>
      <c r="R5918" s="11"/>
      <c r="S5918" s="11"/>
      <c r="T5918" s="11"/>
    </row>
    <row r="5919" spans="8:20" x14ac:dyDescent="0.35">
      <c r="H5919" s="711"/>
      <c r="I5919" s="711"/>
      <c r="J5919" s="711"/>
      <c r="K5919" s="711"/>
      <c r="L5919" s="711"/>
      <c r="Q5919" s="11"/>
      <c r="R5919" s="11"/>
      <c r="S5919" s="11"/>
      <c r="T5919" s="11"/>
    </row>
    <row r="5920" spans="8:20" x14ac:dyDescent="0.35">
      <c r="H5920" s="711"/>
      <c r="I5920" s="711"/>
      <c r="J5920" s="711"/>
      <c r="K5920" s="711"/>
      <c r="L5920" s="711"/>
      <c r="Q5920" s="11"/>
      <c r="R5920" s="11"/>
      <c r="S5920" s="11"/>
      <c r="T5920" s="11"/>
    </row>
    <row r="5921" spans="8:20" x14ac:dyDescent="0.35">
      <c r="H5921" s="711"/>
      <c r="I5921" s="711"/>
      <c r="J5921" s="711"/>
      <c r="K5921" s="711"/>
      <c r="L5921" s="711"/>
      <c r="Q5921" s="11"/>
      <c r="R5921" s="11"/>
      <c r="S5921" s="11"/>
      <c r="T5921" s="11"/>
    </row>
    <row r="5922" spans="8:20" x14ac:dyDescent="0.35">
      <c r="H5922" s="711"/>
      <c r="I5922" s="711"/>
      <c r="J5922" s="711"/>
      <c r="K5922" s="711"/>
      <c r="L5922" s="711"/>
      <c r="Q5922" s="11"/>
      <c r="R5922" s="11"/>
      <c r="S5922" s="11"/>
      <c r="T5922" s="11"/>
    </row>
    <row r="5923" spans="8:20" x14ac:dyDescent="0.35">
      <c r="H5923" s="711"/>
      <c r="I5923" s="711"/>
      <c r="J5923" s="711"/>
      <c r="K5923" s="711"/>
      <c r="L5923" s="711"/>
      <c r="Q5923" s="11"/>
      <c r="R5923" s="11"/>
      <c r="S5923" s="11"/>
      <c r="T5923" s="11"/>
    </row>
    <row r="5924" spans="8:20" x14ac:dyDescent="0.35">
      <c r="H5924" s="711"/>
      <c r="I5924" s="711"/>
      <c r="J5924" s="711"/>
      <c r="K5924" s="711"/>
      <c r="L5924" s="711"/>
      <c r="Q5924" s="11"/>
      <c r="R5924" s="11"/>
      <c r="S5924" s="11"/>
      <c r="T5924" s="11"/>
    </row>
    <row r="5925" spans="8:20" x14ac:dyDescent="0.35">
      <c r="H5925" s="711"/>
      <c r="I5925" s="711"/>
      <c r="J5925" s="711"/>
      <c r="K5925" s="711"/>
      <c r="L5925" s="711"/>
      <c r="Q5925" s="11"/>
      <c r="R5925" s="11"/>
      <c r="S5925" s="11"/>
      <c r="T5925" s="11"/>
    </row>
    <row r="5926" spans="8:20" x14ac:dyDescent="0.35">
      <c r="H5926" s="711"/>
      <c r="I5926" s="711"/>
      <c r="J5926" s="711"/>
      <c r="K5926" s="711"/>
      <c r="L5926" s="711"/>
      <c r="Q5926" s="11"/>
      <c r="R5926" s="11"/>
      <c r="S5926" s="11"/>
      <c r="T5926" s="11"/>
    </row>
    <row r="5927" spans="8:20" x14ac:dyDescent="0.35">
      <c r="H5927" s="711"/>
      <c r="I5927" s="711"/>
      <c r="J5927" s="711"/>
      <c r="K5927" s="711"/>
      <c r="L5927" s="711"/>
      <c r="Q5927" s="11"/>
      <c r="R5927" s="11"/>
      <c r="S5927" s="11"/>
      <c r="T5927" s="11"/>
    </row>
    <row r="5928" spans="8:20" x14ac:dyDescent="0.35">
      <c r="H5928" s="711"/>
      <c r="I5928" s="711"/>
      <c r="J5928" s="711"/>
      <c r="K5928" s="711"/>
      <c r="L5928" s="711"/>
      <c r="Q5928" s="11"/>
      <c r="R5928" s="11"/>
      <c r="S5928" s="11"/>
      <c r="T5928" s="11"/>
    </row>
    <row r="5929" spans="8:20" x14ac:dyDescent="0.35">
      <c r="H5929" s="711"/>
      <c r="I5929" s="711"/>
      <c r="J5929" s="711"/>
      <c r="K5929" s="711"/>
      <c r="L5929" s="711"/>
      <c r="Q5929" s="11"/>
      <c r="R5929" s="11"/>
      <c r="S5929" s="11"/>
      <c r="T5929" s="11"/>
    </row>
    <row r="5930" spans="8:20" x14ac:dyDescent="0.35">
      <c r="H5930" s="711"/>
      <c r="I5930" s="711"/>
      <c r="J5930" s="711"/>
      <c r="K5930" s="711"/>
      <c r="L5930" s="711"/>
      <c r="Q5930" s="11"/>
      <c r="R5930" s="11"/>
      <c r="S5930" s="11"/>
      <c r="T5930" s="11"/>
    </row>
    <row r="5931" spans="8:20" x14ac:dyDescent="0.35">
      <c r="H5931" s="711"/>
      <c r="I5931" s="711"/>
      <c r="J5931" s="711"/>
      <c r="K5931" s="711"/>
      <c r="L5931" s="711"/>
      <c r="Q5931" s="11"/>
      <c r="R5931" s="11"/>
      <c r="S5931" s="11"/>
      <c r="T5931" s="11"/>
    </row>
    <row r="5932" spans="8:20" x14ac:dyDescent="0.35">
      <c r="H5932" s="711"/>
      <c r="I5932" s="711"/>
      <c r="J5932" s="711"/>
      <c r="K5932" s="711"/>
      <c r="L5932" s="711"/>
      <c r="Q5932" s="11"/>
      <c r="R5932" s="11"/>
      <c r="S5932" s="11"/>
      <c r="T5932" s="11"/>
    </row>
    <row r="5933" spans="8:20" x14ac:dyDescent="0.35">
      <c r="H5933" s="711"/>
      <c r="I5933" s="711"/>
      <c r="J5933" s="711"/>
      <c r="K5933" s="711"/>
      <c r="L5933" s="711"/>
      <c r="Q5933" s="11"/>
      <c r="R5933" s="11"/>
      <c r="S5933" s="11"/>
      <c r="T5933" s="11"/>
    </row>
    <row r="5934" spans="8:20" x14ac:dyDescent="0.35">
      <c r="H5934" s="711"/>
      <c r="I5934" s="711"/>
      <c r="J5934" s="711"/>
      <c r="K5934" s="711"/>
      <c r="L5934" s="711"/>
      <c r="Q5934" s="11"/>
      <c r="R5934" s="11"/>
      <c r="S5934" s="11"/>
      <c r="T5934" s="11"/>
    </row>
    <row r="5935" spans="8:20" x14ac:dyDescent="0.35">
      <c r="H5935" s="711"/>
      <c r="I5935" s="711"/>
      <c r="J5935" s="711"/>
      <c r="K5935" s="711"/>
      <c r="L5935" s="711"/>
      <c r="Q5935" s="11"/>
      <c r="R5935" s="11"/>
      <c r="S5935" s="11"/>
      <c r="T5935" s="11"/>
    </row>
    <row r="5936" spans="8:20" x14ac:dyDescent="0.35">
      <c r="H5936" s="711"/>
      <c r="I5936" s="711"/>
      <c r="J5936" s="711"/>
      <c r="K5936" s="711"/>
      <c r="L5936" s="711"/>
      <c r="Q5936" s="11"/>
      <c r="R5936" s="11"/>
      <c r="S5936" s="11"/>
      <c r="T5936" s="11"/>
    </row>
    <row r="5937" spans="8:20" x14ac:dyDescent="0.35">
      <c r="H5937" s="711"/>
      <c r="I5937" s="711"/>
      <c r="J5937" s="711"/>
      <c r="K5937" s="711"/>
      <c r="L5937" s="711"/>
      <c r="Q5937" s="11"/>
      <c r="R5937" s="11"/>
      <c r="S5937" s="11"/>
      <c r="T5937" s="11"/>
    </row>
    <row r="5938" spans="8:20" x14ac:dyDescent="0.35">
      <c r="H5938" s="711"/>
      <c r="I5938" s="711"/>
      <c r="J5938" s="711"/>
      <c r="K5938" s="711"/>
      <c r="L5938" s="711"/>
      <c r="Q5938" s="11"/>
      <c r="R5938" s="11"/>
      <c r="S5938" s="11"/>
      <c r="T5938" s="11"/>
    </row>
    <row r="5939" spans="8:20" x14ac:dyDescent="0.35">
      <c r="H5939" s="711"/>
      <c r="I5939" s="711"/>
      <c r="J5939" s="711"/>
      <c r="K5939" s="711"/>
      <c r="L5939" s="711"/>
      <c r="Q5939" s="11"/>
      <c r="R5939" s="11"/>
      <c r="S5939" s="11"/>
      <c r="T5939" s="11"/>
    </row>
    <row r="5940" spans="8:20" x14ac:dyDescent="0.35">
      <c r="H5940" s="711"/>
      <c r="I5940" s="711"/>
      <c r="J5940" s="711"/>
      <c r="K5940" s="711"/>
      <c r="L5940" s="711"/>
      <c r="Q5940" s="11"/>
      <c r="R5940" s="11"/>
      <c r="S5940" s="11"/>
      <c r="T5940" s="11"/>
    </row>
    <row r="5941" spans="8:20" x14ac:dyDescent="0.35">
      <c r="H5941" s="711"/>
      <c r="I5941" s="711"/>
      <c r="J5941" s="711"/>
      <c r="K5941" s="711"/>
      <c r="L5941" s="711"/>
      <c r="Q5941" s="11"/>
      <c r="R5941" s="11"/>
      <c r="S5941" s="11"/>
      <c r="T5941" s="11"/>
    </row>
    <row r="5942" spans="8:20" x14ac:dyDescent="0.35">
      <c r="H5942" s="711"/>
      <c r="I5942" s="711"/>
      <c r="J5942" s="711"/>
      <c r="K5942" s="711"/>
      <c r="L5942" s="711"/>
      <c r="Q5942" s="11"/>
      <c r="R5942" s="11"/>
      <c r="S5942" s="11"/>
      <c r="T5942" s="11"/>
    </row>
    <row r="5943" spans="8:20" x14ac:dyDescent="0.35">
      <c r="H5943" s="711"/>
      <c r="I5943" s="711"/>
      <c r="J5943" s="711"/>
      <c r="K5943" s="711"/>
      <c r="L5943" s="711"/>
      <c r="Q5943" s="11"/>
      <c r="R5943" s="11"/>
      <c r="S5943" s="11"/>
      <c r="T5943" s="11"/>
    </row>
    <row r="5944" spans="8:20" x14ac:dyDescent="0.35">
      <c r="H5944" s="711"/>
      <c r="I5944" s="711"/>
      <c r="J5944" s="711"/>
      <c r="K5944" s="711"/>
      <c r="L5944" s="711"/>
      <c r="Q5944" s="11"/>
      <c r="R5944" s="11"/>
      <c r="S5944" s="11"/>
      <c r="T5944" s="11"/>
    </row>
    <row r="5945" spans="8:20" x14ac:dyDescent="0.35">
      <c r="H5945" s="711"/>
      <c r="I5945" s="711"/>
      <c r="J5945" s="711"/>
      <c r="K5945" s="711"/>
      <c r="L5945" s="711"/>
      <c r="Q5945" s="11"/>
      <c r="R5945" s="11"/>
      <c r="S5945" s="11"/>
      <c r="T5945" s="11"/>
    </row>
    <row r="5946" spans="8:20" x14ac:dyDescent="0.35">
      <c r="H5946" s="711"/>
      <c r="I5946" s="711"/>
      <c r="J5946" s="711"/>
      <c r="K5946" s="711"/>
      <c r="L5946" s="711"/>
      <c r="Q5946" s="11"/>
      <c r="R5946" s="11"/>
      <c r="S5946" s="11"/>
      <c r="T5946" s="11"/>
    </row>
    <row r="5947" spans="8:20" x14ac:dyDescent="0.35">
      <c r="H5947" s="711"/>
      <c r="I5947" s="711"/>
      <c r="J5947" s="711"/>
      <c r="K5947" s="711"/>
      <c r="L5947" s="711"/>
      <c r="Q5947" s="11"/>
      <c r="R5947" s="11"/>
      <c r="S5947" s="11"/>
      <c r="T5947" s="11"/>
    </row>
    <row r="5948" spans="8:20" x14ac:dyDescent="0.35">
      <c r="H5948" s="711"/>
      <c r="I5948" s="711"/>
      <c r="J5948" s="711"/>
      <c r="K5948" s="711"/>
      <c r="L5948" s="711"/>
      <c r="Q5948" s="11"/>
      <c r="R5948" s="11"/>
      <c r="S5948" s="11"/>
      <c r="T5948" s="11"/>
    </row>
    <row r="5949" spans="8:20" x14ac:dyDescent="0.35">
      <c r="H5949" s="711"/>
      <c r="I5949" s="711"/>
      <c r="J5949" s="711"/>
      <c r="K5949" s="711"/>
      <c r="L5949" s="711"/>
      <c r="Q5949" s="11"/>
      <c r="R5949" s="11"/>
      <c r="S5949" s="11"/>
      <c r="T5949" s="11"/>
    </row>
    <row r="5950" spans="8:20" x14ac:dyDescent="0.35">
      <c r="H5950" s="711"/>
      <c r="I5950" s="711"/>
      <c r="J5950" s="711"/>
      <c r="K5950" s="711"/>
      <c r="L5950" s="711"/>
      <c r="Q5950" s="11"/>
      <c r="R5950" s="11"/>
      <c r="S5950" s="11"/>
      <c r="T5950" s="11"/>
    </row>
    <row r="5951" spans="8:20" x14ac:dyDescent="0.35">
      <c r="H5951" s="711"/>
      <c r="I5951" s="711"/>
      <c r="J5951" s="711"/>
      <c r="K5951" s="711"/>
      <c r="L5951" s="711"/>
      <c r="Q5951" s="11"/>
      <c r="R5951" s="11"/>
      <c r="S5951" s="11"/>
      <c r="T5951" s="11"/>
    </row>
    <row r="5952" spans="8:20" x14ac:dyDescent="0.35">
      <c r="H5952" s="711"/>
      <c r="I5952" s="711"/>
      <c r="J5952" s="711"/>
      <c r="K5952" s="711"/>
      <c r="L5952" s="711"/>
      <c r="Q5952" s="11"/>
      <c r="R5952" s="11"/>
      <c r="S5952" s="11"/>
      <c r="T5952" s="11"/>
    </row>
    <row r="5953" spans="8:20" x14ac:dyDescent="0.35">
      <c r="H5953" s="711"/>
      <c r="I5953" s="711"/>
      <c r="J5953" s="711"/>
      <c r="K5953" s="711"/>
      <c r="L5953" s="711"/>
      <c r="Q5953" s="11"/>
      <c r="R5953" s="11"/>
      <c r="S5953" s="11"/>
      <c r="T5953" s="11"/>
    </row>
    <row r="5954" spans="8:20" x14ac:dyDescent="0.35">
      <c r="H5954" s="711"/>
      <c r="I5954" s="711"/>
      <c r="J5954" s="711"/>
      <c r="K5954" s="711"/>
      <c r="L5954" s="711"/>
      <c r="Q5954" s="11"/>
      <c r="R5954" s="11"/>
      <c r="S5954" s="11"/>
      <c r="T5954" s="11"/>
    </row>
    <row r="5955" spans="8:20" x14ac:dyDescent="0.35">
      <c r="H5955" s="711"/>
      <c r="I5955" s="711"/>
      <c r="J5955" s="711"/>
      <c r="K5955" s="711"/>
      <c r="L5955" s="711"/>
      <c r="Q5955" s="11"/>
      <c r="R5955" s="11"/>
      <c r="S5955" s="11"/>
      <c r="T5955" s="11"/>
    </row>
    <row r="5956" spans="8:20" x14ac:dyDescent="0.35">
      <c r="H5956" s="711"/>
      <c r="I5956" s="711"/>
      <c r="J5956" s="711"/>
      <c r="K5956" s="711"/>
      <c r="L5956" s="711"/>
      <c r="Q5956" s="11"/>
      <c r="R5956" s="11"/>
      <c r="S5956" s="11"/>
      <c r="T5956" s="11"/>
    </row>
    <row r="5957" spans="8:20" x14ac:dyDescent="0.35">
      <c r="H5957" s="711"/>
      <c r="I5957" s="711"/>
      <c r="J5957" s="711"/>
      <c r="K5957" s="711"/>
      <c r="L5957" s="711"/>
      <c r="Q5957" s="11"/>
      <c r="R5957" s="11"/>
      <c r="S5957" s="11"/>
      <c r="T5957" s="11"/>
    </row>
    <row r="5958" spans="8:20" x14ac:dyDescent="0.35">
      <c r="H5958" s="711"/>
      <c r="I5958" s="711"/>
      <c r="J5958" s="711"/>
      <c r="K5958" s="711"/>
      <c r="L5958" s="711"/>
      <c r="Q5958" s="11"/>
      <c r="R5958" s="11"/>
      <c r="S5958" s="11"/>
      <c r="T5958" s="11"/>
    </row>
    <row r="5959" spans="8:20" x14ac:dyDescent="0.35">
      <c r="H5959" s="711"/>
      <c r="I5959" s="711"/>
      <c r="J5959" s="711"/>
      <c r="K5959" s="711"/>
      <c r="L5959" s="711"/>
      <c r="Q5959" s="11"/>
      <c r="R5959" s="11"/>
      <c r="S5959" s="11"/>
      <c r="T5959" s="11"/>
    </row>
    <row r="5960" spans="8:20" x14ac:dyDescent="0.35">
      <c r="H5960" s="711"/>
      <c r="I5960" s="711"/>
      <c r="J5960" s="711"/>
      <c r="K5960" s="711"/>
      <c r="L5960" s="711"/>
      <c r="Q5960" s="11"/>
      <c r="R5960" s="11"/>
      <c r="S5960" s="11"/>
      <c r="T5960" s="11"/>
    </row>
    <row r="5961" spans="8:20" x14ac:dyDescent="0.35">
      <c r="H5961" s="711"/>
      <c r="I5961" s="711"/>
      <c r="J5961" s="711"/>
      <c r="K5961" s="711"/>
      <c r="L5961" s="711"/>
      <c r="Q5961" s="11"/>
      <c r="R5961" s="11"/>
      <c r="S5961" s="11"/>
      <c r="T5961" s="11"/>
    </row>
    <row r="5962" spans="8:20" x14ac:dyDescent="0.35">
      <c r="H5962" s="711"/>
      <c r="I5962" s="711"/>
      <c r="J5962" s="711"/>
      <c r="K5962" s="711"/>
      <c r="L5962" s="711"/>
      <c r="Q5962" s="11"/>
      <c r="R5962" s="11"/>
      <c r="S5962" s="11"/>
      <c r="T5962" s="11"/>
    </row>
    <row r="5963" spans="8:20" x14ac:dyDescent="0.35">
      <c r="H5963" s="711"/>
      <c r="I5963" s="711"/>
      <c r="J5963" s="711"/>
      <c r="K5963" s="711"/>
      <c r="L5963" s="711"/>
      <c r="Q5963" s="11"/>
      <c r="R5963" s="11"/>
      <c r="S5963" s="11"/>
      <c r="T5963" s="11"/>
    </row>
    <row r="5964" spans="8:20" x14ac:dyDescent="0.35">
      <c r="H5964" s="711"/>
      <c r="I5964" s="711"/>
      <c r="J5964" s="711"/>
      <c r="K5964" s="711"/>
      <c r="L5964" s="711"/>
      <c r="Q5964" s="11"/>
      <c r="R5964" s="11"/>
      <c r="S5964" s="11"/>
      <c r="T5964" s="11"/>
    </row>
    <row r="5965" spans="8:20" x14ac:dyDescent="0.35">
      <c r="H5965" s="711"/>
      <c r="I5965" s="711"/>
      <c r="J5965" s="711"/>
      <c r="K5965" s="711"/>
      <c r="L5965" s="711"/>
      <c r="Q5965" s="11"/>
      <c r="R5965" s="11"/>
      <c r="S5965" s="11"/>
      <c r="T5965" s="11"/>
    </row>
    <row r="5966" spans="8:20" x14ac:dyDescent="0.35">
      <c r="H5966" s="711"/>
      <c r="I5966" s="711"/>
      <c r="J5966" s="711"/>
      <c r="K5966" s="711"/>
      <c r="L5966" s="711"/>
      <c r="Q5966" s="11"/>
      <c r="R5966" s="11"/>
      <c r="S5966" s="11"/>
      <c r="T5966" s="11"/>
    </row>
    <row r="5967" spans="8:20" x14ac:dyDescent="0.35">
      <c r="H5967" s="711"/>
      <c r="I5967" s="711"/>
      <c r="J5967" s="711"/>
      <c r="K5967" s="711"/>
      <c r="L5967" s="711"/>
      <c r="Q5967" s="11"/>
      <c r="R5967" s="11"/>
      <c r="S5967" s="11"/>
      <c r="T5967" s="11"/>
    </row>
    <row r="5968" spans="8:20" x14ac:dyDescent="0.35">
      <c r="H5968" s="711"/>
      <c r="I5968" s="711"/>
      <c r="J5968" s="711"/>
      <c r="K5968" s="711"/>
      <c r="L5968" s="711"/>
      <c r="Q5968" s="11"/>
      <c r="R5968" s="11"/>
      <c r="S5968" s="11"/>
      <c r="T5968" s="11"/>
    </row>
    <row r="5969" spans="8:20" x14ac:dyDescent="0.35">
      <c r="H5969" s="711"/>
      <c r="I5969" s="711"/>
      <c r="J5969" s="711"/>
      <c r="K5969" s="711"/>
      <c r="L5969" s="711"/>
      <c r="Q5969" s="11"/>
      <c r="R5969" s="11"/>
      <c r="S5969" s="11"/>
      <c r="T5969" s="11"/>
    </row>
    <row r="5970" spans="8:20" x14ac:dyDescent="0.35">
      <c r="H5970" s="711"/>
      <c r="I5970" s="711"/>
      <c r="J5970" s="711"/>
      <c r="K5970" s="711"/>
      <c r="L5970" s="711"/>
      <c r="Q5970" s="11"/>
      <c r="R5970" s="11"/>
      <c r="S5970" s="11"/>
      <c r="T5970" s="11"/>
    </row>
    <row r="5971" spans="8:20" x14ac:dyDescent="0.35">
      <c r="H5971" s="711"/>
      <c r="I5971" s="711"/>
      <c r="J5971" s="711"/>
      <c r="K5971" s="711"/>
      <c r="L5971" s="711"/>
      <c r="Q5971" s="11"/>
      <c r="R5971" s="11"/>
      <c r="S5971" s="11"/>
      <c r="T5971" s="11"/>
    </row>
    <row r="5972" spans="8:20" x14ac:dyDescent="0.35">
      <c r="H5972" s="711"/>
      <c r="I5972" s="711"/>
      <c r="J5972" s="711"/>
      <c r="K5972" s="711"/>
      <c r="L5972" s="711"/>
      <c r="Q5972" s="11"/>
      <c r="R5972" s="11"/>
      <c r="S5972" s="11"/>
      <c r="T5972" s="11"/>
    </row>
    <row r="5973" spans="8:20" x14ac:dyDescent="0.35">
      <c r="H5973" s="711"/>
      <c r="I5973" s="711"/>
      <c r="J5973" s="711"/>
      <c r="K5973" s="711"/>
      <c r="L5973" s="711"/>
      <c r="Q5973" s="11"/>
      <c r="R5973" s="11"/>
      <c r="S5973" s="11"/>
      <c r="T5973" s="11"/>
    </row>
    <row r="5974" spans="8:20" x14ac:dyDescent="0.35">
      <c r="H5974" s="711"/>
      <c r="I5974" s="711"/>
      <c r="J5974" s="711"/>
      <c r="K5974" s="711"/>
      <c r="L5974" s="711"/>
      <c r="Q5974" s="11"/>
      <c r="R5974" s="11"/>
      <c r="S5974" s="11"/>
      <c r="T5974" s="11"/>
    </row>
    <row r="5975" spans="8:20" x14ac:dyDescent="0.35">
      <c r="H5975" s="711"/>
      <c r="I5975" s="711"/>
      <c r="J5975" s="711"/>
      <c r="K5975" s="711"/>
      <c r="L5975" s="711"/>
      <c r="Q5975" s="11"/>
      <c r="R5975" s="11"/>
      <c r="S5975" s="11"/>
      <c r="T5975" s="11"/>
    </row>
    <row r="5976" spans="8:20" x14ac:dyDescent="0.35">
      <c r="H5976" s="711"/>
      <c r="I5976" s="711"/>
      <c r="J5976" s="711"/>
      <c r="K5976" s="711"/>
      <c r="L5976" s="711"/>
      <c r="Q5976" s="11"/>
      <c r="R5976" s="11"/>
      <c r="S5976" s="11"/>
      <c r="T5976" s="11"/>
    </row>
    <row r="5977" spans="8:20" x14ac:dyDescent="0.35">
      <c r="H5977" s="711"/>
      <c r="I5977" s="711"/>
      <c r="J5977" s="711"/>
      <c r="K5977" s="711"/>
      <c r="L5977" s="711"/>
      <c r="Q5977" s="11"/>
      <c r="R5977" s="11"/>
      <c r="S5977" s="11"/>
      <c r="T5977" s="11"/>
    </row>
    <row r="5978" spans="8:20" x14ac:dyDescent="0.35">
      <c r="H5978" s="711"/>
      <c r="I5978" s="711"/>
      <c r="J5978" s="711"/>
      <c r="K5978" s="711"/>
      <c r="L5978" s="711"/>
      <c r="Q5978" s="11"/>
      <c r="R5978" s="11"/>
      <c r="S5978" s="11"/>
      <c r="T5978" s="11"/>
    </row>
    <row r="5979" spans="8:20" x14ac:dyDescent="0.35">
      <c r="H5979" s="711"/>
      <c r="I5979" s="711"/>
      <c r="J5979" s="711"/>
      <c r="K5979" s="711"/>
      <c r="L5979" s="711"/>
      <c r="Q5979" s="11"/>
      <c r="R5979" s="11"/>
      <c r="S5979" s="11"/>
      <c r="T5979" s="11"/>
    </row>
    <row r="5980" spans="8:20" x14ac:dyDescent="0.35">
      <c r="H5980" s="711"/>
      <c r="I5980" s="711"/>
      <c r="J5980" s="711"/>
      <c r="K5980" s="711"/>
      <c r="L5980" s="711"/>
      <c r="Q5980" s="11"/>
      <c r="R5980" s="11"/>
      <c r="S5980" s="11"/>
      <c r="T5980" s="11"/>
    </row>
    <row r="5981" spans="8:20" x14ac:dyDescent="0.35">
      <c r="H5981" s="711"/>
      <c r="I5981" s="711"/>
      <c r="J5981" s="711"/>
      <c r="K5981" s="711"/>
      <c r="L5981" s="711"/>
      <c r="Q5981" s="11"/>
      <c r="R5981" s="11"/>
      <c r="S5981" s="11"/>
      <c r="T5981" s="11"/>
    </row>
    <row r="5982" spans="8:20" x14ac:dyDescent="0.35">
      <c r="H5982" s="711"/>
      <c r="I5982" s="711"/>
      <c r="J5982" s="711"/>
      <c r="K5982" s="711"/>
      <c r="L5982" s="711"/>
      <c r="Q5982" s="11"/>
      <c r="R5982" s="11"/>
      <c r="S5982" s="11"/>
      <c r="T5982" s="11"/>
    </row>
    <row r="5983" spans="8:20" x14ac:dyDescent="0.35">
      <c r="H5983" s="711"/>
      <c r="I5983" s="711"/>
      <c r="J5983" s="711"/>
      <c r="K5983" s="711"/>
      <c r="L5983" s="711"/>
      <c r="Q5983" s="11"/>
      <c r="R5983" s="11"/>
      <c r="S5983" s="11"/>
      <c r="T5983" s="11"/>
    </row>
    <row r="5984" spans="8:20" x14ac:dyDescent="0.35">
      <c r="H5984" s="711"/>
      <c r="I5984" s="711"/>
      <c r="J5984" s="711"/>
      <c r="K5984" s="711"/>
      <c r="L5984" s="711"/>
      <c r="Q5984" s="11"/>
      <c r="R5984" s="11"/>
      <c r="S5984" s="11"/>
      <c r="T5984" s="11"/>
    </row>
    <row r="5985" spans="8:20" x14ac:dyDescent="0.35">
      <c r="H5985" s="711"/>
      <c r="I5985" s="711"/>
      <c r="J5985" s="711"/>
      <c r="K5985" s="711"/>
      <c r="L5985" s="711"/>
      <c r="Q5985" s="11"/>
      <c r="R5985" s="11"/>
      <c r="S5985" s="11"/>
      <c r="T5985" s="11"/>
    </row>
    <row r="5986" spans="8:20" x14ac:dyDescent="0.35">
      <c r="H5986" s="711"/>
      <c r="I5986" s="711"/>
      <c r="J5986" s="711"/>
      <c r="K5986" s="711"/>
      <c r="L5986" s="711"/>
      <c r="Q5986" s="11"/>
      <c r="R5986" s="11"/>
      <c r="S5986" s="11"/>
      <c r="T5986" s="11"/>
    </row>
    <row r="5987" spans="8:20" x14ac:dyDescent="0.35">
      <c r="H5987" s="711"/>
      <c r="I5987" s="711"/>
      <c r="J5987" s="711"/>
      <c r="K5987" s="711"/>
      <c r="L5987" s="711"/>
      <c r="Q5987" s="11"/>
      <c r="R5987" s="11"/>
      <c r="S5987" s="11"/>
      <c r="T5987" s="11"/>
    </row>
    <row r="5988" spans="8:20" x14ac:dyDescent="0.35">
      <c r="H5988" s="711"/>
      <c r="I5988" s="711"/>
      <c r="J5988" s="711"/>
      <c r="K5988" s="711"/>
      <c r="L5988" s="711"/>
      <c r="Q5988" s="11"/>
      <c r="R5988" s="11"/>
      <c r="S5988" s="11"/>
      <c r="T5988" s="11"/>
    </row>
    <row r="5989" spans="8:20" x14ac:dyDescent="0.35">
      <c r="H5989" s="711"/>
      <c r="I5989" s="711"/>
      <c r="J5989" s="711"/>
      <c r="K5989" s="711"/>
      <c r="L5989" s="711"/>
      <c r="Q5989" s="11"/>
      <c r="R5989" s="11"/>
      <c r="S5989" s="11"/>
      <c r="T5989" s="11"/>
    </row>
    <row r="5990" spans="8:20" x14ac:dyDescent="0.35">
      <c r="H5990" s="711"/>
      <c r="I5990" s="711"/>
      <c r="J5990" s="711"/>
      <c r="K5990" s="711"/>
      <c r="L5990" s="711"/>
      <c r="Q5990" s="11"/>
      <c r="R5990" s="11"/>
      <c r="S5990" s="11"/>
      <c r="T5990" s="11"/>
    </row>
    <row r="5991" spans="8:20" x14ac:dyDescent="0.35">
      <c r="H5991" s="711"/>
      <c r="I5991" s="711"/>
      <c r="J5991" s="711"/>
      <c r="K5991" s="711"/>
      <c r="L5991" s="711"/>
      <c r="Q5991" s="11"/>
      <c r="R5991" s="11"/>
      <c r="S5991" s="11"/>
      <c r="T5991" s="11"/>
    </row>
    <row r="5992" spans="8:20" x14ac:dyDescent="0.35">
      <c r="H5992" s="711"/>
      <c r="I5992" s="711"/>
      <c r="J5992" s="711"/>
      <c r="K5992" s="711"/>
      <c r="L5992" s="711"/>
      <c r="Q5992" s="11"/>
      <c r="R5992" s="11"/>
      <c r="S5992" s="11"/>
      <c r="T5992" s="11"/>
    </row>
    <row r="5993" spans="8:20" x14ac:dyDescent="0.35">
      <c r="H5993" s="711"/>
      <c r="I5993" s="711"/>
      <c r="J5993" s="711"/>
      <c r="K5993" s="711"/>
      <c r="L5993" s="711"/>
      <c r="Q5993" s="11"/>
      <c r="R5993" s="11"/>
      <c r="S5993" s="11"/>
      <c r="T5993" s="11"/>
    </row>
    <row r="5994" spans="8:20" x14ac:dyDescent="0.35">
      <c r="H5994" s="711"/>
      <c r="I5994" s="711"/>
      <c r="J5994" s="711"/>
      <c r="K5994" s="711"/>
      <c r="L5994" s="711"/>
      <c r="Q5994" s="11"/>
      <c r="R5994" s="11"/>
      <c r="S5994" s="11"/>
      <c r="T5994" s="11"/>
    </row>
    <row r="5995" spans="8:20" x14ac:dyDescent="0.35">
      <c r="H5995" s="711"/>
      <c r="I5995" s="711"/>
      <c r="J5995" s="711"/>
      <c r="K5995" s="711"/>
      <c r="L5995" s="711"/>
      <c r="Q5995" s="11"/>
      <c r="R5995" s="11"/>
      <c r="S5995" s="11"/>
      <c r="T5995" s="11"/>
    </row>
    <row r="5996" spans="8:20" x14ac:dyDescent="0.35">
      <c r="H5996" s="711"/>
      <c r="I5996" s="711"/>
      <c r="J5996" s="711"/>
      <c r="K5996" s="711"/>
      <c r="L5996" s="711"/>
      <c r="Q5996" s="11"/>
      <c r="R5996" s="11"/>
      <c r="S5996" s="11"/>
      <c r="T5996" s="11"/>
    </row>
    <row r="5997" spans="8:20" x14ac:dyDescent="0.35">
      <c r="H5997" s="711"/>
      <c r="I5997" s="711"/>
      <c r="J5997" s="711"/>
      <c r="K5997" s="711"/>
      <c r="L5997" s="711"/>
      <c r="Q5997" s="11"/>
      <c r="R5997" s="11"/>
      <c r="S5997" s="11"/>
      <c r="T5997" s="11"/>
    </row>
    <row r="5998" spans="8:20" x14ac:dyDescent="0.35">
      <c r="H5998" s="711"/>
      <c r="I5998" s="711"/>
      <c r="J5998" s="711"/>
      <c r="K5998" s="711"/>
      <c r="L5998" s="711"/>
      <c r="Q5998" s="11"/>
      <c r="R5998" s="11"/>
      <c r="S5998" s="11"/>
      <c r="T5998" s="11"/>
    </row>
    <row r="5999" spans="8:20" x14ac:dyDescent="0.35">
      <c r="H5999" s="711"/>
      <c r="I5999" s="711"/>
      <c r="J5999" s="711"/>
      <c r="K5999" s="711"/>
      <c r="L5999" s="711"/>
      <c r="Q5999" s="11"/>
      <c r="R5999" s="11"/>
      <c r="S5999" s="11"/>
      <c r="T5999" s="11"/>
    </row>
    <row r="6000" spans="8:20" x14ac:dyDescent="0.35">
      <c r="H6000" s="711"/>
      <c r="I6000" s="711"/>
      <c r="J6000" s="711"/>
      <c r="K6000" s="711"/>
      <c r="L6000" s="711"/>
      <c r="Q6000" s="11"/>
      <c r="R6000" s="11"/>
      <c r="S6000" s="11"/>
      <c r="T6000" s="11"/>
    </row>
    <row r="6001" spans="8:20" x14ac:dyDescent="0.35">
      <c r="H6001" s="711"/>
      <c r="I6001" s="711"/>
      <c r="J6001" s="711"/>
      <c r="K6001" s="711"/>
      <c r="L6001" s="711"/>
      <c r="Q6001" s="11"/>
      <c r="R6001" s="11"/>
      <c r="S6001" s="11"/>
      <c r="T6001" s="11"/>
    </row>
    <row r="6002" spans="8:20" x14ac:dyDescent="0.35">
      <c r="H6002" s="711"/>
      <c r="I6002" s="711"/>
      <c r="J6002" s="711"/>
      <c r="K6002" s="711"/>
      <c r="L6002" s="711"/>
      <c r="Q6002" s="11"/>
      <c r="R6002" s="11"/>
      <c r="S6002" s="11"/>
      <c r="T6002" s="11"/>
    </row>
    <row r="6003" spans="8:20" x14ac:dyDescent="0.35">
      <c r="H6003" s="711"/>
      <c r="I6003" s="711"/>
      <c r="J6003" s="711"/>
      <c r="K6003" s="711"/>
      <c r="L6003" s="711"/>
      <c r="Q6003" s="11"/>
      <c r="R6003" s="11"/>
      <c r="S6003" s="11"/>
      <c r="T6003" s="11"/>
    </row>
    <row r="6004" spans="8:20" x14ac:dyDescent="0.35">
      <c r="H6004" s="711"/>
      <c r="I6004" s="711"/>
      <c r="J6004" s="711"/>
      <c r="K6004" s="711"/>
      <c r="L6004" s="711"/>
      <c r="Q6004" s="11"/>
      <c r="R6004" s="11"/>
      <c r="S6004" s="11"/>
      <c r="T6004" s="11"/>
    </row>
    <row r="6005" spans="8:20" x14ac:dyDescent="0.35">
      <c r="H6005" s="711"/>
      <c r="I6005" s="711"/>
      <c r="J6005" s="711"/>
      <c r="K6005" s="711"/>
      <c r="L6005" s="711"/>
      <c r="Q6005" s="11"/>
      <c r="R6005" s="11"/>
      <c r="S6005" s="11"/>
      <c r="T6005" s="11"/>
    </row>
    <row r="6006" spans="8:20" x14ac:dyDescent="0.35">
      <c r="H6006" s="711"/>
      <c r="I6006" s="711"/>
      <c r="J6006" s="711"/>
      <c r="K6006" s="711"/>
      <c r="L6006" s="711"/>
      <c r="Q6006" s="11"/>
      <c r="R6006" s="11"/>
      <c r="S6006" s="11"/>
      <c r="T6006" s="11"/>
    </row>
    <row r="6007" spans="8:20" x14ac:dyDescent="0.35">
      <c r="H6007" s="711"/>
      <c r="I6007" s="711"/>
      <c r="J6007" s="711"/>
      <c r="K6007" s="711"/>
      <c r="L6007" s="711"/>
      <c r="Q6007" s="11"/>
      <c r="R6007" s="11"/>
      <c r="S6007" s="11"/>
      <c r="T6007" s="11"/>
    </row>
    <row r="6008" spans="8:20" x14ac:dyDescent="0.35">
      <c r="H6008" s="711"/>
      <c r="I6008" s="711"/>
      <c r="J6008" s="711"/>
      <c r="K6008" s="711"/>
      <c r="L6008" s="711"/>
      <c r="Q6008" s="11"/>
      <c r="R6008" s="11"/>
      <c r="S6008" s="11"/>
      <c r="T6008" s="11"/>
    </row>
    <row r="6009" spans="8:20" x14ac:dyDescent="0.35">
      <c r="H6009" s="711"/>
      <c r="I6009" s="711"/>
      <c r="J6009" s="711"/>
      <c r="K6009" s="711"/>
      <c r="L6009" s="711"/>
      <c r="Q6009" s="11"/>
      <c r="R6009" s="11"/>
      <c r="S6009" s="11"/>
      <c r="T6009" s="11"/>
    </row>
    <row r="6010" spans="8:20" x14ac:dyDescent="0.35">
      <c r="H6010" s="711"/>
      <c r="I6010" s="711"/>
      <c r="J6010" s="711"/>
      <c r="K6010" s="711"/>
      <c r="L6010" s="711"/>
      <c r="Q6010" s="11"/>
      <c r="R6010" s="11"/>
      <c r="S6010" s="11"/>
      <c r="T6010" s="11"/>
    </row>
    <row r="6011" spans="8:20" x14ac:dyDescent="0.35">
      <c r="H6011" s="711"/>
      <c r="I6011" s="711"/>
      <c r="J6011" s="711"/>
      <c r="K6011" s="711"/>
      <c r="L6011" s="711"/>
      <c r="Q6011" s="11"/>
      <c r="R6011" s="11"/>
      <c r="S6011" s="11"/>
      <c r="T6011" s="11"/>
    </row>
    <row r="6012" spans="8:20" x14ac:dyDescent="0.35">
      <c r="H6012" s="711"/>
      <c r="I6012" s="711"/>
      <c r="J6012" s="711"/>
      <c r="K6012" s="711"/>
      <c r="L6012" s="711"/>
      <c r="Q6012" s="11"/>
      <c r="R6012" s="11"/>
      <c r="S6012" s="11"/>
      <c r="T6012" s="11"/>
    </row>
    <row r="6013" spans="8:20" x14ac:dyDescent="0.35">
      <c r="H6013" s="711"/>
      <c r="I6013" s="711"/>
      <c r="J6013" s="711"/>
      <c r="K6013" s="711"/>
      <c r="L6013" s="711"/>
      <c r="Q6013" s="11"/>
      <c r="R6013" s="11"/>
      <c r="S6013" s="11"/>
      <c r="T6013" s="11"/>
    </row>
    <row r="6014" spans="8:20" x14ac:dyDescent="0.35">
      <c r="H6014" s="711"/>
      <c r="I6014" s="711"/>
      <c r="J6014" s="711"/>
      <c r="K6014" s="711"/>
      <c r="L6014" s="711"/>
      <c r="Q6014" s="11"/>
      <c r="R6014" s="11"/>
      <c r="S6014" s="11"/>
      <c r="T6014" s="11"/>
    </row>
    <row r="6015" spans="8:20" x14ac:dyDescent="0.35">
      <c r="H6015" s="711"/>
      <c r="I6015" s="711"/>
      <c r="J6015" s="711"/>
      <c r="K6015" s="711"/>
      <c r="L6015" s="711"/>
      <c r="Q6015" s="11"/>
      <c r="R6015" s="11"/>
      <c r="S6015" s="11"/>
      <c r="T6015" s="11"/>
    </row>
    <row r="6016" spans="8:20" x14ac:dyDescent="0.35">
      <c r="H6016" s="711"/>
      <c r="I6016" s="711"/>
      <c r="J6016" s="711"/>
      <c r="K6016" s="711"/>
      <c r="L6016" s="711"/>
      <c r="Q6016" s="11"/>
      <c r="R6016" s="11"/>
      <c r="S6016" s="11"/>
      <c r="T6016" s="11"/>
    </row>
    <row r="6017" spans="8:20" x14ac:dyDescent="0.35">
      <c r="H6017" s="711"/>
      <c r="I6017" s="711"/>
      <c r="J6017" s="711"/>
      <c r="K6017" s="711"/>
      <c r="L6017" s="711"/>
      <c r="Q6017" s="11"/>
      <c r="R6017" s="11"/>
      <c r="S6017" s="11"/>
      <c r="T6017" s="11"/>
    </row>
    <row r="6018" spans="8:20" x14ac:dyDescent="0.35">
      <c r="H6018" s="711"/>
      <c r="I6018" s="711"/>
      <c r="J6018" s="711"/>
      <c r="K6018" s="711"/>
      <c r="L6018" s="711"/>
      <c r="Q6018" s="11"/>
      <c r="R6018" s="11"/>
      <c r="S6018" s="11"/>
      <c r="T6018" s="11"/>
    </row>
    <row r="6019" spans="8:20" x14ac:dyDescent="0.35">
      <c r="H6019" s="711"/>
      <c r="I6019" s="711"/>
      <c r="J6019" s="711"/>
      <c r="K6019" s="711"/>
      <c r="L6019" s="711"/>
      <c r="Q6019" s="11"/>
      <c r="R6019" s="11"/>
      <c r="S6019" s="11"/>
      <c r="T6019" s="11"/>
    </row>
    <row r="6020" spans="8:20" x14ac:dyDescent="0.35">
      <c r="H6020" s="711"/>
      <c r="I6020" s="711"/>
      <c r="J6020" s="711"/>
      <c r="K6020" s="711"/>
      <c r="L6020" s="711"/>
      <c r="Q6020" s="11"/>
      <c r="R6020" s="11"/>
      <c r="S6020" s="11"/>
      <c r="T6020" s="11"/>
    </row>
    <row r="6021" spans="8:20" x14ac:dyDescent="0.35">
      <c r="H6021" s="711"/>
      <c r="I6021" s="711"/>
      <c r="J6021" s="711"/>
      <c r="K6021" s="711"/>
      <c r="L6021" s="711"/>
      <c r="Q6021" s="11"/>
      <c r="R6021" s="11"/>
      <c r="S6021" s="11"/>
      <c r="T6021" s="11"/>
    </row>
    <row r="6022" spans="8:20" x14ac:dyDescent="0.35">
      <c r="H6022" s="711"/>
      <c r="I6022" s="711"/>
      <c r="J6022" s="711"/>
      <c r="K6022" s="711"/>
      <c r="L6022" s="711"/>
      <c r="Q6022" s="11"/>
      <c r="R6022" s="11"/>
      <c r="S6022" s="11"/>
      <c r="T6022" s="11"/>
    </row>
    <row r="6023" spans="8:20" x14ac:dyDescent="0.35">
      <c r="H6023" s="711"/>
      <c r="I6023" s="711"/>
      <c r="J6023" s="711"/>
      <c r="K6023" s="711"/>
      <c r="L6023" s="711"/>
      <c r="Q6023" s="11"/>
      <c r="R6023" s="11"/>
      <c r="S6023" s="11"/>
      <c r="T6023" s="11"/>
    </row>
    <row r="6024" spans="8:20" x14ac:dyDescent="0.35">
      <c r="H6024" s="711"/>
      <c r="I6024" s="711"/>
      <c r="J6024" s="711"/>
      <c r="K6024" s="711"/>
      <c r="L6024" s="711"/>
      <c r="Q6024" s="11"/>
      <c r="R6024" s="11"/>
      <c r="S6024" s="11"/>
      <c r="T6024" s="11"/>
    </row>
    <row r="6025" spans="8:20" x14ac:dyDescent="0.35">
      <c r="H6025" s="711"/>
      <c r="I6025" s="711"/>
      <c r="J6025" s="711"/>
      <c r="K6025" s="711"/>
      <c r="L6025" s="711"/>
      <c r="Q6025" s="11"/>
      <c r="R6025" s="11"/>
      <c r="S6025" s="11"/>
      <c r="T6025" s="11"/>
    </row>
    <row r="6026" spans="8:20" x14ac:dyDescent="0.35">
      <c r="H6026" s="711"/>
      <c r="I6026" s="711"/>
      <c r="J6026" s="711"/>
      <c r="K6026" s="711"/>
      <c r="L6026" s="711"/>
      <c r="Q6026" s="11"/>
      <c r="R6026" s="11"/>
      <c r="S6026" s="11"/>
      <c r="T6026" s="11"/>
    </row>
    <row r="6027" spans="8:20" x14ac:dyDescent="0.35">
      <c r="H6027" s="711"/>
      <c r="I6027" s="711"/>
      <c r="J6027" s="711"/>
      <c r="K6027" s="711"/>
      <c r="L6027" s="711"/>
      <c r="Q6027" s="11"/>
      <c r="R6027" s="11"/>
      <c r="S6027" s="11"/>
      <c r="T6027" s="11"/>
    </row>
    <row r="6028" spans="8:20" x14ac:dyDescent="0.35">
      <c r="H6028" s="711"/>
      <c r="I6028" s="711"/>
      <c r="J6028" s="711"/>
      <c r="K6028" s="711"/>
      <c r="L6028" s="711"/>
      <c r="Q6028" s="11"/>
      <c r="R6028" s="11"/>
      <c r="S6028" s="11"/>
      <c r="T6028" s="11"/>
    </row>
    <row r="6029" spans="8:20" x14ac:dyDescent="0.35">
      <c r="H6029" s="711"/>
      <c r="I6029" s="711"/>
      <c r="J6029" s="711"/>
      <c r="K6029" s="711"/>
      <c r="L6029" s="711"/>
      <c r="Q6029" s="11"/>
      <c r="R6029" s="11"/>
      <c r="S6029" s="11"/>
      <c r="T6029" s="11"/>
    </row>
    <row r="6030" spans="8:20" x14ac:dyDescent="0.35">
      <c r="H6030" s="711"/>
      <c r="I6030" s="711"/>
      <c r="J6030" s="711"/>
      <c r="K6030" s="711"/>
      <c r="L6030" s="711"/>
      <c r="Q6030" s="11"/>
      <c r="R6030" s="11"/>
      <c r="S6030" s="11"/>
      <c r="T6030" s="11"/>
    </row>
    <row r="6031" spans="8:20" x14ac:dyDescent="0.35">
      <c r="H6031" s="711"/>
      <c r="I6031" s="711"/>
      <c r="J6031" s="711"/>
      <c r="K6031" s="711"/>
      <c r="L6031" s="711"/>
      <c r="Q6031" s="11"/>
      <c r="R6031" s="11"/>
      <c r="S6031" s="11"/>
      <c r="T6031" s="11"/>
    </row>
    <row r="6032" spans="8:20" x14ac:dyDescent="0.35">
      <c r="H6032" s="711"/>
      <c r="I6032" s="711"/>
      <c r="J6032" s="711"/>
      <c r="K6032" s="711"/>
      <c r="L6032" s="711"/>
      <c r="Q6032" s="11"/>
      <c r="R6032" s="11"/>
      <c r="S6032" s="11"/>
      <c r="T6032" s="11"/>
    </row>
    <row r="6033" spans="8:20" x14ac:dyDescent="0.35">
      <c r="H6033" s="711"/>
      <c r="I6033" s="711"/>
      <c r="J6033" s="711"/>
      <c r="K6033" s="711"/>
      <c r="L6033" s="711"/>
      <c r="Q6033" s="11"/>
      <c r="R6033" s="11"/>
      <c r="S6033" s="11"/>
      <c r="T6033" s="11"/>
    </row>
    <row r="6034" spans="8:20" x14ac:dyDescent="0.35">
      <c r="H6034" s="711"/>
      <c r="I6034" s="711"/>
      <c r="J6034" s="711"/>
      <c r="K6034" s="711"/>
      <c r="L6034" s="711"/>
      <c r="Q6034" s="11"/>
      <c r="R6034" s="11"/>
      <c r="S6034" s="11"/>
      <c r="T6034" s="11"/>
    </row>
    <row r="6035" spans="8:20" x14ac:dyDescent="0.35">
      <c r="H6035" s="711"/>
      <c r="I6035" s="711"/>
      <c r="J6035" s="711"/>
      <c r="K6035" s="711"/>
      <c r="L6035" s="711"/>
      <c r="Q6035" s="11"/>
      <c r="R6035" s="11"/>
      <c r="S6035" s="11"/>
      <c r="T6035" s="11"/>
    </row>
    <row r="6036" spans="8:20" x14ac:dyDescent="0.35">
      <c r="H6036" s="711"/>
      <c r="I6036" s="711"/>
      <c r="J6036" s="711"/>
      <c r="K6036" s="711"/>
      <c r="L6036" s="711"/>
      <c r="Q6036" s="11"/>
      <c r="R6036" s="11"/>
      <c r="S6036" s="11"/>
      <c r="T6036" s="11"/>
    </row>
    <row r="6037" spans="8:20" x14ac:dyDescent="0.35">
      <c r="H6037" s="711"/>
      <c r="I6037" s="711"/>
      <c r="J6037" s="711"/>
      <c r="K6037" s="711"/>
      <c r="L6037" s="711"/>
      <c r="Q6037" s="11"/>
      <c r="R6037" s="11"/>
      <c r="S6037" s="11"/>
      <c r="T6037" s="11"/>
    </row>
    <row r="6038" spans="8:20" x14ac:dyDescent="0.35">
      <c r="H6038" s="711"/>
      <c r="I6038" s="711"/>
      <c r="J6038" s="711"/>
      <c r="K6038" s="711"/>
      <c r="L6038" s="711"/>
      <c r="Q6038" s="11"/>
      <c r="R6038" s="11"/>
      <c r="S6038" s="11"/>
      <c r="T6038" s="11"/>
    </row>
    <row r="6039" spans="8:20" x14ac:dyDescent="0.35">
      <c r="H6039" s="711"/>
      <c r="I6039" s="711"/>
      <c r="J6039" s="711"/>
      <c r="K6039" s="711"/>
      <c r="L6039" s="711"/>
      <c r="Q6039" s="11"/>
      <c r="R6039" s="11"/>
      <c r="S6039" s="11"/>
      <c r="T6039" s="11"/>
    </row>
    <row r="6040" spans="8:20" x14ac:dyDescent="0.35">
      <c r="H6040" s="711"/>
      <c r="I6040" s="711"/>
      <c r="J6040" s="711"/>
      <c r="K6040" s="711"/>
      <c r="L6040" s="711"/>
      <c r="Q6040" s="11"/>
      <c r="R6040" s="11"/>
      <c r="S6040" s="11"/>
      <c r="T6040" s="11"/>
    </row>
    <row r="6041" spans="8:20" x14ac:dyDescent="0.35">
      <c r="H6041" s="711"/>
      <c r="I6041" s="711"/>
      <c r="J6041" s="711"/>
      <c r="K6041" s="711"/>
      <c r="L6041" s="711"/>
      <c r="Q6041" s="11"/>
      <c r="R6041" s="11"/>
      <c r="S6041" s="11"/>
      <c r="T6041" s="11"/>
    </row>
    <row r="6042" spans="8:20" x14ac:dyDescent="0.35">
      <c r="H6042" s="711"/>
      <c r="I6042" s="711"/>
      <c r="J6042" s="711"/>
      <c r="K6042" s="711"/>
      <c r="L6042" s="711"/>
      <c r="Q6042" s="11"/>
      <c r="R6042" s="11"/>
      <c r="S6042" s="11"/>
      <c r="T6042" s="11"/>
    </row>
    <row r="6043" spans="8:20" x14ac:dyDescent="0.35">
      <c r="H6043" s="711"/>
      <c r="I6043" s="711"/>
      <c r="J6043" s="711"/>
      <c r="K6043" s="711"/>
      <c r="L6043" s="711"/>
      <c r="Q6043" s="11"/>
      <c r="R6043" s="11"/>
      <c r="S6043" s="11"/>
      <c r="T6043" s="11"/>
    </row>
    <row r="6044" spans="8:20" x14ac:dyDescent="0.35">
      <c r="H6044" s="711"/>
      <c r="I6044" s="711"/>
      <c r="J6044" s="711"/>
      <c r="K6044" s="711"/>
      <c r="L6044" s="711"/>
      <c r="Q6044" s="11"/>
      <c r="R6044" s="11"/>
      <c r="S6044" s="11"/>
      <c r="T6044" s="11"/>
    </row>
    <row r="6045" spans="8:20" x14ac:dyDescent="0.35">
      <c r="H6045" s="711"/>
      <c r="I6045" s="711"/>
      <c r="J6045" s="711"/>
      <c r="K6045" s="711"/>
      <c r="L6045" s="711"/>
      <c r="Q6045" s="11"/>
      <c r="R6045" s="11"/>
      <c r="S6045" s="11"/>
      <c r="T6045" s="11"/>
    </row>
    <row r="6046" spans="8:20" x14ac:dyDescent="0.35">
      <c r="H6046" s="711"/>
      <c r="I6046" s="711"/>
      <c r="J6046" s="711"/>
      <c r="K6046" s="711"/>
      <c r="L6046" s="711"/>
      <c r="Q6046" s="11"/>
      <c r="R6046" s="11"/>
      <c r="S6046" s="11"/>
      <c r="T6046" s="11"/>
    </row>
    <row r="6047" spans="8:20" x14ac:dyDescent="0.35">
      <c r="H6047" s="711"/>
      <c r="I6047" s="711"/>
      <c r="J6047" s="711"/>
      <c r="K6047" s="711"/>
      <c r="L6047" s="711"/>
      <c r="Q6047" s="11"/>
      <c r="R6047" s="11"/>
      <c r="S6047" s="11"/>
      <c r="T6047" s="11"/>
    </row>
    <row r="6048" spans="8:20" x14ac:dyDescent="0.35">
      <c r="H6048" s="711"/>
      <c r="I6048" s="711"/>
      <c r="J6048" s="711"/>
      <c r="K6048" s="711"/>
      <c r="L6048" s="711"/>
      <c r="Q6048" s="11"/>
      <c r="R6048" s="11"/>
      <c r="S6048" s="11"/>
      <c r="T6048" s="11"/>
    </row>
    <row r="6049" spans="8:20" x14ac:dyDescent="0.35">
      <c r="H6049" s="711"/>
      <c r="I6049" s="711"/>
      <c r="J6049" s="711"/>
      <c r="K6049" s="711"/>
      <c r="L6049" s="711"/>
      <c r="Q6049" s="11"/>
      <c r="R6049" s="11"/>
      <c r="S6049" s="11"/>
      <c r="T6049" s="11"/>
    </row>
    <row r="6050" spans="8:20" x14ac:dyDescent="0.35">
      <c r="H6050" s="711"/>
      <c r="I6050" s="711"/>
      <c r="J6050" s="711"/>
      <c r="K6050" s="711"/>
      <c r="L6050" s="711"/>
      <c r="Q6050" s="11"/>
      <c r="R6050" s="11"/>
      <c r="S6050" s="11"/>
      <c r="T6050" s="11"/>
    </row>
    <row r="6051" spans="8:20" x14ac:dyDescent="0.35">
      <c r="H6051" s="711"/>
      <c r="I6051" s="711"/>
      <c r="J6051" s="711"/>
      <c r="K6051" s="711"/>
      <c r="L6051" s="711"/>
      <c r="Q6051" s="11"/>
      <c r="R6051" s="11"/>
      <c r="S6051" s="11"/>
      <c r="T6051" s="11"/>
    </row>
    <row r="6052" spans="8:20" x14ac:dyDescent="0.35">
      <c r="H6052" s="711"/>
      <c r="I6052" s="711"/>
      <c r="J6052" s="711"/>
      <c r="K6052" s="711"/>
      <c r="L6052" s="711"/>
      <c r="Q6052" s="11"/>
      <c r="R6052" s="11"/>
      <c r="S6052" s="11"/>
      <c r="T6052" s="11"/>
    </row>
    <row r="6053" spans="8:20" x14ac:dyDescent="0.35">
      <c r="H6053" s="711"/>
      <c r="I6053" s="711"/>
      <c r="J6053" s="711"/>
      <c r="K6053" s="711"/>
      <c r="L6053" s="711"/>
      <c r="Q6053" s="11"/>
      <c r="R6053" s="11"/>
      <c r="S6053" s="11"/>
      <c r="T6053" s="11"/>
    </row>
    <row r="6054" spans="8:20" x14ac:dyDescent="0.35">
      <c r="H6054" s="711"/>
      <c r="I6054" s="711"/>
      <c r="J6054" s="711"/>
      <c r="K6054" s="711"/>
      <c r="L6054" s="711"/>
      <c r="Q6054" s="11"/>
      <c r="R6054" s="11"/>
      <c r="S6054" s="11"/>
      <c r="T6054" s="11"/>
    </row>
    <row r="6055" spans="8:20" x14ac:dyDescent="0.35">
      <c r="H6055" s="711"/>
      <c r="I6055" s="711"/>
      <c r="J6055" s="711"/>
      <c r="K6055" s="711"/>
      <c r="L6055" s="711"/>
      <c r="Q6055" s="11"/>
      <c r="R6055" s="11"/>
      <c r="S6055" s="11"/>
      <c r="T6055" s="11"/>
    </row>
    <row r="6056" spans="8:20" x14ac:dyDescent="0.35">
      <c r="H6056" s="711"/>
      <c r="I6056" s="711"/>
      <c r="J6056" s="711"/>
      <c r="K6056" s="711"/>
      <c r="L6056" s="711"/>
      <c r="Q6056" s="11"/>
      <c r="R6056" s="11"/>
      <c r="S6056" s="11"/>
      <c r="T6056" s="11"/>
    </row>
    <row r="6057" spans="8:20" x14ac:dyDescent="0.35">
      <c r="H6057" s="711"/>
      <c r="I6057" s="711"/>
      <c r="J6057" s="711"/>
      <c r="K6057" s="711"/>
      <c r="L6057" s="711"/>
      <c r="Q6057" s="11"/>
      <c r="R6057" s="11"/>
      <c r="S6057" s="11"/>
      <c r="T6057" s="11"/>
    </row>
    <row r="6058" spans="8:20" x14ac:dyDescent="0.35">
      <c r="H6058" s="711"/>
      <c r="I6058" s="711"/>
      <c r="J6058" s="711"/>
      <c r="K6058" s="711"/>
      <c r="L6058" s="711"/>
      <c r="Q6058" s="11"/>
      <c r="R6058" s="11"/>
      <c r="S6058" s="11"/>
      <c r="T6058" s="11"/>
    </row>
    <row r="6059" spans="8:20" x14ac:dyDescent="0.35">
      <c r="H6059" s="711"/>
      <c r="I6059" s="711"/>
      <c r="J6059" s="711"/>
      <c r="K6059" s="711"/>
      <c r="L6059" s="711"/>
      <c r="Q6059" s="11"/>
      <c r="R6059" s="11"/>
      <c r="S6059" s="11"/>
      <c r="T6059" s="11"/>
    </row>
    <row r="6060" spans="8:20" x14ac:dyDescent="0.35">
      <c r="H6060" s="711"/>
      <c r="I6060" s="711"/>
      <c r="J6060" s="711"/>
      <c r="K6060" s="711"/>
      <c r="L6060" s="711"/>
      <c r="Q6060" s="11"/>
      <c r="R6060" s="11"/>
      <c r="S6060" s="11"/>
      <c r="T6060" s="11"/>
    </row>
    <row r="6061" spans="8:20" x14ac:dyDescent="0.35">
      <c r="H6061" s="711"/>
      <c r="I6061" s="711"/>
      <c r="J6061" s="711"/>
      <c r="K6061" s="711"/>
      <c r="L6061" s="711"/>
      <c r="Q6061" s="11"/>
      <c r="R6061" s="11"/>
      <c r="S6061" s="11"/>
      <c r="T6061" s="11"/>
    </row>
    <row r="6062" spans="8:20" x14ac:dyDescent="0.35">
      <c r="H6062" s="711"/>
      <c r="I6062" s="711"/>
      <c r="J6062" s="711"/>
      <c r="K6062" s="711"/>
      <c r="L6062" s="711"/>
      <c r="Q6062" s="11"/>
      <c r="R6062" s="11"/>
      <c r="S6062" s="11"/>
      <c r="T6062" s="11"/>
    </row>
    <row r="6063" spans="8:20" x14ac:dyDescent="0.35">
      <c r="H6063" s="711"/>
      <c r="I6063" s="711"/>
      <c r="J6063" s="711"/>
      <c r="K6063" s="711"/>
      <c r="L6063" s="711"/>
      <c r="Q6063" s="11"/>
      <c r="R6063" s="11"/>
      <c r="S6063" s="11"/>
      <c r="T6063" s="11"/>
    </row>
    <row r="6064" spans="8:20" x14ac:dyDescent="0.35">
      <c r="H6064" s="711"/>
      <c r="I6064" s="711"/>
      <c r="J6064" s="711"/>
      <c r="K6064" s="711"/>
      <c r="L6064" s="711"/>
      <c r="Q6064" s="11"/>
      <c r="R6064" s="11"/>
      <c r="S6064" s="11"/>
      <c r="T6064" s="11"/>
    </row>
    <row r="6065" spans="8:20" x14ac:dyDescent="0.35">
      <c r="H6065" s="711"/>
      <c r="I6065" s="711"/>
      <c r="J6065" s="711"/>
      <c r="K6065" s="711"/>
      <c r="L6065" s="711"/>
      <c r="Q6065" s="11"/>
      <c r="R6065" s="11"/>
      <c r="S6065" s="11"/>
      <c r="T6065" s="11"/>
    </row>
    <row r="6066" spans="8:20" x14ac:dyDescent="0.35">
      <c r="H6066" s="711"/>
      <c r="I6066" s="711"/>
      <c r="J6066" s="711"/>
      <c r="K6066" s="711"/>
      <c r="L6066" s="711"/>
      <c r="Q6066" s="11"/>
      <c r="R6066" s="11"/>
      <c r="S6066" s="11"/>
      <c r="T6066" s="11"/>
    </row>
    <row r="6067" spans="8:20" x14ac:dyDescent="0.35">
      <c r="H6067" s="711"/>
      <c r="I6067" s="711"/>
      <c r="J6067" s="711"/>
      <c r="K6067" s="711"/>
      <c r="L6067" s="711"/>
      <c r="Q6067" s="11"/>
      <c r="R6067" s="11"/>
      <c r="S6067" s="11"/>
      <c r="T6067" s="11"/>
    </row>
    <row r="6068" spans="8:20" x14ac:dyDescent="0.35">
      <c r="H6068" s="711"/>
      <c r="I6068" s="711"/>
      <c r="J6068" s="711"/>
      <c r="K6068" s="711"/>
      <c r="L6068" s="711"/>
      <c r="Q6068" s="11"/>
      <c r="R6068" s="11"/>
      <c r="S6068" s="11"/>
      <c r="T6068" s="11"/>
    </row>
    <row r="6069" spans="8:20" x14ac:dyDescent="0.35">
      <c r="H6069" s="711"/>
      <c r="I6069" s="711"/>
      <c r="J6069" s="711"/>
      <c r="K6069" s="711"/>
      <c r="L6069" s="711"/>
      <c r="Q6069" s="11"/>
      <c r="R6069" s="11"/>
      <c r="S6069" s="11"/>
      <c r="T6069" s="11"/>
    </row>
    <row r="6070" spans="8:20" x14ac:dyDescent="0.35">
      <c r="H6070" s="711"/>
      <c r="I6070" s="711"/>
      <c r="J6070" s="711"/>
      <c r="K6070" s="711"/>
      <c r="L6070" s="711"/>
      <c r="Q6070" s="11"/>
      <c r="R6070" s="11"/>
      <c r="S6070" s="11"/>
      <c r="T6070" s="11"/>
    </row>
    <row r="6071" spans="8:20" x14ac:dyDescent="0.35">
      <c r="H6071" s="711"/>
      <c r="I6071" s="711"/>
      <c r="J6071" s="711"/>
      <c r="K6071" s="711"/>
      <c r="L6071" s="711"/>
      <c r="Q6071" s="11"/>
      <c r="R6071" s="11"/>
      <c r="S6071" s="11"/>
      <c r="T6071" s="11"/>
    </row>
    <row r="6072" spans="8:20" x14ac:dyDescent="0.35">
      <c r="H6072" s="711"/>
      <c r="I6072" s="711"/>
      <c r="J6072" s="711"/>
      <c r="K6072" s="711"/>
      <c r="L6072" s="711"/>
      <c r="Q6072" s="11"/>
      <c r="R6072" s="11"/>
      <c r="S6072" s="11"/>
      <c r="T6072" s="11"/>
    </row>
    <row r="6073" spans="8:20" x14ac:dyDescent="0.35">
      <c r="H6073" s="711"/>
      <c r="I6073" s="711"/>
      <c r="J6073" s="711"/>
      <c r="K6073" s="711"/>
      <c r="L6073" s="711"/>
      <c r="Q6073" s="11"/>
      <c r="R6073" s="11"/>
      <c r="S6073" s="11"/>
      <c r="T6073" s="11"/>
    </row>
    <row r="6074" spans="8:20" x14ac:dyDescent="0.35">
      <c r="H6074" s="711"/>
      <c r="I6074" s="711"/>
      <c r="J6074" s="711"/>
      <c r="K6074" s="711"/>
      <c r="L6074" s="711"/>
      <c r="Q6074" s="11"/>
      <c r="R6074" s="11"/>
      <c r="S6074" s="11"/>
      <c r="T6074" s="11"/>
    </row>
    <row r="6075" spans="8:20" x14ac:dyDescent="0.35">
      <c r="H6075" s="711"/>
      <c r="I6075" s="711"/>
      <c r="J6075" s="711"/>
      <c r="K6075" s="711"/>
      <c r="L6075" s="711"/>
      <c r="Q6075" s="11"/>
      <c r="R6075" s="11"/>
      <c r="S6075" s="11"/>
      <c r="T6075" s="11"/>
    </row>
    <row r="6076" spans="8:20" x14ac:dyDescent="0.35">
      <c r="H6076" s="711"/>
      <c r="I6076" s="711"/>
      <c r="J6076" s="711"/>
      <c r="K6076" s="711"/>
      <c r="L6076" s="711"/>
      <c r="Q6076" s="11"/>
      <c r="R6076" s="11"/>
      <c r="S6076" s="11"/>
      <c r="T6076" s="11"/>
    </row>
    <row r="6077" spans="8:20" x14ac:dyDescent="0.35">
      <c r="H6077" s="711"/>
      <c r="I6077" s="711"/>
      <c r="J6077" s="711"/>
      <c r="K6077" s="711"/>
      <c r="L6077" s="711"/>
      <c r="Q6077" s="11"/>
      <c r="R6077" s="11"/>
      <c r="S6077" s="11"/>
      <c r="T6077" s="11"/>
    </row>
    <row r="6078" spans="8:20" x14ac:dyDescent="0.35">
      <c r="H6078" s="711"/>
      <c r="I6078" s="711"/>
      <c r="J6078" s="711"/>
      <c r="K6078" s="711"/>
      <c r="L6078" s="711"/>
      <c r="Q6078" s="11"/>
      <c r="R6078" s="11"/>
      <c r="S6078" s="11"/>
      <c r="T6078" s="11"/>
    </row>
    <row r="6079" spans="8:20" x14ac:dyDescent="0.35">
      <c r="H6079" s="711"/>
      <c r="I6079" s="711"/>
      <c r="J6079" s="711"/>
      <c r="K6079" s="711"/>
      <c r="L6079" s="711"/>
      <c r="Q6079" s="11"/>
      <c r="R6079" s="11"/>
      <c r="S6079" s="11"/>
      <c r="T6079" s="11"/>
    </row>
    <row r="6080" spans="8:20" x14ac:dyDescent="0.35">
      <c r="H6080" s="711"/>
      <c r="I6080" s="711"/>
      <c r="J6080" s="711"/>
      <c r="K6080" s="711"/>
      <c r="L6080" s="711"/>
      <c r="Q6080" s="11"/>
      <c r="R6080" s="11"/>
      <c r="S6080" s="11"/>
      <c r="T6080" s="11"/>
    </row>
    <row r="6081" spans="8:20" x14ac:dyDescent="0.35">
      <c r="H6081" s="711"/>
      <c r="I6081" s="711"/>
      <c r="J6081" s="711"/>
      <c r="K6081" s="711"/>
      <c r="L6081" s="711"/>
      <c r="Q6081" s="11"/>
      <c r="R6081" s="11"/>
      <c r="S6081" s="11"/>
      <c r="T6081" s="11"/>
    </row>
    <row r="6082" spans="8:20" x14ac:dyDescent="0.35">
      <c r="H6082" s="711"/>
      <c r="I6082" s="711"/>
      <c r="J6082" s="711"/>
      <c r="K6082" s="711"/>
      <c r="L6082" s="711"/>
      <c r="Q6082" s="11"/>
      <c r="R6082" s="11"/>
      <c r="S6082" s="11"/>
      <c r="T6082" s="11"/>
    </row>
    <row r="6083" spans="8:20" x14ac:dyDescent="0.35">
      <c r="H6083" s="711"/>
      <c r="I6083" s="711"/>
      <c r="J6083" s="711"/>
      <c r="K6083" s="711"/>
      <c r="L6083" s="711"/>
      <c r="Q6083" s="11"/>
      <c r="R6083" s="11"/>
      <c r="S6083" s="11"/>
      <c r="T6083" s="11"/>
    </row>
    <row r="6084" spans="8:20" x14ac:dyDescent="0.35">
      <c r="H6084" s="711"/>
      <c r="I6084" s="711"/>
      <c r="J6084" s="711"/>
      <c r="K6084" s="711"/>
      <c r="L6084" s="711"/>
      <c r="Q6084" s="11"/>
      <c r="R6084" s="11"/>
      <c r="S6084" s="11"/>
      <c r="T6084" s="11"/>
    </row>
    <row r="6085" spans="8:20" x14ac:dyDescent="0.35">
      <c r="H6085" s="711"/>
      <c r="I6085" s="711"/>
      <c r="J6085" s="711"/>
      <c r="K6085" s="711"/>
      <c r="L6085" s="711"/>
      <c r="Q6085" s="11"/>
      <c r="R6085" s="11"/>
      <c r="S6085" s="11"/>
      <c r="T6085" s="11"/>
    </row>
    <row r="6086" spans="8:20" x14ac:dyDescent="0.35">
      <c r="H6086" s="711"/>
      <c r="I6086" s="711"/>
      <c r="J6086" s="711"/>
      <c r="K6086" s="711"/>
      <c r="L6086" s="711"/>
      <c r="Q6086" s="11"/>
      <c r="R6086" s="11"/>
      <c r="S6086" s="11"/>
      <c r="T6086" s="11"/>
    </row>
    <row r="6087" spans="8:20" x14ac:dyDescent="0.35">
      <c r="H6087" s="711"/>
      <c r="I6087" s="711"/>
      <c r="J6087" s="711"/>
      <c r="K6087" s="711"/>
      <c r="L6087" s="711"/>
      <c r="Q6087" s="11"/>
      <c r="R6087" s="11"/>
      <c r="S6087" s="11"/>
      <c r="T6087" s="11"/>
    </row>
    <row r="6088" spans="8:20" x14ac:dyDescent="0.35">
      <c r="H6088" s="711"/>
      <c r="I6088" s="711"/>
      <c r="J6088" s="711"/>
      <c r="K6088" s="711"/>
      <c r="L6088" s="711"/>
      <c r="Q6088" s="11"/>
      <c r="R6088" s="11"/>
      <c r="S6088" s="11"/>
      <c r="T6088" s="11"/>
    </row>
    <row r="6089" spans="8:20" x14ac:dyDescent="0.35">
      <c r="H6089" s="711"/>
      <c r="I6089" s="711"/>
      <c r="J6089" s="711"/>
      <c r="K6089" s="711"/>
      <c r="L6089" s="711"/>
      <c r="Q6089" s="11"/>
      <c r="R6089" s="11"/>
      <c r="S6089" s="11"/>
      <c r="T6089" s="11"/>
    </row>
    <row r="6090" spans="8:20" x14ac:dyDescent="0.35">
      <c r="H6090" s="711"/>
      <c r="I6090" s="711"/>
      <c r="J6090" s="711"/>
      <c r="K6090" s="711"/>
      <c r="L6090" s="711"/>
      <c r="Q6090" s="11"/>
      <c r="R6090" s="11"/>
      <c r="S6090" s="11"/>
      <c r="T6090" s="11"/>
    </row>
    <row r="6091" spans="8:20" x14ac:dyDescent="0.35">
      <c r="H6091" s="711"/>
      <c r="I6091" s="711"/>
      <c r="J6091" s="711"/>
      <c r="K6091" s="711"/>
      <c r="L6091" s="711"/>
      <c r="Q6091" s="11"/>
      <c r="R6091" s="11"/>
      <c r="S6091" s="11"/>
      <c r="T6091" s="11"/>
    </row>
    <row r="6092" spans="8:20" x14ac:dyDescent="0.35">
      <c r="H6092" s="711"/>
      <c r="I6092" s="711"/>
      <c r="J6092" s="711"/>
      <c r="K6092" s="711"/>
      <c r="L6092" s="711"/>
      <c r="Q6092" s="11"/>
      <c r="R6092" s="11"/>
      <c r="S6092" s="11"/>
      <c r="T6092" s="11"/>
    </row>
    <row r="6093" spans="8:20" x14ac:dyDescent="0.35">
      <c r="H6093" s="711"/>
      <c r="I6093" s="711"/>
      <c r="J6093" s="711"/>
      <c r="K6093" s="711"/>
      <c r="L6093" s="711"/>
      <c r="Q6093" s="11"/>
      <c r="R6093" s="11"/>
      <c r="S6093" s="11"/>
      <c r="T6093" s="11"/>
    </row>
    <row r="6094" spans="8:20" x14ac:dyDescent="0.35">
      <c r="H6094" s="711"/>
      <c r="I6094" s="711"/>
      <c r="J6094" s="711"/>
      <c r="K6094" s="711"/>
      <c r="L6094" s="711"/>
      <c r="Q6094" s="11"/>
      <c r="R6094" s="11"/>
      <c r="S6094" s="11"/>
      <c r="T6094" s="11"/>
    </row>
    <row r="6095" spans="8:20" x14ac:dyDescent="0.35">
      <c r="H6095" s="711"/>
      <c r="I6095" s="711"/>
      <c r="J6095" s="711"/>
      <c r="K6095" s="711"/>
      <c r="L6095" s="711"/>
      <c r="Q6095" s="11"/>
      <c r="R6095" s="11"/>
      <c r="S6095" s="11"/>
      <c r="T6095" s="11"/>
    </row>
    <row r="6096" spans="8:20" x14ac:dyDescent="0.35">
      <c r="H6096" s="711"/>
      <c r="I6096" s="711"/>
      <c r="J6096" s="711"/>
      <c r="K6096" s="711"/>
      <c r="L6096" s="711"/>
      <c r="Q6096" s="11"/>
      <c r="R6096" s="11"/>
      <c r="S6096" s="11"/>
      <c r="T6096" s="11"/>
    </row>
    <row r="6097" spans="8:20" x14ac:dyDescent="0.35">
      <c r="H6097" s="711"/>
      <c r="I6097" s="711"/>
      <c r="J6097" s="711"/>
      <c r="K6097" s="711"/>
      <c r="L6097" s="711"/>
      <c r="Q6097" s="11"/>
      <c r="R6097" s="11"/>
      <c r="S6097" s="11"/>
      <c r="T6097" s="11"/>
    </row>
    <row r="6098" spans="8:20" x14ac:dyDescent="0.35">
      <c r="H6098" s="711"/>
      <c r="I6098" s="711"/>
      <c r="J6098" s="711"/>
      <c r="K6098" s="711"/>
      <c r="L6098" s="711"/>
      <c r="Q6098" s="11"/>
      <c r="R6098" s="11"/>
      <c r="S6098" s="11"/>
      <c r="T6098" s="11"/>
    </row>
    <row r="6099" spans="8:20" x14ac:dyDescent="0.35">
      <c r="H6099" s="711"/>
      <c r="I6099" s="711"/>
      <c r="J6099" s="711"/>
      <c r="K6099" s="711"/>
      <c r="L6099" s="711"/>
      <c r="Q6099" s="11"/>
      <c r="R6099" s="11"/>
      <c r="S6099" s="11"/>
      <c r="T6099" s="11"/>
    </row>
    <row r="6100" spans="8:20" x14ac:dyDescent="0.35">
      <c r="H6100" s="711"/>
      <c r="I6100" s="711"/>
      <c r="J6100" s="711"/>
      <c r="K6100" s="711"/>
      <c r="L6100" s="711"/>
      <c r="Q6100" s="11"/>
      <c r="R6100" s="11"/>
      <c r="S6100" s="11"/>
      <c r="T6100" s="11"/>
    </row>
    <row r="6101" spans="8:20" x14ac:dyDescent="0.35">
      <c r="H6101" s="711"/>
      <c r="I6101" s="711"/>
      <c r="J6101" s="711"/>
      <c r="K6101" s="711"/>
      <c r="L6101" s="711"/>
      <c r="Q6101" s="11"/>
      <c r="R6101" s="11"/>
      <c r="S6101" s="11"/>
      <c r="T6101" s="11"/>
    </row>
    <row r="6102" spans="8:20" x14ac:dyDescent="0.35">
      <c r="H6102" s="711"/>
      <c r="I6102" s="711"/>
      <c r="J6102" s="711"/>
      <c r="K6102" s="711"/>
      <c r="L6102" s="711"/>
      <c r="Q6102" s="11"/>
      <c r="R6102" s="11"/>
      <c r="S6102" s="11"/>
      <c r="T6102" s="11"/>
    </row>
    <row r="6103" spans="8:20" x14ac:dyDescent="0.35">
      <c r="H6103" s="711"/>
      <c r="I6103" s="711"/>
      <c r="J6103" s="711"/>
      <c r="K6103" s="711"/>
      <c r="L6103" s="711"/>
      <c r="Q6103" s="11"/>
      <c r="R6103" s="11"/>
      <c r="S6103" s="11"/>
      <c r="T6103" s="11"/>
    </row>
    <row r="6104" spans="8:20" x14ac:dyDescent="0.35">
      <c r="H6104" s="711"/>
      <c r="I6104" s="711"/>
      <c r="J6104" s="711"/>
      <c r="K6104" s="711"/>
      <c r="L6104" s="711"/>
      <c r="Q6104" s="11"/>
      <c r="R6104" s="11"/>
      <c r="S6104" s="11"/>
      <c r="T6104" s="11"/>
    </row>
    <row r="6105" spans="8:20" x14ac:dyDescent="0.35">
      <c r="H6105" s="711"/>
      <c r="I6105" s="711"/>
      <c r="J6105" s="711"/>
      <c r="K6105" s="711"/>
      <c r="L6105" s="711"/>
      <c r="Q6105" s="11"/>
      <c r="R6105" s="11"/>
      <c r="S6105" s="11"/>
      <c r="T6105" s="11"/>
    </row>
    <row r="6106" spans="8:20" x14ac:dyDescent="0.35">
      <c r="H6106" s="711"/>
      <c r="I6106" s="711"/>
      <c r="J6106" s="711"/>
      <c r="K6106" s="711"/>
      <c r="L6106" s="711"/>
      <c r="Q6106" s="11"/>
      <c r="R6106" s="11"/>
      <c r="S6106" s="11"/>
      <c r="T6106" s="11"/>
    </row>
    <row r="6107" spans="8:20" x14ac:dyDescent="0.35">
      <c r="H6107" s="711"/>
      <c r="I6107" s="711"/>
      <c r="J6107" s="711"/>
      <c r="K6107" s="711"/>
      <c r="L6107" s="711"/>
      <c r="Q6107" s="11"/>
      <c r="R6107" s="11"/>
      <c r="S6107" s="11"/>
      <c r="T6107" s="11"/>
    </row>
    <row r="6108" spans="8:20" x14ac:dyDescent="0.35">
      <c r="H6108" s="711"/>
      <c r="I6108" s="711"/>
      <c r="J6108" s="711"/>
      <c r="K6108" s="711"/>
      <c r="L6108" s="711"/>
      <c r="Q6108" s="11"/>
      <c r="R6108" s="11"/>
      <c r="S6108" s="11"/>
      <c r="T6108" s="11"/>
    </row>
    <row r="6109" spans="8:20" x14ac:dyDescent="0.35">
      <c r="H6109" s="711"/>
      <c r="I6109" s="711"/>
      <c r="J6109" s="711"/>
      <c r="K6109" s="711"/>
      <c r="L6109" s="711"/>
      <c r="Q6109" s="11"/>
      <c r="R6109" s="11"/>
      <c r="S6109" s="11"/>
      <c r="T6109" s="11"/>
    </row>
    <row r="6110" spans="8:20" x14ac:dyDescent="0.35">
      <c r="H6110" s="711"/>
      <c r="I6110" s="711"/>
      <c r="J6110" s="711"/>
      <c r="K6110" s="711"/>
      <c r="L6110" s="711"/>
      <c r="Q6110" s="11"/>
      <c r="R6110" s="11"/>
      <c r="S6110" s="11"/>
      <c r="T6110" s="11"/>
    </row>
    <row r="6111" spans="8:20" x14ac:dyDescent="0.35">
      <c r="H6111" s="711"/>
      <c r="I6111" s="711"/>
      <c r="J6111" s="711"/>
      <c r="K6111" s="711"/>
      <c r="L6111" s="711"/>
      <c r="Q6111" s="11"/>
      <c r="R6111" s="11"/>
      <c r="S6111" s="11"/>
      <c r="T6111" s="11"/>
    </row>
    <row r="6112" spans="8:20" x14ac:dyDescent="0.35">
      <c r="H6112" s="711"/>
      <c r="I6112" s="711"/>
      <c r="J6112" s="711"/>
      <c r="K6112" s="711"/>
      <c r="L6112" s="711"/>
      <c r="Q6112" s="11"/>
      <c r="R6112" s="11"/>
      <c r="S6112" s="11"/>
      <c r="T6112" s="11"/>
    </row>
    <row r="6113" spans="8:20" x14ac:dyDescent="0.35">
      <c r="H6113" s="711"/>
      <c r="I6113" s="711"/>
      <c r="J6113" s="711"/>
      <c r="K6113" s="711"/>
      <c r="L6113" s="711"/>
      <c r="Q6113" s="11"/>
      <c r="R6113" s="11"/>
      <c r="S6113" s="11"/>
      <c r="T6113" s="11"/>
    </row>
    <row r="6114" spans="8:20" x14ac:dyDescent="0.35">
      <c r="H6114" s="711"/>
      <c r="I6114" s="711"/>
      <c r="J6114" s="711"/>
      <c r="K6114" s="711"/>
      <c r="L6114" s="711"/>
      <c r="Q6114" s="11"/>
      <c r="R6114" s="11"/>
      <c r="S6114" s="11"/>
      <c r="T6114" s="11"/>
    </row>
    <row r="6115" spans="8:20" x14ac:dyDescent="0.35">
      <c r="H6115" s="711"/>
      <c r="I6115" s="711"/>
      <c r="J6115" s="711"/>
      <c r="K6115" s="711"/>
      <c r="L6115" s="711"/>
      <c r="Q6115" s="11"/>
      <c r="R6115" s="11"/>
      <c r="S6115" s="11"/>
      <c r="T6115" s="11"/>
    </row>
    <row r="6116" spans="8:20" x14ac:dyDescent="0.35">
      <c r="H6116" s="711"/>
      <c r="I6116" s="711"/>
      <c r="J6116" s="711"/>
      <c r="K6116" s="711"/>
      <c r="L6116" s="711"/>
      <c r="Q6116" s="11"/>
      <c r="R6116" s="11"/>
      <c r="S6116" s="11"/>
      <c r="T6116" s="11"/>
    </row>
    <row r="6117" spans="8:20" x14ac:dyDescent="0.35">
      <c r="H6117" s="711"/>
      <c r="I6117" s="711"/>
      <c r="J6117" s="711"/>
      <c r="K6117" s="711"/>
      <c r="L6117" s="711"/>
      <c r="Q6117" s="11"/>
      <c r="R6117" s="11"/>
      <c r="S6117" s="11"/>
      <c r="T6117" s="11"/>
    </row>
    <row r="6118" spans="8:20" x14ac:dyDescent="0.35">
      <c r="H6118" s="711"/>
      <c r="I6118" s="711"/>
      <c r="J6118" s="711"/>
      <c r="K6118" s="711"/>
      <c r="L6118" s="711"/>
      <c r="Q6118" s="11"/>
      <c r="R6118" s="11"/>
      <c r="S6118" s="11"/>
      <c r="T6118" s="11"/>
    </row>
    <row r="6119" spans="8:20" x14ac:dyDescent="0.35">
      <c r="H6119" s="711"/>
      <c r="I6119" s="711"/>
      <c r="J6119" s="711"/>
      <c r="K6119" s="711"/>
      <c r="L6119" s="711"/>
      <c r="Q6119" s="11"/>
      <c r="R6119" s="11"/>
      <c r="S6119" s="11"/>
      <c r="T6119" s="11"/>
    </row>
    <row r="6120" spans="8:20" x14ac:dyDescent="0.35">
      <c r="H6120" s="711"/>
      <c r="I6120" s="711"/>
      <c r="J6120" s="711"/>
      <c r="K6120" s="711"/>
      <c r="L6120" s="711"/>
      <c r="Q6120" s="11"/>
      <c r="R6120" s="11"/>
      <c r="S6120" s="11"/>
      <c r="T6120" s="11"/>
    </row>
    <row r="6121" spans="8:20" x14ac:dyDescent="0.35">
      <c r="H6121" s="711"/>
      <c r="I6121" s="711"/>
      <c r="J6121" s="711"/>
      <c r="K6121" s="711"/>
      <c r="L6121" s="711"/>
      <c r="Q6121" s="11"/>
      <c r="R6121" s="11"/>
      <c r="S6121" s="11"/>
      <c r="T6121" s="11"/>
    </row>
    <row r="6122" spans="8:20" x14ac:dyDescent="0.35">
      <c r="H6122" s="711"/>
      <c r="I6122" s="711"/>
      <c r="J6122" s="711"/>
      <c r="K6122" s="711"/>
      <c r="L6122" s="711"/>
      <c r="Q6122" s="11"/>
      <c r="R6122" s="11"/>
      <c r="S6122" s="11"/>
      <c r="T6122" s="11"/>
    </row>
    <row r="6123" spans="8:20" x14ac:dyDescent="0.35">
      <c r="H6123" s="711"/>
      <c r="I6123" s="711"/>
      <c r="J6123" s="711"/>
      <c r="K6123" s="711"/>
      <c r="L6123" s="711"/>
      <c r="Q6123" s="11"/>
      <c r="R6123" s="11"/>
      <c r="S6123" s="11"/>
      <c r="T6123" s="11"/>
    </row>
    <row r="6124" spans="8:20" x14ac:dyDescent="0.35">
      <c r="H6124" s="711"/>
      <c r="I6124" s="711"/>
      <c r="J6124" s="711"/>
      <c r="K6124" s="711"/>
      <c r="L6124" s="711"/>
      <c r="Q6124" s="11"/>
      <c r="R6124" s="11"/>
      <c r="S6124" s="11"/>
      <c r="T6124" s="11"/>
    </row>
    <row r="6125" spans="8:20" x14ac:dyDescent="0.35">
      <c r="H6125" s="711"/>
      <c r="I6125" s="711"/>
      <c r="J6125" s="711"/>
      <c r="K6125" s="711"/>
      <c r="L6125" s="711"/>
      <c r="Q6125" s="11"/>
      <c r="R6125" s="11"/>
      <c r="S6125" s="11"/>
      <c r="T6125" s="11"/>
    </row>
    <row r="6126" spans="8:20" x14ac:dyDescent="0.35">
      <c r="H6126" s="711"/>
      <c r="I6126" s="711"/>
      <c r="J6126" s="711"/>
      <c r="K6126" s="711"/>
      <c r="L6126" s="711"/>
      <c r="Q6126" s="11"/>
      <c r="R6126" s="11"/>
      <c r="S6126" s="11"/>
      <c r="T6126" s="11"/>
    </row>
    <row r="6127" spans="8:20" x14ac:dyDescent="0.35">
      <c r="H6127" s="711"/>
      <c r="I6127" s="711"/>
      <c r="J6127" s="711"/>
      <c r="K6127" s="711"/>
      <c r="L6127" s="711"/>
      <c r="Q6127" s="11"/>
      <c r="R6127" s="11"/>
      <c r="S6127" s="11"/>
      <c r="T6127" s="11"/>
    </row>
    <row r="6128" spans="8:20" x14ac:dyDescent="0.35">
      <c r="H6128" s="711"/>
      <c r="I6128" s="711"/>
      <c r="J6128" s="711"/>
      <c r="K6128" s="711"/>
      <c r="L6128" s="711"/>
      <c r="Q6128" s="11"/>
      <c r="R6128" s="11"/>
      <c r="S6128" s="11"/>
      <c r="T6128" s="11"/>
    </row>
    <row r="6129" spans="8:20" x14ac:dyDescent="0.35">
      <c r="H6129" s="711"/>
      <c r="I6129" s="711"/>
      <c r="J6129" s="711"/>
      <c r="K6129" s="711"/>
      <c r="L6129" s="711"/>
      <c r="Q6129" s="11"/>
      <c r="R6129" s="11"/>
      <c r="S6129" s="11"/>
      <c r="T6129" s="11"/>
    </row>
    <row r="6130" spans="8:20" x14ac:dyDescent="0.35">
      <c r="H6130" s="711"/>
      <c r="I6130" s="711"/>
      <c r="J6130" s="711"/>
      <c r="K6130" s="711"/>
      <c r="L6130" s="711"/>
      <c r="Q6130" s="11"/>
      <c r="R6130" s="11"/>
      <c r="S6130" s="11"/>
      <c r="T6130" s="11"/>
    </row>
    <row r="6131" spans="8:20" x14ac:dyDescent="0.35">
      <c r="H6131" s="711"/>
      <c r="I6131" s="711"/>
      <c r="J6131" s="711"/>
      <c r="K6131" s="711"/>
      <c r="L6131" s="711"/>
      <c r="Q6131" s="11"/>
      <c r="R6131" s="11"/>
      <c r="S6131" s="11"/>
      <c r="T6131" s="11"/>
    </row>
    <row r="6132" spans="8:20" x14ac:dyDescent="0.35">
      <c r="H6132" s="711"/>
      <c r="I6132" s="711"/>
      <c r="J6132" s="711"/>
      <c r="K6132" s="711"/>
      <c r="L6132" s="711"/>
      <c r="Q6132" s="11"/>
      <c r="R6132" s="11"/>
      <c r="S6132" s="11"/>
      <c r="T6132" s="11"/>
    </row>
    <row r="6133" spans="8:20" x14ac:dyDescent="0.35">
      <c r="H6133" s="711"/>
      <c r="I6133" s="711"/>
      <c r="J6133" s="711"/>
      <c r="K6133" s="711"/>
      <c r="L6133" s="711"/>
      <c r="Q6133" s="11"/>
      <c r="R6133" s="11"/>
      <c r="S6133" s="11"/>
      <c r="T6133" s="11"/>
    </row>
    <row r="6134" spans="8:20" x14ac:dyDescent="0.35">
      <c r="H6134" s="711"/>
      <c r="I6134" s="711"/>
      <c r="J6134" s="711"/>
      <c r="K6134" s="711"/>
      <c r="L6134" s="711"/>
      <c r="Q6134" s="11"/>
      <c r="R6134" s="11"/>
      <c r="S6134" s="11"/>
      <c r="T6134" s="11"/>
    </row>
    <row r="6135" spans="8:20" x14ac:dyDescent="0.35">
      <c r="H6135" s="711"/>
      <c r="I6135" s="711"/>
      <c r="J6135" s="711"/>
      <c r="K6135" s="711"/>
      <c r="L6135" s="711"/>
      <c r="Q6135" s="11"/>
      <c r="R6135" s="11"/>
      <c r="S6135" s="11"/>
      <c r="T6135" s="11"/>
    </row>
    <row r="6136" spans="8:20" x14ac:dyDescent="0.35">
      <c r="H6136" s="711"/>
      <c r="I6136" s="711"/>
      <c r="J6136" s="711"/>
      <c r="K6136" s="711"/>
      <c r="L6136" s="711"/>
      <c r="Q6136" s="11"/>
      <c r="R6136" s="11"/>
      <c r="S6136" s="11"/>
      <c r="T6136" s="11"/>
    </row>
    <row r="6137" spans="8:20" x14ac:dyDescent="0.35">
      <c r="H6137" s="711"/>
      <c r="I6137" s="711"/>
      <c r="J6137" s="711"/>
      <c r="K6137" s="711"/>
      <c r="L6137" s="711"/>
      <c r="Q6137" s="11"/>
      <c r="R6137" s="11"/>
      <c r="S6137" s="11"/>
      <c r="T6137" s="11"/>
    </row>
    <row r="6138" spans="8:20" x14ac:dyDescent="0.35">
      <c r="H6138" s="711"/>
      <c r="I6138" s="711"/>
      <c r="J6138" s="711"/>
      <c r="K6138" s="711"/>
      <c r="L6138" s="711"/>
      <c r="Q6138" s="11"/>
      <c r="R6138" s="11"/>
      <c r="S6138" s="11"/>
      <c r="T6138" s="11"/>
    </row>
    <row r="6139" spans="8:20" x14ac:dyDescent="0.35">
      <c r="H6139" s="711"/>
      <c r="I6139" s="711"/>
      <c r="J6139" s="711"/>
      <c r="K6139" s="711"/>
      <c r="L6139" s="711"/>
      <c r="Q6139" s="11"/>
      <c r="R6139" s="11"/>
      <c r="S6139" s="11"/>
      <c r="T6139" s="11"/>
    </row>
    <row r="6140" spans="8:20" x14ac:dyDescent="0.35">
      <c r="H6140" s="711"/>
      <c r="I6140" s="711"/>
      <c r="J6140" s="711"/>
      <c r="K6140" s="711"/>
      <c r="L6140" s="711"/>
      <c r="Q6140" s="11"/>
      <c r="R6140" s="11"/>
      <c r="S6140" s="11"/>
      <c r="T6140" s="11"/>
    </row>
    <row r="6141" spans="8:20" x14ac:dyDescent="0.35">
      <c r="H6141" s="711"/>
      <c r="I6141" s="711"/>
      <c r="J6141" s="711"/>
      <c r="K6141" s="711"/>
      <c r="L6141" s="711"/>
      <c r="Q6141" s="11"/>
      <c r="R6141" s="11"/>
      <c r="S6141" s="11"/>
      <c r="T6141" s="11"/>
    </row>
    <row r="6142" spans="8:20" x14ac:dyDescent="0.35">
      <c r="H6142" s="711"/>
      <c r="I6142" s="711"/>
      <c r="J6142" s="711"/>
      <c r="K6142" s="711"/>
      <c r="L6142" s="711"/>
      <c r="Q6142" s="11"/>
      <c r="R6142" s="11"/>
      <c r="S6142" s="11"/>
      <c r="T6142" s="11"/>
    </row>
    <row r="6143" spans="8:20" x14ac:dyDescent="0.35">
      <c r="H6143" s="711"/>
      <c r="I6143" s="711"/>
      <c r="J6143" s="711"/>
      <c r="K6143" s="711"/>
      <c r="L6143" s="711"/>
      <c r="Q6143" s="11"/>
      <c r="R6143" s="11"/>
      <c r="S6143" s="11"/>
      <c r="T6143" s="11"/>
    </row>
    <row r="6144" spans="8:20" x14ac:dyDescent="0.35">
      <c r="H6144" s="711"/>
      <c r="I6144" s="711"/>
      <c r="J6144" s="711"/>
      <c r="K6144" s="711"/>
      <c r="L6144" s="711"/>
      <c r="Q6144" s="11"/>
      <c r="R6144" s="11"/>
      <c r="S6144" s="11"/>
      <c r="T6144" s="11"/>
    </row>
    <row r="6145" spans="8:20" x14ac:dyDescent="0.35">
      <c r="H6145" s="711"/>
      <c r="I6145" s="711"/>
      <c r="J6145" s="711"/>
      <c r="K6145" s="711"/>
      <c r="L6145" s="711"/>
      <c r="Q6145" s="11"/>
      <c r="R6145" s="11"/>
      <c r="S6145" s="11"/>
      <c r="T6145" s="11"/>
    </row>
    <row r="6146" spans="8:20" x14ac:dyDescent="0.35">
      <c r="H6146" s="711"/>
      <c r="I6146" s="711"/>
      <c r="J6146" s="711"/>
      <c r="K6146" s="711"/>
      <c r="L6146" s="711"/>
      <c r="Q6146" s="11"/>
      <c r="R6146" s="11"/>
      <c r="S6146" s="11"/>
      <c r="T6146" s="11"/>
    </row>
    <row r="6147" spans="8:20" x14ac:dyDescent="0.35">
      <c r="H6147" s="711"/>
      <c r="I6147" s="711"/>
      <c r="J6147" s="711"/>
      <c r="K6147" s="711"/>
      <c r="L6147" s="711"/>
      <c r="Q6147" s="11"/>
      <c r="R6147" s="11"/>
      <c r="S6147" s="11"/>
      <c r="T6147" s="11"/>
    </row>
    <row r="6148" spans="8:20" x14ac:dyDescent="0.35">
      <c r="H6148" s="711"/>
      <c r="I6148" s="711"/>
      <c r="J6148" s="711"/>
      <c r="K6148" s="711"/>
      <c r="L6148" s="711"/>
      <c r="Q6148" s="11"/>
      <c r="R6148" s="11"/>
      <c r="S6148" s="11"/>
      <c r="T6148" s="11"/>
    </row>
    <row r="6149" spans="8:20" x14ac:dyDescent="0.35">
      <c r="H6149" s="711"/>
      <c r="I6149" s="711"/>
      <c r="J6149" s="711"/>
      <c r="K6149" s="711"/>
      <c r="L6149" s="711"/>
      <c r="Q6149" s="11"/>
      <c r="R6149" s="11"/>
      <c r="S6149" s="11"/>
      <c r="T6149" s="11"/>
    </row>
    <row r="6150" spans="8:20" x14ac:dyDescent="0.35">
      <c r="H6150" s="711"/>
      <c r="I6150" s="711"/>
      <c r="J6150" s="711"/>
      <c r="K6150" s="711"/>
      <c r="L6150" s="711"/>
      <c r="Q6150" s="11"/>
      <c r="R6150" s="11"/>
      <c r="S6150" s="11"/>
      <c r="T6150" s="11"/>
    </row>
    <row r="6151" spans="8:20" x14ac:dyDescent="0.35">
      <c r="H6151" s="711"/>
      <c r="I6151" s="711"/>
      <c r="J6151" s="711"/>
      <c r="K6151" s="711"/>
      <c r="L6151" s="711"/>
      <c r="Q6151" s="11"/>
      <c r="R6151" s="11"/>
      <c r="S6151" s="11"/>
      <c r="T6151" s="11"/>
    </row>
    <row r="6152" spans="8:20" x14ac:dyDescent="0.35">
      <c r="H6152" s="711"/>
      <c r="I6152" s="711"/>
      <c r="J6152" s="711"/>
      <c r="K6152" s="711"/>
      <c r="L6152" s="711"/>
      <c r="Q6152" s="11"/>
      <c r="R6152" s="11"/>
      <c r="S6152" s="11"/>
      <c r="T6152" s="11"/>
    </row>
    <row r="6153" spans="8:20" x14ac:dyDescent="0.35">
      <c r="H6153" s="711"/>
      <c r="I6153" s="711"/>
      <c r="J6153" s="711"/>
      <c r="K6153" s="711"/>
      <c r="L6153" s="711"/>
      <c r="Q6153" s="11"/>
      <c r="R6153" s="11"/>
      <c r="S6153" s="11"/>
      <c r="T6153" s="11"/>
    </row>
    <row r="6154" spans="8:20" x14ac:dyDescent="0.35">
      <c r="H6154" s="711"/>
      <c r="I6154" s="711"/>
      <c r="J6154" s="711"/>
      <c r="K6154" s="711"/>
      <c r="L6154" s="711"/>
      <c r="Q6154" s="11"/>
      <c r="R6154" s="11"/>
      <c r="S6154" s="11"/>
      <c r="T6154" s="11"/>
    </row>
    <row r="6155" spans="8:20" x14ac:dyDescent="0.35">
      <c r="H6155" s="711"/>
      <c r="I6155" s="711"/>
      <c r="J6155" s="711"/>
      <c r="K6155" s="711"/>
      <c r="L6155" s="711"/>
      <c r="Q6155" s="11"/>
      <c r="R6155" s="11"/>
      <c r="S6155" s="11"/>
      <c r="T6155" s="11"/>
    </row>
    <row r="6156" spans="8:20" x14ac:dyDescent="0.35">
      <c r="H6156" s="711"/>
      <c r="I6156" s="711"/>
      <c r="J6156" s="711"/>
      <c r="K6156" s="711"/>
      <c r="L6156" s="711"/>
      <c r="Q6156" s="11"/>
      <c r="R6156" s="11"/>
      <c r="S6156" s="11"/>
      <c r="T6156" s="11"/>
    </row>
    <row r="6157" spans="8:20" x14ac:dyDescent="0.35">
      <c r="H6157" s="711"/>
      <c r="I6157" s="711"/>
      <c r="J6157" s="711"/>
      <c r="K6157" s="711"/>
      <c r="L6157" s="711"/>
      <c r="Q6157" s="11"/>
      <c r="R6157" s="11"/>
      <c r="S6157" s="11"/>
      <c r="T6157" s="11"/>
    </row>
    <row r="6158" spans="8:20" x14ac:dyDescent="0.35">
      <c r="H6158" s="711"/>
      <c r="I6158" s="711"/>
      <c r="J6158" s="711"/>
      <c r="K6158" s="711"/>
      <c r="L6158" s="711"/>
      <c r="Q6158" s="11"/>
      <c r="R6158" s="11"/>
      <c r="S6158" s="11"/>
      <c r="T6158" s="11"/>
    </row>
    <row r="6159" spans="8:20" x14ac:dyDescent="0.35">
      <c r="H6159" s="711"/>
      <c r="I6159" s="711"/>
      <c r="J6159" s="711"/>
      <c r="K6159" s="711"/>
      <c r="L6159" s="711"/>
      <c r="Q6159" s="11"/>
      <c r="R6159" s="11"/>
      <c r="S6159" s="11"/>
      <c r="T6159" s="11"/>
    </row>
    <row r="6160" spans="8:20" x14ac:dyDescent="0.35">
      <c r="H6160" s="711"/>
      <c r="I6160" s="711"/>
      <c r="J6160" s="711"/>
      <c r="K6160" s="711"/>
      <c r="L6160" s="711"/>
      <c r="Q6160" s="11"/>
      <c r="R6160" s="11"/>
      <c r="S6160" s="11"/>
      <c r="T6160" s="11"/>
    </row>
    <row r="6161" spans="8:20" x14ac:dyDescent="0.35">
      <c r="H6161" s="711"/>
      <c r="I6161" s="711"/>
      <c r="J6161" s="711"/>
      <c r="K6161" s="711"/>
      <c r="L6161" s="711"/>
      <c r="Q6161" s="11"/>
      <c r="R6161" s="11"/>
      <c r="S6161" s="11"/>
      <c r="T6161" s="11"/>
    </row>
    <row r="6162" spans="8:20" x14ac:dyDescent="0.35">
      <c r="H6162" s="711"/>
      <c r="I6162" s="711"/>
      <c r="J6162" s="711"/>
      <c r="K6162" s="711"/>
      <c r="L6162" s="711"/>
      <c r="Q6162" s="11"/>
      <c r="R6162" s="11"/>
      <c r="S6162" s="11"/>
      <c r="T6162" s="11"/>
    </row>
    <row r="6163" spans="8:20" x14ac:dyDescent="0.35">
      <c r="H6163" s="711"/>
      <c r="I6163" s="711"/>
      <c r="J6163" s="711"/>
      <c r="K6163" s="711"/>
      <c r="L6163" s="711"/>
      <c r="Q6163" s="11"/>
      <c r="R6163" s="11"/>
      <c r="S6163" s="11"/>
      <c r="T6163" s="11"/>
    </row>
    <row r="6164" spans="8:20" x14ac:dyDescent="0.35">
      <c r="H6164" s="711"/>
      <c r="I6164" s="711"/>
      <c r="J6164" s="711"/>
      <c r="K6164" s="711"/>
      <c r="L6164" s="711"/>
      <c r="Q6164" s="11"/>
      <c r="R6164" s="11"/>
      <c r="S6164" s="11"/>
      <c r="T6164" s="11"/>
    </row>
    <row r="6165" spans="8:20" x14ac:dyDescent="0.35">
      <c r="H6165" s="711"/>
      <c r="I6165" s="711"/>
      <c r="J6165" s="711"/>
      <c r="K6165" s="711"/>
      <c r="L6165" s="711"/>
      <c r="Q6165" s="11"/>
      <c r="R6165" s="11"/>
      <c r="S6165" s="11"/>
      <c r="T6165" s="11"/>
    </row>
    <row r="6166" spans="8:20" x14ac:dyDescent="0.35">
      <c r="H6166" s="711"/>
      <c r="I6166" s="711"/>
      <c r="J6166" s="711"/>
      <c r="K6166" s="711"/>
      <c r="L6166" s="711"/>
      <c r="Q6166" s="11"/>
      <c r="R6166" s="11"/>
      <c r="S6166" s="11"/>
      <c r="T6166" s="11"/>
    </row>
    <row r="6167" spans="8:20" x14ac:dyDescent="0.35">
      <c r="H6167" s="711"/>
      <c r="I6167" s="711"/>
      <c r="J6167" s="711"/>
      <c r="K6167" s="711"/>
      <c r="L6167" s="711"/>
      <c r="Q6167" s="11"/>
      <c r="R6167" s="11"/>
      <c r="S6167" s="11"/>
      <c r="T6167" s="11"/>
    </row>
    <row r="6168" spans="8:20" x14ac:dyDescent="0.35">
      <c r="H6168" s="711"/>
      <c r="I6168" s="711"/>
      <c r="J6168" s="711"/>
      <c r="K6168" s="711"/>
      <c r="L6168" s="711"/>
      <c r="Q6168" s="11"/>
      <c r="R6168" s="11"/>
      <c r="S6168" s="11"/>
      <c r="T6168" s="11"/>
    </row>
    <row r="6169" spans="8:20" x14ac:dyDescent="0.35">
      <c r="H6169" s="711"/>
      <c r="I6169" s="711"/>
      <c r="J6169" s="711"/>
      <c r="K6169" s="711"/>
      <c r="L6169" s="711"/>
      <c r="Q6169" s="11"/>
      <c r="R6169" s="11"/>
      <c r="S6169" s="11"/>
      <c r="T6169" s="11"/>
    </row>
    <row r="6170" spans="8:20" x14ac:dyDescent="0.35">
      <c r="H6170" s="711"/>
      <c r="I6170" s="711"/>
      <c r="J6170" s="711"/>
      <c r="K6170" s="711"/>
      <c r="L6170" s="711"/>
      <c r="Q6170" s="11"/>
      <c r="R6170" s="11"/>
      <c r="S6170" s="11"/>
      <c r="T6170" s="11"/>
    </row>
    <row r="6171" spans="8:20" x14ac:dyDescent="0.35">
      <c r="H6171" s="711"/>
      <c r="I6171" s="711"/>
      <c r="J6171" s="711"/>
      <c r="K6171" s="711"/>
      <c r="L6171" s="711"/>
      <c r="Q6171" s="11"/>
      <c r="R6171" s="11"/>
      <c r="S6171" s="11"/>
      <c r="T6171" s="11"/>
    </row>
    <row r="6172" spans="8:20" x14ac:dyDescent="0.35">
      <c r="H6172" s="711"/>
      <c r="I6172" s="711"/>
      <c r="J6172" s="711"/>
      <c r="K6172" s="711"/>
      <c r="L6172" s="711"/>
      <c r="Q6172" s="11"/>
      <c r="R6172" s="11"/>
      <c r="S6172" s="11"/>
      <c r="T6172" s="11"/>
    </row>
    <row r="6173" spans="8:20" x14ac:dyDescent="0.35">
      <c r="H6173" s="711"/>
      <c r="I6173" s="711"/>
      <c r="J6173" s="711"/>
      <c r="K6173" s="711"/>
      <c r="L6173" s="711"/>
      <c r="Q6173" s="11"/>
      <c r="R6173" s="11"/>
      <c r="S6173" s="11"/>
      <c r="T6173" s="11"/>
    </row>
    <row r="6174" spans="8:20" x14ac:dyDescent="0.35">
      <c r="H6174" s="711"/>
      <c r="I6174" s="711"/>
      <c r="J6174" s="711"/>
      <c r="K6174" s="711"/>
      <c r="L6174" s="711"/>
      <c r="Q6174" s="11"/>
      <c r="R6174" s="11"/>
      <c r="S6174" s="11"/>
      <c r="T6174" s="11"/>
    </row>
    <row r="6175" spans="8:20" x14ac:dyDescent="0.35">
      <c r="H6175" s="711"/>
      <c r="I6175" s="711"/>
      <c r="J6175" s="711"/>
      <c r="K6175" s="711"/>
      <c r="L6175" s="711"/>
      <c r="Q6175" s="11"/>
      <c r="R6175" s="11"/>
      <c r="S6175" s="11"/>
      <c r="T6175" s="11"/>
    </row>
    <row r="6176" spans="8:20" x14ac:dyDescent="0.35">
      <c r="H6176" s="711"/>
      <c r="I6176" s="711"/>
      <c r="J6176" s="711"/>
      <c r="K6176" s="711"/>
      <c r="L6176" s="711"/>
      <c r="Q6176" s="11"/>
      <c r="R6176" s="11"/>
      <c r="S6176" s="11"/>
      <c r="T6176" s="11"/>
    </row>
    <row r="6177" spans="8:20" x14ac:dyDescent="0.35">
      <c r="H6177" s="711"/>
      <c r="I6177" s="711"/>
      <c r="J6177" s="711"/>
      <c r="K6177" s="711"/>
      <c r="L6177" s="711"/>
      <c r="Q6177" s="11"/>
      <c r="R6177" s="11"/>
      <c r="S6177" s="11"/>
      <c r="T6177" s="11"/>
    </row>
    <row r="6178" spans="8:20" x14ac:dyDescent="0.35">
      <c r="H6178" s="711"/>
      <c r="I6178" s="711"/>
      <c r="J6178" s="711"/>
      <c r="K6178" s="711"/>
      <c r="L6178" s="711"/>
      <c r="Q6178" s="11"/>
      <c r="R6178" s="11"/>
      <c r="S6178" s="11"/>
      <c r="T6178" s="11"/>
    </row>
    <row r="6179" spans="8:20" x14ac:dyDescent="0.35">
      <c r="H6179" s="711"/>
      <c r="I6179" s="711"/>
      <c r="J6179" s="711"/>
      <c r="K6179" s="711"/>
      <c r="L6179" s="711"/>
      <c r="Q6179" s="11"/>
      <c r="R6179" s="11"/>
      <c r="S6179" s="11"/>
      <c r="T6179" s="11"/>
    </row>
    <row r="6180" spans="8:20" x14ac:dyDescent="0.35">
      <c r="H6180" s="711"/>
      <c r="I6180" s="711"/>
      <c r="J6180" s="711"/>
      <c r="K6180" s="711"/>
      <c r="L6180" s="711"/>
      <c r="Q6180" s="11"/>
      <c r="R6180" s="11"/>
      <c r="S6180" s="11"/>
      <c r="T6180" s="11"/>
    </row>
    <row r="6181" spans="8:20" x14ac:dyDescent="0.35">
      <c r="H6181" s="711"/>
      <c r="I6181" s="711"/>
      <c r="J6181" s="711"/>
      <c r="K6181" s="711"/>
      <c r="L6181" s="711"/>
      <c r="Q6181" s="11"/>
      <c r="R6181" s="11"/>
      <c r="S6181" s="11"/>
      <c r="T6181" s="11"/>
    </row>
    <row r="6182" spans="8:20" x14ac:dyDescent="0.35">
      <c r="H6182" s="711"/>
      <c r="I6182" s="711"/>
      <c r="J6182" s="711"/>
      <c r="K6182" s="711"/>
      <c r="L6182" s="711"/>
      <c r="Q6182" s="11"/>
      <c r="R6182" s="11"/>
      <c r="S6182" s="11"/>
      <c r="T6182" s="11"/>
    </row>
    <row r="6183" spans="8:20" x14ac:dyDescent="0.35">
      <c r="H6183" s="711"/>
      <c r="I6183" s="711"/>
      <c r="J6183" s="711"/>
      <c r="K6183" s="711"/>
      <c r="L6183" s="711"/>
      <c r="Q6183" s="11"/>
      <c r="R6183" s="11"/>
      <c r="S6183" s="11"/>
      <c r="T6183" s="11"/>
    </row>
    <row r="6184" spans="8:20" x14ac:dyDescent="0.35">
      <c r="H6184" s="711"/>
      <c r="I6184" s="711"/>
      <c r="J6184" s="711"/>
      <c r="K6184" s="711"/>
      <c r="L6184" s="711"/>
      <c r="Q6184" s="11"/>
      <c r="R6184" s="11"/>
      <c r="S6184" s="11"/>
      <c r="T6184" s="11"/>
    </row>
    <row r="6185" spans="8:20" x14ac:dyDescent="0.35">
      <c r="H6185" s="711"/>
      <c r="I6185" s="711"/>
      <c r="J6185" s="711"/>
      <c r="K6185" s="711"/>
      <c r="L6185" s="711"/>
      <c r="Q6185" s="11"/>
      <c r="R6185" s="11"/>
      <c r="S6185" s="11"/>
      <c r="T6185" s="11"/>
    </row>
    <row r="6186" spans="8:20" x14ac:dyDescent="0.35">
      <c r="H6186" s="711"/>
      <c r="I6186" s="711"/>
      <c r="J6186" s="711"/>
      <c r="K6186" s="711"/>
      <c r="L6186" s="711"/>
      <c r="Q6186" s="11"/>
      <c r="R6186" s="11"/>
      <c r="S6186" s="11"/>
      <c r="T6186" s="11"/>
    </row>
    <row r="6187" spans="8:20" x14ac:dyDescent="0.35">
      <c r="H6187" s="711"/>
      <c r="I6187" s="711"/>
      <c r="J6187" s="711"/>
      <c r="K6187" s="711"/>
      <c r="L6187" s="711"/>
      <c r="Q6187" s="11"/>
      <c r="R6187" s="11"/>
      <c r="S6187" s="11"/>
      <c r="T6187" s="11"/>
    </row>
    <row r="6188" spans="8:20" x14ac:dyDescent="0.35">
      <c r="H6188" s="711"/>
      <c r="I6188" s="711"/>
      <c r="J6188" s="711"/>
      <c r="K6188" s="711"/>
      <c r="L6188" s="711"/>
      <c r="Q6188" s="11"/>
      <c r="R6188" s="11"/>
      <c r="S6188" s="11"/>
      <c r="T6188" s="11"/>
    </row>
    <row r="6189" spans="8:20" x14ac:dyDescent="0.35">
      <c r="H6189" s="711"/>
      <c r="I6189" s="711"/>
      <c r="J6189" s="711"/>
      <c r="K6189" s="711"/>
      <c r="L6189" s="711"/>
      <c r="Q6189" s="11"/>
      <c r="R6189" s="11"/>
      <c r="S6189" s="11"/>
      <c r="T6189" s="11"/>
    </row>
    <row r="6190" spans="8:20" x14ac:dyDescent="0.35">
      <c r="H6190" s="711"/>
      <c r="I6190" s="711"/>
      <c r="J6190" s="711"/>
      <c r="K6190" s="711"/>
      <c r="L6190" s="711"/>
      <c r="Q6190" s="11"/>
      <c r="R6190" s="11"/>
      <c r="S6190" s="11"/>
      <c r="T6190" s="11"/>
    </row>
    <row r="6191" spans="8:20" x14ac:dyDescent="0.35">
      <c r="H6191" s="711"/>
      <c r="I6191" s="711"/>
      <c r="J6191" s="711"/>
      <c r="K6191" s="711"/>
      <c r="L6191" s="711"/>
      <c r="Q6191" s="11"/>
      <c r="R6191" s="11"/>
      <c r="S6191" s="11"/>
      <c r="T6191" s="11"/>
    </row>
    <row r="6192" spans="8:20" x14ac:dyDescent="0.35">
      <c r="H6192" s="711"/>
      <c r="I6192" s="711"/>
      <c r="J6192" s="711"/>
      <c r="K6192" s="711"/>
      <c r="L6192" s="711"/>
      <c r="Q6192" s="11"/>
      <c r="R6192" s="11"/>
      <c r="S6192" s="11"/>
      <c r="T6192" s="11"/>
    </row>
    <row r="6193" spans="8:20" x14ac:dyDescent="0.35">
      <c r="H6193" s="711"/>
      <c r="I6193" s="711"/>
      <c r="J6193" s="711"/>
      <c r="K6193" s="711"/>
      <c r="L6193" s="711"/>
      <c r="Q6193" s="11"/>
      <c r="R6193" s="11"/>
      <c r="S6193" s="11"/>
      <c r="T6193" s="11"/>
    </row>
    <row r="6194" spans="8:20" x14ac:dyDescent="0.35">
      <c r="H6194" s="711"/>
      <c r="I6194" s="711"/>
      <c r="J6194" s="711"/>
      <c r="K6194" s="711"/>
      <c r="L6194" s="711"/>
      <c r="Q6194" s="11"/>
      <c r="R6194" s="11"/>
      <c r="S6194" s="11"/>
      <c r="T6194" s="11"/>
    </row>
    <row r="6195" spans="8:20" x14ac:dyDescent="0.35">
      <c r="H6195" s="711"/>
      <c r="I6195" s="711"/>
      <c r="J6195" s="711"/>
      <c r="K6195" s="711"/>
      <c r="L6195" s="711"/>
      <c r="Q6195" s="11"/>
      <c r="R6195" s="11"/>
      <c r="S6195" s="11"/>
      <c r="T6195" s="11"/>
    </row>
    <row r="6196" spans="8:20" x14ac:dyDescent="0.35">
      <c r="H6196" s="711"/>
      <c r="I6196" s="711"/>
      <c r="J6196" s="711"/>
      <c r="K6196" s="711"/>
      <c r="L6196" s="711"/>
      <c r="Q6196" s="11"/>
      <c r="R6196" s="11"/>
      <c r="S6196" s="11"/>
      <c r="T6196" s="11"/>
    </row>
    <row r="6197" spans="8:20" x14ac:dyDescent="0.35">
      <c r="H6197" s="711"/>
      <c r="I6197" s="711"/>
      <c r="J6197" s="711"/>
      <c r="K6197" s="711"/>
      <c r="L6197" s="711"/>
      <c r="Q6197" s="11"/>
      <c r="R6197" s="11"/>
      <c r="S6197" s="11"/>
      <c r="T6197" s="11"/>
    </row>
    <row r="6198" spans="8:20" x14ac:dyDescent="0.35">
      <c r="H6198" s="711"/>
      <c r="I6198" s="711"/>
      <c r="J6198" s="711"/>
      <c r="K6198" s="711"/>
      <c r="L6198" s="711"/>
      <c r="Q6198" s="11"/>
      <c r="R6198" s="11"/>
      <c r="S6198" s="11"/>
      <c r="T6198" s="11"/>
    </row>
    <row r="6199" spans="8:20" x14ac:dyDescent="0.35">
      <c r="H6199" s="711"/>
      <c r="I6199" s="711"/>
      <c r="J6199" s="711"/>
      <c r="K6199" s="711"/>
      <c r="L6199" s="711"/>
      <c r="Q6199" s="11"/>
      <c r="R6199" s="11"/>
      <c r="S6199" s="11"/>
      <c r="T6199" s="11"/>
    </row>
    <row r="6200" spans="8:20" x14ac:dyDescent="0.35">
      <c r="H6200" s="711"/>
      <c r="I6200" s="711"/>
      <c r="J6200" s="711"/>
      <c r="K6200" s="711"/>
      <c r="L6200" s="711"/>
      <c r="Q6200" s="11"/>
      <c r="R6200" s="11"/>
      <c r="S6200" s="11"/>
      <c r="T6200" s="11"/>
    </row>
    <row r="6201" spans="8:20" x14ac:dyDescent="0.35">
      <c r="H6201" s="711"/>
      <c r="I6201" s="711"/>
      <c r="J6201" s="711"/>
      <c r="K6201" s="711"/>
      <c r="L6201" s="711"/>
      <c r="Q6201" s="11"/>
      <c r="R6201" s="11"/>
      <c r="S6201" s="11"/>
      <c r="T6201" s="11"/>
    </row>
    <row r="6202" spans="8:20" x14ac:dyDescent="0.35">
      <c r="H6202" s="711"/>
      <c r="I6202" s="711"/>
      <c r="J6202" s="711"/>
      <c r="K6202" s="711"/>
      <c r="L6202" s="711"/>
      <c r="Q6202" s="11"/>
      <c r="R6202" s="11"/>
      <c r="S6202" s="11"/>
      <c r="T6202" s="11"/>
    </row>
    <row r="6203" spans="8:20" x14ac:dyDescent="0.35">
      <c r="H6203" s="711"/>
      <c r="I6203" s="711"/>
      <c r="J6203" s="711"/>
      <c r="K6203" s="711"/>
      <c r="L6203" s="711"/>
      <c r="Q6203" s="11"/>
      <c r="R6203" s="11"/>
      <c r="S6203" s="11"/>
      <c r="T6203" s="11"/>
    </row>
    <row r="6204" spans="8:20" x14ac:dyDescent="0.35">
      <c r="H6204" s="711"/>
      <c r="I6204" s="711"/>
      <c r="J6204" s="711"/>
      <c r="K6204" s="711"/>
      <c r="L6204" s="711"/>
      <c r="Q6204" s="11"/>
      <c r="R6204" s="11"/>
      <c r="S6204" s="11"/>
      <c r="T6204" s="11"/>
    </row>
    <row r="6205" spans="8:20" x14ac:dyDescent="0.35">
      <c r="H6205" s="711"/>
      <c r="I6205" s="711"/>
      <c r="J6205" s="711"/>
      <c r="K6205" s="711"/>
      <c r="L6205" s="711"/>
      <c r="Q6205" s="11"/>
      <c r="R6205" s="11"/>
      <c r="S6205" s="11"/>
      <c r="T6205" s="11"/>
    </row>
    <row r="6206" spans="8:20" x14ac:dyDescent="0.35">
      <c r="H6206" s="711"/>
      <c r="I6206" s="711"/>
      <c r="J6206" s="711"/>
      <c r="K6206" s="711"/>
      <c r="L6206" s="711"/>
      <c r="Q6206" s="11"/>
      <c r="R6206" s="11"/>
      <c r="S6206" s="11"/>
      <c r="T6206" s="11"/>
    </row>
    <row r="6207" spans="8:20" x14ac:dyDescent="0.35">
      <c r="H6207" s="711"/>
      <c r="I6207" s="711"/>
      <c r="J6207" s="711"/>
      <c r="K6207" s="711"/>
      <c r="L6207" s="711"/>
      <c r="Q6207" s="11"/>
      <c r="R6207" s="11"/>
      <c r="S6207" s="11"/>
      <c r="T6207" s="11"/>
    </row>
    <row r="6208" spans="8:20" x14ac:dyDescent="0.35">
      <c r="H6208" s="711"/>
      <c r="I6208" s="711"/>
      <c r="J6208" s="711"/>
      <c r="K6208" s="711"/>
      <c r="L6208" s="711"/>
      <c r="Q6208" s="11"/>
      <c r="R6208" s="11"/>
      <c r="S6208" s="11"/>
      <c r="T6208" s="11"/>
    </row>
    <row r="6209" spans="8:20" x14ac:dyDescent="0.35">
      <c r="H6209" s="711"/>
      <c r="I6209" s="711"/>
      <c r="J6209" s="711"/>
      <c r="K6209" s="711"/>
      <c r="L6209" s="711"/>
      <c r="Q6209" s="11"/>
      <c r="R6209" s="11"/>
      <c r="S6209" s="11"/>
      <c r="T6209" s="11"/>
    </row>
    <row r="6210" spans="8:20" x14ac:dyDescent="0.35">
      <c r="H6210" s="711"/>
      <c r="I6210" s="711"/>
      <c r="J6210" s="711"/>
      <c r="K6210" s="711"/>
      <c r="L6210" s="711"/>
      <c r="Q6210" s="11"/>
      <c r="R6210" s="11"/>
      <c r="S6210" s="11"/>
      <c r="T6210" s="11"/>
    </row>
    <row r="6211" spans="8:20" x14ac:dyDescent="0.35">
      <c r="H6211" s="711"/>
      <c r="I6211" s="711"/>
      <c r="J6211" s="711"/>
      <c r="K6211" s="711"/>
      <c r="L6211" s="711"/>
      <c r="Q6211" s="11"/>
      <c r="R6211" s="11"/>
      <c r="S6211" s="11"/>
      <c r="T6211" s="11"/>
    </row>
    <row r="6212" spans="8:20" x14ac:dyDescent="0.35">
      <c r="H6212" s="711"/>
      <c r="I6212" s="711"/>
      <c r="J6212" s="711"/>
      <c r="K6212" s="711"/>
      <c r="L6212" s="711"/>
      <c r="Q6212" s="11"/>
      <c r="R6212" s="11"/>
      <c r="S6212" s="11"/>
      <c r="T6212" s="11"/>
    </row>
    <row r="6213" spans="8:20" x14ac:dyDescent="0.35">
      <c r="H6213" s="711"/>
      <c r="I6213" s="711"/>
      <c r="J6213" s="711"/>
      <c r="K6213" s="711"/>
      <c r="L6213" s="711"/>
      <c r="Q6213" s="11"/>
      <c r="R6213" s="11"/>
      <c r="S6213" s="11"/>
      <c r="T6213" s="11"/>
    </row>
    <row r="6214" spans="8:20" x14ac:dyDescent="0.35">
      <c r="H6214" s="711"/>
      <c r="I6214" s="711"/>
      <c r="J6214" s="711"/>
      <c r="K6214" s="711"/>
      <c r="L6214" s="711"/>
      <c r="Q6214" s="11"/>
      <c r="R6214" s="11"/>
      <c r="S6214" s="11"/>
      <c r="T6214" s="11"/>
    </row>
    <row r="6215" spans="8:20" x14ac:dyDescent="0.35">
      <c r="H6215" s="711"/>
      <c r="I6215" s="711"/>
      <c r="J6215" s="711"/>
      <c r="K6215" s="711"/>
      <c r="L6215" s="711"/>
      <c r="Q6215" s="11"/>
      <c r="R6215" s="11"/>
      <c r="S6215" s="11"/>
      <c r="T6215" s="11"/>
    </row>
    <row r="6216" spans="8:20" x14ac:dyDescent="0.35">
      <c r="H6216" s="711"/>
      <c r="I6216" s="711"/>
      <c r="J6216" s="711"/>
      <c r="K6216" s="711"/>
      <c r="L6216" s="711"/>
      <c r="Q6216" s="11"/>
      <c r="R6216" s="11"/>
      <c r="S6216" s="11"/>
      <c r="T6216" s="11"/>
    </row>
    <row r="6217" spans="8:20" x14ac:dyDescent="0.35">
      <c r="H6217" s="711"/>
      <c r="I6217" s="711"/>
      <c r="J6217" s="711"/>
      <c r="K6217" s="711"/>
      <c r="L6217" s="711"/>
      <c r="Q6217" s="11"/>
      <c r="R6217" s="11"/>
      <c r="S6217" s="11"/>
      <c r="T6217" s="11"/>
    </row>
    <row r="6218" spans="8:20" x14ac:dyDescent="0.35">
      <c r="H6218" s="711"/>
      <c r="I6218" s="711"/>
      <c r="J6218" s="711"/>
      <c r="K6218" s="711"/>
      <c r="L6218" s="711"/>
      <c r="Q6218" s="11"/>
      <c r="R6218" s="11"/>
      <c r="S6218" s="11"/>
      <c r="T6218" s="11"/>
    </row>
    <row r="6219" spans="8:20" x14ac:dyDescent="0.35">
      <c r="H6219" s="711"/>
      <c r="I6219" s="711"/>
      <c r="J6219" s="711"/>
      <c r="K6219" s="711"/>
      <c r="L6219" s="711"/>
      <c r="Q6219" s="11"/>
      <c r="R6219" s="11"/>
      <c r="S6219" s="11"/>
      <c r="T6219" s="11"/>
    </row>
    <row r="6220" spans="8:20" x14ac:dyDescent="0.35">
      <c r="H6220" s="711"/>
      <c r="I6220" s="711"/>
      <c r="J6220" s="711"/>
      <c r="K6220" s="711"/>
      <c r="L6220" s="711"/>
      <c r="Q6220" s="11"/>
      <c r="R6220" s="11"/>
      <c r="S6220" s="11"/>
      <c r="T6220" s="11"/>
    </row>
    <row r="6221" spans="8:20" x14ac:dyDescent="0.35">
      <c r="H6221" s="711"/>
      <c r="I6221" s="711"/>
      <c r="J6221" s="711"/>
      <c r="K6221" s="711"/>
      <c r="L6221" s="711"/>
      <c r="Q6221" s="11"/>
      <c r="R6221" s="11"/>
      <c r="S6221" s="11"/>
      <c r="T6221" s="11"/>
    </row>
    <row r="6222" spans="8:20" x14ac:dyDescent="0.35">
      <c r="H6222" s="711"/>
      <c r="I6222" s="711"/>
      <c r="J6222" s="711"/>
      <c r="K6222" s="711"/>
      <c r="L6222" s="711"/>
      <c r="Q6222" s="11"/>
      <c r="R6222" s="11"/>
      <c r="S6222" s="11"/>
      <c r="T6222" s="11"/>
    </row>
    <row r="6223" spans="8:20" x14ac:dyDescent="0.35">
      <c r="H6223" s="711"/>
      <c r="I6223" s="711"/>
      <c r="J6223" s="711"/>
      <c r="K6223" s="711"/>
      <c r="L6223" s="711"/>
      <c r="Q6223" s="11"/>
      <c r="R6223" s="11"/>
      <c r="S6223" s="11"/>
      <c r="T6223" s="11"/>
    </row>
    <row r="6224" spans="8:20" x14ac:dyDescent="0.35">
      <c r="H6224" s="711"/>
      <c r="I6224" s="711"/>
      <c r="J6224" s="711"/>
      <c r="K6224" s="711"/>
      <c r="L6224" s="711"/>
      <c r="Q6224" s="11"/>
      <c r="R6224" s="11"/>
      <c r="S6224" s="11"/>
      <c r="T6224" s="11"/>
    </row>
    <row r="6225" spans="8:20" x14ac:dyDescent="0.35">
      <c r="H6225" s="711"/>
      <c r="I6225" s="711"/>
      <c r="J6225" s="711"/>
      <c r="K6225" s="711"/>
      <c r="L6225" s="711"/>
      <c r="Q6225" s="11"/>
      <c r="R6225" s="11"/>
      <c r="S6225" s="11"/>
      <c r="T6225" s="11"/>
    </row>
    <row r="6226" spans="8:20" x14ac:dyDescent="0.35">
      <c r="H6226" s="711"/>
      <c r="I6226" s="711"/>
      <c r="J6226" s="711"/>
      <c r="K6226" s="711"/>
      <c r="L6226" s="711"/>
      <c r="Q6226" s="11"/>
      <c r="R6226" s="11"/>
      <c r="S6226" s="11"/>
      <c r="T6226" s="11"/>
    </row>
    <row r="6227" spans="8:20" x14ac:dyDescent="0.35">
      <c r="H6227" s="711"/>
      <c r="I6227" s="711"/>
      <c r="J6227" s="711"/>
      <c r="K6227" s="711"/>
      <c r="L6227" s="711"/>
      <c r="Q6227" s="11"/>
      <c r="R6227" s="11"/>
      <c r="S6227" s="11"/>
      <c r="T6227" s="11"/>
    </row>
    <row r="6228" spans="8:20" x14ac:dyDescent="0.35">
      <c r="H6228" s="711"/>
      <c r="I6228" s="711"/>
      <c r="J6228" s="711"/>
      <c r="K6228" s="711"/>
      <c r="L6228" s="711"/>
      <c r="Q6228" s="11"/>
      <c r="R6228" s="11"/>
      <c r="S6228" s="11"/>
      <c r="T6228" s="11"/>
    </row>
    <row r="6229" spans="8:20" x14ac:dyDescent="0.35">
      <c r="H6229" s="711"/>
      <c r="I6229" s="711"/>
      <c r="J6229" s="711"/>
      <c r="K6229" s="711"/>
      <c r="L6229" s="711"/>
      <c r="Q6229" s="11"/>
      <c r="R6229" s="11"/>
      <c r="S6229" s="11"/>
      <c r="T6229" s="11"/>
    </row>
    <row r="6230" spans="8:20" x14ac:dyDescent="0.35">
      <c r="H6230" s="711"/>
      <c r="I6230" s="711"/>
      <c r="J6230" s="711"/>
      <c r="K6230" s="711"/>
      <c r="L6230" s="711"/>
      <c r="Q6230" s="11"/>
      <c r="R6230" s="11"/>
      <c r="S6230" s="11"/>
      <c r="T6230" s="11"/>
    </row>
    <row r="6231" spans="8:20" x14ac:dyDescent="0.35">
      <c r="H6231" s="711"/>
      <c r="I6231" s="711"/>
      <c r="J6231" s="711"/>
      <c r="K6231" s="711"/>
      <c r="L6231" s="711"/>
      <c r="Q6231" s="11"/>
      <c r="R6231" s="11"/>
      <c r="S6231" s="11"/>
      <c r="T6231" s="11"/>
    </row>
    <row r="6232" spans="8:20" x14ac:dyDescent="0.35">
      <c r="H6232" s="711"/>
      <c r="I6232" s="711"/>
      <c r="J6232" s="711"/>
      <c r="K6232" s="711"/>
      <c r="L6232" s="711"/>
      <c r="Q6232" s="11"/>
      <c r="R6232" s="11"/>
      <c r="S6232" s="11"/>
      <c r="T6232" s="11"/>
    </row>
    <row r="6233" spans="8:20" x14ac:dyDescent="0.35">
      <c r="H6233" s="711"/>
      <c r="I6233" s="711"/>
      <c r="J6233" s="711"/>
      <c r="K6233" s="711"/>
      <c r="L6233" s="711"/>
      <c r="Q6233" s="11"/>
      <c r="R6233" s="11"/>
      <c r="S6233" s="11"/>
      <c r="T6233" s="11"/>
    </row>
    <row r="6234" spans="8:20" x14ac:dyDescent="0.35">
      <c r="H6234" s="711"/>
      <c r="I6234" s="711"/>
      <c r="J6234" s="711"/>
      <c r="K6234" s="711"/>
      <c r="L6234" s="711"/>
      <c r="Q6234" s="11"/>
      <c r="R6234" s="11"/>
      <c r="S6234" s="11"/>
      <c r="T6234" s="11"/>
    </row>
    <row r="6235" spans="8:20" x14ac:dyDescent="0.35">
      <c r="H6235" s="711"/>
      <c r="I6235" s="711"/>
      <c r="J6235" s="711"/>
      <c r="K6235" s="711"/>
      <c r="L6235" s="711"/>
      <c r="Q6235" s="11"/>
      <c r="R6235" s="11"/>
      <c r="S6235" s="11"/>
      <c r="T6235" s="11"/>
    </row>
    <row r="6236" spans="8:20" x14ac:dyDescent="0.35">
      <c r="H6236" s="711"/>
      <c r="I6236" s="711"/>
      <c r="J6236" s="711"/>
      <c r="K6236" s="711"/>
      <c r="L6236" s="711"/>
      <c r="Q6236" s="11"/>
      <c r="R6236" s="11"/>
      <c r="S6236" s="11"/>
      <c r="T6236" s="11"/>
    </row>
    <row r="6237" spans="8:20" x14ac:dyDescent="0.35">
      <c r="H6237" s="711"/>
      <c r="I6237" s="711"/>
      <c r="J6237" s="711"/>
      <c r="K6237" s="711"/>
      <c r="L6237" s="711"/>
      <c r="Q6237" s="11"/>
      <c r="R6237" s="11"/>
      <c r="S6237" s="11"/>
      <c r="T6237" s="11"/>
    </row>
    <row r="6238" spans="8:20" x14ac:dyDescent="0.35">
      <c r="H6238" s="711"/>
      <c r="I6238" s="711"/>
      <c r="J6238" s="711"/>
      <c r="K6238" s="711"/>
      <c r="L6238" s="711"/>
      <c r="Q6238" s="11"/>
      <c r="R6238" s="11"/>
      <c r="S6238" s="11"/>
      <c r="T6238" s="11"/>
    </row>
    <row r="6239" spans="8:20" x14ac:dyDescent="0.35">
      <c r="H6239" s="711"/>
      <c r="I6239" s="711"/>
      <c r="J6239" s="711"/>
      <c r="K6239" s="711"/>
      <c r="L6239" s="711"/>
      <c r="Q6239" s="11"/>
      <c r="R6239" s="11"/>
      <c r="S6239" s="11"/>
      <c r="T6239" s="11"/>
    </row>
    <row r="6240" spans="8:20" x14ac:dyDescent="0.35">
      <c r="H6240" s="711"/>
      <c r="I6240" s="711"/>
      <c r="J6240" s="711"/>
      <c r="K6240" s="711"/>
      <c r="L6240" s="711"/>
      <c r="Q6240" s="11"/>
      <c r="R6240" s="11"/>
      <c r="S6240" s="11"/>
      <c r="T6240" s="11"/>
    </row>
    <row r="6241" spans="8:20" x14ac:dyDescent="0.35">
      <c r="H6241" s="711"/>
      <c r="I6241" s="711"/>
      <c r="J6241" s="711"/>
      <c r="K6241" s="711"/>
      <c r="L6241" s="711"/>
      <c r="Q6241" s="11"/>
      <c r="R6241" s="11"/>
      <c r="S6241" s="11"/>
      <c r="T6241" s="11"/>
    </row>
    <row r="6242" spans="8:20" x14ac:dyDescent="0.35">
      <c r="H6242" s="711"/>
      <c r="I6242" s="711"/>
      <c r="J6242" s="711"/>
      <c r="K6242" s="711"/>
      <c r="L6242" s="711"/>
      <c r="Q6242" s="11"/>
      <c r="R6242" s="11"/>
      <c r="S6242" s="11"/>
      <c r="T6242" s="11"/>
    </row>
    <row r="6243" spans="8:20" x14ac:dyDescent="0.35">
      <c r="H6243" s="711"/>
      <c r="I6243" s="711"/>
      <c r="J6243" s="711"/>
      <c r="K6243" s="711"/>
      <c r="L6243" s="711"/>
      <c r="Q6243" s="11"/>
      <c r="R6243" s="11"/>
      <c r="S6243" s="11"/>
      <c r="T6243" s="11"/>
    </row>
    <row r="6244" spans="8:20" x14ac:dyDescent="0.35">
      <c r="H6244" s="711"/>
      <c r="I6244" s="711"/>
      <c r="J6244" s="711"/>
      <c r="K6244" s="711"/>
      <c r="L6244" s="711"/>
      <c r="Q6244" s="11"/>
      <c r="R6244" s="11"/>
      <c r="S6244" s="11"/>
      <c r="T6244" s="11"/>
    </row>
    <row r="6245" spans="8:20" x14ac:dyDescent="0.35">
      <c r="H6245" s="711"/>
      <c r="I6245" s="711"/>
      <c r="J6245" s="711"/>
      <c r="K6245" s="711"/>
      <c r="L6245" s="711"/>
      <c r="Q6245" s="11"/>
      <c r="R6245" s="11"/>
      <c r="S6245" s="11"/>
      <c r="T6245" s="11"/>
    </row>
    <row r="6246" spans="8:20" x14ac:dyDescent="0.35">
      <c r="H6246" s="711"/>
      <c r="I6246" s="711"/>
      <c r="J6246" s="711"/>
      <c r="K6246" s="711"/>
      <c r="L6246" s="711"/>
      <c r="Q6246" s="11"/>
      <c r="R6246" s="11"/>
      <c r="S6246" s="11"/>
      <c r="T6246" s="11"/>
    </row>
    <row r="6247" spans="8:20" x14ac:dyDescent="0.35">
      <c r="H6247" s="711"/>
      <c r="I6247" s="711"/>
      <c r="J6247" s="711"/>
      <c r="K6247" s="711"/>
      <c r="L6247" s="711"/>
      <c r="Q6247" s="11"/>
      <c r="R6247" s="11"/>
      <c r="S6247" s="11"/>
      <c r="T6247" s="11"/>
    </row>
    <row r="6248" spans="8:20" x14ac:dyDescent="0.35">
      <c r="H6248" s="711"/>
      <c r="I6248" s="711"/>
      <c r="J6248" s="711"/>
      <c r="K6248" s="711"/>
      <c r="L6248" s="711"/>
      <c r="Q6248" s="11"/>
      <c r="R6248" s="11"/>
      <c r="S6248" s="11"/>
      <c r="T6248" s="11"/>
    </row>
    <row r="6249" spans="8:20" x14ac:dyDescent="0.35">
      <c r="H6249" s="711"/>
      <c r="I6249" s="711"/>
      <c r="J6249" s="711"/>
      <c r="K6249" s="711"/>
      <c r="L6249" s="711"/>
      <c r="Q6249" s="11"/>
      <c r="R6249" s="11"/>
      <c r="S6249" s="11"/>
      <c r="T6249" s="11"/>
    </row>
    <row r="6250" spans="8:20" x14ac:dyDescent="0.35">
      <c r="H6250" s="711"/>
      <c r="I6250" s="711"/>
      <c r="J6250" s="711"/>
      <c r="K6250" s="711"/>
      <c r="L6250" s="711"/>
      <c r="Q6250" s="11"/>
      <c r="R6250" s="11"/>
      <c r="S6250" s="11"/>
      <c r="T6250" s="11"/>
    </row>
    <row r="6251" spans="8:20" x14ac:dyDescent="0.35">
      <c r="H6251" s="711"/>
      <c r="I6251" s="711"/>
      <c r="J6251" s="711"/>
      <c r="K6251" s="711"/>
      <c r="L6251" s="711"/>
      <c r="Q6251" s="11"/>
      <c r="R6251" s="11"/>
      <c r="S6251" s="11"/>
      <c r="T6251" s="11"/>
    </row>
    <row r="6252" spans="8:20" x14ac:dyDescent="0.35">
      <c r="H6252" s="711"/>
      <c r="I6252" s="711"/>
      <c r="J6252" s="711"/>
      <c r="K6252" s="711"/>
      <c r="L6252" s="711"/>
      <c r="Q6252" s="11"/>
      <c r="R6252" s="11"/>
      <c r="S6252" s="11"/>
      <c r="T6252" s="11"/>
    </row>
    <row r="6253" spans="8:20" x14ac:dyDescent="0.35">
      <c r="H6253" s="711"/>
      <c r="I6253" s="711"/>
      <c r="J6253" s="711"/>
      <c r="K6253" s="711"/>
      <c r="L6253" s="711"/>
      <c r="Q6253" s="11"/>
      <c r="R6253" s="11"/>
      <c r="S6253" s="11"/>
      <c r="T6253" s="11"/>
    </row>
    <row r="6254" spans="8:20" x14ac:dyDescent="0.35">
      <c r="H6254" s="711"/>
      <c r="I6254" s="711"/>
      <c r="J6254" s="711"/>
      <c r="K6254" s="711"/>
      <c r="L6254" s="711"/>
      <c r="Q6254" s="11"/>
      <c r="R6254" s="11"/>
      <c r="S6254" s="11"/>
      <c r="T6254" s="11"/>
    </row>
    <row r="6255" spans="8:20" x14ac:dyDescent="0.35">
      <c r="H6255" s="711"/>
      <c r="I6255" s="711"/>
      <c r="J6255" s="711"/>
      <c r="K6255" s="711"/>
      <c r="L6255" s="711"/>
      <c r="Q6255" s="11"/>
      <c r="R6255" s="11"/>
      <c r="S6255" s="11"/>
      <c r="T6255" s="11"/>
    </row>
    <row r="6256" spans="8:20" x14ac:dyDescent="0.35">
      <c r="H6256" s="711"/>
      <c r="I6256" s="711"/>
      <c r="J6256" s="711"/>
      <c r="K6256" s="711"/>
      <c r="L6256" s="711"/>
      <c r="Q6256" s="11"/>
      <c r="R6256" s="11"/>
      <c r="S6256" s="11"/>
      <c r="T6256" s="11"/>
    </row>
    <row r="6257" spans="8:20" x14ac:dyDescent="0.35">
      <c r="H6257" s="711"/>
      <c r="I6257" s="711"/>
      <c r="J6257" s="711"/>
      <c r="K6257" s="711"/>
      <c r="L6257" s="711"/>
      <c r="Q6257" s="11"/>
      <c r="R6257" s="11"/>
      <c r="S6257" s="11"/>
      <c r="T6257" s="11"/>
    </row>
    <row r="6258" spans="8:20" x14ac:dyDescent="0.35">
      <c r="H6258" s="711"/>
      <c r="I6258" s="711"/>
      <c r="J6258" s="711"/>
      <c r="K6258" s="711"/>
      <c r="L6258" s="711"/>
      <c r="Q6258" s="11"/>
      <c r="R6258" s="11"/>
      <c r="S6258" s="11"/>
      <c r="T6258" s="11"/>
    </row>
    <row r="6259" spans="8:20" x14ac:dyDescent="0.35">
      <c r="H6259" s="711"/>
      <c r="I6259" s="711"/>
      <c r="J6259" s="711"/>
      <c r="K6259" s="711"/>
      <c r="L6259" s="711"/>
      <c r="Q6259" s="11"/>
      <c r="R6259" s="11"/>
      <c r="S6259" s="11"/>
      <c r="T6259" s="11"/>
    </row>
    <row r="6260" spans="8:20" x14ac:dyDescent="0.35">
      <c r="H6260" s="711"/>
      <c r="I6260" s="711"/>
      <c r="J6260" s="711"/>
      <c r="K6260" s="711"/>
      <c r="L6260" s="711"/>
      <c r="Q6260" s="11"/>
      <c r="R6260" s="11"/>
      <c r="S6260" s="11"/>
      <c r="T6260" s="11"/>
    </row>
    <row r="6261" spans="8:20" x14ac:dyDescent="0.35">
      <c r="H6261" s="711"/>
      <c r="I6261" s="711"/>
      <c r="J6261" s="711"/>
      <c r="K6261" s="711"/>
      <c r="L6261" s="711"/>
      <c r="Q6261" s="11"/>
      <c r="R6261" s="11"/>
      <c r="S6261" s="11"/>
      <c r="T6261" s="11"/>
    </row>
    <row r="6262" spans="8:20" x14ac:dyDescent="0.35">
      <c r="H6262" s="711"/>
      <c r="I6262" s="711"/>
      <c r="J6262" s="711"/>
      <c r="K6262" s="711"/>
      <c r="L6262" s="711"/>
      <c r="Q6262" s="11"/>
      <c r="R6262" s="11"/>
      <c r="S6262" s="11"/>
      <c r="T6262" s="11"/>
    </row>
    <row r="6263" spans="8:20" x14ac:dyDescent="0.35">
      <c r="H6263" s="711"/>
      <c r="I6263" s="711"/>
      <c r="J6263" s="711"/>
      <c r="K6263" s="711"/>
      <c r="L6263" s="711"/>
      <c r="Q6263" s="11"/>
      <c r="R6263" s="11"/>
      <c r="S6263" s="11"/>
      <c r="T6263" s="11"/>
    </row>
    <row r="6264" spans="8:20" x14ac:dyDescent="0.35">
      <c r="H6264" s="711"/>
      <c r="I6264" s="711"/>
      <c r="J6264" s="711"/>
      <c r="K6264" s="711"/>
      <c r="L6264" s="711"/>
      <c r="Q6264" s="11"/>
      <c r="R6264" s="11"/>
      <c r="S6264" s="11"/>
      <c r="T6264" s="11"/>
    </row>
    <row r="6265" spans="8:20" x14ac:dyDescent="0.35">
      <c r="H6265" s="711"/>
      <c r="I6265" s="711"/>
      <c r="J6265" s="711"/>
      <c r="K6265" s="711"/>
      <c r="L6265" s="711"/>
      <c r="Q6265" s="11"/>
      <c r="R6265" s="11"/>
      <c r="S6265" s="11"/>
      <c r="T6265" s="11"/>
    </row>
    <row r="6266" spans="8:20" x14ac:dyDescent="0.35">
      <c r="H6266" s="711"/>
      <c r="I6266" s="711"/>
      <c r="J6266" s="711"/>
      <c r="K6266" s="711"/>
      <c r="L6266" s="711"/>
      <c r="Q6266" s="11"/>
      <c r="R6266" s="11"/>
      <c r="S6266" s="11"/>
      <c r="T6266" s="11"/>
    </row>
    <row r="6267" spans="8:20" x14ac:dyDescent="0.35">
      <c r="H6267" s="711"/>
      <c r="I6267" s="711"/>
      <c r="J6267" s="711"/>
      <c r="K6267" s="711"/>
      <c r="L6267" s="711"/>
      <c r="Q6267" s="11"/>
      <c r="R6267" s="11"/>
      <c r="S6267" s="11"/>
      <c r="T6267" s="11"/>
    </row>
    <row r="6268" spans="8:20" x14ac:dyDescent="0.35">
      <c r="H6268" s="711"/>
      <c r="I6268" s="711"/>
      <c r="J6268" s="711"/>
      <c r="K6268" s="711"/>
      <c r="L6268" s="711"/>
      <c r="Q6268" s="11"/>
      <c r="R6268" s="11"/>
      <c r="S6268" s="11"/>
      <c r="T6268" s="11"/>
    </row>
    <row r="6269" spans="8:20" x14ac:dyDescent="0.35">
      <c r="H6269" s="711"/>
      <c r="I6269" s="711"/>
      <c r="J6269" s="711"/>
      <c r="K6269" s="711"/>
      <c r="L6269" s="711"/>
      <c r="Q6269" s="11"/>
      <c r="R6269" s="11"/>
      <c r="S6269" s="11"/>
      <c r="T6269" s="11"/>
    </row>
    <row r="6270" spans="8:20" x14ac:dyDescent="0.35">
      <c r="H6270" s="711"/>
      <c r="I6270" s="711"/>
      <c r="J6270" s="711"/>
      <c r="K6270" s="711"/>
      <c r="L6270" s="711"/>
      <c r="Q6270" s="11"/>
      <c r="R6270" s="11"/>
      <c r="S6270" s="11"/>
      <c r="T6270" s="11"/>
    </row>
    <row r="6271" spans="8:20" x14ac:dyDescent="0.35">
      <c r="H6271" s="711"/>
      <c r="I6271" s="711"/>
      <c r="J6271" s="711"/>
      <c r="K6271" s="711"/>
      <c r="L6271" s="711"/>
      <c r="Q6271" s="11"/>
      <c r="R6271" s="11"/>
      <c r="S6271" s="11"/>
      <c r="T6271" s="11"/>
    </row>
    <row r="6272" spans="8:20" x14ac:dyDescent="0.35">
      <c r="H6272" s="711"/>
      <c r="I6272" s="711"/>
      <c r="J6272" s="711"/>
      <c r="K6272" s="711"/>
      <c r="L6272" s="711"/>
      <c r="Q6272" s="11"/>
      <c r="R6272" s="11"/>
      <c r="S6272" s="11"/>
      <c r="T6272" s="11"/>
    </row>
    <row r="6273" spans="8:20" x14ac:dyDescent="0.35">
      <c r="H6273" s="711"/>
      <c r="I6273" s="711"/>
      <c r="J6273" s="711"/>
      <c r="K6273" s="711"/>
      <c r="L6273" s="711"/>
      <c r="Q6273" s="11"/>
      <c r="R6273" s="11"/>
      <c r="S6273" s="11"/>
      <c r="T6273" s="11"/>
    </row>
    <row r="6274" spans="8:20" x14ac:dyDescent="0.35">
      <c r="H6274" s="711"/>
      <c r="I6274" s="711"/>
      <c r="J6274" s="711"/>
      <c r="K6274" s="711"/>
      <c r="L6274" s="711"/>
      <c r="Q6274" s="11"/>
      <c r="R6274" s="11"/>
      <c r="S6274" s="11"/>
      <c r="T6274" s="11"/>
    </row>
    <row r="6275" spans="8:20" x14ac:dyDescent="0.35">
      <c r="H6275" s="711"/>
      <c r="I6275" s="711"/>
      <c r="J6275" s="711"/>
      <c r="K6275" s="711"/>
      <c r="L6275" s="711"/>
      <c r="Q6275" s="11"/>
      <c r="R6275" s="11"/>
      <c r="S6275" s="11"/>
      <c r="T6275" s="11"/>
    </row>
    <row r="6276" spans="8:20" x14ac:dyDescent="0.35">
      <c r="H6276" s="711"/>
      <c r="I6276" s="711"/>
      <c r="J6276" s="711"/>
      <c r="K6276" s="711"/>
      <c r="L6276" s="711"/>
      <c r="Q6276" s="11"/>
      <c r="R6276" s="11"/>
      <c r="S6276" s="11"/>
      <c r="T6276" s="11"/>
    </row>
    <row r="6277" spans="8:20" x14ac:dyDescent="0.35">
      <c r="H6277" s="711"/>
      <c r="I6277" s="711"/>
      <c r="J6277" s="711"/>
      <c r="K6277" s="711"/>
      <c r="L6277" s="711"/>
      <c r="Q6277" s="11"/>
      <c r="R6277" s="11"/>
      <c r="S6277" s="11"/>
      <c r="T6277" s="11"/>
    </row>
    <row r="6278" spans="8:20" x14ac:dyDescent="0.35">
      <c r="H6278" s="711"/>
      <c r="I6278" s="711"/>
      <c r="J6278" s="711"/>
      <c r="K6278" s="711"/>
      <c r="L6278" s="711"/>
      <c r="Q6278" s="11"/>
      <c r="R6278" s="11"/>
      <c r="S6278" s="11"/>
      <c r="T6278" s="11"/>
    </row>
    <row r="6279" spans="8:20" x14ac:dyDescent="0.35">
      <c r="H6279" s="711"/>
      <c r="I6279" s="711"/>
      <c r="J6279" s="711"/>
      <c r="K6279" s="711"/>
      <c r="L6279" s="711"/>
      <c r="Q6279" s="11"/>
      <c r="R6279" s="11"/>
      <c r="S6279" s="11"/>
      <c r="T6279" s="11"/>
    </row>
    <row r="6280" spans="8:20" x14ac:dyDescent="0.35">
      <c r="H6280" s="711"/>
      <c r="I6280" s="711"/>
      <c r="J6280" s="711"/>
      <c r="K6280" s="711"/>
      <c r="L6280" s="711"/>
      <c r="Q6280" s="11"/>
      <c r="R6280" s="11"/>
      <c r="S6280" s="11"/>
      <c r="T6280" s="11"/>
    </row>
    <row r="6281" spans="8:20" x14ac:dyDescent="0.35">
      <c r="H6281" s="711"/>
      <c r="I6281" s="711"/>
      <c r="J6281" s="711"/>
      <c r="K6281" s="711"/>
      <c r="L6281" s="711"/>
      <c r="Q6281" s="11"/>
      <c r="R6281" s="11"/>
      <c r="S6281" s="11"/>
      <c r="T6281" s="11"/>
    </row>
    <row r="6282" spans="8:20" x14ac:dyDescent="0.35">
      <c r="H6282" s="711"/>
      <c r="I6282" s="711"/>
      <c r="J6282" s="711"/>
      <c r="K6282" s="711"/>
      <c r="L6282" s="711"/>
      <c r="Q6282" s="11"/>
      <c r="R6282" s="11"/>
      <c r="S6282" s="11"/>
      <c r="T6282" s="11"/>
    </row>
    <row r="6283" spans="8:20" x14ac:dyDescent="0.35">
      <c r="H6283" s="711"/>
      <c r="I6283" s="711"/>
      <c r="J6283" s="711"/>
      <c r="K6283" s="711"/>
      <c r="L6283" s="711"/>
      <c r="Q6283" s="11"/>
      <c r="R6283" s="11"/>
      <c r="S6283" s="11"/>
      <c r="T6283" s="11"/>
    </row>
    <row r="6284" spans="8:20" x14ac:dyDescent="0.35">
      <c r="H6284" s="711"/>
      <c r="I6284" s="711"/>
      <c r="J6284" s="711"/>
      <c r="K6284" s="711"/>
      <c r="L6284" s="711"/>
      <c r="Q6284" s="11"/>
      <c r="R6284" s="11"/>
      <c r="S6284" s="11"/>
      <c r="T6284" s="11"/>
    </row>
    <row r="6285" spans="8:20" x14ac:dyDescent="0.35">
      <c r="H6285" s="711"/>
      <c r="I6285" s="711"/>
      <c r="J6285" s="711"/>
      <c r="K6285" s="711"/>
      <c r="L6285" s="711"/>
      <c r="Q6285" s="11"/>
      <c r="R6285" s="11"/>
      <c r="S6285" s="11"/>
      <c r="T6285" s="11"/>
    </row>
    <row r="6286" spans="8:20" x14ac:dyDescent="0.35">
      <c r="H6286" s="711"/>
      <c r="I6286" s="711"/>
      <c r="J6286" s="711"/>
      <c r="K6286" s="711"/>
      <c r="L6286" s="711"/>
      <c r="Q6286" s="11"/>
      <c r="R6286" s="11"/>
      <c r="S6286" s="11"/>
      <c r="T6286" s="11"/>
    </row>
    <row r="6287" spans="8:20" x14ac:dyDescent="0.35">
      <c r="H6287" s="711"/>
      <c r="I6287" s="711"/>
      <c r="J6287" s="711"/>
      <c r="K6287" s="711"/>
      <c r="L6287" s="711"/>
      <c r="Q6287" s="11"/>
      <c r="R6287" s="11"/>
      <c r="S6287" s="11"/>
      <c r="T6287" s="11"/>
    </row>
    <row r="6288" spans="8:20" x14ac:dyDescent="0.35">
      <c r="H6288" s="711"/>
      <c r="I6288" s="711"/>
      <c r="J6288" s="711"/>
      <c r="K6288" s="711"/>
      <c r="L6288" s="711"/>
      <c r="Q6288" s="11"/>
      <c r="R6288" s="11"/>
      <c r="S6288" s="11"/>
      <c r="T6288" s="11"/>
    </row>
    <row r="6289" spans="8:20" x14ac:dyDescent="0.35">
      <c r="H6289" s="711"/>
      <c r="I6289" s="711"/>
      <c r="J6289" s="711"/>
      <c r="K6289" s="711"/>
      <c r="L6289" s="711"/>
      <c r="Q6289" s="11"/>
      <c r="R6289" s="11"/>
      <c r="S6289" s="11"/>
      <c r="T6289" s="11"/>
    </row>
    <row r="6290" spans="8:20" x14ac:dyDescent="0.35">
      <c r="H6290" s="711"/>
      <c r="I6290" s="711"/>
      <c r="J6290" s="711"/>
      <c r="K6290" s="711"/>
      <c r="L6290" s="711"/>
      <c r="Q6290" s="11"/>
      <c r="R6290" s="11"/>
      <c r="S6290" s="11"/>
      <c r="T6290" s="11"/>
    </row>
    <row r="6291" spans="8:20" x14ac:dyDescent="0.35">
      <c r="H6291" s="711"/>
      <c r="I6291" s="711"/>
      <c r="J6291" s="711"/>
      <c r="K6291" s="711"/>
      <c r="L6291" s="711"/>
      <c r="Q6291" s="11"/>
      <c r="R6291" s="11"/>
      <c r="S6291" s="11"/>
      <c r="T6291" s="11"/>
    </row>
    <row r="6292" spans="8:20" x14ac:dyDescent="0.35">
      <c r="H6292" s="711"/>
      <c r="I6292" s="711"/>
      <c r="J6292" s="711"/>
      <c r="K6292" s="711"/>
      <c r="L6292" s="711"/>
      <c r="Q6292" s="11"/>
      <c r="R6292" s="11"/>
      <c r="S6292" s="11"/>
      <c r="T6292" s="11"/>
    </row>
    <row r="6293" spans="8:20" x14ac:dyDescent="0.35">
      <c r="H6293" s="711"/>
      <c r="I6293" s="711"/>
      <c r="J6293" s="711"/>
      <c r="K6293" s="711"/>
      <c r="L6293" s="711"/>
      <c r="Q6293" s="11"/>
      <c r="R6293" s="11"/>
      <c r="S6293" s="11"/>
      <c r="T6293" s="11"/>
    </row>
    <row r="6294" spans="8:20" x14ac:dyDescent="0.35">
      <c r="H6294" s="711"/>
      <c r="I6294" s="711"/>
      <c r="J6294" s="711"/>
      <c r="K6294" s="711"/>
      <c r="L6294" s="711"/>
      <c r="Q6294" s="11"/>
      <c r="R6294" s="11"/>
      <c r="S6294" s="11"/>
      <c r="T6294" s="11"/>
    </row>
    <row r="6295" spans="8:20" x14ac:dyDescent="0.35">
      <c r="H6295" s="711"/>
      <c r="I6295" s="711"/>
      <c r="J6295" s="711"/>
      <c r="K6295" s="711"/>
      <c r="L6295" s="711"/>
      <c r="Q6295" s="11"/>
      <c r="R6295" s="11"/>
      <c r="S6295" s="11"/>
      <c r="T6295" s="11"/>
    </row>
    <row r="6296" spans="8:20" x14ac:dyDescent="0.35">
      <c r="H6296" s="711"/>
      <c r="I6296" s="711"/>
      <c r="J6296" s="711"/>
      <c r="K6296" s="711"/>
      <c r="L6296" s="711"/>
      <c r="Q6296" s="11"/>
      <c r="R6296" s="11"/>
      <c r="S6296" s="11"/>
      <c r="T6296" s="11"/>
    </row>
    <row r="6297" spans="8:20" x14ac:dyDescent="0.35">
      <c r="H6297" s="711"/>
      <c r="I6297" s="711"/>
      <c r="J6297" s="711"/>
      <c r="K6297" s="711"/>
      <c r="L6297" s="711"/>
      <c r="Q6297" s="11"/>
      <c r="R6297" s="11"/>
      <c r="S6297" s="11"/>
      <c r="T6297" s="11"/>
    </row>
    <row r="6298" spans="8:20" x14ac:dyDescent="0.35">
      <c r="H6298" s="711"/>
      <c r="I6298" s="711"/>
      <c r="J6298" s="711"/>
      <c r="K6298" s="711"/>
      <c r="L6298" s="711"/>
      <c r="Q6298" s="11"/>
      <c r="R6298" s="11"/>
      <c r="S6298" s="11"/>
      <c r="T6298" s="11"/>
    </row>
    <row r="6299" spans="8:20" x14ac:dyDescent="0.35">
      <c r="H6299" s="711"/>
      <c r="I6299" s="711"/>
      <c r="J6299" s="711"/>
      <c r="K6299" s="711"/>
      <c r="L6299" s="711"/>
      <c r="Q6299" s="11"/>
      <c r="R6299" s="11"/>
      <c r="S6299" s="11"/>
      <c r="T6299" s="11"/>
    </row>
    <row r="6300" spans="8:20" x14ac:dyDescent="0.35">
      <c r="H6300" s="711"/>
      <c r="I6300" s="711"/>
      <c r="J6300" s="711"/>
      <c r="K6300" s="711"/>
      <c r="L6300" s="711"/>
      <c r="Q6300" s="11"/>
      <c r="R6300" s="11"/>
      <c r="S6300" s="11"/>
      <c r="T6300" s="11"/>
    </row>
    <row r="6301" spans="8:20" x14ac:dyDescent="0.35">
      <c r="H6301" s="711"/>
      <c r="I6301" s="711"/>
      <c r="J6301" s="711"/>
      <c r="K6301" s="711"/>
      <c r="L6301" s="711"/>
      <c r="Q6301" s="11"/>
      <c r="R6301" s="11"/>
      <c r="S6301" s="11"/>
      <c r="T6301" s="11"/>
    </row>
    <row r="6302" spans="8:20" x14ac:dyDescent="0.35">
      <c r="H6302" s="711"/>
      <c r="I6302" s="711"/>
      <c r="J6302" s="711"/>
      <c r="K6302" s="711"/>
      <c r="L6302" s="711"/>
      <c r="Q6302" s="11"/>
      <c r="R6302" s="11"/>
      <c r="S6302" s="11"/>
      <c r="T6302" s="11"/>
    </row>
    <row r="6303" spans="8:20" x14ac:dyDescent="0.35">
      <c r="H6303" s="711"/>
      <c r="I6303" s="711"/>
      <c r="J6303" s="711"/>
      <c r="K6303" s="711"/>
      <c r="L6303" s="711"/>
      <c r="Q6303" s="11"/>
      <c r="R6303" s="11"/>
      <c r="S6303" s="11"/>
      <c r="T6303" s="11"/>
    </row>
    <row r="6304" spans="8:20" x14ac:dyDescent="0.35">
      <c r="H6304" s="711"/>
      <c r="I6304" s="711"/>
      <c r="J6304" s="711"/>
      <c r="K6304" s="711"/>
      <c r="L6304" s="711"/>
      <c r="Q6304" s="11"/>
      <c r="R6304" s="11"/>
      <c r="S6304" s="11"/>
      <c r="T6304" s="11"/>
    </row>
    <row r="6305" spans="8:20" x14ac:dyDescent="0.35">
      <c r="H6305" s="711"/>
      <c r="I6305" s="711"/>
      <c r="J6305" s="711"/>
      <c r="K6305" s="711"/>
      <c r="L6305" s="711"/>
      <c r="Q6305" s="11"/>
      <c r="R6305" s="11"/>
      <c r="S6305" s="11"/>
      <c r="T6305" s="11"/>
    </row>
    <row r="6306" spans="8:20" x14ac:dyDescent="0.35">
      <c r="H6306" s="711"/>
      <c r="I6306" s="711"/>
      <c r="J6306" s="711"/>
      <c r="K6306" s="711"/>
      <c r="L6306" s="711"/>
      <c r="Q6306" s="11"/>
      <c r="R6306" s="11"/>
      <c r="S6306" s="11"/>
      <c r="T6306" s="11"/>
    </row>
    <row r="6307" spans="8:20" x14ac:dyDescent="0.35">
      <c r="H6307" s="711"/>
      <c r="I6307" s="711"/>
      <c r="J6307" s="711"/>
      <c r="K6307" s="711"/>
      <c r="L6307" s="711"/>
      <c r="Q6307" s="11"/>
      <c r="R6307" s="11"/>
      <c r="S6307" s="11"/>
      <c r="T6307" s="11"/>
    </row>
    <row r="6308" spans="8:20" x14ac:dyDescent="0.35">
      <c r="H6308" s="711"/>
      <c r="I6308" s="711"/>
      <c r="J6308" s="711"/>
      <c r="K6308" s="711"/>
      <c r="L6308" s="711"/>
      <c r="Q6308" s="11"/>
      <c r="R6308" s="11"/>
      <c r="S6308" s="11"/>
      <c r="T6308" s="11"/>
    </row>
    <row r="6309" spans="8:20" x14ac:dyDescent="0.35">
      <c r="H6309" s="711"/>
      <c r="I6309" s="711"/>
      <c r="J6309" s="711"/>
      <c r="K6309" s="711"/>
      <c r="L6309" s="711"/>
      <c r="Q6309" s="11"/>
      <c r="R6309" s="11"/>
      <c r="S6309" s="11"/>
      <c r="T6309" s="11"/>
    </row>
    <row r="6310" spans="8:20" x14ac:dyDescent="0.35">
      <c r="H6310" s="711"/>
      <c r="I6310" s="711"/>
      <c r="J6310" s="711"/>
      <c r="K6310" s="711"/>
      <c r="L6310" s="711"/>
      <c r="Q6310" s="11"/>
      <c r="R6310" s="11"/>
      <c r="S6310" s="11"/>
      <c r="T6310" s="11"/>
    </row>
    <row r="6311" spans="8:20" x14ac:dyDescent="0.35">
      <c r="H6311" s="711"/>
      <c r="I6311" s="711"/>
      <c r="J6311" s="711"/>
      <c r="K6311" s="711"/>
      <c r="L6311" s="711"/>
      <c r="Q6311" s="11"/>
      <c r="R6311" s="11"/>
      <c r="S6311" s="11"/>
      <c r="T6311" s="11"/>
    </row>
    <row r="6312" spans="8:20" x14ac:dyDescent="0.35">
      <c r="H6312" s="711"/>
      <c r="I6312" s="711"/>
      <c r="J6312" s="711"/>
      <c r="K6312" s="711"/>
      <c r="L6312" s="711"/>
      <c r="Q6312" s="11"/>
      <c r="R6312" s="11"/>
      <c r="S6312" s="11"/>
      <c r="T6312" s="11"/>
    </row>
    <row r="6313" spans="8:20" x14ac:dyDescent="0.35">
      <c r="H6313" s="711"/>
      <c r="I6313" s="711"/>
      <c r="J6313" s="711"/>
      <c r="K6313" s="711"/>
      <c r="L6313" s="711"/>
      <c r="Q6313" s="11"/>
      <c r="R6313" s="11"/>
      <c r="S6313" s="11"/>
      <c r="T6313" s="11"/>
    </row>
    <row r="6314" spans="8:20" x14ac:dyDescent="0.35">
      <c r="H6314" s="711"/>
      <c r="I6314" s="711"/>
      <c r="J6314" s="711"/>
      <c r="K6314" s="711"/>
      <c r="L6314" s="711"/>
      <c r="Q6314" s="11"/>
      <c r="R6314" s="11"/>
      <c r="S6314" s="11"/>
      <c r="T6314" s="11"/>
    </row>
    <row r="6315" spans="8:20" x14ac:dyDescent="0.35">
      <c r="H6315" s="711"/>
      <c r="I6315" s="711"/>
      <c r="J6315" s="711"/>
      <c r="K6315" s="711"/>
      <c r="L6315" s="711"/>
      <c r="Q6315" s="11"/>
      <c r="R6315" s="11"/>
      <c r="S6315" s="11"/>
      <c r="T6315" s="11"/>
    </row>
    <row r="6316" spans="8:20" x14ac:dyDescent="0.35">
      <c r="H6316" s="711"/>
      <c r="I6316" s="711"/>
      <c r="J6316" s="711"/>
      <c r="K6316" s="711"/>
      <c r="L6316" s="711"/>
      <c r="Q6316" s="11"/>
      <c r="R6316" s="11"/>
      <c r="S6316" s="11"/>
      <c r="T6316" s="11"/>
    </row>
    <row r="6317" spans="8:20" x14ac:dyDescent="0.35">
      <c r="H6317" s="711"/>
      <c r="I6317" s="711"/>
      <c r="J6317" s="711"/>
      <c r="K6317" s="711"/>
      <c r="L6317" s="711"/>
      <c r="Q6317" s="11"/>
      <c r="R6317" s="11"/>
      <c r="S6317" s="11"/>
      <c r="T6317" s="11"/>
    </row>
    <row r="6318" spans="8:20" x14ac:dyDescent="0.35">
      <c r="H6318" s="711"/>
      <c r="I6318" s="711"/>
      <c r="J6318" s="711"/>
      <c r="K6318" s="711"/>
      <c r="L6318" s="711"/>
      <c r="Q6318" s="11"/>
      <c r="R6318" s="11"/>
      <c r="S6318" s="11"/>
      <c r="T6318" s="11"/>
    </row>
    <row r="6319" spans="8:20" x14ac:dyDescent="0.35">
      <c r="H6319" s="711"/>
      <c r="I6319" s="711"/>
      <c r="J6319" s="711"/>
      <c r="K6319" s="711"/>
      <c r="L6319" s="711"/>
      <c r="Q6319" s="11"/>
      <c r="R6319" s="11"/>
      <c r="S6319" s="11"/>
      <c r="T6319" s="11"/>
    </row>
    <row r="6320" spans="8:20" x14ac:dyDescent="0.35">
      <c r="H6320" s="711"/>
      <c r="I6320" s="711"/>
      <c r="J6320" s="711"/>
      <c r="K6320" s="711"/>
      <c r="L6320" s="711"/>
      <c r="Q6320" s="11"/>
      <c r="R6320" s="11"/>
      <c r="S6320" s="11"/>
      <c r="T6320" s="11"/>
    </row>
    <row r="6321" spans="8:20" x14ac:dyDescent="0.35">
      <c r="H6321" s="711"/>
      <c r="I6321" s="711"/>
      <c r="J6321" s="711"/>
      <c r="K6321" s="711"/>
      <c r="L6321" s="711"/>
      <c r="Q6321" s="11"/>
      <c r="R6321" s="11"/>
      <c r="S6321" s="11"/>
      <c r="T6321" s="11"/>
    </row>
    <row r="6322" spans="8:20" x14ac:dyDescent="0.35">
      <c r="H6322" s="711"/>
      <c r="I6322" s="711"/>
      <c r="J6322" s="711"/>
      <c r="K6322" s="711"/>
      <c r="L6322" s="711"/>
      <c r="Q6322" s="11"/>
      <c r="R6322" s="11"/>
      <c r="S6322" s="11"/>
      <c r="T6322" s="11"/>
    </row>
    <row r="6323" spans="8:20" x14ac:dyDescent="0.35">
      <c r="H6323" s="711"/>
      <c r="I6323" s="711"/>
      <c r="J6323" s="711"/>
      <c r="K6323" s="711"/>
      <c r="L6323" s="711"/>
      <c r="Q6323" s="11"/>
      <c r="R6323" s="11"/>
      <c r="S6323" s="11"/>
      <c r="T6323" s="11"/>
    </row>
    <row r="6324" spans="8:20" x14ac:dyDescent="0.35">
      <c r="H6324" s="711"/>
      <c r="I6324" s="711"/>
      <c r="J6324" s="711"/>
      <c r="K6324" s="711"/>
      <c r="L6324" s="711"/>
      <c r="Q6324" s="11"/>
      <c r="R6324" s="11"/>
      <c r="S6324" s="11"/>
      <c r="T6324" s="11"/>
    </row>
    <row r="6325" spans="8:20" x14ac:dyDescent="0.35">
      <c r="H6325" s="711"/>
      <c r="I6325" s="711"/>
      <c r="J6325" s="711"/>
      <c r="K6325" s="711"/>
      <c r="L6325" s="711"/>
      <c r="Q6325" s="11"/>
      <c r="R6325" s="11"/>
      <c r="S6325" s="11"/>
      <c r="T6325" s="11"/>
    </row>
    <row r="6326" spans="8:20" x14ac:dyDescent="0.35">
      <c r="H6326" s="711"/>
      <c r="I6326" s="711"/>
      <c r="J6326" s="711"/>
      <c r="K6326" s="711"/>
      <c r="L6326" s="711"/>
      <c r="Q6326" s="11"/>
      <c r="R6326" s="11"/>
      <c r="S6326" s="11"/>
      <c r="T6326" s="11"/>
    </row>
    <row r="6327" spans="8:20" x14ac:dyDescent="0.35">
      <c r="H6327" s="711"/>
      <c r="I6327" s="711"/>
      <c r="J6327" s="711"/>
      <c r="K6327" s="711"/>
      <c r="L6327" s="711"/>
      <c r="Q6327" s="11"/>
      <c r="R6327" s="11"/>
      <c r="S6327" s="11"/>
      <c r="T6327" s="11"/>
    </row>
    <row r="6328" spans="8:20" x14ac:dyDescent="0.35">
      <c r="H6328" s="711"/>
      <c r="I6328" s="711"/>
      <c r="J6328" s="711"/>
      <c r="K6328" s="711"/>
      <c r="L6328" s="711"/>
      <c r="Q6328" s="11"/>
      <c r="R6328" s="11"/>
      <c r="S6328" s="11"/>
      <c r="T6328" s="11"/>
    </row>
    <row r="6329" spans="8:20" x14ac:dyDescent="0.35">
      <c r="H6329" s="711"/>
      <c r="I6329" s="711"/>
      <c r="J6329" s="711"/>
      <c r="K6329" s="711"/>
      <c r="L6329" s="711"/>
      <c r="Q6329" s="11"/>
      <c r="R6329" s="11"/>
      <c r="S6329" s="11"/>
      <c r="T6329" s="11"/>
    </row>
    <row r="6330" spans="8:20" x14ac:dyDescent="0.35">
      <c r="H6330" s="711"/>
      <c r="I6330" s="711"/>
      <c r="J6330" s="711"/>
      <c r="K6330" s="711"/>
      <c r="L6330" s="711"/>
      <c r="Q6330" s="11"/>
      <c r="R6330" s="11"/>
      <c r="S6330" s="11"/>
      <c r="T6330" s="11"/>
    </row>
    <row r="6331" spans="8:20" x14ac:dyDescent="0.35">
      <c r="H6331" s="711"/>
      <c r="I6331" s="711"/>
      <c r="J6331" s="711"/>
      <c r="K6331" s="711"/>
      <c r="L6331" s="711"/>
      <c r="Q6331" s="11"/>
      <c r="R6331" s="11"/>
      <c r="S6331" s="11"/>
      <c r="T6331" s="11"/>
    </row>
    <row r="6332" spans="8:20" x14ac:dyDescent="0.35">
      <c r="H6332" s="711"/>
      <c r="I6332" s="711"/>
      <c r="J6332" s="711"/>
      <c r="K6332" s="711"/>
      <c r="L6332" s="711"/>
      <c r="Q6332" s="11"/>
      <c r="R6332" s="11"/>
      <c r="S6332" s="11"/>
      <c r="T6332" s="11"/>
    </row>
    <row r="6333" spans="8:20" x14ac:dyDescent="0.35">
      <c r="H6333" s="711"/>
      <c r="I6333" s="711"/>
      <c r="J6333" s="711"/>
      <c r="K6333" s="711"/>
      <c r="L6333" s="711"/>
      <c r="Q6333" s="11"/>
      <c r="R6333" s="11"/>
      <c r="S6333" s="11"/>
      <c r="T6333" s="11"/>
    </row>
    <row r="6334" spans="8:20" x14ac:dyDescent="0.35">
      <c r="H6334" s="711"/>
      <c r="I6334" s="711"/>
      <c r="J6334" s="711"/>
      <c r="K6334" s="711"/>
      <c r="L6334" s="711"/>
      <c r="Q6334" s="11"/>
      <c r="R6334" s="11"/>
      <c r="S6334" s="11"/>
      <c r="T6334" s="11"/>
    </row>
    <row r="6335" spans="8:20" x14ac:dyDescent="0.35">
      <c r="H6335" s="711"/>
      <c r="I6335" s="711"/>
      <c r="J6335" s="711"/>
      <c r="K6335" s="711"/>
      <c r="L6335" s="711"/>
      <c r="Q6335" s="11"/>
      <c r="R6335" s="11"/>
      <c r="S6335" s="11"/>
      <c r="T6335" s="11"/>
    </row>
    <row r="6336" spans="8:20" x14ac:dyDescent="0.35">
      <c r="H6336" s="711"/>
      <c r="I6336" s="711"/>
      <c r="J6336" s="711"/>
      <c r="K6336" s="711"/>
      <c r="L6336" s="711"/>
      <c r="Q6336" s="11"/>
      <c r="R6336" s="11"/>
      <c r="S6336" s="11"/>
      <c r="T6336" s="11"/>
    </row>
    <row r="6337" spans="8:20" x14ac:dyDescent="0.35">
      <c r="H6337" s="711"/>
      <c r="I6337" s="711"/>
      <c r="J6337" s="711"/>
      <c r="K6337" s="711"/>
      <c r="L6337" s="711"/>
      <c r="Q6337" s="11"/>
      <c r="R6337" s="11"/>
      <c r="S6337" s="11"/>
      <c r="T6337" s="11"/>
    </row>
    <row r="6338" spans="8:20" x14ac:dyDescent="0.35">
      <c r="H6338" s="711"/>
      <c r="I6338" s="711"/>
      <c r="J6338" s="711"/>
      <c r="K6338" s="711"/>
      <c r="L6338" s="711"/>
      <c r="Q6338" s="11"/>
      <c r="R6338" s="11"/>
      <c r="S6338" s="11"/>
      <c r="T6338" s="11"/>
    </row>
    <row r="6339" spans="8:20" x14ac:dyDescent="0.35">
      <c r="H6339" s="711"/>
      <c r="I6339" s="711"/>
      <c r="J6339" s="711"/>
      <c r="K6339" s="711"/>
      <c r="L6339" s="711"/>
      <c r="Q6339" s="11"/>
      <c r="R6339" s="11"/>
      <c r="S6339" s="11"/>
      <c r="T6339" s="11"/>
    </row>
    <row r="6340" spans="8:20" x14ac:dyDescent="0.35">
      <c r="H6340" s="711"/>
      <c r="I6340" s="711"/>
      <c r="J6340" s="711"/>
      <c r="K6340" s="711"/>
      <c r="L6340" s="711"/>
      <c r="Q6340" s="11"/>
      <c r="R6340" s="11"/>
      <c r="S6340" s="11"/>
      <c r="T6340" s="11"/>
    </row>
    <row r="6341" spans="8:20" x14ac:dyDescent="0.35">
      <c r="H6341" s="711"/>
      <c r="I6341" s="711"/>
      <c r="J6341" s="711"/>
      <c r="K6341" s="711"/>
      <c r="L6341" s="711"/>
      <c r="Q6341" s="11"/>
      <c r="R6341" s="11"/>
      <c r="S6341" s="11"/>
      <c r="T6341" s="11"/>
    </row>
    <row r="6342" spans="8:20" x14ac:dyDescent="0.35">
      <c r="H6342" s="711"/>
      <c r="I6342" s="711"/>
      <c r="J6342" s="711"/>
      <c r="K6342" s="711"/>
      <c r="L6342" s="711"/>
      <c r="Q6342" s="11"/>
      <c r="R6342" s="11"/>
      <c r="S6342" s="11"/>
      <c r="T6342" s="11"/>
    </row>
    <row r="6343" spans="8:20" x14ac:dyDescent="0.35">
      <c r="H6343" s="711"/>
      <c r="I6343" s="711"/>
      <c r="J6343" s="711"/>
      <c r="K6343" s="711"/>
      <c r="L6343" s="711"/>
      <c r="Q6343" s="11"/>
      <c r="R6343" s="11"/>
      <c r="S6343" s="11"/>
      <c r="T6343" s="11"/>
    </row>
    <row r="6344" spans="8:20" x14ac:dyDescent="0.35">
      <c r="H6344" s="711"/>
      <c r="I6344" s="711"/>
      <c r="J6344" s="711"/>
      <c r="K6344" s="711"/>
      <c r="L6344" s="711"/>
      <c r="Q6344" s="11"/>
      <c r="R6344" s="11"/>
      <c r="S6344" s="11"/>
      <c r="T6344" s="11"/>
    </row>
    <row r="6345" spans="8:20" x14ac:dyDescent="0.35">
      <c r="H6345" s="711"/>
      <c r="I6345" s="711"/>
      <c r="J6345" s="711"/>
      <c r="K6345" s="711"/>
      <c r="L6345" s="711"/>
      <c r="Q6345" s="11"/>
      <c r="R6345" s="11"/>
      <c r="S6345" s="11"/>
      <c r="T6345" s="11"/>
    </row>
    <row r="6346" spans="8:20" x14ac:dyDescent="0.35">
      <c r="H6346" s="711"/>
      <c r="I6346" s="711"/>
      <c r="J6346" s="711"/>
      <c r="K6346" s="711"/>
      <c r="L6346" s="711"/>
      <c r="Q6346" s="11"/>
      <c r="R6346" s="11"/>
      <c r="S6346" s="11"/>
      <c r="T6346" s="11"/>
    </row>
    <row r="6347" spans="8:20" x14ac:dyDescent="0.35">
      <c r="H6347" s="711"/>
      <c r="I6347" s="711"/>
      <c r="J6347" s="711"/>
      <c r="K6347" s="711"/>
      <c r="L6347" s="711"/>
      <c r="Q6347" s="11"/>
      <c r="R6347" s="11"/>
      <c r="S6347" s="11"/>
      <c r="T6347" s="11"/>
    </row>
    <row r="6348" spans="8:20" x14ac:dyDescent="0.35">
      <c r="H6348" s="711"/>
      <c r="I6348" s="711"/>
      <c r="J6348" s="711"/>
      <c r="K6348" s="711"/>
      <c r="L6348" s="711"/>
      <c r="Q6348" s="11"/>
      <c r="R6348" s="11"/>
      <c r="S6348" s="11"/>
      <c r="T6348" s="11"/>
    </row>
    <row r="6349" spans="8:20" x14ac:dyDescent="0.35">
      <c r="H6349" s="711"/>
      <c r="I6349" s="711"/>
      <c r="J6349" s="711"/>
      <c r="K6349" s="711"/>
      <c r="L6349" s="711"/>
      <c r="Q6349" s="11"/>
      <c r="R6349" s="11"/>
      <c r="S6349" s="11"/>
      <c r="T6349" s="11"/>
    </row>
    <row r="6350" spans="8:20" x14ac:dyDescent="0.35">
      <c r="H6350" s="711"/>
      <c r="I6350" s="711"/>
      <c r="J6350" s="711"/>
      <c r="K6350" s="711"/>
      <c r="L6350" s="711"/>
      <c r="Q6350" s="11"/>
      <c r="R6350" s="11"/>
      <c r="S6350" s="11"/>
      <c r="T6350" s="11"/>
    </row>
    <row r="6351" spans="8:20" x14ac:dyDescent="0.35">
      <c r="H6351" s="711"/>
      <c r="I6351" s="711"/>
      <c r="J6351" s="711"/>
      <c r="K6351" s="711"/>
      <c r="L6351" s="711"/>
      <c r="Q6351" s="11"/>
      <c r="R6351" s="11"/>
      <c r="S6351" s="11"/>
      <c r="T6351" s="11"/>
    </row>
    <row r="6352" spans="8:20" x14ac:dyDescent="0.35">
      <c r="H6352" s="711"/>
      <c r="I6352" s="711"/>
      <c r="J6352" s="711"/>
      <c r="K6352" s="711"/>
      <c r="L6352" s="711"/>
      <c r="Q6352" s="11"/>
      <c r="R6352" s="11"/>
      <c r="S6352" s="11"/>
      <c r="T6352" s="11"/>
    </row>
    <row r="6353" spans="8:20" x14ac:dyDescent="0.35">
      <c r="H6353" s="711"/>
      <c r="I6353" s="711"/>
      <c r="J6353" s="711"/>
      <c r="K6353" s="711"/>
      <c r="L6353" s="711"/>
      <c r="Q6353" s="11"/>
      <c r="R6353" s="11"/>
      <c r="S6353" s="11"/>
      <c r="T6353" s="11"/>
    </row>
    <row r="6354" spans="8:20" x14ac:dyDescent="0.35">
      <c r="H6354" s="711"/>
      <c r="I6354" s="711"/>
      <c r="J6354" s="711"/>
      <c r="K6354" s="711"/>
      <c r="L6354" s="711"/>
      <c r="Q6354" s="11"/>
      <c r="R6354" s="11"/>
      <c r="S6354" s="11"/>
      <c r="T6354" s="11"/>
    </row>
    <row r="6355" spans="8:20" x14ac:dyDescent="0.35">
      <c r="H6355" s="711"/>
      <c r="I6355" s="711"/>
      <c r="J6355" s="711"/>
      <c r="K6355" s="711"/>
      <c r="L6355" s="711"/>
      <c r="Q6355" s="11"/>
      <c r="R6355" s="11"/>
      <c r="S6355" s="11"/>
      <c r="T6355" s="11"/>
    </row>
    <row r="6356" spans="8:20" x14ac:dyDescent="0.35">
      <c r="H6356" s="711"/>
      <c r="I6356" s="711"/>
      <c r="J6356" s="711"/>
      <c r="K6356" s="711"/>
      <c r="L6356" s="711"/>
      <c r="Q6356" s="11"/>
      <c r="R6356" s="11"/>
      <c r="S6356" s="11"/>
      <c r="T6356" s="11"/>
    </row>
    <row r="6357" spans="8:20" x14ac:dyDescent="0.35">
      <c r="H6357" s="711"/>
      <c r="I6357" s="711"/>
      <c r="J6357" s="711"/>
      <c r="K6357" s="711"/>
      <c r="L6357" s="711"/>
      <c r="Q6357" s="11"/>
      <c r="R6357" s="11"/>
      <c r="S6357" s="11"/>
      <c r="T6357" s="11"/>
    </row>
    <row r="6358" spans="8:20" x14ac:dyDescent="0.35">
      <c r="H6358" s="711"/>
      <c r="I6358" s="711"/>
      <c r="J6358" s="711"/>
      <c r="K6358" s="711"/>
      <c r="L6358" s="711"/>
      <c r="Q6358" s="11"/>
      <c r="R6358" s="11"/>
      <c r="S6358" s="11"/>
      <c r="T6358" s="11"/>
    </row>
    <row r="6359" spans="8:20" x14ac:dyDescent="0.35">
      <c r="H6359" s="711"/>
      <c r="I6359" s="711"/>
      <c r="J6359" s="711"/>
      <c r="K6359" s="711"/>
      <c r="L6359" s="711"/>
      <c r="Q6359" s="11"/>
      <c r="R6359" s="11"/>
      <c r="S6359" s="11"/>
      <c r="T6359" s="11"/>
    </row>
    <row r="6360" spans="8:20" x14ac:dyDescent="0.35">
      <c r="H6360" s="711"/>
      <c r="I6360" s="711"/>
      <c r="J6360" s="711"/>
      <c r="K6360" s="711"/>
      <c r="L6360" s="711"/>
      <c r="Q6360" s="11"/>
      <c r="R6360" s="11"/>
      <c r="S6360" s="11"/>
      <c r="T6360" s="11"/>
    </row>
    <row r="6361" spans="8:20" x14ac:dyDescent="0.35">
      <c r="H6361" s="711"/>
      <c r="I6361" s="711"/>
      <c r="J6361" s="711"/>
      <c r="K6361" s="711"/>
      <c r="L6361" s="711"/>
      <c r="Q6361" s="11"/>
      <c r="R6361" s="11"/>
      <c r="S6361" s="11"/>
      <c r="T6361" s="11"/>
    </row>
    <row r="6362" spans="8:20" x14ac:dyDescent="0.35">
      <c r="H6362" s="711"/>
      <c r="I6362" s="711"/>
      <c r="J6362" s="711"/>
      <c r="K6362" s="711"/>
      <c r="L6362" s="711"/>
      <c r="Q6362" s="11"/>
      <c r="R6362" s="11"/>
      <c r="S6362" s="11"/>
      <c r="T6362" s="11"/>
    </row>
    <row r="6363" spans="8:20" x14ac:dyDescent="0.35">
      <c r="H6363" s="711"/>
      <c r="I6363" s="711"/>
      <c r="J6363" s="711"/>
      <c r="K6363" s="711"/>
      <c r="L6363" s="711"/>
      <c r="Q6363" s="11"/>
      <c r="R6363" s="11"/>
      <c r="S6363" s="11"/>
      <c r="T6363" s="11"/>
    </row>
    <row r="6364" spans="8:20" x14ac:dyDescent="0.35">
      <c r="H6364" s="711"/>
      <c r="I6364" s="711"/>
      <c r="J6364" s="711"/>
      <c r="K6364" s="711"/>
      <c r="L6364" s="711"/>
      <c r="Q6364" s="11"/>
      <c r="R6364" s="11"/>
      <c r="S6364" s="11"/>
      <c r="T6364" s="11"/>
    </row>
    <row r="6365" spans="8:20" x14ac:dyDescent="0.35">
      <c r="H6365" s="711"/>
      <c r="I6365" s="711"/>
      <c r="J6365" s="711"/>
      <c r="K6365" s="711"/>
      <c r="L6365" s="711"/>
      <c r="Q6365" s="11"/>
      <c r="R6365" s="11"/>
      <c r="S6365" s="11"/>
      <c r="T6365" s="11"/>
    </row>
    <row r="6366" spans="8:20" x14ac:dyDescent="0.35">
      <c r="H6366" s="711"/>
      <c r="I6366" s="711"/>
      <c r="J6366" s="711"/>
      <c r="K6366" s="711"/>
      <c r="L6366" s="711"/>
      <c r="Q6366" s="11"/>
      <c r="R6366" s="11"/>
      <c r="S6366" s="11"/>
      <c r="T6366" s="11"/>
    </row>
    <row r="6367" spans="8:20" x14ac:dyDescent="0.35">
      <c r="H6367" s="711"/>
      <c r="I6367" s="711"/>
      <c r="J6367" s="711"/>
      <c r="K6367" s="711"/>
      <c r="L6367" s="711"/>
      <c r="Q6367" s="11"/>
      <c r="R6367" s="11"/>
      <c r="S6367" s="11"/>
      <c r="T6367" s="11"/>
    </row>
    <row r="6368" spans="8:20" x14ac:dyDescent="0.35">
      <c r="H6368" s="711"/>
      <c r="I6368" s="711"/>
      <c r="J6368" s="711"/>
      <c r="K6368" s="711"/>
      <c r="L6368" s="711"/>
      <c r="Q6368" s="11"/>
      <c r="R6368" s="11"/>
      <c r="S6368" s="11"/>
      <c r="T6368" s="11"/>
    </row>
    <row r="6369" spans="8:20" x14ac:dyDescent="0.35">
      <c r="H6369" s="711"/>
      <c r="I6369" s="711"/>
      <c r="J6369" s="711"/>
      <c r="K6369" s="711"/>
      <c r="L6369" s="711"/>
      <c r="Q6369" s="11"/>
      <c r="R6369" s="11"/>
      <c r="S6369" s="11"/>
      <c r="T6369" s="11"/>
    </row>
    <row r="6370" spans="8:20" x14ac:dyDescent="0.35">
      <c r="H6370" s="711"/>
      <c r="I6370" s="711"/>
      <c r="J6370" s="711"/>
      <c r="K6370" s="711"/>
      <c r="L6370" s="711"/>
      <c r="Q6370" s="11"/>
      <c r="R6370" s="11"/>
      <c r="S6370" s="11"/>
      <c r="T6370" s="11"/>
    </row>
    <row r="6371" spans="8:20" x14ac:dyDescent="0.35">
      <c r="H6371" s="711"/>
      <c r="I6371" s="711"/>
      <c r="J6371" s="711"/>
      <c r="K6371" s="711"/>
      <c r="L6371" s="711"/>
      <c r="Q6371" s="11"/>
      <c r="R6371" s="11"/>
      <c r="S6371" s="11"/>
      <c r="T6371" s="11"/>
    </row>
    <row r="6372" spans="8:20" x14ac:dyDescent="0.35">
      <c r="H6372" s="711"/>
      <c r="I6372" s="711"/>
      <c r="J6372" s="711"/>
      <c r="K6372" s="711"/>
      <c r="L6372" s="711"/>
      <c r="Q6372" s="11"/>
      <c r="R6372" s="11"/>
      <c r="S6372" s="11"/>
      <c r="T6372" s="11"/>
    </row>
    <row r="6373" spans="8:20" x14ac:dyDescent="0.35">
      <c r="H6373" s="711"/>
      <c r="I6373" s="711"/>
      <c r="J6373" s="711"/>
      <c r="K6373" s="711"/>
      <c r="L6373" s="711"/>
      <c r="Q6373" s="11"/>
      <c r="R6373" s="11"/>
      <c r="S6373" s="11"/>
      <c r="T6373" s="11"/>
    </row>
    <row r="6374" spans="8:20" x14ac:dyDescent="0.35">
      <c r="H6374" s="711"/>
      <c r="I6374" s="711"/>
      <c r="J6374" s="711"/>
      <c r="K6374" s="711"/>
      <c r="L6374" s="711"/>
      <c r="Q6374" s="11"/>
      <c r="R6374" s="11"/>
      <c r="S6374" s="11"/>
      <c r="T6374" s="11"/>
    </row>
    <row r="6375" spans="8:20" x14ac:dyDescent="0.35">
      <c r="H6375" s="711"/>
      <c r="I6375" s="711"/>
      <c r="J6375" s="711"/>
      <c r="K6375" s="711"/>
      <c r="L6375" s="711"/>
      <c r="Q6375" s="11"/>
      <c r="R6375" s="11"/>
      <c r="S6375" s="11"/>
      <c r="T6375" s="11"/>
    </row>
    <row r="6376" spans="8:20" x14ac:dyDescent="0.35">
      <c r="H6376" s="711"/>
      <c r="I6376" s="711"/>
      <c r="J6376" s="711"/>
      <c r="K6376" s="711"/>
      <c r="L6376" s="711"/>
      <c r="Q6376" s="11"/>
      <c r="R6376" s="11"/>
      <c r="S6376" s="11"/>
      <c r="T6376" s="11"/>
    </row>
    <row r="6377" spans="8:20" x14ac:dyDescent="0.35">
      <c r="H6377" s="711"/>
      <c r="I6377" s="711"/>
      <c r="J6377" s="711"/>
      <c r="K6377" s="711"/>
      <c r="L6377" s="711"/>
      <c r="Q6377" s="11"/>
      <c r="R6377" s="11"/>
      <c r="S6377" s="11"/>
      <c r="T6377" s="11"/>
    </row>
    <row r="6378" spans="8:20" x14ac:dyDescent="0.35">
      <c r="H6378" s="711"/>
      <c r="I6378" s="711"/>
      <c r="J6378" s="711"/>
      <c r="K6378" s="711"/>
      <c r="L6378" s="711"/>
      <c r="Q6378" s="11"/>
      <c r="R6378" s="11"/>
      <c r="S6378" s="11"/>
      <c r="T6378" s="11"/>
    </row>
    <row r="6379" spans="8:20" x14ac:dyDescent="0.35">
      <c r="H6379" s="711"/>
      <c r="I6379" s="711"/>
      <c r="J6379" s="711"/>
      <c r="K6379" s="711"/>
      <c r="L6379" s="711"/>
      <c r="Q6379" s="11"/>
      <c r="R6379" s="11"/>
      <c r="S6379" s="11"/>
      <c r="T6379" s="11"/>
    </row>
    <row r="6380" spans="8:20" x14ac:dyDescent="0.35">
      <c r="H6380" s="711"/>
      <c r="I6380" s="711"/>
      <c r="J6380" s="711"/>
      <c r="K6380" s="711"/>
      <c r="L6380" s="711"/>
      <c r="Q6380" s="11"/>
      <c r="R6380" s="11"/>
      <c r="S6380" s="11"/>
      <c r="T6380" s="11"/>
    </row>
    <row r="6381" spans="8:20" x14ac:dyDescent="0.35">
      <c r="H6381" s="711"/>
      <c r="I6381" s="711"/>
      <c r="J6381" s="711"/>
      <c r="K6381" s="711"/>
      <c r="L6381" s="711"/>
      <c r="Q6381" s="11"/>
      <c r="R6381" s="11"/>
      <c r="S6381" s="11"/>
      <c r="T6381" s="11"/>
    </row>
    <row r="6382" spans="8:20" x14ac:dyDescent="0.35">
      <c r="H6382" s="711"/>
      <c r="I6382" s="711"/>
      <c r="J6382" s="711"/>
      <c r="K6382" s="711"/>
      <c r="L6382" s="711"/>
      <c r="Q6382" s="11"/>
      <c r="R6382" s="11"/>
      <c r="S6382" s="11"/>
      <c r="T6382" s="11"/>
    </row>
    <row r="6383" spans="8:20" x14ac:dyDescent="0.35">
      <c r="H6383" s="711"/>
      <c r="I6383" s="711"/>
      <c r="J6383" s="711"/>
      <c r="K6383" s="711"/>
      <c r="L6383" s="711"/>
      <c r="Q6383" s="11"/>
      <c r="R6383" s="11"/>
      <c r="S6383" s="11"/>
      <c r="T6383" s="11"/>
    </row>
    <row r="6384" spans="8:20" x14ac:dyDescent="0.35">
      <c r="H6384" s="711"/>
      <c r="I6384" s="711"/>
      <c r="J6384" s="711"/>
      <c r="K6384" s="711"/>
      <c r="L6384" s="711"/>
      <c r="Q6384" s="11"/>
      <c r="R6384" s="11"/>
      <c r="S6384" s="11"/>
      <c r="T6384" s="11"/>
    </row>
    <row r="6385" spans="8:20" x14ac:dyDescent="0.35">
      <c r="H6385" s="711"/>
      <c r="I6385" s="711"/>
      <c r="J6385" s="711"/>
      <c r="K6385" s="711"/>
      <c r="L6385" s="711"/>
      <c r="Q6385" s="11"/>
      <c r="R6385" s="11"/>
      <c r="S6385" s="11"/>
      <c r="T6385" s="11"/>
    </row>
    <row r="6386" spans="8:20" x14ac:dyDescent="0.35">
      <c r="H6386" s="711"/>
      <c r="I6386" s="711"/>
      <c r="J6386" s="711"/>
      <c r="K6386" s="711"/>
      <c r="L6386" s="711"/>
      <c r="Q6386" s="11"/>
      <c r="R6386" s="11"/>
      <c r="S6386" s="11"/>
      <c r="T6386" s="11"/>
    </row>
    <row r="6387" spans="8:20" x14ac:dyDescent="0.35">
      <c r="H6387" s="711"/>
      <c r="I6387" s="711"/>
      <c r="J6387" s="711"/>
      <c r="K6387" s="711"/>
      <c r="L6387" s="711"/>
      <c r="Q6387" s="11"/>
      <c r="R6387" s="11"/>
      <c r="S6387" s="11"/>
      <c r="T6387" s="11"/>
    </row>
    <row r="6388" spans="8:20" x14ac:dyDescent="0.35">
      <c r="H6388" s="711"/>
      <c r="I6388" s="711"/>
      <c r="J6388" s="711"/>
      <c r="K6388" s="711"/>
      <c r="L6388" s="711"/>
      <c r="Q6388" s="11"/>
      <c r="R6388" s="11"/>
      <c r="S6388" s="11"/>
      <c r="T6388" s="11"/>
    </row>
    <row r="6389" spans="8:20" x14ac:dyDescent="0.35">
      <c r="H6389" s="711"/>
      <c r="I6389" s="711"/>
      <c r="J6389" s="711"/>
      <c r="K6389" s="711"/>
      <c r="L6389" s="711"/>
      <c r="Q6389" s="11"/>
      <c r="R6389" s="11"/>
      <c r="S6389" s="11"/>
      <c r="T6389" s="11"/>
    </row>
    <row r="6390" spans="8:20" x14ac:dyDescent="0.35">
      <c r="H6390" s="711"/>
      <c r="I6390" s="711"/>
      <c r="J6390" s="711"/>
      <c r="K6390" s="711"/>
      <c r="L6390" s="711"/>
      <c r="Q6390" s="11"/>
      <c r="R6390" s="11"/>
      <c r="S6390" s="11"/>
      <c r="T6390" s="11"/>
    </row>
    <row r="6391" spans="8:20" x14ac:dyDescent="0.35">
      <c r="H6391" s="711"/>
      <c r="I6391" s="711"/>
      <c r="J6391" s="711"/>
      <c r="K6391" s="711"/>
      <c r="L6391" s="711"/>
      <c r="Q6391" s="11"/>
      <c r="R6391" s="11"/>
      <c r="S6391" s="11"/>
      <c r="T6391" s="11"/>
    </row>
    <row r="6392" spans="8:20" x14ac:dyDescent="0.35">
      <c r="H6392" s="711"/>
      <c r="I6392" s="711"/>
      <c r="J6392" s="711"/>
      <c r="K6392" s="711"/>
      <c r="L6392" s="711"/>
      <c r="Q6392" s="11"/>
      <c r="R6392" s="11"/>
      <c r="S6392" s="11"/>
      <c r="T6392" s="11"/>
    </row>
    <row r="6393" spans="8:20" x14ac:dyDescent="0.35">
      <c r="H6393" s="711"/>
      <c r="I6393" s="711"/>
      <c r="J6393" s="711"/>
      <c r="K6393" s="711"/>
      <c r="L6393" s="711"/>
      <c r="Q6393" s="11"/>
      <c r="R6393" s="11"/>
      <c r="S6393" s="11"/>
      <c r="T6393" s="11"/>
    </row>
    <row r="6394" spans="8:20" x14ac:dyDescent="0.35">
      <c r="H6394" s="711"/>
      <c r="I6394" s="711"/>
      <c r="J6394" s="711"/>
      <c r="K6394" s="711"/>
      <c r="L6394" s="711"/>
      <c r="Q6394" s="11"/>
      <c r="R6394" s="11"/>
      <c r="S6394" s="11"/>
      <c r="T6394" s="11"/>
    </row>
    <row r="6395" spans="8:20" x14ac:dyDescent="0.35">
      <c r="H6395" s="711"/>
      <c r="I6395" s="711"/>
      <c r="J6395" s="711"/>
      <c r="K6395" s="711"/>
      <c r="L6395" s="711"/>
      <c r="Q6395" s="11"/>
      <c r="R6395" s="11"/>
      <c r="S6395" s="11"/>
      <c r="T6395" s="11"/>
    </row>
    <row r="6396" spans="8:20" x14ac:dyDescent="0.35">
      <c r="H6396" s="711"/>
      <c r="I6396" s="711"/>
      <c r="J6396" s="711"/>
      <c r="K6396" s="711"/>
      <c r="L6396" s="711"/>
      <c r="Q6396" s="11"/>
      <c r="R6396" s="11"/>
      <c r="S6396" s="11"/>
      <c r="T6396" s="11"/>
    </row>
    <row r="6397" spans="8:20" x14ac:dyDescent="0.35">
      <c r="H6397" s="711"/>
      <c r="I6397" s="711"/>
      <c r="J6397" s="711"/>
      <c r="K6397" s="711"/>
      <c r="L6397" s="711"/>
      <c r="Q6397" s="11"/>
      <c r="R6397" s="11"/>
      <c r="S6397" s="11"/>
      <c r="T6397" s="11"/>
    </row>
    <row r="6398" spans="8:20" x14ac:dyDescent="0.35">
      <c r="H6398" s="711"/>
      <c r="I6398" s="711"/>
      <c r="J6398" s="711"/>
      <c r="K6398" s="711"/>
      <c r="L6398" s="711"/>
      <c r="Q6398" s="11"/>
      <c r="R6398" s="11"/>
      <c r="S6398" s="11"/>
      <c r="T6398" s="11"/>
    </row>
    <row r="6399" spans="8:20" x14ac:dyDescent="0.35">
      <c r="H6399" s="711"/>
      <c r="I6399" s="711"/>
      <c r="J6399" s="711"/>
      <c r="K6399" s="711"/>
      <c r="L6399" s="711"/>
      <c r="Q6399" s="11"/>
      <c r="R6399" s="11"/>
      <c r="S6399" s="11"/>
      <c r="T6399" s="11"/>
    </row>
    <row r="6400" spans="8:20" x14ac:dyDescent="0.35">
      <c r="H6400" s="711"/>
      <c r="I6400" s="711"/>
      <c r="J6400" s="711"/>
      <c r="K6400" s="711"/>
      <c r="L6400" s="711"/>
      <c r="Q6400" s="11"/>
      <c r="R6400" s="11"/>
      <c r="S6400" s="11"/>
      <c r="T6400" s="11"/>
    </row>
    <row r="6401" spans="8:20" x14ac:dyDescent="0.35">
      <c r="H6401" s="711"/>
      <c r="I6401" s="711"/>
      <c r="J6401" s="711"/>
      <c r="K6401" s="711"/>
      <c r="L6401" s="711"/>
      <c r="Q6401" s="11"/>
      <c r="R6401" s="11"/>
      <c r="S6401" s="11"/>
      <c r="T6401" s="11"/>
    </row>
    <row r="6402" spans="8:20" x14ac:dyDescent="0.35">
      <c r="H6402" s="711"/>
      <c r="I6402" s="711"/>
      <c r="J6402" s="711"/>
      <c r="K6402" s="711"/>
      <c r="L6402" s="711"/>
      <c r="Q6402" s="11"/>
      <c r="R6402" s="11"/>
      <c r="S6402" s="11"/>
      <c r="T6402" s="11"/>
    </row>
    <row r="6403" spans="8:20" x14ac:dyDescent="0.35">
      <c r="H6403" s="711"/>
      <c r="I6403" s="711"/>
      <c r="J6403" s="711"/>
      <c r="K6403" s="711"/>
      <c r="L6403" s="711"/>
      <c r="Q6403" s="11"/>
      <c r="R6403" s="11"/>
      <c r="S6403" s="11"/>
      <c r="T6403" s="11"/>
    </row>
    <row r="6404" spans="8:20" x14ac:dyDescent="0.35">
      <c r="H6404" s="711"/>
      <c r="I6404" s="711"/>
      <c r="J6404" s="711"/>
      <c r="K6404" s="711"/>
      <c r="L6404" s="711"/>
      <c r="Q6404" s="11"/>
      <c r="R6404" s="11"/>
      <c r="S6404" s="11"/>
      <c r="T6404" s="11"/>
    </row>
    <row r="6405" spans="8:20" x14ac:dyDescent="0.35">
      <c r="H6405" s="711"/>
      <c r="I6405" s="711"/>
      <c r="J6405" s="711"/>
      <c r="K6405" s="711"/>
      <c r="L6405" s="711"/>
      <c r="Q6405" s="11"/>
      <c r="R6405" s="11"/>
      <c r="S6405" s="11"/>
      <c r="T6405" s="11"/>
    </row>
    <row r="6406" spans="8:20" x14ac:dyDescent="0.35">
      <c r="H6406" s="711"/>
      <c r="I6406" s="711"/>
      <c r="J6406" s="711"/>
      <c r="K6406" s="711"/>
      <c r="L6406" s="711"/>
      <c r="Q6406" s="11"/>
      <c r="R6406" s="11"/>
      <c r="S6406" s="11"/>
      <c r="T6406" s="11"/>
    </row>
    <row r="6407" spans="8:20" x14ac:dyDescent="0.35">
      <c r="H6407" s="711"/>
      <c r="I6407" s="711"/>
      <c r="J6407" s="711"/>
      <c r="K6407" s="711"/>
      <c r="L6407" s="711"/>
      <c r="Q6407" s="11"/>
      <c r="R6407" s="11"/>
      <c r="S6407" s="11"/>
      <c r="T6407" s="11"/>
    </row>
    <row r="6408" spans="8:20" x14ac:dyDescent="0.35">
      <c r="H6408" s="711"/>
      <c r="I6408" s="711"/>
      <c r="J6408" s="711"/>
      <c r="K6408" s="711"/>
      <c r="L6408" s="711"/>
      <c r="Q6408" s="11"/>
      <c r="R6408" s="11"/>
      <c r="S6408" s="11"/>
      <c r="T6408" s="11"/>
    </row>
    <row r="6409" spans="8:20" x14ac:dyDescent="0.35">
      <c r="H6409" s="711"/>
      <c r="I6409" s="711"/>
      <c r="J6409" s="711"/>
      <c r="K6409" s="711"/>
      <c r="L6409" s="711"/>
      <c r="Q6409" s="11"/>
      <c r="R6409" s="11"/>
      <c r="S6409" s="11"/>
      <c r="T6409" s="11"/>
    </row>
    <row r="6410" spans="8:20" x14ac:dyDescent="0.35">
      <c r="H6410" s="711"/>
      <c r="I6410" s="711"/>
      <c r="J6410" s="711"/>
      <c r="K6410" s="711"/>
      <c r="L6410" s="711"/>
      <c r="Q6410" s="11"/>
      <c r="R6410" s="11"/>
      <c r="S6410" s="11"/>
      <c r="T6410" s="11"/>
    </row>
    <row r="6411" spans="8:20" x14ac:dyDescent="0.35">
      <c r="H6411" s="711"/>
      <c r="I6411" s="711"/>
      <c r="J6411" s="711"/>
      <c r="K6411" s="711"/>
      <c r="L6411" s="711"/>
      <c r="Q6411" s="11"/>
      <c r="R6411" s="11"/>
      <c r="S6411" s="11"/>
      <c r="T6411" s="11"/>
    </row>
    <row r="6412" spans="8:20" x14ac:dyDescent="0.35">
      <c r="H6412" s="711"/>
      <c r="I6412" s="711"/>
      <c r="J6412" s="711"/>
      <c r="K6412" s="711"/>
      <c r="L6412" s="711"/>
      <c r="Q6412" s="11"/>
      <c r="R6412" s="11"/>
      <c r="S6412" s="11"/>
      <c r="T6412" s="11"/>
    </row>
    <row r="6413" spans="8:20" x14ac:dyDescent="0.35">
      <c r="H6413" s="711"/>
      <c r="I6413" s="711"/>
      <c r="J6413" s="711"/>
      <c r="K6413" s="711"/>
      <c r="L6413" s="711"/>
      <c r="Q6413" s="11"/>
      <c r="R6413" s="11"/>
      <c r="S6413" s="11"/>
      <c r="T6413" s="11"/>
    </row>
    <row r="6414" spans="8:20" x14ac:dyDescent="0.35">
      <c r="H6414" s="711"/>
      <c r="I6414" s="711"/>
      <c r="J6414" s="711"/>
      <c r="K6414" s="711"/>
      <c r="L6414" s="711"/>
      <c r="Q6414" s="11"/>
      <c r="R6414" s="11"/>
      <c r="S6414" s="11"/>
      <c r="T6414" s="11"/>
    </row>
    <row r="6415" spans="8:20" x14ac:dyDescent="0.35">
      <c r="H6415" s="711"/>
      <c r="I6415" s="711"/>
      <c r="J6415" s="711"/>
      <c r="K6415" s="711"/>
      <c r="L6415" s="711"/>
      <c r="Q6415" s="11"/>
      <c r="R6415" s="11"/>
      <c r="S6415" s="11"/>
      <c r="T6415" s="11"/>
    </row>
    <row r="6416" spans="8:20" x14ac:dyDescent="0.35">
      <c r="H6416" s="711"/>
      <c r="I6416" s="711"/>
      <c r="J6416" s="711"/>
      <c r="K6416" s="711"/>
      <c r="L6416" s="711"/>
      <c r="Q6416" s="11"/>
      <c r="R6416" s="11"/>
      <c r="S6416" s="11"/>
      <c r="T6416" s="11"/>
    </row>
    <row r="6417" spans="8:20" x14ac:dyDescent="0.35">
      <c r="H6417" s="711"/>
      <c r="I6417" s="711"/>
      <c r="J6417" s="711"/>
      <c r="K6417" s="711"/>
      <c r="L6417" s="711"/>
      <c r="Q6417" s="11"/>
      <c r="R6417" s="11"/>
      <c r="S6417" s="11"/>
      <c r="T6417" s="11"/>
    </row>
    <row r="6418" spans="8:20" x14ac:dyDescent="0.35">
      <c r="H6418" s="711"/>
      <c r="I6418" s="711"/>
      <c r="J6418" s="711"/>
      <c r="K6418" s="711"/>
      <c r="L6418" s="711"/>
      <c r="Q6418" s="11"/>
      <c r="R6418" s="11"/>
      <c r="S6418" s="11"/>
      <c r="T6418" s="11"/>
    </row>
    <row r="6419" spans="8:20" x14ac:dyDescent="0.35">
      <c r="H6419" s="711"/>
      <c r="I6419" s="711"/>
      <c r="J6419" s="711"/>
      <c r="K6419" s="711"/>
      <c r="L6419" s="711"/>
      <c r="Q6419" s="11"/>
      <c r="R6419" s="11"/>
      <c r="S6419" s="11"/>
      <c r="T6419" s="11"/>
    </row>
    <row r="6420" spans="8:20" x14ac:dyDescent="0.35">
      <c r="H6420" s="711"/>
      <c r="I6420" s="711"/>
      <c r="J6420" s="711"/>
      <c r="K6420" s="711"/>
      <c r="L6420" s="711"/>
      <c r="Q6420" s="11"/>
      <c r="R6420" s="11"/>
      <c r="S6420" s="11"/>
      <c r="T6420" s="11"/>
    </row>
    <row r="6421" spans="8:20" x14ac:dyDescent="0.35">
      <c r="H6421" s="711"/>
      <c r="I6421" s="711"/>
      <c r="J6421" s="711"/>
      <c r="K6421" s="711"/>
      <c r="L6421" s="711"/>
      <c r="Q6421" s="11"/>
      <c r="R6421" s="11"/>
      <c r="S6421" s="11"/>
      <c r="T6421" s="11"/>
    </row>
    <row r="6422" spans="8:20" x14ac:dyDescent="0.35">
      <c r="H6422" s="711"/>
      <c r="I6422" s="711"/>
      <c r="J6422" s="711"/>
      <c r="K6422" s="711"/>
      <c r="L6422" s="711"/>
      <c r="Q6422" s="11"/>
      <c r="R6422" s="11"/>
      <c r="S6422" s="11"/>
      <c r="T6422" s="11"/>
    </row>
    <row r="6423" spans="8:20" x14ac:dyDescent="0.35">
      <c r="H6423" s="711"/>
      <c r="I6423" s="711"/>
      <c r="J6423" s="711"/>
      <c r="K6423" s="711"/>
      <c r="L6423" s="711"/>
      <c r="Q6423" s="11"/>
      <c r="R6423" s="11"/>
      <c r="S6423" s="11"/>
      <c r="T6423" s="11"/>
    </row>
    <row r="6424" spans="8:20" x14ac:dyDescent="0.35">
      <c r="H6424" s="711"/>
      <c r="I6424" s="711"/>
      <c r="J6424" s="711"/>
      <c r="K6424" s="711"/>
      <c r="L6424" s="711"/>
      <c r="Q6424" s="11"/>
      <c r="R6424" s="11"/>
      <c r="S6424" s="11"/>
      <c r="T6424" s="11"/>
    </row>
    <row r="6425" spans="8:20" x14ac:dyDescent="0.35">
      <c r="H6425" s="711"/>
      <c r="I6425" s="711"/>
      <c r="J6425" s="711"/>
      <c r="K6425" s="711"/>
      <c r="L6425" s="711"/>
      <c r="Q6425" s="11"/>
      <c r="R6425" s="11"/>
      <c r="S6425" s="11"/>
      <c r="T6425" s="11"/>
    </row>
    <row r="6426" spans="8:20" x14ac:dyDescent="0.35">
      <c r="H6426" s="711"/>
      <c r="I6426" s="711"/>
      <c r="J6426" s="711"/>
      <c r="K6426" s="711"/>
      <c r="L6426" s="711"/>
      <c r="Q6426" s="11"/>
      <c r="R6426" s="11"/>
      <c r="S6426" s="11"/>
      <c r="T6426" s="11"/>
    </row>
    <row r="6427" spans="8:20" x14ac:dyDescent="0.35">
      <c r="H6427" s="711"/>
      <c r="I6427" s="711"/>
      <c r="J6427" s="711"/>
      <c r="K6427" s="711"/>
      <c r="L6427" s="711"/>
      <c r="Q6427" s="11"/>
      <c r="R6427" s="11"/>
      <c r="S6427" s="11"/>
      <c r="T6427" s="11"/>
    </row>
    <row r="6428" spans="8:20" x14ac:dyDescent="0.35">
      <c r="H6428" s="711"/>
      <c r="I6428" s="711"/>
      <c r="J6428" s="711"/>
      <c r="K6428" s="711"/>
      <c r="L6428" s="711"/>
      <c r="Q6428" s="11"/>
      <c r="R6428" s="11"/>
      <c r="S6428" s="11"/>
      <c r="T6428" s="11"/>
    </row>
    <row r="6429" spans="8:20" x14ac:dyDescent="0.35">
      <c r="H6429" s="711"/>
      <c r="I6429" s="711"/>
      <c r="J6429" s="711"/>
      <c r="K6429" s="711"/>
      <c r="L6429" s="711"/>
      <c r="Q6429" s="11"/>
      <c r="R6429" s="11"/>
      <c r="S6429" s="11"/>
      <c r="T6429" s="11"/>
    </row>
    <row r="6430" spans="8:20" x14ac:dyDescent="0.35">
      <c r="H6430" s="711"/>
      <c r="I6430" s="711"/>
      <c r="J6430" s="711"/>
      <c r="K6430" s="711"/>
      <c r="L6430" s="711"/>
      <c r="Q6430" s="11"/>
      <c r="R6430" s="11"/>
      <c r="S6430" s="11"/>
      <c r="T6430" s="11"/>
    </row>
    <row r="6431" spans="8:20" x14ac:dyDescent="0.35">
      <c r="H6431" s="711"/>
      <c r="I6431" s="711"/>
      <c r="J6431" s="711"/>
      <c r="K6431" s="711"/>
      <c r="L6431" s="711"/>
      <c r="Q6431" s="11"/>
      <c r="R6431" s="11"/>
      <c r="S6431" s="11"/>
      <c r="T6431" s="11"/>
    </row>
    <row r="6432" spans="8:20" x14ac:dyDescent="0.35">
      <c r="H6432" s="711"/>
      <c r="I6432" s="711"/>
      <c r="J6432" s="711"/>
      <c r="K6432" s="711"/>
      <c r="L6432" s="711"/>
      <c r="Q6432" s="11"/>
      <c r="R6432" s="11"/>
      <c r="S6432" s="11"/>
      <c r="T6432" s="11"/>
    </row>
    <row r="6433" spans="8:20" x14ac:dyDescent="0.35">
      <c r="H6433" s="711"/>
      <c r="I6433" s="711"/>
      <c r="J6433" s="711"/>
      <c r="K6433" s="711"/>
      <c r="L6433" s="711"/>
      <c r="Q6433" s="11"/>
      <c r="R6433" s="11"/>
      <c r="S6433" s="11"/>
      <c r="T6433" s="11"/>
    </row>
    <row r="6434" spans="8:20" x14ac:dyDescent="0.35">
      <c r="H6434" s="711"/>
      <c r="I6434" s="711"/>
      <c r="J6434" s="711"/>
      <c r="K6434" s="711"/>
      <c r="L6434" s="711"/>
      <c r="Q6434" s="11"/>
      <c r="R6434" s="11"/>
      <c r="S6434" s="11"/>
      <c r="T6434" s="11"/>
    </row>
    <row r="6435" spans="8:20" x14ac:dyDescent="0.35">
      <c r="H6435" s="711"/>
      <c r="I6435" s="711"/>
      <c r="J6435" s="711"/>
      <c r="K6435" s="711"/>
      <c r="L6435" s="711"/>
      <c r="Q6435" s="11"/>
      <c r="R6435" s="11"/>
      <c r="S6435" s="11"/>
      <c r="T6435" s="11"/>
    </row>
    <row r="6436" spans="8:20" x14ac:dyDescent="0.35">
      <c r="H6436" s="711"/>
      <c r="I6436" s="711"/>
      <c r="J6436" s="711"/>
      <c r="K6436" s="711"/>
      <c r="L6436" s="711"/>
      <c r="Q6436" s="11"/>
      <c r="R6436" s="11"/>
      <c r="S6436" s="11"/>
      <c r="T6436" s="11"/>
    </row>
    <row r="6437" spans="8:20" x14ac:dyDescent="0.35">
      <c r="H6437" s="711"/>
      <c r="I6437" s="711"/>
      <c r="J6437" s="711"/>
      <c r="K6437" s="711"/>
      <c r="L6437" s="711"/>
      <c r="Q6437" s="11"/>
      <c r="R6437" s="11"/>
      <c r="S6437" s="11"/>
      <c r="T6437" s="11"/>
    </row>
    <row r="6438" spans="8:20" x14ac:dyDescent="0.35">
      <c r="H6438" s="711"/>
      <c r="I6438" s="711"/>
      <c r="J6438" s="711"/>
      <c r="K6438" s="711"/>
      <c r="L6438" s="711"/>
      <c r="Q6438" s="11"/>
      <c r="R6438" s="11"/>
      <c r="S6438" s="11"/>
      <c r="T6438" s="11"/>
    </row>
    <row r="6439" spans="8:20" x14ac:dyDescent="0.35">
      <c r="H6439" s="711"/>
      <c r="I6439" s="711"/>
      <c r="J6439" s="711"/>
      <c r="K6439" s="711"/>
      <c r="L6439" s="711"/>
      <c r="Q6439" s="11"/>
      <c r="R6439" s="11"/>
      <c r="S6439" s="11"/>
      <c r="T6439" s="11"/>
    </row>
    <row r="6440" spans="8:20" x14ac:dyDescent="0.35">
      <c r="H6440" s="711"/>
      <c r="I6440" s="711"/>
      <c r="J6440" s="711"/>
      <c r="K6440" s="711"/>
      <c r="L6440" s="711"/>
      <c r="Q6440" s="11"/>
      <c r="R6440" s="11"/>
      <c r="S6440" s="11"/>
      <c r="T6440" s="11"/>
    </row>
    <row r="6441" spans="8:20" x14ac:dyDescent="0.35">
      <c r="H6441" s="711"/>
      <c r="I6441" s="711"/>
      <c r="J6441" s="711"/>
      <c r="K6441" s="711"/>
      <c r="L6441" s="711"/>
      <c r="Q6441" s="11"/>
      <c r="R6441" s="11"/>
      <c r="S6441" s="11"/>
      <c r="T6441" s="11"/>
    </row>
    <row r="6442" spans="8:20" x14ac:dyDescent="0.35">
      <c r="H6442" s="711"/>
      <c r="I6442" s="711"/>
      <c r="J6442" s="711"/>
      <c r="K6442" s="711"/>
      <c r="L6442" s="711"/>
      <c r="Q6442" s="11"/>
      <c r="R6442" s="11"/>
      <c r="S6442" s="11"/>
      <c r="T6442" s="11"/>
    </row>
    <row r="6443" spans="8:20" x14ac:dyDescent="0.35">
      <c r="H6443" s="711"/>
      <c r="I6443" s="711"/>
      <c r="J6443" s="711"/>
      <c r="K6443" s="711"/>
      <c r="L6443" s="711"/>
      <c r="Q6443" s="11"/>
      <c r="R6443" s="11"/>
      <c r="S6443" s="11"/>
      <c r="T6443" s="11"/>
    </row>
    <row r="6444" spans="8:20" x14ac:dyDescent="0.35">
      <c r="H6444" s="711"/>
      <c r="I6444" s="711"/>
      <c r="J6444" s="711"/>
      <c r="K6444" s="711"/>
      <c r="L6444" s="711"/>
      <c r="Q6444" s="11"/>
      <c r="R6444" s="11"/>
      <c r="S6444" s="11"/>
      <c r="T6444" s="11"/>
    </row>
    <row r="6445" spans="8:20" x14ac:dyDescent="0.35">
      <c r="H6445" s="711"/>
      <c r="I6445" s="711"/>
      <c r="J6445" s="711"/>
      <c r="K6445" s="711"/>
      <c r="L6445" s="711"/>
      <c r="Q6445" s="11"/>
      <c r="R6445" s="11"/>
      <c r="S6445" s="11"/>
      <c r="T6445" s="11"/>
    </row>
    <row r="6446" spans="8:20" x14ac:dyDescent="0.35">
      <c r="H6446" s="711"/>
      <c r="I6446" s="711"/>
      <c r="J6446" s="711"/>
      <c r="K6446" s="711"/>
      <c r="L6446" s="711"/>
      <c r="Q6446" s="11"/>
      <c r="R6446" s="11"/>
      <c r="S6446" s="11"/>
      <c r="T6446" s="11"/>
    </row>
    <row r="6447" spans="8:20" x14ac:dyDescent="0.35">
      <c r="H6447" s="711"/>
      <c r="I6447" s="711"/>
      <c r="J6447" s="711"/>
      <c r="K6447" s="711"/>
      <c r="L6447" s="711"/>
      <c r="Q6447" s="11"/>
      <c r="R6447" s="11"/>
      <c r="S6447" s="11"/>
      <c r="T6447" s="11"/>
    </row>
    <row r="6448" spans="8:20" x14ac:dyDescent="0.35">
      <c r="H6448" s="711"/>
      <c r="I6448" s="711"/>
      <c r="J6448" s="711"/>
      <c r="K6448" s="711"/>
      <c r="L6448" s="711"/>
      <c r="Q6448" s="11"/>
      <c r="R6448" s="11"/>
      <c r="S6448" s="11"/>
      <c r="T6448" s="11"/>
    </row>
    <row r="6449" spans="8:20" x14ac:dyDescent="0.35">
      <c r="H6449" s="711"/>
      <c r="I6449" s="711"/>
      <c r="J6449" s="711"/>
      <c r="K6449" s="711"/>
      <c r="L6449" s="711"/>
      <c r="Q6449" s="11"/>
      <c r="R6449" s="11"/>
      <c r="S6449" s="11"/>
      <c r="T6449" s="11"/>
    </row>
    <row r="6450" spans="8:20" x14ac:dyDescent="0.35">
      <c r="H6450" s="711"/>
      <c r="I6450" s="711"/>
      <c r="J6450" s="711"/>
      <c r="K6450" s="711"/>
      <c r="L6450" s="711"/>
      <c r="Q6450" s="11"/>
      <c r="R6450" s="11"/>
      <c r="S6450" s="11"/>
      <c r="T6450" s="11"/>
    </row>
    <row r="6451" spans="8:20" x14ac:dyDescent="0.35">
      <c r="H6451" s="711"/>
      <c r="I6451" s="711"/>
      <c r="J6451" s="711"/>
      <c r="K6451" s="711"/>
      <c r="L6451" s="711"/>
      <c r="Q6451" s="11"/>
      <c r="R6451" s="11"/>
      <c r="S6451" s="11"/>
      <c r="T6451" s="11"/>
    </row>
    <row r="6452" spans="8:20" x14ac:dyDescent="0.35">
      <c r="H6452" s="711"/>
      <c r="I6452" s="711"/>
      <c r="J6452" s="711"/>
      <c r="K6452" s="711"/>
      <c r="L6452" s="711"/>
      <c r="Q6452" s="11"/>
      <c r="R6452" s="11"/>
      <c r="S6452" s="11"/>
      <c r="T6452" s="11"/>
    </row>
    <row r="6453" spans="8:20" x14ac:dyDescent="0.35">
      <c r="H6453" s="711"/>
      <c r="I6453" s="711"/>
      <c r="J6453" s="711"/>
      <c r="K6453" s="711"/>
      <c r="L6453" s="711"/>
      <c r="Q6453" s="11"/>
      <c r="R6453" s="11"/>
      <c r="S6453" s="11"/>
      <c r="T6453" s="11"/>
    </row>
    <row r="6454" spans="8:20" x14ac:dyDescent="0.35">
      <c r="H6454" s="711"/>
      <c r="I6454" s="711"/>
      <c r="J6454" s="711"/>
      <c r="K6454" s="711"/>
      <c r="L6454" s="711"/>
      <c r="Q6454" s="11"/>
      <c r="R6454" s="11"/>
      <c r="S6454" s="11"/>
      <c r="T6454" s="11"/>
    </row>
    <row r="6455" spans="8:20" x14ac:dyDescent="0.35">
      <c r="H6455" s="711"/>
      <c r="I6455" s="711"/>
      <c r="J6455" s="711"/>
      <c r="K6455" s="711"/>
      <c r="L6455" s="711"/>
      <c r="Q6455" s="11"/>
      <c r="R6455" s="11"/>
      <c r="S6455" s="11"/>
      <c r="T6455" s="11"/>
    </row>
    <row r="6456" spans="8:20" x14ac:dyDescent="0.35">
      <c r="H6456" s="711"/>
      <c r="I6456" s="711"/>
      <c r="J6456" s="711"/>
      <c r="K6456" s="711"/>
      <c r="L6456" s="711"/>
      <c r="Q6456" s="11"/>
      <c r="R6456" s="11"/>
      <c r="S6456" s="11"/>
      <c r="T6456" s="11"/>
    </row>
    <row r="6457" spans="8:20" x14ac:dyDescent="0.35">
      <c r="H6457" s="711"/>
      <c r="I6457" s="711"/>
      <c r="J6457" s="711"/>
      <c r="K6457" s="711"/>
      <c r="L6457" s="711"/>
      <c r="Q6457" s="11"/>
      <c r="R6457" s="11"/>
      <c r="S6457" s="11"/>
      <c r="T6457" s="11"/>
    </row>
    <row r="6458" spans="8:20" x14ac:dyDescent="0.35">
      <c r="H6458" s="711"/>
      <c r="I6458" s="711"/>
      <c r="J6458" s="711"/>
      <c r="K6458" s="711"/>
      <c r="L6458" s="711"/>
      <c r="Q6458" s="11"/>
      <c r="R6458" s="11"/>
      <c r="S6458" s="11"/>
      <c r="T6458" s="11"/>
    </row>
    <row r="6459" spans="8:20" x14ac:dyDescent="0.35">
      <c r="H6459" s="711"/>
      <c r="I6459" s="711"/>
      <c r="J6459" s="711"/>
      <c r="K6459" s="711"/>
      <c r="L6459" s="711"/>
      <c r="Q6459" s="11"/>
      <c r="R6459" s="11"/>
      <c r="S6459" s="11"/>
      <c r="T6459" s="11"/>
    </row>
    <row r="6460" spans="8:20" x14ac:dyDescent="0.35">
      <c r="H6460" s="711"/>
      <c r="I6460" s="711"/>
      <c r="J6460" s="711"/>
      <c r="K6460" s="711"/>
      <c r="L6460" s="711"/>
      <c r="Q6460" s="11"/>
      <c r="R6460" s="11"/>
      <c r="S6460" s="11"/>
      <c r="T6460" s="11"/>
    </row>
    <row r="6461" spans="8:20" x14ac:dyDescent="0.35">
      <c r="H6461" s="711"/>
      <c r="I6461" s="711"/>
      <c r="J6461" s="711"/>
      <c r="K6461" s="711"/>
      <c r="L6461" s="711"/>
      <c r="Q6461" s="11"/>
      <c r="R6461" s="11"/>
      <c r="S6461" s="11"/>
      <c r="T6461" s="11"/>
    </row>
    <row r="6462" spans="8:20" x14ac:dyDescent="0.35">
      <c r="H6462" s="711"/>
      <c r="I6462" s="711"/>
      <c r="J6462" s="711"/>
      <c r="K6462" s="711"/>
      <c r="L6462" s="711"/>
      <c r="Q6462" s="11"/>
      <c r="R6462" s="11"/>
      <c r="S6462" s="11"/>
      <c r="T6462" s="11"/>
    </row>
    <row r="6463" spans="8:20" x14ac:dyDescent="0.35">
      <c r="H6463" s="711"/>
      <c r="I6463" s="711"/>
      <c r="J6463" s="711"/>
      <c r="K6463" s="711"/>
      <c r="L6463" s="711"/>
      <c r="Q6463" s="11"/>
      <c r="R6463" s="11"/>
      <c r="S6463" s="11"/>
      <c r="T6463" s="11"/>
    </row>
    <row r="6464" spans="8:20" x14ac:dyDescent="0.35">
      <c r="H6464" s="711"/>
      <c r="I6464" s="711"/>
      <c r="J6464" s="711"/>
      <c r="K6464" s="711"/>
      <c r="L6464" s="711"/>
      <c r="Q6464" s="11"/>
      <c r="R6464" s="11"/>
      <c r="S6464" s="11"/>
      <c r="T6464" s="11"/>
    </row>
    <row r="6465" spans="8:20" x14ac:dyDescent="0.35">
      <c r="H6465" s="711"/>
      <c r="I6465" s="711"/>
      <c r="J6465" s="711"/>
      <c r="K6465" s="711"/>
      <c r="L6465" s="711"/>
      <c r="Q6465" s="11"/>
      <c r="R6465" s="11"/>
      <c r="S6465" s="11"/>
      <c r="T6465" s="11"/>
    </row>
    <row r="6466" spans="8:20" x14ac:dyDescent="0.35">
      <c r="H6466" s="711"/>
      <c r="I6466" s="711"/>
      <c r="J6466" s="711"/>
      <c r="K6466" s="711"/>
      <c r="L6466" s="711"/>
      <c r="Q6466" s="11"/>
      <c r="R6466" s="11"/>
      <c r="S6466" s="11"/>
      <c r="T6466" s="11"/>
    </row>
    <row r="6467" spans="8:20" x14ac:dyDescent="0.35">
      <c r="H6467" s="711"/>
      <c r="I6467" s="711"/>
      <c r="J6467" s="711"/>
      <c r="K6467" s="711"/>
      <c r="L6467" s="711"/>
      <c r="Q6467" s="11"/>
      <c r="R6467" s="11"/>
      <c r="S6467" s="11"/>
      <c r="T6467" s="11"/>
    </row>
    <row r="6468" spans="8:20" x14ac:dyDescent="0.35">
      <c r="H6468" s="711"/>
      <c r="I6468" s="711"/>
      <c r="J6468" s="711"/>
      <c r="K6468" s="711"/>
      <c r="L6468" s="711"/>
      <c r="Q6468" s="11"/>
      <c r="R6468" s="11"/>
      <c r="S6468" s="11"/>
      <c r="T6468" s="11"/>
    </row>
    <row r="6469" spans="8:20" x14ac:dyDescent="0.35">
      <c r="H6469" s="711"/>
      <c r="I6469" s="711"/>
      <c r="J6469" s="711"/>
      <c r="K6469" s="711"/>
      <c r="L6469" s="711"/>
      <c r="Q6469" s="11"/>
      <c r="R6469" s="11"/>
      <c r="S6469" s="11"/>
      <c r="T6469" s="11"/>
    </row>
    <row r="6470" spans="8:20" x14ac:dyDescent="0.35">
      <c r="H6470" s="711"/>
      <c r="I6470" s="711"/>
      <c r="J6470" s="711"/>
      <c r="K6470" s="711"/>
      <c r="L6470" s="711"/>
      <c r="Q6470" s="11"/>
      <c r="R6470" s="11"/>
      <c r="S6470" s="11"/>
      <c r="T6470" s="11"/>
    </row>
    <row r="6471" spans="8:20" x14ac:dyDescent="0.35">
      <c r="H6471" s="711"/>
      <c r="I6471" s="711"/>
      <c r="J6471" s="711"/>
      <c r="K6471" s="711"/>
      <c r="L6471" s="711"/>
      <c r="Q6471" s="11"/>
      <c r="R6471" s="11"/>
      <c r="S6471" s="11"/>
      <c r="T6471" s="11"/>
    </row>
    <row r="6472" spans="8:20" x14ac:dyDescent="0.35">
      <c r="H6472" s="711"/>
      <c r="I6472" s="711"/>
      <c r="J6472" s="711"/>
      <c r="K6472" s="711"/>
      <c r="L6472" s="711"/>
      <c r="Q6472" s="11"/>
      <c r="R6472" s="11"/>
      <c r="S6472" s="11"/>
      <c r="T6472" s="11"/>
    </row>
    <row r="6473" spans="8:20" x14ac:dyDescent="0.35">
      <c r="H6473" s="711"/>
      <c r="I6473" s="711"/>
      <c r="J6473" s="711"/>
      <c r="K6473" s="711"/>
      <c r="L6473" s="711"/>
      <c r="Q6473" s="11"/>
      <c r="R6473" s="11"/>
      <c r="S6473" s="11"/>
      <c r="T6473" s="11"/>
    </row>
    <row r="6474" spans="8:20" x14ac:dyDescent="0.35">
      <c r="H6474" s="711"/>
      <c r="I6474" s="711"/>
      <c r="J6474" s="711"/>
      <c r="K6474" s="711"/>
      <c r="L6474" s="711"/>
      <c r="Q6474" s="11"/>
      <c r="R6474" s="11"/>
      <c r="S6474" s="11"/>
      <c r="T6474" s="11"/>
    </row>
    <row r="6475" spans="8:20" x14ac:dyDescent="0.35">
      <c r="H6475" s="711"/>
      <c r="I6475" s="711"/>
      <c r="J6475" s="711"/>
      <c r="K6475" s="711"/>
      <c r="L6475" s="711"/>
      <c r="Q6475" s="11"/>
      <c r="R6475" s="11"/>
      <c r="S6475" s="11"/>
      <c r="T6475" s="11"/>
    </row>
    <row r="6476" spans="8:20" x14ac:dyDescent="0.35">
      <c r="H6476" s="711"/>
      <c r="I6476" s="711"/>
      <c r="J6476" s="711"/>
      <c r="K6476" s="711"/>
      <c r="L6476" s="711"/>
      <c r="Q6476" s="11"/>
      <c r="R6476" s="11"/>
      <c r="S6476" s="11"/>
      <c r="T6476" s="11"/>
    </row>
    <row r="6477" spans="8:20" x14ac:dyDescent="0.35">
      <c r="H6477" s="711"/>
      <c r="I6477" s="711"/>
      <c r="J6477" s="711"/>
      <c r="K6477" s="711"/>
      <c r="L6477" s="711"/>
      <c r="Q6477" s="11"/>
      <c r="R6477" s="11"/>
      <c r="S6477" s="11"/>
      <c r="T6477" s="11"/>
    </row>
    <row r="6478" spans="8:20" x14ac:dyDescent="0.35">
      <c r="H6478" s="711"/>
      <c r="I6478" s="711"/>
      <c r="J6478" s="711"/>
      <c r="K6478" s="711"/>
      <c r="L6478" s="711"/>
      <c r="Q6478" s="11"/>
      <c r="R6478" s="11"/>
      <c r="S6478" s="11"/>
      <c r="T6478" s="11"/>
    </row>
    <row r="6479" spans="8:20" x14ac:dyDescent="0.35">
      <c r="H6479" s="711"/>
      <c r="I6479" s="711"/>
      <c r="J6479" s="711"/>
      <c r="K6479" s="711"/>
      <c r="L6479" s="711"/>
      <c r="Q6479" s="11"/>
      <c r="R6479" s="11"/>
      <c r="S6479" s="11"/>
      <c r="T6479" s="11"/>
    </row>
    <row r="6480" spans="8:20" x14ac:dyDescent="0.35">
      <c r="H6480" s="711"/>
      <c r="I6480" s="711"/>
      <c r="J6480" s="711"/>
      <c r="K6480" s="711"/>
      <c r="L6480" s="711"/>
      <c r="Q6480" s="11"/>
      <c r="R6480" s="11"/>
      <c r="S6480" s="11"/>
      <c r="T6480" s="11"/>
    </row>
    <row r="6481" spans="8:20" x14ac:dyDescent="0.35">
      <c r="H6481" s="711"/>
      <c r="I6481" s="711"/>
      <c r="J6481" s="711"/>
      <c r="K6481" s="711"/>
      <c r="L6481" s="711"/>
      <c r="Q6481" s="11"/>
      <c r="R6481" s="11"/>
      <c r="S6481" s="11"/>
      <c r="T6481" s="11"/>
    </row>
    <row r="6482" spans="8:20" x14ac:dyDescent="0.35">
      <c r="H6482" s="711"/>
      <c r="I6482" s="711"/>
      <c r="J6482" s="711"/>
      <c r="K6482" s="711"/>
      <c r="L6482" s="711"/>
      <c r="Q6482" s="11"/>
      <c r="R6482" s="11"/>
      <c r="S6482" s="11"/>
      <c r="T6482" s="11"/>
    </row>
    <row r="6483" spans="8:20" x14ac:dyDescent="0.35">
      <c r="H6483" s="711"/>
      <c r="I6483" s="711"/>
      <c r="J6483" s="711"/>
      <c r="K6483" s="711"/>
      <c r="L6483" s="711"/>
      <c r="Q6483" s="11"/>
      <c r="R6483" s="11"/>
      <c r="S6483" s="11"/>
      <c r="T6483" s="11"/>
    </row>
    <row r="6484" spans="8:20" x14ac:dyDescent="0.35">
      <c r="H6484" s="711"/>
      <c r="I6484" s="711"/>
      <c r="J6484" s="711"/>
      <c r="K6484" s="711"/>
      <c r="L6484" s="711"/>
      <c r="Q6484" s="11"/>
      <c r="R6484" s="11"/>
      <c r="S6484" s="11"/>
      <c r="T6484" s="11"/>
    </row>
    <row r="6485" spans="8:20" x14ac:dyDescent="0.35">
      <c r="H6485" s="711"/>
      <c r="I6485" s="711"/>
      <c r="J6485" s="711"/>
      <c r="K6485" s="711"/>
      <c r="L6485" s="711"/>
      <c r="Q6485" s="11"/>
      <c r="R6485" s="11"/>
      <c r="S6485" s="11"/>
      <c r="T6485" s="11"/>
    </row>
    <row r="6486" spans="8:20" x14ac:dyDescent="0.35">
      <c r="H6486" s="711"/>
      <c r="I6486" s="711"/>
      <c r="J6486" s="711"/>
      <c r="K6486" s="711"/>
      <c r="L6486" s="711"/>
      <c r="Q6486" s="11"/>
      <c r="R6486" s="11"/>
      <c r="S6486" s="11"/>
      <c r="T6486" s="11"/>
    </row>
    <row r="6487" spans="8:20" x14ac:dyDescent="0.35">
      <c r="H6487" s="711"/>
      <c r="I6487" s="711"/>
      <c r="J6487" s="711"/>
      <c r="K6487" s="711"/>
      <c r="L6487" s="711"/>
      <c r="Q6487" s="11"/>
      <c r="R6487" s="11"/>
      <c r="S6487" s="11"/>
      <c r="T6487" s="11"/>
    </row>
    <row r="6488" spans="8:20" x14ac:dyDescent="0.35">
      <c r="H6488" s="711"/>
      <c r="I6488" s="711"/>
      <c r="J6488" s="711"/>
      <c r="K6488" s="711"/>
      <c r="L6488" s="711"/>
      <c r="Q6488" s="11"/>
      <c r="R6488" s="11"/>
      <c r="S6488" s="11"/>
      <c r="T6488" s="11"/>
    </row>
    <row r="6489" spans="8:20" x14ac:dyDescent="0.35">
      <c r="H6489" s="711"/>
      <c r="I6489" s="711"/>
      <c r="J6489" s="711"/>
      <c r="K6489" s="711"/>
      <c r="L6489" s="711"/>
      <c r="Q6489" s="11"/>
      <c r="R6489" s="11"/>
      <c r="S6489" s="11"/>
      <c r="T6489" s="11"/>
    </row>
    <row r="6490" spans="8:20" x14ac:dyDescent="0.35">
      <c r="H6490" s="711"/>
      <c r="I6490" s="711"/>
      <c r="J6490" s="711"/>
      <c r="K6490" s="711"/>
      <c r="L6490" s="711"/>
      <c r="Q6490" s="11"/>
      <c r="R6490" s="11"/>
      <c r="S6490" s="11"/>
      <c r="T6490" s="11"/>
    </row>
    <row r="6491" spans="8:20" x14ac:dyDescent="0.35">
      <c r="H6491" s="711"/>
      <c r="I6491" s="711"/>
      <c r="J6491" s="711"/>
      <c r="K6491" s="711"/>
      <c r="L6491" s="711"/>
      <c r="Q6491" s="11"/>
      <c r="R6491" s="11"/>
      <c r="S6491" s="11"/>
      <c r="T6491" s="11"/>
    </row>
    <row r="6492" spans="8:20" x14ac:dyDescent="0.35">
      <c r="H6492" s="711"/>
      <c r="I6492" s="711"/>
      <c r="J6492" s="711"/>
      <c r="K6492" s="711"/>
      <c r="L6492" s="711"/>
      <c r="Q6492" s="11"/>
      <c r="R6492" s="11"/>
      <c r="S6492" s="11"/>
      <c r="T6492" s="11"/>
    </row>
    <row r="6493" spans="8:20" x14ac:dyDescent="0.35">
      <c r="H6493" s="711"/>
      <c r="I6493" s="711"/>
      <c r="J6493" s="711"/>
      <c r="K6493" s="711"/>
      <c r="L6493" s="711"/>
      <c r="Q6493" s="11"/>
      <c r="R6493" s="11"/>
      <c r="S6493" s="11"/>
      <c r="T6493" s="11"/>
    </row>
    <row r="6494" spans="8:20" x14ac:dyDescent="0.35">
      <c r="H6494" s="711"/>
      <c r="I6494" s="711"/>
      <c r="J6494" s="711"/>
      <c r="K6494" s="711"/>
      <c r="L6494" s="711"/>
      <c r="Q6494" s="11"/>
      <c r="R6494" s="11"/>
      <c r="S6494" s="11"/>
      <c r="T6494" s="11"/>
    </row>
    <row r="6495" spans="8:20" x14ac:dyDescent="0.35">
      <c r="H6495" s="711"/>
      <c r="I6495" s="711"/>
      <c r="J6495" s="711"/>
      <c r="K6495" s="711"/>
      <c r="L6495" s="711"/>
      <c r="Q6495" s="11"/>
      <c r="R6495" s="11"/>
      <c r="S6495" s="11"/>
      <c r="T6495" s="11"/>
    </row>
    <row r="6496" spans="8:20" x14ac:dyDescent="0.35">
      <c r="H6496" s="711"/>
      <c r="I6496" s="711"/>
      <c r="J6496" s="711"/>
      <c r="K6496" s="711"/>
      <c r="L6496" s="711"/>
      <c r="Q6496" s="11"/>
      <c r="R6496" s="11"/>
      <c r="S6496" s="11"/>
      <c r="T6496" s="11"/>
    </row>
    <row r="6497" spans="8:20" x14ac:dyDescent="0.35">
      <c r="H6497" s="711"/>
      <c r="I6497" s="711"/>
      <c r="J6497" s="711"/>
      <c r="K6497" s="711"/>
      <c r="L6497" s="711"/>
      <c r="Q6497" s="11"/>
      <c r="R6497" s="11"/>
      <c r="S6497" s="11"/>
      <c r="T6497" s="11"/>
    </row>
    <row r="6498" spans="8:20" x14ac:dyDescent="0.35">
      <c r="H6498" s="711"/>
      <c r="I6498" s="711"/>
      <c r="J6498" s="711"/>
      <c r="K6498" s="711"/>
      <c r="L6498" s="711"/>
      <c r="Q6498" s="11"/>
      <c r="R6498" s="11"/>
      <c r="S6498" s="11"/>
      <c r="T6498" s="11"/>
    </row>
    <row r="6499" spans="8:20" x14ac:dyDescent="0.35">
      <c r="H6499" s="711"/>
      <c r="I6499" s="711"/>
      <c r="J6499" s="711"/>
      <c r="K6499" s="711"/>
      <c r="L6499" s="711"/>
      <c r="Q6499" s="11"/>
      <c r="R6499" s="11"/>
      <c r="S6499" s="11"/>
      <c r="T6499" s="11"/>
    </row>
    <row r="6500" spans="8:20" x14ac:dyDescent="0.35">
      <c r="H6500" s="711"/>
      <c r="I6500" s="711"/>
      <c r="J6500" s="711"/>
      <c r="K6500" s="711"/>
      <c r="L6500" s="711"/>
      <c r="Q6500" s="11"/>
      <c r="R6500" s="11"/>
      <c r="S6500" s="11"/>
      <c r="T6500" s="11"/>
    </row>
    <row r="6501" spans="8:20" x14ac:dyDescent="0.35">
      <c r="H6501" s="711"/>
      <c r="I6501" s="711"/>
      <c r="J6501" s="711"/>
      <c r="K6501" s="711"/>
      <c r="L6501" s="711"/>
      <c r="Q6501" s="11"/>
      <c r="R6501" s="11"/>
      <c r="S6501" s="11"/>
      <c r="T6501" s="11"/>
    </row>
    <row r="6502" spans="8:20" x14ac:dyDescent="0.35">
      <c r="H6502" s="711"/>
      <c r="I6502" s="711"/>
      <c r="J6502" s="711"/>
      <c r="K6502" s="711"/>
      <c r="L6502" s="711"/>
      <c r="Q6502" s="11"/>
      <c r="R6502" s="11"/>
      <c r="S6502" s="11"/>
      <c r="T6502" s="11"/>
    </row>
    <row r="6503" spans="8:20" x14ac:dyDescent="0.35">
      <c r="H6503" s="711"/>
      <c r="I6503" s="711"/>
      <c r="J6503" s="711"/>
      <c r="K6503" s="711"/>
      <c r="L6503" s="711"/>
      <c r="Q6503" s="11"/>
      <c r="R6503" s="11"/>
      <c r="S6503" s="11"/>
      <c r="T6503" s="11"/>
    </row>
    <row r="6504" spans="8:20" x14ac:dyDescent="0.35">
      <c r="H6504" s="711"/>
      <c r="I6504" s="711"/>
      <c r="J6504" s="711"/>
      <c r="K6504" s="711"/>
      <c r="L6504" s="711"/>
      <c r="Q6504" s="11"/>
      <c r="R6504" s="11"/>
      <c r="S6504" s="11"/>
      <c r="T6504" s="11"/>
    </row>
    <row r="6505" spans="8:20" x14ac:dyDescent="0.35">
      <c r="H6505" s="711"/>
      <c r="I6505" s="711"/>
      <c r="J6505" s="711"/>
      <c r="K6505" s="711"/>
      <c r="L6505" s="711"/>
      <c r="Q6505" s="11"/>
      <c r="R6505" s="11"/>
      <c r="S6505" s="11"/>
      <c r="T6505" s="11"/>
    </row>
    <row r="6506" spans="8:20" x14ac:dyDescent="0.35">
      <c r="H6506" s="711"/>
      <c r="I6506" s="711"/>
      <c r="J6506" s="711"/>
      <c r="K6506" s="711"/>
      <c r="L6506" s="711"/>
      <c r="Q6506" s="11"/>
      <c r="R6506" s="11"/>
      <c r="S6506" s="11"/>
      <c r="T6506" s="11"/>
    </row>
    <row r="6507" spans="8:20" x14ac:dyDescent="0.35">
      <c r="H6507" s="711"/>
      <c r="I6507" s="711"/>
      <c r="J6507" s="711"/>
      <c r="K6507" s="711"/>
      <c r="L6507" s="711"/>
      <c r="Q6507" s="11"/>
      <c r="R6507" s="11"/>
      <c r="S6507" s="11"/>
      <c r="T6507" s="11"/>
    </row>
    <row r="6508" spans="8:20" x14ac:dyDescent="0.35">
      <c r="H6508" s="711"/>
      <c r="I6508" s="711"/>
      <c r="J6508" s="711"/>
      <c r="K6508" s="711"/>
      <c r="L6508" s="711"/>
      <c r="Q6508" s="11"/>
      <c r="R6508" s="11"/>
      <c r="S6508" s="11"/>
      <c r="T6508" s="11"/>
    </row>
    <row r="6509" spans="8:20" x14ac:dyDescent="0.35">
      <c r="H6509" s="711"/>
      <c r="I6509" s="711"/>
      <c r="J6509" s="711"/>
      <c r="K6509" s="711"/>
      <c r="L6509" s="711"/>
      <c r="Q6509" s="11"/>
      <c r="R6509" s="11"/>
      <c r="S6509" s="11"/>
      <c r="T6509" s="11"/>
    </row>
    <row r="6510" spans="8:20" x14ac:dyDescent="0.35">
      <c r="H6510" s="711"/>
      <c r="I6510" s="711"/>
      <c r="J6510" s="711"/>
      <c r="K6510" s="711"/>
      <c r="L6510" s="711"/>
      <c r="Q6510" s="11"/>
      <c r="R6510" s="11"/>
      <c r="S6510" s="11"/>
      <c r="T6510" s="11"/>
    </row>
    <row r="6511" spans="8:20" x14ac:dyDescent="0.35">
      <c r="H6511" s="711"/>
      <c r="I6511" s="711"/>
      <c r="J6511" s="711"/>
      <c r="K6511" s="711"/>
      <c r="L6511" s="711"/>
      <c r="Q6511" s="11"/>
      <c r="R6511" s="11"/>
      <c r="S6511" s="11"/>
      <c r="T6511" s="11"/>
    </row>
    <row r="6512" spans="8:20" x14ac:dyDescent="0.35">
      <c r="H6512" s="711"/>
      <c r="I6512" s="711"/>
      <c r="J6512" s="711"/>
      <c r="K6512" s="711"/>
      <c r="L6512" s="711"/>
      <c r="Q6512" s="11"/>
      <c r="R6512" s="11"/>
      <c r="S6512" s="11"/>
      <c r="T6512" s="11"/>
    </row>
    <row r="6513" spans="8:20" x14ac:dyDescent="0.35">
      <c r="H6513" s="711"/>
      <c r="I6513" s="711"/>
      <c r="J6513" s="711"/>
      <c r="K6513" s="711"/>
      <c r="L6513" s="711"/>
      <c r="Q6513" s="11"/>
      <c r="R6513" s="11"/>
      <c r="S6513" s="11"/>
      <c r="T6513" s="11"/>
    </row>
    <row r="6514" spans="8:20" x14ac:dyDescent="0.35">
      <c r="H6514" s="711"/>
      <c r="I6514" s="711"/>
      <c r="J6514" s="711"/>
      <c r="K6514" s="711"/>
      <c r="L6514" s="711"/>
      <c r="Q6514" s="11"/>
      <c r="R6514" s="11"/>
      <c r="S6514" s="11"/>
      <c r="T6514" s="11"/>
    </row>
    <row r="6515" spans="8:20" x14ac:dyDescent="0.35">
      <c r="H6515" s="711"/>
      <c r="I6515" s="711"/>
      <c r="J6515" s="711"/>
      <c r="K6515" s="711"/>
      <c r="L6515" s="711"/>
      <c r="Q6515" s="11"/>
      <c r="R6515" s="11"/>
      <c r="S6515" s="11"/>
      <c r="T6515" s="11"/>
    </row>
    <row r="6516" spans="8:20" x14ac:dyDescent="0.35">
      <c r="H6516" s="711"/>
      <c r="I6516" s="711"/>
      <c r="J6516" s="711"/>
      <c r="K6516" s="711"/>
      <c r="L6516" s="711"/>
      <c r="Q6516" s="11"/>
      <c r="R6516" s="11"/>
      <c r="S6516" s="11"/>
      <c r="T6516" s="11"/>
    </row>
    <row r="6517" spans="8:20" x14ac:dyDescent="0.35">
      <c r="H6517" s="711"/>
      <c r="I6517" s="711"/>
      <c r="J6517" s="711"/>
      <c r="K6517" s="711"/>
      <c r="L6517" s="711"/>
      <c r="Q6517" s="11"/>
      <c r="R6517" s="11"/>
      <c r="S6517" s="11"/>
      <c r="T6517" s="11"/>
    </row>
    <row r="6518" spans="8:20" x14ac:dyDescent="0.35">
      <c r="H6518" s="711"/>
      <c r="I6518" s="711"/>
      <c r="J6518" s="711"/>
      <c r="K6518" s="711"/>
      <c r="L6518" s="711"/>
      <c r="Q6518" s="11"/>
      <c r="R6518" s="11"/>
      <c r="S6518" s="11"/>
      <c r="T6518" s="11"/>
    </row>
    <row r="6519" spans="8:20" x14ac:dyDescent="0.35">
      <c r="H6519" s="711"/>
      <c r="I6519" s="711"/>
      <c r="J6519" s="711"/>
      <c r="K6519" s="711"/>
      <c r="L6519" s="711"/>
      <c r="Q6519" s="11"/>
      <c r="R6519" s="11"/>
      <c r="S6519" s="11"/>
      <c r="T6519" s="11"/>
    </row>
    <row r="6520" spans="8:20" x14ac:dyDescent="0.35">
      <c r="H6520" s="711"/>
      <c r="I6520" s="711"/>
      <c r="J6520" s="711"/>
      <c r="K6520" s="711"/>
      <c r="L6520" s="711"/>
      <c r="Q6520" s="11"/>
      <c r="R6520" s="11"/>
      <c r="S6520" s="11"/>
      <c r="T6520" s="11"/>
    </row>
    <row r="6521" spans="8:20" x14ac:dyDescent="0.35">
      <c r="H6521" s="711"/>
      <c r="I6521" s="711"/>
      <c r="J6521" s="711"/>
      <c r="K6521" s="711"/>
      <c r="L6521" s="711"/>
      <c r="Q6521" s="11"/>
      <c r="R6521" s="11"/>
      <c r="S6521" s="11"/>
      <c r="T6521" s="11"/>
    </row>
    <row r="6522" spans="8:20" x14ac:dyDescent="0.35">
      <c r="H6522" s="711"/>
      <c r="I6522" s="711"/>
      <c r="J6522" s="711"/>
      <c r="K6522" s="711"/>
      <c r="L6522" s="711"/>
      <c r="Q6522" s="11"/>
      <c r="R6522" s="11"/>
      <c r="S6522" s="11"/>
      <c r="T6522" s="11"/>
    </row>
    <row r="6523" spans="8:20" x14ac:dyDescent="0.35">
      <c r="H6523" s="711"/>
      <c r="I6523" s="711"/>
      <c r="J6523" s="711"/>
      <c r="K6523" s="711"/>
      <c r="L6523" s="711"/>
      <c r="Q6523" s="11"/>
      <c r="R6523" s="11"/>
      <c r="S6523" s="11"/>
      <c r="T6523" s="11"/>
    </row>
    <row r="6524" spans="8:20" x14ac:dyDescent="0.35">
      <c r="H6524" s="711"/>
      <c r="I6524" s="711"/>
      <c r="J6524" s="711"/>
      <c r="K6524" s="711"/>
      <c r="L6524" s="711"/>
      <c r="Q6524" s="11"/>
      <c r="R6524" s="11"/>
      <c r="S6524" s="11"/>
      <c r="T6524" s="11"/>
    </row>
    <row r="6525" spans="8:20" x14ac:dyDescent="0.35">
      <c r="H6525" s="711"/>
      <c r="I6525" s="711"/>
      <c r="J6525" s="711"/>
      <c r="K6525" s="711"/>
      <c r="L6525" s="711"/>
      <c r="Q6525" s="11"/>
      <c r="R6525" s="11"/>
      <c r="S6525" s="11"/>
      <c r="T6525" s="11"/>
    </row>
    <row r="6526" spans="8:20" x14ac:dyDescent="0.35">
      <c r="H6526" s="711"/>
      <c r="I6526" s="711"/>
      <c r="J6526" s="711"/>
      <c r="K6526" s="711"/>
      <c r="L6526" s="711"/>
      <c r="Q6526" s="11"/>
      <c r="R6526" s="11"/>
      <c r="S6526" s="11"/>
      <c r="T6526" s="11"/>
    </row>
    <row r="6527" spans="8:20" x14ac:dyDescent="0.35">
      <c r="H6527" s="711"/>
      <c r="I6527" s="711"/>
      <c r="J6527" s="711"/>
      <c r="K6527" s="711"/>
      <c r="L6527" s="711"/>
      <c r="Q6527" s="11"/>
      <c r="R6527" s="11"/>
      <c r="S6527" s="11"/>
      <c r="T6527" s="11"/>
    </row>
    <row r="6528" spans="8:20" x14ac:dyDescent="0.35">
      <c r="H6528" s="711"/>
      <c r="I6528" s="711"/>
      <c r="J6528" s="711"/>
      <c r="K6528" s="711"/>
      <c r="L6528" s="711"/>
      <c r="Q6528" s="11"/>
      <c r="R6528" s="11"/>
      <c r="S6528" s="11"/>
      <c r="T6528" s="11"/>
    </row>
    <row r="6529" spans="8:20" x14ac:dyDescent="0.35">
      <c r="H6529" s="711"/>
      <c r="I6529" s="711"/>
      <c r="J6529" s="711"/>
      <c r="K6529" s="711"/>
      <c r="L6529" s="711"/>
      <c r="Q6529" s="11"/>
      <c r="R6529" s="11"/>
      <c r="S6529" s="11"/>
      <c r="T6529" s="11"/>
    </row>
    <row r="6530" spans="8:20" x14ac:dyDescent="0.35">
      <c r="H6530" s="711"/>
      <c r="I6530" s="711"/>
      <c r="J6530" s="711"/>
      <c r="K6530" s="711"/>
      <c r="L6530" s="711"/>
      <c r="Q6530" s="11"/>
      <c r="R6530" s="11"/>
      <c r="S6530" s="11"/>
      <c r="T6530" s="11"/>
    </row>
    <row r="6531" spans="8:20" x14ac:dyDescent="0.35">
      <c r="H6531" s="711"/>
      <c r="I6531" s="711"/>
      <c r="J6531" s="711"/>
      <c r="K6531" s="711"/>
      <c r="L6531" s="711"/>
      <c r="Q6531" s="11"/>
      <c r="R6531" s="11"/>
      <c r="S6531" s="11"/>
      <c r="T6531" s="11"/>
    </row>
    <row r="6532" spans="8:20" x14ac:dyDescent="0.35">
      <c r="H6532" s="711"/>
      <c r="I6532" s="711"/>
      <c r="J6532" s="711"/>
      <c r="K6532" s="711"/>
      <c r="L6532" s="711"/>
      <c r="Q6532" s="11"/>
      <c r="R6532" s="11"/>
      <c r="S6532" s="11"/>
      <c r="T6532" s="11"/>
    </row>
    <row r="6533" spans="8:20" x14ac:dyDescent="0.35">
      <c r="H6533" s="711"/>
      <c r="I6533" s="711"/>
      <c r="J6533" s="711"/>
      <c r="K6533" s="711"/>
      <c r="L6533" s="711"/>
      <c r="Q6533" s="11"/>
      <c r="R6533" s="11"/>
      <c r="S6533" s="11"/>
      <c r="T6533" s="11"/>
    </row>
    <row r="6534" spans="8:20" x14ac:dyDescent="0.35">
      <c r="H6534" s="711"/>
      <c r="I6534" s="711"/>
      <c r="J6534" s="711"/>
      <c r="K6534" s="711"/>
      <c r="L6534" s="711"/>
      <c r="Q6534" s="11"/>
      <c r="R6534" s="11"/>
      <c r="S6534" s="11"/>
      <c r="T6534" s="11"/>
    </row>
    <row r="6535" spans="8:20" x14ac:dyDescent="0.35">
      <c r="H6535" s="711"/>
      <c r="I6535" s="711"/>
      <c r="J6535" s="711"/>
      <c r="K6535" s="711"/>
      <c r="L6535" s="711"/>
      <c r="Q6535" s="11"/>
      <c r="R6535" s="11"/>
      <c r="S6535" s="11"/>
      <c r="T6535" s="11"/>
    </row>
    <row r="6536" spans="8:20" x14ac:dyDescent="0.35">
      <c r="H6536" s="711"/>
      <c r="I6536" s="711"/>
      <c r="J6536" s="711"/>
      <c r="K6536" s="711"/>
      <c r="L6536" s="711"/>
      <c r="Q6536" s="11"/>
      <c r="R6536" s="11"/>
      <c r="S6536" s="11"/>
      <c r="T6536" s="11"/>
    </row>
    <row r="6537" spans="8:20" x14ac:dyDescent="0.35">
      <c r="H6537" s="711"/>
      <c r="I6537" s="711"/>
      <c r="J6537" s="711"/>
      <c r="K6537" s="711"/>
      <c r="L6537" s="711"/>
      <c r="Q6537" s="11"/>
      <c r="R6537" s="11"/>
      <c r="S6537" s="11"/>
      <c r="T6537" s="11"/>
    </row>
    <row r="6538" spans="8:20" x14ac:dyDescent="0.35">
      <c r="H6538" s="711"/>
      <c r="I6538" s="711"/>
      <c r="J6538" s="711"/>
      <c r="K6538" s="711"/>
      <c r="L6538" s="711"/>
      <c r="Q6538" s="11"/>
      <c r="R6538" s="11"/>
      <c r="S6538" s="11"/>
      <c r="T6538" s="11"/>
    </row>
    <row r="6539" spans="8:20" x14ac:dyDescent="0.35">
      <c r="H6539" s="711"/>
      <c r="I6539" s="711"/>
      <c r="J6539" s="711"/>
      <c r="K6539" s="711"/>
      <c r="L6539" s="711"/>
      <c r="Q6539" s="11"/>
      <c r="R6539" s="11"/>
      <c r="S6539" s="11"/>
      <c r="T6539" s="11"/>
    </row>
    <row r="6540" spans="8:20" x14ac:dyDescent="0.35">
      <c r="H6540" s="711"/>
      <c r="I6540" s="711"/>
      <c r="J6540" s="711"/>
      <c r="K6540" s="711"/>
      <c r="L6540" s="711"/>
      <c r="Q6540" s="11"/>
      <c r="R6540" s="11"/>
      <c r="S6540" s="11"/>
      <c r="T6540" s="11"/>
    </row>
    <row r="6541" spans="8:20" x14ac:dyDescent="0.35">
      <c r="H6541" s="711"/>
      <c r="I6541" s="711"/>
      <c r="J6541" s="711"/>
      <c r="K6541" s="711"/>
      <c r="L6541" s="711"/>
      <c r="Q6541" s="11"/>
      <c r="R6541" s="11"/>
      <c r="S6541" s="11"/>
      <c r="T6541" s="11"/>
    </row>
    <row r="6542" spans="8:20" x14ac:dyDescent="0.35">
      <c r="H6542" s="711"/>
      <c r="I6542" s="711"/>
      <c r="J6542" s="711"/>
      <c r="K6542" s="711"/>
      <c r="L6542" s="711"/>
      <c r="Q6542" s="11"/>
      <c r="R6542" s="11"/>
      <c r="S6542" s="11"/>
      <c r="T6542" s="11"/>
    </row>
    <row r="6543" spans="8:20" x14ac:dyDescent="0.35">
      <c r="H6543" s="711"/>
      <c r="I6543" s="711"/>
      <c r="J6543" s="711"/>
      <c r="K6543" s="711"/>
      <c r="L6543" s="711"/>
      <c r="Q6543" s="11"/>
      <c r="R6543" s="11"/>
      <c r="S6543" s="11"/>
      <c r="T6543" s="11"/>
    </row>
    <row r="6544" spans="8:20" x14ac:dyDescent="0.35">
      <c r="H6544" s="711"/>
      <c r="I6544" s="711"/>
      <c r="J6544" s="711"/>
      <c r="K6544" s="711"/>
      <c r="L6544" s="711"/>
      <c r="Q6544" s="11"/>
      <c r="R6544" s="11"/>
      <c r="S6544" s="11"/>
      <c r="T6544" s="11"/>
    </row>
    <row r="6545" spans="8:20" x14ac:dyDescent="0.35">
      <c r="H6545" s="711"/>
      <c r="I6545" s="711"/>
      <c r="J6545" s="711"/>
      <c r="K6545" s="711"/>
      <c r="L6545" s="711"/>
      <c r="Q6545" s="11"/>
      <c r="R6545" s="11"/>
      <c r="S6545" s="11"/>
      <c r="T6545" s="11"/>
    </row>
    <row r="6546" spans="8:20" x14ac:dyDescent="0.35">
      <c r="H6546" s="711"/>
      <c r="I6546" s="711"/>
      <c r="J6546" s="711"/>
      <c r="K6546" s="711"/>
      <c r="L6546" s="711"/>
      <c r="Q6546" s="11"/>
      <c r="R6546" s="11"/>
      <c r="S6546" s="11"/>
      <c r="T6546" s="11"/>
    </row>
    <row r="6547" spans="8:20" x14ac:dyDescent="0.35">
      <c r="H6547" s="711"/>
      <c r="I6547" s="711"/>
      <c r="J6547" s="711"/>
      <c r="K6547" s="711"/>
      <c r="L6547" s="711"/>
      <c r="Q6547" s="11"/>
      <c r="R6547" s="11"/>
      <c r="S6547" s="11"/>
      <c r="T6547" s="11"/>
    </row>
    <row r="6548" spans="8:20" x14ac:dyDescent="0.35">
      <c r="H6548" s="711"/>
      <c r="I6548" s="711"/>
      <c r="J6548" s="711"/>
      <c r="K6548" s="711"/>
      <c r="L6548" s="711"/>
      <c r="Q6548" s="11"/>
      <c r="R6548" s="11"/>
      <c r="S6548" s="11"/>
      <c r="T6548" s="11"/>
    </row>
    <row r="6549" spans="8:20" x14ac:dyDescent="0.35">
      <c r="H6549" s="711"/>
      <c r="I6549" s="711"/>
      <c r="J6549" s="711"/>
      <c r="K6549" s="711"/>
      <c r="L6549" s="711"/>
      <c r="Q6549" s="11"/>
      <c r="R6549" s="11"/>
      <c r="S6549" s="11"/>
      <c r="T6549" s="11"/>
    </row>
    <row r="6550" spans="8:20" x14ac:dyDescent="0.35">
      <c r="H6550" s="711"/>
      <c r="I6550" s="711"/>
      <c r="J6550" s="711"/>
      <c r="K6550" s="711"/>
      <c r="L6550" s="711"/>
      <c r="Q6550" s="11"/>
      <c r="R6550" s="11"/>
      <c r="S6550" s="11"/>
      <c r="T6550" s="11"/>
    </row>
    <row r="6551" spans="8:20" x14ac:dyDescent="0.35">
      <c r="H6551" s="711"/>
      <c r="I6551" s="711"/>
      <c r="J6551" s="711"/>
      <c r="K6551" s="711"/>
      <c r="L6551" s="711"/>
      <c r="Q6551" s="11"/>
      <c r="R6551" s="11"/>
      <c r="S6551" s="11"/>
      <c r="T6551" s="11"/>
    </row>
    <row r="6552" spans="8:20" x14ac:dyDescent="0.35">
      <c r="H6552" s="711"/>
      <c r="I6552" s="711"/>
      <c r="J6552" s="711"/>
      <c r="K6552" s="711"/>
      <c r="L6552" s="711"/>
      <c r="Q6552" s="11"/>
      <c r="R6552" s="11"/>
      <c r="S6552" s="11"/>
      <c r="T6552" s="11"/>
    </row>
    <row r="6553" spans="8:20" x14ac:dyDescent="0.35">
      <c r="H6553" s="711"/>
      <c r="I6553" s="711"/>
      <c r="J6553" s="711"/>
      <c r="K6553" s="711"/>
      <c r="L6553" s="711"/>
      <c r="Q6553" s="11"/>
      <c r="R6553" s="11"/>
      <c r="S6553" s="11"/>
      <c r="T6553" s="11"/>
    </row>
    <row r="6554" spans="8:20" x14ac:dyDescent="0.35">
      <c r="H6554" s="711"/>
      <c r="I6554" s="711"/>
      <c r="J6554" s="711"/>
      <c r="K6554" s="711"/>
      <c r="L6554" s="711"/>
      <c r="Q6554" s="11"/>
      <c r="R6554" s="11"/>
      <c r="S6554" s="11"/>
      <c r="T6554" s="11"/>
    </row>
    <row r="6555" spans="8:20" x14ac:dyDescent="0.35">
      <c r="H6555" s="711"/>
      <c r="I6555" s="711"/>
      <c r="J6555" s="711"/>
      <c r="K6555" s="711"/>
      <c r="L6555" s="711"/>
      <c r="Q6555" s="11"/>
      <c r="R6555" s="11"/>
      <c r="S6555" s="11"/>
      <c r="T6555" s="11"/>
    </row>
    <row r="6556" spans="8:20" x14ac:dyDescent="0.35">
      <c r="H6556" s="711"/>
      <c r="I6556" s="711"/>
      <c r="J6556" s="711"/>
      <c r="K6556" s="711"/>
      <c r="L6556" s="711"/>
      <c r="Q6556" s="11"/>
      <c r="R6556" s="11"/>
      <c r="S6556" s="11"/>
      <c r="T6556" s="11"/>
    </row>
    <row r="6557" spans="8:20" x14ac:dyDescent="0.35">
      <c r="H6557" s="711"/>
      <c r="I6557" s="711"/>
      <c r="J6557" s="711"/>
      <c r="K6557" s="711"/>
      <c r="L6557" s="711"/>
      <c r="Q6557" s="11"/>
      <c r="R6557" s="11"/>
      <c r="S6557" s="11"/>
      <c r="T6557" s="11"/>
    </row>
    <row r="6558" spans="8:20" x14ac:dyDescent="0.35">
      <c r="H6558" s="711"/>
      <c r="I6558" s="711"/>
      <c r="J6558" s="711"/>
      <c r="K6558" s="711"/>
      <c r="L6558" s="711"/>
      <c r="Q6558" s="11"/>
      <c r="R6558" s="11"/>
      <c r="S6558" s="11"/>
      <c r="T6558" s="11"/>
    </row>
    <row r="6559" spans="8:20" x14ac:dyDescent="0.35">
      <c r="H6559" s="711"/>
      <c r="I6559" s="711"/>
      <c r="J6559" s="711"/>
      <c r="K6559" s="711"/>
      <c r="L6559" s="711"/>
      <c r="Q6559" s="11"/>
      <c r="R6559" s="11"/>
      <c r="S6559" s="11"/>
      <c r="T6559" s="11"/>
    </row>
    <row r="6560" spans="8:20" x14ac:dyDescent="0.35">
      <c r="H6560" s="711"/>
      <c r="I6560" s="711"/>
      <c r="J6560" s="711"/>
      <c r="K6560" s="711"/>
      <c r="L6560" s="711"/>
      <c r="Q6560" s="11"/>
      <c r="R6560" s="11"/>
      <c r="S6560" s="11"/>
      <c r="T6560" s="11"/>
    </row>
    <row r="6561" spans="8:20" x14ac:dyDescent="0.35">
      <c r="H6561" s="711"/>
      <c r="I6561" s="711"/>
      <c r="J6561" s="711"/>
      <c r="K6561" s="711"/>
      <c r="L6561" s="711"/>
      <c r="Q6561" s="11"/>
      <c r="R6561" s="11"/>
      <c r="S6561" s="11"/>
      <c r="T6561" s="11"/>
    </row>
    <row r="6562" spans="8:20" x14ac:dyDescent="0.35">
      <c r="H6562" s="711"/>
      <c r="I6562" s="711"/>
      <c r="J6562" s="711"/>
      <c r="K6562" s="711"/>
      <c r="L6562" s="711"/>
      <c r="Q6562" s="11"/>
      <c r="R6562" s="11"/>
      <c r="S6562" s="11"/>
      <c r="T6562" s="11"/>
    </row>
    <row r="6563" spans="8:20" x14ac:dyDescent="0.35">
      <c r="H6563" s="711"/>
      <c r="I6563" s="711"/>
      <c r="J6563" s="711"/>
      <c r="K6563" s="711"/>
      <c r="L6563" s="711"/>
      <c r="Q6563" s="11"/>
      <c r="R6563" s="11"/>
      <c r="S6563" s="11"/>
      <c r="T6563" s="11"/>
    </row>
    <row r="6564" spans="8:20" x14ac:dyDescent="0.35">
      <c r="H6564" s="711"/>
      <c r="I6564" s="711"/>
      <c r="J6564" s="711"/>
      <c r="K6564" s="711"/>
      <c r="L6564" s="711"/>
      <c r="Q6564" s="11"/>
      <c r="R6564" s="11"/>
      <c r="S6564" s="11"/>
      <c r="T6564" s="11"/>
    </row>
    <row r="6565" spans="8:20" x14ac:dyDescent="0.35">
      <c r="H6565" s="711"/>
      <c r="I6565" s="711"/>
      <c r="J6565" s="711"/>
      <c r="K6565" s="711"/>
      <c r="L6565" s="711"/>
      <c r="Q6565" s="11"/>
      <c r="R6565" s="11"/>
      <c r="S6565" s="11"/>
      <c r="T6565" s="11"/>
    </row>
    <row r="6566" spans="8:20" x14ac:dyDescent="0.35">
      <c r="H6566" s="711"/>
      <c r="I6566" s="711"/>
      <c r="J6566" s="711"/>
      <c r="K6566" s="711"/>
      <c r="L6566" s="711"/>
      <c r="Q6566" s="11"/>
      <c r="R6566" s="11"/>
      <c r="S6566" s="11"/>
      <c r="T6566" s="11"/>
    </row>
    <row r="6567" spans="8:20" x14ac:dyDescent="0.35">
      <c r="H6567" s="711"/>
      <c r="I6567" s="711"/>
      <c r="J6567" s="711"/>
      <c r="K6567" s="711"/>
      <c r="L6567" s="711"/>
      <c r="Q6567" s="11"/>
      <c r="R6567" s="11"/>
      <c r="S6567" s="11"/>
      <c r="T6567" s="11"/>
    </row>
    <row r="6568" spans="8:20" x14ac:dyDescent="0.35">
      <c r="H6568" s="711"/>
      <c r="I6568" s="711"/>
      <c r="J6568" s="711"/>
      <c r="K6568" s="711"/>
      <c r="L6568" s="711"/>
      <c r="Q6568" s="11"/>
      <c r="R6568" s="11"/>
      <c r="S6568" s="11"/>
      <c r="T6568" s="11"/>
    </row>
    <row r="6569" spans="8:20" x14ac:dyDescent="0.35">
      <c r="H6569" s="711"/>
      <c r="I6569" s="711"/>
      <c r="J6569" s="711"/>
      <c r="K6569" s="711"/>
      <c r="L6569" s="711"/>
      <c r="Q6569" s="11"/>
      <c r="R6569" s="11"/>
      <c r="S6569" s="11"/>
      <c r="T6569" s="11"/>
    </row>
    <row r="6570" spans="8:20" x14ac:dyDescent="0.35">
      <c r="H6570" s="711"/>
      <c r="I6570" s="711"/>
      <c r="J6570" s="711"/>
      <c r="K6570" s="711"/>
      <c r="L6570" s="711"/>
      <c r="Q6570" s="11"/>
      <c r="R6570" s="11"/>
      <c r="S6570" s="11"/>
      <c r="T6570" s="11"/>
    </row>
    <row r="6571" spans="8:20" x14ac:dyDescent="0.35">
      <c r="H6571" s="711"/>
      <c r="I6571" s="711"/>
      <c r="J6571" s="711"/>
      <c r="K6571" s="711"/>
      <c r="L6571" s="711"/>
      <c r="Q6571" s="11"/>
      <c r="R6571" s="11"/>
      <c r="S6571" s="11"/>
      <c r="T6571" s="11"/>
    </row>
    <row r="6572" spans="8:20" x14ac:dyDescent="0.35">
      <c r="H6572" s="711"/>
      <c r="I6572" s="711"/>
      <c r="J6572" s="711"/>
      <c r="K6572" s="711"/>
      <c r="L6572" s="711"/>
      <c r="Q6572" s="11"/>
      <c r="R6572" s="11"/>
      <c r="S6572" s="11"/>
      <c r="T6572" s="11"/>
    </row>
    <row r="6573" spans="8:20" x14ac:dyDescent="0.35">
      <c r="H6573" s="711"/>
      <c r="I6573" s="711"/>
      <c r="J6573" s="711"/>
      <c r="K6573" s="711"/>
      <c r="L6573" s="711"/>
      <c r="Q6573" s="11"/>
      <c r="R6573" s="11"/>
      <c r="S6573" s="11"/>
      <c r="T6573" s="11"/>
    </row>
    <row r="6574" spans="8:20" x14ac:dyDescent="0.35">
      <c r="H6574" s="711"/>
      <c r="I6574" s="711"/>
      <c r="J6574" s="711"/>
      <c r="K6574" s="711"/>
      <c r="L6574" s="711"/>
      <c r="Q6574" s="11"/>
      <c r="R6574" s="11"/>
      <c r="S6574" s="11"/>
      <c r="T6574" s="11"/>
    </row>
    <row r="6575" spans="8:20" x14ac:dyDescent="0.35">
      <c r="H6575" s="711"/>
      <c r="I6575" s="711"/>
      <c r="J6575" s="711"/>
      <c r="K6575" s="711"/>
      <c r="L6575" s="711"/>
      <c r="Q6575" s="11"/>
      <c r="R6575" s="11"/>
      <c r="S6575" s="11"/>
      <c r="T6575" s="11"/>
    </row>
    <row r="6576" spans="8:20" x14ac:dyDescent="0.35">
      <c r="H6576" s="711"/>
      <c r="I6576" s="711"/>
      <c r="J6576" s="711"/>
      <c r="K6576" s="711"/>
      <c r="L6576" s="711"/>
      <c r="Q6576" s="11"/>
      <c r="R6576" s="11"/>
      <c r="S6576" s="11"/>
      <c r="T6576" s="11"/>
    </row>
    <row r="6577" spans="8:20" x14ac:dyDescent="0.35">
      <c r="H6577" s="711"/>
      <c r="I6577" s="711"/>
      <c r="J6577" s="711"/>
      <c r="K6577" s="711"/>
      <c r="L6577" s="711"/>
      <c r="Q6577" s="11"/>
      <c r="R6577" s="11"/>
      <c r="S6577" s="11"/>
      <c r="T6577" s="11"/>
    </row>
    <row r="6578" spans="8:20" x14ac:dyDescent="0.35">
      <c r="H6578" s="711"/>
      <c r="I6578" s="711"/>
      <c r="J6578" s="711"/>
      <c r="K6578" s="711"/>
      <c r="L6578" s="711"/>
      <c r="Q6578" s="11"/>
      <c r="R6578" s="11"/>
      <c r="S6578" s="11"/>
      <c r="T6578" s="11"/>
    </row>
    <row r="6579" spans="8:20" x14ac:dyDescent="0.35">
      <c r="H6579" s="711"/>
      <c r="I6579" s="711"/>
      <c r="J6579" s="711"/>
      <c r="K6579" s="711"/>
      <c r="L6579" s="711"/>
      <c r="Q6579" s="11"/>
      <c r="R6579" s="11"/>
      <c r="S6579" s="11"/>
      <c r="T6579" s="11"/>
    </row>
    <row r="6580" spans="8:20" x14ac:dyDescent="0.35">
      <c r="H6580" s="711"/>
      <c r="I6580" s="711"/>
      <c r="J6580" s="711"/>
      <c r="K6580" s="711"/>
      <c r="L6580" s="711"/>
      <c r="Q6580" s="11"/>
      <c r="R6580" s="11"/>
      <c r="S6580" s="11"/>
      <c r="T6580" s="11"/>
    </row>
    <row r="6581" spans="8:20" x14ac:dyDescent="0.35">
      <c r="H6581" s="711"/>
      <c r="I6581" s="711"/>
      <c r="J6581" s="711"/>
      <c r="K6581" s="711"/>
      <c r="L6581" s="711"/>
      <c r="Q6581" s="11"/>
      <c r="R6581" s="11"/>
      <c r="S6581" s="11"/>
      <c r="T6581" s="11"/>
    </row>
    <row r="6582" spans="8:20" x14ac:dyDescent="0.35">
      <c r="H6582" s="711"/>
      <c r="I6582" s="711"/>
      <c r="J6582" s="711"/>
      <c r="K6582" s="711"/>
      <c r="L6582" s="711"/>
      <c r="Q6582" s="11"/>
      <c r="R6582" s="11"/>
      <c r="S6582" s="11"/>
      <c r="T6582" s="11"/>
    </row>
    <row r="6583" spans="8:20" x14ac:dyDescent="0.35">
      <c r="H6583" s="711"/>
      <c r="I6583" s="711"/>
      <c r="J6583" s="711"/>
      <c r="K6583" s="711"/>
      <c r="L6583" s="711"/>
      <c r="Q6583" s="11"/>
      <c r="R6583" s="11"/>
      <c r="S6583" s="11"/>
      <c r="T6583" s="11"/>
    </row>
    <row r="6584" spans="8:20" x14ac:dyDescent="0.35">
      <c r="H6584" s="711"/>
      <c r="I6584" s="711"/>
      <c r="J6584" s="711"/>
      <c r="K6584" s="711"/>
      <c r="L6584" s="711"/>
      <c r="Q6584" s="11"/>
      <c r="R6584" s="11"/>
      <c r="S6584" s="11"/>
      <c r="T6584" s="11"/>
    </row>
    <row r="6585" spans="8:20" x14ac:dyDescent="0.35">
      <c r="H6585" s="711"/>
      <c r="I6585" s="711"/>
      <c r="J6585" s="711"/>
      <c r="K6585" s="711"/>
      <c r="L6585" s="711"/>
      <c r="Q6585" s="11"/>
      <c r="R6585" s="11"/>
      <c r="S6585" s="11"/>
      <c r="T6585" s="11"/>
    </row>
    <row r="6586" spans="8:20" x14ac:dyDescent="0.35">
      <c r="H6586" s="711"/>
      <c r="I6586" s="711"/>
      <c r="J6586" s="711"/>
      <c r="K6586" s="711"/>
      <c r="L6586" s="711"/>
      <c r="Q6586" s="11"/>
      <c r="R6586" s="11"/>
      <c r="S6586" s="11"/>
      <c r="T6586" s="11"/>
    </row>
    <row r="6587" spans="8:20" x14ac:dyDescent="0.35">
      <c r="H6587" s="711"/>
      <c r="I6587" s="711"/>
      <c r="J6587" s="711"/>
      <c r="K6587" s="711"/>
      <c r="L6587" s="711"/>
      <c r="Q6587" s="11"/>
      <c r="R6587" s="11"/>
      <c r="S6587" s="11"/>
      <c r="T6587" s="11"/>
    </row>
    <row r="6588" spans="8:20" x14ac:dyDescent="0.35">
      <c r="H6588" s="711"/>
      <c r="I6588" s="711"/>
      <c r="J6588" s="711"/>
      <c r="K6588" s="711"/>
      <c r="L6588" s="711"/>
      <c r="Q6588" s="11"/>
      <c r="R6588" s="11"/>
      <c r="S6588" s="11"/>
      <c r="T6588" s="11"/>
    </row>
    <row r="6589" spans="8:20" x14ac:dyDescent="0.35">
      <c r="H6589" s="711"/>
      <c r="I6589" s="711"/>
      <c r="J6589" s="711"/>
      <c r="K6589" s="711"/>
      <c r="L6589" s="711"/>
      <c r="Q6589" s="11"/>
      <c r="R6589" s="11"/>
      <c r="S6589" s="11"/>
      <c r="T6589" s="11"/>
    </row>
    <row r="6590" spans="8:20" x14ac:dyDescent="0.35">
      <c r="H6590" s="711"/>
      <c r="I6590" s="711"/>
      <c r="J6590" s="711"/>
      <c r="K6590" s="711"/>
      <c r="L6590" s="711"/>
      <c r="Q6590" s="11"/>
      <c r="R6590" s="11"/>
      <c r="S6590" s="11"/>
      <c r="T6590" s="11"/>
    </row>
    <row r="6591" spans="8:20" x14ac:dyDescent="0.35">
      <c r="H6591" s="711"/>
      <c r="I6591" s="711"/>
      <c r="J6591" s="711"/>
      <c r="K6591" s="711"/>
      <c r="L6591" s="711"/>
      <c r="Q6591" s="11"/>
      <c r="R6591" s="11"/>
      <c r="S6591" s="11"/>
      <c r="T6591" s="11"/>
    </row>
    <row r="6592" spans="8:20" x14ac:dyDescent="0.35">
      <c r="H6592" s="711"/>
      <c r="I6592" s="711"/>
      <c r="J6592" s="711"/>
      <c r="K6592" s="711"/>
      <c r="L6592" s="711"/>
      <c r="Q6592" s="11"/>
      <c r="R6592" s="11"/>
      <c r="S6592" s="11"/>
      <c r="T6592" s="11"/>
    </row>
    <row r="6593" spans="8:20" x14ac:dyDescent="0.35">
      <c r="H6593" s="711"/>
      <c r="I6593" s="711"/>
      <c r="J6593" s="711"/>
      <c r="K6593" s="711"/>
      <c r="L6593" s="711"/>
      <c r="Q6593" s="11"/>
      <c r="R6593" s="11"/>
      <c r="S6593" s="11"/>
      <c r="T6593" s="11"/>
    </row>
    <row r="6594" spans="8:20" x14ac:dyDescent="0.35">
      <c r="H6594" s="711"/>
      <c r="I6594" s="711"/>
      <c r="J6594" s="711"/>
      <c r="K6594" s="711"/>
      <c r="L6594" s="711"/>
      <c r="Q6594" s="11"/>
      <c r="R6594" s="11"/>
      <c r="S6594" s="11"/>
      <c r="T6594" s="11"/>
    </row>
    <row r="6595" spans="8:20" x14ac:dyDescent="0.35">
      <c r="H6595" s="711"/>
      <c r="I6595" s="711"/>
      <c r="J6595" s="711"/>
      <c r="K6595" s="711"/>
      <c r="L6595" s="711"/>
      <c r="Q6595" s="11"/>
      <c r="R6595" s="11"/>
      <c r="S6595" s="11"/>
      <c r="T6595" s="11"/>
    </row>
    <row r="6596" spans="8:20" x14ac:dyDescent="0.35">
      <c r="H6596" s="711"/>
      <c r="I6596" s="711"/>
      <c r="J6596" s="711"/>
      <c r="K6596" s="711"/>
      <c r="L6596" s="711"/>
      <c r="Q6596" s="11"/>
      <c r="R6596" s="11"/>
      <c r="S6596" s="11"/>
      <c r="T6596" s="11"/>
    </row>
    <row r="6597" spans="8:20" x14ac:dyDescent="0.35">
      <c r="H6597" s="711"/>
      <c r="I6597" s="711"/>
      <c r="J6597" s="711"/>
      <c r="K6597" s="711"/>
      <c r="L6597" s="711"/>
      <c r="Q6597" s="11"/>
      <c r="R6597" s="11"/>
      <c r="S6597" s="11"/>
      <c r="T6597" s="11"/>
    </row>
    <row r="6598" spans="8:20" x14ac:dyDescent="0.35">
      <c r="H6598" s="711"/>
      <c r="I6598" s="711"/>
      <c r="J6598" s="711"/>
      <c r="K6598" s="711"/>
      <c r="L6598" s="711"/>
      <c r="Q6598" s="11"/>
      <c r="R6598" s="11"/>
      <c r="S6598" s="11"/>
      <c r="T6598" s="11"/>
    </row>
    <row r="6599" spans="8:20" x14ac:dyDescent="0.35">
      <c r="H6599" s="711"/>
      <c r="I6599" s="711"/>
      <c r="J6599" s="711"/>
      <c r="K6599" s="711"/>
      <c r="L6599" s="711"/>
      <c r="Q6599" s="11"/>
      <c r="R6599" s="11"/>
      <c r="S6599" s="11"/>
      <c r="T6599" s="11"/>
    </row>
    <row r="6600" spans="8:20" x14ac:dyDescent="0.35">
      <c r="H6600" s="711"/>
      <c r="I6600" s="711"/>
      <c r="J6600" s="711"/>
      <c r="K6600" s="711"/>
      <c r="L6600" s="711"/>
      <c r="Q6600" s="11"/>
      <c r="R6600" s="11"/>
      <c r="S6600" s="11"/>
      <c r="T6600" s="11"/>
    </row>
    <row r="6601" spans="8:20" x14ac:dyDescent="0.35">
      <c r="H6601" s="711"/>
      <c r="I6601" s="711"/>
      <c r="J6601" s="711"/>
      <c r="K6601" s="711"/>
      <c r="L6601" s="711"/>
      <c r="Q6601" s="11"/>
      <c r="R6601" s="11"/>
      <c r="S6601" s="11"/>
      <c r="T6601" s="11"/>
    </row>
    <row r="6602" spans="8:20" x14ac:dyDescent="0.35">
      <c r="H6602" s="711"/>
      <c r="I6602" s="711"/>
      <c r="J6602" s="711"/>
      <c r="K6602" s="711"/>
      <c r="L6602" s="711"/>
      <c r="Q6602" s="11"/>
      <c r="R6602" s="11"/>
      <c r="S6602" s="11"/>
      <c r="T6602" s="11"/>
    </row>
    <row r="6603" spans="8:20" x14ac:dyDescent="0.35">
      <c r="H6603" s="711"/>
      <c r="I6603" s="711"/>
      <c r="J6603" s="711"/>
      <c r="K6603" s="711"/>
      <c r="L6603" s="711"/>
      <c r="Q6603" s="11"/>
      <c r="R6603" s="11"/>
      <c r="S6603" s="11"/>
      <c r="T6603" s="11"/>
    </row>
    <row r="6604" spans="8:20" x14ac:dyDescent="0.35">
      <c r="H6604" s="711"/>
      <c r="I6604" s="711"/>
      <c r="J6604" s="711"/>
      <c r="K6604" s="711"/>
      <c r="L6604" s="711"/>
      <c r="Q6604" s="11"/>
      <c r="R6604" s="11"/>
      <c r="S6604" s="11"/>
      <c r="T6604" s="11"/>
    </row>
    <row r="6605" spans="8:20" x14ac:dyDescent="0.35">
      <c r="H6605" s="711"/>
      <c r="I6605" s="711"/>
      <c r="J6605" s="711"/>
      <c r="K6605" s="711"/>
      <c r="L6605" s="711"/>
      <c r="Q6605" s="11"/>
      <c r="R6605" s="11"/>
      <c r="S6605" s="11"/>
      <c r="T6605" s="11"/>
    </row>
    <row r="6606" spans="8:20" x14ac:dyDescent="0.35">
      <c r="H6606" s="711"/>
      <c r="I6606" s="711"/>
      <c r="J6606" s="711"/>
      <c r="K6606" s="711"/>
      <c r="L6606" s="711"/>
      <c r="Q6606" s="11"/>
      <c r="R6606" s="11"/>
      <c r="S6606" s="11"/>
      <c r="T6606" s="11"/>
    </row>
    <row r="6607" spans="8:20" x14ac:dyDescent="0.35">
      <c r="H6607" s="711"/>
      <c r="I6607" s="711"/>
      <c r="J6607" s="711"/>
      <c r="K6607" s="711"/>
      <c r="L6607" s="711"/>
      <c r="Q6607" s="11"/>
      <c r="R6607" s="11"/>
      <c r="S6607" s="11"/>
      <c r="T6607" s="11"/>
    </row>
    <row r="6608" spans="8:20" x14ac:dyDescent="0.35">
      <c r="H6608" s="711"/>
      <c r="I6608" s="711"/>
      <c r="J6608" s="711"/>
      <c r="K6608" s="711"/>
      <c r="L6608" s="711"/>
      <c r="Q6608" s="11"/>
      <c r="R6608" s="11"/>
      <c r="S6608" s="11"/>
      <c r="T6608" s="11"/>
    </row>
    <row r="6609" spans="8:20" x14ac:dyDescent="0.35">
      <c r="H6609" s="711"/>
      <c r="I6609" s="711"/>
      <c r="J6609" s="711"/>
      <c r="K6609" s="711"/>
      <c r="L6609" s="711"/>
      <c r="Q6609" s="11"/>
      <c r="R6609" s="11"/>
      <c r="S6609" s="11"/>
      <c r="T6609" s="11"/>
    </row>
    <row r="6610" spans="8:20" x14ac:dyDescent="0.35">
      <c r="H6610" s="711"/>
      <c r="I6610" s="711"/>
      <c r="J6610" s="711"/>
      <c r="K6610" s="711"/>
      <c r="L6610" s="711"/>
      <c r="Q6610" s="11"/>
      <c r="R6610" s="11"/>
      <c r="S6610" s="11"/>
      <c r="T6610" s="11"/>
    </row>
    <row r="6611" spans="8:20" x14ac:dyDescent="0.35">
      <c r="H6611" s="711"/>
      <c r="I6611" s="711"/>
      <c r="J6611" s="711"/>
      <c r="K6611" s="711"/>
      <c r="L6611" s="711"/>
      <c r="Q6611" s="11"/>
      <c r="R6611" s="11"/>
      <c r="S6611" s="11"/>
      <c r="T6611" s="11"/>
    </row>
    <row r="6612" spans="8:20" x14ac:dyDescent="0.35">
      <c r="H6612" s="711"/>
      <c r="I6612" s="711"/>
      <c r="J6612" s="711"/>
      <c r="K6612" s="711"/>
      <c r="L6612" s="711"/>
      <c r="Q6612" s="11"/>
      <c r="R6612" s="11"/>
      <c r="S6612" s="11"/>
      <c r="T6612" s="11"/>
    </row>
    <row r="6613" spans="8:20" x14ac:dyDescent="0.35">
      <c r="H6613" s="711"/>
      <c r="I6613" s="711"/>
      <c r="J6613" s="711"/>
      <c r="K6613" s="711"/>
      <c r="L6613" s="711"/>
      <c r="Q6613" s="11"/>
      <c r="R6613" s="11"/>
      <c r="S6613" s="11"/>
      <c r="T6613" s="11"/>
    </row>
    <row r="6614" spans="8:20" x14ac:dyDescent="0.35">
      <c r="H6614" s="711"/>
      <c r="I6614" s="711"/>
      <c r="J6614" s="711"/>
      <c r="K6614" s="711"/>
      <c r="L6614" s="711"/>
      <c r="Q6614" s="11"/>
      <c r="R6614" s="11"/>
      <c r="S6614" s="11"/>
      <c r="T6614" s="11"/>
    </row>
    <row r="6615" spans="8:20" x14ac:dyDescent="0.35">
      <c r="H6615" s="711"/>
      <c r="I6615" s="711"/>
      <c r="J6615" s="711"/>
      <c r="K6615" s="711"/>
      <c r="L6615" s="711"/>
      <c r="Q6615" s="11"/>
      <c r="R6615" s="11"/>
      <c r="S6615" s="11"/>
      <c r="T6615" s="11"/>
    </row>
    <row r="6616" spans="8:20" x14ac:dyDescent="0.35">
      <c r="H6616" s="711"/>
      <c r="I6616" s="711"/>
      <c r="J6616" s="711"/>
      <c r="K6616" s="711"/>
      <c r="L6616" s="711"/>
      <c r="Q6616" s="11"/>
      <c r="R6616" s="11"/>
      <c r="S6616" s="11"/>
      <c r="T6616" s="11"/>
    </row>
    <row r="6617" spans="8:20" x14ac:dyDescent="0.35">
      <c r="H6617" s="711"/>
      <c r="I6617" s="711"/>
      <c r="J6617" s="711"/>
      <c r="K6617" s="711"/>
      <c r="L6617" s="711"/>
      <c r="Q6617" s="11"/>
      <c r="R6617" s="11"/>
      <c r="S6617" s="11"/>
      <c r="T6617" s="11"/>
    </row>
    <row r="6618" spans="8:20" x14ac:dyDescent="0.35">
      <c r="H6618" s="711"/>
      <c r="I6618" s="711"/>
      <c r="J6618" s="711"/>
      <c r="K6618" s="711"/>
      <c r="L6618" s="711"/>
      <c r="Q6618" s="11"/>
      <c r="R6618" s="11"/>
      <c r="S6618" s="11"/>
      <c r="T6618" s="11"/>
    </row>
    <row r="6619" spans="8:20" x14ac:dyDescent="0.35">
      <c r="H6619" s="711"/>
      <c r="I6619" s="711"/>
      <c r="J6619" s="711"/>
      <c r="K6619" s="711"/>
      <c r="L6619" s="711"/>
      <c r="Q6619" s="11"/>
      <c r="R6619" s="11"/>
      <c r="S6619" s="11"/>
      <c r="T6619" s="11"/>
    </row>
    <row r="6620" spans="8:20" x14ac:dyDescent="0.35">
      <c r="H6620" s="711"/>
      <c r="I6620" s="711"/>
      <c r="J6620" s="711"/>
      <c r="K6620" s="711"/>
      <c r="L6620" s="711"/>
      <c r="Q6620" s="11"/>
      <c r="R6620" s="11"/>
      <c r="S6620" s="11"/>
      <c r="T6620" s="11"/>
    </row>
    <row r="6621" spans="8:20" x14ac:dyDescent="0.35">
      <c r="H6621" s="711"/>
      <c r="I6621" s="711"/>
      <c r="J6621" s="711"/>
      <c r="K6621" s="711"/>
      <c r="L6621" s="711"/>
      <c r="Q6621" s="11"/>
      <c r="R6621" s="11"/>
      <c r="S6621" s="11"/>
      <c r="T6621" s="11"/>
    </row>
    <row r="6622" spans="8:20" x14ac:dyDescent="0.35">
      <c r="H6622" s="711"/>
      <c r="I6622" s="711"/>
      <c r="J6622" s="711"/>
      <c r="K6622" s="711"/>
      <c r="L6622" s="711"/>
      <c r="Q6622" s="11"/>
      <c r="R6622" s="11"/>
      <c r="S6622" s="11"/>
      <c r="T6622" s="11"/>
    </row>
    <row r="6623" spans="8:20" x14ac:dyDescent="0.35">
      <c r="H6623" s="711"/>
      <c r="I6623" s="711"/>
      <c r="J6623" s="711"/>
      <c r="K6623" s="711"/>
      <c r="L6623" s="711"/>
      <c r="Q6623" s="11"/>
      <c r="R6623" s="11"/>
      <c r="S6623" s="11"/>
      <c r="T6623" s="11"/>
    </row>
    <row r="6624" spans="8:20" x14ac:dyDescent="0.35">
      <c r="H6624" s="711"/>
      <c r="I6624" s="711"/>
      <c r="J6624" s="711"/>
      <c r="K6624" s="711"/>
      <c r="L6624" s="711"/>
      <c r="Q6624" s="11"/>
      <c r="R6624" s="11"/>
      <c r="S6624" s="11"/>
      <c r="T6624" s="11"/>
    </row>
    <row r="6625" spans="8:20" x14ac:dyDescent="0.35">
      <c r="H6625" s="711"/>
      <c r="I6625" s="711"/>
      <c r="J6625" s="711"/>
      <c r="K6625" s="711"/>
      <c r="L6625" s="711"/>
      <c r="Q6625" s="11"/>
      <c r="R6625" s="11"/>
      <c r="S6625" s="11"/>
      <c r="T6625" s="11"/>
    </row>
    <row r="6626" spans="8:20" x14ac:dyDescent="0.35">
      <c r="H6626" s="711"/>
      <c r="I6626" s="711"/>
      <c r="J6626" s="711"/>
      <c r="K6626" s="711"/>
      <c r="L6626" s="711"/>
      <c r="Q6626" s="11"/>
      <c r="R6626" s="11"/>
      <c r="S6626" s="11"/>
      <c r="T6626" s="11"/>
    </row>
    <row r="6627" spans="8:20" x14ac:dyDescent="0.35">
      <c r="H6627" s="711"/>
      <c r="I6627" s="711"/>
      <c r="J6627" s="711"/>
      <c r="K6627" s="711"/>
      <c r="L6627" s="711"/>
      <c r="Q6627" s="11"/>
      <c r="R6627" s="11"/>
      <c r="S6627" s="11"/>
      <c r="T6627" s="11"/>
    </row>
    <row r="6628" spans="8:20" x14ac:dyDescent="0.35">
      <c r="H6628" s="711"/>
      <c r="I6628" s="711"/>
      <c r="J6628" s="711"/>
      <c r="K6628" s="711"/>
      <c r="L6628" s="711"/>
      <c r="Q6628" s="11"/>
      <c r="R6628" s="11"/>
      <c r="S6628" s="11"/>
      <c r="T6628" s="11"/>
    </row>
    <row r="6629" spans="8:20" x14ac:dyDescent="0.35">
      <c r="H6629" s="711"/>
      <c r="I6629" s="711"/>
      <c r="J6629" s="711"/>
      <c r="K6629" s="711"/>
      <c r="L6629" s="711"/>
      <c r="Q6629" s="11"/>
      <c r="R6629" s="11"/>
      <c r="S6629" s="11"/>
      <c r="T6629" s="11"/>
    </row>
    <row r="6630" spans="8:20" x14ac:dyDescent="0.35">
      <c r="H6630" s="711"/>
      <c r="I6630" s="711"/>
      <c r="J6630" s="711"/>
      <c r="K6630" s="711"/>
      <c r="L6630" s="711"/>
      <c r="Q6630" s="11"/>
      <c r="R6630" s="11"/>
      <c r="S6630" s="11"/>
      <c r="T6630" s="11"/>
    </row>
    <row r="6631" spans="8:20" x14ac:dyDescent="0.35">
      <c r="H6631" s="711"/>
      <c r="I6631" s="711"/>
      <c r="J6631" s="711"/>
      <c r="K6631" s="711"/>
      <c r="L6631" s="711"/>
      <c r="Q6631" s="11"/>
      <c r="R6631" s="11"/>
      <c r="S6631" s="11"/>
      <c r="T6631" s="11"/>
    </row>
    <row r="6632" spans="8:20" x14ac:dyDescent="0.35">
      <c r="H6632" s="711"/>
      <c r="I6632" s="711"/>
      <c r="J6632" s="711"/>
      <c r="K6632" s="711"/>
      <c r="L6632" s="711"/>
      <c r="Q6632" s="11"/>
      <c r="R6632" s="11"/>
      <c r="S6632" s="11"/>
      <c r="T6632" s="11"/>
    </row>
    <row r="6633" spans="8:20" x14ac:dyDescent="0.35">
      <c r="H6633" s="711"/>
      <c r="I6633" s="711"/>
      <c r="J6633" s="711"/>
      <c r="K6633" s="711"/>
      <c r="L6633" s="711"/>
      <c r="Q6633" s="11"/>
      <c r="R6633" s="11"/>
      <c r="S6633" s="11"/>
      <c r="T6633" s="11"/>
    </row>
    <row r="6634" spans="8:20" x14ac:dyDescent="0.35">
      <c r="H6634" s="711"/>
      <c r="I6634" s="711"/>
      <c r="J6634" s="711"/>
      <c r="K6634" s="711"/>
      <c r="L6634" s="711"/>
      <c r="Q6634" s="11"/>
      <c r="R6634" s="11"/>
      <c r="S6634" s="11"/>
      <c r="T6634" s="11"/>
    </row>
    <row r="6635" spans="8:20" x14ac:dyDescent="0.35">
      <c r="H6635" s="711"/>
      <c r="I6635" s="711"/>
      <c r="J6635" s="711"/>
      <c r="K6635" s="711"/>
      <c r="L6635" s="711"/>
      <c r="Q6635" s="11"/>
      <c r="R6635" s="11"/>
      <c r="S6635" s="11"/>
      <c r="T6635" s="11"/>
    </row>
    <row r="6636" spans="8:20" x14ac:dyDescent="0.35">
      <c r="H6636" s="711"/>
      <c r="I6636" s="711"/>
      <c r="J6636" s="711"/>
      <c r="K6636" s="711"/>
      <c r="L6636" s="711"/>
      <c r="Q6636" s="11"/>
      <c r="R6636" s="11"/>
      <c r="S6636" s="11"/>
      <c r="T6636" s="11"/>
    </row>
    <row r="6637" spans="8:20" x14ac:dyDescent="0.35">
      <c r="H6637" s="711"/>
      <c r="I6637" s="711"/>
      <c r="J6637" s="711"/>
      <c r="K6637" s="711"/>
      <c r="L6637" s="711"/>
      <c r="Q6637" s="11"/>
      <c r="R6637" s="11"/>
      <c r="S6637" s="11"/>
      <c r="T6637" s="11"/>
    </row>
    <row r="6638" spans="8:20" x14ac:dyDescent="0.35">
      <c r="H6638" s="711"/>
      <c r="I6638" s="711"/>
      <c r="J6638" s="711"/>
      <c r="K6638" s="711"/>
      <c r="L6638" s="711"/>
      <c r="Q6638" s="11"/>
      <c r="R6638" s="11"/>
      <c r="S6638" s="11"/>
      <c r="T6638" s="11"/>
    </row>
    <row r="6639" spans="8:20" x14ac:dyDescent="0.35">
      <c r="H6639" s="711"/>
      <c r="I6639" s="711"/>
      <c r="J6639" s="711"/>
      <c r="K6639" s="711"/>
      <c r="L6639" s="711"/>
      <c r="Q6639" s="11"/>
      <c r="R6639" s="11"/>
      <c r="S6639" s="11"/>
      <c r="T6639" s="11"/>
    </row>
    <row r="6640" spans="8:20" x14ac:dyDescent="0.35">
      <c r="H6640" s="711"/>
      <c r="I6640" s="711"/>
      <c r="J6640" s="711"/>
      <c r="K6640" s="711"/>
      <c r="L6640" s="711"/>
      <c r="Q6640" s="11"/>
      <c r="R6640" s="11"/>
      <c r="S6640" s="11"/>
      <c r="T6640" s="11"/>
    </row>
    <row r="6641" spans="8:20" x14ac:dyDescent="0.35">
      <c r="H6641" s="711"/>
      <c r="I6641" s="711"/>
      <c r="J6641" s="711"/>
      <c r="K6641" s="711"/>
      <c r="L6641" s="711"/>
      <c r="Q6641" s="11"/>
      <c r="R6641" s="11"/>
      <c r="S6641" s="11"/>
      <c r="T6641" s="11"/>
    </row>
    <row r="6642" spans="8:20" x14ac:dyDescent="0.35">
      <c r="H6642" s="711"/>
      <c r="I6642" s="711"/>
      <c r="J6642" s="711"/>
      <c r="K6642" s="711"/>
      <c r="L6642" s="711"/>
      <c r="Q6642" s="11"/>
      <c r="R6642" s="11"/>
      <c r="S6642" s="11"/>
      <c r="T6642" s="11"/>
    </row>
    <row r="6643" spans="8:20" x14ac:dyDescent="0.35">
      <c r="H6643" s="711"/>
      <c r="I6643" s="711"/>
      <c r="J6643" s="711"/>
      <c r="K6643" s="711"/>
      <c r="L6643" s="711"/>
      <c r="Q6643" s="11"/>
      <c r="R6643" s="11"/>
      <c r="S6643" s="11"/>
      <c r="T6643" s="11"/>
    </row>
    <row r="6644" spans="8:20" x14ac:dyDescent="0.35">
      <c r="H6644" s="711"/>
      <c r="I6644" s="711"/>
      <c r="J6644" s="711"/>
      <c r="K6644" s="711"/>
      <c r="L6644" s="711"/>
      <c r="Q6644" s="11"/>
      <c r="R6644" s="11"/>
      <c r="S6644" s="11"/>
      <c r="T6644" s="11"/>
    </row>
    <row r="6645" spans="8:20" x14ac:dyDescent="0.35">
      <c r="H6645" s="711"/>
      <c r="I6645" s="711"/>
      <c r="J6645" s="711"/>
      <c r="K6645" s="711"/>
      <c r="L6645" s="711"/>
      <c r="Q6645" s="11"/>
      <c r="R6645" s="11"/>
      <c r="S6645" s="11"/>
      <c r="T6645" s="11"/>
    </row>
    <row r="6646" spans="8:20" x14ac:dyDescent="0.35">
      <c r="H6646" s="711"/>
      <c r="I6646" s="711"/>
      <c r="J6646" s="711"/>
      <c r="K6646" s="711"/>
      <c r="L6646" s="711"/>
      <c r="Q6646" s="11"/>
      <c r="R6646" s="11"/>
      <c r="S6646" s="11"/>
      <c r="T6646" s="11"/>
    </row>
    <row r="6647" spans="8:20" x14ac:dyDescent="0.35">
      <c r="H6647" s="711"/>
      <c r="I6647" s="711"/>
      <c r="J6647" s="711"/>
      <c r="K6647" s="711"/>
      <c r="L6647" s="711"/>
      <c r="Q6647" s="11"/>
      <c r="R6647" s="11"/>
      <c r="S6647" s="11"/>
      <c r="T6647" s="11"/>
    </row>
    <row r="6648" spans="8:20" x14ac:dyDescent="0.35">
      <c r="H6648" s="711"/>
      <c r="I6648" s="711"/>
      <c r="J6648" s="711"/>
      <c r="K6648" s="711"/>
      <c r="L6648" s="711"/>
      <c r="Q6648" s="11"/>
      <c r="R6648" s="11"/>
      <c r="S6648" s="11"/>
      <c r="T6648" s="11"/>
    </row>
    <row r="6649" spans="8:20" x14ac:dyDescent="0.35">
      <c r="H6649" s="711"/>
      <c r="I6649" s="711"/>
      <c r="J6649" s="711"/>
      <c r="K6649" s="711"/>
      <c r="L6649" s="711"/>
      <c r="Q6649" s="11"/>
      <c r="R6649" s="11"/>
      <c r="S6649" s="11"/>
      <c r="T6649" s="11"/>
    </row>
    <row r="6650" spans="8:20" x14ac:dyDescent="0.35">
      <c r="H6650" s="711"/>
      <c r="I6650" s="711"/>
      <c r="J6650" s="711"/>
      <c r="K6650" s="711"/>
      <c r="L6650" s="711"/>
      <c r="Q6650" s="11"/>
      <c r="R6650" s="11"/>
      <c r="S6650" s="11"/>
      <c r="T6650" s="11"/>
    </row>
    <row r="6651" spans="8:20" x14ac:dyDescent="0.35">
      <c r="H6651" s="711"/>
      <c r="I6651" s="711"/>
      <c r="J6651" s="711"/>
      <c r="K6651" s="711"/>
      <c r="L6651" s="711"/>
      <c r="Q6651" s="11"/>
      <c r="R6651" s="11"/>
      <c r="S6651" s="11"/>
      <c r="T6651" s="11"/>
    </row>
    <row r="6652" spans="8:20" x14ac:dyDescent="0.35">
      <c r="H6652" s="711"/>
      <c r="I6652" s="711"/>
      <c r="J6652" s="711"/>
      <c r="K6652" s="711"/>
      <c r="L6652" s="711"/>
      <c r="Q6652" s="11"/>
      <c r="R6652" s="11"/>
      <c r="S6652" s="11"/>
      <c r="T6652" s="11"/>
    </row>
    <row r="6653" spans="8:20" x14ac:dyDescent="0.35">
      <c r="H6653" s="711"/>
      <c r="I6653" s="711"/>
      <c r="J6653" s="711"/>
      <c r="K6653" s="711"/>
      <c r="L6653" s="711"/>
      <c r="Q6653" s="11"/>
      <c r="R6653" s="11"/>
      <c r="S6653" s="11"/>
      <c r="T6653" s="11"/>
    </row>
    <row r="6654" spans="8:20" x14ac:dyDescent="0.35">
      <c r="H6654" s="711"/>
      <c r="I6654" s="711"/>
      <c r="J6654" s="711"/>
      <c r="K6654" s="711"/>
      <c r="L6654" s="711"/>
      <c r="Q6654" s="11"/>
      <c r="R6654" s="11"/>
      <c r="S6654" s="11"/>
      <c r="T6654" s="11"/>
    </row>
    <row r="6655" spans="8:20" x14ac:dyDescent="0.35">
      <c r="H6655" s="711"/>
      <c r="I6655" s="711"/>
      <c r="J6655" s="711"/>
      <c r="K6655" s="711"/>
      <c r="L6655" s="711"/>
      <c r="Q6655" s="11"/>
      <c r="R6655" s="11"/>
      <c r="S6655" s="11"/>
      <c r="T6655" s="11"/>
    </row>
    <row r="6656" spans="8:20" x14ac:dyDescent="0.35">
      <c r="H6656" s="711"/>
      <c r="I6656" s="711"/>
      <c r="J6656" s="711"/>
      <c r="K6656" s="711"/>
      <c r="L6656" s="711"/>
      <c r="Q6656" s="11"/>
      <c r="R6656" s="11"/>
      <c r="S6656" s="11"/>
      <c r="T6656" s="11"/>
    </row>
    <row r="6657" spans="8:20" x14ac:dyDescent="0.35">
      <c r="H6657" s="711"/>
      <c r="I6657" s="711"/>
      <c r="J6657" s="711"/>
      <c r="K6657" s="711"/>
      <c r="L6657" s="711"/>
      <c r="Q6657" s="11"/>
      <c r="R6657" s="11"/>
      <c r="S6657" s="11"/>
      <c r="T6657" s="11"/>
    </row>
    <row r="6658" spans="8:20" x14ac:dyDescent="0.35">
      <c r="H6658" s="711"/>
      <c r="I6658" s="711"/>
      <c r="J6658" s="711"/>
      <c r="K6658" s="711"/>
      <c r="L6658" s="711"/>
      <c r="Q6658" s="11"/>
      <c r="R6658" s="11"/>
      <c r="S6658" s="11"/>
      <c r="T6658" s="11"/>
    </row>
    <row r="6659" spans="8:20" x14ac:dyDescent="0.35">
      <c r="H6659" s="711"/>
      <c r="I6659" s="711"/>
      <c r="J6659" s="711"/>
      <c r="K6659" s="711"/>
      <c r="L6659" s="711"/>
      <c r="Q6659" s="11"/>
      <c r="R6659" s="11"/>
      <c r="S6659" s="11"/>
      <c r="T6659" s="11"/>
    </row>
    <row r="6660" spans="8:20" x14ac:dyDescent="0.35">
      <c r="H6660" s="711"/>
      <c r="I6660" s="711"/>
      <c r="J6660" s="711"/>
      <c r="K6660" s="711"/>
      <c r="L6660" s="711"/>
      <c r="Q6660" s="11"/>
      <c r="R6660" s="11"/>
      <c r="S6660" s="11"/>
      <c r="T6660" s="11"/>
    </row>
    <row r="6661" spans="8:20" x14ac:dyDescent="0.35">
      <c r="H6661" s="711"/>
      <c r="I6661" s="711"/>
      <c r="J6661" s="711"/>
      <c r="K6661" s="711"/>
      <c r="L6661" s="711"/>
      <c r="Q6661" s="11"/>
      <c r="R6661" s="11"/>
      <c r="S6661" s="11"/>
      <c r="T6661" s="11"/>
    </row>
    <row r="6662" spans="8:20" x14ac:dyDescent="0.35">
      <c r="H6662" s="711"/>
      <c r="I6662" s="711"/>
      <c r="J6662" s="711"/>
      <c r="K6662" s="711"/>
      <c r="L6662" s="711"/>
      <c r="Q6662" s="11"/>
      <c r="R6662" s="11"/>
      <c r="S6662" s="11"/>
      <c r="T6662" s="11"/>
    </row>
    <row r="6663" spans="8:20" x14ac:dyDescent="0.35">
      <c r="H6663" s="711"/>
      <c r="I6663" s="711"/>
      <c r="J6663" s="711"/>
      <c r="K6663" s="711"/>
      <c r="L6663" s="711"/>
      <c r="Q6663" s="11"/>
      <c r="R6663" s="11"/>
      <c r="S6663" s="11"/>
      <c r="T6663" s="11"/>
    </row>
    <row r="6664" spans="8:20" x14ac:dyDescent="0.35">
      <c r="H6664" s="711"/>
      <c r="I6664" s="711"/>
      <c r="J6664" s="711"/>
      <c r="K6664" s="711"/>
      <c r="L6664" s="711"/>
      <c r="Q6664" s="11"/>
      <c r="R6664" s="11"/>
      <c r="S6664" s="11"/>
      <c r="T6664" s="11"/>
    </row>
    <row r="6665" spans="8:20" x14ac:dyDescent="0.35">
      <c r="H6665" s="711"/>
      <c r="I6665" s="711"/>
      <c r="J6665" s="711"/>
      <c r="K6665" s="711"/>
      <c r="L6665" s="711"/>
      <c r="Q6665" s="11"/>
      <c r="R6665" s="11"/>
      <c r="S6665" s="11"/>
      <c r="T6665" s="11"/>
    </row>
    <row r="6666" spans="8:20" x14ac:dyDescent="0.35">
      <c r="H6666" s="711"/>
      <c r="I6666" s="711"/>
      <c r="J6666" s="711"/>
      <c r="K6666" s="711"/>
      <c r="L6666" s="711"/>
      <c r="Q6666" s="11"/>
      <c r="R6666" s="11"/>
      <c r="S6666" s="11"/>
      <c r="T6666" s="11"/>
    </row>
    <row r="6667" spans="8:20" x14ac:dyDescent="0.35">
      <c r="H6667" s="711"/>
      <c r="I6667" s="711"/>
      <c r="J6667" s="711"/>
      <c r="K6667" s="711"/>
      <c r="L6667" s="711"/>
      <c r="Q6667" s="11"/>
      <c r="R6667" s="11"/>
      <c r="S6667" s="11"/>
      <c r="T6667" s="11"/>
    </row>
    <row r="6668" spans="8:20" x14ac:dyDescent="0.35">
      <c r="H6668" s="711"/>
      <c r="I6668" s="711"/>
      <c r="J6668" s="711"/>
      <c r="K6668" s="711"/>
      <c r="L6668" s="711"/>
      <c r="Q6668" s="11"/>
      <c r="R6668" s="11"/>
      <c r="S6668" s="11"/>
      <c r="T6668" s="11"/>
    </row>
    <row r="6669" spans="8:20" x14ac:dyDescent="0.35">
      <c r="H6669" s="711"/>
      <c r="I6669" s="711"/>
      <c r="J6669" s="711"/>
      <c r="K6669" s="711"/>
      <c r="L6669" s="711"/>
      <c r="Q6669" s="11"/>
      <c r="R6669" s="11"/>
      <c r="S6669" s="11"/>
      <c r="T6669" s="11"/>
    </row>
    <row r="6670" spans="8:20" x14ac:dyDescent="0.35">
      <c r="H6670" s="711"/>
      <c r="I6670" s="711"/>
      <c r="J6670" s="711"/>
      <c r="K6670" s="711"/>
      <c r="L6670" s="711"/>
      <c r="Q6670" s="11"/>
      <c r="R6670" s="11"/>
      <c r="S6670" s="11"/>
      <c r="T6670" s="11"/>
    </row>
    <row r="6671" spans="8:20" x14ac:dyDescent="0.35">
      <c r="H6671" s="711"/>
      <c r="I6671" s="711"/>
      <c r="J6671" s="711"/>
      <c r="K6671" s="711"/>
      <c r="L6671" s="711"/>
      <c r="Q6671" s="11"/>
      <c r="R6671" s="11"/>
      <c r="S6671" s="11"/>
      <c r="T6671" s="11"/>
    </row>
    <row r="6672" spans="8:20" x14ac:dyDescent="0.35">
      <c r="H6672" s="711"/>
      <c r="I6672" s="711"/>
      <c r="J6672" s="711"/>
      <c r="K6672" s="711"/>
      <c r="L6672" s="711"/>
      <c r="Q6672" s="11"/>
      <c r="R6672" s="11"/>
      <c r="S6672" s="11"/>
      <c r="T6672" s="11"/>
    </row>
    <row r="6673" spans="8:20" x14ac:dyDescent="0.35">
      <c r="H6673" s="711"/>
      <c r="I6673" s="711"/>
      <c r="J6673" s="711"/>
      <c r="K6673" s="711"/>
      <c r="L6673" s="711"/>
      <c r="Q6673" s="11"/>
      <c r="R6673" s="11"/>
      <c r="S6673" s="11"/>
      <c r="T6673" s="11"/>
    </row>
    <row r="6674" spans="8:20" x14ac:dyDescent="0.35">
      <c r="H6674" s="711"/>
      <c r="I6674" s="711"/>
      <c r="J6674" s="711"/>
      <c r="K6674" s="711"/>
      <c r="L6674" s="711"/>
      <c r="Q6674" s="11"/>
      <c r="R6674" s="11"/>
      <c r="S6674" s="11"/>
      <c r="T6674" s="11"/>
    </row>
    <row r="6675" spans="8:20" x14ac:dyDescent="0.35">
      <c r="H6675" s="711"/>
      <c r="I6675" s="711"/>
      <c r="J6675" s="711"/>
      <c r="K6675" s="711"/>
      <c r="L6675" s="711"/>
      <c r="Q6675" s="11"/>
      <c r="R6675" s="11"/>
      <c r="S6675" s="11"/>
      <c r="T6675" s="11"/>
    </row>
    <row r="6676" spans="8:20" x14ac:dyDescent="0.35">
      <c r="H6676" s="711"/>
      <c r="I6676" s="711"/>
      <c r="J6676" s="711"/>
      <c r="K6676" s="711"/>
      <c r="L6676" s="711"/>
      <c r="Q6676" s="11"/>
      <c r="R6676" s="11"/>
      <c r="S6676" s="11"/>
      <c r="T6676" s="11"/>
    </row>
    <row r="6677" spans="8:20" x14ac:dyDescent="0.35">
      <c r="H6677" s="711"/>
      <c r="I6677" s="711"/>
      <c r="J6677" s="711"/>
      <c r="K6677" s="711"/>
      <c r="L6677" s="711"/>
      <c r="Q6677" s="11"/>
      <c r="R6677" s="11"/>
      <c r="S6677" s="11"/>
      <c r="T6677" s="11"/>
    </row>
    <row r="6678" spans="8:20" x14ac:dyDescent="0.35">
      <c r="H6678" s="711"/>
      <c r="I6678" s="711"/>
      <c r="J6678" s="711"/>
      <c r="K6678" s="711"/>
      <c r="L6678" s="711"/>
      <c r="Q6678" s="11"/>
      <c r="R6678" s="11"/>
      <c r="S6678" s="11"/>
      <c r="T6678" s="11"/>
    </row>
    <row r="6679" spans="8:20" x14ac:dyDescent="0.35">
      <c r="H6679" s="711"/>
      <c r="I6679" s="711"/>
      <c r="J6679" s="711"/>
      <c r="K6679" s="711"/>
      <c r="L6679" s="711"/>
      <c r="Q6679" s="11"/>
      <c r="R6679" s="11"/>
      <c r="S6679" s="11"/>
      <c r="T6679" s="11"/>
    </row>
    <row r="6680" spans="8:20" x14ac:dyDescent="0.35">
      <c r="H6680" s="711"/>
      <c r="I6680" s="711"/>
      <c r="J6680" s="711"/>
      <c r="K6680" s="711"/>
      <c r="L6680" s="711"/>
      <c r="Q6680" s="11"/>
      <c r="R6680" s="11"/>
      <c r="S6680" s="11"/>
      <c r="T6680" s="11"/>
    </row>
    <row r="6681" spans="8:20" x14ac:dyDescent="0.35">
      <c r="H6681" s="711"/>
      <c r="I6681" s="711"/>
      <c r="J6681" s="711"/>
      <c r="K6681" s="711"/>
      <c r="L6681" s="711"/>
      <c r="Q6681" s="11"/>
      <c r="R6681" s="11"/>
      <c r="S6681" s="11"/>
      <c r="T6681" s="11"/>
    </row>
    <row r="6682" spans="8:20" x14ac:dyDescent="0.35">
      <c r="H6682" s="711"/>
      <c r="I6682" s="711"/>
      <c r="J6682" s="711"/>
      <c r="K6682" s="711"/>
      <c r="L6682" s="711"/>
      <c r="Q6682" s="11"/>
      <c r="R6682" s="11"/>
      <c r="S6682" s="11"/>
      <c r="T6682" s="11"/>
    </row>
    <row r="6683" spans="8:20" x14ac:dyDescent="0.35">
      <c r="H6683" s="711"/>
      <c r="I6683" s="711"/>
      <c r="J6683" s="711"/>
      <c r="K6683" s="711"/>
      <c r="L6683" s="711"/>
      <c r="Q6683" s="11"/>
      <c r="R6683" s="11"/>
      <c r="S6683" s="11"/>
      <c r="T6683" s="11"/>
    </row>
    <row r="6684" spans="8:20" x14ac:dyDescent="0.35">
      <c r="H6684" s="711"/>
      <c r="I6684" s="711"/>
      <c r="J6684" s="711"/>
      <c r="K6684" s="711"/>
      <c r="L6684" s="711"/>
      <c r="Q6684" s="11"/>
      <c r="R6684" s="11"/>
      <c r="S6684" s="11"/>
      <c r="T6684" s="11"/>
    </row>
    <row r="6685" spans="8:20" x14ac:dyDescent="0.35">
      <c r="H6685" s="711"/>
      <c r="I6685" s="711"/>
      <c r="J6685" s="711"/>
      <c r="K6685" s="711"/>
      <c r="L6685" s="711"/>
      <c r="Q6685" s="11"/>
      <c r="R6685" s="11"/>
      <c r="S6685" s="11"/>
      <c r="T6685" s="11"/>
    </row>
    <row r="6686" spans="8:20" x14ac:dyDescent="0.35">
      <c r="H6686" s="711"/>
      <c r="I6686" s="711"/>
      <c r="J6686" s="711"/>
      <c r="K6686" s="711"/>
      <c r="L6686" s="711"/>
      <c r="Q6686" s="11"/>
      <c r="R6686" s="11"/>
      <c r="S6686" s="11"/>
      <c r="T6686" s="11"/>
    </row>
    <row r="6687" spans="8:20" x14ac:dyDescent="0.35">
      <c r="H6687" s="711"/>
      <c r="I6687" s="711"/>
      <c r="J6687" s="711"/>
      <c r="K6687" s="711"/>
      <c r="L6687" s="711"/>
      <c r="Q6687" s="11"/>
      <c r="R6687" s="11"/>
      <c r="S6687" s="11"/>
      <c r="T6687" s="11"/>
    </row>
    <row r="6688" spans="8:20" x14ac:dyDescent="0.35">
      <c r="H6688" s="711"/>
      <c r="I6688" s="711"/>
      <c r="J6688" s="711"/>
      <c r="K6688" s="711"/>
      <c r="L6688" s="711"/>
      <c r="Q6688" s="11"/>
      <c r="R6688" s="11"/>
      <c r="S6688" s="11"/>
      <c r="T6688" s="11"/>
    </row>
    <row r="6689" spans="8:20" x14ac:dyDescent="0.35">
      <c r="H6689" s="711"/>
      <c r="I6689" s="711"/>
      <c r="J6689" s="711"/>
      <c r="K6689" s="711"/>
      <c r="L6689" s="711"/>
      <c r="Q6689" s="11"/>
      <c r="R6689" s="11"/>
      <c r="S6689" s="11"/>
      <c r="T6689" s="11"/>
    </row>
    <row r="6690" spans="8:20" x14ac:dyDescent="0.35">
      <c r="H6690" s="711"/>
      <c r="I6690" s="711"/>
      <c r="J6690" s="711"/>
      <c r="K6690" s="711"/>
      <c r="L6690" s="711"/>
      <c r="Q6690" s="11"/>
      <c r="R6690" s="11"/>
      <c r="S6690" s="11"/>
      <c r="T6690" s="11"/>
    </row>
    <row r="6691" spans="8:20" x14ac:dyDescent="0.35">
      <c r="H6691" s="711"/>
      <c r="I6691" s="711"/>
      <c r="J6691" s="711"/>
      <c r="K6691" s="711"/>
      <c r="L6691" s="711"/>
      <c r="Q6691" s="11"/>
      <c r="R6691" s="11"/>
      <c r="S6691" s="11"/>
      <c r="T6691" s="11"/>
    </row>
    <row r="6692" spans="8:20" x14ac:dyDescent="0.35">
      <c r="H6692" s="711"/>
      <c r="I6692" s="711"/>
      <c r="J6692" s="711"/>
      <c r="K6692" s="711"/>
      <c r="L6692" s="711"/>
      <c r="Q6692" s="11"/>
      <c r="R6692" s="11"/>
      <c r="S6692" s="11"/>
      <c r="T6692" s="11"/>
    </row>
    <row r="6693" spans="8:20" x14ac:dyDescent="0.35">
      <c r="H6693" s="711"/>
      <c r="I6693" s="711"/>
      <c r="J6693" s="711"/>
      <c r="K6693" s="711"/>
      <c r="L6693" s="711"/>
      <c r="Q6693" s="11"/>
      <c r="R6693" s="11"/>
      <c r="S6693" s="11"/>
      <c r="T6693" s="11"/>
    </row>
    <row r="6694" spans="8:20" x14ac:dyDescent="0.35">
      <c r="H6694" s="711"/>
      <c r="I6694" s="711"/>
      <c r="J6694" s="711"/>
      <c r="K6694" s="711"/>
      <c r="L6694" s="711"/>
      <c r="Q6694" s="11"/>
      <c r="R6694" s="11"/>
      <c r="S6694" s="11"/>
      <c r="T6694" s="11"/>
    </row>
    <row r="6695" spans="8:20" x14ac:dyDescent="0.35">
      <c r="H6695" s="711"/>
      <c r="I6695" s="711"/>
      <c r="J6695" s="711"/>
      <c r="K6695" s="711"/>
      <c r="L6695" s="711"/>
      <c r="Q6695" s="11"/>
      <c r="R6695" s="11"/>
      <c r="S6695" s="11"/>
      <c r="T6695" s="11"/>
    </row>
    <row r="6696" spans="8:20" x14ac:dyDescent="0.35">
      <c r="H6696" s="711"/>
      <c r="I6696" s="711"/>
      <c r="J6696" s="711"/>
      <c r="K6696" s="711"/>
      <c r="L6696" s="711"/>
      <c r="Q6696" s="11"/>
      <c r="R6696" s="11"/>
      <c r="S6696" s="11"/>
      <c r="T6696" s="11"/>
    </row>
    <row r="6697" spans="8:20" x14ac:dyDescent="0.35">
      <c r="H6697" s="711"/>
      <c r="I6697" s="711"/>
      <c r="J6697" s="711"/>
      <c r="K6697" s="711"/>
      <c r="L6697" s="711"/>
      <c r="Q6697" s="11"/>
      <c r="R6697" s="11"/>
      <c r="S6697" s="11"/>
      <c r="T6697" s="11"/>
    </row>
    <row r="6698" spans="8:20" x14ac:dyDescent="0.35">
      <c r="H6698" s="711"/>
      <c r="I6698" s="711"/>
      <c r="J6698" s="711"/>
      <c r="K6698" s="711"/>
      <c r="L6698" s="711"/>
      <c r="Q6698" s="11"/>
      <c r="R6698" s="11"/>
      <c r="S6698" s="11"/>
      <c r="T6698" s="11"/>
    </row>
    <row r="6699" spans="8:20" x14ac:dyDescent="0.35">
      <c r="H6699" s="711"/>
      <c r="I6699" s="711"/>
      <c r="J6699" s="711"/>
      <c r="K6699" s="711"/>
      <c r="L6699" s="711"/>
      <c r="Q6699" s="11"/>
      <c r="R6699" s="11"/>
      <c r="S6699" s="11"/>
      <c r="T6699" s="11"/>
    </row>
    <row r="6700" spans="8:20" x14ac:dyDescent="0.35">
      <c r="H6700" s="711"/>
      <c r="I6700" s="711"/>
      <c r="J6700" s="711"/>
      <c r="K6700" s="711"/>
      <c r="L6700" s="711"/>
      <c r="Q6700" s="11"/>
      <c r="R6700" s="11"/>
      <c r="S6700" s="11"/>
      <c r="T6700" s="11"/>
    </row>
    <row r="6701" spans="8:20" x14ac:dyDescent="0.35">
      <c r="H6701" s="711"/>
      <c r="I6701" s="711"/>
      <c r="J6701" s="711"/>
      <c r="K6701" s="711"/>
      <c r="L6701" s="711"/>
      <c r="Q6701" s="11"/>
      <c r="R6701" s="11"/>
      <c r="S6701" s="11"/>
      <c r="T6701" s="11"/>
    </row>
    <row r="6702" spans="8:20" x14ac:dyDescent="0.35">
      <c r="H6702" s="711"/>
      <c r="I6702" s="711"/>
      <c r="J6702" s="711"/>
      <c r="K6702" s="711"/>
      <c r="L6702" s="711"/>
      <c r="Q6702" s="11"/>
      <c r="R6702" s="11"/>
      <c r="S6702" s="11"/>
      <c r="T6702" s="11"/>
    </row>
    <row r="6703" spans="8:20" x14ac:dyDescent="0.35">
      <c r="H6703" s="711"/>
      <c r="I6703" s="711"/>
      <c r="J6703" s="711"/>
      <c r="K6703" s="711"/>
      <c r="L6703" s="711"/>
      <c r="Q6703" s="11"/>
      <c r="R6703" s="11"/>
      <c r="S6703" s="11"/>
      <c r="T6703" s="11"/>
    </row>
    <row r="6704" spans="8:20" x14ac:dyDescent="0.35">
      <c r="H6704" s="711"/>
      <c r="I6704" s="711"/>
      <c r="J6704" s="711"/>
      <c r="K6704" s="711"/>
      <c r="L6704" s="711"/>
      <c r="Q6704" s="11"/>
      <c r="R6704" s="11"/>
      <c r="S6704" s="11"/>
      <c r="T6704" s="11"/>
    </row>
    <row r="6705" spans="8:20" x14ac:dyDescent="0.35">
      <c r="H6705" s="711"/>
      <c r="I6705" s="711"/>
      <c r="J6705" s="711"/>
      <c r="K6705" s="711"/>
      <c r="L6705" s="711"/>
      <c r="Q6705" s="11"/>
      <c r="R6705" s="11"/>
      <c r="S6705" s="11"/>
      <c r="T6705" s="11"/>
    </row>
    <row r="6706" spans="8:20" x14ac:dyDescent="0.35">
      <c r="H6706" s="711"/>
      <c r="I6706" s="711"/>
      <c r="J6706" s="711"/>
      <c r="K6706" s="711"/>
      <c r="L6706" s="711"/>
      <c r="Q6706" s="11"/>
      <c r="R6706" s="11"/>
      <c r="S6706" s="11"/>
      <c r="T6706" s="11"/>
    </row>
    <row r="6707" spans="8:20" x14ac:dyDescent="0.35">
      <c r="H6707" s="711"/>
      <c r="I6707" s="711"/>
      <c r="J6707" s="711"/>
      <c r="K6707" s="711"/>
      <c r="L6707" s="711"/>
      <c r="Q6707" s="11"/>
      <c r="R6707" s="11"/>
      <c r="S6707" s="11"/>
      <c r="T6707" s="11"/>
    </row>
    <row r="6708" spans="8:20" x14ac:dyDescent="0.35">
      <c r="H6708" s="711"/>
      <c r="I6708" s="711"/>
      <c r="J6708" s="711"/>
      <c r="K6708" s="711"/>
      <c r="L6708" s="711"/>
      <c r="Q6708" s="11"/>
      <c r="R6708" s="11"/>
      <c r="S6708" s="11"/>
      <c r="T6708" s="11"/>
    </row>
    <row r="6709" spans="8:20" x14ac:dyDescent="0.35">
      <c r="H6709" s="711"/>
      <c r="I6709" s="711"/>
      <c r="J6709" s="711"/>
      <c r="K6709" s="711"/>
      <c r="L6709" s="711"/>
      <c r="Q6709" s="11"/>
      <c r="R6709" s="11"/>
      <c r="S6709" s="11"/>
      <c r="T6709" s="11"/>
    </row>
    <row r="6710" spans="8:20" x14ac:dyDescent="0.35">
      <c r="H6710" s="711"/>
      <c r="I6710" s="711"/>
      <c r="J6710" s="711"/>
      <c r="K6710" s="711"/>
      <c r="L6710" s="711"/>
      <c r="Q6710" s="11"/>
      <c r="R6710" s="11"/>
      <c r="S6710" s="11"/>
      <c r="T6710" s="11"/>
    </row>
    <row r="6711" spans="8:20" x14ac:dyDescent="0.35">
      <c r="H6711" s="711"/>
      <c r="I6711" s="711"/>
      <c r="J6711" s="711"/>
      <c r="K6711" s="711"/>
      <c r="L6711" s="711"/>
      <c r="Q6711" s="11"/>
      <c r="R6711" s="11"/>
      <c r="S6711" s="11"/>
      <c r="T6711" s="11"/>
    </row>
    <row r="6712" spans="8:20" x14ac:dyDescent="0.35">
      <c r="H6712" s="711"/>
      <c r="I6712" s="711"/>
      <c r="J6712" s="711"/>
      <c r="K6712" s="711"/>
      <c r="L6712" s="711"/>
      <c r="Q6712" s="11"/>
      <c r="R6712" s="11"/>
      <c r="S6712" s="11"/>
      <c r="T6712" s="11"/>
    </row>
    <row r="6713" spans="8:20" x14ac:dyDescent="0.35">
      <c r="H6713" s="711"/>
      <c r="I6713" s="711"/>
      <c r="J6713" s="711"/>
      <c r="K6713" s="711"/>
      <c r="L6713" s="711"/>
      <c r="Q6713" s="11"/>
      <c r="R6713" s="11"/>
      <c r="S6713" s="11"/>
      <c r="T6713" s="11"/>
    </row>
    <row r="6714" spans="8:20" x14ac:dyDescent="0.35">
      <c r="H6714" s="711"/>
      <c r="I6714" s="711"/>
      <c r="J6714" s="711"/>
      <c r="K6714" s="711"/>
      <c r="L6714" s="711"/>
      <c r="Q6714" s="11"/>
      <c r="R6714" s="11"/>
      <c r="S6714" s="11"/>
      <c r="T6714" s="11"/>
    </row>
    <row r="6715" spans="8:20" x14ac:dyDescent="0.35">
      <c r="H6715" s="711"/>
      <c r="I6715" s="711"/>
      <c r="J6715" s="711"/>
      <c r="K6715" s="711"/>
      <c r="L6715" s="711"/>
      <c r="Q6715" s="11"/>
      <c r="R6715" s="11"/>
      <c r="S6715" s="11"/>
      <c r="T6715" s="11"/>
    </row>
    <row r="6716" spans="8:20" x14ac:dyDescent="0.35">
      <c r="H6716" s="711"/>
      <c r="I6716" s="711"/>
      <c r="J6716" s="711"/>
      <c r="K6716" s="711"/>
      <c r="L6716" s="711"/>
      <c r="Q6716" s="11"/>
      <c r="R6716" s="11"/>
      <c r="S6716" s="11"/>
      <c r="T6716" s="11"/>
    </row>
    <row r="6717" spans="8:20" x14ac:dyDescent="0.35">
      <c r="H6717" s="711"/>
      <c r="I6717" s="711"/>
      <c r="J6717" s="711"/>
      <c r="K6717" s="711"/>
      <c r="L6717" s="711"/>
      <c r="Q6717" s="11"/>
      <c r="R6717" s="11"/>
      <c r="S6717" s="11"/>
      <c r="T6717" s="11"/>
    </row>
    <row r="6718" spans="8:20" x14ac:dyDescent="0.35">
      <c r="H6718" s="711"/>
      <c r="I6718" s="711"/>
      <c r="J6718" s="711"/>
      <c r="K6718" s="711"/>
      <c r="L6718" s="711"/>
      <c r="Q6718" s="11"/>
      <c r="R6718" s="11"/>
      <c r="S6718" s="11"/>
      <c r="T6718" s="11"/>
    </row>
    <row r="6719" spans="8:20" x14ac:dyDescent="0.35">
      <c r="H6719" s="711"/>
      <c r="I6719" s="711"/>
      <c r="J6719" s="711"/>
      <c r="K6719" s="711"/>
      <c r="L6719" s="711"/>
      <c r="Q6719" s="11"/>
      <c r="R6719" s="11"/>
      <c r="S6719" s="11"/>
      <c r="T6719" s="11"/>
    </row>
    <row r="6720" spans="8:20" x14ac:dyDescent="0.35">
      <c r="H6720" s="711"/>
      <c r="I6720" s="711"/>
      <c r="J6720" s="711"/>
      <c r="K6720" s="711"/>
      <c r="L6720" s="711"/>
      <c r="Q6720" s="11"/>
      <c r="R6720" s="11"/>
      <c r="S6720" s="11"/>
      <c r="T6720" s="11"/>
    </row>
    <row r="6721" spans="8:20" x14ac:dyDescent="0.35">
      <c r="H6721" s="711"/>
      <c r="I6721" s="711"/>
      <c r="J6721" s="711"/>
      <c r="K6721" s="711"/>
      <c r="L6721" s="711"/>
      <c r="Q6721" s="11"/>
      <c r="R6721" s="11"/>
      <c r="S6721" s="11"/>
      <c r="T6721" s="11"/>
    </row>
    <row r="6722" spans="8:20" x14ac:dyDescent="0.35">
      <c r="H6722" s="711"/>
      <c r="I6722" s="711"/>
      <c r="J6722" s="711"/>
      <c r="K6722" s="711"/>
      <c r="L6722" s="711"/>
      <c r="Q6722" s="11"/>
      <c r="R6722" s="11"/>
      <c r="S6722" s="11"/>
      <c r="T6722" s="11"/>
    </row>
    <row r="6723" spans="8:20" x14ac:dyDescent="0.35">
      <c r="H6723" s="711"/>
      <c r="I6723" s="711"/>
      <c r="J6723" s="711"/>
      <c r="K6723" s="711"/>
      <c r="L6723" s="711"/>
      <c r="Q6723" s="11"/>
      <c r="R6723" s="11"/>
      <c r="S6723" s="11"/>
      <c r="T6723" s="11"/>
    </row>
    <row r="6724" spans="8:20" x14ac:dyDescent="0.35">
      <c r="H6724" s="711"/>
      <c r="I6724" s="711"/>
      <c r="J6724" s="711"/>
      <c r="K6724" s="711"/>
      <c r="L6724" s="711"/>
      <c r="Q6724" s="11"/>
      <c r="R6724" s="11"/>
      <c r="S6724" s="11"/>
      <c r="T6724" s="11"/>
    </row>
    <row r="6725" spans="8:20" x14ac:dyDescent="0.35">
      <c r="H6725" s="711"/>
      <c r="I6725" s="711"/>
      <c r="J6725" s="711"/>
      <c r="K6725" s="711"/>
      <c r="L6725" s="711"/>
      <c r="Q6725" s="11"/>
      <c r="R6725" s="11"/>
      <c r="S6725" s="11"/>
      <c r="T6725" s="11"/>
    </row>
    <row r="6726" spans="8:20" x14ac:dyDescent="0.35">
      <c r="H6726" s="711"/>
      <c r="I6726" s="711"/>
      <c r="J6726" s="711"/>
      <c r="K6726" s="711"/>
      <c r="L6726" s="711"/>
      <c r="Q6726" s="11"/>
      <c r="R6726" s="11"/>
      <c r="S6726" s="11"/>
      <c r="T6726" s="11"/>
    </row>
    <row r="6727" spans="8:20" x14ac:dyDescent="0.35">
      <c r="H6727" s="711"/>
      <c r="I6727" s="711"/>
      <c r="J6727" s="711"/>
      <c r="K6727" s="711"/>
      <c r="L6727" s="711"/>
      <c r="Q6727" s="11"/>
      <c r="R6727" s="11"/>
      <c r="S6727" s="11"/>
      <c r="T6727" s="11"/>
    </row>
    <row r="6728" spans="8:20" x14ac:dyDescent="0.35">
      <c r="H6728" s="711"/>
      <c r="I6728" s="711"/>
      <c r="J6728" s="711"/>
      <c r="K6728" s="711"/>
      <c r="L6728" s="711"/>
      <c r="Q6728" s="11"/>
      <c r="R6728" s="11"/>
      <c r="S6728" s="11"/>
      <c r="T6728" s="11"/>
    </row>
    <row r="6729" spans="8:20" x14ac:dyDescent="0.35">
      <c r="H6729" s="711"/>
      <c r="I6729" s="711"/>
      <c r="J6729" s="711"/>
      <c r="K6729" s="711"/>
      <c r="L6729" s="711"/>
      <c r="Q6729" s="11"/>
      <c r="R6729" s="11"/>
      <c r="S6729" s="11"/>
      <c r="T6729" s="11"/>
    </row>
    <row r="6730" spans="8:20" x14ac:dyDescent="0.35">
      <c r="H6730" s="711"/>
      <c r="I6730" s="711"/>
      <c r="J6730" s="711"/>
      <c r="K6730" s="711"/>
      <c r="L6730" s="711"/>
      <c r="Q6730" s="11"/>
      <c r="R6730" s="11"/>
      <c r="S6730" s="11"/>
      <c r="T6730" s="11"/>
    </row>
    <row r="6731" spans="8:20" x14ac:dyDescent="0.35">
      <c r="H6731" s="711"/>
      <c r="I6731" s="711"/>
      <c r="J6731" s="711"/>
      <c r="K6731" s="711"/>
      <c r="L6731" s="711"/>
      <c r="Q6731" s="11"/>
      <c r="R6731" s="11"/>
      <c r="S6731" s="11"/>
      <c r="T6731" s="11"/>
    </row>
    <row r="6732" spans="8:20" x14ac:dyDescent="0.35">
      <c r="H6732" s="711"/>
      <c r="I6732" s="711"/>
      <c r="J6732" s="711"/>
      <c r="K6732" s="711"/>
      <c r="L6732" s="711"/>
      <c r="Q6732" s="11"/>
      <c r="R6732" s="11"/>
      <c r="S6732" s="11"/>
      <c r="T6732" s="11"/>
    </row>
    <row r="6733" spans="8:20" x14ac:dyDescent="0.35">
      <c r="H6733" s="711"/>
      <c r="I6733" s="711"/>
      <c r="J6733" s="711"/>
      <c r="K6733" s="711"/>
      <c r="L6733" s="711"/>
      <c r="Q6733" s="11"/>
      <c r="R6733" s="11"/>
      <c r="S6733" s="11"/>
      <c r="T6733" s="11"/>
    </row>
    <row r="6734" spans="8:20" x14ac:dyDescent="0.35">
      <c r="H6734" s="711"/>
      <c r="I6734" s="711"/>
      <c r="J6734" s="711"/>
      <c r="K6734" s="711"/>
      <c r="L6734" s="711"/>
      <c r="Q6734" s="11"/>
      <c r="R6734" s="11"/>
      <c r="S6734" s="11"/>
      <c r="T6734" s="11"/>
    </row>
    <row r="6735" spans="8:20" x14ac:dyDescent="0.35">
      <c r="H6735" s="711"/>
      <c r="I6735" s="711"/>
      <c r="J6735" s="711"/>
      <c r="K6735" s="711"/>
      <c r="L6735" s="711"/>
      <c r="Q6735" s="11"/>
      <c r="R6735" s="11"/>
      <c r="S6735" s="11"/>
      <c r="T6735" s="11"/>
    </row>
    <row r="6736" spans="8:20" x14ac:dyDescent="0.35">
      <c r="H6736" s="711"/>
      <c r="I6736" s="711"/>
      <c r="J6736" s="711"/>
      <c r="K6736" s="711"/>
      <c r="L6736" s="711"/>
      <c r="Q6736" s="11"/>
      <c r="R6736" s="11"/>
      <c r="S6736" s="11"/>
      <c r="T6736" s="11"/>
    </row>
    <row r="6737" spans="8:20" x14ac:dyDescent="0.35">
      <c r="H6737" s="711"/>
      <c r="I6737" s="711"/>
      <c r="J6737" s="711"/>
      <c r="K6737" s="711"/>
      <c r="L6737" s="711"/>
      <c r="Q6737" s="11"/>
      <c r="R6737" s="11"/>
      <c r="S6737" s="11"/>
      <c r="T6737" s="11"/>
    </row>
    <row r="6738" spans="8:20" x14ac:dyDescent="0.35">
      <c r="H6738" s="711"/>
      <c r="I6738" s="711"/>
      <c r="J6738" s="711"/>
      <c r="K6738" s="711"/>
      <c r="L6738" s="711"/>
      <c r="Q6738" s="11"/>
      <c r="R6738" s="11"/>
      <c r="S6738" s="11"/>
      <c r="T6738" s="11"/>
    </row>
    <row r="6739" spans="8:20" x14ac:dyDescent="0.35">
      <c r="H6739" s="711"/>
      <c r="I6739" s="711"/>
      <c r="J6739" s="711"/>
      <c r="K6739" s="711"/>
      <c r="L6739" s="711"/>
      <c r="Q6739" s="11"/>
      <c r="R6739" s="11"/>
      <c r="S6739" s="11"/>
      <c r="T6739" s="11"/>
    </row>
    <row r="6740" spans="8:20" x14ac:dyDescent="0.35">
      <c r="H6740" s="711"/>
      <c r="I6740" s="711"/>
      <c r="J6740" s="711"/>
      <c r="K6740" s="711"/>
      <c r="L6740" s="711"/>
      <c r="Q6740" s="11"/>
      <c r="R6740" s="11"/>
      <c r="S6740" s="11"/>
      <c r="T6740" s="11"/>
    </row>
    <row r="6741" spans="8:20" x14ac:dyDescent="0.35">
      <c r="H6741" s="711"/>
      <c r="I6741" s="711"/>
      <c r="J6741" s="711"/>
      <c r="K6741" s="711"/>
      <c r="L6741" s="711"/>
      <c r="Q6741" s="11"/>
      <c r="R6741" s="11"/>
      <c r="S6741" s="11"/>
      <c r="T6741" s="11"/>
    </row>
    <row r="6742" spans="8:20" x14ac:dyDescent="0.35">
      <c r="H6742" s="711"/>
      <c r="I6742" s="711"/>
      <c r="J6742" s="711"/>
      <c r="K6742" s="711"/>
      <c r="L6742" s="711"/>
      <c r="Q6742" s="11"/>
      <c r="R6742" s="11"/>
      <c r="S6742" s="11"/>
      <c r="T6742" s="11"/>
    </row>
    <row r="6743" spans="8:20" x14ac:dyDescent="0.35">
      <c r="H6743" s="711"/>
      <c r="I6743" s="711"/>
      <c r="J6743" s="711"/>
      <c r="K6743" s="711"/>
      <c r="L6743" s="711"/>
      <c r="Q6743" s="11"/>
      <c r="R6743" s="11"/>
      <c r="S6743" s="11"/>
      <c r="T6743" s="11"/>
    </row>
    <row r="6744" spans="8:20" x14ac:dyDescent="0.35">
      <c r="H6744" s="711"/>
      <c r="I6744" s="711"/>
      <c r="J6744" s="711"/>
      <c r="K6744" s="711"/>
      <c r="L6744" s="711"/>
      <c r="Q6744" s="11"/>
      <c r="R6744" s="11"/>
      <c r="S6744" s="11"/>
      <c r="T6744" s="11"/>
    </row>
    <row r="6745" spans="8:20" x14ac:dyDescent="0.35">
      <c r="H6745" s="711"/>
      <c r="I6745" s="711"/>
      <c r="J6745" s="711"/>
      <c r="K6745" s="711"/>
      <c r="L6745" s="711"/>
      <c r="Q6745" s="11"/>
      <c r="R6745" s="11"/>
      <c r="S6745" s="11"/>
      <c r="T6745" s="11"/>
    </row>
    <row r="6746" spans="8:20" x14ac:dyDescent="0.35">
      <c r="H6746" s="711"/>
      <c r="I6746" s="711"/>
      <c r="J6746" s="711"/>
      <c r="K6746" s="711"/>
      <c r="L6746" s="711"/>
      <c r="Q6746" s="11"/>
      <c r="R6746" s="11"/>
      <c r="S6746" s="11"/>
      <c r="T6746" s="11"/>
    </row>
    <row r="6747" spans="8:20" x14ac:dyDescent="0.35">
      <c r="H6747" s="711"/>
      <c r="I6747" s="711"/>
      <c r="J6747" s="711"/>
      <c r="K6747" s="711"/>
      <c r="L6747" s="711"/>
      <c r="Q6747" s="11"/>
      <c r="R6747" s="11"/>
      <c r="S6747" s="11"/>
      <c r="T6747" s="11"/>
    </row>
    <row r="6748" spans="8:20" x14ac:dyDescent="0.35">
      <c r="H6748" s="711"/>
      <c r="I6748" s="711"/>
      <c r="J6748" s="711"/>
      <c r="K6748" s="711"/>
      <c r="L6748" s="711"/>
      <c r="Q6748" s="11"/>
      <c r="R6748" s="11"/>
      <c r="S6748" s="11"/>
      <c r="T6748" s="11"/>
    </row>
    <row r="6749" spans="8:20" x14ac:dyDescent="0.35">
      <c r="H6749" s="711"/>
      <c r="I6749" s="711"/>
      <c r="J6749" s="711"/>
      <c r="K6749" s="711"/>
      <c r="L6749" s="711"/>
      <c r="Q6749" s="11"/>
      <c r="R6749" s="11"/>
      <c r="S6749" s="11"/>
      <c r="T6749" s="11"/>
    </row>
    <row r="6750" spans="8:20" x14ac:dyDescent="0.35">
      <c r="H6750" s="711"/>
      <c r="I6750" s="711"/>
      <c r="J6750" s="711"/>
      <c r="K6750" s="711"/>
      <c r="L6750" s="711"/>
      <c r="Q6750" s="11"/>
      <c r="R6750" s="11"/>
      <c r="S6750" s="11"/>
      <c r="T6750" s="11"/>
    </row>
    <row r="6751" spans="8:20" x14ac:dyDescent="0.35">
      <c r="H6751" s="711"/>
      <c r="I6751" s="711"/>
      <c r="J6751" s="711"/>
      <c r="K6751" s="711"/>
      <c r="L6751" s="711"/>
      <c r="Q6751" s="11"/>
      <c r="R6751" s="11"/>
      <c r="S6751" s="11"/>
      <c r="T6751" s="11"/>
    </row>
    <row r="6752" spans="8:20" x14ac:dyDescent="0.35">
      <c r="H6752" s="711"/>
      <c r="I6752" s="711"/>
      <c r="J6752" s="711"/>
      <c r="K6752" s="711"/>
      <c r="L6752" s="711"/>
      <c r="Q6752" s="11"/>
      <c r="R6752" s="11"/>
      <c r="S6752" s="11"/>
      <c r="T6752" s="11"/>
    </row>
    <row r="6753" spans="8:20" x14ac:dyDescent="0.35">
      <c r="H6753" s="711"/>
      <c r="I6753" s="711"/>
      <c r="J6753" s="711"/>
      <c r="K6753" s="711"/>
      <c r="L6753" s="711"/>
      <c r="Q6753" s="11"/>
      <c r="R6753" s="11"/>
      <c r="S6753" s="11"/>
      <c r="T6753" s="11"/>
    </row>
    <row r="6754" spans="8:20" x14ac:dyDescent="0.35">
      <c r="H6754" s="711"/>
      <c r="I6754" s="711"/>
      <c r="J6754" s="711"/>
      <c r="K6754" s="711"/>
      <c r="L6754" s="711"/>
      <c r="Q6754" s="11"/>
      <c r="R6754" s="11"/>
      <c r="S6754" s="11"/>
      <c r="T6754" s="11"/>
    </row>
    <row r="6755" spans="8:20" x14ac:dyDescent="0.35">
      <c r="H6755" s="711"/>
      <c r="I6755" s="711"/>
      <c r="J6755" s="711"/>
      <c r="K6755" s="711"/>
      <c r="L6755" s="711"/>
      <c r="Q6755" s="11"/>
      <c r="R6755" s="11"/>
      <c r="S6755" s="11"/>
      <c r="T6755" s="11"/>
    </row>
    <row r="6756" spans="8:20" x14ac:dyDescent="0.35">
      <c r="H6756" s="711"/>
      <c r="I6756" s="711"/>
      <c r="J6756" s="711"/>
      <c r="K6756" s="711"/>
      <c r="L6756" s="711"/>
      <c r="Q6756" s="11"/>
      <c r="R6756" s="11"/>
      <c r="S6756" s="11"/>
      <c r="T6756" s="11"/>
    </row>
    <row r="6757" spans="8:20" x14ac:dyDescent="0.35">
      <c r="H6757" s="711"/>
      <c r="I6757" s="711"/>
      <c r="J6757" s="711"/>
      <c r="K6757" s="711"/>
      <c r="L6757" s="711"/>
      <c r="Q6757" s="11"/>
      <c r="R6757" s="11"/>
      <c r="S6757" s="11"/>
      <c r="T6757" s="11"/>
    </row>
    <row r="6758" spans="8:20" x14ac:dyDescent="0.35">
      <c r="H6758" s="711"/>
      <c r="I6758" s="711"/>
      <c r="J6758" s="711"/>
      <c r="K6758" s="711"/>
      <c r="L6758" s="711"/>
      <c r="Q6758" s="11"/>
      <c r="R6758" s="11"/>
      <c r="S6758" s="11"/>
      <c r="T6758" s="11"/>
    </row>
    <row r="6759" spans="8:20" x14ac:dyDescent="0.35">
      <c r="H6759" s="711"/>
      <c r="I6759" s="711"/>
      <c r="J6759" s="711"/>
      <c r="K6759" s="711"/>
      <c r="L6759" s="711"/>
      <c r="Q6759" s="11"/>
      <c r="R6759" s="11"/>
      <c r="S6759" s="11"/>
      <c r="T6759" s="11"/>
    </row>
    <row r="6760" spans="8:20" x14ac:dyDescent="0.35">
      <c r="H6760" s="711"/>
      <c r="I6760" s="711"/>
      <c r="J6760" s="711"/>
      <c r="K6760" s="711"/>
      <c r="L6760" s="711"/>
      <c r="Q6760" s="11"/>
      <c r="R6760" s="11"/>
      <c r="S6760" s="11"/>
      <c r="T6760" s="11"/>
    </row>
    <row r="6761" spans="8:20" x14ac:dyDescent="0.35">
      <c r="H6761" s="711"/>
      <c r="I6761" s="711"/>
      <c r="J6761" s="711"/>
      <c r="K6761" s="711"/>
      <c r="L6761" s="711"/>
      <c r="Q6761" s="11"/>
      <c r="R6761" s="11"/>
      <c r="S6761" s="11"/>
      <c r="T6761" s="11"/>
    </row>
    <row r="6762" spans="8:20" x14ac:dyDescent="0.35">
      <c r="H6762" s="711"/>
      <c r="I6762" s="711"/>
      <c r="J6762" s="711"/>
      <c r="K6762" s="711"/>
      <c r="L6762" s="711"/>
      <c r="Q6762" s="11"/>
      <c r="R6762" s="11"/>
      <c r="S6762" s="11"/>
      <c r="T6762" s="11"/>
    </row>
    <row r="6763" spans="8:20" x14ac:dyDescent="0.35">
      <c r="H6763" s="711"/>
      <c r="I6763" s="711"/>
      <c r="J6763" s="711"/>
      <c r="K6763" s="711"/>
      <c r="L6763" s="711"/>
      <c r="Q6763" s="11"/>
      <c r="R6763" s="11"/>
      <c r="S6763" s="11"/>
      <c r="T6763" s="11"/>
    </row>
    <row r="6764" spans="8:20" x14ac:dyDescent="0.35">
      <c r="H6764" s="711"/>
      <c r="I6764" s="711"/>
      <c r="J6764" s="711"/>
      <c r="K6764" s="711"/>
      <c r="L6764" s="711"/>
      <c r="Q6764" s="11"/>
      <c r="R6764" s="11"/>
      <c r="S6764" s="11"/>
      <c r="T6764" s="11"/>
    </row>
    <row r="6765" spans="8:20" x14ac:dyDescent="0.35">
      <c r="H6765" s="711"/>
      <c r="I6765" s="711"/>
      <c r="J6765" s="711"/>
      <c r="K6765" s="711"/>
      <c r="L6765" s="711"/>
      <c r="Q6765" s="11"/>
      <c r="R6765" s="11"/>
      <c r="S6765" s="11"/>
      <c r="T6765" s="11"/>
    </row>
    <row r="6766" spans="8:20" x14ac:dyDescent="0.35">
      <c r="H6766" s="711"/>
      <c r="I6766" s="711"/>
      <c r="J6766" s="711"/>
      <c r="K6766" s="711"/>
      <c r="L6766" s="711"/>
      <c r="Q6766" s="11"/>
      <c r="R6766" s="11"/>
      <c r="S6766" s="11"/>
      <c r="T6766" s="11"/>
    </row>
    <row r="6767" spans="8:20" x14ac:dyDescent="0.35">
      <c r="H6767" s="711"/>
      <c r="I6767" s="711"/>
      <c r="J6767" s="711"/>
      <c r="K6767" s="711"/>
      <c r="L6767" s="711"/>
      <c r="Q6767" s="11"/>
      <c r="R6767" s="11"/>
      <c r="S6767" s="11"/>
      <c r="T6767" s="11"/>
    </row>
    <row r="6768" spans="8:20" x14ac:dyDescent="0.35">
      <c r="H6768" s="711"/>
      <c r="I6768" s="711"/>
      <c r="J6768" s="711"/>
      <c r="K6768" s="711"/>
      <c r="L6768" s="711"/>
      <c r="Q6768" s="11"/>
      <c r="R6768" s="11"/>
      <c r="S6768" s="11"/>
      <c r="T6768" s="11"/>
    </row>
    <row r="6769" spans="8:20" x14ac:dyDescent="0.35">
      <c r="H6769" s="711"/>
      <c r="I6769" s="711"/>
      <c r="J6769" s="711"/>
      <c r="K6769" s="711"/>
      <c r="L6769" s="711"/>
      <c r="Q6769" s="11"/>
      <c r="R6769" s="11"/>
      <c r="S6769" s="11"/>
      <c r="T6769" s="11"/>
    </row>
    <row r="6770" spans="8:20" x14ac:dyDescent="0.35">
      <c r="H6770" s="711"/>
      <c r="I6770" s="711"/>
      <c r="J6770" s="711"/>
      <c r="K6770" s="711"/>
      <c r="L6770" s="711"/>
      <c r="Q6770" s="11"/>
      <c r="R6770" s="11"/>
      <c r="S6770" s="11"/>
      <c r="T6770" s="11"/>
    </row>
    <row r="6771" spans="8:20" x14ac:dyDescent="0.35">
      <c r="H6771" s="711"/>
      <c r="I6771" s="711"/>
      <c r="J6771" s="711"/>
      <c r="K6771" s="711"/>
      <c r="L6771" s="711"/>
      <c r="Q6771" s="11"/>
      <c r="R6771" s="11"/>
      <c r="S6771" s="11"/>
      <c r="T6771" s="11"/>
    </row>
    <row r="6772" spans="8:20" x14ac:dyDescent="0.35">
      <c r="H6772" s="711"/>
      <c r="I6772" s="711"/>
      <c r="J6772" s="711"/>
      <c r="K6772" s="711"/>
      <c r="L6772" s="711"/>
      <c r="Q6772" s="11"/>
      <c r="R6772" s="11"/>
      <c r="S6772" s="11"/>
      <c r="T6772" s="11"/>
    </row>
    <row r="6773" spans="8:20" x14ac:dyDescent="0.35">
      <c r="H6773" s="711"/>
      <c r="I6773" s="711"/>
      <c r="J6773" s="711"/>
      <c r="K6773" s="711"/>
      <c r="L6773" s="711"/>
      <c r="Q6773" s="11"/>
      <c r="R6773" s="11"/>
      <c r="S6773" s="11"/>
      <c r="T6773" s="11"/>
    </row>
    <row r="6774" spans="8:20" x14ac:dyDescent="0.35">
      <c r="H6774" s="711"/>
      <c r="I6774" s="711"/>
      <c r="J6774" s="711"/>
      <c r="K6774" s="711"/>
      <c r="L6774" s="711"/>
      <c r="Q6774" s="11"/>
      <c r="R6774" s="11"/>
      <c r="S6774" s="11"/>
      <c r="T6774" s="11"/>
    </row>
    <row r="6775" spans="8:20" x14ac:dyDescent="0.35">
      <c r="H6775" s="711"/>
      <c r="I6775" s="711"/>
      <c r="J6775" s="711"/>
      <c r="K6775" s="711"/>
      <c r="L6775" s="711"/>
      <c r="Q6775" s="11"/>
      <c r="R6775" s="11"/>
      <c r="S6775" s="11"/>
      <c r="T6775" s="11"/>
    </row>
    <row r="6776" spans="8:20" x14ac:dyDescent="0.35">
      <c r="H6776" s="711"/>
      <c r="I6776" s="711"/>
      <c r="J6776" s="711"/>
      <c r="K6776" s="711"/>
      <c r="L6776" s="711"/>
      <c r="Q6776" s="11"/>
      <c r="R6776" s="11"/>
      <c r="S6776" s="11"/>
      <c r="T6776" s="11"/>
    </row>
    <row r="6777" spans="8:20" x14ac:dyDescent="0.35">
      <c r="H6777" s="711"/>
      <c r="I6777" s="711"/>
      <c r="J6777" s="711"/>
      <c r="K6777" s="711"/>
      <c r="L6777" s="711"/>
      <c r="Q6777" s="11"/>
      <c r="R6777" s="11"/>
      <c r="S6777" s="11"/>
      <c r="T6777" s="11"/>
    </row>
    <row r="6778" spans="8:20" x14ac:dyDescent="0.35">
      <c r="H6778" s="711"/>
      <c r="I6778" s="711"/>
      <c r="J6778" s="711"/>
      <c r="K6778" s="711"/>
      <c r="L6778" s="711"/>
      <c r="Q6778" s="11"/>
      <c r="R6778" s="11"/>
      <c r="S6778" s="11"/>
      <c r="T6778" s="11"/>
    </row>
    <row r="6779" spans="8:20" x14ac:dyDescent="0.35">
      <c r="H6779" s="711"/>
      <c r="I6779" s="711"/>
      <c r="J6779" s="711"/>
      <c r="K6779" s="711"/>
      <c r="L6779" s="711"/>
      <c r="Q6779" s="11"/>
      <c r="R6779" s="11"/>
      <c r="S6779" s="11"/>
      <c r="T6779" s="11"/>
    </row>
    <row r="6780" spans="8:20" x14ac:dyDescent="0.35">
      <c r="H6780" s="711"/>
      <c r="I6780" s="711"/>
      <c r="J6780" s="711"/>
      <c r="K6780" s="711"/>
      <c r="L6780" s="711"/>
      <c r="Q6780" s="11"/>
      <c r="R6780" s="11"/>
      <c r="S6780" s="11"/>
      <c r="T6780" s="11"/>
    </row>
    <row r="6781" spans="8:20" x14ac:dyDescent="0.35">
      <c r="H6781" s="711"/>
      <c r="I6781" s="711"/>
      <c r="J6781" s="711"/>
      <c r="K6781" s="711"/>
      <c r="L6781" s="711"/>
      <c r="Q6781" s="11"/>
      <c r="R6781" s="11"/>
      <c r="S6781" s="11"/>
      <c r="T6781" s="11"/>
    </row>
    <row r="6782" spans="8:20" x14ac:dyDescent="0.35">
      <c r="H6782" s="711"/>
      <c r="I6782" s="711"/>
      <c r="J6782" s="711"/>
      <c r="K6782" s="711"/>
      <c r="L6782" s="711"/>
      <c r="Q6782" s="11"/>
      <c r="R6782" s="11"/>
      <c r="S6782" s="11"/>
      <c r="T6782" s="11"/>
    </row>
    <row r="6783" spans="8:20" x14ac:dyDescent="0.35">
      <c r="H6783" s="711"/>
      <c r="I6783" s="711"/>
      <c r="J6783" s="711"/>
      <c r="K6783" s="711"/>
      <c r="L6783" s="711"/>
      <c r="Q6783" s="11"/>
      <c r="R6783" s="11"/>
      <c r="S6783" s="11"/>
      <c r="T6783" s="11"/>
    </row>
    <row r="6784" spans="8:20" x14ac:dyDescent="0.35">
      <c r="H6784" s="711"/>
      <c r="I6784" s="711"/>
      <c r="J6784" s="711"/>
      <c r="K6784" s="711"/>
      <c r="L6784" s="711"/>
      <c r="Q6784" s="11"/>
      <c r="R6784" s="11"/>
      <c r="S6784" s="11"/>
      <c r="T6784" s="11"/>
    </row>
    <row r="6785" spans="8:20" x14ac:dyDescent="0.35">
      <c r="H6785" s="711"/>
      <c r="I6785" s="711"/>
      <c r="J6785" s="711"/>
      <c r="K6785" s="711"/>
      <c r="L6785" s="711"/>
      <c r="Q6785" s="11"/>
      <c r="R6785" s="11"/>
      <c r="S6785" s="11"/>
      <c r="T6785" s="11"/>
    </row>
    <row r="6786" spans="8:20" x14ac:dyDescent="0.35">
      <c r="H6786" s="711"/>
      <c r="I6786" s="711"/>
      <c r="J6786" s="711"/>
      <c r="K6786" s="711"/>
      <c r="L6786" s="711"/>
      <c r="Q6786" s="11"/>
      <c r="R6786" s="11"/>
      <c r="S6786" s="11"/>
      <c r="T6786" s="11"/>
    </row>
    <row r="6787" spans="8:20" x14ac:dyDescent="0.35">
      <c r="H6787" s="711"/>
      <c r="I6787" s="711"/>
      <c r="J6787" s="711"/>
      <c r="K6787" s="711"/>
      <c r="L6787" s="711"/>
      <c r="Q6787" s="11"/>
      <c r="R6787" s="11"/>
      <c r="S6787" s="11"/>
      <c r="T6787" s="11"/>
    </row>
    <row r="6788" spans="8:20" x14ac:dyDescent="0.35">
      <c r="H6788" s="711"/>
      <c r="I6788" s="711"/>
      <c r="J6788" s="711"/>
      <c r="K6788" s="711"/>
      <c r="L6788" s="711"/>
      <c r="Q6788" s="11"/>
      <c r="R6788" s="11"/>
      <c r="S6788" s="11"/>
      <c r="T6788" s="11"/>
    </row>
    <row r="6789" spans="8:20" x14ac:dyDescent="0.35">
      <c r="H6789" s="711"/>
      <c r="I6789" s="711"/>
      <c r="J6789" s="711"/>
      <c r="K6789" s="711"/>
      <c r="L6789" s="711"/>
      <c r="Q6789" s="11"/>
      <c r="R6789" s="11"/>
      <c r="S6789" s="11"/>
      <c r="T6789" s="11"/>
    </row>
    <row r="6790" spans="8:20" x14ac:dyDescent="0.35">
      <c r="H6790" s="711"/>
      <c r="I6790" s="711"/>
      <c r="J6790" s="711"/>
      <c r="K6790" s="711"/>
      <c r="L6790" s="711"/>
      <c r="Q6790" s="11"/>
      <c r="R6790" s="11"/>
      <c r="S6790" s="11"/>
      <c r="T6790" s="11"/>
    </row>
    <row r="6791" spans="8:20" x14ac:dyDescent="0.35">
      <c r="H6791" s="711"/>
      <c r="I6791" s="711"/>
      <c r="J6791" s="711"/>
      <c r="K6791" s="711"/>
      <c r="L6791" s="711"/>
      <c r="Q6791" s="11"/>
      <c r="R6791" s="11"/>
      <c r="S6791" s="11"/>
      <c r="T6791" s="11"/>
    </row>
    <row r="6792" spans="8:20" x14ac:dyDescent="0.35">
      <c r="H6792" s="711"/>
      <c r="I6792" s="711"/>
      <c r="J6792" s="711"/>
      <c r="K6792" s="711"/>
      <c r="L6792" s="711"/>
      <c r="Q6792" s="11"/>
      <c r="R6792" s="11"/>
      <c r="S6792" s="11"/>
      <c r="T6792" s="11"/>
    </row>
    <row r="6793" spans="8:20" x14ac:dyDescent="0.35">
      <c r="H6793" s="711"/>
      <c r="I6793" s="711"/>
      <c r="J6793" s="711"/>
      <c r="K6793" s="711"/>
      <c r="L6793" s="711"/>
      <c r="Q6793" s="11"/>
      <c r="R6793" s="11"/>
      <c r="S6793" s="11"/>
      <c r="T6793" s="11"/>
    </row>
    <row r="6794" spans="8:20" x14ac:dyDescent="0.35">
      <c r="H6794" s="711"/>
      <c r="I6794" s="711"/>
      <c r="J6794" s="711"/>
      <c r="K6794" s="711"/>
      <c r="L6794" s="711"/>
      <c r="Q6794" s="11"/>
      <c r="R6794" s="11"/>
      <c r="S6794" s="11"/>
      <c r="T6794" s="11"/>
    </row>
    <row r="6795" spans="8:20" x14ac:dyDescent="0.35">
      <c r="H6795" s="711"/>
      <c r="I6795" s="711"/>
      <c r="J6795" s="711"/>
      <c r="K6795" s="711"/>
      <c r="L6795" s="711"/>
      <c r="Q6795" s="11"/>
      <c r="R6795" s="11"/>
      <c r="S6795" s="11"/>
      <c r="T6795" s="11"/>
    </row>
    <row r="6796" spans="8:20" x14ac:dyDescent="0.35">
      <c r="H6796" s="711"/>
      <c r="I6796" s="711"/>
      <c r="J6796" s="711"/>
      <c r="K6796" s="711"/>
      <c r="L6796" s="711"/>
      <c r="Q6796" s="11"/>
      <c r="R6796" s="11"/>
      <c r="S6796" s="11"/>
      <c r="T6796" s="11"/>
    </row>
    <row r="6797" spans="8:20" x14ac:dyDescent="0.35">
      <c r="H6797" s="711"/>
      <c r="I6797" s="711"/>
      <c r="J6797" s="711"/>
      <c r="K6797" s="711"/>
      <c r="L6797" s="711"/>
      <c r="Q6797" s="11"/>
      <c r="R6797" s="11"/>
      <c r="S6797" s="11"/>
      <c r="T6797" s="11"/>
    </row>
    <row r="6798" spans="8:20" x14ac:dyDescent="0.35">
      <c r="H6798" s="711"/>
      <c r="I6798" s="711"/>
      <c r="J6798" s="711"/>
      <c r="K6798" s="711"/>
      <c r="L6798" s="711"/>
      <c r="Q6798" s="11"/>
      <c r="R6798" s="11"/>
      <c r="S6798" s="11"/>
      <c r="T6798" s="11"/>
    </row>
    <row r="6799" spans="8:20" x14ac:dyDescent="0.35">
      <c r="H6799" s="711"/>
      <c r="I6799" s="711"/>
      <c r="J6799" s="711"/>
      <c r="K6799" s="711"/>
      <c r="L6799" s="711"/>
      <c r="Q6799" s="11"/>
      <c r="R6799" s="11"/>
      <c r="S6799" s="11"/>
      <c r="T6799" s="11"/>
    </row>
    <row r="6800" spans="8:20" x14ac:dyDescent="0.35">
      <c r="H6800" s="711"/>
      <c r="I6800" s="711"/>
      <c r="J6800" s="711"/>
      <c r="K6800" s="711"/>
      <c r="L6800" s="711"/>
      <c r="Q6800" s="11"/>
      <c r="R6800" s="11"/>
      <c r="S6800" s="11"/>
      <c r="T6800" s="11"/>
    </row>
    <row r="6801" spans="8:20" x14ac:dyDescent="0.35">
      <c r="H6801" s="711"/>
      <c r="I6801" s="711"/>
      <c r="J6801" s="711"/>
      <c r="K6801" s="711"/>
      <c r="L6801" s="711"/>
      <c r="Q6801" s="11"/>
      <c r="R6801" s="11"/>
      <c r="S6801" s="11"/>
      <c r="T6801" s="11"/>
    </row>
    <row r="6802" spans="8:20" x14ac:dyDescent="0.35">
      <c r="H6802" s="711"/>
      <c r="I6802" s="711"/>
      <c r="J6802" s="711"/>
      <c r="K6802" s="711"/>
      <c r="L6802" s="711"/>
      <c r="Q6802" s="11"/>
      <c r="R6802" s="11"/>
      <c r="S6802" s="11"/>
      <c r="T6802" s="11"/>
    </row>
    <row r="6803" spans="8:20" x14ac:dyDescent="0.35">
      <c r="H6803" s="711"/>
      <c r="I6803" s="711"/>
      <c r="J6803" s="711"/>
      <c r="K6803" s="711"/>
      <c r="L6803" s="711"/>
      <c r="Q6803" s="11"/>
      <c r="R6803" s="11"/>
      <c r="S6803" s="11"/>
      <c r="T6803" s="11"/>
    </row>
    <row r="6804" spans="8:20" x14ac:dyDescent="0.35">
      <c r="H6804" s="711"/>
      <c r="I6804" s="711"/>
      <c r="J6804" s="711"/>
      <c r="K6804" s="711"/>
      <c r="L6804" s="711"/>
      <c r="Q6804" s="11"/>
      <c r="R6804" s="11"/>
      <c r="S6804" s="11"/>
      <c r="T6804" s="11"/>
    </row>
    <row r="6805" spans="8:20" x14ac:dyDescent="0.35">
      <c r="H6805" s="711"/>
      <c r="I6805" s="711"/>
      <c r="J6805" s="711"/>
      <c r="K6805" s="711"/>
      <c r="L6805" s="711"/>
      <c r="Q6805" s="11"/>
      <c r="R6805" s="11"/>
      <c r="S6805" s="11"/>
      <c r="T6805" s="11"/>
    </row>
    <row r="6806" spans="8:20" x14ac:dyDescent="0.35">
      <c r="H6806" s="711"/>
      <c r="I6806" s="711"/>
      <c r="J6806" s="711"/>
      <c r="K6806" s="711"/>
      <c r="L6806" s="711"/>
      <c r="Q6806" s="11"/>
      <c r="R6806" s="11"/>
      <c r="S6806" s="11"/>
      <c r="T6806" s="11"/>
    </row>
    <row r="6807" spans="8:20" x14ac:dyDescent="0.35">
      <c r="H6807" s="711"/>
      <c r="I6807" s="711"/>
      <c r="J6807" s="711"/>
      <c r="K6807" s="711"/>
      <c r="L6807" s="711"/>
      <c r="Q6807" s="11"/>
      <c r="R6807" s="11"/>
      <c r="S6807" s="11"/>
      <c r="T6807" s="11"/>
    </row>
    <row r="6808" spans="8:20" x14ac:dyDescent="0.35">
      <c r="H6808" s="711"/>
      <c r="I6808" s="711"/>
      <c r="J6808" s="711"/>
      <c r="K6808" s="711"/>
      <c r="L6808" s="711"/>
      <c r="Q6808" s="11"/>
      <c r="R6808" s="11"/>
      <c r="S6808" s="11"/>
      <c r="T6808" s="11"/>
    </row>
    <row r="6809" spans="8:20" x14ac:dyDescent="0.35">
      <c r="H6809" s="711"/>
      <c r="I6809" s="711"/>
      <c r="J6809" s="711"/>
      <c r="K6809" s="711"/>
      <c r="L6809" s="711"/>
      <c r="Q6809" s="11"/>
      <c r="R6809" s="11"/>
      <c r="S6809" s="11"/>
      <c r="T6809" s="11"/>
    </row>
    <row r="6810" spans="8:20" x14ac:dyDescent="0.35">
      <c r="H6810" s="711"/>
      <c r="I6810" s="711"/>
      <c r="J6810" s="711"/>
      <c r="K6810" s="711"/>
      <c r="L6810" s="711"/>
      <c r="Q6810" s="11"/>
      <c r="R6810" s="11"/>
      <c r="S6810" s="11"/>
      <c r="T6810" s="11"/>
    </row>
    <row r="6811" spans="8:20" x14ac:dyDescent="0.35">
      <c r="H6811" s="711"/>
      <c r="I6811" s="711"/>
      <c r="J6811" s="711"/>
      <c r="K6811" s="711"/>
      <c r="L6811" s="711"/>
      <c r="Q6811" s="11"/>
      <c r="R6811" s="11"/>
      <c r="S6811" s="11"/>
      <c r="T6811" s="11"/>
    </row>
    <row r="6812" spans="8:20" x14ac:dyDescent="0.35">
      <c r="H6812" s="711"/>
      <c r="I6812" s="711"/>
      <c r="J6812" s="711"/>
      <c r="K6812" s="711"/>
      <c r="L6812" s="711"/>
      <c r="Q6812" s="11"/>
      <c r="R6812" s="11"/>
      <c r="S6812" s="11"/>
      <c r="T6812" s="11"/>
    </row>
    <row r="6813" spans="8:20" x14ac:dyDescent="0.35">
      <c r="H6813" s="711"/>
      <c r="I6813" s="711"/>
      <c r="J6813" s="711"/>
      <c r="K6813" s="711"/>
      <c r="L6813" s="711"/>
      <c r="Q6813" s="11"/>
      <c r="R6813" s="11"/>
      <c r="S6813" s="11"/>
      <c r="T6813" s="11"/>
    </row>
    <row r="6814" spans="8:20" x14ac:dyDescent="0.35">
      <c r="H6814" s="711"/>
      <c r="I6814" s="711"/>
      <c r="J6814" s="711"/>
      <c r="K6814" s="711"/>
      <c r="L6814" s="711"/>
      <c r="Q6814" s="11"/>
      <c r="R6814" s="11"/>
      <c r="S6814" s="11"/>
      <c r="T6814" s="11"/>
    </row>
    <row r="6815" spans="8:20" x14ac:dyDescent="0.35">
      <c r="H6815" s="711"/>
      <c r="I6815" s="711"/>
      <c r="J6815" s="711"/>
      <c r="K6815" s="711"/>
      <c r="L6815" s="711"/>
      <c r="Q6815" s="11"/>
      <c r="R6815" s="11"/>
      <c r="S6815" s="11"/>
      <c r="T6815" s="11"/>
    </row>
    <row r="6816" spans="8:20" x14ac:dyDescent="0.35">
      <c r="H6816" s="711"/>
      <c r="I6816" s="711"/>
      <c r="J6816" s="711"/>
      <c r="K6816" s="711"/>
      <c r="L6816" s="711"/>
      <c r="Q6816" s="11"/>
      <c r="R6816" s="11"/>
      <c r="S6816" s="11"/>
      <c r="T6816" s="11"/>
    </row>
    <row r="6817" spans="8:20" x14ac:dyDescent="0.35">
      <c r="H6817" s="711"/>
      <c r="I6817" s="711"/>
      <c r="J6817" s="711"/>
      <c r="K6817" s="711"/>
      <c r="L6817" s="711"/>
      <c r="Q6817" s="11"/>
      <c r="R6817" s="11"/>
      <c r="S6817" s="11"/>
      <c r="T6817" s="11"/>
    </row>
    <row r="6818" spans="8:20" x14ac:dyDescent="0.35">
      <c r="H6818" s="711"/>
      <c r="I6818" s="711"/>
      <c r="J6818" s="711"/>
      <c r="K6818" s="711"/>
      <c r="L6818" s="711"/>
      <c r="Q6818" s="11"/>
      <c r="R6818" s="11"/>
      <c r="S6818" s="11"/>
      <c r="T6818" s="11"/>
    </row>
    <row r="6819" spans="8:20" x14ac:dyDescent="0.35">
      <c r="H6819" s="711"/>
      <c r="I6819" s="711"/>
      <c r="J6819" s="711"/>
      <c r="K6819" s="711"/>
      <c r="L6819" s="711"/>
      <c r="Q6819" s="11"/>
      <c r="R6819" s="11"/>
      <c r="S6819" s="11"/>
      <c r="T6819" s="11"/>
    </row>
    <row r="6820" spans="8:20" x14ac:dyDescent="0.35">
      <c r="H6820" s="711"/>
      <c r="I6820" s="711"/>
      <c r="J6820" s="711"/>
      <c r="K6820" s="711"/>
      <c r="L6820" s="711"/>
      <c r="Q6820" s="11"/>
      <c r="R6820" s="11"/>
      <c r="S6820" s="11"/>
      <c r="T6820" s="11"/>
    </row>
    <row r="6821" spans="8:20" x14ac:dyDescent="0.35">
      <c r="H6821" s="711"/>
      <c r="I6821" s="711"/>
      <c r="J6821" s="711"/>
      <c r="K6821" s="711"/>
      <c r="L6821" s="711"/>
      <c r="Q6821" s="11"/>
      <c r="R6821" s="11"/>
      <c r="S6821" s="11"/>
      <c r="T6821" s="11"/>
    </row>
    <row r="6822" spans="8:20" x14ac:dyDescent="0.35">
      <c r="H6822" s="711"/>
      <c r="I6822" s="711"/>
      <c r="J6822" s="711"/>
      <c r="K6822" s="711"/>
      <c r="L6822" s="711"/>
      <c r="Q6822" s="11"/>
      <c r="R6822" s="11"/>
      <c r="S6822" s="11"/>
      <c r="T6822" s="11"/>
    </row>
    <row r="6823" spans="8:20" x14ac:dyDescent="0.35">
      <c r="H6823" s="711"/>
      <c r="I6823" s="711"/>
      <c r="J6823" s="711"/>
      <c r="K6823" s="711"/>
      <c r="L6823" s="711"/>
      <c r="Q6823" s="11"/>
      <c r="R6823" s="11"/>
      <c r="S6823" s="11"/>
      <c r="T6823" s="11"/>
    </row>
    <row r="6824" spans="8:20" x14ac:dyDescent="0.35">
      <c r="H6824" s="711"/>
      <c r="I6824" s="711"/>
      <c r="J6824" s="711"/>
      <c r="K6824" s="711"/>
      <c r="L6824" s="711"/>
      <c r="Q6824" s="11"/>
      <c r="R6824" s="11"/>
      <c r="S6824" s="11"/>
      <c r="T6824" s="11"/>
    </row>
    <row r="6825" spans="8:20" x14ac:dyDescent="0.35">
      <c r="H6825" s="711"/>
      <c r="I6825" s="711"/>
      <c r="J6825" s="711"/>
      <c r="K6825" s="711"/>
      <c r="L6825" s="711"/>
      <c r="Q6825" s="11"/>
      <c r="R6825" s="11"/>
      <c r="S6825" s="11"/>
      <c r="T6825" s="11"/>
    </row>
    <row r="6826" spans="8:20" x14ac:dyDescent="0.35">
      <c r="H6826" s="711"/>
      <c r="I6826" s="711"/>
      <c r="J6826" s="711"/>
      <c r="K6826" s="711"/>
      <c r="L6826" s="711"/>
      <c r="Q6826" s="11"/>
      <c r="R6826" s="11"/>
      <c r="S6826" s="11"/>
      <c r="T6826" s="11"/>
    </row>
    <row r="6827" spans="8:20" x14ac:dyDescent="0.35">
      <c r="H6827" s="711"/>
      <c r="I6827" s="711"/>
      <c r="J6827" s="711"/>
      <c r="K6827" s="711"/>
      <c r="L6827" s="711"/>
      <c r="Q6827" s="11"/>
      <c r="R6827" s="11"/>
      <c r="S6827" s="11"/>
      <c r="T6827" s="11"/>
    </row>
    <row r="6828" spans="8:20" x14ac:dyDescent="0.35">
      <c r="H6828" s="711"/>
      <c r="I6828" s="711"/>
      <c r="J6828" s="711"/>
      <c r="K6828" s="711"/>
      <c r="L6828" s="711"/>
      <c r="Q6828" s="11"/>
      <c r="R6828" s="11"/>
      <c r="S6828" s="11"/>
      <c r="T6828" s="11"/>
    </row>
    <row r="6829" spans="8:20" x14ac:dyDescent="0.35">
      <c r="H6829" s="711"/>
      <c r="I6829" s="711"/>
      <c r="J6829" s="711"/>
      <c r="K6829" s="711"/>
      <c r="L6829" s="711"/>
      <c r="Q6829" s="11"/>
      <c r="R6829" s="11"/>
      <c r="S6829" s="11"/>
      <c r="T6829" s="11"/>
    </row>
    <row r="6830" spans="8:20" x14ac:dyDescent="0.35">
      <c r="H6830" s="711"/>
      <c r="I6830" s="711"/>
      <c r="J6830" s="711"/>
      <c r="K6830" s="711"/>
      <c r="L6830" s="711"/>
      <c r="Q6830" s="11"/>
      <c r="R6830" s="11"/>
      <c r="S6830" s="11"/>
      <c r="T6830" s="11"/>
    </row>
    <row r="6831" spans="8:20" x14ac:dyDescent="0.35">
      <c r="H6831" s="711"/>
      <c r="I6831" s="711"/>
      <c r="J6831" s="711"/>
      <c r="K6831" s="711"/>
      <c r="L6831" s="711"/>
      <c r="Q6831" s="11"/>
      <c r="R6831" s="11"/>
      <c r="S6831" s="11"/>
      <c r="T6831" s="11"/>
    </row>
    <row r="6832" spans="8:20" x14ac:dyDescent="0.35">
      <c r="H6832" s="711"/>
      <c r="I6832" s="711"/>
      <c r="J6832" s="711"/>
      <c r="K6832" s="711"/>
      <c r="L6832" s="711"/>
      <c r="Q6832" s="11"/>
      <c r="R6832" s="11"/>
      <c r="S6832" s="11"/>
      <c r="T6832" s="11"/>
    </row>
    <row r="6833" spans="8:20" x14ac:dyDescent="0.35">
      <c r="H6833" s="711"/>
      <c r="I6833" s="711"/>
      <c r="J6833" s="711"/>
      <c r="K6833" s="711"/>
      <c r="L6833" s="711"/>
      <c r="Q6833" s="11"/>
      <c r="R6833" s="11"/>
      <c r="S6833" s="11"/>
      <c r="T6833" s="11"/>
    </row>
    <row r="6834" spans="8:20" x14ac:dyDescent="0.35">
      <c r="H6834" s="711"/>
      <c r="I6834" s="711"/>
      <c r="J6834" s="711"/>
      <c r="K6834" s="711"/>
      <c r="L6834" s="711"/>
      <c r="Q6834" s="11"/>
      <c r="R6834" s="11"/>
      <c r="S6834" s="11"/>
      <c r="T6834" s="11"/>
    </row>
    <row r="6835" spans="8:20" x14ac:dyDescent="0.35">
      <c r="H6835" s="711"/>
      <c r="I6835" s="711"/>
      <c r="J6835" s="711"/>
      <c r="K6835" s="711"/>
      <c r="L6835" s="711"/>
      <c r="Q6835" s="11"/>
      <c r="R6835" s="11"/>
      <c r="S6835" s="11"/>
      <c r="T6835" s="11"/>
    </row>
    <row r="6836" spans="8:20" x14ac:dyDescent="0.35">
      <c r="H6836" s="711"/>
      <c r="I6836" s="711"/>
      <c r="J6836" s="711"/>
      <c r="K6836" s="711"/>
      <c r="L6836" s="711"/>
      <c r="Q6836" s="11"/>
      <c r="R6836" s="11"/>
      <c r="S6836" s="11"/>
      <c r="T6836" s="11"/>
    </row>
    <row r="6837" spans="8:20" x14ac:dyDescent="0.35">
      <c r="H6837" s="711"/>
      <c r="I6837" s="711"/>
      <c r="J6837" s="711"/>
      <c r="K6837" s="711"/>
      <c r="L6837" s="711"/>
      <c r="Q6837" s="11"/>
      <c r="R6837" s="11"/>
      <c r="S6837" s="11"/>
      <c r="T6837" s="11"/>
    </row>
    <row r="6838" spans="8:20" x14ac:dyDescent="0.35">
      <c r="H6838" s="711"/>
      <c r="I6838" s="711"/>
      <c r="J6838" s="711"/>
      <c r="K6838" s="711"/>
      <c r="L6838" s="711"/>
      <c r="Q6838" s="11"/>
      <c r="R6838" s="11"/>
      <c r="S6838" s="11"/>
      <c r="T6838" s="11"/>
    </row>
    <row r="6839" spans="8:20" x14ac:dyDescent="0.35">
      <c r="H6839" s="711"/>
      <c r="I6839" s="711"/>
      <c r="J6839" s="711"/>
      <c r="K6839" s="711"/>
      <c r="L6839" s="711"/>
      <c r="Q6839" s="11"/>
      <c r="R6839" s="11"/>
      <c r="S6839" s="11"/>
      <c r="T6839" s="11"/>
    </row>
    <row r="6840" spans="8:20" x14ac:dyDescent="0.35">
      <c r="H6840" s="711"/>
      <c r="I6840" s="711"/>
      <c r="J6840" s="711"/>
      <c r="K6840" s="711"/>
      <c r="L6840" s="711"/>
      <c r="Q6840" s="11"/>
      <c r="R6840" s="11"/>
      <c r="S6840" s="11"/>
      <c r="T6840" s="11"/>
    </row>
    <row r="6841" spans="8:20" x14ac:dyDescent="0.35">
      <c r="H6841" s="711"/>
      <c r="I6841" s="711"/>
      <c r="J6841" s="711"/>
      <c r="K6841" s="711"/>
      <c r="L6841" s="711"/>
      <c r="Q6841" s="11"/>
      <c r="R6841" s="11"/>
      <c r="S6841" s="11"/>
      <c r="T6841" s="11"/>
    </row>
    <row r="6842" spans="8:20" x14ac:dyDescent="0.35">
      <c r="H6842" s="711"/>
      <c r="I6842" s="711"/>
      <c r="J6842" s="711"/>
      <c r="K6842" s="711"/>
      <c r="L6842" s="711"/>
      <c r="Q6842" s="11"/>
      <c r="R6842" s="11"/>
      <c r="S6842" s="11"/>
      <c r="T6842" s="11"/>
    </row>
    <row r="6843" spans="8:20" x14ac:dyDescent="0.35">
      <c r="H6843" s="711"/>
      <c r="I6843" s="711"/>
      <c r="J6843" s="711"/>
      <c r="K6843" s="711"/>
      <c r="L6843" s="711"/>
      <c r="Q6843" s="11"/>
      <c r="R6843" s="11"/>
      <c r="S6843" s="11"/>
      <c r="T6843" s="11"/>
    </row>
    <row r="6844" spans="8:20" x14ac:dyDescent="0.35">
      <c r="H6844" s="711"/>
      <c r="I6844" s="711"/>
      <c r="J6844" s="711"/>
      <c r="K6844" s="711"/>
      <c r="L6844" s="711"/>
      <c r="Q6844" s="11"/>
      <c r="R6844" s="11"/>
      <c r="S6844" s="11"/>
      <c r="T6844" s="11"/>
    </row>
    <row r="6845" spans="8:20" x14ac:dyDescent="0.35">
      <c r="H6845" s="711"/>
      <c r="I6845" s="711"/>
      <c r="J6845" s="711"/>
      <c r="K6845" s="711"/>
      <c r="L6845" s="711"/>
      <c r="Q6845" s="11"/>
      <c r="R6845" s="11"/>
      <c r="S6845" s="11"/>
      <c r="T6845" s="11"/>
    </row>
    <row r="6846" spans="8:20" x14ac:dyDescent="0.35">
      <c r="H6846" s="711"/>
      <c r="I6846" s="711"/>
      <c r="J6846" s="711"/>
      <c r="K6846" s="711"/>
      <c r="L6846" s="711"/>
      <c r="Q6846" s="11"/>
      <c r="R6846" s="11"/>
      <c r="S6846" s="11"/>
      <c r="T6846" s="11"/>
    </row>
    <row r="6847" spans="8:20" x14ac:dyDescent="0.35">
      <c r="H6847" s="711"/>
      <c r="I6847" s="711"/>
      <c r="J6847" s="711"/>
      <c r="K6847" s="711"/>
      <c r="L6847" s="711"/>
      <c r="Q6847" s="11"/>
      <c r="R6847" s="11"/>
      <c r="S6847" s="11"/>
      <c r="T6847" s="11"/>
    </row>
    <row r="6848" spans="8:20" x14ac:dyDescent="0.35">
      <c r="H6848" s="711"/>
      <c r="I6848" s="711"/>
      <c r="J6848" s="711"/>
      <c r="K6848" s="711"/>
      <c r="L6848" s="711"/>
      <c r="Q6848" s="11"/>
      <c r="R6848" s="11"/>
      <c r="S6848" s="11"/>
      <c r="T6848" s="11"/>
    </row>
    <row r="6849" spans="8:20" x14ac:dyDescent="0.35">
      <c r="H6849" s="711"/>
      <c r="I6849" s="711"/>
      <c r="J6849" s="711"/>
      <c r="K6849" s="711"/>
      <c r="L6849" s="711"/>
      <c r="Q6849" s="11"/>
      <c r="R6849" s="11"/>
      <c r="S6849" s="11"/>
      <c r="T6849" s="11"/>
    </row>
    <row r="6850" spans="8:20" x14ac:dyDescent="0.35">
      <c r="H6850" s="711"/>
      <c r="I6850" s="711"/>
      <c r="J6850" s="711"/>
      <c r="K6850" s="711"/>
      <c r="L6850" s="711"/>
      <c r="Q6850" s="11"/>
      <c r="R6850" s="11"/>
      <c r="S6850" s="11"/>
      <c r="T6850" s="11"/>
    </row>
    <row r="6851" spans="8:20" x14ac:dyDescent="0.35">
      <c r="H6851" s="711"/>
      <c r="I6851" s="711"/>
      <c r="J6851" s="711"/>
      <c r="K6851" s="711"/>
      <c r="L6851" s="711"/>
      <c r="Q6851" s="11"/>
      <c r="R6851" s="11"/>
      <c r="S6851" s="11"/>
      <c r="T6851" s="11"/>
    </row>
    <row r="6852" spans="8:20" x14ac:dyDescent="0.35">
      <c r="H6852" s="711"/>
      <c r="I6852" s="711"/>
      <c r="J6852" s="711"/>
      <c r="K6852" s="711"/>
      <c r="L6852" s="711"/>
      <c r="Q6852" s="11"/>
      <c r="R6852" s="11"/>
      <c r="S6852" s="11"/>
      <c r="T6852" s="11"/>
    </row>
    <row r="6853" spans="8:20" x14ac:dyDescent="0.35">
      <c r="H6853" s="711"/>
      <c r="I6853" s="711"/>
      <c r="J6853" s="711"/>
      <c r="K6853" s="711"/>
      <c r="L6853" s="711"/>
      <c r="Q6853" s="11"/>
      <c r="R6853" s="11"/>
      <c r="S6853" s="11"/>
      <c r="T6853" s="11"/>
    </row>
    <row r="6854" spans="8:20" x14ac:dyDescent="0.35">
      <c r="H6854" s="711"/>
      <c r="I6854" s="711"/>
      <c r="J6854" s="711"/>
      <c r="K6854" s="711"/>
      <c r="L6854" s="711"/>
      <c r="Q6854" s="11"/>
      <c r="R6854" s="11"/>
      <c r="S6854" s="11"/>
      <c r="T6854" s="11"/>
    </row>
    <row r="6855" spans="8:20" x14ac:dyDescent="0.35">
      <c r="H6855" s="711"/>
      <c r="I6855" s="711"/>
      <c r="J6855" s="711"/>
      <c r="K6855" s="711"/>
      <c r="L6855" s="711"/>
      <c r="Q6855" s="11"/>
      <c r="R6855" s="11"/>
      <c r="S6855" s="11"/>
      <c r="T6855" s="11"/>
    </row>
    <row r="6856" spans="8:20" x14ac:dyDescent="0.35">
      <c r="H6856" s="711"/>
      <c r="I6856" s="711"/>
      <c r="J6856" s="711"/>
      <c r="K6856" s="711"/>
      <c r="L6856" s="711"/>
      <c r="Q6856" s="11"/>
      <c r="R6856" s="11"/>
      <c r="S6856" s="11"/>
      <c r="T6856" s="11"/>
    </row>
    <row r="6857" spans="8:20" x14ac:dyDescent="0.35">
      <c r="H6857" s="711"/>
      <c r="I6857" s="711"/>
      <c r="J6857" s="711"/>
      <c r="K6857" s="711"/>
      <c r="L6857" s="711"/>
      <c r="Q6857" s="11"/>
      <c r="R6857" s="11"/>
      <c r="S6857" s="11"/>
      <c r="T6857" s="11"/>
    </row>
    <row r="6858" spans="8:20" x14ac:dyDescent="0.35">
      <c r="H6858" s="711"/>
      <c r="I6858" s="711"/>
      <c r="J6858" s="711"/>
      <c r="K6858" s="711"/>
      <c r="L6858" s="711"/>
      <c r="Q6858" s="11"/>
      <c r="R6858" s="11"/>
      <c r="S6858" s="11"/>
      <c r="T6858" s="11"/>
    </row>
    <row r="6859" spans="8:20" x14ac:dyDescent="0.35">
      <c r="H6859" s="711"/>
      <c r="I6859" s="711"/>
      <c r="J6859" s="711"/>
      <c r="K6859" s="711"/>
      <c r="L6859" s="711"/>
      <c r="Q6859" s="11"/>
      <c r="R6859" s="11"/>
      <c r="S6859" s="11"/>
      <c r="T6859" s="11"/>
    </row>
    <row r="6860" spans="8:20" x14ac:dyDescent="0.35">
      <c r="H6860" s="711"/>
      <c r="I6860" s="711"/>
      <c r="J6860" s="711"/>
      <c r="K6860" s="711"/>
      <c r="L6860" s="711"/>
      <c r="Q6860" s="11"/>
      <c r="R6860" s="11"/>
      <c r="S6860" s="11"/>
      <c r="T6860" s="11"/>
    </row>
    <row r="6861" spans="8:20" x14ac:dyDescent="0.35">
      <c r="H6861" s="711"/>
      <c r="I6861" s="711"/>
      <c r="J6861" s="711"/>
      <c r="K6861" s="711"/>
      <c r="L6861" s="711"/>
      <c r="Q6861" s="11"/>
      <c r="R6861" s="11"/>
      <c r="S6861" s="11"/>
      <c r="T6861" s="11"/>
    </row>
    <row r="6862" spans="8:20" x14ac:dyDescent="0.35">
      <c r="H6862" s="711"/>
      <c r="I6862" s="711"/>
      <c r="J6862" s="711"/>
      <c r="K6862" s="711"/>
      <c r="L6862" s="711"/>
      <c r="Q6862" s="11"/>
      <c r="R6862" s="11"/>
      <c r="S6862" s="11"/>
      <c r="T6862" s="11"/>
    </row>
    <row r="6863" spans="8:20" x14ac:dyDescent="0.35">
      <c r="H6863" s="711"/>
      <c r="I6863" s="711"/>
      <c r="J6863" s="711"/>
      <c r="K6863" s="711"/>
      <c r="L6863" s="711"/>
      <c r="Q6863" s="11"/>
      <c r="R6863" s="11"/>
      <c r="S6863" s="11"/>
      <c r="T6863" s="11"/>
    </row>
    <row r="6864" spans="8:20" x14ac:dyDescent="0.35">
      <c r="H6864" s="711"/>
      <c r="I6864" s="711"/>
      <c r="J6864" s="711"/>
      <c r="K6864" s="711"/>
      <c r="L6864" s="711"/>
      <c r="Q6864" s="11"/>
      <c r="R6864" s="11"/>
      <c r="S6864" s="11"/>
      <c r="T6864" s="11"/>
    </row>
    <row r="6865" spans="8:20" x14ac:dyDescent="0.35">
      <c r="H6865" s="711"/>
      <c r="I6865" s="711"/>
      <c r="J6865" s="711"/>
      <c r="K6865" s="711"/>
      <c r="L6865" s="711"/>
      <c r="Q6865" s="11"/>
      <c r="R6865" s="11"/>
      <c r="S6865" s="11"/>
      <c r="T6865" s="11"/>
    </row>
    <row r="6866" spans="8:20" x14ac:dyDescent="0.35">
      <c r="H6866" s="711"/>
      <c r="I6866" s="711"/>
      <c r="J6866" s="711"/>
      <c r="K6866" s="711"/>
      <c r="L6866" s="711"/>
      <c r="Q6866" s="11"/>
      <c r="R6866" s="11"/>
      <c r="S6866" s="11"/>
      <c r="T6866" s="11"/>
    </row>
    <row r="6867" spans="8:20" x14ac:dyDescent="0.35">
      <c r="H6867" s="711"/>
      <c r="I6867" s="711"/>
      <c r="J6867" s="711"/>
      <c r="K6867" s="711"/>
      <c r="L6867" s="711"/>
      <c r="Q6867" s="11"/>
      <c r="R6867" s="11"/>
      <c r="S6867" s="11"/>
      <c r="T6867" s="11"/>
    </row>
    <row r="6868" spans="8:20" x14ac:dyDescent="0.35">
      <c r="H6868" s="711"/>
      <c r="I6868" s="711"/>
      <c r="J6868" s="711"/>
      <c r="K6868" s="711"/>
      <c r="L6868" s="711"/>
      <c r="Q6868" s="11"/>
      <c r="R6868" s="11"/>
      <c r="S6868" s="11"/>
      <c r="T6868" s="11"/>
    </row>
    <row r="6869" spans="8:20" x14ac:dyDescent="0.35">
      <c r="H6869" s="711"/>
      <c r="I6869" s="711"/>
      <c r="J6869" s="711"/>
      <c r="K6869" s="711"/>
      <c r="L6869" s="711"/>
      <c r="Q6869" s="11"/>
      <c r="R6869" s="11"/>
      <c r="S6869" s="11"/>
      <c r="T6869" s="11"/>
    </row>
    <row r="6870" spans="8:20" x14ac:dyDescent="0.35">
      <c r="H6870" s="711"/>
      <c r="I6870" s="711"/>
      <c r="J6870" s="711"/>
      <c r="K6870" s="711"/>
      <c r="L6870" s="711"/>
      <c r="Q6870" s="11"/>
      <c r="R6870" s="11"/>
      <c r="S6870" s="11"/>
      <c r="T6870" s="11"/>
    </row>
    <row r="6871" spans="8:20" x14ac:dyDescent="0.35">
      <c r="H6871" s="711"/>
      <c r="I6871" s="711"/>
      <c r="J6871" s="711"/>
      <c r="K6871" s="711"/>
      <c r="L6871" s="711"/>
      <c r="Q6871" s="11"/>
      <c r="R6871" s="11"/>
      <c r="S6871" s="11"/>
      <c r="T6871" s="11"/>
    </row>
    <row r="6872" spans="8:20" x14ac:dyDescent="0.35">
      <c r="H6872" s="711"/>
      <c r="I6872" s="711"/>
      <c r="J6872" s="711"/>
      <c r="K6872" s="711"/>
      <c r="L6872" s="711"/>
      <c r="Q6872" s="11"/>
      <c r="R6872" s="11"/>
      <c r="S6872" s="11"/>
      <c r="T6872" s="11"/>
    </row>
    <row r="6873" spans="8:20" x14ac:dyDescent="0.35">
      <c r="H6873" s="711"/>
      <c r="I6873" s="711"/>
      <c r="J6873" s="711"/>
      <c r="K6873" s="711"/>
      <c r="L6873" s="711"/>
      <c r="Q6873" s="11"/>
      <c r="R6873" s="11"/>
      <c r="S6873" s="11"/>
      <c r="T6873" s="11"/>
    </row>
    <row r="6874" spans="8:20" x14ac:dyDescent="0.35">
      <c r="H6874" s="711"/>
      <c r="I6874" s="711"/>
      <c r="J6874" s="711"/>
      <c r="K6874" s="711"/>
      <c r="L6874" s="711"/>
      <c r="Q6874" s="11"/>
      <c r="R6874" s="11"/>
      <c r="S6874" s="11"/>
      <c r="T6874" s="11"/>
    </row>
    <row r="6875" spans="8:20" x14ac:dyDescent="0.35">
      <c r="H6875" s="711"/>
      <c r="I6875" s="711"/>
      <c r="J6875" s="711"/>
      <c r="K6875" s="711"/>
      <c r="L6875" s="711"/>
      <c r="Q6875" s="11"/>
      <c r="R6875" s="11"/>
      <c r="S6875" s="11"/>
      <c r="T6875" s="11"/>
    </row>
    <row r="6876" spans="8:20" x14ac:dyDescent="0.35">
      <c r="H6876" s="711"/>
      <c r="I6876" s="711"/>
      <c r="J6876" s="711"/>
      <c r="K6876" s="711"/>
      <c r="L6876" s="711"/>
      <c r="Q6876" s="11"/>
      <c r="R6876" s="11"/>
      <c r="S6876" s="11"/>
      <c r="T6876" s="11"/>
    </row>
    <row r="6877" spans="8:20" x14ac:dyDescent="0.35">
      <c r="H6877" s="711"/>
      <c r="I6877" s="711"/>
      <c r="J6877" s="711"/>
      <c r="K6877" s="711"/>
      <c r="L6877" s="711"/>
      <c r="Q6877" s="11"/>
      <c r="R6877" s="11"/>
      <c r="S6877" s="11"/>
      <c r="T6877" s="11"/>
    </row>
    <row r="6878" spans="8:20" x14ac:dyDescent="0.35">
      <c r="H6878" s="711"/>
      <c r="I6878" s="711"/>
      <c r="J6878" s="711"/>
      <c r="K6878" s="711"/>
      <c r="L6878" s="711"/>
      <c r="Q6878" s="11"/>
      <c r="R6878" s="11"/>
      <c r="S6878" s="11"/>
      <c r="T6878" s="11"/>
    </row>
    <row r="6879" spans="8:20" x14ac:dyDescent="0.35">
      <c r="H6879" s="711"/>
      <c r="I6879" s="711"/>
      <c r="J6879" s="711"/>
      <c r="K6879" s="711"/>
      <c r="L6879" s="711"/>
      <c r="Q6879" s="11"/>
      <c r="R6879" s="11"/>
      <c r="S6879" s="11"/>
      <c r="T6879" s="11"/>
    </row>
    <row r="6880" spans="8:20" x14ac:dyDescent="0.35">
      <c r="H6880" s="711"/>
      <c r="I6880" s="711"/>
      <c r="J6880" s="711"/>
      <c r="K6880" s="711"/>
      <c r="L6880" s="711"/>
      <c r="Q6880" s="11"/>
      <c r="R6880" s="11"/>
      <c r="S6880" s="11"/>
      <c r="T6880" s="11"/>
    </row>
    <row r="6881" spans="8:20" x14ac:dyDescent="0.35">
      <c r="H6881" s="711"/>
      <c r="I6881" s="711"/>
      <c r="J6881" s="711"/>
      <c r="K6881" s="711"/>
      <c r="L6881" s="711"/>
      <c r="Q6881" s="11"/>
      <c r="R6881" s="11"/>
      <c r="S6881" s="11"/>
      <c r="T6881" s="11"/>
    </row>
    <row r="6882" spans="8:20" x14ac:dyDescent="0.35">
      <c r="H6882" s="711"/>
      <c r="I6882" s="711"/>
      <c r="J6882" s="711"/>
      <c r="K6882" s="711"/>
      <c r="L6882" s="711"/>
      <c r="Q6882" s="11"/>
      <c r="R6882" s="11"/>
      <c r="S6882" s="11"/>
      <c r="T6882" s="11"/>
    </row>
    <row r="6883" spans="8:20" x14ac:dyDescent="0.35">
      <c r="H6883" s="711"/>
      <c r="I6883" s="711"/>
      <c r="J6883" s="711"/>
      <c r="K6883" s="711"/>
      <c r="L6883" s="711"/>
      <c r="Q6883" s="11"/>
      <c r="R6883" s="11"/>
      <c r="S6883" s="11"/>
      <c r="T6883" s="11"/>
    </row>
    <row r="6884" spans="8:20" x14ac:dyDescent="0.35">
      <c r="H6884" s="711"/>
      <c r="I6884" s="711"/>
      <c r="J6884" s="711"/>
      <c r="K6884" s="711"/>
      <c r="L6884" s="711"/>
      <c r="Q6884" s="11"/>
      <c r="R6884" s="11"/>
      <c r="S6884" s="11"/>
      <c r="T6884" s="11"/>
    </row>
    <row r="6885" spans="8:20" x14ac:dyDescent="0.35">
      <c r="H6885" s="711"/>
      <c r="I6885" s="711"/>
      <c r="J6885" s="711"/>
      <c r="K6885" s="711"/>
      <c r="L6885" s="711"/>
      <c r="Q6885" s="11"/>
      <c r="R6885" s="11"/>
      <c r="S6885" s="11"/>
      <c r="T6885" s="11"/>
    </row>
    <row r="6886" spans="8:20" x14ac:dyDescent="0.35">
      <c r="H6886" s="711"/>
      <c r="I6886" s="711"/>
      <c r="J6886" s="711"/>
      <c r="K6886" s="711"/>
      <c r="L6886" s="711"/>
      <c r="Q6886" s="11"/>
      <c r="R6886" s="11"/>
      <c r="S6886" s="11"/>
      <c r="T6886" s="11"/>
    </row>
    <row r="6887" spans="8:20" x14ac:dyDescent="0.35">
      <c r="H6887" s="711"/>
      <c r="I6887" s="711"/>
      <c r="J6887" s="711"/>
      <c r="K6887" s="711"/>
      <c r="L6887" s="711"/>
      <c r="Q6887" s="11"/>
      <c r="R6887" s="11"/>
      <c r="S6887" s="11"/>
      <c r="T6887" s="11"/>
    </row>
    <row r="6888" spans="8:20" x14ac:dyDescent="0.35">
      <c r="H6888" s="711"/>
      <c r="I6888" s="711"/>
      <c r="J6888" s="711"/>
      <c r="K6888" s="711"/>
      <c r="L6888" s="711"/>
      <c r="Q6888" s="11"/>
      <c r="R6888" s="11"/>
      <c r="S6888" s="11"/>
      <c r="T6888" s="11"/>
    </row>
    <row r="6889" spans="8:20" x14ac:dyDescent="0.35">
      <c r="H6889" s="711"/>
      <c r="I6889" s="711"/>
      <c r="J6889" s="711"/>
      <c r="K6889" s="711"/>
      <c r="L6889" s="711"/>
      <c r="Q6889" s="11"/>
      <c r="R6889" s="11"/>
      <c r="S6889" s="11"/>
      <c r="T6889" s="11"/>
    </row>
    <row r="6890" spans="8:20" x14ac:dyDescent="0.35">
      <c r="H6890" s="711"/>
      <c r="I6890" s="711"/>
      <c r="J6890" s="711"/>
      <c r="K6890" s="711"/>
      <c r="L6890" s="711"/>
      <c r="Q6890" s="11"/>
      <c r="R6890" s="11"/>
      <c r="S6890" s="11"/>
      <c r="T6890" s="11"/>
    </row>
    <row r="6891" spans="8:20" x14ac:dyDescent="0.35">
      <c r="H6891" s="711"/>
      <c r="I6891" s="711"/>
      <c r="J6891" s="711"/>
      <c r="K6891" s="711"/>
      <c r="L6891" s="711"/>
      <c r="Q6891" s="11"/>
      <c r="R6891" s="11"/>
      <c r="S6891" s="11"/>
      <c r="T6891" s="11"/>
    </row>
    <row r="6892" spans="8:20" x14ac:dyDescent="0.35">
      <c r="H6892" s="711"/>
      <c r="I6892" s="711"/>
      <c r="J6892" s="711"/>
      <c r="K6892" s="711"/>
      <c r="L6892" s="711"/>
      <c r="Q6892" s="11"/>
      <c r="R6892" s="11"/>
      <c r="S6892" s="11"/>
      <c r="T6892" s="11"/>
    </row>
    <row r="6893" spans="8:20" x14ac:dyDescent="0.35">
      <c r="H6893" s="711"/>
      <c r="I6893" s="711"/>
      <c r="J6893" s="711"/>
      <c r="K6893" s="711"/>
      <c r="L6893" s="711"/>
      <c r="Q6893" s="11"/>
      <c r="R6893" s="11"/>
      <c r="S6893" s="11"/>
      <c r="T6893" s="11"/>
    </row>
    <row r="6894" spans="8:20" x14ac:dyDescent="0.35">
      <c r="H6894" s="711"/>
      <c r="I6894" s="711"/>
      <c r="J6894" s="711"/>
      <c r="K6894" s="711"/>
      <c r="L6894" s="711"/>
      <c r="Q6894" s="11"/>
      <c r="R6894" s="11"/>
      <c r="S6894" s="11"/>
      <c r="T6894" s="11"/>
    </row>
    <row r="6895" spans="8:20" x14ac:dyDescent="0.35">
      <c r="H6895" s="711"/>
      <c r="I6895" s="711"/>
      <c r="J6895" s="711"/>
      <c r="K6895" s="711"/>
      <c r="L6895" s="711"/>
      <c r="Q6895" s="11"/>
      <c r="R6895" s="11"/>
      <c r="S6895" s="11"/>
      <c r="T6895" s="11"/>
    </row>
    <row r="6896" spans="8:20" x14ac:dyDescent="0.35">
      <c r="H6896" s="711"/>
      <c r="I6896" s="711"/>
      <c r="J6896" s="711"/>
      <c r="K6896" s="711"/>
      <c r="L6896" s="711"/>
      <c r="Q6896" s="11"/>
      <c r="R6896" s="11"/>
      <c r="S6896" s="11"/>
      <c r="T6896" s="11"/>
    </row>
    <row r="6897" spans="8:20" x14ac:dyDescent="0.35">
      <c r="H6897" s="711"/>
      <c r="I6897" s="711"/>
      <c r="J6897" s="711"/>
      <c r="K6897" s="711"/>
      <c r="L6897" s="711"/>
      <c r="Q6897" s="11"/>
      <c r="R6897" s="11"/>
      <c r="S6897" s="11"/>
      <c r="T6897" s="11"/>
    </row>
    <row r="6898" spans="8:20" x14ac:dyDescent="0.35">
      <c r="H6898" s="711"/>
      <c r="I6898" s="711"/>
      <c r="J6898" s="711"/>
      <c r="K6898" s="711"/>
      <c r="L6898" s="711"/>
      <c r="Q6898" s="11"/>
      <c r="R6898" s="11"/>
      <c r="S6898" s="11"/>
      <c r="T6898" s="11"/>
    </row>
    <row r="6899" spans="8:20" x14ac:dyDescent="0.35">
      <c r="H6899" s="711"/>
      <c r="I6899" s="711"/>
      <c r="J6899" s="711"/>
      <c r="K6899" s="711"/>
      <c r="L6899" s="711"/>
      <c r="Q6899" s="11"/>
      <c r="R6899" s="11"/>
      <c r="S6899" s="11"/>
      <c r="T6899" s="11"/>
    </row>
    <row r="6900" spans="8:20" x14ac:dyDescent="0.35">
      <c r="H6900" s="711"/>
      <c r="I6900" s="711"/>
      <c r="J6900" s="711"/>
      <c r="K6900" s="711"/>
      <c r="L6900" s="711"/>
      <c r="Q6900" s="11"/>
      <c r="R6900" s="11"/>
      <c r="S6900" s="11"/>
      <c r="T6900" s="11"/>
    </row>
    <row r="6901" spans="8:20" x14ac:dyDescent="0.35">
      <c r="H6901" s="711"/>
      <c r="I6901" s="711"/>
      <c r="J6901" s="711"/>
      <c r="K6901" s="711"/>
      <c r="L6901" s="711"/>
      <c r="Q6901" s="11"/>
      <c r="R6901" s="11"/>
      <c r="S6901" s="11"/>
      <c r="T6901" s="11"/>
    </row>
    <row r="6902" spans="8:20" x14ac:dyDescent="0.35">
      <c r="H6902" s="711"/>
      <c r="I6902" s="711"/>
      <c r="J6902" s="711"/>
      <c r="K6902" s="711"/>
      <c r="L6902" s="711"/>
      <c r="Q6902" s="11"/>
      <c r="R6902" s="11"/>
      <c r="S6902" s="11"/>
      <c r="T6902" s="11"/>
    </row>
    <row r="6903" spans="8:20" x14ac:dyDescent="0.35">
      <c r="H6903" s="711"/>
      <c r="I6903" s="711"/>
      <c r="J6903" s="711"/>
      <c r="K6903" s="711"/>
      <c r="L6903" s="711"/>
      <c r="Q6903" s="11"/>
      <c r="R6903" s="11"/>
      <c r="S6903" s="11"/>
      <c r="T6903" s="11"/>
    </row>
    <row r="6904" spans="8:20" x14ac:dyDescent="0.35">
      <c r="H6904" s="711"/>
      <c r="I6904" s="711"/>
      <c r="J6904" s="711"/>
      <c r="K6904" s="711"/>
      <c r="L6904" s="711"/>
      <c r="Q6904" s="11"/>
      <c r="R6904" s="11"/>
      <c r="S6904" s="11"/>
      <c r="T6904" s="11"/>
    </row>
    <row r="6905" spans="8:20" x14ac:dyDescent="0.35">
      <c r="H6905" s="711"/>
      <c r="I6905" s="711"/>
      <c r="J6905" s="711"/>
      <c r="K6905" s="711"/>
      <c r="L6905" s="711"/>
      <c r="Q6905" s="11"/>
      <c r="R6905" s="11"/>
      <c r="S6905" s="11"/>
      <c r="T6905" s="11"/>
    </row>
    <row r="6906" spans="8:20" x14ac:dyDescent="0.35">
      <c r="H6906" s="711"/>
      <c r="I6906" s="711"/>
      <c r="J6906" s="711"/>
      <c r="K6906" s="711"/>
      <c r="L6906" s="711"/>
      <c r="Q6906" s="11"/>
      <c r="R6906" s="11"/>
      <c r="S6906" s="11"/>
      <c r="T6906" s="11"/>
    </row>
    <row r="6907" spans="8:20" x14ac:dyDescent="0.35">
      <c r="H6907" s="711"/>
      <c r="I6907" s="711"/>
      <c r="J6907" s="711"/>
      <c r="K6907" s="711"/>
      <c r="L6907" s="711"/>
      <c r="Q6907" s="11"/>
      <c r="R6907" s="11"/>
      <c r="S6907" s="11"/>
      <c r="T6907" s="11"/>
    </row>
    <row r="6908" spans="8:20" x14ac:dyDescent="0.35">
      <c r="H6908" s="711"/>
      <c r="I6908" s="711"/>
      <c r="J6908" s="711"/>
      <c r="K6908" s="711"/>
      <c r="L6908" s="711"/>
      <c r="Q6908" s="11"/>
      <c r="R6908" s="11"/>
      <c r="S6908" s="11"/>
      <c r="T6908" s="11"/>
    </row>
    <row r="6909" spans="8:20" x14ac:dyDescent="0.35">
      <c r="H6909" s="711"/>
      <c r="I6909" s="711"/>
      <c r="J6909" s="711"/>
      <c r="K6909" s="711"/>
      <c r="L6909" s="711"/>
      <c r="Q6909" s="11"/>
      <c r="R6909" s="11"/>
      <c r="S6909" s="11"/>
      <c r="T6909" s="11"/>
    </row>
    <row r="6910" spans="8:20" x14ac:dyDescent="0.35">
      <c r="H6910" s="711"/>
      <c r="I6910" s="711"/>
      <c r="J6910" s="711"/>
      <c r="K6910" s="711"/>
      <c r="L6910" s="711"/>
      <c r="Q6910" s="11"/>
      <c r="R6910" s="11"/>
      <c r="S6910" s="11"/>
      <c r="T6910" s="11"/>
    </row>
    <row r="6911" spans="8:20" x14ac:dyDescent="0.35">
      <c r="H6911" s="711"/>
      <c r="I6911" s="711"/>
      <c r="J6911" s="711"/>
      <c r="K6911" s="711"/>
      <c r="L6911" s="711"/>
      <c r="Q6911" s="11"/>
      <c r="R6911" s="11"/>
      <c r="S6911" s="11"/>
      <c r="T6911" s="11"/>
    </row>
    <row r="6912" spans="8:20" x14ac:dyDescent="0.35">
      <c r="H6912" s="711"/>
      <c r="I6912" s="711"/>
      <c r="J6912" s="711"/>
      <c r="K6912" s="711"/>
      <c r="L6912" s="711"/>
      <c r="Q6912" s="11"/>
      <c r="R6912" s="11"/>
      <c r="S6912" s="11"/>
      <c r="T6912" s="11"/>
    </row>
    <row r="6913" spans="8:20" x14ac:dyDescent="0.35">
      <c r="H6913" s="711"/>
      <c r="I6913" s="711"/>
      <c r="J6913" s="711"/>
      <c r="K6913" s="711"/>
      <c r="L6913" s="711"/>
      <c r="Q6913" s="11"/>
      <c r="R6913" s="11"/>
      <c r="S6913" s="11"/>
      <c r="T6913" s="11"/>
    </row>
    <row r="6914" spans="8:20" x14ac:dyDescent="0.35">
      <c r="H6914" s="711"/>
      <c r="I6914" s="711"/>
      <c r="J6914" s="711"/>
      <c r="K6914" s="711"/>
      <c r="L6914" s="711"/>
      <c r="Q6914" s="11"/>
      <c r="R6914" s="11"/>
      <c r="S6914" s="11"/>
      <c r="T6914" s="11"/>
    </row>
    <row r="6915" spans="8:20" x14ac:dyDescent="0.35">
      <c r="H6915" s="711"/>
      <c r="I6915" s="711"/>
      <c r="J6915" s="711"/>
      <c r="K6915" s="711"/>
      <c r="L6915" s="711"/>
      <c r="Q6915" s="11"/>
      <c r="R6915" s="11"/>
      <c r="S6915" s="11"/>
      <c r="T6915" s="11"/>
    </row>
    <row r="6916" spans="8:20" x14ac:dyDescent="0.35">
      <c r="H6916" s="711"/>
      <c r="I6916" s="711"/>
      <c r="J6916" s="711"/>
      <c r="K6916" s="711"/>
      <c r="L6916" s="711"/>
      <c r="Q6916" s="11"/>
      <c r="R6916" s="11"/>
      <c r="S6916" s="11"/>
      <c r="T6916" s="11"/>
    </row>
    <row r="6917" spans="8:20" x14ac:dyDescent="0.35">
      <c r="H6917" s="711"/>
      <c r="I6917" s="711"/>
      <c r="J6917" s="711"/>
      <c r="K6917" s="711"/>
      <c r="L6917" s="711"/>
      <c r="Q6917" s="11"/>
      <c r="R6917" s="11"/>
      <c r="S6917" s="11"/>
      <c r="T6917" s="11"/>
    </row>
    <row r="6918" spans="8:20" x14ac:dyDescent="0.35">
      <c r="H6918" s="711"/>
      <c r="I6918" s="711"/>
      <c r="J6918" s="711"/>
      <c r="K6918" s="711"/>
      <c r="L6918" s="711"/>
      <c r="Q6918" s="11"/>
      <c r="R6918" s="11"/>
      <c r="S6918" s="11"/>
      <c r="T6918" s="11"/>
    </row>
    <row r="6919" spans="8:20" x14ac:dyDescent="0.35">
      <c r="H6919" s="711"/>
      <c r="I6919" s="711"/>
      <c r="J6919" s="711"/>
      <c r="K6919" s="711"/>
      <c r="L6919" s="711"/>
      <c r="Q6919" s="11"/>
      <c r="R6919" s="11"/>
      <c r="S6919" s="11"/>
      <c r="T6919" s="11"/>
    </row>
    <row r="6920" spans="8:20" x14ac:dyDescent="0.35">
      <c r="H6920" s="711"/>
      <c r="I6920" s="711"/>
      <c r="J6920" s="711"/>
      <c r="K6920" s="711"/>
      <c r="L6920" s="711"/>
      <c r="Q6920" s="11"/>
      <c r="R6920" s="11"/>
      <c r="S6920" s="11"/>
      <c r="T6920" s="11"/>
    </row>
    <row r="6921" spans="8:20" x14ac:dyDescent="0.35">
      <c r="H6921" s="711"/>
      <c r="I6921" s="711"/>
      <c r="J6921" s="711"/>
      <c r="K6921" s="711"/>
      <c r="L6921" s="711"/>
      <c r="Q6921" s="11"/>
      <c r="R6921" s="11"/>
      <c r="S6921" s="11"/>
      <c r="T6921" s="11"/>
    </row>
    <row r="6922" spans="8:20" x14ac:dyDescent="0.35">
      <c r="H6922" s="711"/>
      <c r="I6922" s="711"/>
      <c r="J6922" s="711"/>
      <c r="K6922" s="711"/>
      <c r="L6922" s="711"/>
      <c r="Q6922" s="11"/>
      <c r="R6922" s="11"/>
      <c r="S6922" s="11"/>
      <c r="T6922" s="11"/>
    </row>
    <row r="6923" spans="8:20" x14ac:dyDescent="0.35">
      <c r="H6923" s="711"/>
      <c r="I6923" s="711"/>
      <c r="J6923" s="711"/>
      <c r="K6923" s="711"/>
      <c r="L6923" s="711"/>
      <c r="Q6923" s="11"/>
      <c r="R6923" s="11"/>
      <c r="S6923" s="11"/>
      <c r="T6923" s="11"/>
    </row>
    <row r="6924" spans="8:20" x14ac:dyDescent="0.35">
      <c r="H6924" s="711"/>
      <c r="I6924" s="711"/>
      <c r="J6924" s="711"/>
      <c r="K6924" s="711"/>
      <c r="L6924" s="711"/>
      <c r="Q6924" s="11"/>
      <c r="R6924" s="11"/>
      <c r="S6924" s="11"/>
      <c r="T6924" s="11"/>
    </row>
    <row r="6925" spans="8:20" x14ac:dyDescent="0.35">
      <c r="H6925" s="711"/>
      <c r="I6925" s="711"/>
      <c r="J6925" s="711"/>
      <c r="K6925" s="711"/>
      <c r="L6925" s="711"/>
      <c r="Q6925" s="11"/>
      <c r="R6925" s="11"/>
      <c r="S6925" s="11"/>
      <c r="T6925" s="11"/>
    </row>
    <row r="6926" spans="8:20" x14ac:dyDescent="0.35">
      <c r="H6926" s="711"/>
      <c r="I6926" s="711"/>
      <c r="J6926" s="711"/>
      <c r="K6926" s="711"/>
      <c r="L6926" s="711"/>
      <c r="Q6926" s="11"/>
      <c r="R6926" s="11"/>
      <c r="S6926" s="11"/>
      <c r="T6926" s="11"/>
    </row>
    <row r="6927" spans="8:20" x14ac:dyDescent="0.35">
      <c r="H6927" s="711"/>
      <c r="I6927" s="711"/>
      <c r="J6927" s="711"/>
      <c r="K6927" s="711"/>
      <c r="L6927" s="711"/>
      <c r="Q6927" s="11"/>
      <c r="R6927" s="11"/>
      <c r="S6927" s="11"/>
      <c r="T6927" s="11"/>
    </row>
    <row r="6928" spans="8:20" x14ac:dyDescent="0.35">
      <c r="H6928" s="711"/>
      <c r="I6928" s="711"/>
      <c r="J6928" s="711"/>
      <c r="K6928" s="711"/>
      <c r="L6928" s="711"/>
      <c r="Q6928" s="11"/>
      <c r="R6928" s="11"/>
      <c r="S6928" s="11"/>
      <c r="T6928" s="11"/>
    </row>
    <row r="6929" spans="8:20" x14ac:dyDescent="0.35">
      <c r="H6929" s="711"/>
      <c r="I6929" s="711"/>
      <c r="J6929" s="711"/>
      <c r="K6929" s="711"/>
      <c r="L6929" s="711"/>
      <c r="Q6929" s="11"/>
      <c r="R6929" s="11"/>
      <c r="S6929" s="11"/>
      <c r="T6929" s="11"/>
    </row>
    <row r="6930" spans="8:20" x14ac:dyDescent="0.35">
      <c r="H6930" s="711"/>
      <c r="I6930" s="711"/>
      <c r="J6930" s="711"/>
      <c r="K6930" s="711"/>
      <c r="L6930" s="711"/>
      <c r="Q6930" s="11"/>
      <c r="R6930" s="11"/>
      <c r="S6930" s="11"/>
      <c r="T6930" s="11"/>
    </row>
    <row r="6931" spans="8:20" x14ac:dyDescent="0.35">
      <c r="H6931" s="711"/>
      <c r="I6931" s="711"/>
      <c r="J6931" s="711"/>
      <c r="K6931" s="711"/>
      <c r="L6931" s="711"/>
      <c r="Q6931" s="11"/>
      <c r="R6931" s="11"/>
      <c r="S6931" s="11"/>
      <c r="T6931" s="11"/>
    </row>
    <row r="6932" spans="8:20" x14ac:dyDescent="0.35">
      <c r="H6932" s="711"/>
      <c r="I6932" s="711"/>
      <c r="J6932" s="711"/>
      <c r="K6932" s="711"/>
      <c r="L6932" s="711"/>
      <c r="Q6932" s="11"/>
      <c r="R6932" s="11"/>
      <c r="S6932" s="11"/>
      <c r="T6932" s="11"/>
    </row>
    <row r="6933" spans="8:20" x14ac:dyDescent="0.35">
      <c r="H6933" s="711"/>
      <c r="I6933" s="711"/>
      <c r="J6933" s="711"/>
      <c r="K6933" s="711"/>
      <c r="L6933" s="711"/>
      <c r="Q6933" s="11"/>
      <c r="R6933" s="11"/>
      <c r="S6933" s="11"/>
      <c r="T6933" s="11"/>
    </row>
    <row r="6934" spans="8:20" x14ac:dyDescent="0.35">
      <c r="H6934" s="711"/>
      <c r="I6934" s="711"/>
      <c r="J6934" s="711"/>
      <c r="K6934" s="711"/>
      <c r="L6934" s="711"/>
      <c r="Q6934" s="11"/>
      <c r="R6934" s="11"/>
      <c r="S6934" s="11"/>
      <c r="T6934" s="11"/>
    </row>
    <row r="6935" spans="8:20" x14ac:dyDescent="0.35">
      <c r="H6935" s="711"/>
      <c r="I6935" s="711"/>
      <c r="J6935" s="711"/>
      <c r="K6935" s="711"/>
      <c r="L6935" s="711"/>
      <c r="Q6935" s="11"/>
      <c r="R6935" s="11"/>
      <c r="S6935" s="11"/>
      <c r="T6935" s="11"/>
    </row>
    <row r="6936" spans="8:20" x14ac:dyDescent="0.35">
      <c r="H6936" s="711"/>
      <c r="I6936" s="711"/>
      <c r="J6936" s="711"/>
      <c r="K6936" s="711"/>
      <c r="L6936" s="711"/>
      <c r="Q6936" s="11"/>
      <c r="R6936" s="11"/>
      <c r="S6936" s="11"/>
      <c r="T6936" s="11"/>
    </row>
    <row r="6937" spans="8:20" x14ac:dyDescent="0.35">
      <c r="H6937" s="711"/>
      <c r="I6937" s="711"/>
      <c r="J6937" s="711"/>
      <c r="K6937" s="711"/>
      <c r="L6937" s="711"/>
      <c r="Q6937" s="11"/>
      <c r="R6937" s="11"/>
      <c r="S6937" s="11"/>
      <c r="T6937" s="11"/>
    </row>
    <row r="6938" spans="8:20" x14ac:dyDescent="0.35">
      <c r="H6938" s="711"/>
      <c r="I6938" s="711"/>
      <c r="J6938" s="711"/>
      <c r="K6938" s="711"/>
      <c r="L6938" s="711"/>
      <c r="Q6938" s="11"/>
      <c r="R6938" s="11"/>
      <c r="S6938" s="11"/>
      <c r="T6938" s="11"/>
    </row>
    <row r="6939" spans="8:20" x14ac:dyDescent="0.35">
      <c r="H6939" s="711"/>
      <c r="I6939" s="711"/>
      <c r="J6939" s="711"/>
      <c r="K6939" s="711"/>
      <c r="L6939" s="711"/>
      <c r="Q6939" s="11"/>
      <c r="R6939" s="11"/>
      <c r="S6939" s="11"/>
      <c r="T6939" s="11"/>
    </row>
    <row r="6940" spans="8:20" x14ac:dyDescent="0.35">
      <c r="H6940" s="711"/>
      <c r="I6940" s="711"/>
      <c r="J6940" s="711"/>
      <c r="K6940" s="711"/>
      <c r="L6940" s="711"/>
      <c r="Q6940" s="11"/>
      <c r="R6940" s="11"/>
      <c r="S6940" s="11"/>
      <c r="T6940" s="11"/>
    </row>
    <row r="6941" spans="8:20" x14ac:dyDescent="0.35">
      <c r="H6941" s="711"/>
      <c r="I6941" s="711"/>
      <c r="J6941" s="711"/>
      <c r="K6941" s="711"/>
      <c r="L6941" s="711"/>
      <c r="Q6941" s="11"/>
      <c r="R6941" s="11"/>
      <c r="S6941" s="11"/>
      <c r="T6941" s="11"/>
    </row>
    <row r="6942" spans="8:20" x14ac:dyDescent="0.35">
      <c r="H6942" s="711"/>
      <c r="I6942" s="711"/>
      <c r="J6942" s="711"/>
      <c r="K6942" s="711"/>
      <c r="L6942" s="711"/>
      <c r="Q6942" s="11"/>
      <c r="R6942" s="11"/>
      <c r="S6942" s="11"/>
      <c r="T6942" s="11"/>
    </row>
    <row r="6943" spans="8:20" x14ac:dyDescent="0.35">
      <c r="H6943" s="711"/>
      <c r="I6943" s="711"/>
      <c r="J6943" s="711"/>
      <c r="K6943" s="711"/>
      <c r="L6943" s="711"/>
      <c r="Q6943" s="11"/>
      <c r="R6943" s="11"/>
      <c r="S6943" s="11"/>
      <c r="T6943" s="11"/>
    </row>
    <row r="6944" spans="8:20" x14ac:dyDescent="0.35">
      <c r="H6944" s="711"/>
      <c r="I6944" s="711"/>
      <c r="J6944" s="711"/>
      <c r="K6944" s="711"/>
      <c r="L6944" s="711"/>
      <c r="Q6944" s="11"/>
      <c r="R6944" s="11"/>
      <c r="S6944" s="11"/>
      <c r="T6944" s="11"/>
    </row>
    <row r="6945" spans="8:20" x14ac:dyDescent="0.35">
      <c r="H6945" s="711"/>
      <c r="I6945" s="711"/>
      <c r="J6945" s="711"/>
      <c r="K6945" s="711"/>
      <c r="L6945" s="711"/>
      <c r="Q6945" s="11"/>
      <c r="R6945" s="11"/>
      <c r="S6945" s="11"/>
      <c r="T6945" s="11"/>
    </row>
    <row r="6946" spans="8:20" x14ac:dyDescent="0.35">
      <c r="H6946" s="711"/>
      <c r="I6946" s="711"/>
      <c r="J6946" s="711"/>
      <c r="K6946" s="711"/>
      <c r="L6946" s="711"/>
      <c r="Q6946" s="11"/>
      <c r="R6946" s="11"/>
      <c r="S6946" s="11"/>
      <c r="T6946" s="11"/>
    </row>
    <row r="6947" spans="8:20" x14ac:dyDescent="0.35">
      <c r="H6947" s="711"/>
      <c r="I6947" s="711"/>
      <c r="J6947" s="711"/>
      <c r="K6947" s="711"/>
      <c r="L6947" s="711"/>
      <c r="Q6947" s="11"/>
      <c r="R6947" s="11"/>
      <c r="S6947" s="11"/>
      <c r="T6947" s="11"/>
    </row>
    <row r="6948" spans="8:20" x14ac:dyDescent="0.35">
      <c r="H6948" s="711"/>
      <c r="I6948" s="711"/>
      <c r="J6948" s="711"/>
      <c r="K6948" s="711"/>
      <c r="L6948" s="711"/>
      <c r="Q6948" s="11"/>
      <c r="R6948" s="11"/>
      <c r="S6948" s="11"/>
      <c r="T6948" s="11"/>
    </row>
    <row r="6949" spans="8:20" x14ac:dyDescent="0.35">
      <c r="H6949" s="711"/>
      <c r="I6949" s="711"/>
      <c r="J6949" s="711"/>
      <c r="K6949" s="711"/>
      <c r="L6949" s="711"/>
      <c r="Q6949" s="11"/>
      <c r="R6949" s="11"/>
      <c r="S6949" s="11"/>
      <c r="T6949" s="11"/>
    </row>
    <row r="6950" spans="8:20" x14ac:dyDescent="0.35">
      <c r="H6950" s="711"/>
      <c r="I6950" s="711"/>
      <c r="J6950" s="711"/>
      <c r="K6950" s="711"/>
      <c r="L6950" s="711"/>
      <c r="Q6950" s="11"/>
      <c r="R6950" s="11"/>
      <c r="S6950" s="11"/>
      <c r="T6950" s="11"/>
    </row>
    <row r="6951" spans="8:20" x14ac:dyDescent="0.35">
      <c r="H6951" s="711"/>
      <c r="I6951" s="711"/>
      <c r="J6951" s="711"/>
      <c r="K6951" s="711"/>
      <c r="L6951" s="711"/>
      <c r="Q6951" s="11"/>
      <c r="R6951" s="11"/>
      <c r="S6951" s="11"/>
      <c r="T6951" s="11"/>
    </row>
    <row r="6952" spans="8:20" x14ac:dyDescent="0.35">
      <c r="H6952" s="711"/>
      <c r="I6952" s="711"/>
      <c r="J6952" s="711"/>
      <c r="K6952" s="711"/>
      <c r="L6952" s="711"/>
      <c r="Q6952" s="11"/>
      <c r="R6952" s="11"/>
      <c r="S6952" s="11"/>
      <c r="T6952" s="11"/>
    </row>
    <row r="6953" spans="8:20" x14ac:dyDescent="0.35">
      <c r="H6953" s="711"/>
      <c r="I6953" s="711"/>
      <c r="J6953" s="711"/>
      <c r="K6953" s="711"/>
      <c r="L6953" s="711"/>
      <c r="Q6953" s="11"/>
      <c r="R6953" s="11"/>
      <c r="S6953" s="11"/>
      <c r="T6953" s="11"/>
    </row>
    <row r="6954" spans="8:20" x14ac:dyDescent="0.35">
      <c r="H6954" s="711"/>
      <c r="I6954" s="711"/>
      <c r="J6954" s="711"/>
      <c r="K6954" s="711"/>
      <c r="L6954" s="711"/>
      <c r="Q6954" s="11"/>
      <c r="R6954" s="11"/>
      <c r="S6954" s="11"/>
      <c r="T6954" s="11"/>
    </row>
    <row r="6955" spans="8:20" x14ac:dyDescent="0.35">
      <c r="H6955" s="711"/>
      <c r="I6955" s="711"/>
      <c r="J6955" s="711"/>
      <c r="K6955" s="711"/>
      <c r="L6955" s="711"/>
      <c r="Q6955" s="11"/>
      <c r="R6955" s="11"/>
      <c r="S6955" s="11"/>
      <c r="T6955" s="11"/>
    </row>
    <row r="6956" spans="8:20" x14ac:dyDescent="0.35">
      <c r="H6956" s="711"/>
      <c r="I6956" s="711"/>
      <c r="J6956" s="711"/>
      <c r="K6956" s="711"/>
      <c r="L6956" s="711"/>
      <c r="Q6956" s="11"/>
      <c r="R6956" s="11"/>
      <c r="S6956" s="11"/>
      <c r="T6956" s="11"/>
    </row>
    <row r="6957" spans="8:20" x14ac:dyDescent="0.35">
      <c r="H6957" s="711"/>
      <c r="I6957" s="711"/>
      <c r="J6957" s="711"/>
      <c r="K6957" s="711"/>
      <c r="L6957" s="711"/>
      <c r="Q6957" s="11"/>
      <c r="R6957" s="11"/>
      <c r="S6957" s="11"/>
      <c r="T6957" s="11"/>
    </row>
    <row r="6958" spans="8:20" x14ac:dyDescent="0.35">
      <c r="H6958" s="711"/>
      <c r="I6958" s="711"/>
      <c r="J6958" s="711"/>
      <c r="K6958" s="711"/>
      <c r="L6958" s="711"/>
      <c r="Q6958" s="11"/>
      <c r="R6958" s="11"/>
      <c r="S6958" s="11"/>
      <c r="T6958" s="11"/>
    </row>
    <row r="6959" spans="8:20" x14ac:dyDescent="0.35">
      <c r="H6959" s="711"/>
      <c r="I6959" s="711"/>
      <c r="J6959" s="711"/>
      <c r="K6959" s="711"/>
      <c r="L6959" s="711"/>
      <c r="Q6959" s="11"/>
      <c r="R6959" s="11"/>
      <c r="S6959" s="11"/>
      <c r="T6959" s="11"/>
    </row>
    <row r="6960" spans="8:20" x14ac:dyDescent="0.35">
      <c r="H6960" s="711"/>
      <c r="I6960" s="711"/>
      <c r="J6960" s="711"/>
      <c r="K6960" s="711"/>
      <c r="L6960" s="711"/>
      <c r="Q6960" s="11"/>
      <c r="R6960" s="11"/>
      <c r="S6960" s="11"/>
      <c r="T6960" s="11"/>
    </row>
    <row r="6961" spans="8:20" x14ac:dyDescent="0.35">
      <c r="H6961" s="711"/>
      <c r="I6961" s="711"/>
      <c r="J6961" s="711"/>
      <c r="K6961" s="711"/>
      <c r="L6961" s="711"/>
      <c r="Q6961" s="11"/>
      <c r="R6961" s="11"/>
      <c r="S6961" s="11"/>
      <c r="T6961" s="11"/>
    </row>
    <row r="6962" spans="8:20" x14ac:dyDescent="0.35">
      <c r="H6962" s="711"/>
      <c r="I6962" s="711"/>
      <c r="J6962" s="711"/>
      <c r="K6962" s="711"/>
      <c r="L6962" s="711"/>
      <c r="Q6962" s="11"/>
      <c r="R6962" s="11"/>
      <c r="S6962" s="11"/>
      <c r="T6962" s="11"/>
    </row>
    <row r="6963" spans="8:20" x14ac:dyDescent="0.35">
      <c r="H6963" s="711"/>
      <c r="I6963" s="711"/>
      <c r="J6963" s="711"/>
      <c r="K6963" s="711"/>
      <c r="L6963" s="711"/>
      <c r="Q6963" s="11"/>
      <c r="R6963" s="11"/>
      <c r="S6963" s="11"/>
      <c r="T6963" s="11"/>
    </row>
    <row r="6964" spans="8:20" x14ac:dyDescent="0.35">
      <c r="H6964" s="711"/>
      <c r="I6964" s="711"/>
      <c r="J6964" s="711"/>
      <c r="K6964" s="711"/>
      <c r="L6964" s="711"/>
      <c r="Q6964" s="11"/>
      <c r="R6964" s="11"/>
      <c r="S6964" s="11"/>
      <c r="T6964" s="11"/>
    </row>
    <row r="6965" spans="8:20" x14ac:dyDescent="0.35">
      <c r="H6965" s="711"/>
      <c r="I6965" s="711"/>
      <c r="J6965" s="711"/>
      <c r="K6965" s="711"/>
      <c r="L6965" s="711"/>
      <c r="Q6965" s="11"/>
      <c r="R6965" s="11"/>
      <c r="S6965" s="11"/>
      <c r="T6965" s="11"/>
    </row>
    <row r="6966" spans="8:20" x14ac:dyDescent="0.35">
      <c r="H6966" s="711"/>
      <c r="I6966" s="711"/>
      <c r="J6966" s="711"/>
      <c r="K6966" s="711"/>
      <c r="L6966" s="711"/>
      <c r="Q6966" s="11"/>
      <c r="R6966" s="11"/>
      <c r="S6966" s="11"/>
      <c r="T6966" s="11"/>
    </row>
    <row r="6967" spans="8:20" x14ac:dyDescent="0.35">
      <c r="H6967" s="711"/>
      <c r="I6967" s="711"/>
      <c r="J6967" s="711"/>
      <c r="K6967" s="711"/>
      <c r="L6967" s="711"/>
      <c r="Q6967" s="11"/>
      <c r="R6967" s="11"/>
      <c r="S6967" s="11"/>
      <c r="T6967" s="11"/>
    </row>
    <row r="6968" spans="8:20" x14ac:dyDescent="0.35">
      <c r="H6968" s="711"/>
      <c r="I6968" s="711"/>
      <c r="J6968" s="711"/>
      <c r="K6968" s="711"/>
      <c r="L6968" s="711"/>
      <c r="Q6968" s="11"/>
      <c r="R6968" s="11"/>
      <c r="S6968" s="11"/>
      <c r="T6968" s="11"/>
    </row>
    <row r="6969" spans="8:20" x14ac:dyDescent="0.35">
      <c r="H6969" s="711"/>
      <c r="I6969" s="711"/>
      <c r="J6969" s="711"/>
      <c r="K6969" s="711"/>
      <c r="L6969" s="711"/>
      <c r="Q6969" s="11"/>
      <c r="R6969" s="11"/>
      <c r="S6969" s="11"/>
      <c r="T6969" s="11"/>
    </row>
    <row r="6970" spans="8:20" x14ac:dyDescent="0.35">
      <c r="H6970" s="711"/>
      <c r="I6970" s="711"/>
      <c r="J6970" s="711"/>
      <c r="K6970" s="711"/>
      <c r="L6970" s="711"/>
      <c r="Q6970" s="11"/>
      <c r="R6970" s="11"/>
      <c r="S6970" s="11"/>
      <c r="T6970" s="11"/>
    </row>
    <row r="6971" spans="8:20" x14ac:dyDescent="0.35">
      <c r="H6971" s="711"/>
      <c r="I6971" s="711"/>
      <c r="J6971" s="711"/>
      <c r="K6971" s="711"/>
      <c r="L6971" s="711"/>
      <c r="Q6971" s="11"/>
      <c r="R6971" s="11"/>
      <c r="S6971" s="11"/>
      <c r="T6971" s="11"/>
    </row>
    <row r="6972" spans="8:20" x14ac:dyDescent="0.35">
      <c r="H6972" s="711"/>
      <c r="I6972" s="711"/>
      <c r="J6972" s="711"/>
      <c r="K6972" s="711"/>
      <c r="L6972" s="711"/>
      <c r="Q6972" s="11"/>
      <c r="R6972" s="11"/>
      <c r="S6972" s="11"/>
      <c r="T6972" s="11"/>
    </row>
    <row r="6973" spans="8:20" x14ac:dyDescent="0.35">
      <c r="H6973" s="711"/>
      <c r="I6973" s="711"/>
      <c r="J6973" s="711"/>
      <c r="K6973" s="711"/>
      <c r="L6973" s="711"/>
      <c r="Q6973" s="11"/>
      <c r="R6973" s="11"/>
      <c r="S6973" s="11"/>
      <c r="T6973" s="11"/>
    </row>
    <row r="6974" spans="8:20" x14ac:dyDescent="0.35">
      <c r="H6974" s="711"/>
      <c r="I6974" s="711"/>
      <c r="J6974" s="711"/>
      <c r="K6974" s="711"/>
      <c r="L6974" s="711"/>
      <c r="Q6974" s="11"/>
      <c r="R6974" s="11"/>
      <c r="S6974" s="11"/>
      <c r="T6974" s="11"/>
    </row>
    <row r="6975" spans="8:20" x14ac:dyDescent="0.35">
      <c r="H6975" s="711"/>
      <c r="I6975" s="711"/>
      <c r="J6975" s="711"/>
      <c r="K6975" s="711"/>
      <c r="L6975" s="711"/>
      <c r="Q6975" s="11"/>
      <c r="R6975" s="11"/>
      <c r="S6975" s="11"/>
      <c r="T6975" s="11"/>
    </row>
    <row r="6976" spans="8:20" x14ac:dyDescent="0.35">
      <c r="H6976" s="711"/>
      <c r="I6976" s="711"/>
      <c r="J6976" s="711"/>
      <c r="K6976" s="711"/>
      <c r="L6976" s="711"/>
      <c r="Q6976" s="11"/>
      <c r="R6976" s="11"/>
      <c r="S6976" s="11"/>
      <c r="T6976" s="11"/>
    </row>
    <row r="6977" spans="8:20" x14ac:dyDescent="0.35">
      <c r="H6977" s="711"/>
      <c r="I6977" s="711"/>
      <c r="J6977" s="711"/>
      <c r="K6977" s="711"/>
      <c r="L6977" s="711"/>
      <c r="Q6977" s="11"/>
      <c r="R6977" s="11"/>
      <c r="S6977" s="11"/>
      <c r="T6977" s="11"/>
    </row>
    <row r="6978" spans="8:20" x14ac:dyDescent="0.35">
      <c r="H6978" s="711"/>
      <c r="I6978" s="711"/>
      <c r="J6978" s="711"/>
      <c r="K6978" s="711"/>
      <c r="L6978" s="711"/>
      <c r="Q6978" s="11"/>
      <c r="R6978" s="11"/>
      <c r="S6978" s="11"/>
      <c r="T6978" s="11"/>
    </row>
    <row r="6979" spans="8:20" x14ac:dyDescent="0.35">
      <c r="H6979" s="711"/>
      <c r="I6979" s="711"/>
      <c r="J6979" s="711"/>
      <c r="K6979" s="711"/>
      <c r="L6979" s="711"/>
      <c r="Q6979" s="11"/>
      <c r="R6979" s="11"/>
      <c r="S6979" s="11"/>
      <c r="T6979" s="11"/>
    </row>
    <row r="6980" spans="8:20" x14ac:dyDescent="0.35">
      <c r="H6980" s="711"/>
      <c r="I6980" s="711"/>
      <c r="J6980" s="711"/>
      <c r="K6980" s="711"/>
      <c r="L6980" s="711"/>
      <c r="Q6980" s="11"/>
      <c r="R6980" s="11"/>
      <c r="S6980" s="11"/>
      <c r="T6980" s="11"/>
    </row>
    <row r="6981" spans="8:20" x14ac:dyDescent="0.35">
      <c r="H6981" s="711"/>
      <c r="I6981" s="711"/>
      <c r="J6981" s="711"/>
      <c r="K6981" s="711"/>
      <c r="L6981" s="711"/>
      <c r="Q6981" s="11"/>
      <c r="R6981" s="11"/>
      <c r="S6981" s="11"/>
      <c r="T6981" s="11"/>
    </row>
    <row r="6982" spans="8:20" x14ac:dyDescent="0.35">
      <c r="H6982" s="711"/>
      <c r="I6982" s="711"/>
      <c r="J6982" s="711"/>
      <c r="K6982" s="711"/>
      <c r="L6982" s="711"/>
      <c r="Q6982" s="11"/>
      <c r="R6982" s="11"/>
      <c r="S6982" s="11"/>
      <c r="T6982" s="11"/>
    </row>
    <row r="6983" spans="8:20" x14ac:dyDescent="0.35">
      <c r="H6983" s="711"/>
      <c r="I6983" s="711"/>
      <c r="J6983" s="711"/>
      <c r="K6983" s="711"/>
      <c r="L6983" s="711"/>
      <c r="Q6983" s="11"/>
      <c r="R6983" s="11"/>
      <c r="S6983" s="11"/>
      <c r="T6983" s="11"/>
    </row>
    <row r="6984" spans="8:20" x14ac:dyDescent="0.35">
      <c r="H6984" s="711"/>
      <c r="I6984" s="711"/>
      <c r="J6984" s="711"/>
      <c r="K6984" s="711"/>
      <c r="L6984" s="711"/>
      <c r="Q6984" s="11"/>
      <c r="R6984" s="11"/>
      <c r="S6984" s="11"/>
      <c r="T6984" s="11"/>
    </row>
    <row r="6985" spans="8:20" x14ac:dyDescent="0.35">
      <c r="H6985" s="711"/>
      <c r="I6985" s="711"/>
      <c r="J6985" s="711"/>
      <c r="K6985" s="711"/>
      <c r="L6985" s="711"/>
      <c r="Q6985" s="11"/>
      <c r="R6985" s="11"/>
      <c r="S6985" s="11"/>
      <c r="T6985" s="11"/>
    </row>
    <row r="6986" spans="8:20" x14ac:dyDescent="0.35">
      <c r="H6986" s="711"/>
      <c r="I6986" s="711"/>
      <c r="J6986" s="711"/>
      <c r="K6986" s="711"/>
      <c r="L6986" s="711"/>
      <c r="Q6986" s="11"/>
      <c r="R6986" s="11"/>
      <c r="S6986" s="11"/>
      <c r="T6986" s="11"/>
    </row>
    <row r="6987" spans="8:20" x14ac:dyDescent="0.35">
      <c r="H6987" s="711"/>
      <c r="I6987" s="711"/>
      <c r="J6987" s="711"/>
      <c r="K6987" s="711"/>
      <c r="L6987" s="711"/>
      <c r="Q6987" s="11"/>
      <c r="R6987" s="11"/>
      <c r="S6987" s="11"/>
      <c r="T6987" s="11"/>
    </row>
    <row r="6988" spans="8:20" x14ac:dyDescent="0.35">
      <c r="H6988" s="711"/>
      <c r="I6988" s="711"/>
      <c r="J6988" s="711"/>
      <c r="K6988" s="711"/>
      <c r="L6988" s="711"/>
      <c r="Q6988" s="11"/>
      <c r="R6988" s="11"/>
      <c r="S6988" s="11"/>
      <c r="T6988" s="11"/>
    </row>
    <row r="6989" spans="8:20" x14ac:dyDescent="0.35">
      <c r="H6989" s="711"/>
      <c r="I6989" s="711"/>
      <c r="J6989" s="711"/>
      <c r="K6989" s="711"/>
      <c r="L6989" s="711"/>
      <c r="Q6989" s="11"/>
      <c r="R6989" s="11"/>
      <c r="S6989" s="11"/>
      <c r="T6989" s="11"/>
    </row>
    <row r="6990" spans="8:20" x14ac:dyDescent="0.35">
      <c r="H6990" s="711"/>
      <c r="I6990" s="711"/>
      <c r="J6990" s="711"/>
      <c r="K6990" s="711"/>
      <c r="L6990" s="711"/>
      <c r="Q6990" s="11"/>
      <c r="R6990" s="11"/>
      <c r="S6990" s="11"/>
      <c r="T6990" s="11"/>
    </row>
    <row r="6991" spans="8:20" x14ac:dyDescent="0.35">
      <c r="H6991" s="711"/>
      <c r="I6991" s="711"/>
      <c r="J6991" s="711"/>
      <c r="K6991" s="711"/>
      <c r="L6991" s="711"/>
      <c r="Q6991" s="11"/>
      <c r="R6991" s="11"/>
      <c r="S6991" s="11"/>
      <c r="T6991" s="11"/>
    </row>
    <row r="6992" spans="8:20" x14ac:dyDescent="0.35">
      <c r="H6992" s="711"/>
      <c r="I6992" s="711"/>
      <c r="J6992" s="711"/>
      <c r="K6992" s="711"/>
      <c r="L6992" s="711"/>
      <c r="Q6992" s="11"/>
      <c r="R6992" s="11"/>
      <c r="S6992" s="11"/>
      <c r="T6992" s="11"/>
    </row>
    <row r="6993" spans="8:20" x14ac:dyDescent="0.35">
      <c r="H6993" s="711"/>
      <c r="I6993" s="711"/>
      <c r="J6993" s="711"/>
      <c r="K6993" s="711"/>
      <c r="L6993" s="711"/>
      <c r="Q6993" s="11"/>
      <c r="R6993" s="11"/>
      <c r="S6993" s="11"/>
      <c r="T6993" s="11"/>
    </row>
    <row r="6994" spans="8:20" x14ac:dyDescent="0.35">
      <c r="H6994" s="711"/>
      <c r="I6994" s="711"/>
      <c r="J6994" s="711"/>
      <c r="K6994" s="711"/>
      <c r="L6994" s="711"/>
      <c r="Q6994" s="11"/>
      <c r="R6994" s="11"/>
      <c r="S6994" s="11"/>
      <c r="T6994" s="11"/>
    </row>
    <row r="6995" spans="8:20" x14ac:dyDescent="0.35">
      <c r="H6995" s="711"/>
      <c r="I6995" s="711"/>
      <c r="J6995" s="711"/>
      <c r="K6995" s="711"/>
      <c r="L6995" s="711"/>
      <c r="Q6995" s="11"/>
      <c r="R6995" s="11"/>
      <c r="S6995" s="11"/>
      <c r="T6995" s="11"/>
    </row>
    <row r="6996" spans="8:20" x14ac:dyDescent="0.35">
      <c r="H6996" s="711"/>
      <c r="I6996" s="711"/>
      <c r="J6996" s="711"/>
      <c r="K6996" s="711"/>
      <c r="L6996" s="711"/>
      <c r="Q6996" s="11"/>
      <c r="R6996" s="11"/>
      <c r="S6996" s="11"/>
      <c r="T6996" s="11"/>
    </row>
    <row r="6997" spans="8:20" x14ac:dyDescent="0.35">
      <c r="H6997" s="711"/>
      <c r="I6997" s="711"/>
      <c r="J6997" s="711"/>
      <c r="K6997" s="711"/>
      <c r="L6997" s="711"/>
      <c r="Q6997" s="11"/>
      <c r="R6997" s="11"/>
      <c r="S6997" s="11"/>
      <c r="T6997" s="11"/>
    </row>
    <row r="6998" spans="8:20" x14ac:dyDescent="0.35">
      <c r="H6998" s="711"/>
      <c r="I6998" s="711"/>
      <c r="J6998" s="711"/>
      <c r="K6998" s="711"/>
      <c r="L6998" s="711"/>
      <c r="Q6998" s="11"/>
      <c r="R6998" s="11"/>
      <c r="S6998" s="11"/>
      <c r="T6998" s="11"/>
    </row>
    <row r="6999" spans="8:20" x14ac:dyDescent="0.35">
      <c r="H6999" s="711"/>
      <c r="I6999" s="711"/>
      <c r="J6999" s="711"/>
      <c r="K6999" s="711"/>
      <c r="L6999" s="711"/>
      <c r="Q6999" s="11"/>
      <c r="R6999" s="11"/>
      <c r="S6999" s="11"/>
      <c r="T6999" s="11"/>
    </row>
    <row r="7000" spans="8:20" x14ac:dyDescent="0.35">
      <c r="H7000" s="711"/>
      <c r="I7000" s="711"/>
      <c r="J7000" s="711"/>
      <c r="K7000" s="711"/>
      <c r="L7000" s="711"/>
      <c r="Q7000" s="11"/>
      <c r="R7000" s="11"/>
      <c r="S7000" s="11"/>
      <c r="T7000" s="11"/>
    </row>
    <row r="7001" spans="8:20" x14ac:dyDescent="0.35">
      <c r="H7001" s="711"/>
      <c r="I7001" s="711"/>
      <c r="J7001" s="711"/>
      <c r="K7001" s="711"/>
      <c r="L7001" s="711"/>
      <c r="Q7001" s="11"/>
      <c r="R7001" s="11"/>
      <c r="S7001" s="11"/>
      <c r="T7001" s="11"/>
    </row>
    <row r="7002" spans="8:20" x14ac:dyDescent="0.35">
      <c r="H7002" s="711"/>
      <c r="I7002" s="711"/>
      <c r="J7002" s="711"/>
      <c r="K7002" s="711"/>
      <c r="L7002" s="711"/>
      <c r="Q7002" s="11"/>
      <c r="R7002" s="11"/>
      <c r="S7002" s="11"/>
      <c r="T7002" s="11"/>
    </row>
    <row r="7003" spans="8:20" x14ac:dyDescent="0.35">
      <c r="H7003" s="711"/>
      <c r="I7003" s="711"/>
      <c r="J7003" s="711"/>
      <c r="K7003" s="711"/>
      <c r="L7003" s="711"/>
      <c r="Q7003" s="11"/>
      <c r="R7003" s="11"/>
      <c r="S7003" s="11"/>
      <c r="T7003" s="11"/>
    </row>
    <row r="7004" spans="8:20" x14ac:dyDescent="0.35">
      <c r="H7004" s="711"/>
      <c r="I7004" s="711"/>
      <c r="J7004" s="711"/>
      <c r="K7004" s="711"/>
      <c r="L7004" s="711"/>
      <c r="Q7004" s="11"/>
      <c r="R7004" s="11"/>
      <c r="S7004" s="11"/>
      <c r="T7004" s="11"/>
    </row>
    <row r="7005" spans="8:20" x14ac:dyDescent="0.35">
      <c r="H7005" s="711"/>
      <c r="I7005" s="711"/>
      <c r="J7005" s="711"/>
      <c r="K7005" s="711"/>
      <c r="L7005" s="711"/>
      <c r="Q7005" s="11"/>
      <c r="R7005" s="11"/>
      <c r="S7005" s="11"/>
      <c r="T7005" s="11"/>
    </row>
    <row r="7006" spans="8:20" x14ac:dyDescent="0.35">
      <c r="H7006" s="711"/>
      <c r="I7006" s="711"/>
      <c r="J7006" s="711"/>
      <c r="K7006" s="711"/>
      <c r="L7006" s="711"/>
      <c r="Q7006" s="11"/>
      <c r="R7006" s="11"/>
      <c r="S7006" s="11"/>
      <c r="T7006" s="11"/>
    </row>
    <row r="7007" spans="8:20" x14ac:dyDescent="0.35">
      <c r="H7007" s="711"/>
      <c r="I7007" s="711"/>
      <c r="J7007" s="711"/>
      <c r="K7007" s="711"/>
      <c r="L7007" s="711"/>
      <c r="Q7007" s="11"/>
      <c r="R7007" s="11"/>
      <c r="S7007" s="11"/>
      <c r="T7007" s="11"/>
    </row>
    <row r="7008" spans="8:20" x14ac:dyDescent="0.35">
      <c r="H7008" s="711"/>
      <c r="I7008" s="711"/>
      <c r="J7008" s="711"/>
      <c r="K7008" s="711"/>
      <c r="L7008" s="711"/>
      <c r="Q7008" s="11"/>
      <c r="R7008" s="11"/>
      <c r="S7008" s="11"/>
      <c r="T7008" s="11"/>
    </row>
    <row r="7009" spans="8:20" x14ac:dyDescent="0.35">
      <c r="H7009" s="711"/>
      <c r="I7009" s="711"/>
      <c r="J7009" s="711"/>
      <c r="K7009" s="711"/>
      <c r="L7009" s="711"/>
      <c r="Q7009" s="11"/>
      <c r="R7009" s="11"/>
      <c r="S7009" s="11"/>
      <c r="T7009" s="11"/>
    </row>
    <row r="7010" spans="8:20" x14ac:dyDescent="0.35">
      <c r="H7010" s="711"/>
      <c r="I7010" s="711"/>
      <c r="J7010" s="711"/>
      <c r="K7010" s="711"/>
      <c r="L7010" s="711"/>
      <c r="Q7010" s="11"/>
      <c r="R7010" s="11"/>
      <c r="S7010" s="11"/>
      <c r="T7010" s="11"/>
    </row>
    <row r="7011" spans="8:20" x14ac:dyDescent="0.35">
      <c r="H7011" s="711"/>
      <c r="I7011" s="711"/>
      <c r="J7011" s="711"/>
      <c r="K7011" s="711"/>
      <c r="L7011" s="711"/>
      <c r="Q7011" s="11"/>
      <c r="R7011" s="11"/>
      <c r="S7011" s="11"/>
      <c r="T7011" s="11"/>
    </row>
    <row r="7012" spans="8:20" x14ac:dyDescent="0.35">
      <c r="H7012" s="711"/>
      <c r="I7012" s="711"/>
      <c r="J7012" s="711"/>
      <c r="K7012" s="711"/>
      <c r="L7012" s="711"/>
      <c r="Q7012" s="11"/>
      <c r="R7012" s="11"/>
      <c r="S7012" s="11"/>
      <c r="T7012" s="11"/>
    </row>
    <row r="7013" spans="8:20" x14ac:dyDescent="0.35">
      <c r="H7013" s="711"/>
      <c r="I7013" s="711"/>
      <c r="J7013" s="711"/>
      <c r="K7013" s="711"/>
      <c r="L7013" s="711"/>
      <c r="Q7013" s="11"/>
      <c r="R7013" s="11"/>
      <c r="S7013" s="11"/>
      <c r="T7013" s="11"/>
    </row>
    <row r="7014" spans="8:20" x14ac:dyDescent="0.35">
      <c r="H7014" s="711"/>
      <c r="I7014" s="711"/>
      <c r="J7014" s="711"/>
      <c r="K7014" s="711"/>
      <c r="L7014" s="711"/>
      <c r="Q7014" s="11"/>
      <c r="R7014" s="11"/>
      <c r="S7014" s="11"/>
      <c r="T7014" s="11"/>
    </row>
    <row r="7015" spans="8:20" x14ac:dyDescent="0.35">
      <c r="H7015" s="711"/>
      <c r="I7015" s="711"/>
      <c r="J7015" s="711"/>
      <c r="K7015" s="711"/>
      <c r="L7015" s="711"/>
      <c r="Q7015" s="11"/>
      <c r="R7015" s="11"/>
      <c r="S7015" s="11"/>
      <c r="T7015" s="11"/>
    </row>
    <row r="7016" spans="8:20" x14ac:dyDescent="0.35">
      <c r="H7016" s="711"/>
      <c r="I7016" s="711"/>
      <c r="J7016" s="711"/>
      <c r="K7016" s="711"/>
      <c r="L7016" s="711"/>
      <c r="Q7016" s="11"/>
      <c r="R7016" s="11"/>
      <c r="S7016" s="11"/>
      <c r="T7016" s="11"/>
    </row>
    <row r="7017" spans="8:20" x14ac:dyDescent="0.35">
      <c r="H7017" s="711"/>
      <c r="I7017" s="711"/>
      <c r="J7017" s="711"/>
      <c r="K7017" s="711"/>
      <c r="L7017" s="711"/>
      <c r="Q7017" s="11"/>
      <c r="R7017" s="11"/>
      <c r="S7017" s="11"/>
      <c r="T7017" s="11"/>
    </row>
    <row r="7018" spans="8:20" x14ac:dyDescent="0.35">
      <c r="H7018" s="711"/>
      <c r="I7018" s="711"/>
      <c r="J7018" s="711"/>
      <c r="K7018" s="711"/>
      <c r="L7018" s="711"/>
      <c r="Q7018" s="11"/>
      <c r="R7018" s="11"/>
      <c r="S7018" s="11"/>
      <c r="T7018" s="11"/>
    </row>
    <row r="7019" spans="8:20" x14ac:dyDescent="0.35">
      <c r="H7019" s="711"/>
      <c r="I7019" s="711"/>
      <c r="J7019" s="711"/>
      <c r="K7019" s="711"/>
      <c r="L7019" s="711"/>
      <c r="Q7019" s="11"/>
      <c r="R7019" s="11"/>
      <c r="S7019" s="11"/>
      <c r="T7019" s="11"/>
    </row>
    <row r="7020" spans="8:20" x14ac:dyDescent="0.35">
      <c r="H7020" s="711"/>
      <c r="I7020" s="711"/>
      <c r="J7020" s="711"/>
      <c r="K7020" s="711"/>
      <c r="L7020" s="711"/>
      <c r="Q7020" s="11"/>
      <c r="R7020" s="11"/>
      <c r="S7020" s="11"/>
      <c r="T7020" s="11"/>
    </row>
    <row r="7021" spans="8:20" x14ac:dyDescent="0.35">
      <c r="H7021" s="711"/>
      <c r="I7021" s="711"/>
      <c r="J7021" s="711"/>
      <c r="K7021" s="711"/>
      <c r="L7021" s="711"/>
      <c r="Q7021" s="11"/>
      <c r="R7021" s="11"/>
      <c r="S7021" s="11"/>
      <c r="T7021" s="11"/>
    </row>
    <row r="7022" spans="8:20" x14ac:dyDescent="0.35">
      <c r="H7022" s="711"/>
      <c r="I7022" s="711"/>
      <c r="J7022" s="711"/>
      <c r="K7022" s="711"/>
      <c r="L7022" s="711"/>
      <c r="Q7022" s="11"/>
      <c r="R7022" s="11"/>
      <c r="S7022" s="11"/>
      <c r="T7022" s="11"/>
    </row>
    <row r="7023" spans="8:20" x14ac:dyDescent="0.35">
      <c r="H7023" s="711"/>
      <c r="I7023" s="711"/>
      <c r="J7023" s="711"/>
      <c r="K7023" s="711"/>
      <c r="L7023" s="711"/>
      <c r="Q7023" s="11"/>
      <c r="R7023" s="11"/>
      <c r="S7023" s="11"/>
      <c r="T7023" s="11"/>
    </row>
    <row r="7024" spans="8:20" x14ac:dyDescent="0.35">
      <c r="H7024" s="711"/>
      <c r="I7024" s="711"/>
      <c r="J7024" s="711"/>
      <c r="K7024" s="711"/>
      <c r="L7024" s="711"/>
      <c r="Q7024" s="11"/>
      <c r="R7024" s="11"/>
      <c r="S7024" s="11"/>
      <c r="T7024" s="11"/>
    </row>
    <row r="7025" spans="8:20" x14ac:dyDescent="0.35">
      <c r="H7025" s="711"/>
      <c r="I7025" s="711"/>
      <c r="J7025" s="711"/>
      <c r="K7025" s="711"/>
      <c r="L7025" s="711"/>
      <c r="Q7025" s="11"/>
      <c r="R7025" s="11"/>
      <c r="S7025" s="11"/>
      <c r="T7025" s="11"/>
    </row>
    <row r="7026" spans="8:20" x14ac:dyDescent="0.35">
      <c r="H7026" s="711"/>
      <c r="I7026" s="711"/>
      <c r="J7026" s="711"/>
      <c r="K7026" s="711"/>
      <c r="L7026" s="711"/>
      <c r="Q7026" s="11"/>
      <c r="R7026" s="11"/>
      <c r="S7026" s="11"/>
      <c r="T7026" s="11"/>
    </row>
    <row r="7027" spans="8:20" x14ac:dyDescent="0.35">
      <c r="H7027" s="711"/>
      <c r="I7027" s="711"/>
      <c r="J7027" s="711"/>
      <c r="K7027" s="711"/>
      <c r="L7027" s="711"/>
      <c r="Q7027" s="11"/>
      <c r="R7027" s="11"/>
      <c r="S7027" s="11"/>
      <c r="T7027" s="11"/>
    </row>
    <row r="7028" spans="8:20" x14ac:dyDescent="0.35">
      <c r="H7028" s="711"/>
      <c r="I7028" s="711"/>
      <c r="J7028" s="711"/>
      <c r="K7028" s="711"/>
      <c r="L7028" s="711"/>
      <c r="Q7028" s="11"/>
      <c r="R7028" s="11"/>
      <c r="S7028" s="11"/>
      <c r="T7028" s="11"/>
    </row>
    <row r="7029" spans="8:20" x14ac:dyDescent="0.35">
      <c r="H7029" s="711"/>
      <c r="I7029" s="711"/>
      <c r="J7029" s="711"/>
      <c r="K7029" s="711"/>
      <c r="L7029" s="711"/>
      <c r="Q7029" s="11"/>
      <c r="R7029" s="11"/>
      <c r="S7029" s="11"/>
      <c r="T7029" s="11"/>
    </row>
    <row r="7030" spans="8:20" x14ac:dyDescent="0.35">
      <c r="H7030" s="711"/>
      <c r="I7030" s="711"/>
      <c r="J7030" s="711"/>
      <c r="K7030" s="711"/>
      <c r="L7030" s="711"/>
      <c r="Q7030" s="11"/>
      <c r="R7030" s="11"/>
      <c r="S7030" s="11"/>
      <c r="T7030" s="11"/>
    </row>
    <row r="7031" spans="8:20" x14ac:dyDescent="0.35">
      <c r="H7031" s="711"/>
      <c r="I7031" s="711"/>
      <c r="J7031" s="711"/>
      <c r="K7031" s="711"/>
      <c r="L7031" s="711"/>
      <c r="Q7031" s="11"/>
      <c r="R7031" s="11"/>
      <c r="S7031" s="11"/>
      <c r="T7031" s="11"/>
    </row>
    <row r="7032" spans="8:20" x14ac:dyDescent="0.35">
      <c r="H7032" s="711"/>
      <c r="I7032" s="711"/>
      <c r="J7032" s="711"/>
      <c r="K7032" s="711"/>
      <c r="L7032" s="711"/>
      <c r="Q7032" s="11"/>
      <c r="R7032" s="11"/>
      <c r="S7032" s="11"/>
      <c r="T7032" s="11"/>
    </row>
    <row r="7033" spans="8:20" x14ac:dyDescent="0.35">
      <c r="H7033" s="711"/>
      <c r="I7033" s="711"/>
      <c r="J7033" s="711"/>
      <c r="K7033" s="711"/>
      <c r="L7033" s="711"/>
      <c r="Q7033" s="11"/>
      <c r="R7033" s="11"/>
      <c r="S7033" s="11"/>
      <c r="T7033" s="11"/>
    </row>
    <row r="7034" spans="8:20" x14ac:dyDescent="0.35">
      <c r="H7034" s="711"/>
      <c r="I7034" s="711"/>
      <c r="J7034" s="711"/>
      <c r="K7034" s="711"/>
      <c r="L7034" s="711"/>
      <c r="Q7034" s="11"/>
      <c r="R7034" s="11"/>
      <c r="S7034" s="11"/>
      <c r="T7034" s="11"/>
    </row>
    <row r="7035" spans="8:20" x14ac:dyDescent="0.35">
      <c r="H7035" s="711"/>
      <c r="I7035" s="711"/>
      <c r="J7035" s="711"/>
      <c r="K7035" s="711"/>
      <c r="L7035" s="711"/>
      <c r="Q7035" s="11"/>
      <c r="R7035" s="11"/>
      <c r="S7035" s="11"/>
      <c r="T7035" s="11"/>
    </row>
    <row r="7036" spans="8:20" x14ac:dyDescent="0.35">
      <c r="H7036" s="711"/>
      <c r="I7036" s="711"/>
      <c r="J7036" s="711"/>
      <c r="K7036" s="711"/>
      <c r="L7036" s="711"/>
      <c r="Q7036" s="11"/>
      <c r="R7036" s="11"/>
      <c r="S7036" s="11"/>
      <c r="T7036" s="11"/>
    </row>
    <row r="7037" spans="8:20" x14ac:dyDescent="0.35">
      <c r="H7037" s="711"/>
      <c r="I7037" s="711"/>
      <c r="J7037" s="711"/>
      <c r="K7037" s="711"/>
      <c r="L7037" s="711"/>
      <c r="Q7037" s="11"/>
      <c r="R7037" s="11"/>
      <c r="S7037" s="11"/>
      <c r="T7037" s="11"/>
    </row>
    <row r="7038" spans="8:20" x14ac:dyDescent="0.35">
      <c r="H7038" s="711"/>
      <c r="I7038" s="711"/>
      <c r="J7038" s="711"/>
      <c r="K7038" s="711"/>
      <c r="L7038" s="711"/>
      <c r="Q7038" s="11"/>
      <c r="R7038" s="11"/>
      <c r="S7038" s="11"/>
      <c r="T7038" s="11"/>
    </row>
    <row r="7039" spans="8:20" x14ac:dyDescent="0.35">
      <c r="H7039" s="711"/>
      <c r="I7039" s="711"/>
      <c r="J7039" s="711"/>
      <c r="K7039" s="711"/>
      <c r="L7039" s="711"/>
      <c r="Q7039" s="11"/>
      <c r="R7039" s="11"/>
      <c r="S7039" s="11"/>
      <c r="T7039" s="11"/>
    </row>
    <row r="7040" spans="8:20" x14ac:dyDescent="0.35">
      <c r="H7040" s="711"/>
      <c r="I7040" s="711"/>
      <c r="J7040" s="711"/>
      <c r="K7040" s="711"/>
      <c r="L7040" s="711"/>
      <c r="Q7040" s="11"/>
      <c r="R7040" s="11"/>
      <c r="S7040" s="11"/>
      <c r="T7040" s="11"/>
    </row>
    <row r="7041" spans="8:20" x14ac:dyDescent="0.35">
      <c r="H7041" s="711"/>
      <c r="I7041" s="711"/>
      <c r="J7041" s="711"/>
      <c r="K7041" s="711"/>
      <c r="L7041" s="711"/>
      <c r="Q7041" s="11"/>
      <c r="R7041" s="11"/>
      <c r="S7041" s="11"/>
      <c r="T7041" s="11"/>
    </row>
    <row r="7042" spans="8:20" x14ac:dyDescent="0.35">
      <c r="H7042" s="711"/>
      <c r="I7042" s="711"/>
      <c r="J7042" s="711"/>
      <c r="K7042" s="711"/>
      <c r="L7042" s="711"/>
      <c r="Q7042" s="11"/>
      <c r="R7042" s="11"/>
      <c r="S7042" s="11"/>
      <c r="T7042" s="11"/>
    </row>
    <row r="7043" spans="8:20" x14ac:dyDescent="0.35">
      <c r="H7043" s="711"/>
      <c r="I7043" s="711"/>
      <c r="J7043" s="711"/>
      <c r="K7043" s="711"/>
      <c r="L7043" s="711"/>
      <c r="Q7043" s="11"/>
      <c r="R7043" s="11"/>
      <c r="S7043" s="11"/>
      <c r="T7043" s="11"/>
    </row>
    <row r="7044" spans="8:20" x14ac:dyDescent="0.35">
      <c r="H7044" s="711"/>
      <c r="I7044" s="711"/>
      <c r="J7044" s="711"/>
      <c r="K7044" s="711"/>
      <c r="L7044" s="711"/>
      <c r="Q7044" s="11"/>
      <c r="R7044" s="11"/>
      <c r="S7044" s="11"/>
      <c r="T7044" s="11"/>
    </row>
    <row r="7045" spans="8:20" x14ac:dyDescent="0.35">
      <c r="H7045" s="711"/>
      <c r="I7045" s="711"/>
      <c r="J7045" s="711"/>
      <c r="K7045" s="711"/>
      <c r="L7045" s="711"/>
      <c r="Q7045" s="11"/>
      <c r="R7045" s="11"/>
      <c r="S7045" s="11"/>
      <c r="T7045" s="11"/>
    </row>
    <row r="7046" spans="8:20" x14ac:dyDescent="0.35">
      <c r="H7046" s="711"/>
      <c r="I7046" s="711"/>
      <c r="J7046" s="711"/>
      <c r="K7046" s="711"/>
      <c r="L7046" s="711"/>
      <c r="Q7046" s="11"/>
      <c r="R7046" s="11"/>
      <c r="S7046" s="11"/>
      <c r="T7046" s="11"/>
    </row>
    <row r="7047" spans="8:20" x14ac:dyDescent="0.35">
      <c r="H7047" s="711"/>
      <c r="I7047" s="711"/>
      <c r="J7047" s="711"/>
      <c r="K7047" s="711"/>
      <c r="L7047" s="711"/>
      <c r="Q7047" s="11"/>
      <c r="R7047" s="11"/>
      <c r="S7047" s="11"/>
      <c r="T7047" s="11"/>
    </row>
    <row r="7048" spans="8:20" x14ac:dyDescent="0.35">
      <c r="H7048" s="711"/>
      <c r="I7048" s="711"/>
      <c r="J7048" s="711"/>
      <c r="K7048" s="711"/>
      <c r="L7048" s="711"/>
      <c r="Q7048" s="11"/>
      <c r="R7048" s="11"/>
      <c r="S7048" s="11"/>
      <c r="T7048" s="11"/>
    </row>
    <row r="7049" spans="8:20" x14ac:dyDescent="0.35">
      <c r="H7049" s="711"/>
      <c r="I7049" s="711"/>
      <c r="J7049" s="711"/>
      <c r="K7049" s="711"/>
      <c r="L7049" s="711"/>
      <c r="Q7049" s="11"/>
      <c r="R7049" s="11"/>
      <c r="S7049" s="11"/>
      <c r="T7049" s="11"/>
    </row>
    <row r="7050" spans="8:20" x14ac:dyDescent="0.35">
      <c r="H7050" s="711"/>
      <c r="I7050" s="711"/>
      <c r="J7050" s="711"/>
      <c r="K7050" s="711"/>
      <c r="L7050" s="711"/>
      <c r="Q7050" s="11"/>
      <c r="R7050" s="11"/>
      <c r="S7050" s="11"/>
      <c r="T7050" s="11"/>
    </row>
    <row r="7051" spans="8:20" x14ac:dyDescent="0.35">
      <c r="H7051" s="711"/>
      <c r="I7051" s="711"/>
      <c r="J7051" s="711"/>
      <c r="K7051" s="711"/>
      <c r="L7051" s="711"/>
      <c r="Q7051" s="11"/>
      <c r="R7051" s="11"/>
      <c r="S7051" s="11"/>
      <c r="T7051" s="11"/>
    </row>
    <row r="7052" spans="8:20" x14ac:dyDescent="0.35">
      <c r="H7052" s="711"/>
      <c r="I7052" s="711"/>
      <c r="J7052" s="711"/>
      <c r="K7052" s="711"/>
      <c r="L7052" s="711"/>
      <c r="Q7052" s="11"/>
      <c r="R7052" s="11"/>
      <c r="S7052" s="11"/>
      <c r="T7052" s="11"/>
    </row>
    <row r="7053" spans="8:20" x14ac:dyDescent="0.35">
      <c r="H7053" s="711"/>
      <c r="I7053" s="711"/>
      <c r="J7053" s="711"/>
      <c r="K7053" s="711"/>
      <c r="L7053" s="711"/>
      <c r="Q7053" s="11"/>
      <c r="R7053" s="11"/>
      <c r="S7053" s="11"/>
      <c r="T7053" s="11"/>
    </row>
    <row r="7054" spans="8:20" x14ac:dyDescent="0.35">
      <c r="H7054" s="711"/>
      <c r="I7054" s="711"/>
      <c r="J7054" s="711"/>
      <c r="K7054" s="711"/>
      <c r="L7054" s="711"/>
      <c r="Q7054" s="11"/>
      <c r="R7054" s="11"/>
      <c r="S7054" s="11"/>
      <c r="T7054" s="11"/>
    </row>
    <row r="7055" spans="8:20" x14ac:dyDescent="0.35">
      <c r="H7055" s="711"/>
      <c r="I7055" s="711"/>
      <c r="J7055" s="711"/>
      <c r="K7055" s="711"/>
      <c r="L7055" s="711"/>
      <c r="Q7055" s="11"/>
      <c r="R7055" s="11"/>
      <c r="S7055" s="11"/>
      <c r="T7055" s="11"/>
    </row>
    <row r="7056" spans="8:20" x14ac:dyDescent="0.35">
      <c r="H7056" s="711"/>
      <c r="I7056" s="711"/>
      <c r="J7056" s="711"/>
      <c r="K7056" s="711"/>
      <c r="L7056" s="711"/>
      <c r="Q7056" s="11"/>
      <c r="R7056" s="11"/>
      <c r="S7056" s="11"/>
      <c r="T7056" s="11"/>
    </row>
    <row r="7057" spans="8:20" x14ac:dyDescent="0.35">
      <c r="H7057" s="711"/>
      <c r="I7057" s="711"/>
      <c r="J7057" s="711"/>
      <c r="K7057" s="711"/>
      <c r="L7057" s="711"/>
      <c r="Q7057" s="11"/>
      <c r="R7057" s="11"/>
      <c r="S7057" s="11"/>
      <c r="T7057" s="11"/>
    </row>
    <row r="7058" spans="8:20" x14ac:dyDescent="0.35">
      <c r="H7058" s="711"/>
      <c r="I7058" s="711"/>
      <c r="J7058" s="711"/>
      <c r="K7058" s="711"/>
      <c r="L7058" s="711"/>
      <c r="Q7058" s="11"/>
      <c r="R7058" s="11"/>
      <c r="S7058" s="11"/>
      <c r="T7058" s="11"/>
    </row>
    <row r="7059" spans="8:20" x14ac:dyDescent="0.35">
      <c r="H7059" s="711"/>
      <c r="I7059" s="711"/>
      <c r="J7059" s="711"/>
      <c r="K7059" s="711"/>
      <c r="L7059" s="711"/>
      <c r="Q7059" s="11"/>
      <c r="R7059" s="11"/>
      <c r="S7059" s="11"/>
      <c r="T7059" s="11"/>
    </row>
    <row r="7060" spans="8:20" x14ac:dyDescent="0.35">
      <c r="H7060" s="711"/>
      <c r="I7060" s="711"/>
      <c r="J7060" s="711"/>
      <c r="K7060" s="711"/>
      <c r="L7060" s="711"/>
      <c r="Q7060" s="11"/>
      <c r="R7060" s="11"/>
      <c r="S7060" s="11"/>
      <c r="T7060" s="11"/>
    </row>
    <row r="7061" spans="8:20" x14ac:dyDescent="0.35">
      <c r="H7061" s="711"/>
      <c r="I7061" s="711"/>
      <c r="J7061" s="711"/>
      <c r="K7061" s="711"/>
      <c r="L7061" s="711"/>
      <c r="Q7061" s="11"/>
      <c r="R7061" s="11"/>
      <c r="S7061" s="11"/>
      <c r="T7061" s="11"/>
    </row>
    <row r="7062" spans="8:20" x14ac:dyDescent="0.35">
      <c r="H7062" s="711"/>
      <c r="I7062" s="711"/>
      <c r="J7062" s="711"/>
      <c r="K7062" s="711"/>
      <c r="L7062" s="711"/>
      <c r="Q7062" s="11"/>
      <c r="R7062" s="11"/>
      <c r="S7062" s="11"/>
      <c r="T7062" s="11"/>
    </row>
    <row r="7063" spans="8:20" x14ac:dyDescent="0.35">
      <c r="H7063" s="711"/>
      <c r="I7063" s="711"/>
      <c r="J7063" s="711"/>
      <c r="K7063" s="711"/>
      <c r="L7063" s="711"/>
      <c r="Q7063" s="11"/>
      <c r="R7063" s="11"/>
      <c r="S7063" s="11"/>
      <c r="T7063" s="11"/>
    </row>
    <row r="7064" spans="8:20" x14ac:dyDescent="0.35">
      <c r="H7064" s="711"/>
      <c r="I7064" s="711"/>
      <c r="J7064" s="711"/>
      <c r="K7064" s="711"/>
      <c r="L7064" s="711"/>
      <c r="Q7064" s="11"/>
      <c r="R7064" s="11"/>
      <c r="S7064" s="11"/>
      <c r="T7064" s="11"/>
    </row>
    <row r="7065" spans="8:20" x14ac:dyDescent="0.35">
      <c r="H7065" s="711"/>
      <c r="I7065" s="711"/>
      <c r="J7065" s="711"/>
      <c r="K7065" s="711"/>
      <c r="L7065" s="711"/>
      <c r="Q7065" s="11"/>
      <c r="R7065" s="11"/>
      <c r="S7065" s="11"/>
      <c r="T7065" s="11"/>
    </row>
    <row r="7066" spans="8:20" x14ac:dyDescent="0.35">
      <c r="H7066" s="711"/>
      <c r="I7066" s="711"/>
      <c r="J7066" s="711"/>
      <c r="K7066" s="711"/>
      <c r="L7066" s="711"/>
      <c r="Q7066" s="11"/>
      <c r="R7066" s="11"/>
      <c r="S7066" s="11"/>
      <c r="T7066" s="11"/>
    </row>
    <row r="7067" spans="8:20" x14ac:dyDescent="0.35">
      <c r="H7067" s="711"/>
      <c r="I7067" s="711"/>
      <c r="J7067" s="711"/>
      <c r="K7067" s="711"/>
      <c r="L7067" s="711"/>
      <c r="Q7067" s="11"/>
      <c r="R7067" s="11"/>
      <c r="S7067" s="11"/>
      <c r="T7067" s="11"/>
    </row>
    <row r="7068" spans="8:20" x14ac:dyDescent="0.35">
      <c r="H7068" s="711"/>
      <c r="I7068" s="711"/>
      <c r="J7068" s="711"/>
      <c r="K7068" s="711"/>
      <c r="L7068" s="711"/>
      <c r="Q7068" s="11"/>
      <c r="R7068" s="11"/>
      <c r="S7068" s="11"/>
      <c r="T7068" s="11"/>
    </row>
    <row r="7069" spans="8:20" x14ac:dyDescent="0.35">
      <c r="H7069" s="711"/>
      <c r="I7069" s="711"/>
      <c r="J7069" s="711"/>
      <c r="K7069" s="711"/>
      <c r="L7069" s="711"/>
      <c r="Q7069" s="11"/>
      <c r="R7069" s="11"/>
      <c r="S7069" s="11"/>
      <c r="T7069" s="11"/>
    </row>
    <row r="7070" spans="8:20" x14ac:dyDescent="0.35">
      <c r="H7070" s="711"/>
      <c r="I7070" s="711"/>
      <c r="J7070" s="711"/>
      <c r="K7070" s="711"/>
      <c r="L7070" s="711"/>
      <c r="Q7070" s="11"/>
      <c r="R7070" s="11"/>
      <c r="S7070" s="11"/>
      <c r="T7070" s="11"/>
    </row>
    <row r="7071" spans="8:20" x14ac:dyDescent="0.35">
      <c r="H7071" s="711"/>
      <c r="I7071" s="711"/>
      <c r="J7071" s="711"/>
      <c r="K7071" s="711"/>
      <c r="L7071" s="711"/>
      <c r="Q7071" s="11"/>
      <c r="R7071" s="11"/>
      <c r="S7071" s="11"/>
      <c r="T7071" s="11"/>
    </row>
    <row r="7072" spans="8:20" x14ac:dyDescent="0.35">
      <c r="H7072" s="711"/>
      <c r="I7072" s="711"/>
      <c r="J7072" s="711"/>
      <c r="K7072" s="711"/>
      <c r="L7072" s="711"/>
      <c r="Q7072" s="11"/>
      <c r="R7072" s="11"/>
      <c r="S7072" s="11"/>
      <c r="T7072" s="11"/>
    </row>
    <row r="7073" spans="8:20" x14ac:dyDescent="0.35">
      <c r="H7073" s="711"/>
      <c r="I7073" s="711"/>
      <c r="J7073" s="711"/>
      <c r="K7073" s="711"/>
      <c r="L7073" s="711"/>
      <c r="Q7073" s="11"/>
      <c r="R7073" s="11"/>
      <c r="S7073" s="11"/>
      <c r="T7073" s="11"/>
    </row>
    <row r="7074" spans="8:20" x14ac:dyDescent="0.35">
      <c r="H7074" s="711"/>
      <c r="I7074" s="711"/>
      <c r="J7074" s="711"/>
      <c r="K7074" s="711"/>
      <c r="L7074" s="711"/>
      <c r="Q7074" s="11"/>
      <c r="R7074" s="11"/>
      <c r="S7074" s="11"/>
      <c r="T7074" s="11"/>
    </row>
    <row r="7075" spans="8:20" x14ac:dyDescent="0.35">
      <c r="H7075" s="711"/>
      <c r="I7075" s="711"/>
      <c r="J7075" s="711"/>
      <c r="K7075" s="711"/>
      <c r="L7075" s="711"/>
      <c r="Q7075" s="11"/>
      <c r="R7075" s="11"/>
      <c r="S7075" s="11"/>
      <c r="T7075" s="11"/>
    </row>
    <row r="7076" spans="8:20" x14ac:dyDescent="0.35">
      <c r="H7076" s="711"/>
      <c r="I7076" s="711"/>
      <c r="J7076" s="711"/>
      <c r="K7076" s="711"/>
      <c r="L7076" s="711"/>
      <c r="Q7076" s="11"/>
      <c r="R7076" s="11"/>
      <c r="S7076" s="11"/>
      <c r="T7076" s="11"/>
    </row>
    <row r="7077" spans="8:20" x14ac:dyDescent="0.35">
      <c r="H7077" s="711"/>
      <c r="I7077" s="711"/>
      <c r="J7077" s="711"/>
      <c r="K7077" s="711"/>
      <c r="L7077" s="711"/>
      <c r="Q7077" s="11"/>
      <c r="R7077" s="11"/>
      <c r="S7077" s="11"/>
      <c r="T7077" s="11"/>
    </row>
    <row r="7078" spans="8:20" x14ac:dyDescent="0.35">
      <c r="H7078" s="711"/>
      <c r="I7078" s="711"/>
      <c r="J7078" s="711"/>
      <c r="K7078" s="711"/>
      <c r="L7078" s="711"/>
      <c r="Q7078" s="11"/>
      <c r="R7078" s="11"/>
      <c r="S7078" s="11"/>
      <c r="T7078" s="11"/>
    </row>
    <row r="7079" spans="8:20" x14ac:dyDescent="0.35">
      <c r="H7079" s="711"/>
      <c r="I7079" s="711"/>
      <c r="J7079" s="711"/>
      <c r="K7079" s="711"/>
      <c r="L7079" s="711"/>
      <c r="Q7079" s="11"/>
      <c r="R7079" s="11"/>
      <c r="S7079" s="11"/>
      <c r="T7079" s="11"/>
    </row>
    <row r="7080" spans="8:20" x14ac:dyDescent="0.35">
      <c r="H7080" s="711"/>
      <c r="I7080" s="711"/>
      <c r="J7080" s="711"/>
      <c r="K7080" s="711"/>
      <c r="L7080" s="711"/>
      <c r="Q7080" s="11"/>
      <c r="R7080" s="11"/>
      <c r="S7080" s="11"/>
      <c r="T7080" s="11"/>
    </row>
    <row r="7081" spans="8:20" x14ac:dyDescent="0.35">
      <c r="H7081" s="711"/>
      <c r="I7081" s="711"/>
      <c r="J7081" s="711"/>
      <c r="K7081" s="711"/>
      <c r="L7081" s="711"/>
      <c r="Q7081" s="11"/>
      <c r="R7081" s="11"/>
      <c r="S7081" s="11"/>
      <c r="T7081" s="11"/>
    </row>
    <row r="7082" spans="8:20" x14ac:dyDescent="0.35">
      <c r="H7082" s="711"/>
      <c r="I7082" s="711"/>
      <c r="J7082" s="711"/>
      <c r="K7082" s="711"/>
      <c r="L7082" s="711"/>
      <c r="Q7082" s="11"/>
      <c r="R7082" s="11"/>
      <c r="S7082" s="11"/>
      <c r="T7082" s="11"/>
    </row>
    <row r="7083" spans="8:20" x14ac:dyDescent="0.35">
      <c r="H7083" s="711"/>
      <c r="I7083" s="711"/>
      <c r="J7083" s="711"/>
      <c r="K7083" s="711"/>
      <c r="L7083" s="711"/>
      <c r="Q7083" s="11"/>
      <c r="R7083" s="11"/>
      <c r="S7083" s="11"/>
      <c r="T7083" s="11"/>
    </row>
    <row r="7084" spans="8:20" x14ac:dyDescent="0.35">
      <c r="H7084" s="711"/>
      <c r="I7084" s="711"/>
      <c r="J7084" s="711"/>
      <c r="K7084" s="711"/>
      <c r="L7084" s="711"/>
      <c r="Q7084" s="11"/>
      <c r="R7084" s="11"/>
      <c r="S7084" s="11"/>
      <c r="T7084" s="11"/>
    </row>
    <row r="7085" spans="8:20" x14ac:dyDescent="0.35">
      <c r="H7085" s="711"/>
      <c r="I7085" s="711"/>
      <c r="J7085" s="711"/>
      <c r="K7085" s="711"/>
      <c r="L7085" s="711"/>
      <c r="Q7085" s="11"/>
      <c r="R7085" s="11"/>
      <c r="S7085" s="11"/>
      <c r="T7085" s="11"/>
    </row>
    <row r="7086" spans="8:20" x14ac:dyDescent="0.35">
      <c r="H7086" s="711"/>
      <c r="I7086" s="711"/>
      <c r="J7086" s="711"/>
      <c r="K7086" s="711"/>
      <c r="L7086" s="711"/>
      <c r="Q7086" s="11"/>
      <c r="R7086" s="11"/>
      <c r="S7086" s="11"/>
      <c r="T7086" s="11"/>
    </row>
    <row r="7087" spans="8:20" x14ac:dyDescent="0.35">
      <c r="H7087" s="711"/>
      <c r="I7087" s="711"/>
      <c r="J7087" s="711"/>
      <c r="K7087" s="711"/>
      <c r="L7087" s="711"/>
      <c r="Q7087" s="11"/>
      <c r="R7087" s="11"/>
      <c r="S7087" s="11"/>
      <c r="T7087" s="11"/>
    </row>
    <row r="7088" spans="8:20" x14ac:dyDescent="0.35">
      <c r="H7088" s="711"/>
      <c r="I7088" s="711"/>
      <c r="J7088" s="711"/>
      <c r="K7088" s="711"/>
      <c r="L7088" s="711"/>
      <c r="Q7088" s="11"/>
      <c r="R7088" s="11"/>
      <c r="S7088" s="11"/>
      <c r="T7088" s="11"/>
    </row>
    <row r="7089" spans="8:20" x14ac:dyDescent="0.35">
      <c r="H7089" s="711"/>
      <c r="I7089" s="711"/>
      <c r="J7089" s="711"/>
      <c r="K7089" s="711"/>
      <c r="L7089" s="711"/>
      <c r="Q7089" s="11"/>
      <c r="R7089" s="11"/>
      <c r="S7089" s="11"/>
      <c r="T7089" s="11"/>
    </row>
    <row r="7090" spans="8:20" x14ac:dyDescent="0.35">
      <c r="H7090" s="711"/>
      <c r="I7090" s="711"/>
      <c r="J7090" s="711"/>
      <c r="K7090" s="711"/>
      <c r="L7090" s="711"/>
      <c r="Q7090" s="11"/>
      <c r="R7090" s="11"/>
      <c r="S7090" s="11"/>
      <c r="T7090" s="11"/>
    </row>
    <row r="7091" spans="8:20" x14ac:dyDescent="0.35">
      <c r="H7091" s="711"/>
      <c r="I7091" s="711"/>
      <c r="J7091" s="711"/>
      <c r="K7091" s="711"/>
      <c r="L7091" s="711"/>
      <c r="Q7091" s="11"/>
      <c r="R7091" s="11"/>
      <c r="S7091" s="11"/>
      <c r="T7091" s="11"/>
    </row>
    <row r="7092" spans="8:20" x14ac:dyDescent="0.35">
      <c r="H7092" s="711"/>
      <c r="I7092" s="711"/>
      <c r="J7092" s="711"/>
      <c r="K7092" s="711"/>
      <c r="L7092" s="711"/>
      <c r="Q7092" s="11"/>
      <c r="R7092" s="11"/>
      <c r="S7092" s="11"/>
      <c r="T7092" s="11"/>
    </row>
    <row r="7093" spans="8:20" x14ac:dyDescent="0.35">
      <c r="H7093" s="711"/>
      <c r="I7093" s="711"/>
      <c r="J7093" s="711"/>
      <c r="K7093" s="711"/>
      <c r="L7093" s="711"/>
      <c r="Q7093" s="11"/>
      <c r="R7093" s="11"/>
      <c r="S7093" s="11"/>
      <c r="T7093" s="11"/>
    </row>
    <row r="7094" spans="8:20" x14ac:dyDescent="0.35">
      <c r="H7094" s="711"/>
      <c r="I7094" s="711"/>
      <c r="J7094" s="711"/>
      <c r="K7094" s="711"/>
      <c r="L7094" s="711"/>
      <c r="Q7094" s="11"/>
      <c r="R7094" s="11"/>
      <c r="S7094" s="11"/>
      <c r="T7094" s="11"/>
    </row>
    <row r="7095" spans="8:20" x14ac:dyDescent="0.35">
      <c r="H7095" s="711"/>
      <c r="I7095" s="711"/>
      <c r="J7095" s="711"/>
      <c r="K7095" s="711"/>
      <c r="L7095" s="711"/>
      <c r="Q7095" s="11"/>
      <c r="R7095" s="11"/>
      <c r="S7095" s="11"/>
      <c r="T7095" s="11"/>
    </row>
    <row r="7096" spans="8:20" x14ac:dyDescent="0.35">
      <c r="H7096" s="711"/>
      <c r="I7096" s="711"/>
      <c r="J7096" s="711"/>
      <c r="K7096" s="711"/>
      <c r="L7096" s="711"/>
      <c r="Q7096" s="11"/>
      <c r="R7096" s="11"/>
      <c r="S7096" s="11"/>
      <c r="T7096" s="11"/>
    </row>
    <row r="7097" spans="8:20" x14ac:dyDescent="0.35">
      <c r="H7097" s="711"/>
      <c r="I7097" s="711"/>
      <c r="J7097" s="711"/>
      <c r="K7097" s="711"/>
      <c r="L7097" s="711"/>
      <c r="Q7097" s="11"/>
      <c r="R7097" s="11"/>
      <c r="S7097" s="11"/>
      <c r="T7097" s="11"/>
    </row>
    <row r="7098" spans="8:20" x14ac:dyDescent="0.35">
      <c r="H7098" s="711"/>
      <c r="I7098" s="711"/>
      <c r="J7098" s="711"/>
      <c r="K7098" s="711"/>
      <c r="L7098" s="711"/>
      <c r="Q7098" s="11"/>
      <c r="R7098" s="11"/>
      <c r="S7098" s="11"/>
      <c r="T7098" s="11"/>
    </row>
    <row r="7099" spans="8:20" x14ac:dyDescent="0.35">
      <c r="H7099" s="711"/>
      <c r="I7099" s="711"/>
      <c r="J7099" s="711"/>
      <c r="K7099" s="711"/>
      <c r="L7099" s="711"/>
      <c r="Q7099" s="11"/>
      <c r="R7099" s="11"/>
      <c r="S7099" s="11"/>
      <c r="T7099" s="11"/>
    </row>
    <row r="7100" spans="8:20" x14ac:dyDescent="0.35">
      <c r="H7100" s="711"/>
      <c r="I7100" s="711"/>
      <c r="J7100" s="711"/>
      <c r="K7100" s="711"/>
      <c r="L7100" s="711"/>
      <c r="Q7100" s="11"/>
      <c r="R7100" s="11"/>
      <c r="S7100" s="11"/>
      <c r="T7100" s="11"/>
    </row>
    <row r="7101" spans="8:20" x14ac:dyDescent="0.35">
      <c r="H7101" s="711"/>
      <c r="I7101" s="711"/>
      <c r="J7101" s="711"/>
      <c r="K7101" s="711"/>
      <c r="L7101" s="711"/>
      <c r="Q7101" s="11"/>
      <c r="R7101" s="11"/>
      <c r="S7101" s="11"/>
      <c r="T7101" s="11"/>
    </row>
    <row r="7102" spans="8:20" x14ac:dyDescent="0.35">
      <c r="H7102" s="711"/>
      <c r="I7102" s="711"/>
      <c r="J7102" s="711"/>
      <c r="K7102" s="711"/>
      <c r="L7102" s="711"/>
      <c r="Q7102" s="11"/>
      <c r="R7102" s="11"/>
      <c r="S7102" s="11"/>
      <c r="T7102" s="11"/>
    </row>
    <row r="7103" spans="8:20" x14ac:dyDescent="0.35">
      <c r="H7103" s="711"/>
      <c r="I7103" s="711"/>
      <c r="J7103" s="711"/>
      <c r="K7103" s="711"/>
      <c r="L7103" s="711"/>
      <c r="Q7103" s="11"/>
      <c r="R7103" s="11"/>
      <c r="S7103" s="11"/>
      <c r="T7103" s="11"/>
    </row>
    <row r="7104" spans="8:20" x14ac:dyDescent="0.35">
      <c r="H7104" s="711"/>
      <c r="I7104" s="711"/>
      <c r="J7104" s="711"/>
      <c r="K7104" s="711"/>
      <c r="L7104" s="711"/>
      <c r="Q7104" s="11"/>
      <c r="R7104" s="11"/>
      <c r="S7104" s="11"/>
      <c r="T7104" s="11"/>
    </row>
    <row r="7105" spans="8:20" x14ac:dyDescent="0.35">
      <c r="H7105" s="711"/>
      <c r="I7105" s="711"/>
      <c r="J7105" s="711"/>
      <c r="K7105" s="711"/>
      <c r="L7105" s="711"/>
      <c r="Q7105" s="11"/>
      <c r="R7105" s="11"/>
      <c r="S7105" s="11"/>
      <c r="T7105" s="11"/>
    </row>
    <row r="7106" spans="8:20" x14ac:dyDescent="0.35">
      <c r="H7106" s="711"/>
      <c r="I7106" s="711"/>
      <c r="J7106" s="711"/>
      <c r="K7106" s="711"/>
      <c r="L7106" s="711"/>
      <c r="Q7106" s="11"/>
      <c r="R7106" s="11"/>
      <c r="S7106" s="11"/>
      <c r="T7106" s="11"/>
    </row>
    <row r="7107" spans="8:20" x14ac:dyDescent="0.35">
      <c r="H7107" s="711"/>
      <c r="I7107" s="711"/>
      <c r="J7107" s="711"/>
      <c r="K7107" s="711"/>
      <c r="L7107" s="711"/>
      <c r="Q7107" s="11"/>
      <c r="R7107" s="11"/>
      <c r="S7107" s="11"/>
      <c r="T7107" s="11"/>
    </row>
    <row r="7108" spans="8:20" x14ac:dyDescent="0.35">
      <c r="H7108" s="711"/>
      <c r="I7108" s="711"/>
      <c r="J7108" s="711"/>
      <c r="K7108" s="711"/>
      <c r="L7108" s="711"/>
      <c r="Q7108" s="11"/>
      <c r="R7108" s="11"/>
      <c r="S7108" s="11"/>
      <c r="T7108" s="11"/>
    </row>
    <row r="7109" spans="8:20" x14ac:dyDescent="0.35">
      <c r="H7109" s="711"/>
      <c r="I7109" s="711"/>
      <c r="J7109" s="711"/>
      <c r="K7109" s="711"/>
      <c r="L7109" s="711"/>
      <c r="Q7109" s="11"/>
      <c r="R7109" s="11"/>
      <c r="S7109" s="11"/>
      <c r="T7109" s="11"/>
    </row>
    <row r="7110" spans="8:20" x14ac:dyDescent="0.35">
      <c r="H7110" s="711"/>
      <c r="I7110" s="711"/>
      <c r="J7110" s="711"/>
      <c r="K7110" s="711"/>
      <c r="L7110" s="711"/>
      <c r="Q7110" s="11"/>
      <c r="R7110" s="11"/>
      <c r="S7110" s="11"/>
      <c r="T7110" s="11"/>
    </row>
    <row r="7111" spans="8:20" x14ac:dyDescent="0.35">
      <c r="H7111" s="711"/>
      <c r="I7111" s="711"/>
      <c r="J7111" s="711"/>
      <c r="K7111" s="711"/>
      <c r="L7111" s="711"/>
      <c r="Q7111" s="11"/>
      <c r="R7111" s="11"/>
      <c r="S7111" s="11"/>
      <c r="T7111" s="11"/>
    </row>
    <row r="7112" spans="8:20" x14ac:dyDescent="0.35">
      <c r="H7112" s="711"/>
      <c r="I7112" s="711"/>
      <c r="J7112" s="711"/>
      <c r="K7112" s="711"/>
      <c r="L7112" s="711"/>
      <c r="Q7112" s="11"/>
      <c r="R7112" s="11"/>
      <c r="S7112" s="11"/>
      <c r="T7112" s="11"/>
    </row>
    <row r="7113" spans="8:20" x14ac:dyDescent="0.35">
      <c r="H7113" s="711"/>
      <c r="I7113" s="711"/>
      <c r="J7113" s="711"/>
      <c r="K7113" s="711"/>
      <c r="L7113" s="711"/>
      <c r="Q7113" s="11"/>
      <c r="R7113" s="11"/>
      <c r="S7113" s="11"/>
      <c r="T7113" s="11"/>
    </row>
    <row r="7114" spans="8:20" x14ac:dyDescent="0.35">
      <c r="H7114" s="711"/>
      <c r="I7114" s="711"/>
      <c r="J7114" s="711"/>
      <c r="K7114" s="711"/>
      <c r="L7114" s="711"/>
      <c r="Q7114" s="11"/>
      <c r="R7114" s="11"/>
      <c r="S7114" s="11"/>
      <c r="T7114" s="11"/>
    </row>
    <row r="7115" spans="8:20" x14ac:dyDescent="0.35">
      <c r="H7115" s="711"/>
      <c r="I7115" s="711"/>
      <c r="J7115" s="711"/>
      <c r="K7115" s="711"/>
      <c r="L7115" s="711"/>
      <c r="Q7115" s="11"/>
      <c r="R7115" s="11"/>
      <c r="S7115" s="11"/>
      <c r="T7115" s="11"/>
    </row>
    <row r="7116" spans="8:20" x14ac:dyDescent="0.35">
      <c r="H7116" s="711"/>
      <c r="I7116" s="711"/>
      <c r="J7116" s="711"/>
      <c r="K7116" s="711"/>
      <c r="L7116" s="711"/>
      <c r="Q7116" s="11"/>
      <c r="R7116" s="11"/>
      <c r="S7116" s="11"/>
      <c r="T7116" s="11"/>
    </row>
    <row r="7117" spans="8:20" x14ac:dyDescent="0.35">
      <c r="H7117" s="711"/>
      <c r="I7117" s="711"/>
      <c r="J7117" s="711"/>
      <c r="K7117" s="711"/>
      <c r="L7117" s="711"/>
      <c r="Q7117" s="11"/>
      <c r="R7117" s="11"/>
      <c r="S7117" s="11"/>
      <c r="T7117" s="11"/>
    </row>
    <row r="7118" spans="8:20" x14ac:dyDescent="0.35">
      <c r="H7118" s="711"/>
      <c r="I7118" s="711"/>
      <c r="J7118" s="711"/>
      <c r="K7118" s="711"/>
      <c r="L7118" s="711"/>
      <c r="Q7118" s="11"/>
      <c r="R7118" s="11"/>
      <c r="S7118" s="11"/>
      <c r="T7118" s="11"/>
    </row>
    <row r="7119" spans="8:20" x14ac:dyDescent="0.35">
      <c r="H7119" s="711"/>
      <c r="I7119" s="711"/>
      <c r="J7119" s="711"/>
      <c r="K7119" s="711"/>
      <c r="L7119" s="711"/>
      <c r="Q7119" s="11"/>
      <c r="R7119" s="11"/>
      <c r="S7119" s="11"/>
      <c r="T7119" s="11"/>
    </row>
    <row r="7120" spans="8:20" x14ac:dyDescent="0.35">
      <c r="H7120" s="711"/>
      <c r="I7120" s="711"/>
      <c r="J7120" s="711"/>
      <c r="K7120" s="711"/>
      <c r="L7120" s="711"/>
      <c r="Q7120" s="11"/>
      <c r="R7120" s="11"/>
      <c r="S7120" s="11"/>
      <c r="T7120" s="11"/>
    </row>
    <row r="7121" spans="8:20" x14ac:dyDescent="0.35">
      <c r="H7121" s="711"/>
      <c r="I7121" s="711"/>
      <c r="J7121" s="711"/>
      <c r="K7121" s="711"/>
      <c r="L7121" s="711"/>
      <c r="Q7121" s="11"/>
      <c r="R7121" s="11"/>
      <c r="S7121" s="11"/>
      <c r="T7121" s="11"/>
    </row>
    <row r="7122" spans="8:20" x14ac:dyDescent="0.35">
      <c r="H7122" s="711"/>
      <c r="I7122" s="711"/>
      <c r="J7122" s="711"/>
      <c r="K7122" s="711"/>
      <c r="L7122" s="711"/>
      <c r="Q7122" s="11"/>
      <c r="R7122" s="11"/>
      <c r="S7122" s="11"/>
      <c r="T7122" s="11"/>
    </row>
    <row r="7123" spans="8:20" x14ac:dyDescent="0.35">
      <c r="H7123" s="711"/>
      <c r="I7123" s="711"/>
      <c r="J7123" s="711"/>
      <c r="K7123" s="711"/>
      <c r="L7123" s="711"/>
      <c r="Q7123" s="11"/>
      <c r="R7123" s="11"/>
      <c r="S7123" s="11"/>
      <c r="T7123" s="11"/>
    </row>
    <row r="7124" spans="8:20" x14ac:dyDescent="0.35">
      <c r="H7124" s="711"/>
      <c r="I7124" s="711"/>
      <c r="J7124" s="711"/>
      <c r="K7124" s="711"/>
      <c r="L7124" s="711"/>
      <c r="Q7124" s="11"/>
      <c r="R7124" s="11"/>
      <c r="S7124" s="11"/>
      <c r="T7124" s="11"/>
    </row>
    <row r="7125" spans="8:20" x14ac:dyDescent="0.35">
      <c r="H7125" s="711"/>
      <c r="I7125" s="711"/>
      <c r="J7125" s="711"/>
      <c r="K7125" s="711"/>
      <c r="L7125" s="711"/>
      <c r="Q7125" s="11"/>
      <c r="R7125" s="11"/>
      <c r="S7125" s="11"/>
      <c r="T7125" s="11"/>
    </row>
    <row r="7126" spans="8:20" x14ac:dyDescent="0.35">
      <c r="H7126" s="711"/>
      <c r="I7126" s="711"/>
      <c r="J7126" s="711"/>
      <c r="K7126" s="711"/>
      <c r="L7126" s="711"/>
      <c r="Q7126" s="11"/>
      <c r="R7126" s="11"/>
      <c r="S7126" s="11"/>
      <c r="T7126" s="11"/>
    </row>
    <row r="7127" spans="8:20" x14ac:dyDescent="0.35">
      <c r="H7127" s="711"/>
      <c r="I7127" s="711"/>
      <c r="J7127" s="711"/>
      <c r="K7127" s="711"/>
      <c r="L7127" s="711"/>
      <c r="Q7127" s="11"/>
      <c r="R7127" s="11"/>
      <c r="S7127" s="11"/>
      <c r="T7127" s="11"/>
    </row>
    <row r="7128" spans="8:20" x14ac:dyDescent="0.35">
      <c r="H7128" s="711"/>
      <c r="I7128" s="711"/>
      <c r="J7128" s="711"/>
      <c r="K7128" s="711"/>
      <c r="L7128" s="711"/>
      <c r="Q7128" s="11"/>
      <c r="R7128" s="11"/>
      <c r="S7128" s="11"/>
      <c r="T7128" s="11"/>
    </row>
    <row r="7129" spans="8:20" x14ac:dyDescent="0.35">
      <c r="H7129" s="711"/>
      <c r="I7129" s="711"/>
      <c r="J7129" s="711"/>
      <c r="K7129" s="711"/>
      <c r="L7129" s="711"/>
      <c r="Q7129" s="11"/>
      <c r="R7129" s="11"/>
      <c r="S7129" s="11"/>
      <c r="T7129" s="11"/>
    </row>
    <row r="7130" spans="8:20" x14ac:dyDescent="0.35">
      <c r="H7130" s="711"/>
      <c r="I7130" s="711"/>
      <c r="J7130" s="711"/>
      <c r="K7130" s="711"/>
      <c r="L7130" s="711"/>
      <c r="Q7130" s="11"/>
      <c r="R7130" s="11"/>
      <c r="S7130" s="11"/>
      <c r="T7130" s="11"/>
    </row>
    <row r="7131" spans="8:20" x14ac:dyDescent="0.35">
      <c r="H7131" s="711"/>
      <c r="I7131" s="711"/>
      <c r="J7131" s="711"/>
      <c r="K7131" s="711"/>
      <c r="L7131" s="711"/>
      <c r="Q7131" s="11"/>
      <c r="R7131" s="11"/>
      <c r="S7131" s="11"/>
      <c r="T7131" s="11"/>
    </row>
    <row r="7132" spans="8:20" x14ac:dyDescent="0.35">
      <c r="H7132" s="711"/>
      <c r="I7132" s="711"/>
      <c r="J7132" s="711"/>
      <c r="K7132" s="711"/>
      <c r="L7132" s="711"/>
      <c r="Q7132" s="11"/>
      <c r="R7132" s="11"/>
      <c r="S7132" s="11"/>
      <c r="T7132" s="11"/>
    </row>
    <row r="7133" spans="8:20" x14ac:dyDescent="0.35">
      <c r="H7133" s="711"/>
      <c r="I7133" s="711"/>
      <c r="J7133" s="711"/>
      <c r="K7133" s="711"/>
      <c r="L7133" s="711"/>
      <c r="Q7133" s="11"/>
      <c r="R7133" s="11"/>
      <c r="S7133" s="11"/>
      <c r="T7133" s="11"/>
    </row>
    <row r="7134" spans="8:20" x14ac:dyDescent="0.35">
      <c r="H7134" s="711"/>
      <c r="I7134" s="711"/>
      <c r="J7134" s="711"/>
      <c r="K7134" s="711"/>
      <c r="L7134" s="711"/>
      <c r="Q7134" s="11"/>
      <c r="R7134" s="11"/>
      <c r="S7134" s="11"/>
      <c r="T7134" s="11"/>
    </row>
    <row r="7135" spans="8:20" x14ac:dyDescent="0.35">
      <c r="H7135" s="711"/>
      <c r="I7135" s="711"/>
      <c r="J7135" s="711"/>
      <c r="K7135" s="711"/>
      <c r="L7135" s="711"/>
      <c r="Q7135" s="11"/>
      <c r="R7135" s="11"/>
      <c r="S7135" s="11"/>
      <c r="T7135" s="11"/>
    </row>
    <row r="7136" spans="8:20" x14ac:dyDescent="0.35">
      <c r="H7136" s="711"/>
      <c r="I7136" s="711"/>
      <c r="J7136" s="711"/>
      <c r="K7136" s="711"/>
      <c r="L7136" s="711"/>
      <c r="Q7136" s="11"/>
      <c r="R7136" s="11"/>
      <c r="S7136" s="11"/>
      <c r="T7136" s="11"/>
    </row>
    <row r="7137" spans="8:20" x14ac:dyDescent="0.35">
      <c r="H7137" s="711"/>
      <c r="I7137" s="711"/>
      <c r="J7137" s="711"/>
      <c r="K7137" s="711"/>
      <c r="L7137" s="711"/>
      <c r="Q7137" s="11"/>
      <c r="R7137" s="11"/>
      <c r="S7137" s="11"/>
      <c r="T7137" s="11"/>
    </row>
    <row r="7138" spans="8:20" x14ac:dyDescent="0.35">
      <c r="H7138" s="711"/>
      <c r="I7138" s="711"/>
      <c r="J7138" s="711"/>
      <c r="K7138" s="711"/>
      <c r="L7138" s="711"/>
      <c r="Q7138" s="11"/>
      <c r="R7138" s="11"/>
      <c r="S7138" s="11"/>
      <c r="T7138" s="11"/>
    </row>
    <row r="7139" spans="8:20" x14ac:dyDescent="0.35">
      <c r="H7139" s="711"/>
      <c r="I7139" s="711"/>
      <c r="J7139" s="711"/>
      <c r="K7139" s="711"/>
      <c r="L7139" s="711"/>
      <c r="Q7139" s="11"/>
      <c r="R7139" s="11"/>
      <c r="S7139" s="11"/>
      <c r="T7139" s="11"/>
    </row>
    <row r="7140" spans="8:20" x14ac:dyDescent="0.35">
      <c r="H7140" s="711"/>
      <c r="I7140" s="711"/>
      <c r="J7140" s="711"/>
      <c r="K7140" s="711"/>
      <c r="L7140" s="711"/>
      <c r="Q7140" s="11"/>
      <c r="R7140" s="11"/>
      <c r="S7140" s="11"/>
      <c r="T7140" s="11"/>
    </row>
    <row r="7141" spans="8:20" x14ac:dyDescent="0.35">
      <c r="H7141" s="711"/>
      <c r="I7141" s="711"/>
      <c r="J7141" s="711"/>
      <c r="K7141" s="711"/>
      <c r="L7141" s="711"/>
      <c r="Q7141" s="11"/>
      <c r="R7141" s="11"/>
      <c r="S7141" s="11"/>
      <c r="T7141" s="11"/>
    </row>
    <row r="7142" spans="8:20" x14ac:dyDescent="0.35">
      <c r="H7142" s="711"/>
      <c r="I7142" s="711"/>
      <c r="J7142" s="711"/>
      <c r="K7142" s="711"/>
      <c r="L7142" s="711"/>
      <c r="Q7142" s="11"/>
      <c r="R7142" s="11"/>
      <c r="S7142" s="11"/>
      <c r="T7142" s="11"/>
    </row>
    <row r="7143" spans="8:20" x14ac:dyDescent="0.35">
      <c r="H7143" s="711"/>
      <c r="I7143" s="711"/>
      <c r="J7143" s="711"/>
      <c r="K7143" s="711"/>
      <c r="L7143" s="711"/>
      <c r="Q7143" s="11"/>
      <c r="R7143" s="11"/>
      <c r="S7143" s="11"/>
      <c r="T7143" s="11"/>
    </row>
    <row r="7144" spans="8:20" x14ac:dyDescent="0.35">
      <c r="H7144" s="711"/>
      <c r="I7144" s="711"/>
      <c r="J7144" s="711"/>
      <c r="K7144" s="711"/>
      <c r="L7144" s="711"/>
      <c r="Q7144" s="11"/>
      <c r="R7144" s="11"/>
      <c r="S7144" s="11"/>
      <c r="T7144" s="11"/>
    </row>
    <row r="7145" spans="8:20" x14ac:dyDescent="0.35">
      <c r="H7145" s="711"/>
      <c r="I7145" s="711"/>
      <c r="J7145" s="711"/>
      <c r="K7145" s="711"/>
      <c r="L7145" s="711"/>
      <c r="Q7145" s="11"/>
      <c r="R7145" s="11"/>
      <c r="S7145" s="11"/>
      <c r="T7145" s="11"/>
    </row>
    <row r="7146" spans="8:20" x14ac:dyDescent="0.35">
      <c r="H7146" s="711"/>
      <c r="I7146" s="711"/>
      <c r="J7146" s="711"/>
      <c r="K7146" s="711"/>
      <c r="L7146" s="711"/>
      <c r="Q7146" s="11"/>
      <c r="R7146" s="11"/>
      <c r="S7146" s="11"/>
      <c r="T7146" s="11"/>
    </row>
    <row r="7147" spans="8:20" x14ac:dyDescent="0.35">
      <c r="H7147" s="711"/>
      <c r="I7147" s="711"/>
      <c r="J7147" s="711"/>
      <c r="K7147" s="711"/>
      <c r="L7147" s="711"/>
      <c r="Q7147" s="11"/>
      <c r="R7147" s="11"/>
      <c r="S7147" s="11"/>
      <c r="T7147" s="11"/>
    </row>
    <row r="7148" spans="8:20" x14ac:dyDescent="0.35">
      <c r="H7148" s="711"/>
      <c r="I7148" s="711"/>
      <c r="J7148" s="711"/>
      <c r="K7148" s="711"/>
      <c r="L7148" s="711"/>
      <c r="Q7148" s="11"/>
      <c r="R7148" s="11"/>
      <c r="S7148" s="11"/>
      <c r="T7148" s="11"/>
    </row>
    <row r="7149" spans="8:20" x14ac:dyDescent="0.35">
      <c r="H7149" s="711"/>
      <c r="I7149" s="711"/>
      <c r="J7149" s="711"/>
      <c r="K7149" s="711"/>
      <c r="L7149" s="711"/>
      <c r="Q7149" s="11"/>
      <c r="R7149" s="11"/>
      <c r="S7149" s="11"/>
      <c r="T7149" s="11"/>
    </row>
    <row r="7150" spans="8:20" x14ac:dyDescent="0.35">
      <c r="H7150" s="711"/>
      <c r="I7150" s="711"/>
      <c r="J7150" s="711"/>
      <c r="K7150" s="711"/>
      <c r="L7150" s="711"/>
      <c r="Q7150" s="11"/>
      <c r="R7150" s="11"/>
      <c r="S7150" s="11"/>
      <c r="T7150" s="11"/>
    </row>
    <row r="7151" spans="8:20" x14ac:dyDescent="0.35">
      <c r="H7151" s="711"/>
      <c r="I7151" s="711"/>
      <c r="J7151" s="711"/>
      <c r="K7151" s="711"/>
      <c r="L7151" s="711"/>
      <c r="Q7151" s="11"/>
      <c r="R7151" s="11"/>
      <c r="S7151" s="11"/>
      <c r="T7151" s="11"/>
    </row>
    <row r="7152" spans="8:20" x14ac:dyDescent="0.35">
      <c r="H7152" s="711"/>
      <c r="I7152" s="711"/>
      <c r="J7152" s="711"/>
      <c r="K7152" s="711"/>
      <c r="L7152" s="711"/>
      <c r="Q7152" s="11"/>
      <c r="R7152" s="11"/>
      <c r="S7152" s="11"/>
      <c r="T7152" s="11"/>
    </row>
    <row r="7153" spans="8:20" x14ac:dyDescent="0.35">
      <c r="H7153" s="711"/>
      <c r="I7153" s="711"/>
      <c r="J7153" s="711"/>
      <c r="K7153" s="711"/>
      <c r="L7153" s="711"/>
      <c r="Q7153" s="11"/>
      <c r="R7153" s="11"/>
      <c r="S7153" s="11"/>
      <c r="T7153" s="11"/>
    </row>
    <row r="7154" spans="8:20" x14ac:dyDescent="0.35">
      <c r="H7154" s="711"/>
      <c r="I7154" s="711"/>
      <c r="J7154" s="711"/>
      <c r="K7154" s="711"/>
      <c r="L7154" s="711"/>
      <c r="Q7154" s="11"/>
      <c r="R7154" s="11"/>
      <c r="S7154" s="11"/>
      <c r="T7154" s="11"/>
    </row>
    <row r="7155" spans="8:20" x14ac:dyDescent="0.35">
      <c r="H7155" s="711"/>
      <c r="I7155" s="711"/>
      <c r="J7155" s="711"/>
      <c r="K7155" s="711"/>
      <c r="L7155" s="711"/>
      <c r="Q7155" s="11"/>
      <c r="R7155" s="11"/>
      <c r="S7155" s="11"/>
      <c r="T7155" s="11"/>
    </row>
    <row r="7156" spans="8:20" x14ac:dyDescent="0.35">
      <c r="H7156" s="711"/>
      <c r="I7156" s="711"/>
      <c r="J7156" s="711"/>
      <c r="K7156" s="711"/>
      <c r="L7156" s="711"/>
      <c r="Q7156" s="11"/>
      <c r="R7156" s="11"/>
      <c r="S7156" s="11"/>
      <c r="T7156" s="11"/>
    </row>
    <row r="7157" spans="8:20" x14ac:dyDescent="0.35">
      <c r="H7157" s="711"/>
      <c r="I7157" s="711"/>
      <c r="J7157" s="711"/>
      <c r="K7157" s="711"/>
      <c r="L7157" s="711"/>
      <c r="Q7157" s="11"/>
      <c r="R7157" s="11"/>
      <c r="S7157" s="11"/>
      <c r="T7157" s="11"/>
    </row>
    <row r="7158" spans="8:20" x14ac:dyDescent="0.35">
      <c r="H7158" s="711"/>
      <c r="I7158" s="711"/>
      <c r="J7158" s="711"/>
      <c r="K7158" s="711"/>
      <c r="L7158" s="711"/>
      <c r="Q7158" s="11"/>
      <c r="R7158" s="11"/>
      <c r="S7158" s="11"/>
      <c r="T7158" s="11"/>
    </row>
    <row r="7159" spans="8:20" x14ac:dyDescent="0.35">
      <c r="H7159" s="711"/>
      <c r="I7159" s="711"/>
      <c r="J7159" s="711"/>
      <c r="K7159" s="711"/>
      <c r="L7159" s="711"/>
      <c r="Q7159" s="11"/>
      <c r="R7159" s="11"/>
      <c r="S7159" s="11"/>
      <c r="T7159" s="11"/>
    </row>
    <row r="7160" spans="8:20" x14ac:dyDescent="0.35">
      <c r="H7160" s="711"/>
      <c r="I7160" s="711"/>
      <c r="J7160" s="711"/>
      <c r="K7160" s="711"/>
      <c r="L7160" s="711"/>
      <c r="Q7160" s="11"/>
      <c r="R7160" s="11"/>
      <c r="S7160" s="11"/>
      <c r="T7160" s="11"/>
    </row>
    <row r="7161" spans="8:20" x14ac:dyDescent="0.35">
      <c r="H7161" s="711"/>
      <c r="I7161" s="711"/>
      <c r="J7161" s="711"/>
      <c r="K7161" s="711"/>
      <c r="L7161" s="711"/>
      <c r="Q7161" s="11"/>
      <c r="R7161" s="11"/>
      <c r="S7161" s="11"/>
      <c r="T7161" s="11"/>
    </row>
    <row r="7162" spans="8:20" x14ac:dyDescent="0.35">
      <c r="H7162" s="711"/>
      <c r="I7162" s="711"/>
      <c r="J7162" s="711"/>
      <c r="K7162" s="711"/>
      <c r="L7162" s="711"/>
      <c r="Q7162" s="11"/>
      <c r="R7162" s="11"/>
      <c r="S7162" s="11"/>
      <c r="T7162" s="11"/>
    </row>
    <row r="7163" spans="8:20" x14ac:dyDescent="0.35">
      <c r="H7163" s="711"/>
      <c r="I7163" s="711"/>
      <c r="J7163" s="711"/>
      <c r="K7163" s="711"/>
      <c r="L7163" s="711"/>
      <c r="Q7163" s="11"/>
      <c r="R7163" s="11"/>
      <c r="S7163" s="11"/>
      <c r="T7163" s="11"/>
    </row>
    <row r="7164" spans="8:20" x14ac:dyDescent="0.35">
      <c r="H7164" s="711"/>
      <c r="I7164" s="711"/>
      <c r="J7164" s="711"/>
      <c r="K7164" s="711"/>
      <c r="L7164" s="711"/>
      <c r="Q7164" s="11"/>
      <c r="R7164" s="11"/>
      <c r="S7164" s="11"/>
      <c r="T7164" s="11"/>
    </row>
    <row r="7165" spans="8:20" x14ac:dyDescent="0.35">
      <c r="H7165" s="711"/>
      <c r="I7165" s="711"/>
      <c r="J7165" s="711"/>
      <c r="K7165" s="711"/>
      <c r="L7165" s="711"/>
      <c r="Q7165" s="11"/>
      <c r="R7165" s="11"/>
      <c r="S7165" s="11"/>
      <c r="T7165" s="11"/>
    </row>
    <row r="7166" spans="8:20" x14ac:dyDescent="0.35">
      <c r="H7166" s="711"/>
      <c r="I7166" s="711"/>
      <c r="J7166" s="711"/>
      <c r="K7166" s="711"/>
      <c r="L7166" s="711"/>
      <c r="Q7166" s="11"/>
      <c r="R7166" s="11"/>
      <c r="S7166" s="11"/>
      <c r="T7166" s="11"/>
    </row>
    <row r="7167" spans="8:20" x14ac:dyDescent="0.35">
      <c r="H7167" s="711"/>
      <c r="I7167" s="711"/>
      <c r="J7167" s="711"/>
      <c r="K7167" s="711"/>
      <c r="L7167" s="711"/>
      <c r="Q7167" s="11"/>
      <c r="R7167" s="11"/>
      <c r="S7167" s="11"/>
      <c r="T7167" s="11"/>
    </row>
    <row r="7168" spans="8:20" x14ac:dyDescent="0.35">
      <c r="H7168" s="711"/>
      <c r="I7168" s="711"/>
      <c r="J7168" s="711"/>
      <c r="K7168" s="711"/>
      <c r="L7168" s="711"/>
      <c r="Q7168" s="11"/>
      <c r="R7168" s="11"/>
      <c r="S7168" s="11"/>
      <c r="T7168" s="11"/>
    </row>
    <row r="7169" spans="8:20" x14ac:dyDescent="0.35">
      <c r="H7169" s="711"/>
      <c r="I7169" s="711"/>
      <c r="J7169" s="711"/>
      <c r="K7169" s="711"/>
      <c r="L7169" s="711"/>
      <c r="Q7169" s="11"/>
      <c r="R7169" s="11"/>
      <c r="S7169" s="11"/>
      <c r="T7169" s="11"/>
    </row>
    <row r="7170" spans="8:20" x14ac:dyDescent="0.35">
      <c r="H7170" s="711"/>
      <c r="I7170" s="711"/>
      <c r="J7170" s="711"/>
      <c r="K7170" s="711"/>
      <c r="L7170" s="711"/>
      <c r="Q7170" s="11"/>
      <c r="R7170" s="11"/>
      <c r="S7170" s="11"/>
      <c r="T7170" s="11"/>
    </row>
    <row r="7171" spans="8:20" x14ac:dyDescent="0.35">
      <c r="H7171" s="711"/>
      <c r="I7171" s="711"/>
      <c r="J7171" s="711"/>
      <c r="K7171" s="711"/>
      <c r="L7171" s="711"/>
      <c r="Q7171" s="11"/>
      <c r="R7171" s="11"/>
      <c r="S7171" s="11"/>
      <c r="T7171" s="11"/>
    </row>
    <row r="7172" spans="8:20" x14ac:dyDescent="0.35">
      <c r="H7172" s="711"/>
      <c r="I7172" s="711"/>
      <c r="J7172" s="711"/>
      <c r="K7172" s="711"/>
      <c r="L7172" s="711"/>
      <c r="Q7172" s="11"/>
      <c r="R7172" s="11"/>
      <c r="S7172" s="11"/>
      <c r="T7172" s="11"/>
    </row>
    <row r="7173" spans="8:20" x14ac:dyDescent="0.35">
      <c r="H7173" s="711"/>
      <c r="I7173" s="711"/>
      <c r="J7173" s="711"/>
      <c r="K7173" s="711"/>
      <c r="L7173" s="711"/>
      <c r="Q7173" s="11"/>
      <c r="R7173" s="11"/>
      <c r="S7173" s="11"/>
      <c r="T7173" s="11"/>
    </row>
    <row r="7174" spans="8:20" x14ac:dyDescent="0.35">
      <c r="H7174" s="711"/>
      <c r="I7174" s="711"/>
      <c r="J7174" s="711"/>
      <c r="K7174" s="711"/>
      <c r="L7174" s="711"/>
      <c r="Q7174" s="11"/>
      <c r="R7174" s="11"/>
      <c r="S7174" s="11"/>
      <c r="T7174" s="11"/>
    </row>
    <row r="7175" spans="8:20" x14ac:dyDescent="0.35">
      <c r="H7175" s="711"/>
      <c r="I7175" s="711"/>
      <c r="J7175" s="711"/>
      <c r="K7175" s="711"/>
      <c r="L7175" s="711"/>
      <c r="Q7175" s="11"/>
      <c r="R7175" s="11"/>
      <c r="S7175" s="11"/>
      <c r="T7175" s="11"/>
    </row>
    <row r="7176" spans="8:20" x14ac:dyDescent="0.35">
      <c r="H7176" s="711"/>
      <c r="I7176" s="711"/>
      <c r="J7176" s="711"/>
      <c r="K7176" s="711"/>
      <c r="L7176" s="711"/>
      <c r="Q7176" s="11"/>
      <c r="R7176" s="11"/>
      <c r="S7176" s="11"/>
      <c r="T7176" s="11"/>
    </row>
    <row r="7177" spans="8:20" x14ac:dyDescent="0.35">
      <c r="H7177" s="711"/>
      <c r="I7177" s="711"/>
      <c r="J7177" s="711"/>
      <c r="K7177" s="711"/>
      <c r="L7177" s="711"/>
      <c r="Q7177" s="11"/>
      <c r="R7177" s="11"/>
      <c r="S7177" s="11"/>
      <c r="T7177" s="11"/>
    </row>
    <row r="7178" spans="8:20" x14ac:dyDescent="0.35">
      <c r="H7178" s="711"/>
      <c r="I7178" s="711"/>
      <c r="J7178" s="711"/>
      <c r="K7178" s="711"/>
      <c r="L7178" s="711"/>
      <c r="Q7178" s="11"/>
      <c r="R7178" s="11"/>
      <c r="S7178" s="11"/>
      <c r="T7178" s="11"/>
    </row>
    <row r="7179" spans="8:20" x14ac:dyDescent="0.35">
      <c r="H7179" s="711"/>
      <c r="I7179" s="711"/>
      <c r="J7179" s="711"/>
      <c r="K7179" s="711"/>
      <c r="L7179" s="711"/>
      <c r="Q7179" s="11"/>
      <c r="R7179" s="11"/>
      <c r="S7179" s="11"/>
      <c r="T7179" s="11"/>
    </row>
    <row r="7180" spans="8:20" x14ac:dyDescent="0.35">
      <c r="H7180" s="711"/>
      <c r="I7180" s="711"/>
      <c r="J7180" s="711"/>
      <c r="K7180" s="711"/>
      <c r="L7180" s="711"/>
      <c r="Q7180" s="11"/>
      <c r="R7180" s="11"/>
      <c r="S7180" s="11"/>
      <c r="T7180" s="11"/>
    </row>
    <row r="7181" spans="8:20" x14ac:dyDescent="0.35">
      <c r="H7181" s="711"/>
      <c r="I7181" s="711"/>
      <c r="J7181" s="711"/>
      <c r="K7181" s="711"/>
      <c r="L7181" s="711"/>
      <c r="Q7181" s="11"/>
      <c r="R7181" s="11"/>
      <c r="S7181" s="11"/>
      <c r="T7181" s="11"/>
    </row>
    <row r="7182" spans="8:20" x14ac:dyDescent="0.35">
      <c r="H7182" s="711"/>
      <c r="I7182" s="711"/>
      <c r="J7182" s="711"/>
      <c r="K7182" s="711"/>
      <c r="L7182" s="711"/>
      <c r="Q7182" s="11"/>
      <c r="R7182" s="11"/>
      <c r="S7182" s="11"/>
      <c r="T7182" s="11"/>
    </row>
    <row r="7183" spans="8:20" x14ac:dyDescent="0.35">
      <c r="H7183" s="711"/>
      <c r="I7183" s="711"/>
      <c r="J7183" s="711"/>
      <c r="K7183" s="711"/>
      <c r="L7183" s="711"/>
      <c r="Q7183" s="11"/>
      <c r="R7183" s="11"/>
      <c r="S7183" s="11"/>
      <c r="T7183" s="11"/>
    </row>
    <row r="7184" spans="8:20" x14ac:dyDescent="0.35">
      <c r="H7184" s="711"/>
      <c r="I7184" s="711"/>
      <c r="J7184" s="711"/>
      <c r="K7184" s="711"/>
      <c r="L7184" s="711"/>
      <c r="Q7184" s="11"/>
      <c r="R7184" s="11"/>
      <c r="S7184" s="11"/>
      <c r="T7184" s="11"/>
    </row>
    <row r="7185" spans="8:20" x14ac:dyDescent="0.35">
      <c r="H7185" s="711"/>
      <c r="I7185" s="711"/>
      <c r="J7185" s="711"/>
      <c r="K7185" s="711"/>
      <c r="L7185" s="711"/>
      <c r="Q7185" s="11"/>
      <c r="R7185" s="11"/>
      <c r="S7185" s="11"/>
      <c r="T7185" s="11"/>
    </row>
    <row r="7186" spans="8:20" x14ac:dyDescent="0.35">
      <c r="H7186" s="711"/>
      <c r="I7186" s="711"/>
      <c r="J7186" s="711"/>
      <c r="K7186" s="711"/>
      <c r="L7186" s="711"/>
      <c r="Q7186" s="11"/>
      <c r="R7186" s="11"/>
      <c r="S7186" s="11"/>
      <c r="T7186" s="11"/>
    </row>
    <row r="7187" spans="8:20" x14ac:dyDescent="0.35">
      <c r="H7187" s="711"/>
      <c r="I7187" s="711"/>
      <c r="J7187" s="711"/>
      <c r="K7187" s="711"/>
      <c r="L7187" s="711"/>
      <c r="Q7187" s="11"/>
      <c r="R7187" s="11"/>
      <c r="S7187" s="11"/>
      <c r="T7187" s="11"/>
    </row>
    <row r="7188" spans="8:20" x14ac:dyDescent="0.35">
      <c r="H7188" s="711"/>
      <c r="I7188" s="711"/>
      <c r="J7188" s="711"/>
      <c r="K7188" s="711"/>
      <c r="L7188" s="711"/>
      <c r="Q7188" s="11"/>
      <c r="R7188" s="11"/>
      <c r="S7188" s="11"/>
      <c r="T7188" s="11"/>
    </row>
    <row r="7189" spans="8:20" x14ac:dyDescent="0.35">
      <c r="H7189" s="711"/>
      <c r="I7189" s="711"/>
      <c r="J7189" s="711"/>
      <c r="K7189" s="711"/>
      <c r="L7189" s="711"/>
      <c r="Q7189" s="11"/>
      <c r="R7189" s="11"/>
      <c r="S7189" s="11"/>
      <c r="T7189" s="11"/>
    </row>
    <row r="7190" spans="8:20" x14ac:dyDescent="0.35">
      <c r="H7190" s="711"/>
      <c r="I7190" s="711"/>
      <c r="J7190" s="711"/>
      <c r="K7190" s="711"/>
      <c r="L7190" s="711"/>
      <c r="Q7190" s="11"/>
      <c r="R7190" s="11"/>
      <c r="S7190" s="11"/>
      <c r="T7190" s="11"/>
    </row>
    <row r="7191" spans="8:20" x14ac:dyDescent="0.35">
      <c r="H7191" s="711"/>
      <c r="I7191" s="711"/>
      <c r="J7191" s="711"/>
      <c r="K7191" s="711"/>
      <c r="L7191" s="711"/>
      <c r="Q7191" s="11"/>
      <c r="R7191" s="11"/>
      <c r="S7191" s="11"/>
      <c r="T7191" s="11"/>
    </row>
    <row r="7192" spans="8:20" x14ac:dyDescent="0.35">
      <c r="H7192" s="711"/>
      <c r="I7192" s="711"/>
      <c r="J7192" s="711"/>
      <c r="K7192" s="711"/>
      <c r="L7192" s="711"/>
      <c r="Q7192" s="11"/>
      <c r="R7192" s="11"/>
      <c r="S7192" s="11"/>
      <c r="T7192" s="11"/>
    </row>
    <row r="7193" spans="8:20" x14ac:dyDescent="0.35">
      <c r="H7193" s="711"/>
      <c r="I7193" s="711"/>
      <c r="J7193" s="711"/>
      <c r="K7193" s="711"/>
      <c r="L7193" s="711"/>
      <c r="Q7193" s="11"/>
      <c r="R7193" s="11"/>
      <c r="S7193" s="11"/>
      <c r="T7193" s="11"/>
    </row>
    <row r="7194" spans="8:20" x14ac:dyDescent="0.35">
      <c r="H7194" s="711"/>
      <c r="I7194" s="711"/>
      <c r="J7194" s="711"/>
      <c r="K7194" s="711"/>
      <c r="L7194" s="711"/>
      <c r="Q7194" s="11"/>
      <c r="R7194" s="11"/>
      <c r="S7194" s="11"/>
      <c r="T7194" s="11"/>
    </row>
    <row r="7195" spans="8:20" x14ac:dyDescent="0.35">
      <c r="H7195" s="711"/>
      <c r="I7195" s="711"/>
      <c r="J7195" s="711"/>
      <c r="K7195" s="711"/>
      <c r="L7195" s="711"/>
      <c r="Q7195" s="11"/>
      <c r="R7195" s="11"/>
      <c r="S7195" s="11"/>
      <c r="T7195" s="11"/>
    </row>
    <row r="7196" spans="8:20" x14ac:dyDescent="0.35">
      <c r="H7196" s="711"/>
      <c r="I7196" s="711"/>
      <c r="J7196" s="711"/>
      <c r="K7196" s="711"/>
      <c r="L7196" s="711"/>
      <c r="Q7196" s="11"/>
      <c r="R7196" s="11"/>
      <c r="S7196" s="11"/>
      <c r="T7196" s="11"/>
    </row>
    <row r="7197" spans="8:20" x14ac:dyDescent="0.35">
      <c r="H7197" s="711"/>
      <c r="I7197" s="711"/>
      <c r="J7197" s="711"/>
      <c r="K7197" s="711"/>
      <c r="L7197" s="711"/>
      <c r="Q7197" s="11"/>
      <c r="R7197" s="11"/>
      <c r="S7197" s="11"/>
      <c r="T7197" s="11"/>
    </row>
    <row r="7198" spans="8:20" x14ac:dyDescent="0.35">
      <c r="H7198" s="711"/>
      <c r="I7198" s="711"/>
      <c r="J7198" s="711"/>
      <c r="K7198" s="711"/>
      <c r="L7198" s="711"/>
      <c r="Q7198" s="11"/>
      <c r="R7198" s="11"/>
      <c r="S7198" s="11"/>
      <c r="T7198" s="11"/>
    </row>
    <row r="7199" spans="8:20" x14ac:dyDescent="0.35">
      <c r="H7199" s="711"/>
      <c r="I7199" s="711"/>
      <c r="J7199" s="711"/>
      <c r="K7199" s="711"/>
      <c r="L7199" s="711"/>
      <c r="Q7199" s="11"/>
      <c r="R7199" s="11"/>
      <c r="S7199" s="11"/>
      <c r="T7199" s="11"/>
    </row>
    <row r="7200" spans="8:20" x14ac:dyDescent="0.35">
      <c r="H7200" s="711"/>
      <c r="I7200" s="711"/>
      <c r="J7200" s="711"/>
      <c r="K7200" s="711"/>
      <c r="L7200" s="711"/>
      <c r="Q7200" s="11"/>
      <c r="R7200" s="11"/>
      <c r="S7200" s="11"/>
      <c r="T7200" s="11"/>
    </row>
    <row r="7201" spans="8:20" x14ac:dyDescent="0.35">
      <c r="H7201" s="711"/>
      <c r="I7201" s="711"/>
      <c r="J7201" s="711"/>
      <c r="K7201" s="711"/>
      <c r="L7201" s="711"/>
      <c r="Q7201" s="11"/>
      <c r="R7201" s="11"/>
      <c r="S7201" s="11"/>
      <c r="T7201" s="11"/>
    </row>
    <row r="7202" spans="8:20" x14ac:dyDescent="0.35">
      <c r="H7202" s="711"/>
      <c r="I7202" s="711"/>
      <c r="J7202" s="711"/>
      <c r="K7202" s="711"/>
      <c r="L7202" s="711"/>
      <c r="Q7202" s="11"/>
      <c r="R7202" s="11"/>
      <c r="S7202" s="11"/>
      <c r="T7202" s="11"/>
    </row>
    <row r="7203" spans="8:20" x14ac:dyDescent="0.35">
      <c r="H7203" s="711"/>
      <c r="I7203" s="711"/>
      <c r="J7203" s="711"/>
      <c r="K7203" s="711"/>
      <c r="L7203" s="711"/>
      <c r="Q7203" s="11"/>
      <c r="R7203" s="11"/>
      <c r="S7203" s="11"/>
      <c r="T7203" s="11"/>
    </row>
    <row r="7204" spans="8:20" x14ac:dyDescent="0.35">
      <c r="H7204" s="711"/>
      <c r="I7204" s="711"/>
      <c r="J7204" s="711"/>
      <c r="K7204" s="711"/>
      <c r="L7204" s="711"/>
      <c r="Q7204" s="11"/>
      <c r="R7204" s="11"/>
      <c r="S7204" s="11"/>
      <c r="T7204" s="11"/>
    </row>
    <row r="7205" spans="8:20" x14ac:dyDescent="0.35">
      <c r="H7205" s="711"/>
      <c r="I7205" s="711"/>
      <c r="J7205" s="711"/>
      <c r="K7205" s="711"/>
      <c r="L7205" s="711"/>
      <c r="Q7205" s="11"/>
      <c r="R7205" s="11"/>
      <c r="S7205" s="11"/>
      <c r="T7205" s="11"/>
    </row>
    <row r="7206" spans="8:20" x14ac:dyDescent="0.35">
      <c r="H7206" s="711"/>
      <c r="I7206" s="711"/>
      <c r="J7206" s="711"/>
      <c r="K7206" s="711"/>
      <c r="L7206" s="711"/>
      <c r="Q7206" s="11"/>
      <c r="R7206" s="11"/>
      <c r="S7206" s="11"/>
      <c r="T7206" s="11"/>
    </row>
    <row r="7207" spans="8:20" x14ac:dyDescent="0.35">
      <c r="H7207" s="711"/>
      <c r="I7207" s="711"/>
      <c r="J7207" s="711"/>
      <c r="K7207" s="711"/>
      <c r="L7207" s="711"/>
      <c r="Q7207" s="11"/>
      <c r="R7207" s="11"/>
      <c r="S7207" s="11"/>
      <c r="T7207" s="11"/>
    </row>
    <row r="7208" spans="8:20" x14ac:dyDescent="0.35">
      <c r="H7208" s="711"/>
      <c r="I7208" s="711"/>
      <c r="J7208" s="711"/>
      <c r="K7208" s="711"/>
      <c r="L7208" s="711"/>
      <c r="Q7208" s="11"/>
      <c r="R7208" s="11"/>
      <c r="S7208" s="11"/>
      <c r="T7208" s="11"/>
    </row>
    <row r="7209" spans="8:20" x14ac:dyDescent="0.35">
      <c r="H7209" s="711"/>
      <c r="I7209" s="711"/>
      <c r="J7209" s="711"/>
      <c r="K7209" s="711"/>
      <c r="L7209" s="711"/>
      <c r="Q7209" s="11"/>
      <c r="R7209" s="11"/>
      <c r="S7209" s="11"/>
      <c r="T7209" s="11"/>
    </row>
    <row r="7210" spans="8:20" x14ac:dyDescent="0.35">
      <c r="H7210" s="711"/>
      <c r="I7210" s="711"/>
      <c r="J7210" s="711"/>
      <c r="K7210" s="711"/>
      <c r="L7210" s="711"/>
      <c r="Q7210" s="11"/>
      <c r="R7210" s="11"/>
      <c r="S7210" s="11"/>
      <c r="T7210" s="11"/>
    </row>
    <row r="7211" spans="8:20" x14ac:dyDescent="0.35">
      <c r="H7211" s="711"/>
      <c r="I7211" s="711"/>
      <c r="J7211" s="711"/>
      <c r="K7211" s="711"/>
      <c r="L7211" s="711"/>
      <c r="Q7211" s="11"/>
      <c r="R7211" s="11"/>
      <c r="S7211" s="11"/>
      <c r="T7211" s="11"/>
    </row>
    <row r="7212" spans="8:20" x14ac:dyDescent="0.35">
      <c r="H7212" s="711"/>
      <c r="I7212" s="711"/>
      <c r="J7212" s="711"/>
      <c r="K7212" s="711"/>
      <c r="L7212" s="711"/>
      <c r="Q7212" s="11"/>
      <c r="R7212" s="11"/>
      <c r="S7212" s="11"/>
      <c r="T7212" s="11"/>
    </row>
    <row r="7213" spans="8:20" x14ac:dyDescent="0.35">
      <c r="H7213" s="711"/>
      <c r="I7213" s="711"/>
      <c r="J7213" s="711"/>
      <c r="K7213" s="711"/>
      <c r="L7213" s="711"/>
      <c r="Q7213" s="11"/>
      <c r="R7213" s="11"/>
      <c r="S7213" s="11"/>
      <c r="T7213" s="11"/>
    </row>
    <row r="7214" spans="8:20" x14ac:dyDescent="0.35">
      <c r="H7214" s="711"/>
      <c r="I7214" s="711"/>
      <c r="J7214" s="711"/>
      <c r="K7214" s="711"/>
      <c r="L7214" s="711"/>
      <c r="Q7214" s="11"/>
      <c r="R7214" s="11"/>
      <c r="S7214" s="11"/>
      <c r="T7214" s="11"/>
    </row>
    <row r="7215" spans="8:20" x14ac:dyDescent="0.35">
      <c r="H7215" s="711"/>
      <c r="I7215" s="711"/>
      <c r="J7215" s="711"/>
      <c r="K7215" s="711"/>
      <c r="L7215" s="711"/>
      <c r="Q7215" s="11"/>
      <c r="R7215" s="11"/>
      <c r="S7215" s="11"/>
      <c r="T7215" s="11"/>
    </row>
    <row r="7216" spans="8:20" x14ac:dyDescent="0.35">
      <c r="H7216" s="711"/>
      <c r="I7216" s="711"/>
      <c r="J7216" s="711"/>
      <c r="K7216" s="711"/>
      <c r="L7216" s="711"/>
      <c r="Q7216" s="11"/>
      <c r="R7216" s="11"/>
      <c r="S7216" s="11"/>
      <c r="T7216" s="11"/>
    </row>
    <row r="7217" spans="8:20" x14ac:dyDescent="0.35">
      <c r="H7217" s="711"/>
      <c r="I7217" s="711"/>
      <c r="J7217" s="711"/>
      <c r="K7217" s="711"/>
      <c r="L7217" s="711"/>
      <c r="Q7217" s="11"/>
      <c r="R7217" s="11"/>
      <c r="S7217" s="11"/>
      <c r="T7217" s="11"/>
    </row>
    <row r="7218" spans="8:20" x14ac:dyDescent="0.35">
      <c r="H7218" s="711"/>
      <c r="I7218" s="711"/>
      <c r="J7218" s="711"/>
      <c r="K7218" s="711"/>
      <c r="L7218" s="711"/>
      <c r="Q7218" s="11"/>
      <c r="R7218" s="11"/>
      <c r="S7218" s="11"/>
      <c r="T7218" s="11"/>
    </row>
    <row r="7219" spans="8:20" x14ac:dyDescent="0.35">
      <c r="H7219" s="711"/>
      <c r="I7219" s="711"/>
      <c r="J7219" s="711"/>
      <c r="K7219" s="711"/>
      <c r="L7219" s="711"/>
      <c r="Q7219" s="11"/>
      <c r="R7219" s="11"/>
      <c r="S7219" s="11"/>
      <c r="T7219" s="11"/>
    </row>
    <row r="7220" spans="8:20" x14ac:dyDescent="0.35">
      <c r="H7220" s="711"/>
      <c r="I7220" s="711"/>
      <c r="J7220" s="711"/>
      <c r="K7220" s="711"/>
      <c r="L7220" s="711"/>
      <c r="Q7220" s="11"/>
      <c r="R7220" s="11"/>
      <c r="S7220" s="11"/>
      <c r="T7220" s="11"/>
    </row>
    <row r="7221" spans="8:20" x14ac:dyDescent="0.35">
      <c r="H7221" s="711"/>
      <c r="I7221" s="711"/>
      <c r="J7221" s="711"/>
      <c r="K7221" s="711"/>
      <c r="L7221" s="711"/>
      <c r="Q7221" s="11"/>
      <c r="R7221" s="11"/>
      <c r="S7221" s="11"/>
      <c r="T7221" s="11"/>
    </row>
    <row r="7222" spans="8:20" x14ac:dyDescent="0.35">
      <c r="H7222" s="711"/>
      <c r="I7222" s="711"/>
      <c r="J7222" s="711"/>
      <c r="K7222" s="711"/>
      <c r="L7222" s="711"/>
      <c r="Q7222" s="11"/>
      <c r="R7222" s="11"/>
      <c r="S7222" s="11"/>
      <c r="T7222" s="11"/>
    </row>
    <row r="7223" spans="8:20" x14ac:dyDescent="0.35">
      <c r="H7223" s="711"/>
      <c r="I7223" s="711"/>
      <c r="J7223" s="711"/>
      <c r="K7223" s="711"/>
      <c r="L7223" s="711"/>
      <c r="Q7223" s="11"/>
      <c r="R7223" s="11"/>
      <c r="S7223" s="11"/>
      <c r="T7223" s="11"/>
    </row>
    <row r="7224" spans="8:20" x14ac:dyDescent="0.35">
      <c r="H7224" s="711"/>
      <c r="I7224" s="711"/>
      <c r="J7224" s="711"/>
      <c r="K7224" s="711"/>
      <c r="L7224" s="711"/>
      <c r="Q7224" s="11"/>
      <c r="R7224" s="11"/>
      <c r="S7224" s="11"/>
      <c r="T7224" s="11"/>
    </row>
    <row r="7225" spans="8:20" x14ac:dyDescent="0.35">
      <c r="H7225" s="711"/>
      <c r="I7225" s="711"/>
      <c r="J7225" s="711"/>
      <c r="K7225" s="711"/>
      <c r="L7225" s="711"/>
      <c r="Q7225" s="11"/>
      <c r="R7225" s="11"/>
      <c r="S7225" s="11"/>
      <c r="T7225" s="11"/>
    </row>
    <row r="7226" spans="8:20" x14ac:dyDescent="0.35">
      <c r="H7226" s="711"/>
      <c r="I7226" s="711"/>
      <c r="J7226" s="711"/>
      <c r="K7226" s="711"/>
      <c r="L7226" s="711"/>
      <c r="Q7226" s="11"/>
      <c r="R7226" s="11"/>
      <c r="S7226" s="11"/>
      <c r="T7226" s="11"/>
    </row>
    <row r="7227" spans="8:20" x14ac:dyDescent="0.35">
      <c r="H7227" s="711"/>
      <c r="I7227" s="711"/>
      <c r="J7227" s="711"/>
      <c r="K7227" s="711"/>
      <c r="L7227" s="711"/>
      <c r="Q7227" s="11"/>
      <c r="R7227" s="11"/>
      <c r="S7227" s="11"/>
      <c r="T7227" s="11"/>
    </row>
    <row r="7228" spans="8:20" x14ac:dyDescent="0.35">
      <c r="H7228" s="711"/>
      <c r="I7228" s="711"/>
      <c r="J7228" s="711"/>
      <c r="K7228" s="711"/>
      <c r="L7228" s="711"/>
      <c r="Q7228" s="11"/>
      <c r="R7228" s="11"/>
      <c r="S7228" s="11"/>
      <c r="T7228" s="11"/>
    </row>
    <row r="7229" spans="8:20" x14ac:dyDescent="0.35">
      <c r="H7229" s="711"/>
      <c r="I7229" s="711"/>
      <c r="J7229" s="711"/>
      <c r="K7229" s="711"/>
      <c r="L7229" s="711"/>
      <c r="Q7229" s="11"/>
      <c r="R7229" s="11"/>
      <c r="S7229" s="11"/>
      <c r="T7229" s="11"/>
    </row>
    <row r="7230" spans="8:20" x14ac:dyDescent="0.35">
      <c r="H7230" s="711"/>
      <c r="I7230" s="711"/>
      <c r="J7230" s="711"/>
      <c r="K7230" s="711"/>
      <c r="L7230" s="711"/>
      <c r="Q7230" s="11"/>
      <c r="R7230" s="11"/>
      <c r="S7230" s="11"/>
      <c r="T7230" s="11"/>
    </row>
    <row r="7231" spans="8:20" x14ac:dyDescent="0.35">
      <c r="H7231" s="711"/>
      <c r="I7231" s="711"/>
      <c r="J7231" s="711"/>
      <c r="K7231" s="711"/>
      <c r="L7231" s="711"/>
      <c r="Q7231" s="11"/>
      <c r="R7231" s="11"/>
      <c r="S7231" s="11"/>
      <c r="T7231" s="11"/>
    </row>
    <row r="7232" spans="8:20" x14ac:dyDescent="0.35">
      <c r="H7232" s="711"/>
      <c r="I7232" s="711"/>
      <c r="J7232" s="711"/>
      <c r="K7232" s="711"/>
      <c r="L7232" s="711"/>
      <c r="Q7232" s="11"/>
      <c r="R7232" s="11"/>
      <c r="S7232" s="11"/>
      <c r="T7232" s="11"/>
    </row>
    <row r="7233" spans="8:20" x14ac:dyDescent="0.35">
      <c r="H7233" s="711"/>
      <c r="I7233" s="711"/>
      <c r="J7233" s="711"/>
      <c r="K7233" s="711"/>
      <c r="L7233" s="711"/>
      <c r="Q7233" s="11"/>
      <c r="R7233" s="11"/>
      <c r="S7233" s="11"/>
      <c r="T7233" s="11"/>
    </row>
    <row r="7234" spans="8:20" x14ac:dyDescent="0.35">
      <c r="H7234" s="711"/>
      <c r="I7234" s="711"/>
      <c r="J7234" s="711"/>
      <c r="K7234" s="711"/>
      <c r="L7234" s="711"/>
      <c r="Q7234" s="11"/>
      <c r="R7234" s="11"/>
      <c r="S7234" s="11"/>
      <c r="T7234" s="11"/>
    </row>
    <row r="7235" spans="8:20" x14ac:dyDescent="0.35">
      <c r="H7235" s="711"/>
      <c r="I7235" s="711"/>
      <c r="J7235" s="711"/>
      <c r="K7235" s="711"/>
      <c r="L7235" s="711"/>
      <c r="Q7235" s="11"/>
      <c r="R7235" s="11"/>
      <c r="S7235" s="11"/>
      <c r="T7235" s="11"/>
    </row>
    <row r="7236" spans="8:20" x14ac:dyDescent="0.35">
      <c r="H7236" s="711"/>
      <c r="I7236" s="711"/>
      <c r="J7236" s="711"/>
      <c r="K7236" s="711"/>
      <c r="L7236" s="711"/>
      <c r="Q7236" s="11"/>
      <c r="R7236" s="11"/>
      <c r="S7236" s="11"/>
      <c r="T7236" s="11"/>
    </row>
    <row r="7237" spans="8:20" x14ac:dyDescent="0.35">
      <c r="H7237" s="711"/>
      <c r="I7237" s="711"/>
      <c r="J7237" s="711"/>
      <c r="K7237" s="711"/>
      <c r="L7237" s="711"/>
      <c r="Q7237" s="11"/>
      <c r="R7237" s="11"/>
      <c r="S7237" s="11"/>
      <c r="T7237" s="11"/>
    </row>
    <row r="7238" spans="8:20" x14ac:dyDescent="0.35">
      <c r="H7238" s="711"/>
      <c r="I7238" s="711"/>
      <c r="J7238" s="711"/>
      <c r="K7238" s="711"/>
      <c r="L7238" s="711"/>
      <c r="Q7238" s="11"/>
      <c r="R7238" s="11"/>
      <c r="S7238" s="11"/>
      <c r="T7238" s="11"/>
    </row>
    <row r="7239" spans="8:20" x14ac:dyDescent="0.35">
      <c r="H7239" s="711"/>
      <c r="I7239" s="711"/>
      <c r="J7239" s="711"/>
      <c r="K7239" s="711"/>
      <c r="L7239" s="711"/>
      <c r="Q7239" s="11"/>
      <c r="R7239" s="11"/>
      <c r="S7239" s="11"/>
      <c r="T7239" s="11"/>
    </row>
    <row r="7240" spans="8:20" x14ac:dyDescent="0.35">
      <c r="H7240" s="711"/>
      <c r="I7240" s="711"/>
      <c r="J7240" s="711"/>
      <c r="K7240" s="711"/>
      <c r="L7240" s="711"/>
      <c r="Q7240" s="11"/>
      <c r="R7240" s="11"/>
      <c r="S7240" s="11"/>
      <c r="T7240" s="11"/>
    </row>
    <row r="7241" spans="8:20" x14ac:dyDescent="0.35">
      <c r="H7241" s="711"/>
      <c r="I7241" s="711"/>
      <c r="J7241" s="711"/>
      <c r="K7241" s="711"/>
      <c r="L7241" s="711"/>
      <c r="Q7241" s="11"/>
      <c r="R7241" s="11"/>
      <c r="S7241" s="11"/>
      <c r="T7241" s="11"/>
    </row>
    <row r="7242" spans="8:20" x14ac:dyDescent="0.35">
      <c r="H7242" s="711"/>
      <c r="I7242" s="711"/>
      <c r="J7242" s="711"/>
      <c r="K7242" s="711"/>
      <c r="L7242" s="711"/>
      <c r="Q7242" s="11"/>
      <c r="R7242" s="11"/>
      <c r="S7242" s="11"/>
      <c r="T7242" s="11"/>
    </row>
    <row r="7243" spans="8:20" x14ac:dyDescent="0.35">
      <c r="H7243" s="711"/>
      <c r="I7243" s="711"/>
      <c r="J7243" s="711"/>
      <c r="K7243" s="711"/>
      <c r="L7243" s="711"/>
      <c r="Q7243" s="11"/>
      <c r="R7243" s="11"/>
      <c r="S7243" s="11"/>
      <c r="T7243" s="11"/>
    </row>
    <row r="7244" spans="8:20" x14ac:dyDescent="0.35">
      <c r="H7244" s="711"/>
      <c r="I7244" s="711"/>
      <c r="J7244" s="711"/>
      <c r="K7244" s="711"/>
      <c r="L7244" s="711"/>
      <c r="Q7244" s="11"/>
      <c r="R7244" s="11"/>
      <c r="S7244" s="11"/>
      <c r="T7244" s="11"/>
    </row>
    <row r="7245" spans="8:20" x14ac:dyDescent="0.35">
      <c r="H7245" s="711"/>
      <c r="I7245" s="711"/>
      <c r="J7245" s="711"/>
      <c r="K7245" s="711"/>
      <c r="L7245" s="711"/>
      <c r="Q7245" s="11"/>
      <c r="R7245" s="11"/>
      <c r="S7245" s="11"/>
      <c r="T7245" s="11"/>
    </row>
    <row r="7246" spans="8:20" x14ac:dyDescent="0.35">
      <c r="H7246" s="711"/>
      <c r="I7246" s="711"/>
      <c r="J7246" s="711"/>
      <c r="K7246" s="711"/>
      <c r="L7246" s="711"/>
      <c r="Q7246" s="11"/>
      <c r="R7246" s="11"/>
      <c r="S7246" s="11"/>
      <c r="T7246" s="11"/>
    </row>
    <row r="7247" spans="8:20" x14ac:dyDescent="0.35">
      <c r="H7247" s="711"/>
      <c r="I7247" s="711"/>
      <c r="J7247" s="711"/>
      <c r="K7247" s="711"/>
      <c r="L7247" s="711"/>
      <c r="Q7247" s="11"/>
      <c r="R7247" s="11"/>
      <c r="S7247" s="11"/>
      <c r="T7247" s="11"/>
    </row>
    <row r="7248" spans="8:20" x14ac:dyDescent="0.35">
      <c r="H7248" s="711"/>
      <c r="I7248" s="711"/>
      <c r="J7248" s="711"/>
      <c r="K7248" s="711"/>
      <c r="L7248" s="711"/>
      <c r="Q7248" s="11"/>
      <c r="R7248" s="11"/>
      <c r="S7248" s="11"/>
      <c r="T7248" s="11"/>
    </row>
    <row r="7249" spans="8:20" x14ac:dyDescent="0.35">
      <c r="H7249" s="711"/>
      <c r="I7249" s="711"/>
      <c r="J7249" s="711"/>
      <c r="K7249" s="711"/>
      <c r="L7249" s="711"/>
      <c r="Q7249" s="11"/>
      <c r="R7249" s="11"/>
      <c r="S7249" s="11"/>
      <c r="T7249" s="11"/>
    </row>
    <row r="7250" spans="8:20" x14ac:dyDescent="0.35">
      <c r="H7250" s="711"/>
      <c r="I7250" s="711"/>
      <c r="J7250" s="711"/>
      <c r="K7250" s="711"/>
      <c r="L7250" s="711"/>
      <c r="Q7250" s="11"/>
      <c r="R7250" s="11"/>
      <c r="S7250" s="11"/>
      <c r="T7250" s="11"/>
    </row>
    <row r="7251" spans="8:20" x14ac:dyDescent="0.35">
      <c r="H7251" s="711"/>
      <c r="I7251" s="711"/>
      <c r="J7251" s="711"/>
      <c r="K7251" s="711"/>
      <c r="L7251" s="711"/>
      <c r="Q7251" s="11"/>
      <c r="R7251" s="11"/>
      <c r="S7251" s="11"/>
      <c r="T7251" s="11"/>
    </row>
    <row r="7252" spans="8:20" x14ac:dyDescent="0.35">
      <c r="H7252" s="711"/>
      <c r="I7252" s="711"/>
      <c r="J7252" s="711"/>
      <c r="K7252" s="711"/>
      <c r="L7252" s="711"/>
      <c r="Q7252" s="11"/>
      <c r="R7252" s="11"/>
      <c r="S7252" s="11"/>
      <c r="T7252" s="11"/>
    </row>
    <row r="7253" spans="8:20" x14ac:dyDescent="0.35">
      <c r="H7253" s="711"/>
      <c r="I7253" s="711"/>
      <c r="J7253" s="711"/>
      <c r="K7253" s="711"/>
      <c r="L7253" s="711"/>
      <c r="Q7253" s="11"/>
      <c r="R7253" s="11"/>
      <c r="S7253" s="11"/>
      <c r="T7253" s="11"/>
    </row>
    <row r="7254" spans="8:20" x14ac:dyDescent="0.35">
      <c r="H7254" s="711"/>
      <c r="I7254" s="711"/>
      <c r="J7254" s="711"/>
      <c r="K7254" s="711"/>
      <c r="L7254" s="711"/>
      <c r="Q7254" s="11"/>
      <c r="R7254" s="11"/>
      <c r="S7254" s="11"/>
      <c r="T7254" s="11"/>
    </row>
    <row r="7255" spans="8:20" x14ac:dyDescent="0.35">
      <c r="H7255" s="711"/>
      <c r="I7255" s="711"/>
      <c r="J7255" s="711"/>
      <c r="K7255" s="711"/>
      <c r="L7255" s="711"/>
      <c r="Q7255" s="11"/>
      <c r="R7255" s="11"/>
      <c r="S7255" s="11"/>
      <c r="T7255" s="11"/>
    </row>
    <row r="7256" spans="8:20" x14ac:dyDescent="0.35">
      <c r="H7256" s="711"/>
      <c r="I7256" s="711"/>
      <c r="J7256" s="711"/>
      <c r="K7256" s="711"/>
      <c r="L7256" s="711"/>
      <c r="Q7256" s="11"/>
      <c r="R7256" s="11"/>
      <c r="S7256" s="11"/>
      <c r="T7256" s="11"/>
    </row>
    <row r="7257" spans="8:20" x14ac:dyDescent="0.35">
      <c r="H7257" s="711"/>
      <c r="I7257" s="711"/>
      <c r="J7257" s="711"/>
      <c r="K7257" s="711"/>
      <c r="L7257" s="711"/>
      <c r="Q7257" s="11"/>
      <c r="R7257" s="11"/>
      <c r="S7257" s="11"/>
      <c r="T7257" s="11"/>
    </row>
    <row r="7258" spans="8:20" x14ac:dyDescent="0.35">
      <c r="H7258" s="711"/>
      <c r="I7258" s="711"/>
      <c r="J7258" s="711"/>
      <c r="K7258" s="711"/>
      <c r="L7258" s="711"/>
      <c r="Q7258" s="11"/>
      <c r="R7258" s="11"/>
      <c r="S7258" s="11"/>
      <c r="T7258" s="11"/>
    </row>
    <row r="7259" spans="8:20" x14ac:dyDescent="0.35">
      <c r="H7259" s="711"/>
      <c r="I7259" s="711"/>
      <c r="J7259" s="711"/>
      <c r="K7259" s="711"/>
      <c r="L7259" s="711"/>
      <c r="Q7259" s="11"/>
      <c r="R7259" s="11"/>
      <c r="S7259" s="11"/>
      <c r="T7259" s="11"/>
    </row>
    <row r="7260" spans="8:20" x14ac:dyDescent="0.35">
      <c r="H7260" s="711"/>
      <c r="I7260" s="711"/>
      <c r="J7260" s="711"/>
      <c r="K7260" s="711"/>
      <c r="L7260" s="711"/>
      <c r="Q7260" s="11"/>
      <c r="R7260" s="11"/>
      <c r="S7260" s="11"/>
      <c r="T7260" s="11"/>
    </row>
    <row r="7261" spans="8:20" x14ac:dyDescent="0.35">
      <c r="H7261" s="711"/>
      <c r="I7261" s="711"/>
      <c r="J7261" s="711"/>
      <c r="K7261" s="711"/>
      <c r="L7261" s="711"/>
      <c r="Q7261" s="11"/>
      <c r="R7261" s="11"/>
      <c r="S7261" s="11"/>
      <c r="T7261" s="11"/>
    </row>
    <row r="7262" spans="8:20" x14ac:dyDescent="0.35">
      <c r="H7262" s="711"/>
      <c r="I7262" s="711"/>
      <c r="J7262" s="711"/>
      <c r="K7262" s="711"/>
      <c r="L7262" s="711"/>
      <c r="Q7262" s="11"/>
      <c r="R7262" s="11"/>
      <c r="S7262" s="11"/>
      <c r="T7262" s="11"/>
    </row>
    <row r="7263" spans="8:20" x14ac:dyDescent="0.35">
      <c r="H7263" s="711"/>
      <c r="I7263" s="711"/>
      <c r="J7263" s="711"/>
      <c r="K7263" s="711"/>
      <c r="L7263" s="711"/>
      <c r="Q7263" s="11"/>
      <c r="R7263" s="11"/>
      <c r="S7263" s="11"/>
      <c r="T7263" s="11"/>
    </row>
    <row r="7264" spans="8:20" x14ac:dyDescent="0.35">
      <c r="H7264" s="711"/>
      <c r="I7264" s="711"/>
      <c r="J7264" s="711"/>
      <c r="K7264" s="711"/>
      <c r="L7264" s="711"/>
      <c r="Q7264" s="11"/>
      <c r="R7264" s="11"/>
      <c r="S7264" s="11"/>
      <c r="T7264" s="11"/>
    </row>
    <row r="7265" spans="8:20" x14ac:dyDescent="0.35">
      <c r="H7265" s="711"/>
      <c r="I7265" s="711"/>
      <c r="J7265" s="711"/>
      <c r="K7265" s="711"/>
      <c r="L7265" s="711"/>
      <c r="Q7265" s="11"/>
      <c r="R7265" s="11"/>
      <c r="S7265" s="11"/>
      <c r="T7265" s="11"/>
    </row>
    <row r="7266" spans="8:20" x14ac:dyDescent="0.35">
      <c r="H7266" s="711"/>
      <c r="I7266" s="711"/>
      <c r="J7266" s="711"/>
      <c r="K7266" s="711"/>
      <c r="L7266" s="711"/>
      <c r="Q7266" s="11"/>
      <c r="R7266" s="11"/>
      <c r="S7266" s="11"/>
      <c r="T7266" s="11"/>
    </row>
    <row r="7267" spans="8:20" x14ac:dyDescent="0.35">
      <c r="H7267" s="711"/>
      <c r="I7267" s="711"/>
      <c r="J7267" s="711"/>
      <c r="K7267" s="711"/>
      <c r="L7267" s="711"/>
      <c r="Q7267" s="11"/>
      <c r="R7267" s="11"/>
      <c r="S7267" s="11"/>
      <c r="T7267" s="11"/>
    </row>
    <row r="7268" spans="8:20" x14ac:dyDescent="0.35">
      <c r="H7268" s="711"/>
      <c r="I7268" s="711"/>
      <c r="J7268" s="711"/>
      <c r="K7268" s="711"/>
      <c r="L7268" s="711"/>
      <c r="Q7268" s="11"/>
      <c r="R7268" s="11"/>
      <c r="S7268" s="11"/>
      <c r="T7268" s="11"/>
    </row>
    <row r="7269" spans="8:20" x14ac:dyDescent="0.35">
      <c r="H7269" s="711"/>
      <c r="I7269" s="711"/>
      <c r="J7269" s="711"/>
      <c r="K7269" s="711"/>
      <c r="L7269" s="711"/>
      <c r="Q7269" s="11"/>
      <c r="R7269" s="11"/>
      <c r="S7269" s="11"/>
      <c r="T7269" s="11"/>
    </row>
    <row r="7270" spans="8:20" x14ac:dyDescent="0.35">
      <c r="H7270" s="711"/>
      <c r="I7270" s="711"/>
      <c r="J7270" s="711"/>
      <c r="K7270" s="711"/>
      <c r="L7270" s="711"/>
      <c r="Q7270" s="11"/>
      <c r="R7270" s="11"/>
      <c r="S7270" s="11"/>
      <c r="T7270" s="11"/>
    </row>
    <row r="7271" spans="8:20" x14ac:dyDescent="0.35">
      <c r="H7271" s="711"/>
      <c r="I7271" s="711"/>
      <c r="J7271" s="711"/>
      <c r="K7271" s="711"/>
      <c r="L7271" s="711"/>
      <c r="Q7271" s="11"/>
      <c r="R7271" s="11"/>
      <c r="S7271" s="11"/>
      <c r="T7271" s="11"/>
    </row>
    <row r="7272" spans="8:20" x14ac:dyDescent="0.35">
      <c r="H7272" s="711"/>
      <c r="I7272" s="711"/>
      <c r="J7272" s="711"/>
      <c r="K7272" s="711"/>
      <c r="L7272" s="711"/>
      <c r="Q7272" s="11"/>
      <c r="R7272" s="11"/>
      <c r="S7272" s="11"/>
      <c r="T7272" s="11"/>
    </row>
    <row r="7273" spans="8:20" x14ac:dyDescent="0.35">
      <c r="H7273" s="711"/>
      <c r="I7273" s="711"/>
      <c r="J7273" s="711"/>
      <c r="K7273" s="711"/>
      <c r="L7273" s="711"/>
      <c r="Q7273" s="11"/>
      <c r="R7273" s="11"/>
      <c r="S7273" s="11"/>
      <c r="T7273" s="11"/>
    </row>
    <row r="7274" spans="8:20" x14ac:dyDescent="0.35">
      <c r="H7274" s="711"/>
      <c r="I7274" s="711"/>
      <c r="J7274" s="711"/>
      <c r="K7274" s="711"/>
      <c r="L7274" s="711"/>
      <c r="Q7274" s="11"/>
      <c r="R7274" s="11"/>
      <c r="S7274" s="11"/>
      <c r="T7274" s="11"/>
    </row>
    <row r="7275" spans="8:20" x14ac:dyDescent="0.35">
      <c r="H7275" s="711"/>
      <c r="I7275" s="711"/>
      <c r="J7275" s="711"/>
      <c r="K7275" s="711"/>
      <c r="L7275" s="711"/>
      <c r="Q7275" s="11"/>
      <c r="R7275" s="11"/>
      <c r="S7275" s="11"/>
      <c r="T7275" s="11"/>
    </row>
    <row r="7276" spans="8:20" x14ac:dyDescent="0.35">
      <c r="H7276" s="711"/>
      <c r="I7276" s="711"/>
      <c r="J7276" s="711"/>
      <c r="K7276" s="711"/>
      <c r="L7276" s="711"/>
      <c r="Q7276" s="11"/>
      <c r="R7276" s="11"/>
      <c r="S7276" s="11"/>
      <c r="T7276" s="11"/>
    </row>
    <row r="7277" spans="8:20" x14ac:dyDescent="0.35">
      <c r="H7277" s="711"/>
      <c r="I7277" s="711"/>
      <c r="J7277" s="711"/>
      <c r="K7277" s="711"/>
      <c r="L7277" s="711"/>
      <c r="Q7277" s="11"/>
      <c r="R7277" s="11"/>
      <c r="S7277" s="11"/>
      <c r="T7277" s="11"/>
    </row>
    <row r="7278" spans="8:20" x14ac:dyDescent="0.35">
      <c r="H7278" s="711"/>
      <c r="I7278" s="711"/>
      <c r="J7278" s="711"/>
      <c r="K7278" s="711"/>
      <c r="L7278" s="711"/>
      <c r="Q7278" s="11"/>
      <c r="R7278" s="11"/>
      <c r="S7278" s="11"/>
      <c r="T7278" s="11"/>
    </row>
    <row r="7279" spans="8:20" x14ac:dyDescent="0.35">
      <c r="H7279" s="711"/>
      <c r="I7279" s="711"/>
      <c r="J7279" s="711"/>
      <c r="K7279" s="711"/>
      <c r="L7279" s="711"/>
      <c r="Q7279" s="11"/>
      <c r="R7279" s="11"/>
      <c r="S7279" s="11"/>
      <c r="T7279" s="11"/>
    </row>
    <row r="7280" spans="8:20" x14ac:dyDescent="0.35">
      <c r="H7280" s="711"/>
      <c r="I7280" s="711"/>
      <c r="J7280" s="711"/>
      <c r="K7280" s="711"/>
      <c r="L7280" s="711"/>
      <c r="Q7280" s="11"/>
      <c r="R7280" s="11"/>
      <c r="S7280" s="11"/>
      <c r="T7280" s="11"/>
    </row>
    <row r="7281" spans="8:20" x14ac:dyDescent="0.35">
      <c r="H7281" s="711"/>
      <c r="I7281" s="711"/>
      <c r="J7281" s="711"/>
      <c r="K7281" s="711"/>
      <c r="L7281" s="711"/>
      <c r="Q7281" s="11"/>
      <c r="R7281" s="11"/>
      <c r="S7281" s="11"/>
      <c r="T7281" s="11"/>
    </row>
    <row r="7282" spans="8:20" x14ac:dyDescent="0.35">
      <c r="H7282" s="711"/>
      <c r="I7282" s="711"/>
      <c r="J7282" s="711"/>
      <c r="K7282" s="711"/>
      <c r="L7282" s="711"/>
      <c r="Q7282" s="11"/>
      <c r="R7282" s="11"/>
      <c r="S7282" s="11"/>
      <c r="T7282" s="11"/>
    </row>
    <row r="7283" spans="8:20" x14ac:dyDescent="0.35">
      <c r="H7283" s="711"/>
      <c r="I7283" s="711"/>
      <c r="J7283" s="711"/>
      <c r="K7283" s="711"/>
      <c r="L7283" s="711"/>
      <c r="Q7283" s="11"/>
      <c r="R7283" s="11"/>
      <c r="S7283" s="11"/>
      <c r="T7283" s="11"/>
    </row>
    <row r="7284" spans="8:20" x14ac:dyDescent="0.35">
      <c r="H7284" s="711"/>
      <c r="I7284" s="711"/>
      <c r="J7284" s="711"/>
      <c r="K7284" s="711"/>
      <c r="L7284" s="711"/>
      <c r="Q7284" s="11"/>
      <c r="R7284" s="11"/>
      <c r="S7284" s="11"/>
      <c r="T7284" s="11"/>
    </row>
    <row r="7285" spans="8:20" x14ac:dyDescent="0.35">
      <c r="H7285" s="711"/>
      <c r="I7285" s="711"/>
      <c r="J7285" s="711"/>
      <c r="K7285" s="711"/>
      <c r="L7285" s="711"/>
      <c r="Q7285" s="11"/>
      <c r="R7285" s="11"/>
      <c r="S7285" s="11"/>
      <c r="T7285" s="11"/>
    </row>
    <row r="7286" spans="8:20" x14ac:dyDescent="0.35">
      <c r="H7286" s="711"/>
      <c r="I7286" s="711"/>
      <c r="J7286" s="711"/>
      <c r="K7286" s="711"/>
      <c r="L7286" s="711"/>
      <c r="Q7286" s="11"/>
      <c r="R7286" s="11"/>
      <c r="S7286" s="11"/>
      <c r="T7286" s="11"/>
    </row>
    <row r="7287" spans="8:20" x14ac:dyDescent="0.35">
      <c r="H7287" s="711"/>
      <c r="I7287" s="711"/>
      <c r="J7287" s="711"/>
      <c r="K7287" s="711"/>
      <c r="L7287" s="711"/>
      <c r="Q7287" s="11"/>
      <c r="R7287" s="11"/>
      <c r="S7287" s="11"/>
      <c r="T7287" s="11"/>
    </row>
    <row r="7288" spans="8:20" x14ac:dyDescent="0.35">
      <c r="H7288" s="711"/>
      <c r="I7288" s="711"/>
      <c r="J7288" s="711"/>
      <c r="K7288" s="711"/>
      <c r="L7288" s="711"/>
      <c r="Q7288" s="11"/>
      <c r="R7288" s="11"/>
      <c r="S7288" s="11"/>
      <c r="T7288" s="11"/>
    </row>
    <row r="7289" spans="8:20" x14ac:dyDescent="0.35">
      <c r="H7289" s="711"/>
      <c r="I7289" s="711"/>
      <c r="J7289" s="711"/>
      <c r="K7289" s="711"/>
      <c r="L7289" s="711"/>
      <c r="Q7289" s="11"/>
      <c r="R7289" s="11"/>
      <c r="S7289" s="11"/>
      <c r="T7289" s="11"/>
    </row>
    <row r="7290" spans="8:20" x14ac:dyDescent="0.35">
      <c r="H7290" s="711"/>
      <c r="I7290" s="711"/>
      <c r="J7290" s="711"/>
      <c r="K7290" s="711"/>
      <c r="L7290" s="711"/>
      <c r="Q7290" s="11"/>
      <c r="R7290" s="11"/>
      <c r="S7290" s="11"/>
      <c r="T7290" s="11"/>
    </row>
    <row r="7291" spans="8:20" x14ac:dyDescent="0.35">
      <c r="H7291" s="711"/>
      <c r="I7291" s="711"/>
      <c r="J7291" s="711"/>
      <c r="K7291" s="711"/>
      <c r="L7291" s="711"/>
      <c r="Q7291" s="11"/>
      <c r="R7291" s="11"/>
      <c r="S7291" s="11"/>
      <c r="T7291" s="11"/>
    </row>
    <row r="7292" spans="8:20" x14ac:dyDescent="0.35">
      <c r="H7292" s="711"/>
      <c r="I7292" s="711"/>
      <c r="J7292" s="711"/>
      <c r="K7292" s="711"/>
      <c r="L7292" s="711"/>
      <c r="Q7292" s="11"/>
      <c r="R7292" s="11"/>
      <c r="S7292" s="11"/>
      <c r="T7292" s="11"/>
    </row>
    <row r="7293" spans="8:20" x14ac:dyDescent="0.35">
      <c r="H7293" s="711"/>
      <c r="I7293" s="711"/>
      <c r="J7293" s="711"/>
      <c r="K7293" s="711"/>
      <c r="L7293" s="711"/>
      <c r="Q7293" s="11"/>
      <c r="R7293" s="11"/>
      <c r="S7293" s="11"/>
      <c r="T7293" s="11"/>
    </row>
    <row r="7294" spans="8:20" x14ac:dyDescent="0.35">
      <c r="H7294" s="711"/>
      <c r="I7294" s="711"/>
      <c r="J7294" s="711"/>
      <c r="K7294" s="711"/>
      <c r="L7294" s="711"/>
      <c r="Q7294" s="11"/>
      <c r="R7294" s="11"/>
      <c r="S7294" s="11"/>
      <c r="T7294" s="11"/>
    </row>
    <row r="7295" spans="8:20" x14ac:dyDescent="0.35">
      <c r="H7295" s="711"/>
      <c r="I7295" s="711"/>
      <c r="J7295" s="711"/>
      <c r="K7295" s="711"/>
      <c r="L7295" s="711"/>
      <c r="Q7295" s="11"/>
      <c r="R7295" s="11"/>
      <c r="S7295" s="11"/>
      <c r="T7295" s="11"/>
    </row>
    <row r="7296" spans="8:20" x14ac:dyDescent="0.35">
      <c r="H7296" s="711"/>
      <c r="I7296" s="711"/>
      <c r="J7296" s="711"/>
      <c r="K7296" s="711"/>
      <c r="L7296" s="711"/>
      <c r="Q7296" s="11"/>
      <c r="R7296" s="11"/>
      <c r="S7296" s="11"/>
      <c r="T7296" s="11"/>
    </row>
    <row r="7297" spans="8:20" x14ac:dyDescent="0.35">
      <c r="H7297" s="711"/>
      <c r="I7297" s="711"/>
      <c r="J7297" s="711"/>
      <c r="K7297" s="711"/>
      <c r="L7297" s="711"/>
      <c r="Q7297" s="11"/>
      <c r="R7297" s="11"/>
      <c r="S7297" s="11"/>
      <c r="T7297" s="11"/>
    </row>
    <row r="7298" spans="8:20" x14ac:dyDescent="0.35">
      <c r="H7298" s="711"/>
      <c r="I7298" s="711"/>
      <c r="J7298" s="711"/>
      <c r="K7298" s="711"/>
      <c r="L7298" s="711"/>
      <c r="Q7298" s="11"/>
      <c r="R7298" s="11"/>
      <c r="S7298" s="11"/>
      <c r="T7298" s="11"/>
    </row>
    <row r="7299" spans="8:20" x14ac:dyDescent="0.35">
      <c r="H7299" s="711"/>
      <c r="I7299" s="711"/>
      <c r="J7299" s="711"/>
      <c r="K7299" s="711"/>
      <c r="L7299" s="711"/>
      <c r="Q7299" s="11"/>
      <c r="R7299" s="11"/>
      <c r="S7299" s="11"/>
      <c r="T7299" s="11"/>
    </row>
    <row r="7300" spans="8:20" x14ac:dyDescent="0.35">
      <c r="H7300" s="711"/>
      <c r="I7300" s="711"/>
      <c r="J7300" s="711"/>
      <c r="K7300" s="711"/>
      <c r="L7300" s="711"/>
      <c r="Q7300" s="11"/>
      <c r="R7300" s="11"/>
      <c r="S7300" s="11"/>
      <c r="T7300" s="11"/>
    </row>
    <row r="7301" spans="8:20" x14ac:dyDescent="0.35">
      <c r="H7301" s="711"/>
      <c r="I7301" s="711"/>
      <c r="J7301" s="711"/>
      <c r="K7301" s="711"/>
      <c r="L7301" s="711"/>
      <c r="Q7301" s="11"/>
      <c r="R7301" s="11"/>
      <c r="S7301" s="11"/>
      <c r="T7301" s="11"/>
    </row>
    <row r="7302" spans="8:20" x14ac:dyDescent="0.35">
      <c r="H7302" s="711"/>
      <c r="I7302" s="711"/>
      <c r="J7302" s="711"/>
      <c r="K7302" s="711"/>
      <c r="L7302" s="711"/>
      <c r="Q7302" s="11"/>
      <c r="R7302" s="11"/>
      <c r="S7302" s="11"/>
      <c r="T7302" s="11"/>
    </row>
    <row r="7303" spans="8:20" x14ac:dyDescent="0.35">
      <c r="H7303" s="711"/>
      <c r="I7303" s="711"/>
      <c r="J7303" s="711"/>
      <c r="K7303" s="711"/>
      <c r="L7303" s="711"/>
      <c r="Q7303" s="11"/>
      <c r="R7303" s="11"/>
      <c r="S7303" s="11"/>
      <c r="T7303" s="11"/>
    </row>
    <row r="7304" spans="8:20" x14ac:dyDescent="0.35">
      <c r="H7304" s="711"/>
      <c r="I7304" s="711"/>
      <c r="J7304" s="711"/>
      <c r="K7304" s="711"/>
      <c r="L7304" s="711"/>
      <c r="Q7304" s="11"/>
      <c r="R7304" s="11"/>
      <c r="S7304" s="11"/>
      <c r="T7304" s="11"/>
    </row>
    <row r="7305" spans="8:20" x14ac:dyDescent="0.35">
      <c r="H7305" s="711"/>
      <c r="I7305" s="711"/>
      <c r="J7305" s="711"/>
      <c r="K7305" s="711"/>
      <c r="L7305" s="711"/>
      <c r="Q7305" s="11"/>
      <c r="R7305" s="11"/>
      <c r="S7305" s="11"/>
      <c r="T7305" s="11"/>
    </row>
    <row r="7306" spans="8:20" x14ac:dyDescent="0.35">
      <c r="H7306" s="711"/>
      <c r="I7306" s="711"/>
      <c r="J7306" s="711"/>
      <c r="K7306" s="711"/>
      <c r="L7306" s="711"/>
      <c r="Q7306" s="11"/>
      <c r="R7306" s="11"/>
      <c r="S7306" s="11"/>
      <c r="T7306" s="11"/>
    </row>
    <row r="7307" spans="8:20" x14ac:dyDescent="0.35">
      <c r="H7307" s="711"/>
      <c r="I7307" s="711"/>
      <c r="J7307" s="711"/>
      <c r="K7307" s="711"/>
      <c r="L7307" s="711"/>
      <c r="Q7307" s="11"/>
      <c r="R7307" s="11"/>
      <c r="S7307" s="11"/>
      <c r="T7307" s="11"/>
    </row>
    <row r="7308" spans="8:20" x14ac:dyDescent="0.35">
      <c r="H7308" s="711"/>
      <c r="I7308" s="711"/>
      <c r="J7308" s="711"/>
      <c r="K7308" s="711"/>
      <c r="L7308" s="711"/>
      <c r="Q7308" s="11"/>
      <c r="R7308" s="11"/>
      <c r="S7308" s="11"/>
      <c r="T7308" s="11"/>
    </row>
    <row r="7309" spans="8:20" x14ac:dyDescent="0.35">
      <c r="H7309" s="711"/>
      <c r="I7309" s="711"/>
      <c r="J7309" s="711"/>
      <c r="K7309" s="711"/>
      <c r="L7309" s="711"/>
      <c r="Q7309" s="11"/>
      <c r="R7309" s="11"/>
      <c r="S7309" s="11"/>
      <c r="T7309" s="11"/>
    </row>
    <row r="7310" spans="8:20" x14ac:dyDescent="0.35">
      <c r="H7310" s="711"/>
      <c r="I7310" s="711"/>
      <c r="J7310" s="711"/>
      <c r="K7310" s="711"/>
      <c r="L7310" s="711"/>
      <c r="Q7310" s="11"/>
      <c r="R7310" s="11"/>
      <c r="S7310" s="11"/>
      <c r="T7310" s="11"/>
    </row>
    <row r="7311" spans="8:20" x14ac:dyDescent="0.35">
      <c r="H7311" s="711"/>
      <c r="I7311" s="711"/>
      <c r="J7311" s="711"/>
      <c r="K7311" s="711"/>
      <c r="L7311" s="711"/>
      <c r="Q7311" s="11"/>
      <c r="R7311" s="11"/>
      <c r="S7311" s="11"/>
      <c r="T7311" s="11"/>
    </row>
    <row r="7312" spans="8:20" x14ac:dyDescent="0.35">
      <c r="H7312" s="711"/>
      <c r="I7312" s="711"/>
      <c r="J7312" s="711"/>
      <c r="K7312" s="711"/>
      <c r="L7312" s="711"/>
      <c r="Q7312" s="11"/>
      <c r="R7312" s="11"/>
      <c r="S7312" s="11"/>
      <c r="T7312" s="11"/>
    </row>
    <row r="7313" spans="8:20" x14ac:dyDescent="0.35">
      <c r="H7313" s="711"/>
      <c r="I7313" s="711"/>
      <c r="J7313" s="711"/>
      <c r="K7313" s="711"/>
      <c r="L7313" s="711"/>
      <c r="Q7313" s="11"/>
      <c r="R7313" s="11"/>
      <c r="S7313" s="11"/>
      <c r="T7313" s="11"/>
    </row>
    <row r="7314" spans="8:20" x14ac:dyDescent="0.35">
      <c r="H7314" s="711"/>
      <c r="I7314" s="711"/>
      <c r="J7314" s="711"/>
      <c r="K7314" s="711"/>
      <c r="L7314" s="711"/>
      <c r="Q7314" s="11"/>
      <c r="R7314" s="11"/>
      <c r="S7314" s="11"/>
      <c r="T7314" s="11"/>
    </row>
    <row r="7315" spans="8:20" x14ac:dyDescent="0.35">
      <c r="H7315" s="711"/>
      <c r="I7315" s="711"/>
      <c r="J7315" s="711"/>
      <c r="K7315" s="711"/>
      <c r="L7315" s="711"/>
      <c r="Q7315" s="11"/>
      <c r="R7315" s="11"/>
      <c r="S7315" s="11"/>
      <c r="T7315" s="11"/>
    </row>
    <row r="7316" spans="8:20" x14ac:dyDescent="0.35">
      <c r="H7316" s="711"/>
      <c r="I7316" s="711"/>
      <c r="J7316" s="711"/>
      <c r="K7316" s="711"/>
      <c r="L7316" s="711"/>
      <c r="Q7316" s="11"/>
      <c r="R7316" s="11"/>
      <c r="S7316" s="11"/>
      <c r="T7316" s="11"/>
    </row>
    <row r="7317" spans="8:20" x14ac:dyDescent="0.35">
      <c r="H7317" s="711"/>
      <c r="I7317" s="711"/>
      <c r="J7317" s="711"/>
      <c r="K7317" s="711"/>
      <c r="L7317" s="711"/>
      <c r="Q7317" s="11"/>
      <c r="R7317" s="11"/>
      <c r="S7317" s="11"/>
      <c r="T7317" s="11"/>
    </row>
    <row r="7318" spans="8:20" x14ac:dyDescent="0.35">
      <c r="H7318" s="711"/>
      <c r="I7318" s="711"/>
      <c r="J7318" s="711"/>
      <c r="K7318" s="711"/>
      <c r="L7318" s="711"/>
      <c r="Q7318" s="11"/>
      <c r="R7318" s="11"/>
      <c r="S7318" s="11"/>
      <c r="T7318" s="11"/>
    </row>
    <row r="7319" spans="8:20" x14ac:dyDescent="0.35">
      <c r="H7319" s="711"/>
      <c r="I7319" s="711"/>
      <c r="J7319" s="711"/>
      <c r="K7319" s="711"/>
      <c r="L7319" s="711"/>
      <c r="Q7319" s="11"/>
      <c r="R7319" s="11"/>
      <c r="S7319" s="11"/>
      <c r="T7319" s="11"/>
    </row>
    <row r="7320" spans="8:20" x14ac:dyDescent="0.35">
      <c r="H7320" s="711"/>
      <c r="I7320" s="711"/>
      <c r="J7320" s="711"/>
      <c r="K7320" s="711"/>
      <c r="L7320" s="711"/>
      <c r="Q7320" s="11"/>
      <c r="R7320" s="11"/>
      <c r="S7320" s="11"/>
      <c r="T7320" s="11"/>
    </row>
    <row r="7321" spans="8:20" x14ac:dyDescent="0.35">
      <c r="H7321" s="711"/>
      <c r="I7321" s="711"/>
      <c r="J7321" s="711"/>
      <c r="K7321" s="711"/>
      <c r="L7321" s="711"/>
      <c r="Q7321" s="11"/>
      <c r="R7321" s="11"/>
      <c r="S7321" s="11"/>
      <c r="T7321" s="11"/>
    </row>
    <row r="7322" spans="8:20" x14ac:dyDescent="0.35">
      <c r="H7322" s="711"/>
      <c r="I7322" s="711"/>
      <c r="J7322" s="711"/>
      <c r="K7322" s="711"/>
      <c r="L7322" s="711"/>
      <c r="Q7322" s="11"/>
      <c r="R7322" s="11"/>
      <c r="S7322" s="11"/>
      <c r="T7322" s="11"/>
    </row>
    <row r="7323" spans="8:20" x14ac:dyDescent="0.35">
      <c r="H7323" s="711"/>
      <c r="I7323" s="711"/>
      <c r="J7323" s="711"/>
      <c r="K7323" s="711"/>
      <c r="L7323" s="711"/>
      <c r="Q7323" s="11"/>
      <c r="R7323" s="11"/>
      <c r="S7323" s="11"/>
      <c r="T7323" s="11"/>
    </row>
    <row r="7324" spans="8:20" x14ac:dyDescent="0.35">
      <c r="H7324" s="711"/>
      <c r="I7324" s="711"/>
      <c r="J7324" s="711"/>
      <c r="K7324" s="711"/>
      <c r="L7324" s="711"/>
      <c r="Q7324" s="11"/>
      <c r="R7324" s="11"/>
      <c r="S7324" s="11"/>
      <c r="T7324" s="11"/>
    </row>
    <row r="7325" spans="8:20" x14ac:dyDescent="0.35">
      <c r="H7325" s="711"/>
      <c r="I7325" s="711"/>
      <c r="J7325" s="711"/>
      <c r="K7325" s="711"/>
      <c r="L7325" s="711"/>
      <c r="Q7325" s="11"/>
      <c r="R7325" s="11"/>
      <c r="S7325" s="11"/>
      <c r="T7325" s="11"/>
    </row>
    <row r="7326" spans="8:20" x14ac:dyDescent="0.35">
      <c r="H7326" s="711"/>
      <c r="I7326" s="711"/>
      <c r="J7326" s="711"/>
      <c r="K7326" s="711"/>
      <c r="L7326" s="711"/>
      <c r="Q7326" s="11"/>
      <c r="R7326" s="11"/>
      <c r="S7326" s="11"/>
      <c r="T7326" s="11"/>
    </row>
    <row r="7327" spans="8:20" x14ac:dyDescent="0.35">
      <c r="H7327" s="711"/>
      <c r="I7327" s="711"/>
      <c r="J7327" s="711"/>
      <c r="K7327" s="711"/>
      <c r="L7327" s="711"/>
      <c r="Q7327" s="11"/>
      <c r="R7327" s="11"/>
      <c r="S7327" s="11"/>
      <c r="T7327" s="11"/>
    </row>
    <row r="7328" spans="8:20" x14ac:dyDescent="0.35">
      <c r="H7328" s="711"/>
      <c r="I7328" s="711"/>
      <c r="J7328" s="711"/>
      <c r="K7328" s="711"/>
      <c r="L7328" s="711"/>
      <c r="Q7328" s="11"/>
      <c r="R7328" s="11"/>
      <c r="S7328" s="11"/>
      <c r="T7328" s="11"/>
    </row>
    <row r="7329" spans="8:20" x14ac:dyDescent="0.35">
      <c r="H7329" s="711"/>
      <c r="I7329" s="711"/>
      <c r="J7329" s="711"/>
      <c r="K7329" s="711"/>
      <c r="L7329" s="711"/>
      <c r="Q7329" s="11"/>
      <c r="R7329" s="11"/>
      <c r="S7329" s="11"/>
      <c r="T7329" s="11"/>
    </row>
    <row r="7330" spans="8:20" x14ac:dyDescent="0.35">
      <c r="H7330" s="711"/>
      <c r="I7330" s="711"/>
      <c r="J7330" s="711"/>
      <c r="K7330" s="711"/>
      <c r="L7330" s="711"/>
      <c r="Q7330" s="11"/>
      <c r="R7330" s="11"/>
      <c r="S7330" s="11"/>
      <c r="T7330" s="11"/>
    </row>
    <row r="7331" spans="8:20" x14ac:dyDescent="0.35">
      <c r="H7331" s="711"/>
      <c r="I7331" s="711"/>
      <c r="J7331" s="711"/>
      <c r="K7331" s="711"/>
      <c r="L7331" s="711"/>
      <c r="Q7331" s="11"/>
      <c r="R7331" s="11"/>
      <c r="S7331" s="11"/>
      <c r="T7331" s="11"/>
    </row>
    <row r="7332" spans="8:20" x14ac:dyDescent="0.35">
      <c r="H7332" s="711"/>
      <c r="I7332" s="711"/>
      <c r="J7332" s="711"/>
      <c r="K7332" s="711"/>
      <c r="L7332" s="711"/>
      <c r="Q7332" s="11"/>
      <c r="R7332" s="11"/>
      <c r="S7332" s="11"/>
      <c r="T7332" s="11"/>
    </row>
    <row r="7333" spans="8:20" x14ac:dyDescent="0.35">
      <c r="H7333" s="711"/>
      <c r="I7333" s="711"/>
      <c r="J7333" s="711"/>
      <c r="K7333" s="711"/>
      <c r="L7333" s="711"/>
      <c r="Q7333" s="11"/>
      <c r="R7333" s="11"/>
      <c r="S7333" s="11"/>
      <c r="T7333" s="11"/>
    </row>
    <row r="7334" spans="8:20" x14ac:dyDescent="0.35">
      <c r="H7334" s="711"/>
      <c r="I7334" s="711"/>
      <c r="J7334" s="711"/>
      <c r="K7334" s="711"/>
      <c r="L7334" s="711"/>
      <c r="Q7334" s="11"/>
      <c r="R7334" s="11"/>
      <c r="S7334" s="11"/>
      <c r="T7334" s="11"/>
    </row>
    <row r="7335" spans="8:20" x14ac:dyDescent="0.35">
      <c r="H7335" s="711"/>
      <c r="I7335" s="711"/>
      <c r="J7335" s="711"/>
      <c r="K7335" s="711"/>
      <c r="L7335" s="711"/>
      <c r="Q7335" s="11"/>
      <c r="R7335" s="11"/>
      <c r="S7335" s="11"/>
      <c r="T7335" s="11"/>
    </row>
    <row r="7336" spans="8:20" x14ac:dyDescent="0.35">
      <c r="H7336" s="711"/>
      <c r="I7336" s="711"/>
      <c r="J7336" s="711"/>
      <c r="K7336" s="711"/>
      <c r="L7336" s="711"/>
      <c r="Q7336" s="11"/>
      <c r="R7336" s="11"/>
      <c r="S7336" s="11"/>
      <c r="T7336" s="11"/>
    </row>
    <row r="7337" spans="8:20" x14ac:dyDescent="0.35">
      <c r="H7337" s="711"/>
      <c r="I7337" s="711"/>
      <c r="J7337" s="711"/>
      <c r="K7337" s="711"/>
      <c r="L7337" s="711"/>
      <c r="Q7337" s="11"/>
      <c r="R7337" s="11"/>
      <c r="S7337" s="11"/>
      <c r="T7337" s="11"/>
    </row>
    <row r="7338" spans="8:20" x14ac:dyDescent="0.35">
      <c r="H7338" s="711"/>
      <c r="I7338" s="711"/>
      <c r="J7338" s="711"/>
      <c r="K7338" s="711"/>
      <c r="L7338" s="711"/>
      <c r="Q7338" s="11"/>
      <c r="R7338" s="11"/>
      <c r="S7338" s="11"/>
      <c r="T7338" s="11"/>
    </row>
    <row r="7339" spans="8:20" x14ac:dyDescent="0.35">
      <c r="H7339" s="711"/>
      <c r="I7339" s="711"/>
      <c r="J7339" s="711"/>
      <c r="K7339" s="711"/>
      <c r="L7339" s="711"/>
      <c r="Q7339" s="11"/>
      <c r="R7339" s="11"/>
      <c r="S7339" s="11"/>
      <c r="T7339" s="11"/>
    </row>
    <row r="7340" spans="8:20" x14ac:dyDescent="0.35">
      <c r="H7340" s="711"/>
      <c r="I7340" s="711"/>
      <c r="J7340" s="711"/>
      <c r="K7340" s="711"/>
      <c r="L7340" s="711"/>
      <c r="Q7340" s="11"/>
      <c r="R7340" s="11"/>
      <c r="S7340" s="11"/>
      <c r="T7340" s="11"/>
    </row>
    <row r="7341" spans="8:20" x14ac:dyDescent="0.35">
      <c r="H7341" s="711"/>
      <c r="I7341" s="711"/>
      <c r="J7341" s="711"/>
      <c r="K7341" s="711"/>
      <c r="L7341" s="711"/>
      <c r="Q7341" s="11"/>
      <c r="R7341" s="11"/>
      <c r="S7341" s="11"/>
      <c r="T7341" s="11"/>
    </row>
    <row r="7342" spans="8:20" x14ac:dyDescent="0.35">
      <c r="H7342" s="711"/>
      <c r="I7342" s="711"/>
      <c r="J7342" s="711"/>
      <c r="K7342" s="711"/>
      <c r="L7342" s="711"/>
      <c r="Q7342" s="11"/>
      <c r="R7342" s="11"/>
      <c r="S7342" s="11"/>
      <c r="T7342" s="11"/>
    </row>
    <row r="7343" spans="8:20" x14ac:dyDescent="0.35">
      <c r="H7343" s="711"/>
      <c r="I7343" s="711"/>
      <c r="J7343" s="711"/>
      <c r="K7343" s="711"/>
      <c r="L7343" s="711"/>
      <c r="Q7343" s="11"/>
      <c r="R7343" s="11"/>
      <c r="S7343" s="11"/>
      <c r="T7343" s="11"/>
    </row>
    <row r="7344" spans="8:20" x14ac:dyDescent="0.35">
      <c r="H7344" s="711"/>
      <c r="I7344" s="711"/>
      <c r="J7344" s="711"/>
      <c r="K7344" s="711"/>
      <c r="L7344" s="711"/>
      <c r="Q7344" s="11"/>
      <c r="R7344" s="11"/>
      <c r="S7344" s="11"/>
      <c r="T7344" s="11"/>
    </row>
    <row r="7345" spans="8:20" x14ac:dyDescent="0.35">
      <c r="H7345" s="711"/>
      <c r="I7345" s="711"/>
      <c r="J7345" s="711"/>
      <c r="K7345" s="711"/>
      <c r="L7345" s="711"/>
      <c r="Q7345" s="11"/>
      <c r="R7345" s="11"/>
      <c r="S7345" s="11"/>
      <c r="T7345" s="11"/>
    </row>
    <row r="7346" spans="8:20" x14ac:dyDescent="0.35">
      <c r="H7346" s="711"/>
      <c r="I7346" s="711"/>
      <c r="J7346" s="711"/>
      <c r="K7346" s="711"/>
      <c r="L7346" s="711"/>
      <c r="Q7346" s="11"/>
      <c r="R7346" s="11"/>
      <c r="S7346" s="11"/>
      <c r="T7346" s="11"/>
    </row>
    <row r="7347" spans="8:20" x14ac:dyDescent="0.35">
      <c r="H7347" s="711"/>
      <c r="I7347" s="711"/>
      <c r="J7347" s="711"/>
      <c r="K7347" s="711"/>
      <c r="L7347" s="711"/>
      <c r="Q7347" s="11"/>
      <c r="R7347" s="11"/>
      <c r="S7347" s="11"/>
      <c r="T7347" s="11"/>
    </row>
    <row r="7348" spans="8:20" x14ac:dyDescent="0.35">
      <c r="H7348" s="711"/>
      <c r="I7348" s="711"/>
      <c r="J7348" s="711"/>
      <c r="K7348" s="711"/>
      <c r="L7348" s="711"/>
      <c r="Q7348" s="11"/>
      <c r="R7348" s="11"/>
      <c r="S7348" s="11"/>
      <c r="T7348" s="11"/>
    </row>
    <row r="7349" spans="8:20" x14ac:dyDescent="0.35">
      <c r="H7349" s="711"/>
      <c r="I7349" s="711"/>
      <c r="J7349" s="711"/>
      <c r="K7349" s="711"/>
      <c r="L7349" s="711"/>
      <c r="Q7349" s="11"/>
      <c r="R7349" s="11"/>
      <c r="S7349" s="11"/>
      <c r="T7349" s="11"/>
    </row>
    <row r="7350" spans="8:20" x14ac:dyDescent="0.35">
      <c r="H7350" s="711"/>
      <c r="I7350" s="711"/>
      <c r="J7350" s="711"/>
      <c r="K7350" s="711"/>
      <c r="L7350" s="711"/>
      <c r="Q7350" s="11"/>
      <c r="R7350" s="11"/>
      <c r="S7350" s="11"/>
      <c r="T7350" s="11"/>
    </row>
    <row r="7351" spans="8:20" x14ac:dyDescent="0.35">
      <c r="H7351" s="711"/>
      <c r="I7351" s="711"/>
      <c r="J7351" s="711"/>
      <c r="K7351" s="711"/>
      <c r="L7351" s="711"/>
      <c r="Q7351" s="11"/>
      <c r="R7351" s="11"/>
      <c r="S7351" s="11"/>
      <c r="T7351" s="11"/>
    </row>
    <row r="7352" spans="8:20" x14ac:dyDescent="0.35">
      <c r="H7352" s="711"/>
      <c r="I7352" s="711"/>
      <c r="J7352" s="711"/>
      <c r="K7352" s="711"/>
      <c r="L7352" s="711"/>
      <c r="Q7352" s="11"/>
      <c r="R7352" s="11"/>
      <c r="S7352" s="11"/>
      <c r="T7352" s="11"/>
    </row>
    <row r="7353" spans="8:20" x14ac:dyDescent="0.35">
      <c r="H7353" s="711"/>
      <c r="I7353" s="711"/>
      <c r="J7353" s="711"/>
      <c r="K7353" s="711"/>
      <c r="L7353" s="711"/>
      <c r="Q7353" s="11"/>
      <c r="R7353" s="11"/>
      <c r="S7353" s="11"/>
      <c r="T7353" s="11"/>
    </row>
    <row r="7354" spans="8:20" x14ac:dyDescent="0.35">
      <c r="H7354" s="711"/>
      <c r="I7354" s="711"/>
      <c r="J7354" s="711"/>
      <c r="K7354" s="711"/>
      <c r="L7354" s="711"/>
      <c r="Q7354" s="11"/>
      <c r="R7354" s="11"/>
      <c r="S7354" s="11"/>
      <c r="T7354" s="11"/>
    </row>
    <row r="7355" spans="8:20" x14ac:dyDescent="0.35">
      <c r="H7355" s="711"/>
      <c r="I7355" s="711"/>
      <c r="J7355" s="711"/>
      <c r="K7355" s="711"/>
      <c r="L7355" s="711"/>
      <c r="Q7355" s="11"/>
      <c r="R7355" s="11"/>
      <c r="S7355" s="11"/>
      <c r="T7355" s="11"/>
    </row>
    <row r="7356" spans="8:20" x14ac:dyDescent="0.35">
      <c r="H7356" s="711"/>
      <c r="I7356" s="711"/>
      <c r="J7356" s="711"/>
      <c r="K7356" s="711"/>
      <c r="L7356" s="711"/>
      <c r="Q7356" s="11"/>
      <c r="R7356" s="11"/>
      <c r="S7356" s="11"/>
      <c r="T7356" s="11"/>
    </row>
    <row r="7357" spans="8:20" x14ac:dyDescent="0.35">
      <c r="H7357" s="711"/>
      <c r="I7357" s="711"/>
      <c r="J7357" s="711"/>
      <c r="K7357" s="711"/>
      <c r="L7357" s="711"/>
      <c r="Q7357" s="11"/>
      <c r="R7357" s="11"/>
      <c r="S7357" s="11"/>
      <c r="T7357" s="11"/>
    </row>
    <row r="7358" spans="8:20" x14ac:dyDescent="0.35">
      <c r="H7358" s="711"/>
      <c r="I7358" s="711"/>
      <c r="J7358" s="711"/>
      <c r="K7358" s="711"/>
      <c r="L7358" s="711"/>
      <c r="Q7358" s="11"/>
      <c r="R7358" s="11"/>
      <c r="S7358" s="11"/>
      <c r="T7358" s="11"/>
    </row>
    <row r="7359" spans="8:20" x14ac:dyDescent="0.35">
      <c r="H7359" s="711"/>
      <c r="I7359" s="711"/>
      <c r="J7359" s="711"/>
      <c r="K7359" s="711"/>
      <c r="L7359" s="711"/>
      <c r="Q7359" s="11"/>
      <c r="R7359" s="11"/>
      <c r="S7359" s="11"/>
      <c r="T7359" s="11"/>
    </row>
    <row r="7360" spans="8:20" x14ac:dyDescent="0.35">
      <c r="H7360" s="711"/>
      <c r="I7360" s="711"/>
      <c r="J7360" s="711"/>
      <c r="K7360" s="711"/>
      <c r="L7360" s="711"/>
      <c r="Q7360" s="11"/>
      <c r="R7360" s="11"/>
      <c r="S7360" s="11"/>
      <c r="T7360" s="11"/>
    </row>
    <row r="7361" spans="8:20" x14ac:dyDescent="0.35">
      <c r="H7361" s="711"/>
      <c r="I7361" s="711"/>
      <c r="J7361" s="711"/>
      <c r="K7361" s="711"/>
      <c r="L7361" s="711"/>
      <c r="Q7361" s="11"/>
      <c r="R7361" s="11"/>
      <c r="S7361" s="11"/>
      <c r="T7361" s="11"/>
    </row>
    <row r="7362" spans="8:20" x14ac:dyDescent="0.35">
      <c r="H7362" s="711"/>
      <c r="I7362" s="711"/>
      <c r="J7362" s="711"/>
      <c r="K7362" s="711"/>
      <c r="L7362" s="711"/>
      <c r="Q7362" s="11"/>
      <c r="R7362" s="11"/>
      <c r="S7362" s="11"/>
      <c r="T7362" s="11"/>
    </row>
    <row r="7363" spans="8:20" x14ac:dyDescent="0.35">
      <c r="H7363" s="711"/>
      <c r="I7363" s="711"/>
      <c r="J7363" s="711"/>
      <c r="K7363" s="711"/>
      <c r="L7363" s="711"/>
      <c r="Q7363" s="11"/>
      <c r="R7363" s="11"/>
      <c r="S7363" s="11"/>
      <c r="T7363" s="11"/>
    </row>
    <row r="7364" spans="8:20" x14ac:dyDescent="0.35">
      <c r="H7364" s="711"/>
      <c r="I7364" s="711"/>
      <c r="J7364" s="711"/>
      <c r="K7364" s="711"/>
      <c r="L7364" s="711"/>
      <c r="Q7364" s="11"/>
      <c r="R7364" s="11"/>
      <c r="S7364" s="11"/>
      <c r="T7364" s="11"/>
    </row>
    <row r="7365" spans="8:20" x14ac:dyDescent="0.35">
      <c r="H7365" s="711"/>
      <c r="I7365" s="711"/>
      <c r="J7365" s="711"/>
      <c r="K7365" s="711"/>
      <c r="L7365" s="711"/>
      <c r="Q7365" s="11"/>
      <c r="R7365" s="11"/>
      <c r="S7365" s="11"/>
      <c r="T7365" s="11"/>
    </row>
    <row r="7366" spans="8:20" x14ac:dyDescent="0.35">
      <c r="H7366" s="711"/>
      <c r="I7366" s="711"/>
      <c r="J7366" s="711"/>
      <c r="K7366" s="711"/>
      <c r="L7366" s="711"/>
      <c r="Q7366" s="11"/>
      <c r="R7366" s="11"/>
      <c r="S7366" s="11"/>
      <c r="T7366" s="11"/>
    </row>
    <row r="7367" spans="8:20" x14ac:dyDescent="0.35">
      <c r="H7367" s="711"/>
      <c r="I7367" s="711"/>
      <c r="J7367" s="711"/>
      <c r="K7367" s="711"/>
      <c r="L7367" s="711"/>
      <c r="Q7367" s="11"/>
      <c r="R7367" s="11"/>
      <c r="S7367" s="11"/>
      <c r="T7367" s="11"/>
    </row>
    <row r="7368" spans="8:20" x14ac:dyDescent="0.35">
      <c r="H7368" s="711"/>
      <c r="I7368" s="711"/>
      <c r="J7368" s="711"/>
      <c r="K7368" s="711"/>
      <c r="L7368" s="711"/>
      <c r="Q7368" s="11"/>
      <c r="R7368" s="11"/>
      <c r="S7368" s="11"/>
      <c r="T7368" s="11"/>
    </row>
    <row r="7369" spans="8:20" x14ac:dyDescent="0.35">
      <c r="H7369" s="711"/>
      <c r="I7369" s="711"/>
      <c r="J7369" s="711"/>
      <c r="K7369" s="711"/>
      <c r="L7369" s="711"/>
      <c r="Q7369" s="11"/>
      <c r="R7369" s="11"/>
      <c r="S7369" s="11"/>
      <c r="T7369" s="11"/>
    </row>
    <row r="7370" spans="8:20" x14ac:dyDescent="0.35">
      <c r="H7370" s="711"/>
      <c r="I7370" s="711"/>
      <c r="J7370" s="711"/>
      <c r="K7370" s="711"/>
      <c r="L7370" s="711"/>
      <c r="Q7370" s="11"/>
      <c r="R7370" s="11"/>
      <c r="S7370" s="11"/>
      <c r="T7370" s="11"/>
    </row>
    <row r="7371" spans="8:20" x14ac:dyDescent="0.35">
      <c r="H7371" s="711"/>
      <c r="I7371" s="711"/>
      <c r="J7371" s="711"/>
      <c r="K7371" s="711"/>
      <c r="L7371" s="711"/>
      <c r="Q7371" s="11"/>
      <c r="R7371" s="11"/>
      <c r="S7371" s="11"/>
      <c r="T7371" s="11"/>
    </row>
    <row r="7372" spans="8:20" x14ac:dyDescent="0.35">
      <c r="H7372" s="711"/>
      <c r="I7372" s="711"/>
      <c r="J7372" s="711"/>
      <c r="K7372" s="711"/>
      <c r="L7372" s="711"/>
      <c r="Q7372" s="11"/>
      <c r="R7372" s="11"/>
      <c r="S7372" s="11"/>
      <c r="T7372" s="11"/>
    </row>
    <row r="7373" spans="8:20" x14ac:dyDescent="0.35">
      <c r="H7373" s="711"/>
      <c r="I7373" s="711"/>
      <c r="J7373" s="711"/>
      <c r="K7373" s="711"/>
      <c r="L7373" s="711"/>
      <c r="Q7373" s="11"/>
      <c r="R7373" s="11"/>
      <c r="S7373" s="11"/>
      <c r="T7373" s="11"/>
    </row>
    <row r="7374" spans="8:20" x14ac:dyDescent="0.35">
      <c r="H7374" s="711"/>
      <c r="I7374" s="711"/>
      <c r="J7374" s="711"/>
      <c r="K7374" s="711"/>
      <c r="L7374" s="711"/>
      <c r="Q7374" s="11"/>
      <c r="R7374" s="11"/>
      <c r="S7374" s="11"/>
      <c r="T7374" s="11"/>
    </row>
    <row r="7375" spans="8:20" x14ac:dyDescent="0.35">
      <c r="H7375" s="711"/>
      <c r="I7375" s="711"/>
      <c r="J7375" s="711"/>
      <c r="K7375" s="711"/>
      <c r="L7375" s="711"/>
      <c r="Q7375" s="11"/>
      <c r="R7375" s="11"/>
      <c r="S7375" s="11"/>
      <c r="T7375" s="11"/>
    </row>
    <row r="7376" spans="8:20" x14ac:dyDescent="0.35">
      <c r="H7376" s="711"/>
      <c r="I7376" s="711"/>
      <c r="J7376" s="711"/>
      <c r="K7376" s="711"/>
      <c r="L7376" s="711"/>
      <c r="Q7376" s="11"/>
      <c r="R7376" s="11"/>
      <c r="S7376" s="11"/>
      <c r="T7376" s="11"/>
    </row>
    <row r="7377" spans="8:20" x14ac:dyDescent="0.35">
      <c r="H7377" s="711"/>
      <c r="I7377" s="711"/>
      <c r="J7377" s="711"/>
      <c r="K7377" s="711"/>
      <c r="L7377" s="711"/>
      <c r="Q7377" s="11"/>
      <c r="R7377" s="11"/>
      <c r="S7377" s="11"/>
      <c r="T7377" s="11"/>
    </row>
    <row r="7378" spans="8:20" x14ac:dyDescent="0.35">
      <c r="H7378" s="711"/>
      <c r="I7378" s="711"/>
      <c r="J7378" s="711"/>
      <c r="K7378" s="711"/>
      <c r="L7378" s="711"/>
      <c r="Q7378" s="11"/>
      <c r="R7378" s="11"/>
      <c r="S7378" s="11"/>
      <c r="T7378" s="11"/>
    </row>
    <row r="7379" spans="8:20" x14ac:dyDescent="0.35">
      <c r="H7379" s="711"/>
      <c r="I7379" s="711"/>
      <c r="J7379" s="711"/>
      <c r="K7379" s="711"/>
      <c r="L7379" s="711"/>
      <c r="Q7379" s="11"/>
      <c r="R7379" s="11"/>
      <c r="S7379" s="11"/>
      <c r="T7379" s="11"/>
    </row>
    <row r="7380" spans="8:20" x14ac:dyDescent="0.35">
      <c r="H7380" s="711"/>
      <c r="I7380" s="711"/>
      <c r="J7380" s="711"/>
      <c r="K7380" s="711"/>
      <c r="L7380" s="711"/>
      <c r="Q7380" s="11"/>
      <c r="R7380" s="11"/>
      <c r="S7380" s="11"/>
      <c r="T7380" s="11"/>
    </row>
    <row r="7381" spans="8:20" x14ac:dyDescent="0.35">
      <c r="H7381" s="711"/>
      <c r="I7381" s="711"/>
      <c r="J7381" s="711"/>
      <c r="K7381" s="711"/>
      <c r="L7381" s="711"/>
      <c r="Q7381" s="11"/>
      <c r="R7381" s="11"/>
      <c r="S7381" s="11"/>
      <c r="T7381" s="11"/>
    </row>
    <row r="7382" spans="8:20" x14ac:dyDescent="0.35">
      <c r="H7382" s="711"/>
      <c r="I7382" s="711"/>
      <c r="J7382" s="711"/>
      <c r="K7382" s="711"/>
      <c r="L7382" s="711"/>
      <c r="Q7382" s="11"/>
      <c r="R7382" s="11"/>
      <c r="S7382" s="11"/>
      <c r="T7382" s="11"/>
    </row>
    <row r="7383" spans="8:20" x14ac:dyDescent="0.35">
      <c r="H7383" s="711"/>
      <c r="I7383" s="711"/>
      <c r="J7383" s="711"/>
      <c r="K7383" s="711"/>
      <c r="L7383" s="711"/>
      <c r="Q7383" s="11"/>
      <c r="R7383" s="11"/>
      <c r="S7383" s="11"/>
      <c r="T7383" s="11"/>
    </row>
    <row r="7384" spans="8:20" x14ac:dyDescent="0.35">
      <c r="H7384" s="711"/>
      <c r="I7384" s="711"/>
      <c r="J7384" s="711"/>
      <c r="K7384" s="711"/>
      <c r="L7384" s="711"/>
      <c r="Q7384" s="11"/>
      <c r="R7384" s="11"/>
      <c r="S7384" s="11"/>
      <c r="T7384" s="11"/>
    </row>
    <row r="7385" spans="8:20" x14ac:dyDescent="0.35">
      <c r="H7385" s="711"/>
      <c r="I7385" s="711"/>
      <c r="J7385" s="711"/>
      <c r="K7385" s="711"/>
      <c r="L7385" s="711"/>
      <c r="Q7385" s="11"/>
      <c r="R7385" s="11"/>
      <c r="S7385" s="11"/>
      <c r="T7385" s="11"/>
    </row>
    <row r="7386" spans="8:20" x14ac:dyDescent="0.35">
      <c r="H7386" s="711"/>
      <c r="I7386" s="711"/>
      <c r="J7386" s="711"/>
      <c r="K7386" s="711"/>
      <c r="L7386" s="711"/>
      <c r="Q7386" s="11"/>
      <c r="R7386" s="11"/>
      <c r="S7386" s="11"/>
      <c r="T7386" s="11"/>
    </row>
    <row r="7387" spans="8:20" x14ac:dyDescent="0.35">
      <c r="H7387" s="711"/>
      <c r="I7387" s="711"/>
      <c r="J7387" s="711"/>
      <c r="K7387" s="711"/>
      <c r="L7387" s="711"/>
      <c r="Q7387" s="11"/>
      <c r="R7387" s="11"/>
      <c r="S7387" s="11"/>
      <c r="T7387" s="11"/>
    </row>
    <row r="7388" spans="8:20" x14ac:dyDescent="0.35">
      <c r="H7388" s="711"/>
      <c r="I7388" s="711"/>
      <c r="J7388" s="711"/>
      <c r="K7388" s="711"/>
      <c r="L7388" s="711"/>
      <c r="Q7388" s="11"/>
      <c r="R7388" s="11"/>
      <c r="S7388" s="11"/>
      <c r="T7388" s="11"/>
    </row>
    <row r="7389" spans="8:20" x14ac:dyDescent="0.35">
      <c r="H7389" s="711"/>
      <c r="I7389" s="711"/>
      <c r="J7389" s="711"/>
      <c r="K7389" s="711"/>
      <c r="L7389" s="711"/>
      <c r="Q7389" s="11"/>
      <c r="R7389" s="11"/>
      <c r="S7389" s="11"/>
      <c r="T7389" s="11"/>
    </row>
    <row r="7390" spans="8:20" x14ac:dyDescent="0.35">
      <c r="H7390" s="711"/>
      <c r="I7390" s="711"/>
      <c r="J7390" s="711"/>
      <c r="K7390" s="711"/>
      <c r="L7390" s="711"/>
      <c r="Q7390" s="11"/>
      <c r="R7390" s="11"/>
      <c r="S7390" s="11"/>
      <c r="T7390" s="11"/>
    </row>
    <row r="7391" spans="8:20" x14ac:dyDescent="0.35">
      <c r="H7391" s="711"/>
      <c r="I7391" s="711"/>
      <c r="J7391" s="711"/>
      <c r="K7391" s="711"/>
      <c r="L7391" s="711"/>
      <c r="Q7391" s="11"/>
      <c r="R7391" s="11"/>
      <c r="S7391" s="11"/>
      <c r="T7391" s="11"/>
    </row>
    <row r="7392" spans="8:20" x14ac:dyDescent="0.35">
      <c r="H7392" s="711"/>
      <c r="I7392" s="711"/>
      <c r="J7392" s="711"/>
      <c r="K7392" s="711"/>
      <c r="L7392" s="711"/>
      <c r="Q7392" s="11"/>
      <c r="R7392" s="11"/>
      <c r="S7392" s="11"/>
      <c r="T7392" s="11"/>
    </row>
    <row r="7393" spans="8:20" x14ac:dyDescent="0.35">
      <c r="H7393" s="711"/>
      <c r="I7393" s="711"/>
      <c r="J7393" s="711"/>
      <c r="K7393" s="711"/>
      <c r="L7393" s="711"/>
      <c r="Q7393" s="11"/>
      <c r="R7393" s="11"/>
      <c r="S7393" s="11"/>
      <c r="T7393" s="11"/>
    </row>
    <row r="7394" spans="8:20" x14ac:dyDescent="0.35">
      <c r="H7394" s="711"/>
      <c r="I7394" s="711"/>
      <c r="J7394" s="711"/>
      <c r="K7394" s="711"/>
      <c r="L7394" s="711"/>
      <c r="Q7394" s="11"/>
      <c r="R7394" s="11"/>
      <c r="S7394" s="11"/>
      <c r="T7394" s="11"/>
    </row>
    <row r="7395" spans="8:20" x14ac:dyDescent="0.35">
      <c r="H7395" s="711"/>
      <c r="I7395" s="711"/>
      <c r="J7395" s="711"/>
      <c r="K7395" s="711"/>
      <c r="L7395" s="711"/>
      <c r="Q7395" s="11"/>
      <c r="R7395" s="11"/>
      <c r="S7395" s="11"/>
      <c r="T7395" s="11"/>
    </row>
    <row r="7396" spans="8:20" x14ac:dyDescent="0.35">
      <c r="H7396" s="711"/>
      <c r="I7396" s="711"/>
      <c r="J7396" s="711"/>
      <c r="K7396" s="711"/>
      <c r="L7396" s="711"/>
      <c r="Q7396" s="11"/>
      <c r="R7396" s="11"/>
      <c r="S7396" s="11"/>
      <c r="T7396" s="11"/>
    </row>
    <row r="7397" spans="8:20" x14ac:dyDescent="0.35">
      <c r="H7397" s="711"/>
      <c r="I7397" s="711"/>
      <c r="J7397" s="711"/>
      <c r="K7397" s="711"/>
      <c r="L7397" s="711"/>
      <c r="Q7397" s="11"/>
      <c r="R7397" s="11"/>
      <c r="S7397" s="11"/>
      <c r="T7397" s="11"/>
    </row>
    <row r="7398" spans="8:20" x14ac:dyDescent="0.35">
      <c r="H7398" s="711"/>
      <c r="I7398" s="711"/>
      <c r="J7398" s="711"/>
      <c r="K7398" s="711"/>
      <c r="L7398" s="711"/>
      <c r="Q7398" s="11"/>
      <c r="R7398" s="11"/>
      <c r="S7398" s="11"/>
      <c r="T7398" s="11"/>
    </row>
    <row r="7399" spans="8:20" x14ac:dyDescent="0.35">
      <c r="H7399" s="711"/>
      <c r="I7399" s="711"/>
      <c r="J7399" s="711"/>
      <c r="K7399" s="711"/>
      <c r="L7399" s="711"/>
      <c r="Q7399" s="11"/>
      <c r="R7399" s="11"/>
      <c r="S7399" s="11"/>
      <c r="T7399" s="11"/>
    </row>
    <row r="7400" spans="8:20" x14ac:dyDescent="0.35">
      <c r="H7400" s="711"/>
      <c r="I7400" s="711"/>
      <c r="J7400" s="711"/>
      <c r="K7400" s="711"/>
      <c r="L7400" s="711"/>
      <c r="Q7400" s="11"/>
      <c r="R7400" s="11"/>
      <c r="S7400" s="11"/>
      <c r="T7400" s="11"/>
    </row>
    <row r="7401" spans="8:20" x14ac:dyDescent="0.35">
      <c r="H7401" s="711"/>
      <c r="I7401" s="711"/>
      <c r="J7401" s="711"/>
      <c r="K7401" s="711"/>
      <c r="L7401" s="711"/>
      <c r="Q7401" s="11"/>
      <c r="R7401" s="11"/>
      <c r="S7401" s="11"/>
      <c r="T7401" s="11"/>
    </row>
    <row r="7402" spans="8:20" x14ac:dyDescent="0.35">
      <c r="H7402" s="711"/>
      <c r="I7402" s="711"/>
      <c r="J7402" s="711"/>
      <c r="K7402" s="711"/>
      <c r="L7402" s="711"/>
      <c r="Q7402" s="11"/>
      <c r="R7402" s="11"/>
      <c r="S7402" s="11"/>
      <c r="T7402" s="11"/>
    </row>
    <row r="7403" spans="8:20" x14ac:dyDescent="0.35">
      <c r="H7403" s="711"/>
      <c r="I7403" s="711"/>
      <c r="J7403" s="711"/>
      <c r="K7403" s="711"/>
      <c r="L7403" s="711"/>
      <c r="Q7403" s="11"/>
      <c r="R7403" s="11"/>
      <c r="S7403" s="11"/>
      <c r="T7403" s="11"/>
    </row>
    <row r="7404" spans="8:20" x14ac:dyDescent="0.35">
      <c r="H7404" s="711"/>
      <c r="I7404" s="711"/>
      <c r="J7404" s="711"/>
      <c r="K7404" s="711"/>
      <c r="L7404" s="711"/>
      <c r="Q7404" s="11"/>
      <c r="R7404" s="11"/>
      <c r="S7404" s="11"/>
      <c r="T7404" s="11"/>
    </row>
    <row r="7405" spans="8:20" x14ac:dyDescent="0.35">
      <c r="H7405" s="711"/>
      <c r="I7405" s="711"/>
      <c r="J7405" s="711"/>
      <c r="K7405" s="711"/>
      <c r="L7405" s="711"/>
      <c r="Q7405" s="11"/>
      <c r="R7405" s="11"/>
      <c r="S7405" s="11"/>
      <c r="T7405" s="11"/>
    </row>
    <row r="7406" spans="8:20" x14ac:dyDescent="0.35">
      <c r="H7406" s="711"/>
      <c r="I7406" s="711"/>
      <c r="J7406" s="711"/>
      <c r="K7406" s="711"/>
      <c r="L7406" s="711"/>
      <c r="Q7406" s="11"/>
      <c r="R7406" s="11"/>
      <c r="S7406" s="11"/>
      <c r="T7406" s="11"/>
    </row>
    <row r="7407" spans="8:20" x14ac:dyDescent="0.35">
      <c r="H7407" s="711"/>
      <c r="I7407" s="711"/>
      <c r="J7407" s="711"/>
      <c r="K7407" s="711"/>
      <c r="L7407" s="711"/>
      <c r="Q7407" s="11"/>
      <c r="R7407" s="11"/>
      <c r="S7407" s="11"/>
      <c r="T7407" s="11"/>
    </row>
    <row r="7408" spans="8:20" x14ac:dyDescent="0.35">
      <c r="H7408" s="711"/>
      <c r="I7408" s="711"/>
      <c r="J7408" s="711"/>
      <c r="K7408" s="711"/>
      <c r="L7408" s="711"/>
      <c r="Q7408" s="11"/>
      <c r="R7408" s="11"/>
      <c r="S7408" s="11"/>
      <c r="T7408" s="11"/>
    </row>
    <row r="7409" spans="8:20" x14ac:dyDescent="0.35">
      <c r="H7409" s="711"/>
      <c r="I7409" s="711"/>
      <c r="J7409" s="711"/>
      <c r="K7409" s="711"/>
      <c r="L7409" s="711"/>
      <c r="Q7409" s="11"/>
      <c r="R7409" s="11"/>
      <c r="S7409" s="11"/>
      <c r="T7409" s="11"/>
    </row>
    <row r="7410" spans="8:20" x14ac:dyDescent="0.35">
      <c r="H7410" s="711"/>
      <c r="I7410" s="711"/>
      <c r="J7410" s="711"/>
      <c r="K7410" s="711"/>
      <c r="L7410" s="711"/>
      <c r="Q7410" s="11"/>
      <c r="R7410" s="11"/>
      <c r="S7410" s="11"/>
      <c r="T7410" s="11"/>
    </row>
    <row r="7411" spans="8:20" x14ac:dyDescent="0.35">
      <c r="H7411" s="711"/>
      <c r="I7411" s="711"/>
      <c r="J7411" s="711"/>
      <c r="K7411" s="711"/>
      <c r="L7411" s="711"/>
      <c r="Q7411" s="11"/>
      <c r="R7411" s="11"/>
      <c r="S7411" s="11"/>
      <c r="T7411" s="11"/>
    </row>
    <row r="7412" spans="8:20" x14ac:dyDescent="0.35">
      <c r="H7412" s="711"/>
      <c r="I7412" s="711"/>
      <c r="J7412" s="711"/>
      <c r="K7412" s="711"/>
      <c r="L7412" s="711"/>
      <c r="Q7412" s="11"/>
      <c r="R7412" s="11"/>
      <c r="S7412" s="11"/>
      <c r="T7412" s="11"/>
    </row>
    <row r="7413" spans="8:20" x14ac:dyDescent="0.35">
      <c r="H7413" s="711"/>
      <c r="I7413" s="711"/>
      <c r="J7413" s="711"/>
      <c r="K7413" s="711"/>
      <c r="L7413" s="711"/>
      <c r="Q7413" s="11"/>
      <c r="R7413" s="11"/>
      <c r="S7413" s="11"/>
      <c r="T7413" s="11"/>
    </row>
    <row r="7414" spans="8:20" x14ac:dyDescent="0.35">
      <c r="H7414" s="711"/>
      <c r="I7414" s="711"/>
      <c r="J7414" s="711"/>
      <c r="K7414" s="711"/>
      <c r="L7414" s="711"/>
      <c r="Q7414" s="11"/>
      <c r="R7414" s="11"/>
      <c r="S7414" s="11"/>
      <c r="T7414" s="11"/>
    </row>
    <row r="7415" spans="8:20" x14ac:dyDescent="0.35">
      <c r="H7415" s="711"/>
      <c r="I7415" s="711"/>
      <c r="J7415" s="711"/>
      <c r="K7415" s="711"/>
      <c r="L7415" s="711"/>
      <c r="Q7415" s="11"/>
      <c r="R7415" s="11"/>
      <c r="S7415" s="11"/>
      <c r="T7415" s="11"/>
    </row>
    <row r="7416" spans="8:20" x14ac:dyDescent="0.35">
      <c r="H7416" s="711"/>
      <c r="I7416" s="711"/>
      <c r="J7416" s="711"/>
      <c r="K7416" s="711"/>
      <c r="L7416" s="711"/>
      <c r="Q7416" s="11"/>
      <c r="R7416" s="11"/>
      <c r="S7416" s="11"/>
      <c r="T7416" s="11"/>
    </row>
    <row r="7417" spans="8:20" x14ac:dyDescent="0.35">
      <c r="H7417" s="711"/>
      <c r="I7417" s="711"/>
      <c r="J7417" s="711"/>
      <c r="K7417" s="711"/>
      <c r="L7417" s="711"/>
      <c r="Q7417" s="11"/>
      <c r="R7417" s="11"/>
      <c r="S7417" s="11"/>
      <c r="T7417" s="11"/>
    </row>
    <row r="7418" spans="8:20" x14ac:dyDescent="0.35">
      <c r="H7418" s="711"/>
      <c r="I7418" s="711"/>
      <c r="J7418" s="711"/>
      <c r="K7418" s="711"/>
      <c r="L7418" s="711"/>
      <c r="Q7418" s="11"/>
      <c r="R7418" s="11"/>
      <c r="S7418" s="11"/>
      <c r="T7418" s="11"/>
    </row>
    <row r="7419" spans="8:20" x14ac:dyDescent="0.35">
      <c r="H7419" s="711"/>
      <c r="I7419" s="711"/>
      <c r="J7419" s="711"/>
      <c r="K7419" s="711"/>
      <c r="L7419" s="711"/>
      <c r="Q7419" s="11"/>
      <c r="R7419" s="11"/>
      <c r="S7419" s="11"/>
      <c r="T7419" s="11"/>
    </row>
    <row r="7420" spans="8:20" x14ac:dyDescent="0.35">
      <c r="H7420" s="711"/>
      <c r="I7420" s="711"/>
      <c r="J7420" s="711"/>
      <c r="K7420" s="711"/>
      <c r="L7420" s="711"/>
      <c r="Q7420" s="11"/>
      <c r="R7420" s="11"/>
      <c r="S7420" s="11"/>
      <c r="T7420" s="11"/>
    </row>
    <row r="7421" spans="8:20" x14ac:dyDescent="0.35">
      <c r="H7421" s="711"/>
      <c r="I7421" s="711"/>
      <c r="J7421" s="711"/>
      <c r="K7421" s="711"/>
      <c r="L7421" s="711"/>
      <c r="Q7421" s="11"/>
      <c r="R7421" s="11"/>
      <c r="S7421" s="11"/>
      <c r="T7421" s="11"/>
    </row>
    <row r="7422" spans="8:20" x14ac:dyDescent="0.35">
      <c r="H7422" s="711"/>
      <c r="I7422" s="711"/>
      <c r="J7422" s="711"/>
      <c r="K7422" s="711"/>
      <c r="L7422" s="711"/>
      <c r="Q7422" s="11"/>
      <c r="R7422" s="11"/>
      <c r="S7422" s="11"/>
      <c r="T7422" s="11"/>
    </row>
    <row r="7423" spans="8:20" x14ac:dyDescent="0.35">
      <c r="H7423" s="711"/>
      <c r="I7423" s="711"/>
      <c r="J7423" s="711"/>
      <c r="K7423" s="711"/>
      <c r="L7423" s="711"/>
      <c r="Q7423" s="11"/>
      <c r="R7423" s="11"/>
      <c r="S7423" s="11"/>
      <c r="T7423" s="11"/>
    </row>
    <row r="7424" spans="8:20" x14ac:dyDescent="0.35">
      <c r="H7424" s="711"/>
      <c r="I7424" s="711"/>
      <c r="J7424" s="711"/>
      <c r="K7424" s="711"/>
      <c r="L7424" s="711"/>
      <c r="Q7424" s="11"/>
      <c r="R7424" s="11"/>
      <c r="S7424" s="11"/>
      <c r="T7424" s="11"/>
    </row>
    <row r="7425" spans="8:20" x14ac:dyDescent="0.35">
      <c r="H7425" s="711"/>
      <c r="I7425" s="711"/>
      <c r="J7425" s="711"/>
      <c r="K7425" s="711"/>
      <c r="L7425" s="711"/>
      <c r="Q7425" s="11"/>
      <c r="R7425" s="11"/>
      <c r="S7425" s="11"/>
      <c r="T7425" s="11"/>
    </row>
    <row r="7426" spans="8:20" x14ac:dyDescent="0.35">
      <c r="H7426" s="711"/>
      <c r="I7426" s="711"/>
      <c r="J7426" s="711"/>
      <c r="K7426" s="711"/>
      <c r="L7426" s="711"/>
      <c r="Q7426" s="11"/>
      <c r="R7426" s="11"/>
      <c r="S7426" s="11"/>
      <c r="T7426" s="11"/>
    </row>
    <row r="7427" spans="8:20" x14ac:dyDescent="0.35">
      <c r="H7427" s="711"/>
      <c r="I7427" s="711"/>
      <c r="J7427" s="711"/>
      <c r="K7427" s="711"/>
      <c r="L7427" s="711"/>
      <c r="Q7427" s="11"/>
      <c r="R7427" s="11"/>
      <c r="S7427" s="11"/>
      <c r="T7427" s="11"/>
    </row>
    <row r="7428" spans="8:20" x14ac:dyDescent="0.35">
      <c r="H7428" s="711"/>
      <c r="I7428" s="711"/>
      <c r="J7428" s="711"/>
      <c r="K7428" s="711"/>
      <c r="L7428" s="711"/>
      <c r="Q7428" s="11"/>
      <c r="R7428" s="11"/>
      <c r="S7428" s="11"/>
      <c r="T7428" s="11"/>
    </row>
    <row r="7429" spans="8:20" x14ac:dyDescent="0.35">
      <c r="H7429" s="711"/>
      <c r="I7429" s="711"/>
      <c r="J7429" s="711"/>
      <c r="K7429" s="711"/>
      <c r="L7429" s="711"/>
      <c r="Q7429" s="11"/>
      <c r="R7429" s="11"/>
      <c r="S7429" s="11"/>
      <c r="T7429" s="11"/>
    </row>
    <row r="7430" spans="8:20" x14ac:dyDescent="0.35">
      <c r="H7430" s="711"/>
      <c r="I7430" s="711"/>
      <c r="J7430" s="711"/>
      <c r="K7430" s="711"/>
      <c r="L7430" s="711"/>
      <c r="Q7430" s="11"/>
      <c r="R7430" s="11"/>
      <c r="S7430" s="11"/>
      <c r="T7430" s="11"/>
    </row>
    <row r="7431" spans="8:20" x14ac:dyDescent="0.35">
      <c r="H7431" s="711"/>
      <c r="I7431" s="711"/>
      <c r="J7431" s="711"/>
      <c r="K7431" s="711"/>
      <c r="L7431" s="711"/>
      <c r="Q7431" s="11"/>
      <c r="R7431" s="11"/>
      <c r="S7431" s="11"/>
      <c r="T7431" s="11"/>
    </row>
    <row r="7432" spans="8:20" x14ac:dyDescent="0.35">
      <c r="H7432" s="711"/>
      <c r="I7432" s="711"/>
      <c r="J7432" s="711"/>
      <c r="K7432" s="711"/>
      <c r="L7432" s="711"/>
      <c r="Q7432" s="11"/>
      <c r="R7432" s="11"/>
      <c r="S7432" s="11"/>
      <c r="T7432" s="11"/>
    </row>
    <row r="7433" spans="8:20" x14ac:dyDescent="0.35">
      <c r="H7433" s="711"/>
      <c r="I7433" s="711"/>
      <c r="J7433" s="711"/>
      <c r="K7433" s="711"/>
      <c r="L7433" s="711"/>
      <c r="Q7433" s="11"/>
      <c r="R7433" s="11"/>
      <c r="S7433" s="11"/>
      <c r="T7433" s="11"/>
    </row>
    <row r="7434" spans="8:20" x14ac:dyDescent="0.35">
      <c r="H7434" s="711"/>
      <c r="I7434" s="711"/>
      <c r="J7434" s="711"/>
      <c r="K7434" s="711"/>
      <c r="L7434" s="711"/>
      <c r="Q7434" s="11"/>
      <c r="R7434" s="11"/>
      <c r="S7434" s="11"/>
      <c r="T7434" s="11"/>
    </row>
    <row r="7435" spans="8:20" x14ac:dyDescent="0.35">
      <c r="H7435" s="711"/>
      <c r="I7435" s="711"/>
      <c r="J7435" s="711"/>
      <c r="K7435" s="711"/>
      <c r="L7435" s="711"/>
      <c r="Q7435" s="11"/>
      <c r="R7435" s="11"/>
      <c r="S7435" s="11"/>
      <c r="T7435" s="11"/>
    </row>
    <row r="7436" spans="8:20" x14ac:dyDescent="0.35">
      <c r="H7436" s="711"/>
      <c r="I7436" s="711"/>
      <c r="J7436" s="711"/>
      <c r="K7436" s="711"/>
      <c r="L7436" s="711"/>
      <c r="Q7436" s="11"/>
      <c r="R7436" s="11"/>
      <c r="S7436" s="11"/>
      <c r="T7436" s="11"/>
    </row>
    <row r="7437" spans="8:20" x14ac:dyDescent="0.35">
      <c r="H7437" s="711"/>
      <c r="I7437" s="711"/>
      <c r="J7437" s="711"/>
      <c r="K7437" s="711"/>
      <c r="L7437" s="711"/>
      <c r="Q7437" s="11"/>
      <c r="R7437" s="11"/>
      <c r="S7437" s="11"/>
      <c r="T7437" s="11"/>
    </row>
    <row r="7438" spans="8:20" x14ac:dyDescent="0.35">
      <c r="H7438" s="711"/>
      <c r="I7438" s="711"/>
      <c r="J7438" s="711"/>
      <c r="K7438" s="711"/>
      <c r="L7438" s="711"/>
      <c r="Q7438" s="11"/>
      <c r="R7438" s="11"/>
      <c r="S7438" s="11"/>
      <c r="T7438" s="11"/>
    </row>
    <row r="7439" spans="8:20" x14ac:dyDescent="0.35">
      <c r="H7439" s="711"/>
      <c r="I7439" s="711"/>
      <c r="J7439" s="711"/>
      <c r="K7439" s="711"/>
      <c r="L7439" s="711"/>
      <c r="Q7439" s="11"/>
      <c r="R7439" s="11"/>
      <c r="S7439" s="11"/>
      <c r="T7439" s="11"/>
    </row>
    <row r="7440" spans="8:20" x14ac:dyDescent="0.35">
      <c r="H7440" s="711"/>
      <c r="I7440" s="711"/>
      <c r="J7440" s="711"/>
      <c r="K7440" s="711"/>
      <c r="L7440" s="711"/>
      <c r="Q7440" s="11"/>
      <c r="R7440" s="11"/>
      <c r="S7440" s="11"/>
      <c r="T7440" s="11"/>
    </row>
    <row r="7441" spans="8:20" x14ac:dyDescent="0.35">
      <c r="H7441" s="711"/>
      <c r="I7441" s="711"/>
      <c r="J7441" s="711"/>
      <c r="K7441" s="711"/>
      <c r="L7441" s="711"/>
      <c r="Q7441" s="11"/>
      <c r="R7441" s="11"/>
      <c r="S7441" s="11"/>
      <c r="T7441" s="11"/>
    </row>
    <row r="7442" spans="8:20" x14ac:dyDescent="0.35">
      <c r="H7442" s="711"/>
      <c r="I7442" s="711"/>
      <c r="J7442" s="711"/>
      <c r="K7442" s="711"/>
      <c r="L7442" s="711"/>
      <c r="Q7442" s="11"/>
      <c r="R7442" s="11"/>
      <c r="S7442" s="11"/>
      <c r="T7442" s="11"/>
    </row>
    <row r="7443" spans="8:20" x14ac:dyDescent="0.35">
      <c r="H7443" s="711"/>
      <c r="I7443" s="711"/>
      <c r="J7443" s="711"/>
      <c r="K7443" s="711"/>
      <c r="L7443" s="711"/>
      <c r="Q7443" s="11"/>
      <c r="R7443" s="11"/>
      <c r="S7443" s="11"/>
      <c r="T7443" s="11"/>
    </row>
    <row r="7444" spans="8:20" x14ac:dyDescent="0.35">
      <c r="H7444" s="711"/>
      <c r="I7444" s="711"/>
      <c r="J7444" s="711"/>
      <c r="K7444" s="711"/>
      <c r="L7444" s="711"/>
      <c r="Q7444" s="11"/>
      <c r="R7444" s="11"/>
      <c r="S7444" s="11"/>
      <c r="T7444" s="11"/>
    </row>
    <row r="7445" spans="8:20" x14ac:dyDescent="0.35">
      <c r="H7445" s="711"/>
      <c r="I7445" s="711"/>
      <c r="J7445" s="711"/>
      <c r="K7445" s="711"/>
      <c r="L7445" s="711"/>
      <c r="Q7445" s="11"/>
      <c r="R7445" s="11"/>
      <c r="S7445" s="11"/>
      <c r="T7445" s="11"/>
    </row>
    <row r="7446" spans="8:20" x14ac:dyDescent="0.35">
      <c r="H7446" s="711"/>
      <c r="I7446" s="711"/>
      <c r="J7446" s="711"/>
      <c r="K7446" s="711"/>
      <c r="L7446" s="711"/>
      <c r="Q7446" s="11"/>
      <c r="R7446" s="11"/>
      <c r="S7446" s="11"/>
      <c r="T7446" s="11"/>
    </row>
    <row r="7447" spans="8:20" x14ac:dyDescent="0.35">
      <c r="H7447" s="711"/>
      <c r="I7447" s="711"/>
      <c r="J7447" s="711"/>
      <c r="K7447" s="711"/>
      <c r="L7447" s="711"/>
      <c r="Q7447" s="11"/>
      <c r="R7447" s="11"/>
      <c r="S7447" s="11"/>
      <c r="T7447" s="11"/>
    </row>
    <row r="7448" spans="8:20" x14ac:dyDescent="0.35">
      <c r="H7448" s="711"/>
      <c r="I7448" s="711"/>
      <c r="J7448" s="711"/>
      <c r="K7448" s="711"/>
      <c r="L7448" s="711"/>
      <c r="Q7448" s="11"/>
      <c r="R7448" s="11"/>
      <c r="S7448" s="11"/>
      <c r="T7448" s="11"/>
    </row>
    <row r="7449" spans="8:20" x14ac:dyDescent="0.35">
      <c r="H7449" s="711"/>
      <c r="I7449" s="711"/>
      <c r="J7449" s="711"/>
      <c r="K7449" s="711"/>
      <c r="L7449" s="711"/>
      <c r="Q7449" s="11"/>
      <c r="R7449" s="11"/>
      <c r="S7449" s="11"/>
      <c r="T7449" s="11"/>
    </row>
    <row r="7450" spans="8:20" x14ac:dyDescent="0.35">
      <c r="H7450" s="711"/>
      <c r="I7450" s="711"/>
      <c r="J7450" s="711"/>
      <c r="K7450" s="711"/>
      <c r="L7450" s="711"/>
      <c r="Q7450" s="11"/>
      <c r="R7450" s="11"/>
      <c r="S7450" s="11"/>
      <c r="T7450" s="11"/>
    </row>
    <row r="7451" spans="8:20" x14ac:dyDescent="0.35">
      <c r="H7451" s="711"/>
      <c r="I7451" s="711"/>
      <c r="J7451" s="711"/>
      <c r="K7451" s="711"/>
      <c r="L7451" s="711"/>
      <c r="Q7451" s="11"/>
      <c r="R7451" s="11"/>
      <c r="S7451" s="11"/>
      <c r="T7451" s="11"/>
    </row>
    <row r="7452" spans="8:20" x14ac:dyDescent="0.35">
      <c r="H7452" s="711"/>
      <c r="I7452" s="711"/>
      <c r="J7452" s="711"/>
      <c r="K7452" s="711"/>
      <c r="L7452" s="711"/>
      <c r="Q7452" s="11"/>
      <c r="R7452" s="11"/>
      <c r="S7452" s="11"/>
      <c r="T7452" s="11"/>
    </row>
    <row r="7453" spans="8:20" x14ac:dyDescent="0.35">
      <c r="H7453" s="711"/>
      <c r="I7453" s="711"/>
      <c r="J7453" s="711"/>
      <c r="K7453" s="711"/>
      <c r="L7453" s="711"/>
      <c r="Q7453" s="11"/>
      <c r="R7453" s="11"/>
      <c r="S7453" s="11"/>
      <c r="T7453" s="11"/>
    </row>
    <row r="7454" spans="8:20" x14ac:dyDescent="0.35">
      <c r="H7454" s="711"/>
      <c r="I7454" s="711"/>
      <c r="J7454" s="711"/>
      <c r="K7454" s="711"/>
      <c r="L7454" s="711"/>
      <c r="Q7454" s="11"/>
      <c r="R7454" s="11"/>
      <c r="S7454" s="11"/>
      <c r="T7454" s="11"/>
    </row>
    <row r="7455" spans="8:20" x14ac:dyDescent="0.35">
      <c r="H7455" s="711"/>
      <c r="I7455" s="711"/>
      <c r="J7455" s="711"/>
      <c r="K7455" s="711"/>
      <c r="L7455" s="711"/>
      <c r="Q7455" s="11"/>
      <c r="R7455" s="11"/>
      <c r="S7455" s="11"/>
      <c r="T7455" s="11"/>
    </row>
    <row r="7456" spans="8:20" x14ac:dyDescent="0.35">
      <c r="H7456" s="711"/>
      <c r="I7456" s="711"/>
      <c r="J7456" s="711"/>
      <c r="K7456" s="711"/>
      <c r="L7456" s="711"/>
      <c r="Q7456" s="11"/>
      <c r="R7456" s="11"/>
      <c r="S7456" s="11"/>
      <c r="T7456" s="11"/>
    </row>
    <row r="7457" spans="8:20" x14ac:dyDescent="0.35">
      <c r="H7457" s="711"/>
      <c r="I7457" s="711"/>
      <c r="J7457" s="711"/>
      <c r="K7457" s="711"/>
      <c r="L7457" s="711"/>
      <c r="Q7457" s="11"/>
      <c r="R7457" s="11"/>
      <c r="S7457" s="11"/>
      <c r="T7457" s="11"/>
    </row>
    <row r="7458" spans="8:20" x14ac:dyDescent="0.35">
      <c r="H7458" s="711"/>
      <c r="I7458" s="711"/>
      <c r="J7458" s="711"/>
      <c r="K7458" s="711"/>
      <c r="L7458" s="711"/>
      <c r="Q7458" s="11"/>
      <c r="R7458" s="11"/>
      <c r="S7458" s="11"/>
      <c r="T7458" s="11"/>
    </row>
    <row r="7459" spans="8:20" x14ac:dyDescent="0.35">
      <c r="H7459" s="711"/>
      <c r="I7459" s="711"/>
      <c r="J7459" s="711"/>
      <c r="K7459" s="711"/>
      <c r="L7459" s="711"/>
      <c r="Q7459" s="11"/>
      <c r="R7459" s="11"/>
      <c r="S7459" s="11"/>
      <c r="T7459" s="11"/>
    </row>
    <row r="7460" spans="8:20" x14ac:dyDescent="0.35">
      <c r="H7460" s="711"/>
      <c r="I7460" s="711"/>
      <c r="J7460" s="711"/>
      <c r="K7460" s="711"/>
      <c r="L7460" s="711"/>
      <c r="Q7460" s="11"/>
      <c r="R7460" s="11"/>
      <c r="S7460" s="11"/>
      <c r="T7460" s="11"/>
    </row>
    <row r="7461" spans="8:20" x14ac:dyDescent="0.35">
      <c r="H7461" s="711"/>
      <c r="I7461" s="711"/>
      <c r="J7461" s="711"/>
      <c r="K7461" s="711"/>
      <c r="L7461" s="711"/>
      <c r="Q7461" s="11"/>
      <c r="R7461" s="11"/>
      <c r="S7461" s="11"/>
      <c r="T7461" s="11"/>
    </row>
    <row r="7462" spans="8:20" x14ac:dyDescent="0.35">
      <c r="H7462" s="711"/>
      <c r="I7462" s="711"/>
      <c r="J7462" s="711"/>
      <c r="K7462" s="711"/>
      <c r="L7462" s="711"/>
      <c r="Q7462" s="11"/>
      <c r="R7462" s="11"/>
      <c r="S7462" s="11"/>
      <c r="T7462" s="11"/>
    </row>
    <row r="7463" spans="8:20" x14ac:dyDescent="0.35">
      <c r="H7463" s="711"/>
      <c r="I7463" s="711"/>
      <c r="J7463" s="711"/>
      <c r="K7463" s="711"/>
      <c r="L7463" s="711"/>
      <c r="Q7463" s="11"/>
      <c r="R7463" s="11"/>
      <c r="S7463" s="11"/>
      <c r="T7463" s="11"/>
    </row>
    <row r="7464" spans="8:20" x14ac:dyDescent="0.35">
      <c r="H7464" s="711"/>
      <c r="I7464" s="711"/>
      <c r="J7464" s="711"/>
      <c r="K7464" s="711"/>
      <c r="L7464" s="711"/>
      <c r="Q7464" s="11"/>
      <c r="R7464" s="11"/>
      <c r="S7464" s="11"/>
      <c r="T7464" s="11"/>
    </row>
    <row r="7465" spans="8:20" x14ac:dyDescent="0.35">
      <c r="H7465" s="711"/>
      <c r="I7465" s="711"/>
      <c r="J7465" s="711"/>
      <c r="K7465" s="711"/>
      <c r="L7465" s="711"/>
      <c r="Q7465" s="11"/>
      <c r="R7465" s="11"/>
      <c r="S7465" s="11"/>
      <c r="T7465" s="11"/>
    </row>
    <row r="7466" spans="8:20" x14ac:dyDescent="0.35">
      <c r="H7466" s="711"/>
      <c r="I7466" s="711"/>
      <c r="J7466" s="711"/>
      <c r="K7466" s="711"/>
      <c r="L7466" s="711"/>
      <c r="Q7466" s="11"/>
      <c r="R7466" s="11"/>
      <c r="S7466" s="11"/>
      <c r="T7466" s="11"/>
    </row>
    <row r="7467" spans="8:20" x14ac:dyDescent="0.35">
      <c r="H7467" s="711"/>
      <c r="I7467" s="711"/>
      <c r="J7467" s="711"/>
      <c r="K7467" s="711"/>
      <c r="L7467" s="711"/>
      <c r="Q7467" s="11"/>
      <c r="R7467" s="11"/>
      <c r="S7467" s="11"/>
      <c r="T7467" s="11"/>
    </row>
    <row r="7468" spans="8:20" x14ac:dyDescent="0.35">
      <c r="H7468" s="711"/>
      <c r="I7468" s="711"/>
      <c r="J7468" s="711"/>
      <c r="K7468" s="711"/>
      <c r="L7468" s="711"/>
      <c r="Q7468" s="11"/>
      <c r="R7468" s="11"/>
      <c r="S7468" s="11"/>
      <c r="T7468" s="11"/>
    </row>
    <row r="7469" spans="8:20" x14ac:dyDescent="0.35">
      <c r="H7469" s="711"/>
      <c r="I7469" s="711"/>
      <c r="J7469" s="711"/>
      <c r="K7469" s="711"/>
      <c r="L7469" s="711"/>
      <c r="Q7469" s="11"/>
      <c r="R7469" s="11"/>
      <c r="S7469" s="11"/>
      <c r="T7469" s="11"/>
    </row>
    <row r="7470" spans="8:20" x14ac:dyDescent="0.35">
      <c r="H7470" s="711"/>
      <c r="I7470" s="711"/>
      <c r="J7470" s="711"/>
      <c r="K7470" s="711"/>
      <c r="L7470" s="711"/>
      <c r="Q7470" s="11"/>
      <c r="R7470" s="11"/>
      <c r="S7470" s="11"/>
      <c r="T7470" s="11"/>
    </row>
    <row r="7471" spans="8:20" x14ac:dyDescent="0.35">
      <c r="H7471" s="711"/>
      <c r="I7471" s="711"/>
      <c r="J7471" s="711"/>
      <c r="K7471" s="711"/>
      <c r="L7471" s="711"/>
      <c r="Q7471" s="11"/>
      <c r="R7471" s="11"/>
      <c r="S7471" s="11"/>
      <c r="T7471" s="11"/>
    </row>
    <row r="7472" spans="8:20" x14ac:dyDescent="0.35">
      <c r="H7472" s="711"/>
      <c r="I7472" s="711"/>
      <c r="J7472" s="711"/>
      <c r="K7472" s="711"/>
      <c r="L7472" s="711"/>
      <c r="Q7472" s="11"/>
      <c r="R7472" s="11"/>
      <c r="S7472" s="11"/>
      <c r="T7472" s="11"/>
    </row>
    <row r="7473" spans="8:20" x14ac:dyDescent="0.35">
      <c r="H7473" s="711"/>
      <c r="I7473" s="711"/>
      <c r="J7473" s="711"/>
      <c r="K7473" s="711"/>
      <c r="L7473" s="711"/>
      <c r="Q7473" s="11"/>
      <c r="R7473" s="11"/>
      <c r="S7473" s="11"/>
      <c r="T7473" s="11"/>
    </row>
    <row r="7474" spans="8:20" x14ac:dyDescent="0.35">
      <c r="H7474" s="711"/>
      <c r="I7474" s="711"/>
      <c r="J7474" s="711"/>
      <c r="K7474" s="711"/>
      <c r="L7474" s="711"/>
      <c r="Q7474" s="11"/>
      <c r="R7474" s="11"/>
      <c r="S7474" s="11"/>
      <c r="T7474" s="11"/>
    </row>
    <row r="7475" spans="8:20" x14ac:dyDescent="0.35">
      <c r="H7475" s="711"/>
      <c r="I7475" s="711"/>
      <c r="J7475" s="711"/>
      <c r="K7475" s="711"/>
      <c r="L7475" s="711"/>
      <c r="Q7475" s="11"/>
      <c r="R7475" s="11"/>
      <c r="S7475" s="11"/>
      <c r="T7475" s="11"/>
    </row>
    <row r="7476" spans="8:20" x14ac:dyDescent="0.35">
      <c r="H7476" s="711"/>
      <c r="I7476" s="711"/>
      <c r="J7476" s="711"/>
      <c r="K7476" s="711"/>
      <c r="L7476" s="711"/>
      <c r="Q7476" s="11"/>
      <c r="R7476" s="11"/>
      <c r="S7476" s="11"/>
      <c r="T7476" s="11"/>
    </row>
    <row r="7477" spans="8:20" x14ac:dyDescent="0.35">
      <c r="H7477" s="711"/>
      <c r="I7477" s="711"/>
      <c r="J7477" s="711"/>
      <c r="K7477" s="711"/>
      <c r="L7477" s="711"/>
      <c r="Q7477" s="11"/>
      <c r="R7477" s="11"/>
      <c r="S7477" s="11"/>
      <c r="T7477" s="11"/>
    </row>
    <row r="7478" spans="8:20" x14ac:dyDescent="0.35">
      <c r="H7478" s="711"/>
      <c r="I7478" s="711"/>
      <c r="J7478" s="711"/>
      <c r="K7478" s="711"/>
      <c r="L7478" s="711"/>
      <c r="Q7478" s="11"/>
      <c r="R7478" s="11"/>
      <c r="S7478" s="11"/>
      <c r="T7478" s="11"/>
    </row>
    <row r="7479" spans="8:20" x14ac:dyDescent="0.35">
      <c r="H7479" s="711"/>
      <c r="I7479" s="711"/>
      <c r="J7479" s="711"/>
      <c r="K7479" s="711"/>
      <c r="L7479" s="711"/>
      <c r="Q7479" s="11"/>
      <c r="R7479" s="11"/>
      <c r="S7479" s="11"/>
      <c r="T7479" s="11"/>
    </row>
    <row r="7480" spans="8:20" x14ac:dyDescent="0.35">
      <c r="H7480" s="711"/>
      <c r="I7480" s="711"/>
      <c r="J7480" s="711"/>
      <c r="K7480" s="711"/>
      <c r="L7480" s="711"/>
      <c r="Q7480" s="11"/>
      <c r="R7480" s="11"/>
      <c r="S7480" s="11"/>
      <c r="T7480" s="11"/>
    </row>
    <row r="7481" spans="8:20" x14ac:dyDescent="0.35">
      <c r="H7481" s="711"/>
      <c r="I7481" s="711"/>
      <c r="J7481" s="711"/>
      <c r="K7481" s="711"/>
      <c r="L7481" s="711"/>
      <c r="Q7481" s="11"/>
      <c r="R7481" s="11"/>
      <c r="S7481" s="11"/>
      <c r="T7481" s="11"/>
    </row>
    <row r="7482" spans="8:20" x14ac:dyDescent="0.35">
      <c r="H7482" s="711"/>
      <c r="I7482" s="711"/>
      <c r="J7482" s="711"/>
      <c r="K7482" s="711"/>
      <c r="L7482" s="711"/>
      <c r="Q7482" s="11"/>
      <c r="R7482" s="11"/>
      <c r="S7482" s="11"/>
      <c r="T7482" s="11"/>
    </row>
    <row r="7483" spans="8:20" x14ac:dyDescent="0.35">
      <c r="H7483" s="711"/>
      <c r="I7483" s="711"/>
      <c r="J7483" s="711"/>
      <c r="K7483" s="711"/>
      <c r="L7483" s="711"/>
      <c r="Q7483" s="11"/>
      <c r="R7483" s="11"/>
      <c r="S7483" s="11"/>
      <c r="T7483" s="11"/>
    </row>
    <row r="7484" spans="8:20" x14ac:dyDescent="0.35">
      <c r="H7484" s="711"/>
      <c r="I7484" s="711"/>
      <c r="J7484" s="711"/>
      <c r="K7484" s="711"/>
      <c r="L7484" s="711"/>
      <c r="Q7484" s="11"/>
      <c r="R7484" s="11"/>
      <c r="S7484" s="11"/>
      <c r="T7484" s="11"/>
    </row>
    <row r="7485" spans="8:20" x14ac:dyDescent="0.35">
      <c r="H7485" s="711"/>
      <c r="I7485" s="711"/>
      <c r="J7485" s="711"/>
      <c r="K7485" s="711"/>
      <c r="L7485" s="711"/>
      <c r="Q7485" s="11"/>
      <c r="R7485" s="11"/>
      <c r="S7485" s="11"/>
      <c r="T7485" s="11"/>
    </row>
    <row r="7486" spans="8:20" x14ac:dyDescent="0.35">
      <c r="H7486" s="711"/>
      <c r="I7486" s="711"/>
      <c r="J7486" s="711"/>
      <c r="K7486" s="711"/>
      <c r="L7486" s="711"/>
      <c r="Q7486" s="11"/>
      <c r="R7486" s="11"/>
      <c r="S7486" s="11"/>
      <c r="T7486" s="11"/>
    </row>
    <row r="7487" spans="8:20" x14ac:dyDescent="0.35">
      <c r="H7487" s="711"/>
      <c r="I7487" s="711"/>
      <c r="J7487" s="711"/>
      <c r="K7487" s="711"/>
      <c r="L7487" s="711"/>
      <c r="Q7487" s="11"/>
      <c r="R7487" s="11"/>
      <c r="S7487" s="11"/>
      <c r="T7487" s="11"/>
    </row>
    <row r="7488" spans="8:20" x14ac:dyDescent="0.35">
      <c r="H7488" s="711"/>
      <c r="I7488" s="711"/>
      <c r="J7488" s="711"/>
      <c r="K7488" s="711"/>
      <c r="L7488" s="711"/>
      <c r="Q7488" s="11"/>
      <c r="R7488" s="11"/>
      <c r="S7488" s="11"/>
      <c r="T7488" s="11"/>
    </row>
    <row r="7489" spans="8:20" x14ac:dyDescent="0.35">
      <c r="H7489" s="711"/>
      <c r="I7489" s="711"/>
      <c r="J7489" s="711"/>
      <c r="K7489" s="711"/>
      <c r="L7489" s="711"/>
      <c r="Q7489" s="11"/>
      <c r="R7489" s="11"/>
      <c r="S7489" s="11"/>
      <c r="T7489" s="11"/>
    </row>
    <row r="7490" spans="8:20" x14ac:dyDescent="0.35">
      <c r="H7490" s="711"/>
      <c r="I7490" s="711"/>
      <c r="J7490" s="711"/>
      <c r="K7490" s="711"/>
      <c r="L7490" s="711"/>
      <c r="Q7490" s="11"/>
      <c r="R7490" s="11"/>
      <c r="S7490" s="11"/>
      <c r="T7490" s="11"/>
    </row>
    <row r="7491" spans="8:20" x14ac:dyDescent="0.35">
      <c r="H7491" s="711"/>
      <c r="I7491" s="711"/>
      <c r="J7491" s="711"/>
      <c r="K7491" s="711"/>
      <c r="L7491" s="711"/>
      <c r="Q7491" s="11"/>
      <c r="R7491" s="11"/>
      <c r="S7491" s="11"/>
      <c r="T7491" s="11"/>
    </row>
    <row r="7492" spans="8:20" x14ac:dyDescent="0.35">
      <c r="H7492" s="711"/>
      <c r="I7492" s="711"/>
      <c r="J7492" s="711"/>
      <c r="K7492" s="711"/>
      <c r="L7492" s="711"/>
      <c r="Q7492" s="11"/>
      <c r="R7492" s="11"/>
      <c r="S7492" s="11"/>
      <c r="T7492" s="11"/>
    </row>
    <row r="7493" spans="8:20" x14ac:dyDescent="0.35">
      <c r="H7493" s="711"/>
      <c r="I7493" s="711"/>
      <c r="J7493" s="711"/>
      <c r="K7493" s="711"/>
      <c r="L7493" s="711"/>
      <c r="Q7493" s="11"/>
      <c r="R7493" s="11"/>
      <c r="S7493" s="11"/>
      <c r="T7493" s="11"/>
    </row>
    <row r="7494" spans="8:20" x14ac:dyDescent="0.35">
      <c r="H7494" s="711"/>
      <c r="I7494" s="711"/>
      <c r="J7494" s="711"/>
      <c r="K7494" s="711"/>
      <c r="L7494" s="711"/>
      <c r="Q7494" s="11"/>
      <c r="R7494" s="11"/>
      <c r="S7494" s="11"/>
      <c r="T7494" s="11"/>
    </row>
    <row r="7495" spans="8:20" x14ac:dyDescent="0.35">
      <c r="H7495" s="711"/>
      <c r="I7495" s="711"/>
      <c r="J7495" s="711"/>
      <c r="K7495" s="711"/>
      <c r="L7495" s="711"/>
      <c r="Q7495" s="11"/>
      <c r="R7495" s="11"/>
      <c r="S7495" s="11"/>
      <c r="T7495" s="11"/>
    </row>
    <row r="7496" spans="8:20" x14ac:dyDescent="0.35">
      <c r="H7496" s="711"/>
      <c r="I7496" s="711"/>
      <c r="J7496" s="711"/>
      <c r="K7496" s="711"/>
      <c r="L7496" s="711"/>
      <c r="Q7496" s="11"/>
      <c r="R7496" s="11"/>
      <c r="S7496" s="11"/>
      <c r="T7496" s="11"/>
    </row>
    <row r="7497" spans="8:20" x14ac:dyDescent="0.35">
      <c r="H7497" s="711"/>
      <c r="I7497" s="711"/>
      <c r="J7497" s="711"/>
      <c r="K7497" s="711"/>
      <c r="L7497" s="711"/>
      <c r="Q7497" s="11"/>
      <c r="R7497" s="11"/>
      <c r="S7497" s="11"/>
      <c r="T7497" s="11"/>
    </row>
    <row r="7498" spans="8:20" x14ac:dyDescent="0.35">
      <c r="H7498" s="711"/>
      <c r="I7498" s="711"/>
      <c r="J7498" s="711"/>
      <c r="K7498" s="711"/>
      <c r="L7498" s="711"/>
      <c r="Q7498" s="11"/>
      <c r="R7498" s="11"/>
      <c r="S7498" s="11"/>
      <c r="T7498" s="11"/>
    </row>
    <row r="7499" spans="8:20" x14ac:dyDescent="0.35">
      <c r="H7499" s="711"/>
      <c r="I7499" s="711"/>
      <c r="J7499" s="711"/>
      <c r="K7499" s="711"/>
      <c r="L7499" s="711"/>
      <c r="Q7499" s="11"/>
      <c r="R7499" s="11"/>
      <c r="S7499" s="11"/>
      <c r="T7499" s="11"/>
    </row>
    <row r="7500" spans="8:20" x14ac:dyDescent="0.35">
      <c r="H7500" s="711"/>
      <c r="I7500" s="711"/>
      <c r="J7500" s="711"/>
      <c r="K7500" s="711"/>
      <c r="L7500" s="711"/>
      <c r="Q7500" s="11"/>
      <c r="R7500" s="11"/>
      <c r="S7500" s="11"/>
      <c r="T7500" s="11"/>
    </row>
    <row r="7501" spans="8:20" x14ac:dyDescent="0.35">
      <c r="H7501" s="711"/>
      <c r="I7501" s="711"/>
      <c r="J7501" s="711"/>
      <c r="K7501" s="711"/>
      <c r="L7501" s="711"/>
      <c r="Q7501" s="11"/>
      <c r="R7501" s="11"/>
      <c r="S7501" s="11"/>
      <c r="T7501" s="11"/>
    </row>
    <row r="7502" spans="8:20" x14ac:dyDescent="0.35">
      <c r="H7502" s="711"/>
      <c r="I7502" s="711"/>
      <c r="J7502" s="711"/>
      <c r="K7502" s="711"/>
      <c r="L7502" s="711"/>
      <c r="Q7502" s="11"/>
      <c r="R7502" s="11"/>
      <c r="S7502" s="11"/>
      <c r="T7502" s="11"/>
    </row>
    <row r="7503" spans="8:20" x14ac:dyDescent="0.35">
      <c r="H7503" s="711"/>
      <c r="I7503" s="711"/>
      <c r="J7503" s="711"/>
      <c r="K7503" s="711"/>
      <c r="L7503" s="711"/>
      <c r="Q7503" s="11"/>
      <c r="R7503" s="11"/>
      <c r="S7503" s="11"/>
      <c r="T7503" s="11"/>
    </row>
    <row r="7504" spans="8:20" x14ac:dyDescent="0.35">
      <c r="H7504" s="711"/>
      <c r="I7504" s="711"/>
      <c r="J7504" s="711"/>
      <c r="K7504" s="711"/>
      <c r="L7504" s="711"/>
      <c r="Q7504" s="11"/>
      <c r="R7504" s="11"/>
      <c r="S7504" s="11"/>
      <c r="T7504" s="11"/>
    </row>
    <row r="7505" spans="8:20" x14ac:dyDescent="0.35">
      <c r="H7505" s="711"/>
      <c r="I7505" s="711"/>
      <c r="J7505" s="711"/>
      <c r="K7505" s="711"/>
      <c r="L7505" s="711"/>
      <c r="Q7505" s="11"/>
      <c r="R7505" s="11"/>
      <c r="S7505" s="11"/>
      <c r="T7505" s="11"/>
    </row>
    <row r="7506" spans="8:20" x14ac:dyDescent="0.35">
      <c r="H7506" s="711"/>
      <c r="I7506" s="711"/>
      <c r="J7506" s="711"/>
      <c r="K7506" s="711"/>
      <c r="L7506" s="711"/>
      <c r="Q7506" s="11"/>
      <c r="R7506" s="11"/>
      <c r="S7506" s="11"/>
      <c r="T7506" s="11"/>
    </row>
    <row r="7507" spans="8:20" x14ac:dyDescent="0.35">
      <c r="H7507" s="711"/>
      <c r="I7507" s="711"/>
      <c r="J7507" s="711"/>
      <c r="K7507" s="711"/>
      <c r="L7507" s="711"/>
      <c r="Q7507" s="11"/>
      <c r="R7507" s="11"/>
      <c r="S7507" s="11"/>
      <c r="T7507" s="11"/>
    </row>
    <row r="7508" spans="8:20" x14ac:dyDescent="0.35">
      <c r="H7508" s="711"/>
      <c r="I7508" s="711"/>
      <c r="J7508" s="711"/>
      <c r="K7508" s="711"/>
      <c r="L7508" s="711"/>
      <c r="Q7508" s="11"/>
      <c r="R7508" s="11"/>
      <c r="S7508" s="11"/>
      <c r="T7508" s="11"/>
    </row>
    <row r="7509" spans="8:20" x14ac:dyDescent="0.35">
      <c r="H7509" s="711"/>
      <c r="I7509" s="711"/>
      <c r="J7509" s="711"/>
      <c r="K7509" s="711"/>
      <c r="L7509" s="711"/>
      <c r="Q7509" s="11"/>
      <c r="R7509" s="11"/>
      <c r="S7509" s="11"/>
      <c r="T7509" s="11"/>
    </row>
    <row r="7510" spans="8:20" x14ac:dyDescent="0.35">
      <c r="H7510" s="711"/>
      <c r="I7510" s="711"/>
      <c r="J7510" s="711"/>
      <c r="K7510" s="711"/>
      <c r="L7510" s="711"/>
      <c r="Q7510" s="11"/>
      <c r="R7510" s="11"/>
      <c r="S7510" s="11"/>
      <c r="T7510" s="11"/>
    </row>
    <row r="7511" spans="8:20" x14ac:dyDescent="0.35">
      <c r="H7511" s="711"/>
      <c r="I7511" s="711"/>
      <c r="J7511" s="711"/>
      <c r="K7511" s="711"/>
      <c r="L7511" s="711"/>
      <c r="Q7511" s="11"/>
      <c r="R7511" s="11"/>
      <c r="S7511" s="11"/>
      <c r="T7511" s="11"/>
    </row>
    <row r="7512" spans="8:20" x14ac:dyDescent="0.35">
      <c r="H7512" s="711"/>
      <c r="I7512" s="711"/>
      <c r="J7512" s="711"/>
      <c r="K7512" s="711"/>
      <c r="L7512" s="711"/>
      <c r="Q7512" s="11"/>
      <c r="R7512" s="11"/>
      <c r="S7512" s="11"/>
      <c r="T7512" s="11"/>
    </row>
    <row r="7513" spans="8:20" x14ac:dyDescent="0.35">
      <c r="H7513" s="711"/>
      <c r="I7513" s="711"/>
      <c r="J7513" s="711"/>
      <c r="K7513" s="711"/>
      <c r="L7513" s="711"/>
      <c r="Q7513" s="11"/>
      <c r="R7513" s="11"/>
      <c r="S7513" s="11"/>
      <c r="T7513" s="11"/>
    </row>
    <row r="7514" spans="8:20" x14ac:dyDescent="0.35">
      <c r="H7514" s="711"/>
      <c r="I7514" s="711"/>
      <c r="J7514" s="711"/>
      <c r="K7514" s="711"/>
      <c r="L7514" s="711"/>
      <c r="Q7514" s="11"/>
      <c r="R7514" s="11"/>
      <c r="S7514" s="11"/>
      <c r="T7514" s="11"/>
    </row>
    <row r="7515" spans="8:20" x14ac:dyDescent="0.35">
      <c r="H7515" s="711"/>
      <c r="I7515" s="711"/>
      <c r="J7515" s="711"/>
      <c r="K7515" s="711"/>
      <c r="L7515" s="711"/>
      <c r="Q7515" s="11"/>
      <c r="R7515" s="11"/>
      <c r="S7515" s="11"/>
      <c r="T7515" s="11"/>
    </row>
    <row r="7516" spans="8:20" x14ac:dyDescent="0.35">
      <c r="H7516" s="711"/>
      <c r="I7516" s="711"/>
      <c r="J7516" s="711"/>
      <c r="K7516" s="711"/>
      <c r="L7516" s="711"/>
      <c r="Q7516" s="11"/>
      <c r="R7516" s="11"/>
      <c r="S7516" s="11"/>
      <c r="T7516" s="11"/>
    </row>
    <row r="7517" spans="8:20" x14ac:dyDescent="0.35">
      <c r="H7517" s="711"/>
      <c r="I7517" s="711"/>
      <c r="J7517" s="711"/>
      <c r="K7517" s="711"/>
      <c r="L7517" s="711"/>
      <c r="Q7517" s="11"/>
      <c r="R7517" s="11"/>
      <c r="S7517" s="11"/>
      <c r="T7517" s="11"/>
    </row>
    <row r="7518" spans="8:20" x14ac:dyDescent="0.35">
      <c r="H7518" s="711"/>
      <c r="I7518" s="711"/>
      <c r="J7518" s="711"/>
      <c r="K7518" s="711"/>
      <c r="L7518" s="711"/>
      <c r="Q7518" s="11"/>
      <c r="R7518" s="11"/>
      <c r="S7518" s="11"/>
      <c r="T7518" s="11"/>
    </row>
    <row r="7519" spans="8:20" x14ac:dyDescent="0.35">
      <c r="H7519" s="711"/>
      <c r="I7519" s="711"/>
      <c r="J7519" s="711"/>
      <c r="K7519" s="711"/>
      <c r="L7519" s="711"/>
      <c r="Q7519" s="11"/>
      <c r="R7519" s="11"/>
      <c r="S7519" s="11"/>
      <c r="T7519" s="11"/>
    </row>
    <row r="7520" spans="8:20" x14ac:dyDescent="0.35">
      <c r="H7520" s="711"/>
      <c r="I7520" s="711"/>
      <c r="J7520" s="711"/>
      <c r="K7520" s="711"/>
      <c r="L7520" s="711"/>
      <c r="Q7520" s="11"/>
      <c r="R7520" s="11"/>
      <c r="S7520" s="11"/>
      <c r="T7520" s="11"/>
    </row>
    <row r="7521" spans="8:20" x14ac:dyDescent="0.35">
      <c r="H7521" s="711"/>
      <c r="I7521" s="711"/>
      <c r="J7521" s="711"/>
      <c r="K7521" s="711"/>
      <c r="L7521" s="711"/>
      <c r="Q7521" s="11"/>
      <c r="R7521" s="11"/>
      <c r="S7521" s="11"/>
      <c r="T7521" s="11"/>
    </row>
    <row r="7522" spans="8:20" x14ac:dyDescent="0.35">
      <c r="H7522" s="711"/>
      <c r="I7522" s="711"/>
      <c r="J7522" s="711"/>
      <c r="K7522" s="711"/>
      <c r="L7522" s="711"/>
      <c r="Q7522" s="11"/>
      <c r="R7522" s="11"/>
      <c r="S7522" s="11"/>
      <c r="T7522" s="11"/>
    </row>
    <row r="7523" spans="8:20" x14ac:dyDescent="0.35">
      <c r="H7523" s="711"/>
      <c r="I7523" s="711"/>
      <c r="J7523" s="711"/>
      <c r="K7523" s="711"/>
      <c r="L7523" s="711"/>
      <c r="Q7523" s="11"/>
      <c r="R7523" s="11"/>
      <c r="S7523" s="11"/>
      <c r="T7523" s="11"/>
    </row>
    <row r="7524" spans="8:20" x14ac:dyDescent="0.35">
      <c r="H7524" s="711"/>
      <c r="I7524" s="711"/>
      <c r="J7524" s="711"/>
      <c r="K7524" s="711"/>
      <c r="L7524" s="711"/>
      <c r="Q7524" s="11"/>
      <c r="R7524" s="11"/>
      <c r="S7524" s="11"/>
      <c r="T7524" s="11"/>
    </row>
    <row r="7525" spans="8:20" x14ac:dyDescent="0.35">
      <c r="H7525" s="711"/>
      <c r="I7525" s="711"/>
      <c r="J7525" s="711"/>
      <c r="K7525" s="711"/>
      <c r="L7525" s="711"/>
      <c r="Q7525" s="11"/>
      <c r="R7525" s="11"/>
      <c r="S7525" s="11"/>
      <c r="T7525" s="11"/>
    </row>
    <row r="7526" spans="8:20" x14ac:dyDescent="0.35">
      <c r="H7526" s="711"/>
      <c r="I7526" s="711"/>
      <c r="J7526" s="711"/>
      <c r="K7526" s="711"/>
      <c r="L7526" s="711"/>
      <c r="Q7526" s="11"/>
      <c r="R7526" s="11"/>
      <c r="S7526" s="11"/>
      <c r="T7526" s="11"/>
    </row>
    <row r="7527" spans="8:20" x14ac:dyDescent="0.35">
      <c r="H7527" s="711"/>
      <c r="I7527" s="711"/>
      <c r="J7527" s="711"/>
      <c r="K7527" s="711"/>
      <c r="L7527" s="711"/>
      <c r="Q7527" s="11"/>
      <c r="R7527" s="11"/>
      <c r="S7527" s="11"/>
      <c r="T7527" s="11"/>
    </row>
    <row r="7528" spans="8:20" x14ac:dyDescent="0.35">
      <c r="H7528" s="711"/>
      <c r="I7528" s="711"/>
      <c r="J7528" s="711"/>
      <c r="K7528" s="711"/>
      <c r="L7528" s="711"/>
      <c r="Q7528" s="11"/>
      <c r="R7528" s="11"/>
      <c r="S7528" s="11"/>
      <c r="T7528" s="11"/>
    </row>
    <row r="7529" spans="8:20" x14ac:dyDescent="0.35">
      <c r="H7529" s="711"/>
      <c r="I7529" s="711"/>
      <c r="J7529" s="711"/>
      <c r="K7529" s="711"/>
      <c r="L7529" s="711"/>
      <c r="Q7529" s="11"/>
      <c r="R7529" s="11"/>
      <c r="S7529" s="11"/>
      <c r="T7529" s="11"/>
    </row>
    <row r="7530" spans="8:20" x14ac:dyDescent="0.35">
      <c r="H7530" s="711"/>
      <c r="I7530" s="711"/>
      <c r="J7530" s="711"/>
      <c r="K7530" s="711"/>
      <c r="L7530" s="711"/>
      <c r="Q7530" s="11"/>
      <c r="R7530" s="11"/>
      <c r="S7530" s="11"/>
      <c r="T7530" s="11"/>
    </row>
    <row r="7531" spans="8:20" x14ac:dyDescent="0.35">
      <c r="H7531" s="711"/>
      <c r="I7531" s="711"/>
      <c r="J7531" s="711"/>
      <c r="K7531" s="711"/>
      <c r="L7531" s="711"/>
      <c r="Q7531" s="11"/>
      <c r="R7531" s="11"/>
      <c r="S7531" s="11"/>
      <c r="T7531" s="11"/>
    </row>
    <row r="7532" spans="8:20" x14ac:dyDescent="0.35">
      <c r="H7532" s="711"/>
      <c r="I7532" s="711"/>
      <c r="J7532" s="711"/>
      <c r="K7532" s="711"/>
      <c r="L7532" s="711"/>
      <c r="Q7532" s="11"/>
      <c r="R7532" s="11"/>
      <c r="S7532" s="11"/>
      <c r="T7532" s="11"/>
    </row>
    <row r="7533" spans="8:20" x14ac:dyDescent="0.35">
      <c r="H7533" s="711"/>
      <c r="I7533" s="711"/>
      <c r="J7533" s="711"/>
      <c r="K7533" s="711"/>
      <c r="L7533" s="711"/>
      <c r="Q7533" s="11"/>
      <c r="R7533" s="11"/>
      <c r="S7533" s="11"/>
      <c r="T7533" s="11"/>
    </row>
    <row r="7534" spans="8:20" x14ac:dyDescent="0.35">
      <c r="H7534" s="711"/>
      <c r="I7534" s="711"/>
      <c r="J7534" s="711"/>
      <c r="K7534" s="711"/>
      <c r="L7534" s="711"/>
      <c r="Q7534" s="11"/>
      <c r="R7534" s="11"/>
      <c r="S7534" s="11"/>
      <c r="T7534" s="11"/>
    </row>
    <row r="7535" spans="8:20" x14ac:dyDescent="0.35">
      <c r="H7535" s="711"/>
      <c r="I7535" s="711"/>
      <c r="J7535" s="711"/>
      <c r="K7535" s="711"/>
      <c r="L7535" s="711"/>
      <c r="Q7535" s="11"/>
      <c r="R7535" s="11"/>
      <c r="S7535" s="11"/>
      <c r="T7535" s="11"/>
    </row>
    <row r="7536" spans="8:20" x14ac:dyDescent="0.35">
      <c r="H7536" s="711"/>
      <c r="I7536" s="711"/>
      <c r="J7536" s="711"/>
      <c r="K7536" s="711"/>
      <c r="L7536" s="711"/>
      <c r="Q7536" s="11"/>
      <c r="R7536" s="11"/>
      <c r="S7536" s="11"/>
      <c r="T7536" s="11"/>
    </row>
    <row r="7537" spans="8:20" x14ac:dyDescent="0.35">
      <c r="H7537" s="711"/>
      <c r="I7537" s="711"/>
      <c r="J7537" s="711"/>
      <c r="K7537" s="711"/>
      <c r="L7537" s="711"/>
      <c r="Q7537" s="11"/>
      <c r="R7537" s="11"/>
      <c r="S7537" s="11"/>
      <c r="T7537" s="11"/>
    </row>
    <row r="7538" spans="8:20" x14ac:dyDescent="0.35">
      <c r="H7538" s="711"/>
      <c r="I7538" s="711"/>
      <c r="J7538" s="711"/>
      <c r="K7538" s="711"/>
      <c r="L7538" s="711"/>
      <c r="Q7538" s="11"/>
      <c r="R7538" s="11"/>
      <c r="S7538" s="11"/>
      <c r="T7538" s="11"/>
    </row>
    <row r="7539" spans="8:20" x14ac:dyDescent="0.35">
      <c r="H7539" s="711"/>
      <c r="I7539" s="711"/>
      <c r="J7539" s="711"/>
      <c r="K7539" s="711"/>
      <c r="L7539" s="711"/>
      <c r="Q7539" s="11"/>
      <c r="R7539" s="11"/>
      <c r="S7539" s="11"/>
      <c r="T7539" s="11"/>
    </row>
    <row r="7540" spans="8:20" x14ac:dyDescent="0.35">
      <c r="H7540" s="711"/>
      <c r="I7540" s="711"/>
      <c r="J7540" s="711"/>
      <c r="K7540" s="711"/>
      <c r="L7540" s="711"/>
      <c r="Q7540" s="11"/>
      <c r="R7540" s="11"/>
      <c r="S7540" s="11"/>
      <c r="T7540" s="11"/>
    </row>
    <row r="7541" spans="8:20" x14ac:dyDescent="0.35">
      <c r="H7541" s="711"/>
      <c r="I7541" s="711"/>
      <c r="J7541" s="711"/>
      <c r="K7541" s="711"/>
      <c r="L7541" s="711"/>
      <c r="Q7541" s="11"/>
      <c r="R7541" s="11"/>
      <c r="S7541" s="11"/>
      <c r="T7541" s="11"/>
    </row>
    <row r="7542" spans="8:20" x14ac:dyDescent="0.35">
      <c r="H7542" s="711"/>
      <c r="I7542" s="711"/>
      <c r="J7542" s="711"/>
      <c r="K7542" s="711"/>
      <c r="L7542" s="711"/>
      <c r="Q7542" s="11"/>
      <c r="R7542" s="11"/>
      <c r="S7542" s="11"/>
      <c r="T7542" s="11"/>
    </row>
    <row r="7543" spans="8:20" x14ac:dyDescent="0.35">
      <c r="H7543" s="711"/>
      <c r="I7543" s="711"/>
      <c r="J7543" s="711"/>
      <c r="K7543" s="711"/>
      <c r="L7543" s="711"/>
      <c r="Q7543" s="11"/>
      <c r="R7543" s="11"/>
      <c r="S7543" s="11"/>
      <c r="T7543" s="11"/>
    </row>
    <row r="7544" spans="8:20" x14ac:dyDescent="0.35">
      <c r="H7544" s="711"/>
      <c r="I7544" s="711"/>
      <c r="J7544" s="711"/>
      <c r="K7544" s="711"/>
      <c r="L7544" s="711"/>
      <c r="Q7544" s="11"/>
      <c r="R7544" s="11"/>
      <c r="S7544" s="11"/>
      <c r="T7544" s="11"/>
    </row>
    <row r="7545" spans="8:20" x14ac:dyDescent="0.35">
      <c r="H7545" s="711"/>
      <c r="I7545" s="711"/>
      <c r="J7545" s="711"/>
      <c r="K7545" s="711"/>
      <c r="L7545" s="711"/>
      <c r="Q7545" s="11"/>
      <c r="R7545" s="11"/>
      <c r="S7545" s="11"/>
      <c r="T7545" s="11"/>
    </row>
    <row r="7546" spans="8:20" x14ac:dyDescent="0.35">
      <c r="H7546" s="711"/>
      <c r="I7546" s="711"/>
      <c r="J7546" s="711"/>
      <c r="K7546" s="711"/>
      <c r="L7546" s="711"/>
      <c r="Q7546" s="11"/>
      <c r="R7546" s="11"/>
      <c r="S7546" s="11"/>
      <c r="T7546" s="11"/>
    </row>
    <row r="7547" spans="8:20" x14ac:dyDescent="0.35">
      <c r="H7547" s="711"/>
      <c r="I7547" s="711"/>
      <c r="J7547" s="711"/>
      <c r="K7547" s="711"/>
      <c r="L7547" s="711"/>
      <c r="Q7547" s="11"/>
      <c r="R7547" s="11"/>
      <c r="S7547" s="11"/>
      <c r="T7547" s="11"/>
    </row>
    <row r="7548" spans="8:20" x14ac:dyDescent="0.35">
      <c r="H7548" s="711"/>
      <c r="I7548" s="711"/>
      <c r="J7548" s="711"/>
      <c r="K7548" s="711"/>
      <c r="L7548" s="711"/>
      <c r="Q7548" s="11"/>
      <c r="R7548" s="11"/>
      <c r="S7548" s="11"/>
      <c r="T7548" s="11"/>
    </row>
    <row r="7549" spans="8:20" x14ac:dyDescent="0.35">
      <c r="H7549" s="711"/>
      <c r="I7549" s="711"/>
      <c r="J7549" s="711"/>
      <c r="K7549" s="711"/>
      <c r="L7549" s="711"/>
      <c r="Q7549" s="11"/>
      <c r="R7549" s="11"/>
      <c r="S7549" s="11"/>
      <c r="T7549" s="11"/>
    </row>
    <row r="7550" spans="8:20" x14ac:dyDescent="0.35">
      <c r="H7550" s="711"/>
      <c r="I7550" s="711"/>
      <c r="J7550" s="711"/>
      <c r="K7550" s="711"/>
      <c r="L7550" s="711"/>
      <c r="Q7550" s="11"/>
      <c r="R7550" s="11"/>
      <c r="S7550" s="11"/>
      <c r="T7550" s="11"/>
    </row>
    <row r="7551" spans="8:20" x14ac:dyDescent="0.35">
      <c r="H7551" s="711"/>
      <c r="I7551" s="711"/>
      <c r="J7551" s="711"/>
      <c r="K7551" s="711"/>
      <c r="L7551" s="711"/>
      <c r="Q7551" s="11"/>
      <c r="R7551" s="11"/>
      <c r="S7551" s="11"/>
      <c r="T7551" s="11"/>
    </row>
    <row r="7552" spans="8:20" x14ac:dyDescent="0.35">
      <c r="H7552" s="711"/>
      <c r="I7552" s="711"/>
      <c r="J7552" s="711"/>
      <c r="K7552" s="711"/>
      <c r="L7552" s="711"/>
      <c r="Q7552" s="11"/>
      <c r="R7552" s="11"/>
      <c r="S7552" s="11"/>
      <c r="T7552" s="11"/>
    </row>
    <row r="7553" spans="8:20" x14ac:dyDescent="0.35">
      <c r="H7553" s="711"/>
      <c r="I7553" s="711"/>
      <c r="J7553" s="711"/>
      <c r="K7553" s="711"/>
      <c r="L7553" s="711"/>
      <c r="Q7553" s="11"/>
      <c r="R7553" s="11"/>
      <c r="S7553" s="11"/>
      <c r="T7553" s="11"/>
    </row>
    <row r="7554" spans="8:20" x14ac:dyDescent="0.35">
      <c r="H7554" s="711"/>
      <c r="I7554" s="711"/>
      <c r="J7554" s="711"/>
      <c r="K7554" s="711"/>
      <c r="L7554" s="711"/>
      <c r="Q7554" s="11"/>
      <c r="R7554" s="11"/>
      <c r="S7554" s="11"/>
      <c r="T7554" s="11"/>
    </row>
    <row r="7555" spans="8:20" x14ac:dyDescent="0.35">
      <c r="H7555" s="711"/>
      <c r="I7555" s="711"/>
      <c r="J7555" s="711"/>
      <c r="K7555" s="711"/>
      <c r="L7555" s="711"/>
      <c r="Q7555" s="11"/>
      <c r="R7555" s="11"/>
      <c r="S7555" s="11"/>
      <c r="T7555" s="11"/>
    </row>
    <row r="7556" spans="8:20" x14ac:dyDescent="0.35">
      <c r="H7556" s="711"/>
      <c r="I7556" s="711"/>
      <c r="J7556" s="711"/>
      <c r="K7556" s="711"/>
      <c r="L7556" s="711"/>
      <c r="Q7556" s="11"/>
      <c r="R7556" s="11"/>
      <c r="S7556" s="11"/>
      <c r="T7556" s="11"/>
    </row>
    <row r="7557" spans="8:20" x14ac:dyDescent="0.35">
      <c r="H7557" s="711"/>
      <c r="I7557" s="711"/>
      <c r="J7557" s="711"/>
      <c r="K7557" s="711"/>
      <c r="L7557" s="711"/>
      <c r="Q7557" s="11"/>
      <c r="R7557" s="11"/>
      <c r="S7557" s="11"/>
      <c r="T7557" s="11"/>
    </row>
    <row r="7558" spans="8:20" x14ac:dyDescent="0.35">
      <c r="H7558" s="711"/>
      <c r="I7558" s="711"/>
      <c r="J7558" s="711"/>
      <c r="K7558" s="711"/>
      <c r="L7558" s="711"/>
      <c r="Q7558" s="11"/>
      <c r="R7558" s="11"/>
      <c r="S7558" s="11"/>
      <c r="T7558" s="11"/>
    </row>
    <row r="7559" spans="8:20" x14ac:dyDescent="0.35">
      <c r="H7559" s="711"/>
      <c r="I7559" s="711"/>
      <c r="J7559" s="711"/>
      <c r="K7559" s="711"/>
      <c r="L7559" s="711"/>
      <c r="Q7559" s="11"/>
      <c r="R7559" s="11"/>
      <c r="S7559" s="11"/>
      <c r="T7559" s="11"/>
    </row>
    <row r="7560" spans="8:20" x14ac:dyDescent="0.35">
      <c r="H7560" s="711"/>
      <c r="I7560" s="711"/>
      <c r="J7560" s="711"/>
      <c r="K7560" s="711"/>
      <c r="L7560" s="711"/>
      <c r="Q7560" s="11"/>
      <c r="R7560" s="11"/>
      <c r="S7560" s="11"/>
      <c r="T7560" s="11"/>
    </row>
    <row r="7561" spans="8:20" x14ac:dyDescent="0.35">
      <c r="H7561" s="711"/>
      <c r="I7561" s="711"/>
      <c r="J7561" s="711"/>
      <c r="K7561" s="711"/>
      <c r="L7561" s="711"/>
      <c r="Q7561" s="11"/>
      <c r="R7561" s="11"/>
      <c r="S7561" s="11"/>
      <c r="T7561" s="11"/>
    </row>
    <row r="7562" spans="8:20" x14ac:dyDescent="0.35">
      <c r="H7562" s="711"/>
      <c r="I7562" s="711"/>
      <c r="J7562" s="711"/>
      <c r="K7562" s="711"/>
      <c r="L7562" s="711"/>
      <c r="Q7562" s="11"/>
      <c r="R7562" s="11"/>
      <c r="S7562" s="11"/>
      <c r="T7562" s="11"/>
    </row>
    <row r="7563" spans="8:20" x14ac:dyDescent="0.35">
      <c r="H7563" s="711"/>
      <c r="I7563" s="711"/>
      <c r="J7563" s="711"/>
      <c r="K7563" s="711"/>
      <c r="L7563" s="711"/>
      <c r="Q7563" s="11"/>
      <c r="R7563" s="11"/>
      <c r="S7563" s="11"/>
      <c r="T7563" s="11"/>
    </row>
    <row r="7564" spans="8:20" x14ac:dyDescent="0.35">
      <c r="H7564" s="711"/>
      <c r="I7564" s="711"/>
      <c r="J7564" s="711"/>
      <c r="K7564" s="711"/>
      <c r="L7564" s="711"/>
      <c r="Q7564" s="11"/>
      <c r="R7564" s="11"/>
      <c r="S7564" s="11"/>
      <c r="T7564" s="11"/>
    </row>
    <row r="7565" spans="8:20" x14ac:dyDescent="0.35">
      <c r="H7565" s="711"/>
      <c r="I7565" s="711"/>
      <c r="J7565" s="711"/>
      <c r="K7565" s="711"/>
      <c r="L7565" s="711"/>
      <c r="Q7565" s="11"/>
      <c r="R7565" s="11"/>
      <c r="S7565" s="11"/>
      <c r="T7565" s="11"/>
    </row>
    <row r="7566" spans="8:20" x14ac:dyDescent="0.35">
      <c r="H7566" s="711"/>
      <c r="I7566" s="711"/>
      <c r="J7566" s="711"/>
      <c r="K7566" s="711"/>
      <c r="L7566" s="711"/>
      <c r="Q7566" s="11"/>
      <c r="R7566" s="11"/>
      <c r="S7566" s="11"/>
      <c r="T7566" s="11"/>
    </row>
    <row r="7567" spans="8:20" x14ac:dyDescent="0.35">
      <c r="H7567" s="711"/>
      <c r="I7567" s="711"/>
      <c r="J7567" s="711"/>
      <c r="K7567" s="711"/>
      <c r="L7567" s="711"/>
      <c r="Q7567" s="11"/>
      <c r="R7567" s="11"/>
      <c r="S7567" s="11"/>
      <c r="T7567" s="11"/>
    </row>
    <row r="7568" spans="8:20" x14ac:dyDescent="0.35">
      <c r="H7568" s="711"/>
      <c r="I7568" s="711"/>
      <c r="J7568" s="711"/>
      <c r="K7568" s="711"/>
      <c r="L7568" s="711"/>
      <c r="Q7568" s="11"/>
      <c r="R7568" s="11"/>
      <c r="S7568" s="11"/>
      <c r="T7568" s="11"/>
    </row>
    <row r="7569" spans="8:20" x14ac:dyDescent="0.35">
      <c r="H7569" s="711"/>
      <c r="I7569" s="711"/>
      <c r="J7569" s="711"/>
      <c r="K7569" s="711"/>
      <c r="L7569" s="711"/>
      <c r="Q7569" s="11"/>
      <c r="R7569" s="11"/>
      <c r="S7569" s="11"/>
      <c r="T7569" s="11"/>
    </row>
    <row r="7570" spans="8:20" x14ac:dyDescent="0.35">
      <c r="H7570" s="711"/>
      <c r="I7570" s="711"/>
      <c r="J7570" s="711"/>
      <c r="K7570" s="711"/>
      <c r="L7570" s="711"/>
      <c r="Q7570" s="11"/>
      <c r="R7570" s="11"/>
      <c r="S7570" s="11"/>
      <c r="T7570" s="11"/>
    </row>
    <row r="7571" spans="8:20" x14ac:dyDescent="0.35">
      <c r="H7571" s="711"/>
      <c r="I7571" s="711"/>
      <c r="J7571" s="711"/>
      <c r="K7571" s="711"/>
      <c r="L7571" s="711"/>
      <c r="Q7571" s="11"/>
      <c r="R7571" s="11"/>
      <c r="S7571" s="11"/>
      <c r="T7571" s="11"/>
    </row>
    <row r="7572" spans="8:20" x14ac:dyDescent="0.35">
      <c r="H7572" s="711"/>
      <c r="I7572" s="711"/>
      <c r="J7572" s="711"/>
      <c r="K7572" s="711"/>
      <c r="L7572" s="711"/>
      <c r="Q7572" s="11"/>
      <c r="R7572" s="11"/>
      <c r="S7572" s="11"/>
      <c r="T7572" s="11"/>
    </row>
    <row r="7573" spans="8:20" x14ac:dyDescent="0.35">
      <c r="H7573" s="711"/>
      <c r="I7573" s="711"/>
      <c r="J7573" s="711"/>
      <c r="K7573" s="711"/>
      <c r="L7573" s="711"/>
      <c r="Q7573" s="11"/>
      <c r="R7573" s="11"/>
      <c r="S7573" s="11"/>
      <c r="T7573" s="11"/>
    </row>
    <row r="7574" spans="8:20" x14ac:dyDescent="0.35">
      <c r="H7574" s="711"/>
      <c r="I7574" s="711"/>
      <c r="J7574" s="711"/>
      <c r="K7574" s="711"/>
      <c r="L7574" s="711"/>
      <c r="Q7574" s="11"/>
      <c r="R7574" s="11"/>
      <c r="S7574" s="11"/>
      <c r="T7574" s="11"/>
    </row>
    <row r="7575" spans="8:20" x14ac:dyDescent="0.35">
      <c r="H7575" s="711"/>
      <c r="I7575" s="711"/>
      <c r="J7575" s="711"/>
      <c r="K7575" s="711"/>
      <c r="L7575" s="711"/>
      <c r="Q7575" s="11"/>
      <c r="R7575" s="11"/>
      <c r="S7575" s="11"/>
      <c r="T7575" s="11"/>
    </row>
    <row r="7576" spans="8:20" x14ac:dyDescent="0.35">
      <c r="H7576" s="711"/>
      <c r="I7576" s="711"/>
      <c r="J7576" s="711"/>
      <c r="K7576" s="711"/>
      <c r="L7576" s="711"/>
      <c r="Q7576" s="11"/>
      <c r="R7576" s="11"/>
      <c r="S7576" s="11"/>
      <c r="T7576" s="11"/>
    </row>
    <row r="7577" spans="8:20" x14ac:dyDescent="0.35">
      <c r="H7577" s="711"/>
      <c r="I7577" s="711"/>
      <c r="J7577" s="711"/>
      <c r="K7577" s="711"/>
      <c r="L7577" s="711"/>
      <c r="Q7577" s="11"/>
      <c r="R7577" s="11"/>
      <c r="S7577" s="11"/>
      <c r="T7577" s="11"/>
    </row>
    <row r="7578" spans="8:20" x14ac:dyDescent="0.35">
      <c r="H7578" s="711"/>
      <c r="I7578" s="711"/>
      <c r="J7578" s="711"/>
      <c r="K7578" s="711"/>
      <c r="L7578" s="711"/>
      <c r="Q7578" s="11"/>
      <c r="R7578" s="11"/>
      <c r="S7578" s="11"/>
      <c r="T7578" s="11"/>
    </row>
    <row r="7579" spans="8:20" x14ac:dyDescent="0.35">
      <c r="H7579" s="711"/>
      <c r="I7579" s="711"/>
      <c r="J7579" s="711"/>
      <c r="K7579" s="711"/>
      <c r="L7579" s="711"/>
      <c r="Q7579" s="11"/>
      <c r="R7579" s="11"/>
      <c r="S7579" s="11"/>
      <c r="T7579" s="11"/>
    </row>
    <row r="7580" spans="8:20" x14ac:dyDescent="0.35">
      <c r="H7580" s="711"/>
      <c r="I7580" s="711"/>
      <c r="J7580" s="711"/>
      <c r="K7580" s="711"/>
      <c r="L7580" s="711"/>
      <c r="Q7580" s="11"/>
      <c r="R7580" s="11"/>
      <c r="S7580" s="11"/>
      <c r="T7580" s="11"/>
    </row>
    <row r="7581" spans="8:20" x14ac:dyDescent="0.35">
      <c r="H7581" s="711"/>
      <c r="I7581" s="711"/>
      <c r="J7581" s="711"/>
      <c r="K7581" s="711"/>
      <c r="L7581" s="711"/>
      <c r="Q7581" s="11"/>
      <c r="R7581" s="11"/>
      <c r="S7581" s="11"/>
      <c r="T7581" s="11"/>
    </row>
    <row r="7582" spans="8:20" x14ac:dyDescent="0.35">
      <c r="H7582" s="711"/>
      <c r="I7582" s="711"/>
      <c r="J7582" s="711"/>
      <c r="K7582" s="711"/>
      <c r="L7582" s="711"/>
      <c r="Q7582" s="11"/>
      <c r="R7582" s="11"/>
      <c r="S7582" s="11"/>
      <c r="T7582" s="11"/>
    </row>
    <row r="7583" spans="8:20" x14ac:dyDescent="0.35">
      <c r="H7583" s="711"/>
      <c r="I7583" s="711"/>
      <c r="J7583" s="711"/>
      <c r="K7583" s="711"/>
      <c r="L7583" s="711"/>
      <c r="Q7583" s="11"/>
      <c r="R7583" s="11"/>
      <c r="S7583" s="11"/>
      <c r="T7583" s="11"/>
    </row>
    <row r="7584" spans="8:20" x14ac:dyDescent="0.35">
      <c r="H7584" s="711"/>
      <c r="I7584" s="711"/>
      <c r="J7584" s="711"/>
      <c r="K7584" s="711"/>
      <c r="L7584" s="711"/>
      <c r="Q7584" s="11"/>
      <c r="R7584" s="11"/>
      <c r="S7584" s="11"/>
      <c r="T7584" s="11"/>
    </row>
    <row r="7585" spans="8:20" x14ac:dyDescent="0.35">
      <c r="H7585" s="711"/>
      <c r="I7585" s="711"/>
      <c r="J7585" s="711"/>
      <c r="K7585" s="711"/>
      <c r="L7585" s="711"/>
      <c r="Q7585" s="11"/>
      <c r="R7585" s="11"/>
      <c r="S7585" s="11"/>
      <c r="T7585" s="11"/>
    </row>
    <row r="7586" spans="8:20" x14ac:dyDescent="0.35">
      <c r="H7586" s="711"/>
      <c r="I7586" s="711"/>
      <c r="J7586" s="711"/>
      <c r="K7586" s="711"/>
      <c r="L7586" s="711"/>
      <c r="Q7586" s="11"/>
      <c r="R7586" s="11"/>
      <c r="S7586" s="11"/>
      <c r="T7586" s="11"/>
    </row>
    <row r="7587" spans="8:20" x14ac:dyDescent="0.35">
      <c r="H7587" s="711"/>
      <c r="I7587" s="711"/>
      <c r="J7587" s="711"/>
      <c r="K7587" s="711"/>
      <c r="L7587" s="711"/>
      <c r="Q7587" s="11"/>
      <c r="R7587" s="11"/>
      <c r="S7587" s="11"/>
      <c r="T7587" s="11"/>
    </row>
    <row r="7588" spans="8:20" x14ac:dyDescent="0.35">
      <c r="H7588" s="711"/>
      <c r="I7588" s="711"/>
      <c r="J7588" s="711"/>
      <c r="K7588" s="711"/>
      <c r="L7588" s="711"/>
      <c r="Q7588" s="11"/>
      <c r="R7588" s="11"/>
      <c r="S7588" s="11"/>
      <c r="T7588" s="11"/>
    </row>
    <row r="7589" spans="8:20" x14ac:dyDescent="0.35">
      <c r="H7589" s="711"/>
      <c r="I7589" s="711"/>
      <c r="J7589" s="711"/>
      <c r="K7589" s="711"/>
      <c r="L7589" s="711"/>
      <c r="Q7589" s="11"/>
      <c r="R7589" s="11"/>
      <c r="S7589" s="11"/>
      <c r="T7589" s="11"/>
    </row>
    <row r="7590" spans="8:20" x14ac:dyDescent="0.35">
      <c r="H7590" s="711"/>
      <c r="I7590" s="711"/>
      <c r="J7590" s="711"/>
      <c r="K7590" s="711"/>
      <c r="L7590" s="711"/>
      <c r="Q7590" s="11"/>
      <c r="R7590" s="11"/>
      <c r="S7590" s="11"/>
      <c r="T7590" s="11"/>
    </row>
    <row r="7591" spans="8:20" x14ac:dyDescent="0.35">
      <c r="H7591" s="711"/>
      <c r="I7591" s="711"/>
      <c r="J7591" s="711"/>
      <c r="K7591" s="711"/>
      <c r="L7591" s="711"/>
      <c r="Q7591" s="11"/>
      <c r="R7591" s="11"/>
      <c r="S7591" s="11"/>
      <c r="T7591" s="11"/>
    </row>
    <row r="7592" spans="8:20" x14ac:dyDescent="0.35">
      <c r="H7592" s="711"/>
      <c r="I7592" s="711"/>
      <c r="J7592" s="711"/>
      <c r="K7592" s="711"/>
      <c r="L7592" s="711"/>
      <c r="Q7592" s="11"/>
      <c r="R7592" s="11"/>
      <c r="S7592" s="11"/>
      <c r="T7592" s="11"/>
    </row>
    <row r="7593" spans="8:20" x14ac:dyDescent="0.35">
      <c r="H7593" s="711"/>
      <c r="I7593" s="711"/>
      <c r="J7593" s="711"/>
      <c r="K7593" s="711"/>
      <c r="L7593" s="711"/>
      <c r="Q7593" s="11"/>
      <c r="R7593" s="11"/>
      <c r="S7593" s="11"/>
      <c r="T7593" s="11"/>
    </row>
    <row r="7594" spans="8:20" x14ac:dyDescent="0.35">
      <c r="H7594" s="711"/>
      <c r="I7594" s="711"/>
      <c r="J7594" s="711"/>
      <c r="K7594" s="711"/>
      <c r="L7594" s="711"/>
      <c r="Q7594" s="11"/>
      <c r="R7594" s="11"/>
      <c r="S7594" s="11"/>
      <c r="T7594" s="11"/>
    </row>
    <row r="7595" spans="8:20" x14ac:dyDescent="0.35">
      <c r="H7595" s="711"/>
      <c r="I7595" s="711"/>
      <c r="J7595" s="711"/>
      <c r="K7595" s="711"/>
      <c r="L7595" s="711"/>
      <c r="Q7595" s="11"/>
      <c r="R7595" s="11"/>
      <c r="S7595" s="11"/>
      <c r="T7595" s="11"/>
    </row>
    <row r="7596" spans="8:20" x14ac:dyDescent="0.35">
      <c r="H7596" s="711"/>
      <c r="I7596" s="711"/>
      <c r="J7596" s="711"/>
      <c r="K7596" s="711"/>
      <c r="L7596" s="711"/>
      <c r="Q7596" s="11"/>
      <c r="R7596" s="11"/>
      <c r="S7596" s="11"/>
      <c r="T7596" s="11"/>
    </row>
    <row r="7597" spans="8:20" x14ac:dyDescent="0.35">
      <c r="H7597" s="711"/>
      <c r="I7597" s="711"/>
      <c r="J7597" s="711"/>
      <c r="K7597" s="711"/>
      <c r="L7597" s="711"/>
      <c r="Q7597" s="11"/>
      <c r="R7597" s="11"/>
      <c r="S7597" s="11"/>
      <c r="T7597" s="11"/>
    </row>
    <row r="7598" spans="8:20" x14ac:dyDescent="0.35">
      <c r="H7598" s="711"/>
      <c r="I7598" s="711"/>
      <c r="J7598" s="711"/>
      <c r="K7598" s="711"/>
      <c r="L7598" s="711"/>
      <c r="Q7598" s="11"/>
      <c r="R7598" s="11"/>
      <c r="S7598" s="11"/>
      <c r="T7598" s="11"/>
    </row>
    <row r="7599" spans="8:20" x14ac:dyDescent="0.35">
      <c r="H7599" s="711"/>
      <c r="I7599" s="711"/>
      <c r="J7599" s="711"/>
      <c r="K7599" s="711"/>
      <c r="L7599" s="711"/>
      <c r="Q7599" s="11"/>
      <c r="R7599" s="11"/>
      <c r="S7599" s="11"/>
      <c r="T7599" s="11"/>
    </row>
    <row r="7600" spans="8:20" x14ac:dyDescent="0.35">
      <c r="H7600" s="711"/>
      <c r="I7600" s="711"/>
      <c r="J7600" s="711"/>
      <c r="K7600" s="711"/>
      <c r="L7600" s="711"/>
      <c r="Q7600" s="11"/>
      <c r="R7600" s="11"/>
      <c r="S7600" s="11"/>
      <c r="T7600" s="11"/>
    </row>
    <row r="7601" spans="8:20" x14ac:dyDescent="0.35">
      <c r="H7601" s="711"/>
      <c r="I7601" s="711"/>
      <c r="J7601" s="711"/>
      <c r="K7601" s="711"/>
      <c r="L7601" s="711"/>
      <c r="Q7601" s="11"/>
      <c r="R7601" s="11"/>
      <c r="S7601" s="11"/>
      <c r="T7601" s="11"/>
    </row>
    <row r="7602" spans="8:20" x14ac:dyDescent="0.35">
      <c r="H7602" s="711"/>
      <c r="I7602" s="711"/>
      <c r="J7602" s="711"/>
      <c r="K7602" s="711"/>
      <c r="L7602" s="711"/>
      <c r="Q7602" s="11"/>
      <c r="R7602" s="11"/>
      <c r="S7602" s="11"/>
      <c r="T7602" s="11"/>
    </row>
    <row r="7603" spans="8:20" x14ac:dyDescent="0.35">
      <c r="H7603" s="711"/>
      <c r="I7603" s="711"/>
      <c r="J7603" s="711"/>
      <c r="K7603" s="711"/>
      <c r="L7603" s="711"/>
      <c r="Q7603" s="11"/>
      <c r="R7603" s="11"/>
      <c r="S7603" s="11"/>
      <c r="T7603" s="11"/>
    </row>
    <row r="7604" spans="8:20" x14ac:dyDescent="0.35">
      <c r="H7604" s="711"/>
      <c r="I7604" s="711"/>
      <c r="J7604" s="711"/>
      <c r="K7604" s="711"/>
      <c r="L7604" s="711"/>
      <c r="Q7604" s="11"/>
      <c r="R7604" s="11"/>
      <c r="S7604" s="11"/>
      <c r="T7604" s="11"/>
    </row>
    <row r="7605" spans="8:20" x14ac:dyDescent="0.35">
      <c r="H7605" s="711"/>
      <c r="I7605" s="711"/>
      <c r="J7605" s="711"/>
      <c r="K7605" s="711"/>
      <c r="L7605" s="711"/>
      <c r="Q7605" s="11"/>
      <c r="R7605" s="11"/>
      <c r="S7605" s="11"/>
      <c r="T7605" s="11"/>
    </row>
    <row r="7606" spans="8:20" x14ac:dyDescent="0.35">
      <c r="H7606" s="711"/>
      <c r="I7606" s="711"/>
      <c r="J7606" s="711"/>
      <c r="K7606" s="711"/>
      <c r="L7606" s="711"/>
      <c r="Q7606" s="11"/>
      <c r="R7606" s="11"/>
      <c r="S7606" s="11"/>
      <c r="T7606" s="11"/>
    </row>
    <row r="7607" spans="8:20" x14ac:dyDescent="0.35">
      <c r="H7607" s="711"/>
      <c r="I7607" s="711"/>
      <c r="J7607" s="711"/>
      <c r="K7607" s="711"/>
      <c r="L7607" s="711"/>
      <c r="Q7607" s="11"/>
      <c r="R7607" s="11"/>
      <c r="S7607" s="11"/>
      <c r="T7607" s="11"/>
    </row>
    <row r="7608" spans="8:20" x14ac:dyDescent="0.35">
      <c r="H7608" s="711"/>
      <c r="I7608" s="711"/>
      <c r="J7608" s="711"/>
      <c r="K7608" s="711"/>
      <c r="L7608" s="711"/>
      <c r="Q7608" s="11"/>
      <c r="R7608" s="11"/>
      <c r="S7608" s="11"/>
      <c r="T7608" s="11"/>
    </row>
    <row r="7609" spans="8:20" x14ac:dyDescent="0.35">
      <c r="H7609" s="711"/>
      <c r="I7609" s="711"/>
      <c r="J7609" s="711"/>
      <c r="K7609" s="711"/>
      <c r="L7609" s="711"/>
      <c r="Q7609" s="11"/>
      <c r="R7609" s="11"/>
      <c r="S7609" s="11"/>
      <c r="T7609" s="11"/>
    </row>
    <row r="7610" spans="8:20" x14ac:dyDescent="0.35">
      <c r="H7610" s="711"/>
      <c r="I7610" s="711"/>
      <c r="J7610" s="711"/>
      <c r="K7610" s="711"/>
      <c r="L7610" s="711"/>
      <c r="Q7610" s="11"/>
      <c r="R7610" s="11"/>
      <c r="S7610" s="11"/>
      <c r="T7610" s="11"/>
    </row>
    <row r="7611" spans="8:20" x14ac:dyDescent="0.35">
      <c r="H7611" s="711"/>
      <c r="I7611" s="711"/>
      <c r="J7611" s="711"/>
      <c r="K7611" s="711"/>
      <c r="L7611" s="711"/>
      <c r="Q7611" s="11"/>
      <c r="R7611" s="11"/>
      <c r="S7611" s="11"/>
      <c r="T7611" s="11"/>
    </row>
    <row r="7612" spans="8:20" x14ac:dyDescent="0.35">
      <c r="H7612" s="711"/>
      <c r="I7612" s="711"/>
      <c r="J7612" s="711"/>
      <c r="K7612" s="711"/>
      <c r="L7612" s="711"/>
      <c r="Q7612" s="11"/>
      <c r="R7612" s="11"/>
      <c r="S7612" s="11"/>
      <c r="T7612" s="11"/>
    </row>
    <row r="7613" spans="8:20" x14ac:dyDescent="0.35">
      <c r="H7613" s="711"/>
      <c r="I7613" s="711"/>
      <c r="J7613" s="711"/>
      <c r="K7613" s="711"/>
      <c r="L7613" s="711"/>
      <c r="Q7613" s="11"/>
      <c r="R7613" s="11"/>
      <c r="S7613" s="11"/>
      <c r="T7613" s="11"/>
    </row>
    <row r="7614" spans="8:20" x14ac:dyDescent="0.35">
      <c r="H7614" s="711"/>
      <c r="I7614" s="711"/>
      <c r="J7614" s="711"/>
      <c r="K7614" s="711"/>
      <c r="L7614" s="711"/>
      <c r="Q7614" s="11"/>
      <c r="R7614" s="11"/>
      <c r="S7614" s="11"/>
      <c r="T7614" s="11"/>
    </row>
    <row r="7615" spans="8:20" x14ac:dyDescent="0.35">
      <c r="H7615" s="711"/>
      <c r="I7615" s="711"/>
      <c r="J7615" s="711"/>
      <c r="K7615" s="711"/>
      <c r="L7615" s="711"/>
      <c r="Q7615" s="11"/>
      <c r="R7615" s="11"/>
      <c r="S7615" s="11"/>
      <c r="T7615" s="11"/>
    </row>
    <row r="7616" spans="8:20" x14ac:dyDescent="0.35">
      <c r="H7616" s="711"/>
      <c r="I7616" s="711"/>
      <c r="J7616" s="711"/>
      <c r="K7616" s="711"/>
      <c r="L7616" s="711"/>
      <c r="Q7616" s="11"/>
      <c r="R7616" s="11"/>
      <c r="S7616" s="11"/>
      <c r="T7616" s="11"/>
    </row>
    <row r="7617" spans="8:20" x14ac:dyDescent="0.35">
      <c r="H7617" s="711"/>
      <c r="I7617" s="711"/>
      <c r="J7617" s="711"/>
      <c r="K7617" s="711"/>
      <c r="L7617" s="711"/>
      <c r="Q7617" s="11"/>
      <c r="R7617" s="11"/>
      <c r="S7617" s="11"/>
      <c r="T7617" s="11"/>
    </row>
    <row r="7618" spans="8:20" x14ac:dyDescent="0.35">
      <c r="H7618" s="711"/>
      <c r="I7618" s="711"/>
      <c r="J7618" s="711"/>
      <c r="K7618" s="711"/>
      <c r="L7618" s="711"/>
      <c r="Q7618" s="11"/>
      <c r="R7618" s="11"/>
      <c r="S7618" s="11"/>
      <c r="T7618" s="11"/>
    </row>
    <row r="7619" spans="8:20" x14ac:dyDescent="0.35">
      <c r="H7619" s="711"/>
      <c r="I7619" s="711"/>
      <c r="J7619" s="711"/>
      <c r="K7619" s="711"/>
      <c r="L7619" s="711"/>
      <c r="Q7619" s="11"/>
      <c r="R7619" s="11"/>
      <c r="S7619" s="11"/>
      <c r="T7619" s="11"/>
    </row>
    <row r="7620" spans="8:20" x14ac:dyDescent="0.35">
      <c r="H7620" s="711"/>
      <c r="I7620" s="711"/>
      <c r="J7620" s="711"/>
      <c r="K7620" s="711"/>
      <c r="L7620" s="711"/>
      <c r="Q7620" s="11"/>
      <c r="R7620" s="11"/>
      <c r="S7620" s="11"/>
      <c r="T7620" s="11"/>
    </row>
    <row r="7621" spans="8:20" x14ac:dyDescent="0.35">
      <c r="H7621" s="711"/>
      <c r="I7621" s="711"/>
      <c r="J7621" s="711"/>
      <c r="K7621" s="711"/>
      <c r="L7621" s="711"/>
      <c r="Q7621" s="11"/>
      <c r="R7621" s="11"/>
      <c r="S7621" s="11"/>
      <c r="T7621" s="11"/>
    </row>
    <row r="7622" spans="8:20" x14ac:dyDescent="0.35">
      <c r="H7622" s="711"/>
      <c r="I7622" s="711"/>
      <c r="J7622" s="711"/>
      <c r="K7622" s="711"/>
      <c r="L7622" s="711"/>
      <c r="Q7622" s="11"/>
      <c r="R7622" s="11"/>
      <c r="S7622" s="11"/>
      <c r="T7622" s="11"/>
    </row>
    <row r="7623" spans="8:20" x14ac:dyDescent="0.35">
      <c r="H7623" s="711"/>
      <c r="I7623" s="711"/>
      <c r="J7623" s="711"/>
      <c r="K7623" s="711"/>
      <c r="L7623" s="711"/>
      <c r="Q7623" s="11"/>
      <c r="R7623" s="11"/>
      <c r="S7623" s="11"/>
      <c r="T7623" s="11"/>
    </row>
    <row r="7624" spans="8:20" x14ac:dyDescent="0.35">
      <c r="H7624" s="711"/>
      <c r="I7624" s="711"/>
      <c r="J7624" s="711"/>
      <c r="K7624" s="711"/>
      <c r="L7624" s="711"/>
      <c r="Q7624" s="11"/>
      <c r="R7624" s="11"/>
      <c r="S7624" s="11"/>
      <c r="T7624" s="11"/>
    </row>
    <row r="7625" spans="8:20" x14ac:dyDescent="0.35">
      <c r="H7625" s="711"/>
      <c r="I7625" s="711"/>
      <c r="J7625" s="711"/>
      <c r="K7625" s="711"/>
      <c r="L7625" s="711"/>
      <c r="Q7625" s="11"/>
      <c r="R7625" s="11"/>
      <c r="S7625" s="11"/>
      <c r="T7625" s="11"/>
    </row>
    <row r="7626" spans="8:20" x14ac:dyDescent="0.35">
      <c r="H7626" s="711"/>
      <c r="I7626" s="711"/>
      <c r="J7626" s="711"/>
      <c r="K7626" s="711"/>
      <c r="L7626" s="711"/>
      <c r="Q7626" s="11"/>
      <c r="R7626" s="11"/>
      <c r="S7626" s="11"/>
      <c r="T7626" s="11"/>
    </row>
    <row r="7627" spans="8:20" x14ac:dyDescent="0.35">
      <c r="H7627" s="711"/>
      <c r="I7627" s="711"/>
      <c r="J7627" s="711"/>
      <c r="K7627" s="711"/>
      <c r="L7627" s="711"/>
      <c r="Q7627" s="11"/>
      <c r="R7627" s="11"/>
      <c r="S7627" s="11"/>
      <c r="T7627" s="11"/>
    </row>
    <row r="7628" spans="8:20" x14ac:dyDescent="0.35">
      <c r="H7628" s="711"/>
      <c r="I7628" s="711"/>
      <c r="J7628" s="711"/>
      <c r="K7628" s="711"/>
      <c r="L7628" s="711"/>
      <c r="Q7628" s="11"/>
      <c r="R7628" s="11"/>
      <c r="S7628" s="11"/>
      <c r="T7628" s="11"/>
    </row>
    <row r="7629" spans="8:20" x14ac:dyDescent="0.35">
      <c r="H7629" s="711"/>
      <c r="I7629" s="711"/>
      <c r="J7629" s="711"/>
      <c r="K7629" s="711"/>
      <c r="L7629" s="711"/>
      <c r="Q7629" s="11"/>
      <c r="R7629" s="11"/>
      <c r="S7629" s="11"/>
      <c r="T7629" s="11"/>
    </row>
    <row r="7630" spans="8:20" x14ac:dyDescent="0.35">
      <c r="H7630" s="711"/>
      <c r="I7630" s="711"/>
      <c r="J7630" s="711"/>
      <c r="K7630" s="711"/>
      <c r="L7630" s="711"/>
      <c r="Q7630" s="11"/>
      <c r="R7630" s="11"/>
      <c r="S7630" s="11"/>
      <c r="T7630" s="11"/>
    </row>
    <row r="7631" spans="8:20" x14ac:dyDescent="0.35">
      <c r="H7631" s="711"/>
      <c r="I7631" s="711"/>
      <c r="J7631" s="711"/>
      <c r="K7631" s="711"/>
      <c r="L7631" s="711"/>
      <c r="Q7631" s="11"/>
      <c r="R7631" s="11"/>
      <c r="S7631" s="11"/>
      <c r="T7631" s="11"/>
    </row>
    <row r="7632" spans="8:20" x14ac:dyDescent="0.35">
      <c r="H7632" s="711"/>
      <c r="I7632" s="711"/>
      <c r="J7632" s="711"/>
      <c r="K7632" s="711"/>
      <c r="L7632" s="711"/>
      <c r="Q7632" s="11"/>
      <c r="R7632" s="11"/>
      <c r="S7632" s="11"/>
      <c r="T7632" s="11"/>
    </row>
    <row r="7633" spans="8:20" x14ac:dyDescent="0.35">
      <c r="H7633" s="711"/>
      <c r="I7633" s="711"/>
      <c r="J7633" s="711"/>
      <c r="K7633" s="711"/>
      <c r="L7633" s="711"/>
      <c r="Q7633" s="11"/>
      <c r="R7633" s="11"/>
      <c r="S7633" s="11"/>
      <c r="T7633" s="11"/>
    </row>
    <row r="7634" spans="8:20" x14ac:dyDescent="0.35">
      <c r="H7634" s="711"/>
      <c r="I7634" s="711"/>
      <c r="J7634" s="711"/>
      <c r="K7634" s="711"/>
      <c r="L7634" s="711"/>
      <c r="Q7634" s="11"/>
      <c r="R7634" s="11"/>
      <c r="S7634" s="11"/>
      <c r="T7634" s="11"/>
    </row>
    <row r="7635" spans="8:20" x14ac:dyDescent="0.35">
      <c r="H7635" s="711"/>
      <c r="I7635" s="711"/>
      <c r="J7635" s="711"/>
      <c r="K7635" s="711"/>
      <c r="L7635" s="711"/>
      <c r="Q7635" s="11"/>
      <c r="R7635" s="11"/>
      <c r="S7635" s="11"/>
      <c r="T7635" s="11"/>
    </row>
    <row r="7636" spans="8:20" x14ac:dyDescent="0.35">
      <c r="H7636" s="711"/>
      <c r="I7636" s="711"/>
      <c r="J7636" s="711"/>
      <c r="K7636" s="711"/>
      <c r="L7636" s="711"/>
      <c r="Q7636" s="11"/>
      <c r="R7636" s="11"/>
      <c r="S7636" s="11"/>
      <c r="T7636" s="11"/>
    </row>
    <row r="7637" spans="8:20" x14ac:dyDescent="0.35">
      <c r="H7637" s="711"/>
      <c r="I7637" s="711"/>
      <c r="J7637" s="711"/>
      <c r="K7637" s="711"/>
      <c r="L7637" s="711"/>
      <c r="Q7637" s="11"/>
      <c r="R7637" s="11"/>
      <c r="S7637" s="11"/>
      <c r="T7637" s="11"/>
    </row>
    <row r="7638" spans="8:20" x14ac:dyDescent="0.35">
      <c r="H7638" s="711"/>
      <c r="I7638" s="711"/>
      <c r="J7638" s="711"/>
      <c r="K7638" s="711"/>
      <c r="L7638" s="711"/>
      <c r="Q7638" s="11"/>
      <c r="R7638" s="11"/>
      <c r="S7638" s="11"/>
      <c r="T7638" s="11"/>
    </row>
    <row r="7639" spans="8:20" x14ac:dyDescent="0.35">
      <c r="H7639" s="711"/>
      <c r="I7639" s="711"/>
      <c r="J7639" s="711"/>
      <c r="K7639" s="711"/>
      <c r="L7639" s="711"/>
      <c r="Q7639" s="11"/>
      <c r="R7639" s="11"/>
      <c r="S7639" s="11"/>
      <c r="T7639" s="11"/>
    </row>
    <row r="7640" spans="8:20" x14ac:dyDescent="0.35">
      <c r="H7640" s="711"/>
      <c r="I7640" s="711"/>
      <c r="J7640" s="711"/>
      <c r="K7640" s="711"/>
      <c r="L7640" s="711"/>
      <c r="Q7640" s="11"/>
      <c r="R7640" s="11"/>
      <c r="S7640" s="11"/>
      <c r="T7640" s="11"/>
    </row>
    <row r="7641" spans="8:20" x14ac:dyDescent="0.35">
      <c r="H7641" s="711"/>
      <c r="I7641" s="711"/>
      <c r="J7641" s="711"/>
      <c r="K7641" s="711"/>
      <c r="L7641" s="711"/>
      <c r="Q7641" s="11"/>
      <c r="R7641" s="11"/>
      <c r="S7641" s="11"/>
      <c r="T7641" s="11"/>
    </row>
    <row r="7642" spans="8:20" x14ac:dyDescent="0.35">
      <c r="H7642" s="711"/>
      <c r="I7642" s="711"/>
      <c r="J7642" s="711"/>
      <c r="K7642" s="711"/>
      <c r="L7642" s="711"/>
      <c r="Q7642" s="11"/>
      <c r="R7642" s="11"/>
      <c r="S7642" s="11"/>
      <c r="T7642" s="11"/>
    </row>
    <row r="7643" spans="8:20" x14ac:dyDescent="0.35">
      <c r="H7643" s="711"/>
      <c r="I7643" s="711"/>
      <c r="J7643" s="711"/>
      <c r="K7643" s="711"/>
      <c r="L7643" s="711"/>
      <c r="Q7643" s="11"/>
      <c r="R7643" s="11"/>
      <c r="S7643" s="11"/>
      <c r="T7643" s="11"/>
    </row>
    <row r="7644" spans="8:20" x14ac:dyDescent="0.35">
      <c r="H7644" s="711"/>
      <c r="I7644" s="711"/>
      <c r="J7644" s="711"/>
      <c r="K7644" s="711"/>
      <c r="L7644" s="711"/>
      <c r="Q7644" s="11"/>
      <c r="R7644" s="11"/>
      <c r="S7644" s="11"/>
      <c r="T7644" s="11"/>
    </row>
    <row r="7645" spans="8:20" x14ac:dyDescent="0.35">
      <c r="H7645" s="711"/>
      <c r="I7645" s="711"/>
      <c r="J7645" s="711"/>
      <c r="K7645" s="711"/>
      <c r="L7645" s="711"/>
      <c r="Q7645" s="11"/>
      <c r="R7645" s="11"/>
      <c r="S7645" s="11"/>
      <c r="T7645" s="11"/>
    </row>
    <row r="7646" spans="8:20" x14ac:dyDescent="0.35">
      <c r="H7646" s="711"/>
      <c r="I7646" s="711"/>
      <c r="J7646" s="711"/>
      <c r="K7646" s="711"/>
      <c r="L7646" s="711"/>
      <c r="Q7646" s="11"/>
      <c r="R7646" s="11"/>
      <c r="S7646" s="11"/>
      <c r="T7646" s="11"/>
    </row>
    <row r="7647" spans="8:20" x14ac:dyDescent="0.35">
      <c r="H7647" s="711"/>
      <c r="I7647" s="711"/>
      <c r="J7647" s="711"/>
      <c r="K7647" s="711"/>
      <c r="L7647" s="711"/>
      <c r="Q7647" s="11"/>
      <c r="R7647" s="11"/>
      <c r="S7647" s="11"/>
      <c r="T7647" s="11"/>
    </row>
    <row r="7648" spans="8:20" x14ac:dyDescent="0.35">
      <c r="H7648" s="711"/>
      <c r="I7648" s="711"/>
      <c r="J7648" s="711"/>
      <c r="K7648" s="711"/>
      <c r="L7648" s="711"/>
      <c r="Q7648" s="11"/>
      <c r="R7648" s="11"/>
      <c r="S7648" s="11"/>
      <c r="T7648" s="11"/>
    </row>
    <row r="7649" spans="8:20" x14ac:dyDescent="0.35">
      <c r="H7649" s="711"/>
      <c r="I7649" s="711"/>
      <c r="J7649" s="711"/>
      <c r="K7649" s="711"/>
      <c r="L7649" s="711"/>
      <c r="Q7649" s="11"/>
      <c r="R7649" s="11"/>
      <c r="S7649" s="11"/>
      <c r="T7649" s="11"/>
    </row>
    <row r="7650" spans="8:20" x14ac:dyDescent="0.35">
      <c r="H7650" s="711"/>
      <c r="I7650" s="711"/>
      <c r="J7650" s="711"/>
      <c r="K7650" s="711"/>
      <c r="L7650" s="711"/>
      <c r="Q7650" s="11"/>
      <c r="R7650" s="11"/>
      <c r="S7650" s="11"/>
      <c r="T7650" s="11"/>
    </row>
    <row r="7651" spans="8:20" x14ac:dyDescent="0.35">
      <c r="H7651" s="711"/>
      <c r="I7651" s="711"/>
      <c r="J7651" s="711"/>
      <c r="K7651" s="711"/>
      <c r="L7651" s="711"/>
      <c r="Q7651" s="11"/>
      <c r="R7651" s="11"/>
      <c r="S7651" s="11"/>
      <c r="T7651" s="11"/>
    </row>
    <row r="7652" spans="8:20" x14ac:dyDescent="0.35">
      <c r="H7652" s="711"/>
      <c r="I7652" s="711"/>
      <c r="J7652" s="711"/>
      <c r="K7652" s="711"/>
      <c r="L7652" s="711"/>
      <c r="Q7652" s="11"/>
      <c r="R7652" s="11"/>
      <c r="S7652" s="11"/>
      <c r="T7652" s="11"/>
    </row>
    <row r="7653" spans="8:20" x14ac:dyDescent="0.35">
      <c r="H7653" s="711"/>
      <c r="I7653" s="711"/>
      <c r="J7653" s="711"/>
      <c r="K7653" s="711"/>
      <c r="L7653" s="711"/>
      <c r="Q7653" s="11"/>
      <c r="R7653" s="11"/>
      <c r="S7653" s="11"/>
      <c r="T7653" s="11"/>
    </row>
    <row r="7654" spans="8:20" x14ac:dyDescent="0.35">
      <c r="H7654" s="711"/>
      <c r="I7654" s="711"/>
      <c r="J7654" s="711"/>
      <c r="K7654" s="711"/>
      <c r="L7654" s="711"/>
      <c r="Q7654" s="11"/>
      <c r="R7654" s="11"/>
      <c r="S7654" s="11"/>
      <c r="T7654" s="11"/>
    </row>
    <row r="7655" spans="8:20" x14ac:dyDescent="0.35">
      <c r="H7655" s="711"/>
      <c r="I7655" s="711"/>
      <c r="J7655" s="711"/>
      <c r="K7655" s="711"/>
      <c r="L7655" s="711"/>
      <c r="Q7655" s="11"/>
      <c r="R7655" s="11"/>
      <c r="S7655" s="11"/>
      <c r="T7655" s="11"/>
    </row>
    <row r="7656" spans="8:20" x14ac:dyDescent="0.35">
      <c r="H7656" s="711"/>
      <c r="I7656" s="711"/>
      <c r="J7656" s="711"/>
      <c r="K7656" s="711"/>
      <c r="L7656" s="711"/>
      <c r="Q7656" s="11"/>
      <c r="R7656" s="11"/>
      <c r="S7656" s="11"/>
      <c r="T7656" s="11"/>
    </row>
    <row r="7657" spans="8:20" x14ac:dyDescent="0.35">
      <c r="H7657" s="711"/>
      <c r="I7657" s="711"/>
      <c r="J7657" s="711"/>
      <c r="K7657" s="711"/>
      <c r="L7657" s="711"/>
      <c r="Q7657" s="11"/>
      <c r="R7657" s="11"/>
      <c r="S7657" s="11"/>
      <c r="T7657" s="11"/>
    </row>
    <row r="7658" spans="8:20" x14ac:dyDescent="0.35">
      <c r="H7658" s="711"/>
      <c r="I7658" s="711"/>
      <c r="J7658" s="711"/>
      <c r="K7658" s="711"/>
      <c r="L7658" s="711"/>
      <c r="Q7658" s="11"/>
      <c r="R7658" s="11"/>
      <c r="S7658" s="11"/>
      <c r="T7658" s="11"/>
    </row>
    <row r="7659" spans="8:20" x14ac:dyDescent="0.35">
      <c r="H7659" s="711"/>
      <c r="I7659" s="711"/>
      <c r="J7659" s="711"/>
      <c r="K7659" s="711"/>
      <c r="L7659" s="711"/>
      <c r="Q7659" s="11"/>
      <c r="R7659" s="11"/>
      <c r="S7659" s="11"/>
      <c r="T7659" s="11"/>
    </row>
    <row r="7660" spans="8:20" x14ac:dyDescent="0.35">
      <c r="H7660" s="711"/>
      <c r="I7660" s="711"/>
      <c r="J7660" s="711"/>
      <c r="K7660" s="711"/>
      <c r="L7660" s="711"/>
      <c r="Q7660" s="11"/>
      <c r="R7660" s="11"/>
      <c r="S7660" s="11"/>
      <c r="T7660" s="11"/>
    </row>
    <row r="7661" spans="8:20" x14ac:dyDescent="0.35">
      <c r="H7661" s="711"/>
      <c r="I7661" s="711"/>
      <c r="J7661" s="711"/>
      <c r="K7661" s="711"/>
      <c r="L7661" s="711"/>
      <c r="Q7661" s="11"/>
      <c r="R7661" s="11"/>
      <c r="S7661" s="11"/>
      <c r="T7661" s="11"/>
    </row>
    <row r="7662" spans="8:20" x14ac:dyDescent="0.35">
      <c r="H7662" s="711"/>
      <c r="I7662" s="711"/>
      <c r="J7662" s="711"/>
      <c r="K7662" s="711"/>
      <c r="L7662" s="711"/>
      <c r="Q7662" s="11"/>
      <c r="R7662" s="11"/>
      <c r="S7662" s="11"/>
      <c r="T7662" s="11"/>
    </row>
    <row r="7663" spans="8:20" x14ac:dyDescent="0.35">
      <c r="H7663" s="711"/>
      <c r="I7663" s="711"/>
      <c r="J7663" s="711"/>
      <c r="K7663" s="711"/>
      <c r="L7663" s="711"/>
      <c r="Q7663" s="11"/>
      <c r="R7663" s="11"/>
      <c r="S7663" s="11"/>
      <c r="T7663" s="11"/>
    </row>
    <row r="7664" spans="8:20" x14ac:dyDescent="0.35">
      <c r="H7664" s="711"/>
      <c r="I7664" s="711"/>
      <c r="J7664" s="711"/>
      <c r="K7664" s="711"/>
      <c r="L7664" s="711"/>
      <c r="Q7664" s="11"/>
      <c r="R7664" s="11"/>
      <c r="S7664" s="11"/>
      <c r="T7664" s="11"/>
    </row>
    <row r="7665" spans="8:20" x14ac:dyDescent="0.35">
      <c r="H7665" s="711"/>
      <c r="I7665" s="711"/>
      <c r="J7665" s="711"/>
      <c r="K7665" s="711"/>
      <c r="L7665" s="711"/>
      <c r="Q7665" s="11"/>
      <c r="R7665" s="11"/>
      <c r="S7665" s="11"/>
      <c r="T7665" s="11"/>
    </row>
    <row r="7666" spans="8:20" x14ac:dyDescent="0.35">
      <c r="H7666" s="711"/>
      <c r="I7666" s="711"/>
      <c r="J7666" s="711"/>
      <c r="K7666" s="711"/>
      <c r="L7666" s="711"/>
      <c r="Q7666" s="11"/>
      <c r="R7666" s="11"/>
      <c r="S7666" s="11"/>
      <c r="T7666" s="11"/>
    </row>
    <row r="7667" spans="8:20" x14ac:dyDescent="0.35">
      <c r="H7667" s="711"/>
      <c r="I7667" s="711"/>
      <c r="J7667" s="711"/>
      <c r="K7667" s="711"/>
      <c r="L7667" s="711"/>
      <c r="Q7667" s="11"/>
      <c r="R7667" s="11"/>
      <c r="S7667" s="11"/>
      <c r="T7667" s="11"/>
    </row>
    <row r="7668" spans="8:20" x14ac:dyDescent="0.35">
      <c r="H7668" s="711"/>
      <c r="I7668" s="711"/>
      <c r="J7668" s="711"/>
      <c r="K7668" s="711"/>
      <c r="L7668" s="711"/>
      <c r="Q7668" s="11"/>
      <c r="R7668" s="11"/>
      <c r="S7668" s="11"/>
      <c r="T7668" s="11"/>
    </row>
    <row r="7669" spans="8:20" x14ac:dyDescent="0.35">
      <c r="H7669" s="711"/>
      <c r="I7669" s="711"/>
      <c r="J7669" s="711"/>
      <c r="K7669" s="711"/>
      <c r="L7669" s="711"/>
      <c r="Q7669" s="11"/>
      <c r="R7669" s="11"/>
      <c r="S7669" s="11"/>
      <c r="T7669" s="11"/>
    </row>
    <row r="7670" spans="8:20" x14ac:dyDescent="0.35">
      <c r="H7670" s="711"/>
      <c r="I7670" s="711"/>
      <c r="J7670" s="711"/>
      <c r="K7670" s="711"/>
      <c r="L7670" s="711"/>
      <c r="Q7670" s="11"/>
      <c r="R7670" s="11"/>
      <c r="S7670" s="11"/>
      <c r="T7670" s="11"/>
    </row>
    <row r="7671" spans="8:20" x14ac:dyDescent="0.35">
      <c r="H7671" s="711"/>
      <c r="I7671" s="711"/>
      <c r="J7671" s="711"/>
      <c r="K7671" s="711"/>
      <c r="L7671" s="711"/>
      <c r="Q7671" s="11"/>
      <c r="R7671" s="11"/>
      <c r="S7671" s="11"/>
      <c r="T7671" s="11"/>
    </row>
    <row r="7672" spans="8:20" x14ac:dyDescent="0.35">
      <c r="H7672" s="711"/>
      <c r="I7672" s="711"/>
      <c r="J7672" s="711"/>
      <c r="K7672" s="711"/>
      <c r="L7672" s="711"/>
      <c r="Q7672" s="11"/>
      <c r="R7672" s="11"/>
      <c r="S7672" s="11"/>
      <c r="T7672" s="11"/>
    </row>
    <row r="7673" spans="8:20" x14ac:dyDescent="0.35">
      <c r="H7673" s="711"/>
      <c r="I7673" s="711"/>
      <c r="J7673" s="711"/>
      <c r="K7673" s="711"/>
      <c r="L7673" s="711"/>
      <c r="Q7673" s="11"/>
      <c r="R7673" s="11"/>
      <c r="S7673" s="11"/>
      <c r="T7673" s="11"/>
    </row>
    <row r="7674" spans="8:20" x14ac:dyDescent="0.35">
      <c r="H7674" s="711"/>
      <c r="I7674" s="711"/>
      <c r="J7674" s="711"/>
      <c r="K7674" s="711"/>
      <c r="L7674" s="711"/>
      <c r="Q7674" s="11"/>
      <c r="R7674" s="11"/>
      <c r="S7674" s="11"/>
      <c r="T7674" s="11"/>
    </row>
    <row r="7675" spans="8:20" x14ac:dyDescent="0.35">
      <c r="H7675" s="711"/>
      <c r="I7675" s="711"/>
      <c r="J7675" s="711"/>
      <c r="K7675" s="711"/>
      <c r="L7675" s="711"/>
      <c r="Q7675" s="11"/>
      <c r="R7675" s="11"/>
      <c r="S7675" s="11"/>
      <c r="T7675" s="11"/>
    </row>
    <row r="7676" spans="8:20" x14ac:dyDescent="0.35">
      <c r="H7676" s="711"/>
      <c r="I7676" s="711"/>
      <c r="J7676" s="711"/>
      <c r="K7676" s="711"/>
      <c r="L7676" s="711"/>
      <c r="Q7676" s="11"/>
      <c r="R7676" s="11"/>
      <c r="S7676" s="11"/>
      <c r="T7676" s="11"/>
    </row>
    <row r="7677" spans="8:20" x14ac:dyDescent="0.35">
      <c r="H7677" s="711"/>
      <c r="I7677" s="711"/>
      <c r="J7677" s="711"/>
      <c r="K7677" s="711"/>
      <c r="L7677" s="711"/>
      <c r="Q7677" s="11"/>
      <c r="R7677" s="11"/>
      <c r="S7677" s="11"/>
      <c r="T7677" s="11"/>
    </row>
    <row r="7678" spans="8:20" x14ac:dyDescent="0.35">
      <c r="H7678" s="711"/>
      <c r="I7678" s="711"/>
      <c r="J7678" s="711"/>
      <c r="K7678" s="711"/>
      <c r="L7678" s="711"/>
      <c r="Q7678" s="11"/>
      <c r="R7678" s="11"/>
      <c r="S7678" s="11"/>
      <c r="T7678" s="11"/>
    </row>
    <row r="7679" spans="8:20" x14ac:dyDescent="0.35">
      <c r="H7679" s="711"/>
      <c r="I7679" s="711"/>
      <c r="J7679" s="711"/>
      <c r="K7679" s="711"/>
      <c r="L7679" s="711"/>
      <c r="Q7679" s="11"/>
      <c r="R7679" s="11"/>
      <c r="S7679" s="11"/>
      <c r="T7679" s="11"/>
    </row>
    <row r="7680" spans="8:20" x14ac:dyDescent="0.35">
      <c r="H7680" s="711"/>
      <c r="I7680" s="711"/>
      <c r="J7680" s="711"/>
      <c r="K7680" s="711"/>
      <c r="L7680" s="711"/>
      <c r="Q7680" s="11"/>
      <c r="R7680" s="11"/>
      <c r="S7680" s="11"/>
      <c r="T7680" s="11"/>
    </row>
    <row r="7681" spans="8:20" x14ac:dyDescent="0.35">
      <c r="H7681" s="711"/>
      <c r="I7681" s="711"/>
      <c r="J7681" s="711"/>
      <c r="K7681" s="711"/>
      <c r="L7681" s="711"/>
      <c r="Q7681" s="11"/>
      <c r="R7681" s="11"/>
      <c r="S7681" s="11"/>
      <c r="T7681" s="11"/>
    </row>
    <row r="7682" spans="8:20" x14ac:dyDescent="0.35">
      <c r="H7682" s="711"/>
      <c r="I7682" s="711"/>
      <c r="J7682" s="711"/>
      <c r="K7682" s="711"/>
      <c r="L7682" s="711"/>
      <c r="Q7682" s="11"/>
      <c r="R7682" s="11"/>
      <c r="S7682" s="11"/>
      <c r="T7682" s="11"/>
    </row>
    <row r="7683" spans="8:20" x14ac:dyDescent="0.35">
      <c r="H7683" s="711"/>
      <c r="I7683" s="711"/>
      <c r="J7683" s="711"/>
      <c r="K7683" s="711"/>
      <c r="L7683" s="711"/>
      <c r="Q7683" s="11"/>
      <c r="R7683" s="11"/>
      <c r="S7683" s="11"/>
      <c r="T7683" s="11"/>
    </row>
    <row r="7684" spans="8:20" x14ac:dyDescent="0.35">
      <c r="H7684" s="711"/>
      <c r="I7684" s="711"/>
      <c r="J7684" s="711"/>
      <c r="K7684" s="711"/>
      <c r="L7684" s="711"/>
      <c r="Q7684" s="11"/>
      <c r="R7684" s="11"/>
      <c r="S7684" s="11"/>
      <c r="T7684" s="11"/>
    </row>
    <row r="7685" spans="8:20" x14ac:dyDescent="0.35">
      <c r="H7685" s="711"/>
      <c r="I7685" s="711"/>
      <c r="J7685" s="711"/>
      <c r="K7685" s="711"/>
      <c r="L7685" s="711"/>
      <c r="Q7685" s="11"/>
      <c r="R7685" s="11"/>
      <c r="S7685" s="11"/>
      <c r="T7685" s="11"/>
    </row>
    <row r="7686" spans="8:20" x14ac:dyDescent="0.35">
      <c r="H7686" s="711"/>
      <c r="I7686" s="711"/>
      <c r="J7686" s="711"/>
      <c r="K7686" s="711"/>
      <c r="L7686" s="711"/>
      <c r="Q7686" s="11"/>
      <c r="R7686" s="11"/>
      <c r="S7686" s="11"/>
      <c r="T7686" s="11"/>
    </row>
    <row r="7687" spans="8:20" x14ac:dyDescent="0.35">
      <c r="H7687" s="711"/>
      <c r="I7687" s="711"/>
      <c r="J7687" s="711"/>
      <c r="K7687" s="711"/>
      <c r="L7687" s="711"/>
      <c r="Q7687" s="11"/>
      <c r="R7687" s="11"/>
      <c r="S7687" s="11"/>
      <c r="T7687" s="11"/>
    </row>
    <row r="7688" spans="8:20" x14ac:dyDescent="0.35">
      <c r="H7688" s="711"/>
      <c r="I7688" s="711"/>
      <c r="J7688" s="711"/>
      <c r="K7688" s="711"/>
      <c r="L7688" s="711"/>
      <c r="Q7688" s="11"/>
      <c r="R7688" s="11"/>
      <c r="S7688" s="11"/>
      <c r="T7688" s="11"/>
    </row>
    <row r="7689" spans="8:20" x14ac:dyDescent="0.35">
      <c r="H7689" s="711"/>
      <c r="I7689" s="711"/>
      <c r="J7689" s="711"/>
      <c r="K7689" s="711"/>
      <c r="L7689" s="711"/>
      <c r="Q7689" s="11"/>
      <c r="R7689" s="11"/>
      <c r="S7689" s="11"/>
      <c r="T7689" s="11"/>
    </row>
    <row r="7690" spans="8:20" x14ac:dyDescent="0.35">
      <c r="H7690" s="711"/>
      <c r="I7690" s="711"/>
      <c r="J7690" s="711"/>
      <c r="K7690" s="711"/>
      <c r="L7690" s="711"/>
      <c r="Q7690" s="11"/>
      <c r="R7690" s="11"/>
      <c r="S7690" s="11"/>
      <c r="T7690" s="11"/>
    </row>
    <row r="7691" spans="8:20" x14ac:dyDescent="0.35">
      <c r="H7691" s="711"/>
      <c r="I7691" s="711"/>
      <c r="J7691" s="711"/>
      <c r="K7691" s="711"/>
      <c r="L7691" s="711"/>
      <c r="Q7691" s="11"/>
      <c r="R7691" s="11"/>
      <c r="S7691" s="11"/>
      <c r="T7691" s="11"/>
    </row>
    <row r="7692" spans="8:20" x14ac:dyDescent="0.35">
      <c r="H7692" s="711"/>
      <c r="I7692" s="711"/>
      <c r="J7692" s="711"/>
      <c r="K7692" s="711"/>
      <c r="L7692" s="711"/>
      <c r="Q7692" s="11"/>
      <c r="R7692" s="11"/>
      <c r="S7692" s="11"/>
      <c r="T7692" s="11"/>
    </row>
    <row r="7693" spans="8:20" x14ac:dyDescent="0.35">
      <c r="H7693" s="711"/>
      <c r="I7693" s="711"/>
      <c r="J7693" s="711"/>
      <c r="K7693" s="711"/>
      <c r="L7693" s="711"/>
      <c r="Q7693" s="11"/>
      <c r="R7693" s="11"/>
      <c r="S7693" s="11"/>
      <c r="T7693" s="11"/>
    </row>
    <row r="7694" spans="8:20" x14ac:dyDescent="0.35">
      <c r="H7694" s="711"/>
      <c r="I7694" s="711"/>
      <c r="J7694" s="711"/>
      <c r="K7694" s="711"/>
      <c r="L7694" s="711"/>
      <c r="Q7694" s="11"/>
      <c r="R7694" s="11"/>
      <c r="S7694" s="11"/>
      <c r="T7694" s="11"/>
    </row>
    <row r="7695" spans="8:20" x14ac:dyDescent="0.35">
      <c r="H7695" s="711"/>
      <c r="I7695" s="711"/>
      <c r="J7695" s="711"/>
      <c r="K7695" s="711"/>
      <c r="L7695" s="711"/>
      <c r="Q7695" s="11"/>
      <c r="R7695" s="11"/>
      <c r="S7695" s="11"/>
      <c r="T7695" s="11"/>
    </row>
    <row r="7696" spans="8:20" x14ac:dyDescent="0.35">
      <c r="H7696" s="711"/>
      <c r="I7696" s="711"/>
      <c r="J7696" s="711"/>
      <c r="K7696" s="711"/>
      <c r="L7696" s="711"/>
      <c r="Q7696" s="11"/>
      <c r="R7696" s="11"/>
      <c r="S7696" s="11"/>
      <c r="T7696" s="11"/>
    </row>
    <row r="7697" spans="8:20" x14ac:dyDescent="0.35">
      <c r="H7697" s="711"/>
      <c r="I7697" s="711"/>
      <c r="J7697" s="711"/>
      <c r="K7697" s="711"/>
      <c r="L7697" s="711"/>
      <c r="Q7697" s="11"/>
      <c r="R7697" s="11"/>
      <c r="S7697" s="11"/>
      <c r="T7697" s="11"/>
    </row>
    <row r="7698" spans="8:20" x14ac:dyDescent="0.35">
      <c r="H7698" s="711"/>
      <c r="I7698" s="711"/>
      <c r="J7698" s="711"/>
      <c r="K7698" s="711"/>
      <c r="L7698" s="711"/>
      <c r="Q7698" s="11"/>
      <c r="R7698" s="11"/>
      <c r="S7698" s="11"/>
      <c r="T7698" s="11"/>
    </row>
    <row r="7699" spans="8:20" x14ac:dyDescent="0.35">
      <c r="H7699" s="711"/>
      <c r="I7699" s="711"/>
      <c r="J7699" s="711"/>
      <c r="K7699" s="711"/>
      <c r="L7699" s="711"/>
      <c r="Q7699" s="11"/>
      <c r="R7699" s="11"/>
      <c r="S7699" s="11"/>
      <c r="T7699" s="11"/>
    </row>
    <row r="7700" spans="8:20" x14ac:dyDescent="0.35">
      <c r="H7700" s="711"/>
      <c r="I7700" s="711"/>
      <c r="J7700" s="711"/>
      <c r="K7700" s="711"/>
      <c r="L7700" s="711"/>
      <c r="Q7700" s="11"/>
      <c r="R7700" s="11"/>
      <c r="S7700" s="11"/>
      <c r="T7700" s="11"/>
    </row>
    <row r="7701" spans="8:20" x14ac:dyDescent="0.35">
      <c r="H7701" s="711"/>
      <c r="I7701" s="711"/>
      <c r="J7701" s="711"/>
      <c r="K7701" s="711"/>
      <c r="L7701" s="711"/>
      <c r="Q7701" s="11"/>
      <c r="R7701" s="11"/>
      <c r="S7701" s="11"/>
      <c r="T7701" s="11"/>
    </row>
    <row r="7702" spans="8:20" x14ac:dyDescent="0.35">
      <c r="H7702" s="711"/>
      <c r="I7702" s="711"/>
      <c r="J7702" s="711"/>
      <c r="K7702" s="711"/>
      <c r="L7702" s="711"/>
      <c r="Q7702" s="11"/>
      <c r="R7702" s="11"/>
      <c r="S7702" s="11"/>
      <c r="T7702" s="11"/>
    </row>
    <row r="7703" spans="8:20" x14ac:dyDescent="0.35">
      <c r="H7703" s="711"/>
      <c r="I7703" s="711"/>
      <c r="J7703" s="711"/>
      <c r="K7703" s="711"/>
      <c r="L7703" s="711"/>
      <c r="Q7703" s="11"/>
      <c r="R7703" s="11"/>
      <c r="S7703" s="11"/>
      <c r="T7703" s="11"/>
    </row>
    <row r="7704" spans="8:20" x14ac:dyDescent="0.35">
      <c r="H7704" s="711"/>
      <c r="I7704" s="711"/>
      <c r="J7704" s="711"/>
      <c r="K7704" s="711"/>
      <c r="L7704" s="711"/>
      <c r="Q7704" s="11"/>
      <c r="R7704" s="11"/>
      <c r="S7704" s="11"/>
      <c r="T7704" s="11"/>
    </row>
    <row r="7705" spans="8:20" x14ac:dyDescent="0.35">
      <c r="H7705" s="711"/>
      <c r="I7705" s="711"/>
      <c r="J7705" s="711"/>
      <c r="K7705" s="711"/>
      <c r="L7705" s="711"/>
      <c r="Q7705" s="11"/>
      <c r="R7705" s="11"/>
      <c r="S7705" s="11"/>
      <c r="T7705" s="11"/>
    </row>
    <row r="7706" spans="8:20" x14ac:dyDescent="0.35">
      <c r="H7706" s="711"/>
      <c r="I7706" s="711"/>
      <c r="J7706" s="711"/>
      <c r="K7706" s="711"/>
      <c r="L7706" s="711"/>
      <c r="Q7706" s="11"/>
      <c r="R7706" s="11"/>
      <c r="S7706" s="11"/>
      <c r="T7706" s="11"/>
    </row>
    <row r="7707" spans="8:20" x14ac:dyDescent="0.35">
      <c r="H7707" s="711"/>
      <c r="I7707" s="711"/>
      <c r="J7707" s="711"/>
      <c r="K7707" s="711"/>
      <c r="L7707" s="711"/>
      <c r="Q7707" s="11"/>
      <c r="R7707" s="11"/>
      <c r="S7707" s="11"/>
      <c r="T7707" s="11"/>
    </row>
    <row r="7708" spans="8:20" x14ac:dyDescent="0.35">
      <c r="H7708" s="711"/>
      <c r="I7708" s="711"/>
      <c r="J7708" s="711"/>
      <c r="K7708" s="711"/>
      <c r="L7708" s="711"/>
      <c r="Q7708" s="11"/>
      <c r="R7708" s="11"/>
      <c r="S7708" s="11"/>
      <c r="T7708" s="11"/>
    </row>
    <row r="7709" spans="8:20" x14ac:dyDescent="0.35">
      <c r="H7709" s="711"/>
      <c r="I7709" s="711"/>
      <c r="J7709" s="711"/>
      <c r="K7709" s="711"/>
      <c r="L7709" s="711"/>
      <c r="Q7709" s="11"/>
      <c r="R7709" s="11"/>
      <c r="S7709" s="11"/>
      <c r="T7709" s="11"/>
    </row>
    <row r="7710" spans="8:20" x14ac:dyDescent="0.35">
      <c r="H7710" s="711"/>
      <c r="I7710" s="711"/>
      <c r="J7710" s="711"/>
      <c r="K7710" s="711"/>
      <c r="L7710" s="711"/>
      <c r="Q7710" s="11"/>
      <c r="R7710" s="11"/>
      <c r="S7710" s="11"/>
      <c r="T7710" s="11"/>
    </row>
    <row r="7711" spans="8:20" x14ac:dyDescent="0.35">
      <c r="H7711" s="711"/>
      <c r="I7711" s="711"/>
      <c r="J7711" s="711"/>
      <c r="K7711" s="711"/>
      <c r="L7711" s="711"/>
      <c r="Q7711" s="11"/>
      <c r="R7711" s="11"/>
      <c r="S7711" s="11"/>
      <c r="T7711" s="11"/>
    </row>
    <row r="7712" spans="8:20" x14ac:dyDescent="0.35">
      <c r="H7712" s="711"/>
      <c r="I7712" s="711"/>
      <c r="J7712" s="711"/>
      <c r="K7712" s="711"/>
      <c r="L7712" s="711"/>
      <c r="Q7712" s="11"/>
      <c r="R7712" s="11"/>
      <c r="S7712" s="11"/>
      <c r="T7712" s="11"/>
    </row>
    <row r="7713" spans="8:20" x14ac:dyDescent="0.35">
      <c r="H7713" s="711"/>
      <c r="I7713" s="711"/>
      <c r="J7713" s="711"/>
      <c r="K7713" s="711"/>
      <c r="L7713" s="711"/>
      <c r="Q7713" s="11"/>
      <c r="R7713" s="11"/>
      <c r="S7713" s="11"/>
      <c r="T7713" s="11"/>
    </row>
    <row r="7714" spans="8:20" x14ac:dyDescent="0.35">
      <c r="H7714" s="711"/>
      <c r="I7714" s="711"/>
      <c r="J7714" s="711"/>
      <c r="K7714" s="711"/>
      <c r="L7714" s="711"/>
      <c r="Q7714" s="11"/>
      <c r="R7714" s="11"/>
      <c r="S7714" s="11"/>
      <c r="T7714" s="11"/>
    </row>
    <row r="7715" spans="8:20" x14ac:dyDescent="0.35">
      <c r="H7715" s="711"/>
      <c r="I7715" s="711"/>
      <c r="J7715" s="711"/>
      <c r="K7715" s="711"/>
      <c r="L7715" s="711"/>
      <c r="Q7715" s="11"/>
      <c r="R7715" s="11"/>
      <c r="S7715" s="11"/>
      <c r="T7715" s="11"/>
    </row>
    <row r="7716" spans="8:20" x14ac:dyDescent="0.35">
      <c r="H7716" s="711"/>
      <c r="I7716" s="711"/>
      <c r="J7716" s="711"/>
      <c r="K7716" s="711"/>
      <c r="L7716" s="711"/>
      <c r="Q7716" s="11"/>
      <c r="R7716" s="11"/>
      <c r="S7716" s="11"/>
      <c r="T7716" s="11"/>
    </row>
    <row r="7717" spans="8:20" x14ac:dyDescent="0.35">
      <c r="H7717" s="711"/>
      <c r="I7717" s="711"/>
      <c r="J7717" s="711"/>
      <c r="K7717" s="711"/>
      <c r="L7717" s="711"/>
      <c r="Q7717" s="11"/>
      <c r="R7717" s="11"/>
      <c r="S7717" s="11"/>
      <c r="T7717" s="11"/>
    </row>
    <row r="7718" spans="8:20" x14ac:dyDescent="0.35">
      <c r="H7718" s="711"/>
      <c r="I7718" s="711"/>
      <c r="J7718" s="711"/>
      <c r="K7718" s="711"/>
      <c r="L7718" s="711"/>
      <c r="Q7718" s="11"/>
      <c r="R7718" s="11"/>
      <c r="S7718" s="11"/>
      <c r="T7718" s="11"/>
    </row>
    <row r="7719" spans="8:20" x14ac:dyDescent="0.35">
      <c r="H7719" s="711"/>
      <c r="I7719" s="711"/>
      <c r="J7719" s="711"/>
      <c r="K7719" s="711"/>
      <c r="L7719" s="711"/>
      <c r="Q7719" s="11"/>
      <c r="R7719" s="11"/>
      <c r="S7719" s="11"/>
      <c r="T7719" s="11"/>
    </row>
    <row r="7720" spans="8:20" x14ac:dyDescent="0.35">
      <c r="H7720" s="711"/>
      <c r="I7720" s="711"/>
      <c r="J7720" s="711"/>
      <c r="K7720" s="711"/>
      <c r="L7720" s="711"/>
      <c r="Q7720" s="11"/>
      <c r="R7720" s="11"/>
      <c r="S7720" s="11"/>
      <c r="T7720" s="11"/>
    </row>
    <row r="7721" spans="8:20" x14ac:dyDescent="0.35">
      <c r="H7721" s="711"/>
      <c r="I7721" s="711"/>
      <c r="J7721" s="711"/>
      <c r="K7721" s="711"/>
      <c r="L7721" s="711"/>
      <c r="Q7721" s="11"/>
      <c r="R7721" s="11"/>
      <c r="S7721" s="11"/>
      <c r="T7721" s="11"/>
    </row>
    <row r="7722" spans="8:20" x14ac:dyDescent="0.35">
      <c r="H7722" s="711"/>
      <c r="I7722" s="711"/>
      <c r="J7722" s="711"/>
      <c r="K7722" s="711"/>
      <c r="L7722" s="711"/>
      <c r="Q7722" s="11"/>
      <c r="R7722" s="11"/>
      <c r="S7722" s="11"/>
      <c r="T7722" s="11"/>
    </row>
    <row r="7723" spans="8:20" x14ac:dyDescent="0.35">
      <c r="H7723" s="711"/>
      <c r="I7723" s="711"/>
      <c r="J7723" s="711"/>
      <c r="K7723" s="711"/>
      <c r="L7723" s="711"/>
      <c r="Q7723" s="11"/>
      <c r="R7723" s="11"/>
      <c r="S7723" s="11"/>
      <c r="T7723" s="11"/>
    </row>
    <row r="7724" spans="8:20" x14ac:dyDescent="0.35">
      <c r="H7724" s="711"/>
      <c r="I7724" s="711"/>
      <c r="J7724" s="711"/>
      <c r="K7724" s="711"/>
      <c r="L7724" s="711"/>
      <c r="Q7724" s="11"/>
      <c r="R7724" s="11"/>
      <c r="S7724" s="11"/>
      <c r="T7724" s="11"/>
    </row>
    <row r="7725" spans="8:20" x14ac:dyDescent="0.35">
      <c r="H7725" s="711"/>
      <c r="I7725" s="711"/>
      <c r="J7725" s="711"/>
      <c r="K7725" s="711"/>
      <c r="L7725" s="711"/>
      <c r="Q7725" s="11"/>
      <c r="R7725" s="11"/>
      <c r="S7725" s="11"/>
      <c r="T7725" s="11"/>
    </row>
    <row r="7726" spans="8:20" x14ac:dyDescent="0.35">
      <c r="H7726" s="711"/>
      <c r="I7726" s="711"/>
      <c r="J7726" s="711"/>
      <c r="K7726" s="711"/>
      <c r="L7726" s="711"/>
      <c r="Q7726" s="11"/>
      <c r="R7726" s="11"/>
      <c r="S7726" s="11"/>
      <c r="T7726" s="11"/>
    </row>
    <row r="7727" spans="8:20" x14ac:dyDescent="0.35">
      <c r="H7727" s="711"/>
      <c r="I7727" s="711"/>
      <c r="J7727" s="711"/>
      <c r="K7727" s="711"/>
      <c r="L7727" s="711"/>
      <c r="Q7727" s="11"/>
      <c r="R7727" s="11"/>
      <c r="S7727" s="11"/>
      <c r="T7727" s="11"/>
    </row>
    <row r="7728" spans="8:20" x14ac:dyDescent="0.35">
      <c r="H7728" s="711"/>
      <c r="I7728" s="711"/>
      <c r="J7728" s="711"/>
      <c r="K7728" s="711"/>
      <c r="L7728" s="711"/>
      <c r="Q7728" s="11"/>
      <c r="R7728" s="11"/>
      <c r="S7728" s="11"/>
      <c r="T7728" s="11"/>
    </row>
    <row r="7729" spans="8:20" x14ac:dyDescent="0.35">
      <c r="H7729" s="711"/>
      <c r="I7729" s="711"/>
      <c r="J7729" s="711"/>
      <c r="K7729" s="711"/>
      <c r="L7729" s="711"/>
      <c r="Q7729" s="11"/>
      <c r="R7729" s="11"/>
      <c r="S7729" s="11"/>
      <c r="T7729" s="11"/>
    </row>
    <row r="7730" spans="8:20" x14ac:dyDescent="0.35">
      <c r="H7730" s="711"/>
      <c r="I7730" s="711"/>
      <c r="J7730" s="711"/>
      <c r="K7730" s="711"/>
      <c r="L7730" s="711"/>
      <c r="Q7730" s="11"/>
      <c r="R7730" s="11"/>
      <c r="S7730" s="11"/>
      <c r="T7730" s="11"/>
    </row>
    <row r="7731" spans="8:20" x14ac:dyDescent="0.35">
      <c r="H7731" s="711"/>
      <c r="I7731" s="711"/>
      <c r="J7731" s="711"/>
      <c r="K7731" s="711"/>
      <c r="L7731" s="711"/>
      <c r="Q7731" s="11"/>
      <c r="R7731" s="11"/>
      <c r="S7731" s="11"/>
      <c r="T7731" s="11"/>
    </row>
    <row r="7732" spans="8:20" x14ac:dyDescent="0.35">
      <c r="H7732" s="711"/>
      <c r="I7732" s="711"/>
      <c r="J7732" s="711"/>
      <c r="K7732" s="711"/>
      <c r="L7732" s="711"/>
      <c r="Q7732" s="11"/>
      <c r="R7732" s="11"/>
      <c r="S7732" s="11"/>
      <c r="T7732" s="11"/>
    </row>
    <row r="7733" spans="8:20" x14ac:dyDescent="0.35">
      <c r="H7733" s="711"/>
      <c r="I7733" s="711"/>
      <c r="J7733" s="711"/>
      <c r="K7733" s="711"/>
      <c r="L7733" s="711"/>
      <c r="Q7733" s="11"/>
      <c r="R7733" s="11"/>
      <c r="S7733" s="11"/>
      <c r="T7733" s="11"/>
    </row>
    <row r="7734" spans="8:20" x14ac:dyDescent="0.35">
      <c r="H7734" s="711"/>
      <c r="I7734" s="711"/>
      <c r="J7734" s="711"/>
      <c r="K7734" s="711"/>
      <c r="L7734" s="711"/>
      <c r="Q7734" s="11"/>
      <c r="R7734" s="11"/>
      <c r="S7734" s="11"/>
      <c r="T7734" s="11"/>
    </row>
    <row r="7735" spans="8:20" x14ac:dyDescent="0.35">
      <c r="H7735" s="711"/>
      <c r="I7735" s="711"/>
      <c r="J7735" s="711"/>
      <c r="K7735" s="711"/>
      <c r="L7735" s="711"/>
      <c r="Q7735" s="11"/>
      <c r="R7735" s="11"/>
      <c r="S7735" s="11"/>
      <c r="T7735" s="11"/>
    </row>
    <row r="7736" spans="8:20" x14ac:dyDescent="0.35">
      <c r="H7736" s="711"/>
      <c r="I7736" s="711"/>
      <c r="J7736" s="711"/>
      <c r="K7736" s="711"/>
      <c r="L7736" s="711"/>
      <c r="Q7736" s="11"/>
      <c r="R7736" s="11"/>
      <c r="S7736" s="11"/>
      <c r="T7736" s="11"/>
    </row>
    <row r="7737" spans="8:20" x14ac:dyDescent="0.35">
      <c r="H7737" s="711"/>
      <c r="I7737" s="711"/>
      <c r="J7737" s="711"/>
      <c r="K7737" s="711"/>
      <c r="L7737" s="711"/>
      <c r="Q7737" s="11"/>
      <c r="R7737" s="11"/>
      <c r="S7737" s="11"/>
      <c r="T7737" s="11"/>
    </row>
    <row r="7738" spans="8:20" x14ac:dyDescent="0.35">
      <c r="H7738" s="711"/>
      <c r="I7738" s="711"/>
      <c r="J7738" s="711"/>
      <c r="K7738" s="711"/>
      <c r="L7738" s="711"/>
      <c r="Q7738" s="11"/>
      <c r="R7738" s="11"/>
      <c r="S7738" s="11"/>
      <c r="T7738" s="11"/>
    </row>
    <row r="7739" spans="8:20" x14ac:dyDescent="0.35">
      <c r="H7739" s="711"/>
      <c r="I7739" s="711"/>
      <c r="J7739" s="711"/>
      <c r="K7739" s="711"/>
      <c r="L7739" s="711"/>
      <c r="Q7739" s="11"/>
      <c r="R7739" s="11"/>
      <c r="S7739" s="11"/>
      <c r="T7739" s="11"/>
    </row>
    <row r="7740" spans="8:20" x14ac:dyDescent="0.35">
      <c r="H7740" s="711"/>
      <c r="I7740" s="711"/>
      <c r="J7740" s="711"/>
      <c r="K7740" s="711"/>
      <c r="L7740" s="711"/>
      <c r="Q7740" s="11"/>
      <c r="R7740" s="11"/>
      <c r="S7740" s="11"/>
      <c r="T7740" s="11"/>
    </row>
    <row r="7741" spans="8:20" x14ac:dyDescent="0.35">
      <c r="H7741" s="711"/>
      <c r="I7741" s="711"/>
      <c r="J7741" s="711"/>
      <c r="K7741" s="711"/>
      <c r="L7741" s="711"/>
      <c r="Q7741" s="11"/>
      <c r="R7741" s="11"/>
      <c r="S7741" s="11"/>
      <c r="T7741" s="11"/>
    </row>
    <row r="7742" spans="8:20" x14ac:dyDescent="0.35">
      <c r="H7742" s="711"/>
      <c r="I7742" s="711"/>
      <c r="J7742" s="711"/>
      <c r="K7742" s="711"/>
      <c r="L7742" s="711"/>
      <c r="Q7742" s="11"/>
      <c r="R7742" s="11"/>
      <c r="S7742" s="11"/>
      <c r="T7742" s="11"/>
    </row>
    <row r="7743" spans="8:20" x14ac:dyDescent="0.35">
      <c r="H7743" s="711"/>
      <c r="I7743" s="711"/>
      <c r="J7743" s="711"/>
      <c r="K7743" s="711"/>
      <c r="L7743" s="711"/>
      <c r="Q7743" s="11"/>
      <c r="R7743" s="11"/>
      <c r="S7743" s="11"/>
      <c r="T7743" s="11"/>
    </row>
    <row r="7744" spans="8:20" x14ac:dyDescent="0.35">
      <c r="H7744" s="711"/>
      <c r="I7744" s="711"/>
      <c r="J7744" s="711"/>
      <c r="K7744" s="711"/>
      <c r="L7744" s="711"/>
      <c r="Q7744" s="11"/>
      <c r="R7744" s="11"/>
      <c r="S7744" s="11"/>
      <c r="T7744" s="11"/>
    </row>
    <row r="7745" spans="8:20" x14ac:dyDescent="0.35">
      <c r="H7745" s="711"/>
      <c r="I7745" s="711"/>
      <c r="J7745" s="711"/>
      <c r="K7745" s="711"/>
      <c r="L7745" s="711"/>
      <c r="Q7745" s="11"/>
      <c r="R7745" s="11"/>
      <c r="S7745" s="11"/>
      <c r="T7745" s="11"/>
    </row>
    <row r="7746" spans="8:20" x14ac:dyDescent="0.35">
      <c r="H7746" s="711"/>
      <c r="I7746" s="711"/>
      <c r="J7746" s="711"/>
      <c r="K7746" s="711"/>
      <c r="L7746" s="711"/>
      <c r="Q7746" s="11"/>
      <c r="R7746" s="11"/>
      <c r="S7746" s="11"/>
      <c r="T7746" s="11"/>
    </row>
    <row r="7747" spans="8:20" x14ac:dyDescent="0.35">
      <c r="H7747" s="711"/>
      <c r="I7747" s="711"/>
      <c r="J7747" s="711"/>
      <c r="K7747" s="711"/>
      <c r="L7747" s="711"/>
      <c r="Q7747" s="11"/>
      <c r="R7747" s="11"/>
      <c r="S7747" s="11"/>
      <c r="T7747" s="11"/>
    </row>
    <row r="7748" spans="8:20" x14ac:dyDescent="0.35">
      <c r="H7748" s="711"/>
      <c r="I7748" s="711"/>
      <c r="J7748" s="711"/>
      <c r="K7748" s="711"/>
      <c r="L7748" s="711"/>
      <c r="Q7748" s="11"/>
      <c r="R7748" s="11"/>
      <c r="S7748" s="11"/>
      <c r="T7748" s="11"/>
    </row>
    <row r="7749" spans="8:20" x14ac:dyDescent="0.35">
      <c r="H7749" s="711"/>
      <c r="I7749" s="711"/>
      <c r="J7749" s="711"/>
      <c r="K7749" s="711"/>
      <c r="L7749" s="711"/>
      <c r="Q7749" s="11"/>
      <c r="R7749" s="11"/>
      <c r="S7749" s="11"/>
      <c r="T7749" s="11"/>
    </row>
    <row r="7750" spans="8:20" x14ac:dyDescent="0.35">
      <c r="H7750" s="711"/>
      <c r="I7750" s="711"/>
      <c r="J7750" s="711"/>
      <c r="K7750" s="711"/>
      <c r="L7750" s="711"/>
      <c r="Q7750" s="11"/>
      <c r="R7750" s="11"/>
      <c r="S7750" s="11"/>
      <c r="T7750" s="11"/>
    </row>
    <row r="7751" spans="8:20" x14ac:dyDescent="0.35">
      <c r="H7751" s="711"/>
      <c r="I7751" s="711"/>
      <c r="J7751" s="711"/>
      <c r="K7751" s="711"/>
      <c r="L7751" s="711"/>
      <c r="Q7751" s="11"/>
      <c r="R7751" s="11"/>
      <c r="S7751" s="11"/>
      <c r="T7751" s="11"/>
    </row>
    <row r="7752" spans="8:20" x14ac:dyDescent="0.35">
      <c r="H7752" s="711"/>
      <c r="I7752" s="711"/>
      <c r="J7752" s="711"/>
      <c r="K7752" s="711"/>
      <c r="L7752" s="711"/>
      <c r="Q7752" s="11"/>
      <c r="R7752" s="11"/>
      <c r="S7752" s="11"/>
      <c r="T7752" s="11"/>
    </row>
    <row r="7753" spans="8:20" x14ac:dyDescent="0.35">
      <c r="H7753" s="711"/>
      <c r="I7753" s="711"/>
      <c r="J7753" s="711"/>
      <c r="K7753" s="711"/>
      <c r="L7753" s="711"/>
      <c r="Q7753" s="11"/>
      <c r="R7753" s="11"/>
      <c r="S7753" s="11"/>
      <c r="T7753" s="11"/>
    </row>
    <row r="7754" spans="8:20" x14ac:dyDescent="0.35">
      <c r="H7754" s="711"/>
      <c r="I7754" s="711"/>
      <c r="J7754" s="711"/>
      <c r="K7754" s="711"/>
      <c r="L7754" s="711"/>
      <c r="Q7754" s="11"/>
      <c r="R7754" s="11"/>
      <c r="S7754" s="11"/>
      <c r="T7754" s="11"/>
    </row>
    <row r="7755" spans="8:20" x14ac:dyDescent="0.35">
      <c r="H7755" s="711"/>
      <c r="I7755" s="711"/>
      <c r="J7755" s="711"/>
      <c r="K7755" s="711"/>
      <c r="L7755" s="711"/>
      <c r="Q7755" s="11"/>
      <c r="R7755" s="11"/>
      <c r="S7755" s="11"/>
      <c r="T7755" s="11"/>
    </row>
    <row r="7756" spans="8:20" x14ac:dyDescent="0.35">
      <c r="H7756" s="711"/>
      <c r="I7756" s="711"/>
      <c r="J7756" s="711"/>
      <c r="K7756" s="711"/>
      <c r="L7756" s="711"/>
      <c r="Q7756" s="11"/>
      <c r="R7756" s="11"/>
      <c r="S7756" s="11"/>
      <c r="T7756" s="11"/>
    </row>
    <row r="7757" spans="8:20" x14ac:dyDescent="0.35">
      <c r="H7757" s="711"/>
      <c r="I7757" s="711"/>
      <c r="J7757" s="711"/>
      <c r="K7757" s="711"/>
      <c r="L7757" s="711"/>
      <c r="Q7757" s="11"/>
      <c r="R7757" s="11"/>
      <c r="S7757" s="11"/>
      <c r="T7757" s="11"/>
    </row>
    <row r="7758" spans="8:20" x14ac:dyDescent="0.35">
      <c r="H7758" s="711"/>
      <c r="I7758" s="711"/>
      <c r="J7758" s="711"/>
      <c r="K7758" s="711"/>
      <c r="L7758" s="711"/>
      <c r="Q7758" s="11"/>
      <c r="R7758" s="11"/>
      <c r="S7758" s="11"/>
      <c r="T7758" s="11"/>
    </row>
    <row r="7759" spans="8:20" x14ac:dyDescent="0.35">
      <c r="H7759" s="711"/>
      <c r="I7759" s="711"/>
      <c r="J7759" s="711"/>
      <c r="K7759" s="711"/>
      <c r="L7759" s="711"/>
      <c r="Q7759" s="11"/>
      <c r="R7759" s="11"/>
      <c r="S7759" s="11"/>
      <c r="T7759" s="11"/>
    </row>
    <row r="7760" spans="8:20" x14ac:dyDescent="0.35">
      <c r="H7760" s="711"/>
      <c r="I7760" s="711"/>
      <c r="J7760" s="711"/>
      <c r="K7760" s="711"/>
      <c r="L7760" s="711"/>
      <c r="Q7760" s="11"/>
      <c r="R7760" s="11"/>
      <c r="S7760" s="11"/>
      <c r="T7760" s="11"/>
    </row>
    <row r="7761" spans="8:20" x14ac:dyDescent="0.35">
      <c r="H7761" s="711"/>
      <c r="I7761" s="711"/>
      <c r="J7761" s="711"/>
      <c r="K7761" s="711"/>
      <c r="L7761" s="711"/>
      <c r="Q7761" s="11"/>
      <c r="R7761" s="11"/>
      <c r="S7761" s="11"/>
      <c r="T7761" s="11"/>
    </row>
    <row r="7762" spans="8:20" x14ac:dyDescent="0.35">
      <c r="H7762" s="711"/>
      <c r="I7762" s="711"/>
      <c r="J7762" s="711"/>
      <c r="K7762" s="711"/>
      <c r="L7762" s="711"/>
      <c r="Q7762" s="11"/>
      <c r="R7762" s="11"/>
      <c r="S7762" s="11"/>
      <c r="T7762" s="11"/>
    </row>
    <row r="7763" spans="8:20" x14ac:dyDescent="0.35">
      <c r="H7763" s="711"/>
      <c r="I7763" s="711"/>
      <c r="J7763" s="711"/>
      <c r="K7763" s="711"/>
      <c r="L7763" s="711"/>
      <c r="Q7763" s="11"/>
      <c r="R7763" s="11"/>
      <c r="S7763" s="11"/>
      <c r="T7763" s="11"/>
    </row>
    <row r="7764" spans="8:20" x14ac:dyDescent="0.35">
      <c r="H7764" s="711"/>
      <c r="I7764" s="711"/>
      <c r="J7764" s="711"/>
      <c r="K7764" s="711"/>
      <c r="L7764" s="711"/>
      <c r="Q7764" s="11"/>
      <c r="R7764" s="11"/>
      <c r="S7764" s="11"/>
      <c r="T7764" s="11"/>
    </row>
    <row r="7765" spans="8:20" x14ac:dyDescent="0.35">
      <c r="H7765" s="711"/>
      <c r="I7765" s="711"/>
      <c r="J7765" s="711"/>
      <c r="K7765" s="711"/>
      <c r="L7765" s="711"/>
      <c r="Q7765" s="11"/>
      <c r="R7765" s="11"/>
      <c r="S7765" s="11"/>
      <c r="T7765" s="11"/>
    </row>
    <row r="7766" spans="8:20" x14ac:dyDescent="0.35">
      <c r="H7766" s="711"/>
      <c r="I7766" s="711"/>
      <c r="J7766" s="711"/>
      <c r="K7766" s="711"/>
      <c r="L7766" s="711"/>
      <c r="Q7766" s="11"/>
      <c r="R7766" s="11"/>
      <c r="S7766" s="11"/>
      <c r="T7766" s="11"/>
    </row>
    <row r="7767" spans="8:20" x14ac:dyDescent="0.35">
      <c r="H7767" s="711"/>
      <c r="I7767" s="711"/>
      <c r="J7767" s="711"/>
      <c r="K7767" s="711"/>
      <c r="L7767" s="711"/>
      <c r="Q7767" s="11"/>
      <c r="R7767" s="11"/>
      <c r="S7767" s="11"/>
      <c r="T7767" s="11"/>
    </row>
    <row r="7768" spans="8:20" x14ac:dyDescent="0.35">
      <c r="H7768" s="711"/>
      <c r="I7768" s="711"/>
      <c r="J7768" s="711"/>
      <c r="K7768" s="711"/>
      <c r="L7768" s="711"/>
      <c r="Q7768" s="11"/>
      <c r="R7768" s="11"/>
      <c r="S7768" s="11"/>
      <c r="T7768" s="11"/>
    </row>
    <row r="7769" spans="8:20" x14ac:dyDescent="0.35">
      <c r="H7769" s="711"/>
      <c r="I7769" s="711"/>
      <c r="J7769" s="711"/>
      <c r="K7769" s="711"/>
      <c r="L7769" s="711"/>
      <c r="Q7769" s="11"/>
      <c r="R7769" s="11"/>
      <c r="S7769" s="11"/>
      <c r="T7769" s="11"/>
    </row>
    <row r="7770" spans="8:20" x14ac:dyDescent="0.35">
      <c r="H7770" s="711"/>
      <c r="I7770" s="711"/>
      <c r="J7770" s="711"/>
      <c r="K7770" s="711"/>
      <c r="L7770" s="711"/>
      <c r="Q7770" s="11"/>
      <c r="R7770" s="11"/>
      <c r="S7770" s="11"/>
      <c r="T7770" s="11"/>
    </row>
    <row r="7771" spans="8:20" x14ac:dyDescent="0.35">
      <c r="H7771" s="711"/>
      <c r="I7771" s="711"/>
      <c r="J7771" s="711"/>
      <c r="K7771" s="711"/>
      <c r="L7771" s="711"/>
      <c r="Q7771" s="11"/>
      <c r="R7771" s="11"/>
      <c r="S7771" s="11"/>
      <c r="T7771" s="11"/>
    </row>
    <row r="7772" spans="8:20" x14ac:dyDescent="0.35">
      <c r="H7772" s="711"/>
      <c r="I7772" s="711"/>
      <c r="J7772" s="711"/>
      <c r="K7772" s="711"/>
      <c r="L7772" s="711"/>
      <c r="Q7772" s="11"/>
      <c r="R7772" s="11"/>
      <c r="S7772" s="11"/>
      <c r="T7772" s="11"/>
    </row>
    <row r="7773" spans="8:20" x14ac:dyDescent="0.35">
      <c r="H7773" s="711"/>
      <c r="I7773" s="711"/>
      <c r="J7773" s="711"/>
      <c r="K7773" s="711"/>
      <c r="L7773" s="711"/>
      <c r="Q7773" s="11"/>
      <c r="R7773" s="11"/>
      <c r="S7773" s="11"/>
      <c r="T7773" s="11"/>
    </row>
    <row r="7774" spans="8:20" x14ac:dyDescent="0.35">
      <c r="H7774" s="711"/>
      <c r="I7774" s="711"/>
      <c r="J7774" s="711"/>
      <c r="K7774" s="711"/>
      <c r="L7774" s="711"/>
      <c r="Q7774" s="11"/>
      <c r="R7774" s="11"/>
      <c r="S7774" s="11"/>
      <c r="T7774" s="11"/>
    </row>
    <row r="7775" spans="8:20" x14ac:dyDescent="0.35">
      <c r="H7775" s="711"/>
      <c r="I7775" s="711"/>
      <c r="J7775" s="711"/>
      <c r="K7775" s="711"/>
      <c r="L7775" s="711"/>
      <c r="Q7775" s="11"/>
      <c r="R7775" s="11"/>
      <c r="S7775" s="11"/>
      <c r="T7775" s="11"/>
    </row>
    <row r="7776" spans="8:20" x14ac:dyDescent="0.35">
      <c r="H7776" s="711"/>
      <c r="I7776" s="711"/>
      <c r="J7776" s="711"/>
      <c r="K7776" s="711"/>
      <c r="L7776" s="711"/>
      <c r="Q7776" s="11"/>
      <c r="R7776" s="11"/>
      <c r="S7776" s="11"/>
      <c r="T7776" s="11"/>
    </row>
    <row r="7777" spans="8:20" x14ac:dyDescent="0.35">
      <c r="H7777" s="711"/>
      <c r="I7777" s="711"/>
      <c r="J7777" s="711"/>
      <c r="K7777" s="711"/>
      <c r="L7777" s="711"/>
      <c r="Q7777" s="11"/>
      <c r="R7777" s="11"/>
      <c r="S7777" s="11"/>
      <c r="T7777" s="11"/>
    </row>
    <row r="7778" spans="8:20" x14ac:dyDescent="0.35">
      <c r="H7778" s="711"/>
      <c r="I7778" s="711"/>
      <c r="J7778" s="711"/>
      <c r="K7778" s="711"/>
      <c r="L7778" s="711"/>
      <c r="Q7778" s="11"/>
      <c r="R7778" s="11"/>
      <c r="S7778" s="11"/>
      <c r="T7778" s="11"/>
    </row>
    <row r="7779" spans="8:20" x14ac:dyDescent="0.35">
      <c r="H7779" s="711"/>
      <c r="I7779" s="711"/>
      <c r="J7779" s="711"/>
      <c r="K7779" s="711"/>
      <c r="L7779" s="711"/>
      <c r="Q7779" s="11"/>
      <c r="R7779" s="11"/>
      <c r="S7779" s="11"/>
      <c r="T7779" s="11"/>
    </row>
    <row r="7780" spans="8:20" x14ac:dyDescent="0.35">
      <c r="H7780" s="711"/>
      <c r="I7780" s="711"/>
      <c r="J7780" s="711"/>
      <c r="K7780" s="711"/>
      <c r="L7780" s="711"/>
      <c r="Q7780" s="11"/>
      <c r="R7780" s="11"/>
      <c r="S7780" s="11"/>
      <c r="T7780" s="11"/>
    </row>
    <row r="7781" spans="8:20" x14ac:dyDescent="0.35">
      <c r="H7781" s="711"/>
      <c r="I7781" s="711"/>
      <c r="J7781" s="711"/>
      <c r="K7781" s="711"/>
      <c r="L7781" s="711"/>
      <c r="Q7781" s="11"/>
      <c r="R7781" s="11"/>
      <c r="S7781" s="11"/>
      <c r="T7781" s="11"/>
    </row>
    <row r="7782" spans="8:20" x14ac:dyDescent="0.35">
      <c r="H7782" s="711"/>
      <c r="I7782" s="711"/>
      <c r="J7782" s="711"/>
      <c r="K7782" s="711"/>
      <c r="L7782" s="711"/>
      <c r="Q7782" s="11"/>
      <c r="R7782" s="11"/>
      <c r="S7782" s="11"/>
      <c r="T7782" s="11"/>
    </row>
    <row r="7783" spans="8:20" x14ac:dyDescent="0.35">
      <c r="H7783" s="711"/>
      <c r="I7783" s="711"/>
      <c r="J7783" s="711"/>
      <c r="K7783" s="711"/>
      <c r="L7783" s="711"/>
      <c r="Q7783" s="11"/>
      <c r="R7783" s="11"/>
      <c r="S7783" s="11"/>
      <c r="T7783" s="11"/>
    </row>
    <row r="7784" spans="8:20" x14ac:dyDescent="0.35">
      <c r="H7784" s="711"/>
      <c r="I7784" s="711"/>
      <c r="J7784" s="711"/>
      <c r="K7784" s="711"/>
      <c r="L7784" s="711"/>
      <c r="Q7784" s="11"/>
      <c r="R7784" s="11"/>
      <c r="S7784" s="11"/>
      <c r="T7784" s="11"/>
    </row>
    <row r="7785" spans="8:20" x14ac:dyDescent="0.35">
      <c r="H7785" s="711"/>
      <c r="I7785" s="711"/>
      <c r="J7785" s="711"/>
      <c r="K7785" s="711"/>
      <c r="L7785" s="711"/>
      <c r="Q7785" s="11"/>
      <c r="R7785" s="11"/>
      <c r="S7785" s="11"/>
      <c r="T7785" s="11"/>
    </row>
    <row r="7786" spans="8:20" x14ac:dyDescent="0.35">
      <c r="H7786" s="711"/>
      <c r="I7786" s="711"/>
      <c r="J7786" s="711"/>
      <c r="K7786" s="711"/>
      <c r="L7786" s="711"/>
      <c r="Q7786" s="11"/>
      <c r="R7786" s="11"/>
      <c r="S7786" s="11"/>
      <c r="T7786" s="11"/>
    </row>
    <row r="7787" spans="8:20" x14ac:dyDescent="0.35">
      <c r="H7787" s="711"/>
      <c r="I7787" s="711"/>
      <c r="J7787" s="711"/>
      <c r="K7787" s="711"/>
      <c r="L7787" s="711"/>
      <c r="Q7787" s="11"/>
      <c r="R7787" s="11"/>
      <c r="S7787" s="11"/>
      <c r="T7787" s="11"/>
    </row>
    <row r="7788" spans="8:20" x14ac:dyDescent="0.35">
      <c r="H7788" s="711"/>
      <c r="I7788" s="711"/>
      <c r="J7788" s="711"/>
      <c r="K7788" s="711"/>
      <c r="L7788" s="711"/>
      <c r="Q7788" s="11"/>
      <c r="R7788" s="11"/>
      <c r="S7788" s="11"/>
      <c r="T7788" s="11"/>
    </row>
    <row r="7789" spans="8:20" x14ac:dyDescent="0.35">
      <c r="H7789" s="711"/>
      <c r="I7789" s="711"/>
      <c r="J7789" s="711"/>
      <c r="K7789" s="711"/>
      <c r="L7789" s="711"/>
      <c r="Q7789" s="11"/>
      <c r="R7789" s="11"/>
      <c r="S7789" s="11"/>
      <c r="T7789" s="11"/>
    </row>
    <row r="7790" spans="8:20" x14ac:dyDescent="0.35">
      <c r="H7790" s="711"/>
      <c r="I7790" s="711"/>
      <c r="J7790" s="711"/>
      <c r="K7790" s="711"/>
      <c r="L7790" s="711"/>
      <c r="Q7790" s="11"/>
      <c r="R7790" s="11"/>
      <c r="S7790" s="11"/>
      <c r="T7790" s="11"/>
    </row>
    <row r="7791" spans="8:20" x14ac:dyDescent="0.35">
      <c r="H7791" s="711"/>
      <c r="I7791" s="711"/>
      <c r="J7791" s="711"/>
      <c r="K7791" s="711"/>
      <c r="L7791" s="711"/>
      <c r="Q7791" s="11"/>
      <c r="R7791" s="11"/>
      <c r="S7791" s="11"/>
      <c r="T7791" s="11"/>
    </row>
    <row r="7792" spans="8:20" x14ac:dyDescent="0.35">
      <c r="H7792" s="711"/>
      <c r="I7792" s="711"/>
      <c r="J7792" s="711"/>
      <c r="K7792" s="711"/>
      <c r="L7792" s="711"/>
      <c r="Q7792" s="11"/>
      <c r="R7792" s="11"/>
      <c r="S7792" s="11"/>
      <c r="T7792" s="11"/>
    </row>
    <row r="7793" spans="8:20" x14ac:dyDescent="0.35">
      <c r="H7793" s="711"/>
      <c r="I7793" s="711"/>
      <c r="J7793" s="711"/>
      <c r="K7793" s="711"/>
      <c r="L7793" s="711"/>
      <c r="Q7793" s="11"/>
      <c r="R7793" s="11"/>
      <c r="S7793" s="11"/>
      <c r="T7793" s="11"/>
    </row>
    <row r="7794" spans="8:20" x14ac:dyDescent="0.35">
      <c r="H7794" s="711"/>
      <c r="I7794" s="711"/>
      <c r="J7794" s="711"/>
      <c r="K7794" s="711"/>
      <c r="L7794" s="711"/>
      <c r="Q7794" s="11"/>
      <c r="R7794" s="11"/>
      <c r="S7794" s="11"/>
      <c r="T7794" s="11"/>
    </row>
    <row r="7795" spans="8:20" x14ac:dyDescent="0.35">
      <c r="H7795" s="711"/>
      <c r="I7795" s="711"/>
      <c r="J7795" s="711"/>
      <c r="K7795" s="711"/>
      <c r="L7795" s="711"/>
      <c r="Q7795" s="11"/>
      <c r="R7795" s="11"/>
      <c r="S7795" s="11"/>
      <c r="T7795" s="11"/>
    </row>
    <row r="7796" spans="8:20" x14ac:dyDescent="0.35">
      <c r="H7796" s="711"/>
      <c r="I7796" s="711"/>
      <c r="J7796" s="711"/>
      <c r="K7796" s="711"/>
      <c r="L7796" s="711"/>
      <c r="Q7796" s="11"/>
      <c r="R7796" s="11"/>
      <c r="S7796" s="11"/>
      <c r="T7796" s="11"/>
    </row>
    <row r="7797" spans="8:20" x14ac:dyDescent="0.35">
      <c r="H7797" s="711"/>
      <c r="I7797" s="711"/>
      <c r="J7797" s="711"/>
      <c r="K7797" s="711"/>
      <c r="L7797" s="711"/>
      <c r="Q7797" s="11"/>
      <c r="R7797" s="11"/>
      <c r="S7797" s="11"/>
      <c r="T7797" s="11"/>
    </row>
    <row r="7798" spans="8:20" x14ac:dyDescent="0.35">
      <c r="H7798" s="711"/>
      <c r="I7798" s="711"/>
      <c r="J7798" s="711"/>
      <c r="K7798" s="711"/>
      <c r="L7798" s="711"/>
      <c r="Q7798" s="11"/>
      <c r="R7798" s="11"/>
      <c r="S7798" s="11"/>
      <c r="T7798" s="11"/>
    </row>
    <row r="7799" spans="8:20" x14ac:dyDescent="0.35">
      <c r="H7799" s="711"/>
      <c r="I7799" s="711"/>
      <c r="J7799" s="711"/>
      <c r="K7799" s="711"/>
      <c r="L7799" s="711"/>
      <c r="Q7799" s="11"/>
      <c r="R7799" s="11"/>
      <c r="S7799" s="11"/>
      <c r="T7799" s="11"/>
    </row>
    <row r="7800" spans="8:20" x14ac:dyDescent="0.35">
      <c r="H7800" s="711"/>
      <c r="I7800" s="711"/>
      <c r="J7800" s="711"/>
      <c r="K7800" s="711"/>
      <c r="L7800" s="711"/>
      <c r="Q7800" s="11"/>
      <c r="R7800" s="11"/>
      <c r="S7800" s="11"/>
      <c r="T7800" s="11"/>
    </row>
    <row r="7801" spans="8:20" x14ac:dyDescent="0.35">
      <c r="H7801" s="711"/>
      <c r="I7801" s="711"/>
      <c r="J7801" s="711"/>
      <c r="K7801" s="711"/>
      <c r="L7801" s="711"/>
      <c r="Q7801" s="11"/>
      <c r="R7801" s="11"/>
      <c r="S7801" s="11"/>
      <c r="T7801" s="11"/>
    </row>
    <row r="7802" spans="8:20" x14ac:dyDescent="0.35">
      <c r="H7802" s="711"/>
      <c r="I7802" s="711"/>
      <c r="J7802" s="711"/>
      <c r="K7802" s="711"/>
      <c r="L7802" s="711"/>
      <c r="Q7802" s="11"/>
      <c r="R7802" s="11"/>
      <c r="S7802" s="11"/>
      <c r="T7802" s="11"/>
    </row>
    <row r="7803" spans="8:20" x14ac:dyDescent="0.35">
      <c r="H7803" s="711"/>
      <c r="I7803" s="711"/>
      <c r="J7803" s="711"/>
      <c r="K7803" s="711"/>
      <c r="L7803" s="711"/>
      <c r="Q7803" s="11"/>
      <c r="R7803" s="11"/>
      <c r="S7803" s="11"/>
      <c r="T7803" s="11"/>
    </row>
    <row r="7804" spans="8:20" x14ac:dyDescent="0.35">
      <c r="H7804" s="711"/>
      <c r="I7804" s="711"/>
      <c r="J7804" s="711"/>
      <c r="K7804" s="711"/>
      <c r="L7804" s="711"/>
      <c r="Q7804" s="11"/>
      <c r="R7804" s="11"/>
      <c r="S7804" s="11"/>
      <c r="T7804" s="11"/>
    </row>
    <row r="7805" spans="8:20" x14ac:dyDescent="0.35">
      <c r="H7805" s="711"/>
      <c r="I7805" s="711"/>
      <c r="J7805" s="711"/>
      <c r="K7805" s="711"/>
      <c r="L7805" s="711"/>
      <c r="Q7805" s="11"/>
      <c r="R7805" s="11"/>
      <c r="S7805" s="11"/>
      <c r="T7805" s="11"/>
    </row>
    <row r="7806" spans="8:20" x14ac:dyDescent="0.35">
      <c r="H7806" s="711"/>
      <c r="I7806" s="711"/>
      <c r="J7806" s="711"/>
      <c r="K7806" s="711"/>
      <c r="L7806" s="711"/>
      <c r="Q7806" s="11"/>
      <c r="R7806" s="11"/>
      <c r="S7806" s="11"/>
      <c r="T7806" s="11"/>
    </row>
    <row r="7807" spans="8:20" x14ac:dyDescent="0.35">
      <c r="H7807" s="711"/>
      <c r="I7807" s="711"/>
      <c r="J7807" s="711"/>
      <c r="K7807" s="711"/>
      <c r="L7807" s="711"/>
      <c r="Q7807" s="11"/>
      <c r="R7807" s="11"/>
      <c r="S7807" s="11"/>
      <c r="T7807" s="11"/>
    </row>
    <row r="7808" spans="8:20" x14ac:dyDescent="0.35">
      <c r="H7808" s="711"/>
      <c r="I7808" s="711"/>
      <c r="J7808" s="711"/>
      <c r="K7808" s="711"/>
      <c r="L7808" s="711"/>
      <c r="Q7808" s="11"/>
      <c r="R7808" s="11"/>
      <c r="S7808" s="11"/>
      <c r="T7808" s="11"/>
    </row>
    <row r="7809" spans="8:20" x14ac:dyDescent="0.35">
      <c r="H7809" s="711"/>
      <c r="I7809" s="711"/>
      <c r="J7809" s="711"/>
      <c r="K7809" s="711"/>
      <c r="L7809" s="711"/>
      <c r="Q7809" s="11"/>
      <c r="R7809" s="11"/>
      <c r="S7809" s="11"/>
      <c r="T7809" s="11"/>
    </row>
    <row r="7810" spans="8:20" x14ac:dyDescent="0.35">
      <c r="H7810" s="711"/>
      <c r="I7810" s="711"/>
      <c r="J7810" s="711"/>
      <c r="K7810" s="711"/>
      <c r="L7810" s="711"/>
      <c r="Q7810" s="11"/>
      <c r="R7810" s="11"/>
      <c r="S7810" s="11"/>
      <c r="T7810" s="11"/>
    </row>
    <row r="7811" spans="8:20" x14ac:dyDescent="0.35">
      <c r="H7811" s="711"/>
      <c r="I7811" s="711"/>
      <c r="J7811" s="711"/>
      <c r="K7811" s="711"/>
      <c r="L7811" s="711"/>
      <c r="Q7811" s="11"/>
      <c r="R7811" s="11"/>
      <c r="S7811" s="11"/>
      <c r="T7811" s="11"/>
    </row>
    <row r="7812" spans="8:20" x14ac:dyDescent="0.35">
      <c r="H7812" s="711"/>
      <c r="I7812" s="711"/>
      <c r="J7812" s="711"/>
      <c r="K7812" s="711"/>
      <c r="L7812" s="711"/>
      <c r="Q7812" s="11"/>
      <c r="R7812" s="11"/>
      <c r="S7812" s="11"/>
      <c r="T7812" s="11"/>
    </row>
    <row r="7813" spans="8:20" x14ac:dyDescent="0.35">
      <c r="H7813" s="711"/>
      <c r="I7813" s="711"/>
      <c r="J7813" s="711"/>
      <c r="K7813" s="711"/>
      <c r="L7813" s="711"/>
      <c r="Q7813" s="11"/>
      <c r="R7813" s="11"/>
      <c r="S7813" s="11"/>
      <c r="T7813" s="11"/>
    </row>
    <row r="7814" spans="8:20" x14ac:dyDescent="0.35">
      <c r="H7814" s="711"/>
      <c r="I7814" s="711"/>
      <c r="J7814" s="711"/>
      <c r="K7814" s="711"/>
      <c r="L7814" s="711"/>
      <c r="Q7814" s="11"/>
      <c r="R7814" s="11"/>
      <c r="S7814" s="11"/>
      <c r="T7814" s="11"/>
    </row>
    <row r="7815" spans="8:20" x14ac:dyDescent="0.35">
      <c r="H7815" s="711"/>
      <c r="I7815" s="711"/>
      <c r="J7815" s="711"/>
      <c r="K7815" s="711"/>
      <c r="L7815" s="711"/>
      <c r="Q7815" s="11"/>
      <c r="R7815" s="11"/>
      <c r="S7815" s="11"/>
      <c r="T7815" s="11"/>
    </row>
    <row r="7816" spans="8:20" x14ac:dyDescent="0.35">
      <c r="H7816" s="711"/>
      <c r="I7816" s="711"/>
      <c r="J7816" s="711"/>
      <c r="K7816" s="711"/>
      <c r="L7816" s="711"/>
      <c r="Q7816" s="11"/>
      <c r="R7816" s="11"/>
      <c r="S7816" s="11"/>
      <c r="T7816" s="11"/>
    </row>
    <row r="7817" spans="8:20" x14ac:dyDescent="0.35">
      <c r="H7817" s="711"/>
      <c r="I7817" s="711"/>
      <c r="J7817" s="711"/>
      <c r="K7817" s="711"/>
      <c r="L7817" s="711"/>
      <c r="Q7817" s="11"/>
      <c r="R7817" s="11"/>
      <c r="S7817" s="11"/>
      <c r="T7817" s="11"/>
    </row>
    <row r="7818" spans="8:20" x14ac:dyDescent="0.35">
      <c r="H7818" s="711"/>
      <c r="I7818" s="711"/>
      <c r="J7818" s="711"/>
      <c r="K7818" s="711"/>
      <c r="L7818" s="711"/>
      <c r="Q7818" s="11"/>
      <c r="R7818" s="11"/>
      <c r="S7818" s="11"/>
      <c r="T7818" s="11"/>
    </row>
    <row r="7819" spans="8:20" x14ac:dyDescent="0.35">
      <c r="H7819" s="711"/>
      <c r="I7819" s="711"/>
      <c r="J7819" s="711"/>
      <c r="K7819" s="711"/>
      <c r="L7819" s="711"/>
      <c r="Q7819" s="11"/>
      <c r="R7819" s="11"/>
      <c r="S7819" s="11"/>
      <c r="T7819" s="11"/>
    </row>
    <row r="7820" spans="8:20" x14ac:dyDescent="0.35">
      <c r="H7820" s="711"/>
      <c r="I7820" s="711"/>
      <c r="J7820" s="711"/>
      <c r="K7820" s="711"/>
      <c r="L7820" s="711"/>
      <c r="Q7820" s="11"/>
      <c r="R7820" s="11"/>
      <c r="S7820" s="11"/>
      <c r="T7820" s="11"/>
    </row>
    <row r="7821" spans="8:20" x14ac:dyDescent="0.35">
      <c r="H7821" s="711"/>
      <c r="I7821" s="711"/>
      <c r="J7821" s="711"/>
      <c r="K7821" s="711"/>
      <c r="L7821" s="711"/>
      <c r="Q7821" s="11"/>
      <c r="R7821" s="11"/>
      <c r="S7821" s="11"/>
      <c r="T7821" s="11"/>
    </row>
    <row r="7822" spans="8:20" x14ac:dyDescent="0.35">
      <c r="H7822" s="711"/>
      <c r="I7822" s="711"/>
      <c r="J7822" s="711"/>
      <c r="K7822" s="711"/>
      <c r="L7822" s="711"/>
      <c r="Q7822" s="11"/>
      <c r="R7822" s="11"/>
      <c r="S7822" s="11"/>
      <c r="T7822" s="11"/>
    </row>
    <row r="7823" spans="8:20" x14ac:dyDescent="0.35">
      <c r="H7823" s="711"/>
      <c r="I7823" s="711"/>
      <c r="J7823" s="711"/>
      <c r="K7823" s="711"/>
      <c r="L7823" s="711"/>
      <c r="Q7823" s="11"/>
      <c r="R7823" s="11"/>
      <c r="S7823" s="11"/>
      <c r="T7823" s="11"/>
    </row>
    <row r="7824" spans="8:20" x14ac:dyDescent="0.35">
      <c r="H7824" s="711"/>
      <c r="I7824" s="711"/>
      <c r="J7824" s="711"/>
      <c r="K7824" s="711"/>
      <c r="L7824" s="711"/>
      <c r="Q7824" s="11"/>
      <c r="R7824" s="11"/>
      <c r="S7824" s="11"/>
      <c r="T7824" s="11"/>
    </row>
    <row r="7825" spans="8:20" x14ac:dyDescent="0.35">
      <c r="H7825" s="711"/>
      <c r="I7825" s="711"/>
      <c r="J7825" s="711"/>
      <c r="K7825" s="711"/>
      <c r="L7825" s="711"/>
      <c r="Q7825" s="11"/>
      <c r="R7825" s="11"/>
      <c r="S7825" s="11"/>
      <c r="T7825" s="11"/>
    </row>
    <row r="7826" spans="8:20" x14ac:dyDescent="0.35">
      <c r="H7826" s="711"/>
      <c r="I7826" s="711"/>
      <c r="J7826" s="711"/>
      <c r="K7826" s="711"/>
      <c r="L7826" s="711"/>
      <c r="Q7826" s="11"/>
      <c r="R7826" s="11"/>
      <c r="S7826" s="11"/>
      <c r="T7826" s="11"/>
    </row>
    <row r="7827" spans="8:20" x14ac:dyDescent="0.35">
      <c r="H7827" s="711"/>
      <c r="I7827" s="711"/>
      <c r="J7827" s="711"/>
      <c r="K7827" s="711"/>
      <c r="L7827" s="711"/>
      <c r="Q7827" s="11"/>
      <c r="R7827" s="11"/>
      <c r="S7827" s="11"/>
      <c r="T7827" s="11"/>
    </row>
    <row r="7828" spans="8:20" x14ac:dyDescent="0.35">
      <c r="H7828" s="711"/>
      <c r="I7828" s="711"/>
      <c r="J7828" s="711"/>
      <c r="K7828" s="711"/>
      <c r="L7828" s="711"/>
      <c r="Q7828" s="11"/>
      <c r="R7828" s="11"/>
      <c r="S7828" s="11"/>
      <c r="T7828" s="11"/>
    </row>
    <row r="7829" spans="8:20" x14ac:dyDescent="0.35">
      <c r="H7829" s="711"/>
      <c r="I7829" s="711"/>
      <c r="J7829" s="711"/>
      <c r="K7829" s="711"/>
      <c r="L7829" s="711"/>
      <c r="Q7829" s="11"/>
      <c r="R7829" s="11"/>
      <c r="S7829" s="11"/>
      <c r="T7829" s="11"/>
    </row>
    <row r="7830" spans="8:20" x14ac:dyDescent="0.35">
      <c r="H7830" s="711"/>
      <c r="I7830" s="711"/>
      <c r="J7830" s="711"/>
      <c r="K7830" s="711"/>
      <c r="L7830" s="711"/>
      <c r="Q7830" s="11"/>
      <c r="R7830" s="11"/>
      <c r="S7830" s="11"/>
      <c r="T7830" s="11"/>
    </row>
    <row r="7831" spans="8:20" x14ac:dyDescent="0.35">
      <c r="H7831" s="711"/>
      <c r="I7831" s="711"/>
      <c r="J7831" s="711"/>
      <c r="K7831" s="711"/>
      <c r="L7831" s="711"/>
      <c r="Q7831" s="11"/>
      <c r="R7831" s="11"/>
      <c r="S7831" s="11"/>
      <c r="T7831" s="11"/>
    </row>
    <row r="7832" spans="8:20" x14ac:dyDescent="0.35">
      <c r="H7832" s="711"/>
      <c r="I7832" s="711"/>
      <c r="J7832" s="711"/>
      <c r="K7832" s="711"/>
      <c r="L7832" s="711"/>
      <c r="Q7832" s="11"/>
      <c r="R7832" s="11"/>
      <c r="S7832" s="11"/>
      <c r="T7832" s="11"/>
    </row>
    <row r="7833" spans="8:20" x14ac:dyDescent="0.35">
      <c r="H7833" s="711"/>
      <c r="I7833" s="711"/>
      <c r="J7833" s="711"/>
      <c r="K7833" s="711"/>
      <c r="L7833" s="711"/>
      <c r="Q7833" s="11"/>
      <c r="R7833" s="11"/>
      <c r="S7833" s="11"/>
      <c r="T7833" s="11"/>
    </row>
    <row r="7834" spans="8:20" x14ac:dyDescent="0.35">
      <c r="H7834" s="711"/>
      <c r="I7834" s="711"/>
      <c r="J7834" s="711"/>
      <c r="K7834" s="711"/>
      <c r="L7834" s="711"/>
      <c r="Q7834" s="11"/>
      <c r="R7834" s="11"/>
      <c r="S7834" s="11"/>
      <c r="T7834" s="11"/>
    </row>
    <row r="7835" spans="8:20" x14ac:dyDescent="0.35">
      <c r="H7835" s="711"/>
      <c r="I7835" s="711"/>
      <c r="J7835" s="711"/>
      <c r="K7835" s="711"/>
      <c r="L7835" s="711"/>
      <c r="Q7835" s="11"/>
      <c r="R7835" s="11"/>
      <c r="S7835" s="11"/>
      <c r="T7835" s="11"/>
    </row>
    <row r="7836" spans="8:20" x14ac:dyDescent="0.35">
      <c r="H7836" s="711"/>
      <c r="I7836" s="711"/>
      <c r="J7836" s="711"/>
      <c r="K7836" s="711"/>
      <c r="L7836" s="711"/>
      <c r="Q7836" s="11"/>
      <c r="R7836" s="11"/>
      <c r="S7836" s="11"/>
      <c r="T7836" s="11"/>
    </row>
    <row r="7837" spans="8:20" x14ac:dyDescent="0.35">
      <c r="H7837" s="711"/>
      <c r="I7837" s="711"/>
      <c r="J7837" s="711"/>
      <c r="K7837" s="711"/>
      <c r="L7837" s="711"/>
      <c r="Q7837" s="11"/>
      <c r="R7837" s="11"/>
      <c r="S7837" s="11"/>
      <c r="T7837" s="11"/>
    </row>
    <row r="7838" spans="8:20" x14ac:dyDescent="0.35">
      <c r="H7838" s="711"/>
      <c r="I7838" s="711"/>
      <c r="J7838" s="711"/>
      <c r="K7838" s="711"/>
      <c r="L7838" s="711"/>
      <c r="Q7838" s="11"/>
      <c r="R7838" s="11"/>
      <c r="S7838" s="11"/>
      <c r="T7838" s="11"/>
    </row>
    <row r="7839" spans="8:20" x14ac:dyDescent="0.35">
      <c r="H7839" s="711"/>
      <c r="I7839" s="711"/>
      <c r="J7839" s="711"/>
      <c r="K7839" s="711"/>
      <c r="L7839" s="711"/>
      <c r="Q7839" s="11"/>
      <c r="R7839" s="11"/>
      <c r="S7839" s="11"/>
      <c r="T7839" s="11"/>
    </row>
    <row r="7840" spans="8:20" x14ac:dyDescent="0.35">
      <c r="H7840" s="711"/>
      <c r="I7840" s="711"/>
      <c r="J7840" s="711"/>
      <c r="K7840" s="711"/>
      <c r="L7840" s="711"/>
      <c r="Q7840" s="11"/>
      <c r="R7840" s="11"/>
      <c r="S7840" s="11"/>
      <c r="T7840" s="11"/>
    </row>
    <row r="7841" spans="8:20" x14ac:dyDescent="0.35">
      <c r="H7841" s="711"/>
      <c r="I7841" s="711"/>
      <c r="J7841" s="711"/>
      <c r="K7841" s="711"/>
      <c r="L7841" s="711"/>
      <c r="Q7841" s="11"/>
      <c r="R7841" s="11"/>
      <c r="S7841" s="11"/>
      <c r="T7841" s="11"/>
    </row>
    <row r="7842" spans="8:20" x14ac:dyDescent="0.35">
      <c r="H7842" s="711"/>
      <c r="I7842" s="711"/>
      <c r="J7842" s="711"/>
      <c r="K7842" s="711"/>
      <c r="L7842" s="711"/>
      <c r="Q7842" s="11"/>
      <c r="R7842" s="11"/>
      <c r="S7842" s="11"/>
      <c r="T7842" s="11"/>
    </row>
    <row r="7843" spans="8:20" x14ac:dyDescent="0.35">
      <c r="H7843" s="711"/>
      <c r="I7843" s="711"/>
      <c r="J7843" s="711"/>
      <c r="K7843" s="711"/>
      <c r="L7843" s="711"/>
      <c r="Q7843" s="11"/>
      <c r="R7843" s="11"/>
      <c r="S7843" s="11"/>
      <c r="T7843" s="11"/>
    </row>
    <row r="7844" spans="8:20" x14ac:dyDescent="0.35">
      <c r="H7844" s="711"/>
      <c r="I7844" s="711"/>
      <c r="J7844" s="711"/>
      <c r="K7844" s="711"/>
      <c r="L7844" s="711"/>
      <c r="Q7844" s="11"/>
      <c r="R7844" s="11"/>
      <c r="S7844" s="11"/>
      <c r="T7844" s="11"/>
    </row>
    <row r="7845" spans="8:20" x14ac:dyDescent="0.35">
      <c r="H7845" s="711"/>
      <c r="I7845" s="711"/>
      <c r="J7845" s="711"/>
      <c r="K7845" s="711"/>
      <c r="L7845" s="711"/>
      <c r="Q7845" s="11"/>
      <c r="R7845" s="11"/>
      <c r="S7845" s="11"/>
      <c r="T7845" s="11"/>
    </row>
    <row r="7846" spans="8:20" x14ac:dyDescent="0.35">
      <c r="H7846" s="711"/>
      <c r="I7846" s="711"/>
      <c r="J7846" s="711"/>
      <c r="K7846" s="711"/>
      <c r="L7846" s="711"/>
      <c r="Q7846" s="11"/>
      <c r="R7846" s="11"/>
      <c r="S7846" s="11"/>
      <c r="T7846" s="11"/>
    </row>
    <row r="7847" spans="8:20" x14ac:dyDescent="0.35">
      <c r="H7847" s="711"/>
      <c r="I7847" s="711"/>
      <c r="J7847" s="711"/>
      <c r="K7847" s="711"/>
      <c r="L7847" s="711"/>
      <c r="Q7847" s="11"/>
      <c r="R7847" s="11"/>
      <c r="S7847" s="11"/>
      <c r="T7847" s="11"/>
    </row>
    <row r="7848" spans="8:20" x14ac:dyDescent="0.35">
      <c r="H7848" s="711"/>
      <c r="I7848" s="711"/>
      <c r="J7848" s="711"/>
      <c r="K7848" s="711"/>
      <c r="L7848" s="711"/>
      <c r="Q7848" s="11"/>
      <c r="R7848" s="11"/>
      <c r="S7848" s="11"/>
      <c r="T7848" s="11"/>
    </row>
    <row r="7849" spans="8:20" x14ac:dyDescent="0.35">
      <c r="H7849" s="711"/>
      <c r="I7849" s="711"/>
      <c r="J7849" s="711"/>
      <c r="K7849" s="711"/>
      <c r="L7849" s="711"/>
      <c r="Q7849" s="11"/>
      <c r="R7849" s="11"/>
      <c r="S7849" s="11"/>
      <c r="T7849" s="11"/>
    </row>
    <row r="7850" spans="8:20" x14ac:dyDescent="0.35">
      <c r="H7850" s="711"/>
      <c r="I7850" s="711"/>
      <c r="J7850" s="711"/>
      <c r="K7850" s="711"/>
      <c r="L7850" s="711"/>
      <c r="Q7850" s="11"/>
      <c r="R7850" s="11"/>
      <c r="S7850" s="11"/>
      <c r="T7850" s="11"/>
    </row>
    <row r="7851" spans="8:20" x14ac:dyDescent="0.35">
      <c r="H7851" s="711"/>
      <c r="I7851" s="711"/>
      <c r="J7851" s="711"/>
      <c r="K7851" s="711"/>
      <c r="L7851" s="711"/>
      <c r="Q7851" s="11"/>
      <c r="R7851" s="11"/>
      <c r="S7851" s="11"/>
      <c r="T7851" s="11"/>
    </row>
    <row r="7852" spans="8:20" x14ac:dyDescent="0.35">
      <c r="H7852" s="711"/>
      <c r="I7852" s="711"/>
      <c r="J7852" s="711"/>
      <c r="K7852" s="711"/>
      <c r="L7852" s="711"/>
      <c r="Q7852" s="11"/>
      <c r="R7852" s="11"/>
      <c r="S7852" s="11"/>
      <c r="T7852" s="11"/>
    </row>
    <row r="7853" spans="8:20" x14ac:dyDescent="0.35">
      <c r="H7853" s="711"/>
      <c r="I7853" s="711"/>
      <c r="J7853" s="711"/>
      <c r="K7853" s="711"/>
      <c r="L7853" s="711"/>
      <c r="Q7853" s="11"/>
      <c r="R7853" s="11"/>
      <c r="S7853" s="11"/>
      <c r="T7853" s="11"/>
    </row>
    <row r="7854" spans="8:20" x14ac:dyDescent="0.35">
      <c r="H7854" s="711"/>
      <c r="I7854" s="711"/>
      <c r="J7854" s="711"/>
      <c r="K7854" s="711"/>
      <c r="L7854" s="711"/>
      <c r="Q7854" s="11"/>
      <c r="R7854" s="11"/>
      <c r="S7854" s="11"/>
      <c r="T7854" s="11"/>
    </row>
    <row r="7855" spans="8:20" x14ac:dyDescent="0.35">
      <c r="H7855" s="711"/>
      <c r="I7855" s="711"/>
      <c r="J7855" s="711"/>
      <c r="K7855" s="711"/>
      <c r="L7855" s="711"/>
      <c r="Q7855" s="11"/>
      <c r="R7855" s="11"/>
      <c r="S7855" s="11"/>
      <c r="T7855" s="11"/>
    </row>
    <row r="7856" spans="8:20" x14ac:dyDescent="0.35">
      <c r="H7856" s="711"/>
      <c r="I7856" s="711"/>
      <c r="J7856" s="711"/>
      <c r="K7856" s="711"/>
      <c r="L7856" s="711"/>
      <c r="Q7856" s="11"/>
      <c r="R7856" s="11"/>
      <c r="S7856" s="11"/>
      <c r="T7856" s="11"/>
    </row>
    <row r="7857" spans="8:20" x14ac:dyDescent="0.35">
      <c r="H7857" s="711"/>
      <c r="I7857" s="711"/>
      <c r="J7857" s="711"/>
      <c r="K7857" s="711"/>
      <c r="L7857" s="711"/>
      <c r="Q7857" s="11"/>
      <c r="R7857" s="11"/>
      <c r="S7857" s="11"/>
      <c r="T7857" s="11"/>
    </row>
    <row r="7858" spans="8:20" x14ac:dyDescent="0.35">
      <c r="H7858" s="711"/>
      <c r="I7858" s="711"/>
      <c r="J7858" s="711"/>
      <c r="K7858" s="711"/>
      <c r="L7858" s="711"/>
      <c r="Q7858" s="11"/>
      <c r="R7858" s="11"/>
      <c r="S7858" s="11"/>
      <c r="T7858" s="11"/>
    </row>
    <row r="7859" spans="8:20" x14ac:dyDescent="0.35">
      <c r="H7859" s="711"/>
      <c r="I7859" s="711"/>
      <c r="J7859" s="711"/>
      <c r="K7859" s="711"/>
      <c r="L7859" s="711"/>
      <c r="Q7859" s="11"/>
      <c r="R7859" s="11"/>
      <c r="S7859" s="11"/>
      <c r="T7859" s="11"/>
    </row>
    <row r="7860" spans="8:20" x14ac:dyDescent="0.35">
      <c r="H7860" s="711"/>
      <c r="I7860" s="711"/>
      <c r="J7860" s="711"/>
      <c r="K7860" s="711"/>
      <c r="L7860" s="711"/>
      <c r="Q7860" s="11"/>
      <c r="R7860" s="11"/>
      <c r="S7860" s="11"/>
      <c r="T7860" s="11"/>
    </row>
    <row r="7861" spans="8:20" x14ac:dyDescent="0.35">
      <c r="H7861" s="711"/>
      <c r="I7861" s="711"/>
      <c r="J7861" s="711"/>
      <c r="K7861" s="711"/>
      <c r="L7861" s="711"/>
      <c r="Q7861" s="11"/>
      <c r="R7861" s="11"/>
      <c r="S7861" s="11"/>
      <c r="T7861" s="11"/>
    </row>
    <row r="7862" spans="8:20" x14ac:dyDescent="0.35">
      <c r="H7862" s="711"/>
      <c r="I7862" s="711"/>
      <c r="J7862" s="711"/>
      <c r="K7862" s="711"/>
      <c r="L7862" s="711"/>
      <c r="Q7862" s="11"/>
      <c r="R7862" s="11"/>
      <c r="S7862" s="11"/>
      <c r="T7862" s="11"/>
    </row>
    <row r="7863" spans="8:20" x14ac:dyDescent="0.35">
      <c r="H7863" s="711"/>
      <c r="I7863" s="711"/>
      <c r="J7863" s="711"/>
      <c r="K7863" s="711"/>
      <c r="L7863" s="711"/>
      <c r="Q7863" s="11"/>
      <c r="R7863" s="11"/>
      <c r="S7863" s="11"/>
      <c r="T7863" s="11"/>
    </row>
    <row r="7864" spans="8:20" x14ac:dyDescent="0.35">
      <c r="H7864" s="711"/>
      <c r="I7864" s="711"/>
      <c r="J7864" s="711"/>
      <c r="K7864" s="711"/>
      <c r="L7864" s="711"/>
      <c r="Q7864" s="11"/>
      <c r="R7864" s="11"/>
      <c r="S7864" s="11"/>
      <c r="T7864" s="11"/>
    </row>
    <row r="7865" spans="8:20" x14ac:dyDescent="0.35">
      <c r="H7865" s="711"/>
      <c r="I7865" s="711"/>
      <c r="J7865" s="711"/>
      <c r="K7865" s="711"/>
      <c r="L7865" s="711"/>
      <c r="Q7865" s="11"/>
      <c r="R7865" s="11"/>
      <c r="S7865" s="11"/>
      <c r="T7865" s="11"/>
    </row>
    <row r="7866" spans="8:20" x14ac:dyDescent="0.35">
      <c r="H7866" s="711"/>
      <c r="I7866" s="711"/>
      <c r="J7866" s="711"/>
      <c r="K7866" s="711"/>
      <c r="L7866" s="711"/>
      <c r="Q7866" s="11"/>
      <c r="R7866" s="11"/>
      <c r="S7866" s="11"/>
      <c r="T7866" s="11"/>
    </row>
    <row r="7867" spans="8:20" x14ac:dyDescent="0.35">
      <c r="H7867" s="711"/>
      <c r="I7867" s="711"/>
      <c r="J7867" s="711"/>
      <c r="K7867" s="711"/>
      <c r="L7867" s="711"/>
      <c r="Q7867" s="11"/>
      <c r="R7867" s="11"/>
      <c r="S7867" s="11"/>
      <c r="T7867" s="11"/>
    </row>
    <row r="7868" spans="8:20" x14ac:dyDescent="0.35">
      <c r="H7868" s="711"/>
      <c r="I7868" s="711"/>
      <c r="J7868" s="711"/>
      <c r="K7868" s="711"/>
      <c r="L7868" s="711"/>
      <c r="Q7868" s="11"/>
      <c r="R7868" s="11"/>
      <c r="S7868" s="11"/>
      <c r="T7868" s="11"/>
    </row>
    <row r="7869" spans="8:20" x14ac:dyDescent="0.35">
      <c r="H7869" s="711"/>
      <c r="I7869" s="711"/>
      <c r="J7869" s="711"/>
      <c r="K7869" s="711"/>
      <c r="L7869" s="711"/>
      <c r="Q7869" s="11"/>
      <c r="R7869" s="11"/>
      <c r="S7869" s="11"/>
      <c r="T7869" s="11"/>
    </row>
    <row r="7870" spans="8:20" x14ac:dyDescent="0.35">
      <c r="H7870" s="711"/>
      <c r="I7870" s="711"/>
      <c r="J7870" s="711"/>
      <c r="K7870" s="711"/>
      <c r="L7870" s="711"/>
      <c r="Q7870" s="11"/>
      <c r="R7870" s="11"/>
      <c r="S7870" s="11"/>
      <c r="T7870" s="11"/>
    </row>
    <row r="7871" spans="8:20" x14ac:dyDescent="0.35">
      <c r="H7871" s="711"/>
      <c r="I7871" s="711"/>
      <c r="J7871" s="711"/>
      <c r="K7871" s="711"/>
      <c r="L7871" s="711"/>
      <c r="Q7871" s="11"/>
      <c r="R7871" s="11"/>
      <c r="S7871" s="11"/>
      <c r="T7871" s="11"/>
    </row>
    <row r="7872" spans="8:20" x14ac:dyDescent="0.35">
      <c r="H7872" s="711"/>
      <c r="I7872" s="711"/>
      <c r="J7872" s="711"/>
      <c r="K7872" s="711"/>
      <c r="L7872" s="711"/>
      <c r="Q7872" s="11"/>
      <c r="R7872" s="11"/>
      <c r="S7872" s="11"/>
      <c r="T7872" s="11"/>
    </row>
    <row r="7873" spans="8:20" x14ac:dyDescent="0.35">
      <c r="H7873" s="711"/>
      <c r="I7873" s="711"/>
      <c r="J7873" s="711"/>
      <c r="K7873" s="711"/>
      <c r="L7873" s="711"/>
      <c r="Q7873" s="11"/>
      <c r="R7873" s="11"/>
      <c r="S7873" s="11"/>
      <c r="T7873" s="11"/>
    </row>
    <row r="7874" spans="8:20" x14ac:dyDescent="0.35">
      <c r="H7874" s="711"/>
      <c r="I7874" s="711"/>
      <c r="J7874" s="711"/>
      <c r="K7874" s="711"/>
      <c r="L7874" s="711"/>
      <c r="Q7874" s="11"/>
      <c r="R7874" s="11"/>
      <c r="S7874" s="11"/>
      <c r="T7874" s="11"/>
    </row>
    <row r="7875" spans="8:20" x14ac:dyDescent="0.35">
      <c r="H7875" s="711"/>
      <c r="I7875" s="711"/>
      <c r="J7875" s="711"/>
      <c r="K7875" s="711"/>
      <c r="L7875" s="711"/>
      <c r="Q7875" s="11"/>
      <c r="R7875" s="11"/>
      <c r="S7875" s="11"/>
      <c r="T7875" s="11"/>
    </row>
    <row r="7876" spans="8:20" x14ac:dyDescent="0.35">
      <c r="H7876" s="711"/>
      <c r="I7876" s="711"/>
      <c r="J7876" s="711"/>
      <c r="K7876" s="711"/>
      <c r="L7876" s="711"/>
      <c r="Q7876" s="11"/>
      <c r="R7876" s="11"/>
      <c r="S7876" s="11"/>
      <c r="T7876" s="11"/>
    </row>
    <row r="7877" spans="8:20" x14ac:dyDescent="0.35">
      <c r="H7877" s="711"/>
      <c r="I7877" s="711"/>
      <c r="J7877" s="711"/>
      <c r="K7877" s="711"/>
      <c r="L7877" s="711"/>
      <c r="Q7877" s="11"/>
      <c r="R7877" s="11"/>
      <c r="S7877" s="11"/>
      <c r="T7877" s="11"/>
    </row>
    <row r="7878" spans="8:20" x14ac:dyDescent="0.35">
      <c r="H7878" s="711"/>
      <c r="I7878" s="711"/>
      <c r="J7878" s="711"/>
      <c r="K7878" s="711"/>
      <c r="L7878" s="711"/>
      <c r="Q7878" s="11"/>
      <c r="R7878" s="11"/>
      <c r="S7878" s="11"/>
      <c r="T7878" s="11"/>
    </row>
    <row r="7879" spans="8:20" x14ac:dyDescent="0.35">
      <c r="H7879" s="711"/>
      <c r="I7879" s="711"/>
      <c r="J7879" s="711"/>
      <c r="K7879" s="711"/>
      <c r="L7879" s="711"/>
      <c r="Q7879" s="11"/>
      <c r="R7879" s="11"/>
      <c r="S7879" s="11"/>
      <c r="T7879" s="11"/>
    </row>
    <row r="7880" spans="8:20" x14ac:dyDescent="0.35">
      <c r="H7880" s="711"/>
      <c r="I7880" s="711"/>
      <c r="J7880" s="711"/>
      <c r="K7880" s="711"/>
      <c r="L7880" s="711"/>
      <c r="Q7880" s="11"/>
      <c r="R7880" s="11"/>
      <c r="S7880" s="11"/>
      <c r="T7880" s="11"/>
    </row>
    <row r="7881" spans="8:20" x14ac:dyDescent="0.35">
      <c r="H7881" s="711"/>
      <c r="I7881" s="711"/>
      <c r="J7881" s="711"/>
      <c r="K7881" s="711"/>
      <c r="L7881" s="711"/>
      <c r="Q7881" s="11"/>
      <c r="R7881" s="11"/>
      <c r="S7881" s="11"/>
      <c r="T7881" s="11"/>
    </row>
    <row r="7882" spans="8:20" x14ac:dyDescent="0.35">
      <c r="H7882" s="711"/>
      <c r="I7882" s="711"/>
      <c r="J7882" s="711"/>
      <c r="K7882" s="711"/>
      <c r="L7882" s="711"/>
      <c r="Q7882" s="11"/>
      <c r="R7882" s="11"/>
      <c r="S7882" s="11"/>
      <c r="T7882" s="11"/>
    </row>
    <row r="7883" spans="8:20" x14ac:dyDescent="0.35">
      <c r="H7883" s="711"/>
      <c r="I7883" s="711"/>
      <c r="J7883" s="711"/>
      <c r="K7883" s="711"/>
      <c r="L7883" s="711"/>
      <c r="Q7883" s="11"/>
      <c r="R7883" s="11"/>
      <c r="S7883" s="11"/>
      <c r="T7883" s="11"/>
    </row>
    <row r="7884" spans="8:20" x14ac:dyDescent="0.35">
      <c r="H7884" s="711"/>
      <c r="I7884" s="711"/>
      <c r="J7884" s="711"/>
      <c r="K7884" s="711"/>
      <c r="L7884" s="711"/>
      <c r="Q7884" s="11"/>
      <c r="R7884" s="11"/>
      <c r="S7884" s="11"/>
      <c r="T7884" s="11"/>
    </row>
    <row r="7885" spans="8:20" x14ac:dyDescent="0.35">
      <c r="H7885" s="711"/>
      <c r="I7885" s="711"/>
      <c r="J7885" s="711"/>
      <c r="K7885" s="711"/>
      <c r="L7885" s="711"/>
      <c r="Q7885" s="11"/>
      <c r="R7885" s="11"/>
      <c r="S7885" s="11"/>
      <c r="T7885" s="11"/>
    </row>
    <row r="7886" spans="8:20" x14ac:dyDescent="0.35">
      <c r="H7886" s="711"/>
      <c r="I7886" s="711"/>
      <c r="J7886" s="711"/>
      <c r="K7886" s="711"/>
      <c r="L7886" s="711"/>
      <c r="Q7886" s="11"/>
      <c r="R7886" s="11"/>
      <c r="S7886" s="11"/>
      <c r="T7886" s="11"/>
    </row>
    <row r="7887" spans="8:20" x14ac:dyDescent="0.35">
      <c r="H7887" s="711"/>
      <c r="I7887" s="711"/>
      <c r="J7887" s="711"/>
      <c r="K7887" s="711"/>
      <c r="L7887" s="711"/>
      <c r="Q7887" s="11"/>
      <c r="R7887" s="11"/>
      <c r="S7887" s="11"/>
      <c r="T7887" s="11"/>
    </row>
    <row r="7888" spans="8:20" x14ac:dyDescent="0.35">
      <c r="H7888" s="711"/>
      <c r="I7888" s="711"/>
      <c r="J7888" s="711"/>
      <c r="K7888" s="711"/>
      <c r="L7888" s="711"/>
      <c r="Q7888" s="11"/>
      <c r="R7888" s="11"/>
      <c r="S7888" s="11"/>
      <c r="T7888" s="11"/>
    </row>
    <row r="7889" spans="8:20" x14ac:dyDescent="0.35">
      <c r="H7889" s="711"/>
      <c r="I7889" s="711"/>
      <c r="J7889" s="711"/>
      <c r="K7889" s="711"/>
      <c r="L7889" s="711"/>
      <c r="Q7889" s="11"/>
      <c r="R7889" s="11"/>
      <c r="S7889" s="11"/>
      <c r="T7889" s="11"/>
    </row>
    <row r="7890" spans="8:20" x14ac:dyDescent="0.35">
      <c r="H7890" s="711"/>
      <c r="I7890" s="711"/>
      <c r="J7890" s="711"/>
      <c r="K7890" s="711"/>
      <c r="L7890" s="711"/>
      <c r="Q7890" s="11"/>
      <c r="R7890" s="11"/>
      <c r="S7890" s="11"/>
      <c r="T7890" s="11"/>
    </row>
    <row r="7891" spans="8:20" x14ac:dyDescent="0.35">
      <c r="H7891" s="711"/>
      <c r="I7891" s="711"/>
      <c r="J7891" s="711"/>
      <c r="K7891" s="711"/>
      <c r="L7891" s="711"/>
      <c r="Q7891" s="11"/>
      <c r="R7891" s="11"/>
      <c r="S7891" s="11"/>
      <c r="T7891" s="11"/>
    </row>
    <row r="7892" spans="8:20" x14ac:dyDescent="0.35">
      <c r="H7892" s="711"/>
      <c r="I7892" s="711"/>
      <c r="J7892" s="711"/>
      <c r="K7892" s="711"/>
      <c r="L7892" s="711"/>
      <c r="Q7892" s="11"/>
      <c r="R7892" s="11"/>
      <c r="S7892" s="11"/>
      <c r="T7892" s="11"/>
    </row>
    <row r="7893" spans="8:20" x14ac:dyDescent="0.35">
      <c r="H7893" s="711"/>
      <c r="I7893" s="711"/>
      <c r="J7893" s="711"/>
      <c r="K7893" s="711"/>
      <c r="L7893" s="711"/>
      <c r="Q7893" s="11"/>
      <c r="R7893" s="11"/>
      <c r="S7893" s="11"/>
      <c r="T7893" s="11"/>
    </row>
    <row r="7894" spans="8:20" x14ac:dyDescent="0.35">
      <c r="H7894" s="711"/>
      <c r="I7894" s="711"/>
      <c r="J7894" s="711"/>
      <c r="K7894" s="711"/>
      <c r="L7894" s="711"/>
      <c r="Q7894" s="11"/>
      <c r="R7894" s="11"/>
      <c r="S7894" s="11"/>
      <c r="T7894" s="11"/>
    </row>
    <row r="7895" spans="8:20" x14ac:dyDescent="0.35">
      <c r="H7895" s="711"/>
      <c r="I7895" s="711"/>
      <c r="J7895" s="711"/>
      <c r="K7895" s="711"/>
      <c r="L7895" s="711"/>
      <c r="Q7895" s="11"/>
      <c r="R7895" s="11"/>
      <c r="S7895" s="11"/>
      <c r="T7895" s="11"/>
    </row>
    <row r="7896" spans="8:20" x14ac:dyDescent="0.35">
      <c r="H7896" s="711"/>
      <c r="I7896" s="711"/>
      <c r="J7896" s="711"/>
      <c r="K7896" s="711"/>
      <c r="L7896" s="711"/>
      <c r="Q7896" s="11"/>
      <c r="R7896" s="11"/>
      <c r="S7896" s="11"/>
      <c r="T7896" s="11"/>
    </row>
    <row r="7897" spans="8:20" x14ac:dyDescent="0.35">
      <c r="H7897" s="711"/>
      <c r="I7897" s="711"/>
      <c r="J7897" s="711"/>
      <c r="K7897" s="711"/>
      <c r="L7897" s="711"/>
      <c r="Q7897" s="11"/>
      <c r="R7897" s="11"/>
      <c r="S7897" s="11"/>
      <c r="T7897" s="11"/>
    </row>
    <row r="7898" spans="8:20" x14ac:dyDescent="0.35">
      <c r="H7898" s="711"/>
      <c r="I7898" s="711"/>
      <c r="J7898" s="711"/>
      <c r="K7898" s="711"/>
      <c r="L7898" s="711"/>
      <c r="Q7898" s="11"/>
      <c r="R7898" s="11"/>
      <c r="S7898" s="11"/>
      <c r="T7898" s="11"/>
    </row>
    <row r="7899" spans="8:20" x14ac:dyDescent="0.35">
      <c r="H7899" s="711"/>
      <c r="I7899" s="711"/>
      <c r="J7899" s="711"/>
      <c r="K7899" s="711"/>
      <c r="L7899" s="711"/>
      <c r="Q7899" s="11"/>
      <c r="R7899" s="11"/>
      <c r="S7899" s="11"/>
      <c r="T7899" s="11"/>
    </row>
    <row r="7900" spans="8:20" x14ac:dyDescent="0.35">
      <c r="H7900" s="711"/>
      <c r="I7900" s="711"/>
      <c r="J7900" s="711"/>
      <c r="K7900" s="711"/>
      <c r="L7900" s="711"/>
      <c r="Q7900" s="11"/>
      <c r="R7900" s="11"/>
      <c r="S7900" s="11"/>
      <c r="T7900" s="11"/>
    </row>
    <row r="7901" spans="8:20" x14ac:dyDescent="0.35">
      <c r="H7901" s="711"/>
      <c r="I7901" s="711"/>
      <c r="J7901" s="711"/>
      <c r="K7901" s="711"/>
      <c r="L7901" s="711"/>
      <c r="Q7901" s="11"/>
      <c r="R7901" s="11"/>
      <c r="S7901" s="11"/>
      <c r="T7901" s="11"/>
    </row>
    <row r="7902" spans="8:20" x14ac:dyDescent="0.35">
      <c r="H7902" s="711"/>
      <c r="I7902" s="711"/>
      <c r="J7902" s="711"/>
      <c r="K7902" s="711"/>
      <c r="L7902" s="711"/>
      <c r="Q7902" s="11"/>
      <c r="R7902" s="11"/>
      <c r="S7902" s="11"/>
      <c r="T7902" s="11"/>
    </row>
    <row r="7903" spans="8:20" x14ac:dyDescent="0.35">
      <c r="H7903" s="711"/>
      <c r="I7903" s="711"/>
      <c r="J7903" s="711"/>
      <c r="K7903" s="711"/>
      <c r="L7903" s="711"/>
      <c r="Q7903" s="11"/>
      <c r="R7903" s="11"/>
      <c r="S7903" s="11"/>
      <c r="T7903" s="11"/>
    </row>
    <row r="7904" spans="8:20" x14ac:dyDescent="0.35">
      <c r="H7904" s="711"/>
      <c r="I7904" s="711"/>
      <c r="J7904" s="711"/>
      <c r="K7904" s="711"/>
      <c r="L7904" s="711"/>
      <c r="Q7904" s="11"/>
      <c r="R7904" s="11"/>
      <c r="S7904" s="11"/>
      <c r="T7904" s="11"/>
    </row>
    <row r="7905" spans="8:20" x14ac:dyDescent="0.35">
      <c r="H7905" s="711"/>
      <c r="I7905" s="711"/>
      <c r="J7905" s="711"/>
      <c r="K7905" s="711"/>
      <c r="L7905" s="711"/>
      <c r="Q7905" s="11"/>
      <c r="R7905" s="11"/>
      <c r="S7905" s="11"/>
      <c r="T7905" s="11"/>
    </row>
    <row r="7906" spans="8:20" x14ac:dyDescent="0.35">
      <c r="H7906" s="711"/>
      <c r="I7906" s="711"/>
      <c r="J7906" s="711"/>
      <c r="K7906" s="711"/>
      <c r="L7906" s="711"/>
      <c r="Q7906" s="11"/>
      <c r="R7906" s="11"/>
      <c r="S7906" s="11"/>
      <c r="T7906" s="11"/>
    </row>
    <row r="7907" spans="8:20" x14ac:dyDescent="0.35">
      <c r="H7907" s="711"/>
      <c r="I7907" s="711"/>
      <c r="J7907" s="711"/>
      <c r="K7907" s="711"/>
      <c r="L7907" s="711"/>
      <c r="Q7907" s="11"/>
      <c r="R7907" s="11"/>
      <c r="S7907" s="11"/>
      <c r="T7907" s="11"/>
    </row>
    <row r="7908" spans="8:20" x14ac:dyDescent="0.35">
      <c r="H7908" s="711"/>
      <c r="I7908" s="711"/>
      <c r="J7908" s="711"/>
      <c r="K7908" s="711"/>
      <c r="L7908" s="711"/>
      <c r="Q7908" s="11"/>
      <c r="R7908" s="11"/>
      <c r="S7908" s="11"/>
      <c r="T7908" s="11"/>
    </row>
    <row r="7909" spans="8:20" x14ac:dyDescent="0.35">
      <c r="H7909" s="711"/>
      <c r="I7909" s="711"/>
      <c r="J7909" s="711"/>
      <c r="K7909" s="711"/>
      <c r="L7909" s="711"/>
      <c r="Q7909" s="11"/>
      <c r="R7909" s="11"/>
      <c r="S7909" s="11"/>
      <c r="T7909" s="11"/>
    </row>
    <row r="7910" spans="8:20" x14ac:dyDescent="0.35">
      <c r="H7910" s="711"/>
      <c r="I7910" s="711"/>
      <c r="J7910" s="711"/>
      <c r="K7910" s="711"/>
      <c r="L7910" s="711"/>
      <c r="Q7910" s="11"/>
      <c r="R7910" s="11"/>
      <c r="S7910" s="11"/>
      <c r="T7910" s="11"/>
    </row>
    <row r="7911" spans="8:20" x14ac:dyDescent="0.35">
      <c r="H7911" s="711"/>
      <c r="I7911" s="711"/>
      <c r="J7911" s="711"/>
      <c r="K7911" s="711"/>
      <c r="L7911" s="711"/>
      <c r="Q7911" s="11"/>
      <c r="R7911" s="11"/>
      <c r="S7911" s="11"/>
      <c r="T7911" s="11"/>
    </row>
    <row r="7912" spans="8:20" x14ac:dyDescent="0.35">
      <c r="H7912" s="711"/>
      <c r="I7912" s="711"/>
      <c r="J7912" s="711"/>
      <c r="K7912" s="711"/>
      <c r="L7912" s="711"/>
      <c r="Q7912" s="11"/>
      <c r="R7912" s="11"/>
      <c r="S7912" s="11"/>
      <c r="T7912" s="11"/>
    </row>
    <row r="7913" spans="8:20" x14ac:dyDescent="0.35">
      <c r="H7913" s="711"/>
      <c r="I7913" s="711"/>
      <c r="J7913" s="711"/>
      <c r="K7913" s="711"/>
      <c r="L7913" s="711"/>
      <c r="Q7913" s="11"/>
      <c r="R7913" s="11"/>
      <c r="S7913" s="11"/>
      <c r="T7913" s="11"/>
    </row>
    <row r="7914" spans="8:20" x14ac:dyDescent="0.35">
      <c r="H7914" s="711"/>
      <c r="I7914" s="711"/>
      <c r="J7914" s="711"/>
      <c r="K7914" s="711"/>
      <c r="L7914" s="711"/>
      <c r="Q7914" s="11"/>
      <c r="R7914" s="11"/>
      <c r="S7914" s="11"/>
      <c r="T7914" s="11"/>
    </row>
    <row r="7915" spans="8:20" x14ac:dyDescent="0.35">
      <c r="H7915" s="711"/>
      <c r="I7915" s="711"/>
      <c r="J7915" s="711"/>
      <c r="K7915" s="711"/>
      <c r="L7915" s="711"/>
      <c r="Q7915" s="11"/>
      <c r="R7915" s="11"/>
      <c r="S7915" s="11"/>
      <c r="T7915" s="11"/>
    </row>
    <row r="7916" spans="8:20" x14ac:dyDescent="0.35">
      <c r="H7916" s="711"/>
      <c r="I7916" s="711"/>
      <c r="J7916" s="711"/>
      <c r="K7916" s="711"/>
      <c r="L7916" s="711"/>
      <c r="Q7916" s="11"/>
      <c r="R7916" s="11"/>
      <c r="S7916" s="11"/>
      <c r="T7916" s="11"/>
    </row>
    <row r="7917" spans="8:20" x14ac:dyDescent="0.35">
      <c r="H7917" s="711"/>
      <c r="I7917" s="711"/>
      <c r="J7917" s="711"/>
      <c r="K7917" s="711"/>
      <c r="L7917" s="711"/>
      <c r="Q7917" s="11"/>
      <c r="R7917" s="11"/>
      <c r="S7917" s="11"/>
      <c r="T7917" s="11"/>
    </row>
    <row r="7918" spans="8:20" x14ac:dyDescent="0.35">
      <c r="H7918" s="711"/>
      <c r="I7918" s="711"/>
      <c r="J7918" s="711"/>
      <c r="K7918" s="711"/>
      <c r="L7918" s="711"/>
      <c r="Q7918" s="11"/>
      <c r="R7918" s="11"/>
      <c r="S7918" s="11"/>
      <c r="T7918" s="11"/>
    </row>
    <row r="7919" spans="8:20" x14ac:dyDescent="0.35">
      <c r="H7919" s="711"/>
      <c r="I7919" s="711"/>
      <c r="J7919" s="711"/>
      <c r="K7919" s="711"/>
      <c r="L7919" s="711"/>
      <c r="Q7919" s="11"/>
      <c r="R7919" s="11"/>
      <c r="S7919" s="11"/>
      <c r="T7919" s="11"/>
    </row>
    <row r="7920" spans="8:20" x14ac:dyDescent="0.35">
      <c r="H7920" s="711"/>
      <c r="I7920" s="711"/>
      <c r="J7920" s="711"/>
      <c r="K7920" s="711"/>
      <c r="L7920" s="711"/>
      <c r="Q7920" s="11"/>
      <c r="R7920" s="11"/>
      <c r="S7920" s="11"/>
      <c r="T7920" s="11"/>
    </row>
    <row r="7921" spans="8:20" x14ac:dyDescent="0.35">
      <c r="H7921" s="711"/>
      <c r="I7921" s="711"/>
      <c r="J7921" s="711"/>
      <c r="K7921" s="711"/>
      <c r="L7921" s="711"/>
      <c r="Q7921" s="11"/>
      <c r="R7921" s="11"/>
      <c r="S7921" s="11"/>
      <c r="T7921" s="11"/>
    </row>
    <row r="7922" spans="8:20" x14ac:dyDescent="0.35">
      <c r="H7922" s="711"/>
      <c r="I7922" s="711"/>
      <c r="J7922" s="711"/>
      <c r="K7922" s="711"/>
      <c r="L7922" s="711"/>
      <c r="Q7922" s="11"/>
      <c r="R7922" s="11"/>
      <c r="S7922" s="11"/>
      <c r="T7922" s="11"/>
    </row>
    <row r="7923" spans="8:20" x14ac:dyDescent="0.35">
      <c r="H7923" s="711"/>
      <c r="I7923" s="711"/>
      <c r="J7923" s="711"/>
      <c r="K7923" s="711"/>
      <c r="L7923" s="711"/>
      <c r="Q7923" s="11"/>
      <c r="R7923" s="11"/>
      <c r="S7923" s="11"/>
      <c r="T7923" s="11"/>
    </row>
    <row r="7924" spans="8:20" x14ac:dyDescent="0.35">
      <c r="H7924" s="711"/>
      <c r="I7924" s="711"/>
      <c r="J7924" s="711"/>
      <c r="K7924" s="711"/>
      <c r="L7924" s="711"/>
      <c r="Q7924" s="11"/>
      <c r="R7924" s="11"/>
      <c r="S7924" s="11"/>
      <c r="T7924" s="11"/>
    </row>
    <row r="7925" spans="8:20" x14ac:dyDescent="0.35">
      <c r="H7925" s="711"/>
      <c r="I7925" s="711"/>
      <c r="J7925" s="711"/>
      <c r="K7925" s="711"/>
      <c r="L7925" s="711"/>
      <c r="Q7925" s="11"/>
      <c r="R7925" s="11"/>
      <c r="S7925" s="11"/>
      <c r="T7925" s="11"/>
    </row>
    <row r="7926" spans="8:20" x14ac:dyDescent="0.35">
      <c r="H7926" s="711"/>
      <c r="I7926" s="711"/>
      <c r="J7926" s="711"/>
      <c r="K7926" s="711"/>
      <c r="L7926" s="711"/>
      <c r="Q7926" s="11"/>
      <c r="R7926" s="11"/>
      <c r="S7926" s="11"/>
      <c r="T7926" s="11"/>
    </row>
    <row r="7927" spans="8:20" x14ac:dyDescent="0.35">
      <c r="H7927" s="711"/>
      <c r="I7927" s="711"/>
      <c r="J7927" s="711"/>
      <c r="K7927" s="711"/>
      <c r="L7927" s="711"/>
      <c r="Q7927" s="11"/>
      <c r="R7927" s="11"/>
      <c r="S7927" s="11"/>
      <c r="T7927" s="11"/>
    </row>
    <row r="7928" spans="8:20" x14ac:dyDescent="0.35">
      <c r="H7928" s="711"/>
      <c r="I7928" s="711"/>
      <c r="J7928" s="711"/>
      <c r="K7928" s="711"/>
      <c r="L7928" s="711"/>
      <c r="Q7928" s="11"/>
      <c r="R7928" s="11"/>
      <c r="S7928" s="11"/>
      <c r="T7928" s="11"/>
    </row>
    <row r="7929" spans="8:20" x14ac:dyDescent="0.35">
      <c r="H7929" s="711"/>
      <c r="I7929" s="711"/>
      <c r="J7929" s="711"/>
      <c r="K7929" s="711"/>
      <c r="L7929" s="711"/>
      <c r="Q7929" s="11"/>
      <c r="R7929" s="11"/>
      <c r="S7929" s="11"/>
      <c r="T7929" s="11"/>
    </row>
    <row r="7930" spans="8:20" x14ac:dyDescent="0.35">
      <c r="H7930" s="711"/>
      <c r="I7930" s="711"/>
      <c r="J7930" s="711"/>
      <c r="K7930" s="711"/>
      <c r="L7930" s="711"/>
      <c r="Q7930" s="11"/>
      <c r="R7930" s="11"/>
      <c r="S7930" s="11"/>
      <c r="T7930" s="11"/>
    </row>
    <row r="7931" spans="8:20" x14ac:dyDescent="0.35">
      <c r="H7931" s="711"/>
      <c r="I7931" s="711"/>
      <c r="J7931" s="711"/>
      <c r="K7931" s="711"/>
      <c r="L7931" s="711"/>
      <c r="Q7931" s="11"/>
      <c r="R7931" s="11"/>
      <c r="S7931" s="11"/>
      <c r="T7931" s="11"/>
    </row>
    <row r="7932" spans="8:20" x14ac:dyDescent="0.35">
      <c r="H7932" s="711"/>
      <c r="I7932" s="711"/>
      <c r="J7932" s="711"/>
      <c r="K7932" s="711"/>
      <c r="L7932" s="711"/>
      <c r="Q7932" s="11"/>
      <c r="R7932" s="11"/>
      <c r="S7932" s="11"/>
      <c r="T7932" s="11"/>
    </row>
    <row r="7933" spans="8:20" x14ac:dyDescent="0.35">
      <c r="H7933" s="711"/>
      <c r="I7933" s="711"/>
      <c r="J7933" s="711"/>
      <c r="K7933" s="711"/>
      <c r="L7933" s="711"/>
      <c r="Q7933" s="11"/>
      <c r="R7933" s="11"/>
      <c r="S7933" s="11"/>
      <c r="T7933" s="11"/>
    </row>
    <row r="7934" spans="8:20" x14ac:dyDescent="0.35">
      <c r="H7934" s="711"/>
      <c r="I7934" s="711"/>
      <c r="J7934" s="711"/>
      <c r="K7934" s="711"/>
      <c r="L7934" s="711"/>
      <c r="Q7934" s="11"/>
      <c r="R7934" s="11"/>
      <c r="S7934" s="11"/>
      <c r="T7934" s="11"/>
    </row>
    <row r="7935" spans="8:20" x14ac:dyDescent="0.35">
      <c r="H7935" s="711"/>
      <c r="I7935" s="711"/>
      <c r="J7935" s="711"/>
      <c r="K7935" s="711"/>
      <c r="L7935" s="711"/>
      <c r="Q7935" s="11"/>
      <c r="R7935" s="11"/>
      <c r="S7935" s="11"/>
      <c r="T7935" s="11"/>
    </row>
    <row r="7936" spans="8:20" x14ac:dyDescent="0.35">
      <c r="H7936" s="711"/>
      <c r="I7936" s="711"/>
      <c r="J7936" s="711"/>
      <c r="K7936" s="711"/>
      <c r="L7936" s="711"/>
      <c r="Q7936" s="11"/>
      <c r="R7936" s="11"/>
      <c r="S7936" s="11"/>
      <c r="T7936" s="11"/>
    </row>
    <row r="7937" spans="8:20" x14ac:dyDescent="0.35">
      <c r="H7937" s="711"/>
      <c r="I7937" s="711"/>
      <c r="J7937" s="711"/>
      <c r="K7937" s="711"/>
      <c r="L7937" s="711"/>
      <c r="Q7937" s="11"/>
      <c r="R7937" s="11"/>
      <c r="S7937" s="11"/>
      <c r="T7937" s="11"/>
    </row>
    <row r="7938" spans="8:20" x14ac:dyDescent="0.35">
      <c r="H7938" s="711"/>
      <c r="I7938" s="711"/>
      <c r="J7938" s="711"/>
      <c r="K7938" s="711"/>
      <c r="L7938" s="711"/>
      <c r="Q7938" s="11"/>
      <c r="R7938" s="11"/>
      <c r="S7938" s="11"/>
      <c r="T7938" s="11"/>
    </row>
    <row r="7939" spans="8:20" x14ac:dyDescent="0.35">
      <c r="H7939" s="711"/>
      <c r="I7939" s="711"/>
      <c r="J7939" s="711"/>
      <c r="K7939" s="711"/>
      <c r="L7939" s="711"/>
      <c r="Q7939" s="11"/>
      <c r="R7939" s="11"/>
      <c r="S7939" s="11"/>
      <c r="T7939" s="11"/>
    </row>
    <row r="7940" spans="8:20" x14ac:dyDescent="0.35">
      <c r="H7940" s="711"/>
      <c r="I7940" s="711"/>
      <c r="J7940" s="711"/>
      <c r="K7940" s="711"/>
      <c r="L7940" s="711"/>
      <c r="Q7940" s="11"/>
      <c r="R7940" s="11"/>
      <c r="S7940" s="11"/>
      <c r="T7940" s="11"/>
    </row>
    <row r="7941" spans="8:20" x14ac:dyDescent="0.35">
      <c r="H7941" s="711"/>
      <c r="I7941" s="711"/>
      <c r="J7941" s="711"/>
      <c r="K7941" s="711"/>
      <c r="L7941" s="711"/>
      <c r="Q7941" s="11"/>
      <c r="R7941" s="11"/>
      <c r="S7941" s="11"/>
      <c r="T7941" s="11"/>
    </row>
    <row r="7942" spans="8:20" x14ac:dyDescent="0.35">
      <c r="H7942" s="711"/>
      <c r="I7942" s="711"/>
      <c r="J7942" s="711"/>
      <c r="K7942" s="711"/>
      <c r="L7942" s="711"/>
      <c r="Q7942" s="11"/>
      <c r="R7942" s="11"/>
      <c r="S7942" s="11"/>
      <c r="T7942" s="11"/>
    </row>
    <row r="7943" spans="8:20" x14ac:dyDescent="0.35">
      <c r="H7943" s="711"/>
      <c r="I7943" s="711"/>
      <c r="J7943" s="711"/>
      <c r="K7943" s="711"/>
      <c r="L7943" s="711"/>
      <c r="Q7943" s="11"/>
      <c r="R7943" s="11"/>
      <c r="S7943" s="11"/>
      <c r="T7943" s="11"/>
    </row>
    <row r="7944" spans="8:20" x14ac:dyDescent="0.35">
      <c r="H7944" s="711"/>
      <c r="I7944" s="711"/>
      <c r="J7944" s="711"/>
      <c r="K7944" s="711"/>
      <c r="L7944" s="711"/>
      <c r="Q7944" s="11"/>
      <c r="R7944" s="11"/>
      <c r="S7944" s="11"/>
      <c r="T7944" s="11"/>
    </row>
    <row r="7945" spans="8:20" x14ac:dyDescent="0.35">
      <c r="H7945" s="711"/>
      <c r="I7945" s="711"/>
      <c r="J7945" s="711"/>
      <c r="K7945" s="711"/>
      <c r="L7945" s="711"/>
      <c r="Q7945" s="11"/>
      <c r="R7945" s="11"/>
      <c r="S7945" s="11"/>
      <c r="T7945" s="11"/>
    </row>
    <row r="7946" spans="8:20" x14ac:dyDescent="0.35">
      <c r="H7946" s="711"/>
      <c r="I7946" s="711"/>
      <c r="J7946" s="711"/>
      <c r="K7946" s="711"/>
      <c r="L7946" s="711"/>
      <c r="Q7946" s="11"/>
      <c r="R7946" s="11"/>
      <c r="S7946" s="11"/>
      <c r="T7946" s="11"/>
    </row>
    <row r="7947" spans="8:20" x14ac:dyDescent="0.35">
      <c r="H7947" s="711"/>
      <c r="I7947" s="711"/>
      <c r="J7947" s="711"/>
      <c r="K7947" s="711"/>
      <c r="L7947" s="711"/>
      <c r="Q7947" s="11"/>
      <c r="R7947" s="11"/>
      <c r="S7947" s="11"/>
      <c r="T7947" s="11"/>
    </row>
    <row r="7948" spans="8:20" x14ac:dyDescent="0.35">
      <c r="H7948" s="711"/>
      <c r="I7948" s="711"/>
      <c r="J7948" s="711"/>
      <c r="K7948" s="711"/>
      <c r="L7948" s="711"/>
      <c r="Q7948" s="11"/>
      <c r="R7948" s="11"/>
      <c r="S7948" s="11"/>
      <c r="T7948" s="11"/>
    </row>
    <row r="7949" spans="8:20" x14ac:dyDescent="0.35">
      <c r="H7949" s="711"/>
      <c r="I7949" s="711"/>
      <c r="J7949" s="711"/>
      <c r="K7949" s="711"/>
      <c r="L7949" s="711"/>
      <c r="Q7949" s="11"/>
      <c r="R7949" s="11"/>
      <c r="S7949" s="11"/>
      <c r="T7949" s="11"/>
    </row>
    <row r="7950" spans="8:20" x14ac:dyDescent="0.35">
      <c r="H7950" s="711"/>
      <c r="I7950" s="711"/>
      <c r="J7950" s="711"/>
      <c r="K7950" s="711"/>
      <c r="L7950" s="711"/>
      <c r="Q7950" s="11"/>
      <c r="R7950" s="11"/>
      <c r="S7950" s="11"/>
      <c r="T7950" s="11"/>
    </row>
    <row r="7951" spans="8:20" x14ac:dyDescent="0.35">
      <c r="H7951" s="711"/>
      <c r="I7951" s="711"/>
      <c r="J7951" s="711"/>
      <c r="K7951" s="711"/>
      <c r="L7951" s="711"/>
      <c r="Q7951" s="11"/>
      <c r="R7951" s="11"/>
      <c r="S7951" s="11"/>
      <c r="T7951" s="11"/>
    </row>
    <row r="7952" spans="8:20" x14ac:dyDescent="0.35">
      <c r="H7952" s="711"/>
      <c r="I7952" s="711"/>
      <c r="J7952" s="711"/>
      <c r="K7952" s="711"/>
      <c r="L7952" s="711"/>
      <c r="Q7952" s="11"/>
      <c r="R7952" s="11"/>
      <c r="S7952" s="11"/>
      <c r="T7952" s="11"/>
    </row>
    <row r="7953" spans="8:20" x14ac:dyDescent="0.35">
      <c r="H7953" s="711"/>
      <c r="I7953" s="711"/>
      <c r="J7953" s="711"/>
      <c r="K7953" s="711"/>
      <c r="L7953" s="711"/>
      <c r="Q7953" s="11"/>
      <c r="R7953" s="11"/>
      <c r="S7953" s="11"/>
      <c r="T7953" s="11"/>
    </row>
    <row r="7954" spans="8:20" x14ac:dyDescent="0.35">
      <c r="H7954" s="711"/>
      <c r="I7954" s="711"/>
      <c r="J7954" s="711"/>
      <c r="K7954" s="711"/>
      <c r="L7954" s="711"/>
      <c r="Q7954" s="11"/>
      <c r="R7954" s="11"/>
      <c r="S7954" s="11"/>
      <c r="T7954" s="11"/>
    </row>
    <row r="7955" spans="8:20" x14ac:dyDescent="0.35">
      <c r="H7955" s="711"/>
      <c r="I7955" s="711"/>
      <c r="J7955" s="711"/>
      <c r="K7955" s="711"/>
      <c r="L7955" s="711"/>
      <c r="Q7955" s="11"/>
      <c r="R7955" s="11"/>
      <c r="S7955" s="11"/>
      <c r="T7955" s="11"/>
    </row>
    <row r="7956" spans="8:20" x14ac:dyDescent="0.35">
      <c r="H7956" s="711"/>
      <c r="I7956" s="711"/>
      <c r="J7956" s="711"/>
      <c r="K7956" s="711"/>
      <c r="L7956" s="711"/>
      <c r="Q7956" s="11"/>
      <c r="R7956" s="11"/>
      <c r="S7956" s="11"/>
      <c r="T7956" s="11"/>
    </row>
    <row r="7957" spans="8:20" x14ac:dyDescent="0.35">
      <c r="H7957" s="711"/>
      <c r="I7957" s="711"/>
      <c r="J7957" s="711"/>
      <c r="K7957" s="711"/>
      <c r="L7957" s="711"/>
      <c r="Q7957" s="11"/>
      <c r="R7957" s="11"/>
      <c r="S7957" s="11"/>
      <c r="T7957" s="11"/>
    </row>
    <row r="7958" spans="8:20" x14ac:dyDescent="0.35">
      <c r="H7958" s="711"/>
      <c r="I7958" s="711"/>
      <c r="J7958" s="711"/>
      <c r="K7958" s="711"/>
      <c r="L7958" s="711"/>
      <c r="Q7958" s="11"/>
      <c r="R7958" s="11"/>
      <c r="S7958" s="11"/>
      <c r="T7958" s="11"/>
    </row>
    <row r="7959" spans="8:20" x14ac:dyDescent="0.35">
      <c r="H7959" s="711"/>
      <c r="I7959" s="711"/>
      <c r="J7959" s="711"/>
      <c r="K7959" s="711"/>
      <c r="L7959" s="711"/>
      <c r="Q7959" s="11"/>
      <c r="R7959" s="11"/>
      <c r="S7959" s="11"/>
      <c r="T7959" s="11"/>
    </row>
    <row r="7960" spans="8:20" x14ac:dyDescent="0.35">
      <c r="H7960" s="711"/>
      <c r="I7960" s="711"/>
      <c r="J7960" s="711"/>
      <c r="K7960" s="711"/>
      <c r="L7960" s="711"/>
      <c r="Q7960" s="11"/>
      <c r="R7960" s="11"/>
      <c r="S7960" s="11"/>
      <c r="T7960" s="11"/>
    </row>
    <row r="7961" spans="8:20" x14ac:dyDescent="0.35">
      <c r="H7961" s="711"/>
      <c r="I7961" s="711"/>
      <c r="J7961" s="711"/>
      <c r="K7961" s="711"/>
      <c r="L7961" s="711"/>
      <c r="Q7961" s="11"/>
      <c r="R7961" s="11"/>
      <c r="S7961" s="11"/>
      <c r="T7961" s="11"/>
    </row>
    <row r="7962" spans="8:20" x14ac:dyDescent="0.35">
      <c r="H7962" s="711"/>
      <c r="I7962" s="711"/>
      <c r="J7962" s="711"/>
      <c r="K7962" s="711"/>
      <c r="L7962" s="711"/>
      <c r="Q7962" s="11"/>
      <c r="R7962" s="11"/>
      <c r="S7962" s="11"/>
      <c r="T7962" s="11"/>
    </row>
    <row r="7963" spans="8:20" x14ac:dyDescent="0.35">
      <c r="H7963" s="711"/>
      <c r="I7963" s="711"/>
      <c r="J7963" s="711"/>
      <c r="K7963" s="711"/>
      <c r="L7963" s="711"/>
      <c r="Q7963" s="11"/>
      <c r="R7963" s="11"/>
      <c r="S7963" s="11"/>
      <c r="T7963" s="11"/>
    </row>
    <row r="7964" spans="8:20" x14ac:dyDescent="0.35">
      <c r="H7964" s="711"/>
      <c r="I7964" s="711"/>
      <c r="J7964" s="711"/>
      <c r="K7964" s="711"/>
      <c r="L7964" s="711"/>
      <c r="Q7964" s="11"/>
      <c r="R7964" s="11"/>
      <c r="S7964" s="11"/>
      <c r="T7964" s="11"/>
    </row>
    <row r="7965" spans="8:20" x14ac:dyDescent="0.35">
      <c r="H7965" s="711"/>
      <c r="I7965" s="711"/>
      <c r="J7965" s="711"/>
      <c r="K7965" s="711"/>
      <c r="L7965" s="711"/>
      <c r="Q7965" s="11"/>
      <c r="R7965" s="11"/>
      <c r="S7965" s="11"/>
      <c r="T7965" s="11"/>
    </row>
    <row r="7966" spans="8:20" x14ac:dyDescent="0.35">
      <c r="H7966" s="711"/>
      <c r="I7966" s="711"/>
      <c r="J7966" s="711"/>
      <c r="K7966" s="711"/>
      <c r="L7966" s="711"/>
      <c r="Q7966" s="11"/>
      <c r="R7966" s="11"/>
      <c r="S7966" s="11"/>
      <c r="T7966" s="11"/>
    </row>
    <row r="7967" spans="8:20" x14ac:dyDescent="0.35">
      <c r="H7967" s="711"/>
      <c r="I7967" s="711"/>
      <c r="J7967" s="711"/>
      <c r="K7967" s="711"/>
      <c r="L7967" s="711"/>
      <c r="Q7967" s="11"/>
      <c r="R7967" s="11"/>
      <c r="S7967" s="11"/>
      <c r="T7967" s="11"/>
    </row>
    <row r="7968" spans="8:20" x14ac:dyDescent="0.35">
      <c r="H7968" s="711"/>
      <c r="I7968" s="711"/>
      <c r="J7968" s="711"/>
      <c r="K7968" s="711"/>
      <c r="L7968" s="711"/>
      <c r="Q7968" s="11"/>
      <c r="R7968" s="11"/>
      <c r="S7968" s="11"/>
      <c r="T7968" s="11"/>
    </row>
    <row r="7969" spans="8:20" x14ac:dyDescent="0.35">
      <c r="H7969" s="711"/>
      <c r="I7969" s="711"/>
      <c r="J7969" s="711"/>
      <c r="K7969" s="711"/>
      <c r="L7969" s="711"/>
      <c r="Q7969" s="11"/>
      <c r="R7969" s="11"/>
      <c r="S7969" s="11"/>
      <c r="T7969" s="11"/>
    </row>
    <row r="7970" spans="8:20" x14ac:dyDescent="0.35">
      <c r="H7970" s="711"/>
      <c r="I7970" s="711"/>
      <c r="J7970" s="711"/>
      <c r="K7970" s="711"/>
      <c r="L7970" s="711"/>
      <c r="Q7970" s="11"/>
      <c r="R7970" s="11"/>
      <c r="S7970" s="11"/>
      <c r="T7970" s="11"/>
    </row>
    <row r="7971" spans="8:20" x14ac:dyDescent="0.35">
      <c r="H7971" s="711"/>
      <c r="I7971" s="711"/>
      <c r="J7971" s="711"/>
      <c r="K7971" s="711"/>
      <c r="L7971" s="711"/>
      <c r="Q7971" s="11"/>
      <c r="R7971" s="11"/>
      <c r="S7971" s="11"/>
      <c r="T7971" s="11"/>
    </row>
    <row r="7972" spans="8:20" x14ac:dyDescent="0.35">
      <c r="H7972" s="711"/>
      <c r="I7972" s="711"/>
      <c r="J7972" s="711"/>
      <c r="K7972" s="711"/>
      <c r="L7972" s="711"/>
      <c r="Q7972" s="11"/>
      <c r="R7972" s="11"/>
      <c r="S7972" s="11"/>
      <c r="T7972" s="11"/>
    </row>
    <row r="7973" spans="8:20" x14ac:dyDescent="0.35">
      <c r="H7973" s="711"/>
      <c r="I7973" s="711"/>
      <c r="J7973" s="711"/>
      <c r="K7973" s="711"/>
      <c r="L7973" s="711"/>
      <c r="Q7973" s="11"/>
      <c r="R7973" s="11"/>
      <c r="S7973" s="11"/>
      <c r="T7973" s="11"/>
    </row>
    <row r="7974" spans="8:20" x14ac:dyDescent="0.35">
      <c r="H7974" s="711"/>
      <c r="I7974" s="711"/>
      <c r="J7974" s="711"/>
      <c r="K7974" s="711"/>
      <c r="L7974" s="711"/>
      <c r="Q7974" s="11"/>
      <c r="R7974" s="11"/>
      <c r="S7974" s="11"/>
      <c r="T7974" s="11"/>
    </row>
    <row r="7975" spans="8:20" x14ac:dyDescent="0.35">
      <c r="H7975" s="711"/>
      <c r="I7975" s="711"/>
      <c r="J7975" s="711"/>
      <c r="K7975" s="711"/>
      <c r="L7975" s="711"/>
      <c r="Q7975" s="11"/>
      <c r="R7975" s="11"/>
      <c r="S7975" s="11"/>
      <c r="T7975" s="11"/>
    </row>
    <row r="7976" spans="8:20" x14ac:dyDescent="0.35">
      <c r="H7976" s="711"/>
      <c r="I7976" s="711"/>
      <c r="J7976" s="711"/>
      <c r="K7976" s="711"/>
      <c r="L7976" s="711"/>
      <c r="Q7976" s="11"/>
      <c r="R7976" s="11"/>
      <c r="S7976" s="11"/>
      <c r="T7976" s="11"/>
    </row>
    <row r="7977" spans="8:20" x14ac:dyDescent="0.35">
      <c r="H7977" s="711"/>
      <c r="I7977" s="711"/>
      <c r="J7977" s="711"/>
      <c r="K7977" s="711"/>
      <c r="L7977" s="711"/>
      <c r="Q7977" s="11"/>
      <c r="R7977" s="11"/>
      <c r="S7977" s="11"/>
      <c r="T7977" s="11"/>
    </row>
    <row r="7978" spans="8:20" x14ac:dyDescent="0.35">
      <c r="H7978" s="711"/>
      <c r="I7978" s="711"/>
      <c r="J7978" s="711"/>
      <c r="K7978" s="711"/>
      <c r="L7978" s="711"/>
      <c r="Q7978" s="11"/>
      <c r="R7978" s="11"/>
      <c r="S7978" s="11"/>
      <c r="T7978" s="11"/>
    </row>
    <row r="7979" spans="8:20" x14ac:dyDescent="0.35">
      <c r="H7979" s="711"/>
      <c r="I7979" s="711"/>
      <c r="J7979" s="711"/>
      <c r="K7979" s="711"/>
      <c r="L7979" s="711"/>
      <c r="Q7979" s="11"/>
      <c r="R7979" s="11"/>
      <c r="S7979" s="11"/>
      <c r="T7979" s="11"/>
    </row>
    <row r="7980" spans="8:20" x14ac:dyDescent="0.35">
      <c r="H7980" s="711"/>
      <c r="I7980" s="711"/>
      <c r="J7980" s="711"/>
      <c r="K7980" s="711"/>
      <c r="L7980" s="711"/>
      <c r="Q7980" s="11"/>
      <c r="R7980" s="11"/>
      <c r="S7980" s="11"/>
      <c r="T7980" s="11"/>
    </row>
    <row r="7981" spans="8:20" x14ac:dyDescent="0.35">
      <c r="H7981" s="711"/>
      <c r="I7981" s="711"/>
      <c r="J7981" s="711"/>
      <c r="K7981" s="711"/>
      <c r="L7981" s="711"/>
      <c r="Q7981" s="11"/>
      <c r="R7981" s="11"/>
      <c r="S7981" s="11"/>
      <c r="T7981" s="11"/>
    </row>
    <row r="7982" spans="8:20" x14ac:dyDescent="0.35">
      <c r="H7982" s="711"/>
      <c r="I7982" s="711"/>
      <c r="J7982" s="711"/>
      <c r="K7982" s="711"/>
      <c r="L7982" s="711"/>
      <c r="Q7982" s="11"/>
      <c r="R7982" s="11"/>
      <c r="S7982" s="11"/>
      <c r="T7982" s="11"/>
    </row>
    <row r="7983" spans="8:20" x14ac:dyDescent="0.35">
      <c r="H7983" s="711"/>
      <c r="I7983" s="711"/>
      <c r="J7983" s="711"/>
      <c r="K7983" s="711"/>
      <c r="L7983" s="711"/>
      <c r="Q7983" s="11"/>
      <c r="R7983" s="11"/>
      <c r="S7983" s="11"/>
      <c r="T7983" s="11"/>
    </row>
    <row r="7984" spans="8:20" x14ac:dyDescent="0.35">
      <c r="H7984" s="711"/>
      <c r="I7984" s="711"/>
      <c r="J7984" s="711"/>
      <c r="K7984" s="711"/>
      <c r="L7984" s="711"/>
      <c r="Q7984" s="11"/>
      <c r="R7984" s="11"/>
      <c r="S7984" s="11"/>
      <c r="T7984" s="11"/>
    </row>
    <row r="7985" spans="8:20" x14ac:dyDescent="0.35">
      <c r="H7985" s="711"/>
      <c r="I7985" s="711"/>
      <c r="J7985" s="711"/>
      <c r="K7985" s="711"/>
      <c r="L7985" s="711"/>
      <c r="Q7985" s="11"/>
      <c r="R7985" s="11"/>
      <c r="S7985" s="11"/>
      <c r="T7985" s="11"/>
    </row>
    <row r="7986" spans="8:20" x14ac:dyDescent="0.35">
      <c r="H7986" s="711"/>
      <c r="I7986" s="711"/>
      <c r="J7986" s="711"/>
      <c r="K7986" s="711"/>
      <c r="L7986" s="711"/>
      <c r="Q7986" s="11"/>
      <c r="R7986" s="11"/>
      <c r="S7986" s="11"/>
      <c r="T7986" s="11"/>
    </row>
    <row r="7987" spans="8:20" x14ac:dyDescent="0.35">
      <c r="H7987" s="711"/>
      <c r="I7987" s="711"/>
      <c r="J7987" s="711"/>
      <c r="K7987" s="711"/>
      <c r="L7987" s="711"/>
      <c r="Q7987" s="11"/>
      <c r="R7987" s="11"/>
      <c r="S7987" s="11"/>
      <c r="T7987" s="11"/>
    </row>
    <row r="7988" spans="8:20" x14ac:dyDescent="0.35">
      <c r="H7988" s="711"/>
      <c r="I7988" s="711"/>
      <c r="J7988" s="711"/>
      <c r="K7988" s="711"/>
      <c r="L7988" s="711"/>
      <c r="Q7988" s="11"/>
      <c r="R7988" s="11"/>
      <c r="S7988" s="11"/>
      <c r="T7988" s="11"/>
    </row>
    <row r="7989" spans="8:20" x14ac:dyDescent="0.35">
      <c r="H7989" s="711"/>
      <c r="I7989" s="711"/>
      <c r="J7989" s="711"/>
      <c r="K7989" s="711"/>
      <c r="L7989" s="711"/>
      <c r="Q7989" s="11"/>
      <c r="R7989" s="11"/>
      <c r="S7989" s="11"/>
      <c r="T7989" s="11"/>
    </row>
    <row r="7990" spans="8:20" x14ac:dyDescent="0.35">
      <c r="H7990" s="711"/>
      <c r="I7990" s="711"/>
      <c r="J7990" s="711"/>
      <c r="K7990" s="711"/>
      <c r="L7990" s="711"/>
      <c r="Q7990" s="11"/>
      <c r="R7990" s="11"/>
      <c r="S7990" s="11"/>
      <c r="T7990" s="11"/>
    </row>
    <row r="7991" spans="8:20" x14ac:dyDescent="0.35">
      <c r="H7991" s="711"/>
      <c r="I7991" s="711"/>
      <c r="J7991" s="711"/>
      <c r="K7991" s="711"/>
      <c r="L7991" s="711"/>
      <c r="Q7991" s="11"/>
      <c r="R7991" s="11"/>
      <c r="S7991" s="11"/>
      <c r="T7991" s="11"/>
    </row>
    <row r="7992" spans="8:20" x14ac:dyDescent="0.35">
      <c r="H7992" s="711"/>
      <c r="I7992" s="711"/>
      <c r="J7992" s="711"/>
      <c r="K7992" s="711"/>
      <c r="L7992" s="711"/>
      <c r="Q7992" s="11"/>
      <c r="R7992" s="11"/>
      <c r="S7992" s="11"/>
      <c r="T7992" s="11"/>
    </row>
    <row r="7993" spans="8:20" x14ac:dyDescent="0.35">
      <c r="H7993" s="711"/>
      <c r="I7993" s="711"/>
      <c r="J7993" s="711"/>
      <c r="K7993" s="711"/>
      <c r="L7993" s="711"/>
      <c r="Q7993" s="11"/>
      <c r="R7993" s="11"/>
      <c r="S7993" s="11"/>
      <c r="T7993" s="11"/>
    </row>
    <row r="7994" spans="8:20" x14ac:dyDescent="0.35">
      <c r="H7994" s="711"/>
      <c r="I7994" s="711"/>
      <c r="J7994" s="711"/>
      <c r="K7994" s="711"/>
      <c r="L7994" s="711"/>
      <c r="Q7994" s="11"/>
      <c r="R7994" s="11"/>
      <c r="S7994" s="11"/>
      <c r="T7994" s="11"/>
    </row>
    <row r="7995" spans="8:20" x14ac:dyDescent="0.35">
      <c r="H7995" s="711"/>
      <c r="I7995" s="711"/>
      <c r="J7995" s="711"/>
      <c r="K7995" s="711"/>
      <c r="L7995" s="711"/>
      <c r="Q7995" s="11"/>
      <c r="R7995" s="11"/>
      <c r="S7995" s="11"/>
      <c r="T7995" s="11"/>
    </row>
    <row r="7996" spans="8:20" x14ac:dyDescent="0.35">
      <c r="H7996" s="711"/>
      <c r="I7996" s="711"/>
      <c r="J7996" s="711"/>
      <c r="K7996" s="711"/>
      <c r="L7996" s="711"/>
      <c r="Q7996" s="11"/>
      <c r="R7996" s="11"/>
      <c r="S7996" s="11"/>
      <c r="T7996" s="11"/>
    </row>
    <row r="7997" spans="8:20" x14ac:dyDescent="0.35">
      <c r="H7997" s="711"/>
      <c r="I7997" s="711"/>
      <c r="J7997" s="711"/>
      <c r="K7997" s="711"/>
      <c r="L7997" s="711"/>
      <c r="Q7997" s="11"/>
      <c r="R7997" s="11"/>
      <c r="S7997" s="11"/>
      <c r="T7997" s="11"/>
    </row>
    <row r="7998" spans="8:20" x14ac:dyDescent="0.35">
      <c r="H7998" s="711"/>
      <c r="I7998" s="711"/>
      <c r="J7998" s="711"/>
      <c r="K7998" s="711"/>
      <c r="L7998" s="711"/>
      <c r="Q7998" s="11"/>
      <c r="R7998" s="11"/>
      <c r="S7998" s="11"/>
      <c r="T7998" s="11"/>
    </row>
    <row r="7999" spans="8:20" x14ac:dyDescent="0.35">
      <c r="H7999" s="711"/>
      <c r="I7999" s="711"/>
      <c r="J7999" s="711"/>
      <c r="K7999" s="711"/>
      <c r="L7999" s="711"/>
      <c r="Q7999" s="11"/>
      <c r="R7999" s="11"/>
      <c r="S7999" s="11"/>
      <c r="T7999" s="11"/>
    </row>
    <row r="8000" spans="8:20" x14ac:dyDescent="0.35">
      <c r="H8000" s="711"/>
      <c r="I8000" s="711"/>
      <c r="J8000" s="711"/>
      <c r="K8000" s="711"/>
      <c r="L8000" s="711"/>
      <c r="Q8000" s="11"/>
      <c r="R8000" s="11"/>
      <c r="S8000" s="11"/>
      <c r="T8000" s="11"/>
    </row>
    <row r="8001" spans="8:20" x14ac:dyDescent="0.35">
      <c r="H8001" s="711"/>
      <c r="I8001" s="711"/>
      <c r="J8001" s="711"/>
      <c r="K8001" s="711"/>
      <c r="L8001" s="711"/>
      <c r="Q8001" s="11"/>
      <c r="R8001" s="11"/>
      <c r="S8001" s="11"/>
      <c r="T8001" s="11"/>
    </row>
    <row r="8002" spans="8:20" x14ac:dyDescent="0.35">
      <c r="H8002" s="711"/>
      <c r="I8002" s="711"/>
      <c r="J8002" s="711"/>
      <c r="K8002" s="711"/>
      <c r="L8002" s="711"/>
      <c r="Q8002" s="11"/>
      <c r="R8002" s="11"/>
      <c r="S8002" s="11"/>
      <c r="T8002" s="11"/>
    </row>
    <row r="8003" spans="8:20" x14ac:dyDescent="0.35">
      <c r="H8003" s="711"/>
      <c r="I8003" s="711"/>
      <c r="J8003" s="711"/>
      <c r="K8003" s="711"/>
      <c r="L8003" s="711"/>
      <c r="Q8003" s="11"/>
      <c r="R8003" s="11"/>
      <c r="S8003" s="11"/>
      <c r="T8003" s="11"/>
    </row>
    <row r="8004" spans="8:20" x14ac:dyDescent="0.35">
      <c r="H8004" s="711"/>
      <c r="I8004" s="711"/>
      <c r="J8004" s="711"/>
      <c r="K8004" s="711"/>
      <c r="L8004" s="711"/>
      <c r="Q8004" s="11"/>
      <c r="R8004" s="11"/>
      <c r="S8004" s="11"/>
      <c r="T8004" s="11"/>
    </row>
    <row r="8005" spans="8:20" x14ac:dyDescent="0.35">
      <c r="H8005" s="711"/>
      <c r="I8005" s="711"/>
      <c r="J8005" s="711"/>
      <c r="K8005" s="711"/>
      <c r="L8005" s="711"/>
      <c r="Q8005" s="11"/>
      <c r="R8005" s="11"/>
      <c r="S8005" s="11"/>
      <c r="T8005" s="11"/>
    </row>
    <row r="8006" spans="8:20" x14ac:dyDescent="0.35">
      <c r="H8006" s="711"/>
      <c r="I8006" s="711"/>
      <c r="J8006" s="711"/>
      <c r="K8006" s="711"/>
      <c r="L8006" s="711"/>
      <c r="Q8006" s="11"/>
      <c r="R8006" s="11"/>
      <c r="S8006" s="11"/>
      <c r="T8006" s="11"/>
    </row>
    <row r="8007" spans="8:20" x14ac:dyDescent="0.35">
      <c r="H8007" s="711"/>
      <c r="I8007" s="711"/>
      <c r="J8007" s="711"/>
      <c r="K8007" s="711"/>
      <c r="L8007" s="711"/>
      <c r="Q8007" s="11"/>
      <c r="R8007" s="11"/>
      <c r="S8007" s="11"/>
      <c r="T8007" s="11"/>
    </row>
    <row r="8008" spans="8:20" x14ac:dyDescent="0.35">
      <c r="H8008" s="711"/>
      <c r="I8008" s="711"/>
      <c r="J8008" s="711"/>
      <c r="K8008" s="711"/>
      <c r="L8008" s="711"/>
      <c r="Q8008" s="11"/>
      <c r="R8008" s="11"/>
      <c r="S8008" s="11"/>
      <c r="T8008" s="11"/>
    </row>
    <row r="8009" spans="8:20" x14ac:dyDescent="0.35">
      <c r="H8009" s="711"/>
      <c r="I8009" s="711"/>
      <c r="J8009" s="711"/>
      <c r="K8009" s="711"/>
      <c r="L8009" s="711"/>
      <c r="Q8009" s="11"/>
      <c r="R8009" s="11"/>
      <c r="S8009" s="11"/>
      <c r="T8009" s="11"/>
    </row>
    <row r="8010" spans="8:20" x14ac:dyDescent="0.35">
      <c r="H8010" s="711"/>
      <c r="I8010" s="711"/>
      <c r="J8010" s="711"/>
      <c r="K8010" s="711"/>
      <c r="L8010" s="711"/>
      <c r="Q8010" s="11"/>
      <c r="R8010" s="11"/>
      <c r="S8010" s="11"/>
      <c r="T8010" s="11"/>
    </row>
    <row r="8011" spans="8:20" x14ac:dyDescent="0.35">
      <c r="H8011" s="711"/>
      <c r="I8011" s="711"/>
      <c r="J8011" s="711"/>
      <c r="K8011" s="711"/>
      <c r="L8011" s="711"/>
      <c r="Q8011" s="11"/>
      <c r="R8011" s="11"/>
      <c r="S8011" s="11"/>
      <c r="T8011" s="11"/>
    </row>
    <row r="8012" spans="8:20" x14ac:dyDescent="0.35">
      <c r="H8012" s="711"/>
      <c r="I8012" s="711"/>
      <c r="J8012" s="711"/>
      <c r="K8012" s="711"/>
      <c r="L8012" s="711"/>
      <c r="Q8012" s="11"/>
      <c r="R8012" s="11"/>
      <c r="S8012" s="11"/>
      <c r="T8012" s="11"/>
    </row>
    <row r="8013" spans="8:20" x14ac:dyDescent="0.35">
      <c r="H8013" s="711"/>
      <c r="I8013" s="711"/>
      <c r="J8013" s="711"/>
      <c r="K8013" s="711"/>
      <c r="L8013" s="711"/>
      <c r="Q8013" s="11"/>
      <c r="R8013" s="11"/>
      <c r="S8013" s="11"/>
      <c r="T8013" s="11"/>
    </row>
    <row r="8014" spans="8:20" x14ac:dyDescent="0.35">
      <c r="H8014" s="711"/>
      <c r="I8014" s="711"/>
      <c r="J8014" s="711"/>
      <c r="K8014" s="711"/>
      <c r="L8014" s="711"/>
      <c r="Q8014" s="11"/>
      <c r="R8014" s="11"/>
      <c r="S8014" s="11"/>
      <c r="T8014" s="11"/>
    </row>
    <row r="8015" spans="8:20" x14ac:dyDescent="0.35">
      <c r="H8015" s="711"/>
      <c r="I8015" s="711"/>
      <c r="J8015" s="711"/>
      <c r="K8015" s="711"/>
      <c r="L8015" s="711"/>
      <c r="Q8015" s="11"/>
      <c r="R8015" s="11"/>
      <c r="S8015" s="11"/>
      <c r="T8015" s="11"/>
    </row>
    <row r="8016" spans="8:20" x14ac:dyDescent="0.35">
      <c r="H8016" s="711"/>
      <c r="I8016" s="711"/>
      <c r="J8016" s="711"/>
      <c r="K8016" s="711"/>
      <c r="L8016" s="711"/>
      <c r="Q8016" s="11"/>
      <c r="R8016" s="11"/>
      <c r="S8016" s="11"/>
      <c r="T8016" s="11"/>
    </row>
    <row r="8017" spans="8:20" x14ac:dyDescent="0.35">
      <c r="H8017" s="711"/>
      <c r="I8017" s="711"/>
      <c r="J8017" s="711"/>
      <c r="K8017" s="711"/>
      <c r="L8017" s="711"/>
      <c r="Q8017" s="11"/>
      <c r="R8017" s="11"/>
      <c r="S8017" s="11"/>
      <c r="T8017" s="11"/>
    </row>
    <row r="8018" spans="8:20" x14ac:dyDescent="0.35">
      <c r="H8018" s="711"/>
      <c r="I8018" s="711"/>
      <c r="J8018" s="711"/>
      <c r="K8018" s="711"/>
      <c r="L8018" s="711"/>
      <c r="Q8018" s="11"/>
      <c r="R8018" s="11"/>
      <c r="S8018" s="11"/>
      <c r="T8018" s="11"/>
    </row>
    <row r="8019" spans="8:20" x14ac:dyDescent="0.35">
      <c r="H8019" s="711"/>
      <c r="I8019" s="711"/>
      <c r="J8019" s="711"/>
      <c r="K8019" s="711"/>
      <c r="L8019" s="711"/>
      <c r="Q8019" s="11"/>
      <c r="R8019" s="11"/>
      <c r="S8019" s="11"/>
      <c r="T8019" s="11"/>
    </row>
    <row r="8020" spans="8:20" x14ac:dyDescent="0.35">
      <c r="H8020" s="711"/>
      <c r="I8020" s="711"/>
      <c r="J8020" s="711"/>
      <c r="K8020" s="711"/>
      <c r="L8020" s="711"/>
      <c r="Q8020" s="11"/>
      <c r="R8020" s="11"/>
      <c r="S8020" s="11"/>
      <c r="T8020" s="11"/>
    </row>
    <row r="8021" spans="8:20" x14ac:dyDescent="0.35">
      <c r="H8021" s="711"/>
      <c r="I8021" s="711"/>
      <c r="J8021" s="711"/>
      <c r="K8021" s="711"/>
      <c r="L8021" s="711"/>
      <c r="Q8021" s="11"/>
      <c r="R8021" s="11"/>
      <c r="S8021" s="11"/>
      <c r="T8021" s="11"/>
    </row>
    <row r="8022" spans="8:20" x14ac:dyDescent="0.35">
      <c r="H8022" s="711"/>
      <c r="I8022" s="711"/>
      <c r="J8022" s="711"/>
      <c r="K8022" s="711"/>
      <c r="L8022" s="711"/>
      <c r="Q8022" s="11"/>
      <c r="R8022" s="11"/>
      <c r="S8022" s="11"/>
      <c r="T8022" s="11"/>
    </row>
    <row r="8023" spans="8:20" x14ac:dyDescent="0.35">
      <c r="H8023" s="711"/>
      <c r="I8023" s="711"/>
      <c r="J8023" s="711"/>
      <c r="K8023" s="711"/>
      <c r="L8023" s="711"/>
      <c r="Q8023" s="11"/>
      <c r="R8023" s="11"/>
      <c r="S8023" s="11"/>
      <c r="T8023" s="11"/>
    </row>
    <row r="8024" spans="8:20" x14ac:dyDescent="0.35">
      <c r="H8024" s="711"/>
      <c r="I8024" s="711"/>
      <c r="J8024" s="711"/>
      <c r="K8024" s="711"/>
      <c r="L8024" s="711"/>
      <c r="Q8024" s="11"/>
      <c r="R8024" s="11"/>
      <c r="S8024" s="11"/>
      <c r="T8024" s="11"/>
    </row>
    <row r="8025" spans="8:20" x14ac:dyDescent="0.35">
      <c r="H8025" s="711"/>
      <c r="I8025" s="711"/>
      <c r="J8025" s="711"/>
      <c r="K8025" s="711"/>
      <c r="L8025" s="711"/>
      <c r="Q8025" s="11"/>
      <c r="R8025" s="11"/>
      <c r="S8025" s="11"/>
      <c r="T8025" s="11"/>
    </row>
    <row r="8026" spans="8:20" x14ac:dyDescent="0.35">
      <c r="H8026" s="711"/>
      <c r="I8026" s="711"/>
      <c r="J8026" s="711"/>
      <c r="K8026" s="711"/>
      <c r="L8026" s="711"/>
      <c r="Q8026" s="11"/>
      <c r="R8026" s="11"/>
      <c r="S8026" s="11"/>
      <c r="T8026" s="11"/>
    </row>
    <row r="8027" spans="8:20" x14ac:dyDescent="0.35">
      <c r="H8027" s="711"/>
      <c r="I8027" s="711"/>
      <c r="J8027" s="711"/>
      <c r="K8027" s="711"/>
      <c r="L8027" s="711"/>
      <c r="Q8027" s="11"/>
      <c r="R8027" s="11"/>
      <c r="S8027" s="11"/>
      <c r="T8027" s="11"/>
    </row>
    <row r="8028" spans="8:20" x14ac:dyDescent="0.35">
      <c r="H8028" s="711"/>
      <c r="I8028" s="711"/>
      <c r="J8028" s="711"/>
      <c r="K8028" s="711"/>
      <c r="L8028" s="711"/>
      <c r="Q8028" s="11"/>
      <c r="R8028" s="11"/>
      <c r="S8028" s="11"/>
      <c r="T8028" s="11"/>
    </row>
    <row r="8029" spans="8:20" x14ac:dyDescent="0.35">
      <c r="H8029" s="711"/>
      <c r="I8029" s="711"/>
      <c r="J8029" s="711"/>
      <c r="K8029" s="711"/>
      <c r="L8029" s="711"/>
      <c r="Q8029" s="11"/>
      <c r="R8029" s="11"/>
      <c r="S8029" s="11"/>
      <c r="T8029" s="11"/>
    </row>
    <row r="8030" spans="8:20" x14ac:dyDescent="0.35">
      <c r="H8030" s="711"/>
      <c r="I8030" s="711"/>
      <c r="J8030" s="711"/>
      <c r="K8030" s="711"/>
      <c r="L8030" s="711"/>
      <c r="Q8030" s="11"/>
      <c r="R8030" s="11"/>
      <c r="S8030" s="11"/>
      <c r="T8030" s="11"/>
    </row>
    <row r="8031" spans="8:20" x14ac:dyDescent="0.35">
      <c r="H8031" s="711"/>
      <c r="I8031" s="711"/>
      <c r="J8031" s="711"/>
      <c r="K8031" s="711"/>
      <c r="L8031" s="711"/>
      <c r="Q8031" s="11"/>
      <c r="R8031" s="11"/>
      <c r="S8031" s="11"/>
      <c r="T8031" s="11"/>
    </row>
    <row r="8032" spans="8:20" x14ac:dyDescent="0.35">
      <c r="H8032" s="711"/>
      <c r="I8032" s="711"/>
      <c r="J8032" s="711"/>
      <c r="K8032" s="711"/>
      <c r="L8032" s="711"/>
      <c r="Q8032" s="11"/>
      <c r="R8032" s="11"/>
      <c r="S8032" s="11"/>
      <c r="T8032" s="11"/>
    </row>
    <row r="8033" spans="8:20" x14ac:dyDescent="0.35">
      <c r="H8033" s="711"/>
      <c r="I8033" s="711"/>
      <c r="J8033" s="711"/>
      <c r="K8033" s="711"/>
      <c r="L8033" s="711"/>
      <c r="Q8033" s="11"/>
      <c r="R8033" s="11"/>
      <c r="S8033" s="11"/>
      <c r="T8033" s="11"/>
    </row>
    <row r="8034" spans="8:20" x14ac:dyDescent="0.35">
      <c r="H8034" s="711"/>
      <c r="I8034" s="711"/>
      <c r="J8034" s="711"/>
      <c r="K8034" s="711"/>
      <c r="L8034" s="711"/>
      <c r="Q8034" s="11"/>
      <c r="R8034" s="11"/>
      <c r="S8034" s="11"/>
      <c r="T8034" s="11"/>
    </row>
    <row r="8035" spans="8:20" x14ac:dyDescent="0.35">
      <c r="H8035" s="711"/>
      <c r="I8035" s="711"/>
      <c r="J8035" s="711"/>
      <c r="K8035" s="711"/>
      <c r="L8035" s="711"/>
      <c r="Q8035" s="11"/>
      <c r="R8035" s="11"/>
      <c r="S8035" s="11"/>
      <c r="T8035" s="11"/>
    </row>
    <row r="8036" spans="8:20" x14ac:dyDescent="0.35">
      <c r="H8036" s="711"/>
      <c r="I8036" s="711"/>
      <c r="J8036" s="711"/>
      <c r="K8036" s="711"/>
      <c r="L8036" s="711"/>
      <c r="Q8036" s="11"/>
      <c r="R8036" s="11"/>
      <c r="S8036" s="11"/>
      <c r="T8036" s="11"/>
    </row>
    <row r="8037" spans="8:20" x14ac:dyDescent="0.35">
      <c r="H8037" s="711"/>
      <c r="I8037" s="711"/>
      <c r="J8037" s="711"/>
      <c r="K8037" s="711"/>
      <c r="L8037" s="711"/>
      <c r="Q8037" s="11"/>
      <c r="R8037" s="11"/>
      <c r="S8037" s="11"/>
      <c r="T8037" s="11"/>
    </row>
    <row r="8038" spans="8:20" x14ac:dyDescent="0.35">
      <c r="H8038" s="711"/>
      <c r="I8038" s="711"/>
      <c r="J8038" s="711"/>
      <c r="K8038" s="711"/>
      <c r="L8038" s="711"/>
      <c r="Q8038" s="11"/>
      <c r="R8038" s="11"/>
      <c r="S8038" s="11"/>
      <c r="T8038" s="11"/>
    </row>
    <row r="8039" spans="8:20" x14ac:dyDescent="0.35">
      <c r="H8039" s="711"/>
      <c r="I8039" s="711"/>
      <c r="J8039" s="711"/>
      <c r="K8039" s="711"/>
      <c r="L8039" s="711"/>
      <c r="Q8039" s="11"/>
      <c r="R8039" s="11"/>
      <c r="S8039" s="11"/>
      <c r="T8039" s="11"/>
    </row>
    <row r="8040" spans="8:20" x14ac:dyDescent="0.35">
      <c r="H8040" s="711"/>
      <c r="I8040" s="711"/>
      <c r="J8040" s="711"/>
      <c r="K8040" s="711"/>
      <c r="L8040" s="711"/>
      <c r="Q8040" s="11"/>
      <c r="R8040" s="11"/>
      <c r="S8040" s="11"/>
      <c r="T8040" s="11"/>
    </row>
    <row r="8041" spans="8:20" x14ac:dyDescent="0.35">
      <c r="H8041" s="711"/>
      <c r="I8041" s="711"/>
      <c r="J8041" s="711"/>
      <c r="K8041" s="711"/>
      <c r="L8041" s="711"/>
      <c r="Q8041" s="11"/>
      <c r="R8041" s="11"/>
      <c r="S8041" s="11"/>
      <c r="T8041" s="11"/>
    </row>
    <row r="8042" spans="8:20" x14ac:dyDescent="0.35">
      <c r="H8042" s="711"/>
      <c r="I8042" s="711"/>
      <c r="J8042" s="711"/>
      <c r="K8042" s="711"/>
      <c r="L8042" s="711"/>
      <c r="Q8042" s="11"/>
      <c r="R8042" s="11"/>
      <c r="S8042" s="11"/>
      <c r="T8042" s="11"/>
    </row>
    <row r="8043" spans="8:20" x14ac:dyDescent="0.35">
      <c r="H8043" s="711"/>
      <c r="I8043" s="711"/>
      <c r="J8043" s="711"/>
      <c r="K8043" s="711"/>
      <c r="L8043" s="711"/>
      <c r="Q8043" s="11"/>
      <c r="R8043" s="11"/>
      <c r="S8043" s="11"/>
      <c r="T8043" s="11"/>
    </row>
    <row r="8044" spans="8:20" x14ac:dyDescent="0.35">
      <c r="H8044" s="711"/>
      <c r="I8044" s="711"/>
      <c r="J8044" s="711"/>
      <c r="K8044" s="711"/>
      <c r="L8044" s="711"/>
      <c r="Q8044" s="11"/>
      <c r="R8044" s="11"/>
      <c r="S8044" s="11"/>
      <c r="T8044" s="11"/>
    </row>
    <row r="8045" spans="8:20" x14ac:dyDescent="0.35">
      <c r="H8045" s="711"/>
      <c r="I8045" s="711"/>
      <c r="J8045" s="711"/>
      <c r="K8045" s="711"/>
      <c r="L8045" s="711"/>
      <c r="Q8045" s="11"/>
      <c r="R8045" s="11"/>
      <c r="S8045" s="11"/>
      <c r="T8045" s="11"/>
    </row>
    <row r="8046" spans="8:20" x14ac:dyDescent="0.35">
      <c r="H8046" s="711"/>
      <c r="I8046" s="711"/>
      <c r="J8046" s="711"/>
      <c r="K8046" s="711"/>
      <c r="L8046" s="711"/>
      <c r="Q8046" s="11"/>
      <c r="R8046" s="11"/>
      <c r="S8046" s="11"/>
      <c r="T8046" s="11"/>
    </row>
    <row r="8047" spans="8:20" x14ac:dyDescent="0.35">
      <c r="H8047" s="711"/>
      <c r="I8047" s="711"/>
      <c r="J8047" s="711"/>
      <c r="K8047" s="711"/>
      <c r="L8047" s="711"/>
      <c r="Q8047" s="11"/>
      <c r="R8047" s="11"/>
      <c r="S8047" s="11"/>
      <c r="T8047" s="11"/>
    </row>
    <row r="8048" spans="8:20" x14ac:dyDescent="0.35">
      <c r="H8048" s="711"/>
      <c r="I8048" s="711"/>
      <c r="J8048" s="711"/>
      <c r="K8048" s="711"/>
      <c r="L8048" s="711"/>
      <c r="Q8048" s="11"/>
      <c r="R8048" s="11"/>
      <c r="S8048" s="11"/>
      <c r="T8048" s="11"/>
    </row>
    <row r="8049" spans="8:20" x14ac:dyDescent="0.35">
      <c r="H8049" s="711"/>
      <c r="I8049" s="711"/>
      <c r="J8049" s="711"/>
      <c r="K8049" s="711"/>
      <c r="L8049" s="711"/>
      <c r="Q8049" s="11"/>
      <c r="R8049" s="11"/>
      <c r="S8049" s="11"/>
      <c r="T8049" s="11"/>
    </row>
    <row r="8050" spans="8:20" x14ac:dyDescent="0.35">
      <c r="H8050" s="711"/>
      <c r="I8050" s="711"/>
      <c r="J8050" s="711"/>
      <c r="K8050" s="711"/>
      <c r="L8050" s="711"/>
      <c r="Q8050" s="11"/>
      <c r="R8050" s="11"/>
      <c r="S8050" s="11"/>
      <c r="T8050" s="11"/>
    </row>
    <row r="8051" spans="8:20" x14ac:dyDescent="0.35">
      <c r="H8051" s="711"/>
      <c r="I8051" s="711"/>
      <c r="J8051" s="711"/>
      <c r="K8051" s="711"/>
      <c r="L8051" s="711"/>
      <c r="Q8051" s="11"/>
      <c r="R8051" s="11"/>
      <c r="S8051" s="11"/>
      <c r="T8051" s="11"/>
    </row>
    <row r="8052" spans="8:20" x14ac:dyDescent="0.35">
      <c r="H8052" s="711"/>
      <c r="I8052" s="711"/>
      <c r="J8052" s="711"/>
      <c r="K8052" s="711"/>
      <c r="L8052" s="711"/>
      <c r="Q8052" s="11"/>
      <c r="R8052" s="11"/>
      <c r="S8052" s="11"/>
      <c r="T8052" s="11"/>
    </row>
    <row r="8053" spans="8:20" x14ac:dyDescent="0.35">
      <c r="H8053" s="711"/>
      <c r="I8053" s="711"/>
      <c r="J8053" s="711"/>
      <c r="K8053" s="711"/>
      <c r="L8053" s="711"/>
      <c r="Q8053" s="11"/>
      <c r="R8053" s="11"/>
      <c r="S8053" s="11"/>
      <c r="T8053" s="11"/>
    </row>
    <row r="8054" spans="8:20" x14ac:dyDescent="0.35">
      <c r="H8054" s="711"/>
      <c r="I8054" s="711"/>
      <c r="J8054" s="711"/>
      <c r="K8054" s="711"/>
      <c r="L8054" s="711"/>
      <c r="Q8054" s="11"/>
      <c r="R8054" s="11"/>
      <c r="S8054" s="11"/>
      <c r="T8054" s="11"/>
    </row>
    <row r="8055" spans="8:20" x14ac:dyDescent="0.35">
      <c r="H8055" s="711"/>
      <c r="I8055" s="711"/>
      <c r="J8055" s="711"/>
      <c r="K8055" s="711"/>
      <c r="L8055" s="711"/>
      <c r="Q8055" s="11"/>
      <c r="R8055" s="11"/>
      <c r="S8055" s="11"/>
      <c r="T8055" s="11"/>
    </row>
    <row r="8056" spans="8:20" x14ac:dyDescent="0.35">
      <c r="H8056" s="711"/>
      <c r="I8056" s="711"/>
      <c r="J8056" s="711"/>
      <c r="K8056" s="711"/>
      <c r="L8056" s="711"/>
      <c r="Q8056" s="11"/>
      <c r="R8056" s="11"/>
      <c r="S8056" s="11"/>
      <c r="T8056" s="11"/>
    </row>
    <row r="8057" spans="8:20" x14ac:dyDescent="0.35">
      <c r="H8057" s="711"/>
      <c r="I8057" s="711"/>
      <c r="J8057" s="711"/>
      <c r="K8057" s="711"/>
      <c r="L8057" s="711"/>
      <c r="Q8057" s="11"/>
      <c r="R8057" s="11"/>
      <c r="S8057" s="11"/>
      <c r="T8057" s="11"/>
    </row>
    <row r="8058" spans="8:20" x14ac:dyDescent="0.35">
      <c r="H8058" s="711"/>
      <c r="I8058" s="711"/>
      <c r="J8058" s="711"/>
      <c r="K8058" s="711"/>
      <c r="L8058" s="711"/>
      <c r="Q8058" s="11"/>
      <c r="R8058" s="11"/>
      <c r="S8058" s="11"/>
      <c r="T8058" s="11"/>
    </row>
    <row r="8059" spans="8:20" x14ac:dyDescent="0.35">
      <c r="H8059" s="711"/>
      <c r="I8059" s="711"/>
      <c r="J8059" s="711"/>
      <c r="K8059" s="711"/>
      <c r="L8059" s="711"/>
      <c r="Q8059" s="11"/>
      <c r="R8059" s="11"/>
      <c r="S8059" s="11"/>
      <c r="T8059" s="11"/>
    </row>
    <row r="8060" spans="8:20" x14ac:dyDescent="0.35">
      <c r="H8060" s="711"/>
      <c r="I8060" s="711"/>
      <c r="J8060" s="711"/>
      <c r="K8060" s="711"/>
      <c r="L8060" s="711"/>
      <c r="Q8060" s="11"/>
      <c r="R8060" s="11"/>
      <c r="S8060" s="11"/>
      <c r="T8060" s="11"/>
    </row>
    <row r="8061" spans="8:20" x14ac:dyDescent="0.35">
      <c r="H8061" s="711"/>
      <c r="I8061" s="711"/>
      <c r="J8061" s="711"/>
      <c r="K8061" s="711"/>
      <c r="L8061" s="711"/>
      <c r="Q8061" s="11"/>
      <c r="R8061" s="11"/>
      <c r="S8061" s="11"/>
      <c r="T8061" s="11"/>
    </row>
    <row r="8062" spans="8:20" x14ac:dyDescent="0.35">
      <c r="H8062" s="711"/>
      <c r="I8062" s="711"/>
      <c r="J8062" s="711"/>
      <c r="K8062" s="711"/>
      <c r="L8062" s="711"/>
      <c r="Q8062" s="11"/>
      <c r="R8062" s="11"/>
      <c r="S8062" s="11"/>
      <c r="T8062" s="11"/>
    </row>
    <row r="8063" spans="8:20" x14ac:dyDescent="0.35">
      <c r="H8063" s="711"/>
      <c r="I8063" s="711"/>
      <c r="J8063" s="711"/>
      <c r="K8063" s="711"/>
      <c r="L8063" s="711"/>
      <c r="Q8063" s="11"/>
      <c r="R8063" s="11"/>
      <c r="S8063" s="11"/>
      <c r="T8063" s="11"/>
    </row>
    <row r="8064" spans="8:20" x14ac:dyDescent="0.35">
      <c r="H8064" s="711"/>
      <c r="I8064" s="711"/>
      <c r="J8064" s="711"/>
      <c r="K8064" s="711"/>
      <c r="L8064" s="711"/>
      <c r="Q8064" s="11"/>
      <c r="R8064" s="11"/>
      <c r="S8064" s="11"/>
      <c r="T8064" s="11"/>
    </row>
    <row r="8065" spans="8:20" x14ac:dyDescent="0.35">
      <c r="H8065" s="711"/>
      <c r="I8065" s="711"/>
      <c r="J8065" s="711"/>
      <c r="K8065" s="711"/>
      <c r="L8065" s="711"/>
      <c r="Q8065" s="11"/>
      <c r="R8065" s="11"/>
      <c r="S8065" s="11"/>
      <c r="T8065" s="11"/>
    </row>
    <row r="8066" spans="8:20" x14ac:dyDescent="0.35">
      <c r="H8066" s="711"/>
      <c r="I8066" s="711"/>
      <c r="J8066" s="711"/>
      <c r="K8066" s="711"/>
      <c r="L8066" s="711"/>
      <c r="Q8066" s="11"/>
      <c r="R8066" s="11"/>
      <c r="S8066" s="11"/>
      <c r="T8066" s="11"/>
    </row>
    <row r="8067" spans="8:20" x14ac:dyDescent="0.35">
      <c r="H8067" s="711"/>
      <c r="I8067" s="711"/>
      <c r="J8067" s="711"/>
      <c r="K8067" s="711"/>
      <c r="L8067" s="711"/>
      <c r="Q8067" s="11"/>
      <c r="R8067" s="11"/>
      <c r="S8067" s="11"/>
      <c r="T8067" s="11"/>
    </row>
    <row r="8068" spans="8:20" x14ac:dyDescent="0.35">
      <c r="H8068" s="711"/>
      <c r="I8068" s="711"/>
      <c r="J8068" s="711"/>
      <c r="K8068" s="711"/>
      <c r="L8068" s="711"/>
      <c r="Q8068" s="11"/>
      <c r="R8068" s="11"/>
      <c r="S8068" s="11"/>
      <c r="T8068" s="11"/>
    </row>
    <row r="8069" spans="8:20" x14ac:dyDescent="0.35">
      <c r="H8069" s="711"/>
      <c r="I8069" s="711"/>
      <c r="J8069" s="711"/>
      <c r="K8069" s="711"/>
      <c r="L8069" s="711"/>
      <c r="Q8069" s="11"/>
      <c r="R8069" s="11"/>
      <c r="S8069" s="11"/>
      <c r="T8069" s="11"/>
    </row>
    <row r="8070" spans="8:20" x14ac:dyDescent="0.35">
      <c r="H8070" s="711"/>
      <c r="I8070" s="711"/>
      <c r="J8070" s="711"/>
      <c r="K8070" s="711"/>
      <c r="L8070" s="711"/>
      <c r="Q8070" s="11"/>
      <c r="R8070" s="11"/>
      <c r="S8070" s="11"/>
      <c r="T8070" s="11"/>
    </row>
    <row r="8071" spans="8:20" x14ac:dyDescent="0.35">
      <c r="H8071" s="711"/>
      <c r="I8071" s="711"/>
      <c r="J8071" s="711"/>
      <c r="K8071" s="711"/>
      <c r="L8071" s="711"/>
      <c r="Q8071" s="11"/>
      <c r="R8071" s="11"/>
      <c r="S8071" s="11"/>
      <c r="T8071" s="11"/>
    </row>
    <row r="8072" spans="8:20" x14ac:dyDescent="0.35">
      <c r="H8072" s="711"/>
      <c r="I8072" s="711"/>
      <c r="J8072" s="711"/>
      <c r="K8072" s="711"/>
      <c r="L8072" s="711"/>
      <c r="Q8072" s="11"/>
      <c r="R8072" s="11"/>
      <c r="S8072" s="11"/>
      <c r="T8072" s="11"/>
    </row>
    <row r="8073" spans="8:20" x14ac:dyDescent="0.35">
      <c r="H8073" s="711"/>
      <c r="I8073" s="711"/>
      <c r="J8073" s="711"/>
      <c r="K8073" s="711"/>
      <c r="L8073" s="711"/>
      <c r="Q8073" s="11"/>
      <c r="R8073" s="11"/>
      <c r="S8073" s="11"/>
      <c r="T8073" s="11"/>
    </row>
    <row r="8074" spans="8:20" x14ac:dyDescent="0.35">
      <c r="H8074" s="711"/>
      <c r="I8074" s="711"/>
      <c r="J8074" s="711"/>
      <c r="K8074" s="711"/>
      <c r="L8074" s="711"/>
      <c r="Q8074" s="11"/>
      <c r="R8074" s="11"/>
      <c r="S8074" s="11"/>
      <c r="T8074" s="11"/>
    </row>
    <row r="8075" spans="8:20" x14ac:dyDescent="0.35">
      <c r="H8075" s="711"/>
      <c r="I8075" s="711"/>
      <c r="J8075" s="711"/>
      <c r="K8075" s="711"/>
      <c r="L8075" s="711"/>
      <c r="Q8075" s="11"/>
      <c r="R8075" s="11"/>
      <c r="S8075" s="11"/>
      <c r="T8075" s="11"/>
    </row>
    <row r="8076" spans="8:20" x14ac:dyDescent="0.35">
      <c r="H8076" s="711"/>
      <c r="I8076" s="711"/>
      <c r="J8076" s="711"/>
      <c r="K8076" s="711"/>
      <c r="L8076" s="711"/>
      <c r="Q8076" s="11"/>
      <c r="R8076" s="11"/>
      <c r="S8076" s="11"/>
      <c r="T8076" s="11"/>
    </row>
    <row r="8077" spans="8:20" x14ac:dyDescent="0.35">
      <c r="H8077" s="711"/>
      <c r="I8077" s="711"/>
      <c r="J8077" s="711"/>
      <c r="K8077" s="711"/>
      <c r="L8077" s="711"/>
      <c r="Q8077" s="11"/>
      <c r="R8077" s="11"/>
      <c r="S8077" s="11"/>
      <c r="T8077" s="11"/>
    </row>
    <row r="8078" spans="8:20" x14ac:dyDescent="0.35">
      <c r="H8078" s="711"/>
      <c r="I8078" s="711"/>
      <c r="J8078" s="711"/>
      <c r="K8078" s="711"/>
      <c r="L8078" s="711"/>
      <c r="Q8078" s="11"/>
      <c r="R8078" s="11"/>
      <c r="S8078" s="11"/>
      <c r="T8078" s="11"/>
    </row>
    <row r="8079" spans="8:20" x14ac:dyDescent="0.35">
      <c r="H8079" s="711"/>
      <c r="I8079" s="711"/>
      <c r="J8079" s="711"/>
      <c r="K8079" s="711"/>
      <c r="L8079" s="711"/>
      <c r="Q8079" s="11"/>
      <c r="R8079" s="11"/>
      <c r="S8079" s="11"/>
      <c r="T8079" s="11"/>
    </row>
    <row r="8080" spans="8:20" x14ac:dyDescent="0.35">
      <c r="H8080" s="711"/>
      <c r="I8080" s="711"/>
      <c r="J8080" s="711"/>
      <c r="K8080" s="711"/>
      <c r="L8080" s="711"/>
      <c r="Q8080" s="11"/>
      <c r="R8080" s="11"/>
      <c r="S8080" s="11"/>
      <c r="T8080" s="11"/>
    </row>
    <row r="8081" spans="8:20" x14ac:dyDescent="0.35">
      <c r="H8081" s="711"/>
      <c r="I8081" s="711"/>
      <c r="J8081" s="711"/>
      <c r="K8081" s="711"/>
      <c r="L8081" s="711"/>
      <c r="Q8081" s="11"/>
      <c r="R8081" s="11"/>
      <c r="S8081" s="11"/>
      <c r="T8081" s="11"/>
    </row>
    <row r="8082" spans="8:20" x14ac:dyDescent="0.35">
      <c r="H8082" s="711"/>
      <c r="I8082" s="711"/>
      <c r="J8082" s="711"/>
      <c r="K8082" s="711"/>
      <c r="L8082" s="711"/>
      <c r="Q8082" s="11"/>
      <c r="R8082" s="11"/>
      <c r="S8082" s="11"/>
      <c r="T8082" s="11"/>
    </row>
    <row r="8083" spans="8:20" x14ac:dyDescent="0.35">
      <c r="H8083" s="711"/>
      <c r="I8083" s="711"/>
      <c r="J8083" s="711"/>
      <c r="K8083" s="711"/>
      <c r="L8083" s="711"/>
      <c r="Q8083" s="11"/>
      <c r="R8083" s="11"/>
      <c r="S8083" s="11"/>
      <c r="T8083" s="11"/>
    </row>
    <row r="8084" spans="8:20" x14ac:dyDescent="0.35">
      <c r="H8084" s="711"/>
      <c r="I8084" s="711"/>
      <c r="J8084" s="711"/>
      <c r="K8084" s="711"/>
      <c r="L8084" s="711"/>
      <c r="Q8084" s="11"/>
      <c r="R8084" s="11"/>
      <c r="S8084" s="11"/>
      <c r="T8084" s="11"/>
    </row>
    <row r="8085" spans="8:20" x14ac:dyDescent="0.35">
      <c r="H8085" s="711"/>
      <c r="I8085" s="711"/>
      <c r="J8085" s="711"/>
      <c r="K8085" s="711"/>
      <c r="L8085" s="711"/>
      <c r="Q8085" s="11"/>
      <c r="R8085" s="11"/>
      <c r="S8085" s="11"/>
      <c r="T8085" s="11"/>
    </row>
    <row r="8086" spans="8:20" x14ac:dyDescent="0.35">
      <c r="H8086" s="711"/>
      <c r="I8086" s="711"/>
      <c r="J8086" s="711"/>
      <c r="K8086" s="711"/>
      <c r="L8086" s="711"/>
      <c r="Q8086" s="11"/>
      <c r="R8086" s="11"/>
      <c r="S8086" s="11"/>
      <c r="T8086" s="11"/>
    </row>
    <row r="8087" spans="8:20" x14ac:dyDescent="0.35">
      <c r="H8087" s="711"/>
      <c r="I8087" s="711"/>
      <c r="J8087" s="711"/>
      <c r="K8087" s="711"/>
      <c r="L8087" s="711"/>
      <c r="Q8087" s="11"/>
      <c r="R8087" s="11"/>
      <c r="S8087" s="11"/>
      <c r="T8087" s="11"/>
    </row>
    <row r="8088" spans="8:20" x14ac:dyDescent="0.35">
      <c r="H8088" s="711"/>
      <c r="I8088" s="711"/>
      <c r="J8088" s="711"/>
      <c r="K8088" s="711"/>
      <c r="L8088" s="711"/>
      <c r="Q8088" s="11"/>
      <c r="R8088" s="11"/>
      <c r="S8088" s="11"/>
      <c r="T8088" s="11"/>
    </row>
    <row r="8089" spans="8:20" x14ac:dyDescent="0.35">
      <c r="H8089" s="711"/>
      <c r="I8089" s="711"/>
      <c r="J8089" s="711"/>
      <c r="K8089" s="711"/>
      <c r="L8089" s="711"/>
      <c r="Q8089" s="11"/>
      <c r="R8089" s="11"/>
      <c r="S8089" s="11"/>
      <c r="T8089" s="11"/>
    </row>
    <row r="8090" spans="8:20" x14ac:dyDescent="0.35">
      <c r="H8090" s="711"/>
      <c r="I8090" s="711"/>
      <c r="J8090" s="711"/>
      <c r="K8090" s="711"/>
      <c r="L8090" s="711"/>
      <c r="Q8090" s="11"/>
      <c r="R8090" s="11"/>
      <c r="S8090" s="11"/>
      <c r="T8090" s="11"/>
    </row>
    <row r="8091" spans="8:20" x14ac:dyDescent="0.35">
      <c r="H8091" s="711"/>
      <c r="I8091" s="711"/>
      <c r="J8091" s="711"/>
      <c r="K8091" s="711"/>
      <c r="L8091" s="711"/>
      <c r="Q8091" s="11"/>
      <c r="R8091" s="11"/>
      <c r="S8091" s="11"/>
      <c r="T8091" s="11"/>
    </row>
    <row r="8092" spans="8:20" x14ac:dyDescent="0.35">
      <c r="H8092" s="711"/>
      <c r="I8092" s="711"/>
      <c r="J8092" s="711"/>
      <c r="K8092" s="711"/>
      <c r="L8092" s="711"/>
      <c r="Q8092" s="11"/>
      <c r="R8092" s="11"/>
      <c r="S8092" s="11"/>
      <c r="T8092" s="11"/>
    </row>
    <row r="8093" spans="8:20" x14ac:dyDescent="0.35">
      <c r="H8093" s="711"/>
      <c r="I8093" s="711"/>
      <c r="J8093" s="711"/>
      <c r="K8093" s="711"/>
      <c r="L8093" s="711"/>
      <c r="Q8093" s="11"/>
      <c r="R8093" s="11"/>
      <c r="S8093" s="11"/>
      <c r="T8093" s="11"/>
    </row>
    <row r="8094" spans="8:20" x14ac:dyDescent="0.35">
      <c r="H8094" s="711"/>
      <c r="I8094" s="711"/>
      <c r="J8094" s="711"/>
      <c r="K8094" s="711"/>
      <c r="L8094" s="711"/>
      <c r="Q8094" s="11"/>
      <c r="R8094" s="11"/>
      <c r="S8094" s="11"/>
      <c r="T8094" s="11"/>
    </row>
    <row r="8095" spans="8:20" x14ac:dyDescent="0.35">
      <c r="H8095" s="711"/>
      <c r="I8095" s="711"/>
      <c r="J8095" s="711"/>
      <c r="K8095" s="711"/>
      <c r="L8095" s="711"/>
      <c r="Q8095" s="11"/>
      <c r="R8095" s="11"/>
      <c r="S8095" s="11"/>
      <c r="T8095" s="11"/>
    </row>
    <row r="8096" spans="8:20" x14ac:dyDescent="0.35">
      <c r="H8096" s="711"/>
      <c r="I8096" s="711"/>
      <c r="J8096" s="711"/>
      <c r="K8096" s="711"/>
      <c r="L8096" s="711"/>
      <c r="Q8096" s="11"/>
      <c r="R8096" s="11"/>
      <c r="S8096" s="11"/>
      <c r="T8096" s="11"/>
    </row>
    <row r="8097" spans="8:20" x14ac:dyDescent="0.35">
      <c r="H8097" s="711"/>
      <c r="I8097" s="711"/>
      <c r="J8097" s="711"/>
      <c r="K8097" s="711"/>
      <c r="L8097" s="711"/>
      <c r="Q8097" s="11"/>
      <c r="R8097" s="11"/>
      <c r="S8097" s="11"/>
      <c r="T8097" s="11"/>
    </row>
    <row r="8098" spans="8:20" x14ac:dyDescent="0.35">
      <c r="H8098" s="711"/>
      <c r="I8098" s="711"/>
      <c r="J8098" s="711"/>
      <c r="K8098" s="711"/>
      <c r="L8098" s="711"/>
      <c r="Q8098" s="11"/>
      <c r="R8098" s="11"/>
      <c r="S8098" s="11"/>
      <c r="T8098" s="11"/>
    </row>
    <row r="8099" spans="8:20" x14ac:dyDescent="0.35">
      <c r="H8099" s="711"/>
      <c r="I8099" s="711"/>
      <c r="J8099" s="711"/>
      <c r="K8099" s="711"/>
      <c r="L8099" s="711"/>
      <c r="Q8099" s="11"/>
      <c r="R8099" s="11"/>
      <c r="S8099" s="11"/>
      <c r="T8099" s="11"/>
    </row>
    <row r="8100" spans="8:20" x14ac:dyDescent="0.35">
      <c r="H8100" s="711"/>
      <c r="I8100" s="711"/>
      <c r="J8100" s="711"/>
      <c r="K8100" s="711"/>
      <c r="L8100" s="711"/>
      <c r="Q8100" s="11"/>
      <c r="R8100" s="11"/>
      <c r="S8100" s="11"/>
      <c r="T8100" s="11"/>
    </row>
    <row r="8101" spans="8:20" x14ac:dyDescent="0.35">
      <c r="H8101" s="711"/>
      <c r="I8101" s="711"/>
      <c r="J8101" s="711"/>
      <c r="K8101" s="711"/>
      <c r="L8101" s="711"/>
      <c r="Q8101" s="11"/>
      <c r="R8101" s="11"/>
      <c r="S8101" s="11"/>
      <c r="T8101" s="11"/>
    </row>
    <row r="8102" spans="8:20" x14ac:dyDescent="0.35">
      <c r="H8102" s="711"/>
      <c r="I8102" s="711"/>
      <c r="J8102" s="711"/>
      <c r="K8102" s="711"/>
      <c r="L8102" s="711"/>
      <c r="Q8102" s="11"/>
      <c r="R8102" s="11"/>
      <c r="S8102" s="11"/>
      <c r="T8102" s="11"/>
    </row>
    <row r="8103" spans="8:20" x14ac:dyDescent="0.35">
      <c r="H8103" s="711"/>
      <c r="I8103" s="711"/>
      <c r="J8103" s="711"/>
      <c r="K8103" s="711"/>
      <c r="L8103" s="711"/>
      <c r="Q8103" s="11"/>
      <c r="R8103" s="11"/>
      <c r="S8103" s="11"/>
      <c r="T8103" s="11"/>
    </row>
    <row r="8104" spans="8:20" x14ac:dyDescent="0.35">
      <c r="H8104" s="711"/>
      <c r="I8104" s="711"/>
      <c r="J8104" s="711"/>
      <c r="K8104" s="711"/>
      <c r="L8104" s="711"/>
      <c r="Q8104" s="11"/>
      <c r="R8104" s="11"/>
      <c r="S8104" s="11"/>
      <c r="T8104" s="11"/>
    </row>
    <row r="8105" spans="8:20" x14ac:dyDescent="0.35">
      <c r="H8105" s="711"/>
      <c r="I8105" s="711"/>
      <c r="J8105" s="711"/>
      <c r="K8105" s="711"/>
      <c r="L8105" s="711"/>
      <c r="Q8105" s="11"/>
      <c r="R8105" s="11"/>
      <c r="S8105" s="11"/>
      <c r="T8105" s="11"/>
    </row>
    <row r="8106" spans="8:20" x14ac:dyDescent="0.35">
      <c r="H8106" s="711"/>
      <c r="I8106" s="711"/>
      <c r="J8106" s="711"/>
      <c r="K8106" s="711"/>
      <c r="L8106" s="711"/>
      <c r="Q8106" s="11"/>
      <c r="R8106" s="11"/>
      <c r="S8106" s="11"/>
      <c r="T8106" s="11"/>
    </row>
    <row r="8107" spans="8:20" x14ac:dyDescent="0.35">
      <c r="H8107" s="711"/>
      <c r="I8107" s="711"/>
      <c r="J8107" s="711"/>
      <c r="K8107" s="711"/>
      <c r="L8107" s="711"/>
      <c r="Q8107" s="11"/>
      <c r="R8107" s="11"/>
      <c r="S8107" s="11"/>
      <c r="T8107" s="11"/>
    </row>
    <row r="8108" spans="8:20" x14ac:dyDescent="0.35">
      <c r="H8108" s="711"/>
      <c r="I8108" s="711"/>
      <c r="J8108" s="711"/>
      <c r="K8108" s="711"/>
      <c r="L8108" s="711"/>
      <c r="Q8108" s="11"/>
      <c r="R8108" s="11"/>
      <c r="S8108" s="11"/>
      <c r="T8108" s="11"/>
    </row>
    <row r="8109" spans="8:20" x14ac:dyDescent="0.35">
      <c r="H8109" s="711"/>
      <c r="I8109" s="711"/>
      <c r="J8109" s="711"/>
      <c r="K8109" s="711"/>
      <c r="L8109" s="711"/>
      <c r="Q8109" s="11"/>
      <c r="R8109" s="11"/>
      <c r="S8109" s="11"/>
      <c r="T8109" s="11"/>
    </row>
    <row r="8110" spans="8:20" x14ac:dyDescent="0.35">
      <c r="H8110" s="711"/>
      <c r="I8110" s="711"/>
      <c r="J8110" s="711"/>
      <c r="K8110" s="711"/>
      <c r="L8110" s="711"/>
      <c r="Q8110" s="11"/>
      <c r="R8110" s="11"/>
      <c r="S8110" s="11"/>
      <c r="T8110" s="11"/>
    </row>
    <row r="8111" spans="8:20" x14ac:dyDescent="0.35">
      <c r="H8111" s="711"/>
      <c r="I8111" s="711"/>
      <c r="J8111" s="711"/>
      <c r="K8111" s="711"/>
      <c r="L8111" s="711"/>
      <c r="Q8111" s="11"/>
      <c r="R8111" s="11"/>
      <c r="S8111" s="11"/>
      <c r="T8111" s="11"/>
    </row>
    <row r="8112" spans="8:20" x14ac:dyDescent="0.35">
      <c r="H8112" s="711"/>
      <c r="I8112" s="711"/>
      <c r="J8112" s="711"/>
      <c r="K8112" s="711"/>
      <c r="L8112" s="711"/>
      <c r="Q8112" s="11"/>
      <c r="R8112" s="11"/>
      <c r="S8112" s="11"/>
      <c r="T8112" s="11"/>
    </row>
    <row r="8113" spans="8:20" x14ac:dyDescent="0.35">
      <c r="H8113" s="711"/>
      <c r="I8113" s="711"/>
      <c r="J8113" s="711"/>
      <c r="K8113" s="711"/>
      <c r="L8113" s="711"/>
      <c r="Q8113" s="11"/>
      <c r="R8113" s="11"/>
      <c r="S8113" s="11"/>
      <c r="T8113" s="11"/>
    </row>
    <row r="8114" spans="8:20" x14ac:dyDescent="0.35">
      <c r="H8114" s="711"/>
      <c r="I8114" s="711"/>
      <c r="J8114" s="711"/>
      <c r="K8114" s="711"/>
      <c r="L8114" s="711"/>
      <c r="Q8114" s="11"/>
      <c r="R8114" s="11"/>
      <c r="S8114" s="11"/>
      <c r="T8114" s="11"/>
    </row>
    <row r="8115" spans="8:20" x14ac:dyDescent="0.35">
      <c r="H8115" s="711"/>
      <c r="I8115" s="711"/>
      <c r="J8115" s="711"/>
      <c r="K8115" s="711"/>
      <c r="L8115" s="711"/>
      <c r="Q8115" s="11"/>
      <c r="R8115" s="11"/>
      <c r="S8115" s="11"/>
      <c r="T8115" s="11"/>
    </row>
    <row r="8116" spans="8:20" x14ac:dyDescent="0.35">
      <c r="H8116" s="711"/>
      <c r="I8116" s="711"/>
      <c r="J8116" s="711"/>
      <c r="K8116" s="711"/>
      <c r="L8116" s="711"/>
      <c r="Q8116" s="11"/>
      <c r="R8116" s="11"/>
      <c r="S8116" s="11"/>
      <c r="T8116" s="11"/>
    </row>
    <row r="8117" spans="8:20" x14ac:dyDescent="0.35">
      <c r="H8117" s="711"/>
      <c r="I8117" s="711"/>
      <c r="J8117" s="711"/>
      <c r="K8117" s="711"/>
      <c r="L8117" s="711"/>
      <c r="Q8117" s="11"/>
      <c r="R8117" s="11"/>
      <c r="S8117" s="11"/>
      <c r="T8117" s="11"/>
    </row>
    <row r="8118" spans="8:20" x14ac:dyDescent="0.35">
      <c r="H8118" s="711"/>
      <c r="I8118" s="711"/>
      <c r="J8118" s="711"/>
      <c r="K8118" s="711"/>
      <c r="L8118" s="711"/>
      <c r="Q8118" s="11"/>
      <c r="R8118" s="11"/>
      <c r="S8118" s="11"/>
      <c r="T8118" s="11"/>
    </row>
    <row r="8119" spans="8:20" x14ac:dyDescent="0.35">
      <c r="H8119" s="711"/>
      <c r="I8119" s="711"/>
      <c r="J8119" s="711"/>
      <c r="K8119" s="711"/>
      <c r="L8119" s="711"/>
      <c r="Q8119" s="11"/>
      <c r="R8119" s="11"/>
      <c r="S8119" s="11"/>
      <c r="T8119" s="11"/>
    </row>
    <row r="8120" spans="8:20" x14ac:dyDescent="0.35">
      <c r="H8120" s="711"/>
      <c r="I8120" s="711"/>
      <c r="J8120" s="711"/>
      <c r="K8120" s="711"/>
      <c r="L8120" s="711"/>
      <c r="Q8120" s="11"/>
      <c r="R8120" s="11"/>
      <c r="S8120" s="11"/>
      <c r="T8120" s="11"/>
    </row>
    <row r="8121" spans="8:20" x14ac:dyDescent="0.35">
      <c r="H8121" s="711"/>
      <c r="I8121" s="711"/>
      <c r="J8121" s="711"/>
      <c r="K8121" s="711"/>
      <c r="L8121" s="711"/>
      <c r="Q8121" s="11"/>
      <c r="R8121" s="11"/>
      <c r="S8121" s="11"/>
      <c r="T8121" s="11"/>
    </row>
    <row r="8122" spans="8:20" x14ac:dyDescent="0.35">
      <c r="H8122" s="711"/>
      <c r="I8122" s="711"/>
      <c r="J8122" s="711"/>
      <c r="K8122" s="711"/>
      <c r="L8122" s="711"/>
      <c r="Q8122" s="11"/>
      <c r="R8122" s="11"/>
      <c r="S8122" s="11"/>
      <c r="T8122" s="11"/>
    </row>
    <row r="8123" spans="8:20" x14ac:dyDescent="0.35">
      <c r="H8123" s="711"/>
      <c r="I8123" s="711"/>
      <c r="J8123" s="711"/>
      <c r="K8123" s="711"/>
      <c r="L8123" s="711"/>
      <c r="Q8123" s="11"/>
      <c r="R8123" s="11"/>
      <c r="S8123" s="11"/>
      <c r="T8123" s="11"/>
    </row>
    <row r="8124" spans="8:20" x14ac:dyDescent="0.35">
      <c r="H8124" s="711"/>
      <c r="I8124" s="711"/>
      <c r="J8124" s="711"/>
      <c r="K8124" s="711"/>
      <c r="L8124" s="711"/>
      <c r="Q8124" s="11"/>
      <c r="R8124" s="11"/>
      <c r="S8124" s="11"/>
      <c r="T8124" s="11"/>
    </row>
    <row r="8125" spans="8:20" x14ac:dyDescent="0.35">
      <c r="H8125" s="711"/>
      <c r="I8125" s="711"/>
      <c r="J8125" s="711"/>
      <c r="K8125" s="711"/>
      <c r="L8125" s="711"/>
      <c r="Q8125" s="11"/>
      <c r="R8125" s="11"/>
      <c r="S8125" s="11"/>
      <c r="T8125" s="11"/>
    </row>
    <row r="8126" spans="8:20" x14ac:dyDescent="0.35">
      <c r="H8126" s="711"/>
      <c r="I8126" s="711"/>
      <c r="J8126" s="711"/>
      <c r="K8126" s="711"/>
      <c r="L8126" s="711"/>
      <c r="Q8126" s="11"/>
      <c r="R8126" s="11"/>
      <c r="S8126" s="11"/>
      <c r="T8126" s="11"/>
    </row>
    <row r="8127" spans="8:20" x14ac:dyDescent="0.35">
      <c r="H8127" s="711"/>
      <c r="I8127" s="711"/>
      <c r="J8127" s="711"/>
      <c r="K8127" s="711"/>
      <c r="L8127" s="711"/>
      <c r="Q8127" s="11"/>
      <c r="R8127" s="11"/>
      <c r="S8127" s="11"/>
      <c r="T8127" s="11"/>
    </row>
    <row r="8128" spans="8:20" x14ac:dyDescent="0.35">
      <c r="H8128" s="711"/>
      <c r="I8128" s="711"/>
      <c r="J8128" s="711"/>
      <c r="K8128" s="711"/>
      <c r="L8128" s="711"/>
      <c r="Q8128" s="11"/>
      <c r="R8128" s="11"/>
      <c r="S8128" s="11"/>
      <c r="T8128" s="11"/>
    </row>
    <row r="8129" spans="8:20" x14ac:dyDescent="0.35">
      <c r="H8129" s="711"/>
      <c r="I8129" s="711"/>
      <c r="J8129" s="711"/>
      <c r="K8129" s="711"/>
      <c r="L8129" s="711"/>
      <c r="Q8129" s="11"/>
      <c r="R8129" s="11"/>
      <c r="S8129" s="11"/>
      <c r="T8129" s="11"/>
    </row>
    <row r="8130" spans="8:20" x14ac:dyDescent="0.35">
      <c r="H8130" s="711"/>
      <c r="I8130" s="711"/>
      <c r="J8130" s="711"/>
      <c r="K8130" s="711"/>
      <c r="L8130" s="711"/>
      <c r="Q8130" s="11"/>
      <c r="R8130" s="11"/>
      <c r="S8130" s="11"/>
      <c r="T8130" s="11"/>
    </row>
    <row r="8131" spans="8:20" x14ac:dyDescent="0.35">
      <c r="H8131" s="711"/>
      <c r="I8131" s="711"/>
      <c r="J8131" s="711"/>
      <c r="K8131" s="711"/>
      <c r="L8131" s="711"/>
      <c r="Q8131" s="11"/>
      <c r="R8131" s="11"/>
      <c r="S8131" s="11"/>
      <c r="T8131" s="11"/>
    </row>
    <row r="8132" spans="8:20" x14ac:dyDescent="0.35">
      <c r="H8132" s="711"/>
      <c r="I8132" s="711"/>
      <c r="J8132" s="711"/>
      <c r="K8132" s="711"/>
      <c r="L8132" s="711"/>
      <c r="Q8132" s="11"/>
      <c r="R8132" s="11"/>
      <c r="S8132" s="11"/>
      <c r="T8132" s="11"/>
    </row>
    <row r="8133" spans="8:20" x14ac:dyDescent="0.35">
      <c r="H8133" s="711"/>
      <c r="I8133" s="711"/>
      <c r="J8133" s="711"/>
      <c r="K8133" s="711"/>
      <c r="L8133" s="711"/>
      <c r="Q8133" s="11"/>
      <c r="R8133" s="11"/>
      <c r="S8133" s="11"/>
      <c r="T8133" s="11"/>
    </row>
    <row r="8134" spans="8:20" x14ac:dyDescent="0.35">
      <c r="H8134" s="711"/>
      <c r="I8134" s="711"/>
      <c r="J8134" s="711"/>
      <c r="K8134" s="711"/>
      <c r="L8134" s="711"/>
      <c r="Q8134" s="11"/>
      <c r="R8134" s="11"/>
      <c r="S8134" s="11"/>
      <c r="T8134" s="11"/>
    </row>
    <row r="8135" spans="8:20" x14ac:dyDescent="0.35">
      <c r="H8135" s="711"/>
      <c r="I8135" s="711"/>
      <c r="J8135" s="711"/>
      <c r="K8135" s="711"/>
      <c r="L8135" s="711"/>
      <c r="Q8135" s="11"/>
      <c r="R8135" s="11"/>
      <c r="S8135" s="11"/>
      <c r="T8135" s="11"/>
    </row>
    <row r="8136" spans="8:20" x14ac:dyDescent="0.35">
      <c r="H8136" s="711"/>
      <c r="I8136" s="711"/>
      <c r="J8136" s="711"/>
      <c r="K8136" s="711"/>
      <c r="L8136" s="711"/>
      <c r="Q8136" s="11"/>
      <c r="R8136" s="11"/>
      <c r="S8136" s="11"/>
      <c r="T8136" s="11"/>
    </row>
    <row r="8137" spans="8:20" x14ac:dyDescent="0.35">
      <c r="H8137" s="711"/>
      <c r="I8137" s="711"/>
      <c r="J8137" s="711"/>
      <c r="K8137" s="711"/>
      <c r="L8137" s="711"/>
      <c r="Q8137" s="11"/>
      <c r="R8137" s="11"/>
      <c r="S8137" s="11"/>
      <c r="T8137" s="11"/>
    </row>
    <row r="8138" spans="8:20" x14ac:dyDescent="0.35">
      <c r="H8138" s="711"/>
      <c r="I8138" s="711"/>
      <c r="J8138" s="711"/>
      <c r="K8138" s="711"/>
      <c r="L8138" s="711"/>
      <c r="Q8138" s="11"/>
      <c r="R8138" s="11"/>
      <c r="S8138" s="11"/>
      <c r="T8138" s="11"/>
    </row>
    <row r="8139" spans="8:20" x14ac:dyDescent="0.35">
      <c r="H8139" s="711"/>
      <c r="I8139" s="711"/>
      <c r="J8139" s="711"/>
      <c r="K8139" s="711"/>
      <c r="L8139" s="711"/>
      <c r="Q8139" s="11"/>
      <c r="R8139" s="11"/>
      <c r="S8139" s="11"/>
      <c r="T8139" s="11"/>
    </row>
    <row r="8140" spans="8:20" x14ac:dyDescent="0.35">
      <c r="H8140" s="711"/>
      <c r="I8140" s="711"/>
      <c r="J8140" s="711"/>
      <c r="K8140" s="711"/>
      <c r="L8140" s="711"/>
      <c r="Q8140" s="11"/>
      <c r="R8140" s="11"/>
      <c r="S8140" s="11"/>
      <c r="T8140" s="11"/>
    </row>
    <row r="8141" spans="8:20" x14ac:dyDescent="0.35">
      <c r="H8141" s="711"/>
      <c r="I8141" s="711"/>
      <c r="J8141" s="711"/>
      <c r="K8141" s="711"/>
      <c r="L8141" s="711"/>
      <c r="Q8141" s="11"/>
      <c r="R8141" s="11"/>
      <c r="S8141" s="11"/>
      <c r="T8141" s="11"/>
    </row>
    <row r="8142" spans="8:20" x14ac:dyDescent="0.35">
      <c r="H8142" s="711"/>
      <c r="I8142" s="711"/>
      <c r="J8142" s="711"/>
      <c r="K8142" s="711"/>
      <c r="L8142" s="711"/>
      <c r="Q8142" s="11"/>
      <c r="R8142" s="11"/>
      <c r="S8142" s="11"/>
      <c r="T8142" s="11"/>
    </row>
    <row r="8143" spans="8:20" x14ac:dyDescent="0.35">
      <c r="H8143" s="711"/>
      <c r="I8143" s="711"/>
      <c r="J8143" s="711"/>
      <c r="K8143" s="711"/>
      <c r="L8143" s="711"/>
      <c r="Q8143" s="11"/>
      <c r="R8143" s="11"/>
      <c r="S8143" s="11"/>
      <c r="T8143" s="11"/>
    </row>
    <row r="8144" spans="8:20" x14ac:dyDescent="0.35">
      <c r="H8144" s="711"/>
      <c r="I8144" s="711"/>
      <c r="J8144" s="711"/>
      <c r="K8144" s="711"/>
      <c r="L8144" s="711"/>
      <c r="Q8144" s="11"/>
      <c r="R8144" s="11"/>
      <c r="S8144" s="11"/>
      <c r="T8144" s="11"/>
    </row>
    <row r="8145" spans="8:20" x14ac:dyDescent="0.35">
      <c r="H8145" s="711"/>
      <c r="I8145" s="711"/>
      <c r="J8145" s="711"/>
      <c r="K8145" s="711"/>
      <c r="L8145" s="711"/>
      <c r="Q8145" s="11"/>
      <c r="R8145" s="11"/>
      <c r="S8145" s="11"/>
      <c r="T8145" s="11"/>
    </row>
    <row r="8146" spans="8:20" x14ac:dyDescent="0.35">
      <c r="H8146" s="711"/>
      <c r="I8146" s="711"/>
      <c r="J8146" s="711"/>
      <c r="K8146" s="711"/>
      <c r="L8146" s="711"/>
      <c r="Q8146" s="11"/>
      <c r="R8146" s="11"/>
      <c r="S8146" s="11"/>
      <c r="T8146" s="11"/>
    </row>
    <row r="8147" spans="8:20" x14ac:dyDescent="0.35">
      <c r="H8147" s="711"/>
      <c r="I8147" s="711"/>
      <c r="J8147" s="711"/>
      <c r="K8147" s="711"/>
      <c r="L8147" s="711"/>
      <c r="Q8147" s="11"/>
      <c r="R8147" s="11"/>
      <c r="S8147" s="11"/>
      <c r="T8147" s="11"/>
    </row>
    <row r="8148" spans="8:20" x14ac:dyDescent="0.35">
      <c r="H8148" s="711"/>
      <c r="I8148" s="711"/>
      <c r="J8148" s="711"/>
      <c r="K8148" s="711"/>
      <c r="L8148" s="711"/>
      <c r="Q8148" s="11"/>
      <c r="R8148" s="11"/>
      <c r="S8148" s="11"/>
      <c r="T8148" s="11"/>
    </row>
    <row r="8149" spans="8:20" x14ac:dyDescent="0.35">
      <c r="H8149" s="711"/>
      <c r="I8149" s="711"/>
      <c r="J8149" s="711"/>
      <c r="K8149" s="711"/>
      <c r="L8149" s="711"/>
      <c r="Q8149" s="11"/>
      <c r="R8149" s="11"/>
      <c r="S8149" s="11"/>
      <c r="T8149" s="11"/>
    </row>
    <row r="8150" spans="8:20" x14ac:dyDescent="0.35">
      <c r="H8150" s="711"/>
      <c r="I8150" s="711"/>
      <c r="J8150" s="711"/>
      <c r="K8150" s="711"/>
      <c r="L8150" s="711"/>
      <c r="Q8150" s="11"/>
      <c r="R8150" s="11"/>
      <c r="S8150" s="11"/>
      <c r="T8150" s="11"/>
    </row>
    <row r="8151" spans="8:20" x14ac:dyDescent="0.35">
      <c r="H8151" s="711"/>
      <c r="I8151" s="711"/>
      <c r="J8151" s="711"/>
      <c r="K8151" s="711"/>
      <c r="L8151" s="711"/>
      <c r="Q8151" s="11"/>
      <c r="R8151" s="11"/>
      <c r="S8151" s="11"/>
      <c r="T8151" s="11"/>
    </row>
    <row r="8152" spans="8:20" x14ac:dyDescent="0.35">
      <c r="H8152" s="711"/>
      <c r="I8152" s="711"/>
      <c r="J8152" s="711"/>
      <c r="K8152" s="711"/>
      <c r="L8152" s="711"/>
      <c r="Q8152" s="11"/>
      <c r="R8152" s="11"/>
      <c r="S8152" s="11"/>
      <c r="T8152" s="11"/>
    </row>
    <row r="8153" spans="8:20" x14ac:dyDescent="0.35">
      <c r="H8153" s="711"/>
      <c r="I8153" s="711"/>
      <c r="J8153" s="711"/>
      <c r="K8153" s="711"/>
      <c r="L8153" s="711"/>
      <c r="Q8153" s="11"/>
      <c r="R8153" s="11"/>
      <c r="S8153" s="11"/>
      <c r="T8153" s="11"/>
    </row>
    <row r="8154" spans="8:20" x14ac:dyDescent="0.35">
      <c r="H8154" s="711"/>
      <c r="I8154" s="711"/>
      <c r="J8154" s="711"/>
      <c r="K8154" s="711"/>
      <c r="L8154" s="711"/>
      <c r="Q8154" s="11"/>
      <c r="R8154" s="11"/>
      <c r="S8154" s="11"/>
      <c r="T8154" s="11"/>
    </row>
    <row r="8155" spans="8:20" x14ac:dyDescent="0.35">
      <c r="H8155" s="711"/>
      <c r="I8155" s="711"/>
      <c r="J8155" s="711"/>
      <c r="K8155" s="711"/>
      <c r="L8155" s="711"/>
      <c r="Q8155" s="11"/>
      <c r="R8155" s="11"/>
      <c r="S8155" s="11"/>
      <c r="T8155" s="11"/>
    </row>
    <row r="8156" spans="8:20" x14ac:dyDescent="0.35">
      <c r="H8156" s="711"/>
      <c r="I8156" s="711"/>
      <c r="J8156" s="711"/>
      <c r="K8156" s="711"/>
      <c r="L8156" s="711"/>
      <c r="Q8156" s="11"/>
      <c r="R8156" s="11"/>
      <c r="S8156" s="11"/>
      <c r="T8156" s="11"/>
    </row>
    <row r="8157" spans="8:20" x14ac:dyDescent="0.35">
      <c r="H8157" s="711"/>
      <c r="I8157" s="711"/>
      <c r="J8157" s="711"/>
      <c r="K8157" s="711"/>
      <c r="L8157" s="711"/>
      <c r="Q8157" s="11"/>
      <c r="R8157" s="11"/>
      <c r="S8157" s="11"/>
      <c r="T8157" s="11"/>
    </row>
    <row r="8158" spans="8:20" x14ac:dyDescent="0.35">
      <c r="H8158" s="711"/>
      <c r="I8158" s="711"/>
      <c r="J8158" s="711"/>
      <c r="K8158" s="711"/>
      <c r="L8158" s="711"/>
      <c r="Q8158" s="11"/>
      <c r="R8158" s="11"/>
      <c r="S8158" s="11"/>
      <c r="T8158" s="11"/>
    </row>
    <row r="8159" spans="8:20" x14ac:dyDescent="0.35">
      <c r="H8159" s="711"/>
      <c r="I8159" s="711"/>
      <c r="J8159" s="711"/>
      <c r="K8159" s="711"/>
      <c r="L8159" s="711"/>
      <c r="Q8159" s="11"/>
      <c r="R8159" s="11"/>
      <c r="S8159" s="11"/>
      <c r="T8159" s="11"/>
    </row>
    <row r="8160" spans="8:20" x14ac:dyDescent="0.35">
      <c r="H8160" s="711"/>
      <c r="I8160" s="711"/>
      <c r="J8160" s="711"/>
      <c r="K8160" s="711"/>
      <c r="L8160" s="711"/>
      <c r="Q8160" s="11"/>
      <c r="R8160" s="11"/>
      <c r="S8160" s="11"/>
      <c r="T8160" s="11"/>
    </row>
    <row r="8161" spans="8:20" x14ac:dyDescent="0.35">
      <c r="H8161" s="711"/>
      <c r="I8161" s="711"/>
      <c r="J8161" s="711"/>
      <c r="K8161" s="711"/>
      <c r="L8161" s="711"/>
      <c r="Q8161" s="11"/>
      <c r="R8161" s="11"/>
      <c r="S8161" s="11"/>
      <c r="T8161" s="11"/>
    </row>
    <row r="8162" spans="8:20" x14ac:dyDescent="0.35">
      <c r="H8162" s="711"/>
      <c r="I8162" s="711"/>
      <c r="J8162" s="711"/>
      <c r="K8162" s="711"/>
      <c r="L8162" s="711"/>
      <c r="Q8162" s="11"/>
      <c r="R8162" s="11"/>
      <c r="S8162" s="11"/>
      <c r="T8162" s="11"/>
    </row>
    <row r="8163" spans="8:20" x14ac:dyDescent="0.35">
      <c r="H8163" s="711"/>
      <c r="I8163" s="711"/>
      <c r="J8163" s="711"/>
      <c r="K8163" s="711"/>
      <c r="L8163" s="711"/>
      <c r="Q8163" s="11"/>
      <c r="R8163" s="11"/>
      <c r="S8163" s="11"/>
      <c r="T8163" s="11"/>
    </row>
    <row r="8164" spans="8:20" x14ac:dyDescent="0.35">
      <c r="H8164" s="711"/>
      <c r="I8164" s="711"/>
      <c r="J8164" s="711"/>
      <c r="K8164" s="711"/>
      <c r="L8164" s="711"/>
      <c r="Q8164" s="11"/>
      <c r="R8164" s="11"/>
      <c r="S8164" s="11"/>
      <c r="T8164" s="11"/>
    </row>
    <row r="8165" spans="8:20" x14ac:dyDescent="0.35">
      <c r="H8165" s="711"/>
      <c r="I8165" s="711"/>
      <c r="J8165" s="711"/>
      <c r="K8165" s="711"/>
      <c r="L8165" s="711"/>
      <c r="Q8165" s="11"/>
      <c r="R8165" s="11"/>
      <c r="S8165" s="11"/>
      <c r="T8165" s="11"/>
    </row>
    <row r="8166" spans="8:20" x14ac:dyDescent="0.35">
      <c r="H8166" s="711"/>
      <c r="I8166" s="711"/>
      <c r="J8166" s="711"/>
      <c r="K8166" s="711"/>
      <c r="L8166" s="711"/>
      <c r="Q8166" s="11"/>
      <c r="R8166" s="11"/>
      <c r="S8166" s="11"/>
      <c r="T8166" s="11"/>
    </row>
    <row r="8167" spans="8:20" x14ac:dyDescent="0.35">
      <c r="H8167" s="711"/>
      <c r="I8167" s="711"/>
      <c r="J8167" s="711"/>
      <c r="K8167" s="711"/>
      <c r="L8167" s="711"/>
      <c r="Q8167" s="11"/>
      <c r="R8167" s="11"/>
      <c r="S8167" s="11"/>
      <c r="T8167" s="11"/>
    </row>
    <row r="8168" spans="8:20" x14ac:dyDescent="0.35">
      <c r="H8168" s="711"/>
      <c r="I8168" s="711"/>
      <c r="J8168" s="711"/>
      <c r="K8168" s="711"/>
      <c r="L8168" s="711"/>
      <c r="Q8168" s="11"/>
      <c r="R8168" s="11"/>
      <c r="S8168" s="11"/>
      <c r="T8168" s="11"/>
    </row>
    <row r="8169" spans="8:20" x14ac:dyDescent="0.35">
      <c r="H8169" s="711"/>
      <c r="I8169" s="711"/>
      <c r="J8169" s="711"/>
      <c r="K8169" s="711"/>
      <c r="L8169" s="711"/>
      <c r="Q8169" s="11"/>
      <c r="R8169" s="11"/>
      <c r="S8169" s="11"/>
      <c r="T8169" s="11"/>
    </row>
    <row r="8170" spans="8:20" x14ac:dyDescent="0.35">
      <c r="H8170" s="711"/>
      <c r="I8170" s="711"/>
      <c r="J8170" s="711"/>
      <c r="K8170" s="711"/>
      <c r="L8170" s="711"/>
      <c r="Q8170" s="11"/>
      <c r="R8170" s="11"/>
      <c r="S8170" s="11"/>
      <c r="T8170" s="11"/>
    </row>
    <row r="8171" spans="8:20" x14ac:dyDescent="0.35">
      <c r="H8171" s="711"/>
      <c r="I8171" s="711"/>
      <c r="J8171" s="711"/>
      <c r="K8171" s="711"/>
      <c r="L8171" s="711"/>
      <c r="Q8171" s="11"/>
      <c r="R8171" s="11"/>
      <c r="S8171" s="11"/>
      <c r="T8171" s="11"/>
    </row>
    <row r="8172" spans="8:20" x14ac:dyDescent="0.35">
      <c r="H8172" s="711"/>
      <c r="I8172" s="711"/>
      <c r="J8172" s="711"/>
      <c r="K8172" s="711"/>
      <c r="L8172" s="711"/>
      <c r="Q8172" s="11"/>
      <c r="R8172" s="11"/>
      <c r="S8172" s="11"/>
      <c r="T8172" s="11"/>
    </row>
    <row r="8173" spans="8:20" x14ac:dyDescent="0.35">
      <c r="H8173" s="711"/>
      <c r="I8173" s="711"/>
      <c r="J8173" s="711"/>
      <c r="K8173" s="711"/>
      <c r="L8173" s="711"/>
      <c r="Q8173" s="11"/>
      <c r="R8173" s="11"/>
      <c r="S8173" s="11"/>
      <c r="T8173" s="11"/>
    </row>
    <row r="8174" spans="8:20" x14ac:dyDescent="0.35">
      <c r="H8174" s="711"/>
      <c r="I8174" s="711"/>
      <c r="J8174" s="711"/>
      <c r="K8174" s="711"/>
      <c r="L8174" s="711"/>
      <c r="Q8174" s="11"/>
      <c r="R8174" s="11"/>
      <c r="S8174" s="11"/>
      <c r="T8174" s="11"/>
    </row>
    <row r="8175" spans="8:20" x14ac:dyDescent="0.35">
      <c r="H8175" s="711"/>
      <c r="I8175" s="711"/>
      <c r="J8175" s="711"/>
      <c r="K8175" s="711"/>
      <c r="L8175" s="711"/>
      <c r="Q8175" s="11"/>
      <c r="R8175" s="11"/>
      <c r="S8175" s="11"/>
      <c r="T8175" s="11"/>
    </row>
    <row r="8176" spans="8:20" x14ac:dyDescent="0.35">
      <c r="H8176" s="711"/>
      <c r="I8176" s="711"/>
      <c r="J8176" s="711"/>
      <c r="K8176" s="711"/>
      <c r="L8176" s="711"/>
      <c r="Q8176" s="11"/>
      <c r="R8176" s="11"/>
      <c r="S8176" s="11"/>
      <c r="T8176" s="11"/>
    </row>
    <row r="8177" spans="8:20" x14ac:dyDescent="0.35">
      <c r="H8177" s="711"/>
      <c r="I8177" s="711"/>
      <c r="J8177" s="711"/>
      <c r="K8177" s="711"/>
      <c r="L8177" s="711"/>
      <c r="Q8177" s="11"/>
      <c r="R8177" s="11"/>
      <c r="S8177" s="11"/>
      <c r="T8177" s="11"/>
    </row>
    <row r="8178" spans="8:20" x14ac:dyDescent="0.35">
      <c r="H8178" s="711"/>
      <c r="I8178" s="711"/>
      <c r="J8178" s="711"/>
      <c r="K8178" s="711"/>
      <c r="L8178" s="711"/>
      <c r="Q8178" s="11"/>
      <c r="R8178" s="11"/>
      <c r="S8178" s="11"/>
      <c r="T8178" s="11"/>
    </row>
    <row r="8179" spans="8:20" x14ac:dyDescent="0.35">
      <c r="H8179" s="711"/>
      <c r="I8179" s="711"/>
      <c r="J8179" s="711"/>
      <c r="K8179" s="711"/>
      <c r="L8179" s="711"/>
      <c r="Q8179" s="11"/>
      <c r="R8179" s="11"/>
      <c r="S8179" s="11"/>
      <c r="T8179" s="11"/>
    </row>
    <row r="8180" spans="8:20" x14ac:dyDescent="0.35">
      <c r="H8180" s="711"/>
      <c r="I8180" s="711"/>
      <c r="J8180" s="711"/>
      <c r="K8180" s="711"/>
      <c r="L8180" s="711"/>
      <c r="Q8180" s="11"/>
      <c r="R8180" s="11"/>
      <c r="S8180" s="11"/>
      <c r="T8180" s="11"/>
    </row>
    <row r="8181" spans="8:20" x14ac:dyDescent="0.35">
      <c r="H8181" s="711"/>
      <c r="I8181" s="711"/>
      <c r="J8181" s="711"/>
      <c r="K8181" s="711"/>
      <c r="L8181" s="711"/>
      <c r="Q8181" s="11"/>
      <c r="R8181" s="11"/>
      <c r="S8181" s="11"/>
      <c r="T8181" s="11"/>
    </row>
    <row r="8182" spans="8:20" x14ac:dyDescent="0.35">
      <c r="H8182" s="711"/>
      <c r="I8182" s="711"/>
      <c r="J8182" s="711"/>
      <c r="K8182" s="711"/>
      <c r="L8182" s="711"/>
      <c r="Q8182" s="11"/>
      <c r="R8182" s="11"/>
      <c r="S8182" s="11"/>
      <c r="T8182" s="11"/>
    </row>
    <row r="8183" spans="8:20" x14ac:dyDescent="0.35">
      <c r="H8183" s="711"/>
      <c r="I8183" s="711"/>
      <c r="J8183" s="711"/>
      <c r="K8183" s="711"/>
      <c r="L8183" s="711"/>
      <c r="Q8183" s="11"/>
      <c r="R8183" s="11"/>
      <c r="S8183" s="11"/>
      <c r="T8183" s="11"/>
    </row>
    <row r="8184" spans="8:20" x14ac:dyDescent="0.35">
      <c r="H8184" s="711"/>
      <c r="I8184" s="711"/>
      <c r="J8184" s="711"/>
      <c r="K8184" s="711"/>
      <c r="L8184" s="711"/>
      <c r="Q8184" s="11"/>
      <c r="R8184" s="11"/>
      <c r="S8184" s="11"/>
      <c r="T8184" s="11"/>
    </row>
    <row r="8185" spans="8:20" x14ac:dyDescent="0.35">
      <c r="H8185" s="711"/>
      <c r="I8185" s="711"/>
      <c r="J8185" s="711"/>
      <c r="K8185" s="711"/>
      <c r="L8185" s="711"/>
      <c r="Q8185" s="11"/>
      <c r="R8185" s="11"/>
      <c r="S8185" s="11"/>
      <c r="T8185" s="11"/>
    </row>
    <row r="8186" spans="8:20" x14ac:dyDescent="0.35">
      <c r="H8186" s="711"/>
      <c r="I8186" s="711"/>
      <c r="J8186" s="711"/>
      <c r="K8186" s="711"/>
      <c r="L8186" s="711"/>
      <c r="Q8186" s="11"/>
      <c r="R8186" s="11"/>
      <c r="S8186" s="11"/>
      <c r="T8186" s="11"/>
    </row>
    <row r="8187" spans="8:20" x14ac:dyDescent="0.35">
      <c r="H8187" s="711"/>
      <c r="I8187" s="711"/>
      <c r="J8187" s="711"/>
      <c r="K8187" s="711"/>
      <c r="L8187" s="711"/>
      <c r="Q8187" s="11"/>
      <c r="R8187" s="11"/>
      <c r="S8187" s="11"/>
      <c r="T8187" s="11"/>
    </row>
    <row r="8188" spans="8:20" x14ac:dyDescent="0.35">
      <c r="H8188" s="711"/>
      <c r="I8188" s="711"/>
      <c r="J8188" s="711"/>
      <c r="K8188" s="711"/>
      <c r="L8188" s="711"/>
      <c r="Q8188" s="11"/>
      <c r="R8188" s="11"/>
      <c r="S8188" s="11"/>
      <c r="T8188" s="11"/>
    </row>
    <row r="8189" spans="8:20" x14ac:dyDescent="0.35">
      <c r="H8189" s="711"/>
      <c r="I8189" s="711"/>
      <c r="J8189" s="711"/>
      <c r="K8189" s="711"/>
      <c r="L8189" s="711"/>
      <c r="Q8189" s="11"/>
      <c r="R8189" s="11"/>
      <c r="S8189" s="11"/>
      <c r="T8189" s="11"/>
    </row>
    <row r="8190" spans="8:20" x14ac:dyDescent="0.35">
      <c r="H8190" s="711"/>
      <c r="I8190" s="711"/>
      <c r="J8190" s="711"/>
      <c r="K8190" s="711"/>
      <c r="L8190" s="711"/>
      <c r="Q8190" s="11"/>
      <c r="R8190" s="11"/>
      <c r="S8190" s="11"/>
      <c r="T8190" s="11"/>
    </row>
    <row r="8191" spans="8:20" x14ac:dyDescent="0.35">
      <c r="H8191" s="711"/>
      <c r="I8191" s="711"/>
      <c r="J8191" s="711"/>
      <c r="K8191" s="711"/>
      <c r="L8191" s="711"/>
      <c r="Q8191" s="11"/>
      <c r="R8191" s="11"/>
      <c r="S8191" s="11"/>
      <c r="T8191" s="11"/>
    </row>
    <row r="8192" spans="8:20" x14ac:dyDescent="0.35">
      <c r="H8192" s="711"/>
      <c r="I8192" s="711"/>
      <c r="J8192" s="711"/>
      <c r="K8192" s="711"/>
      <c r="L8192" s="711"/>
      <c r="Q8192" s="11"/>
      <c r="R8192" s="11"/>
      <c r="S8192" s="11"/>
      <c r="T8192" s="11"/>
    </row>
    <row r="8193" spans="8:20" x14ac:dyDescent="0.35">
      <c r="H8193" s="711"/>
      <c r="I8193" s="711"/>
      <c r="J8193" s="711"/>
      <c r="K8193" s="711"/>
      <c r="L8193" s="711"/>
      <c r="Q8193" s="11"/>
      <c r="R8193" s="11"/>
      <c r="S8193" s="11"/>
      <c r="T8193" s="11"/>
    </row>
    <row r="8194" spans="8:20" x14ac:dyDescent="0.35">
      <c r="H8194" s="711"/>
      <c r="I8194" s="711"/>
      <c r="J8194" s="711"/>
      <c r="K8194" s="711"/>
      <c r="L8194" s="711"/>
      <c r="Q8194" s="11"/>
      <c r="R8194" s="11"/>
      <c r="S8194" s="11"/>
      <c r="T8194" s="11"/>
    </row>
    <row r="8195" spans="8:20" x14ac:dyDescent="0.35">
      <c r="H8195" s="711"/>
      <c r="I8195" s="711"/>
      <c r="J8195" s="711"/>
      <c r="K8195" s="711"/>
      <c r="L8195" s="711"/>
      <c r="Q8195" s="11"/>
      <c r="R8195" s="11"/>
      <c r="S8195" s="11"/>
      <c r="T8195" s="11"/>
    </row>
    <row r="8196" spans="8:20" x14ac:dyDescent="0.35">
      <c r="H8196" s="711"/>
      <c r="I8196" s="711"/>
      <c r="J8196" s="711"/>
      <c r="K8196" s="711"/>
      <c r="L8196" s="711"/>
      <c r="Q8196" s="11"/>
      <c r="R8196" s="11"/>
      <c r="S8196" s="11"/>
      <c r="T8196" s="11"/>
    </row>
    <row r="8197" spans="8:20" x14ac:dyDescent="0.35">
      <c r="H8197" s="711"/>
      <c r="I8197" s="711"/>
      <c r="J8197" s="711"/>
      <c r="K8197" s="711"/>
      <c r="L8197" s="711"/>
      <c r="Q8197" s="11"/>
      <c r="R8197" s="11"/>
      <c r="S8197" s="11"/>
      <c r="T8197" s="11"/>
    </row>
    <row r="8198" spans="8:20" x14ac:dyDescent="0.35">
      <c r="H8198" s="711"/>
      <c r="I8198" s="711"/>
      <c r="J8198" s="711"/>
      <c r="K8198" s="711"/>
      <c r="L8198" s="711"/>
      <c r="Q8198" s="11"/>
      <c r="R8198" s="11"/>
      <c r="S8198" s="11"/>
      <c r="T8198" s="11"/>
    </row>
    <row r="8199" spans="8:20" x14ac:dyDescent="0.35">
      <c r="H8199" s="711"/>
      <c r="I8199" s="711"/>
      <c r="J8199" s="711"/>
      <c r="K8199" s="711"/>
      <c r="L8199" s="711"/>
      <c r="Q8199" s="11"/>
      <c r="R8199" s="11"/>
      <c r="S8199" s="11"/>
      <c r="T8199" s="11"/>
    </row>
    <row r="8200" spans="8:20" x14ac:dyDescent="0.35">
      <c r="H8200" s="711"/>
      <c r="I8200" s="711"/>
      <c r="J8200" s="711"/>
      <c r="K8200" s="711"/>
      <c r="L8200" s="711"/>
      <c r="Q8200" s="11"/>
      <c r="R8200" s="11"/>
      <c r="S8200" s="11"/>
      <c r="T8200" s="11"/>
    </row>
    <row r="8201" spans="8:20" x14ac:dyDescent="0.35">
      <c r="H8201" s="711"/>
      <c r="I8201" s="711"/>
      <c r="J8201" s="711"/>
      <c r="K8201" s="711"/>
      <c r="L8201" s="711"/>
      <c r="Q8201" s="11"/>
      <c r="R8201" s="11"/>
      <c r="S8201" s="11"/>
      <c r="T8201" s="11"/>
    </row>
    <row r="8202" spans="8:20" x14ac:dyDescent="0.35">
      <c r="H8202" s="711"/>
      <c r="I8202" s="711"/>
      <c r="J8202" s="711"/>
      <c r="K8202" s="711"/>
      <c r="L8202" s="711"/>
      <c r="Q8202" s="11"/>
      <c r="R8202" s="11"/>
      <c r="S8202" s="11"/>
      <c r="T8202" s="11"/>
    </row>
    <row r="8203" spans="8:20" x14ac:dyDescent="0.35">
      <c r="H8203" s="711"/>
      <c r="I8203" s="711"/>
      <c r="J8203" s="711"/>
      <c r="K8203" s="711"/>
      <c r="L8203" s="711"/>
      <c r="Q8203" s="11"/>
      <c r="R8203" s="11"/>
      <c r="S8203" s="11"/>
      <c r="T8203" s="11"/>
    </row>
    <row r="8204" spans="8:20" x14ac:dyDescent="0.35">
      <c r="H8204" s="711"/>
      <c r="I8204" s="711"/>
      <c r="J8204" s="711"/>
      <c r="K8204" s="711"/>
      <c r="L8204" s="711"/>
      <c r="Q8204" s="11"/>
      <c r="R8204" s="11"/>
      <c r="S8204" s="11"/>
      <c r="T8204" s="11"/>
    </row>
    <row r="8205" spans="8:20" x14ac:dyDescent="0.35">
      <c r="H8205" s="711"/>
      <c r="I8205" s="711"/>
      <c r="J8205" s="711"/>
      <c r="K8205" s="711"/>
      <c r="L8205" s="711"/>
      <c r="Q8205" s="11"/>
      <c r="R8205" s="11"/>
      <c r="S8205" s="11"/>
      <c r="T8205" s="11"/>
    </row>
    <row r="8206" spans="8:20" x14ac:dyDescent="0.35">
      <c r="H8206" s="711"/>
      <c r="I8206" s="711"/>
      <c r="J8206" s="711"/>
      <c r="K8206" s="711"/>
      <c r="L8206" s="711"/>
      <c r="Q8206" s="11"/>
      <c r="R8206" s="11"/>
      <c r="S8206" s="11"/>
      <c r="T8206" s="11"/>
    </row>
    <row r="8207" spans="8:20" x14ac:dyDescent="0.35">
      <c r="H8207" s="711"/>
      <c r="I8207" s="711"/>
      <c r="J8207" s="711"/>
      <c r="K8207" s="711"/>
      <c r="L8207" s="711"/>
      <c r="Q8207" s="11"/>
      <c r="R8207" s="11"/>
      <c r="S8207" s="11"/>
      <c r="T8207" s="11"/>
    </row>
    <row r="8208" spans="8:20" x14ac:dyDescent="0.35">
      <c r="H8208" s="711"/>
      <c r="I8208" s="711"/>
      <c r="J8208" s="711"/>
      <c r="K8208" s="711"/>
      <c r="L8208" s="711"/>
      <c r="Q8208" s="11"/>
      <c r="R8208" s="11"/>
      <c r="S8208" s="11"/>
      <c r="T8208" s="11"/>
    </row>
    <row r="8209" spans="8:20" x14ac:dyDescent="0.35">
      <c r="H8209" s="711"/>
      <c r="I8209" s="711"/>
      <c r="J8209" s="711"/>
      <c r="K8209" s="711"/>
      <c r="L8209" s="711"/>
      <c r="Q8209" s="11"/>
      <c r="R8209" s="11"/>
      <c r="S8209" s="11"/>
      <c r="T8209" s="11"/>
    </row>
    <row r="8210" spans="8:20" x14ac:dyDescent="0.35">
      <c r="H8210" s="711"/>
      <c r="I8210" s="711"/>
      <c r="J8210" s="711"/>
      <c r="K8210" s="711"/>
      <c r="L8210" s="711"/>
      <c r="Q8210" s="11"/>
      <c r="R8210" s="11"/>
      <c r="S8210" s="11"/>
      <c r="T8210" s="11"/>
    </row>
    <row r="8211" spans="8:20" x14ac:dyDescent="0.35">
      <c r="H8211" s="711"/>
      <c r="I8211" s="711"/>
      <c r="J8211" s="711"/>
      <c r="K8211" s="711"/>
      <c r="L8211" s="711"/>
      <c r="Q8211" s="11"/>
      <c r="R8211" s="11"/>
      <c r="S8211" s="11"/>
      <c r="T8211" s="11"/>
    </row>
    <row r="8212" spans="8:20" x14ac:dyDescent="0.35">
      <c r="H8212" s="711"/>
      <c r="I8212" s="711"/>
      <c r="J8212" s="711"/>
      <c r="K8212" s="711"/>
      <c r="L8212" s="711"/>
      <c r="Q8212" s="11"/>
      <c r="R8212" s="11"/>
      <c r="S8212" s="11"/>
      <c r="T8212" s="11"/>
    </row>
    <row r="8213" spans="8:20" x14ac:dyDescent="0.35">
      <c r="H8213" s="711"/>
      <c r="I8213" s="711"/>
      <c r="J8213" s="711"/>
      <c r="K8213" s="711"/>
      <c r="L8213" s="711"/>
      <c r="Q8213" s="11"/>
      <c r="R8213" s="11"/>
      <c r="S8213" s="11"/>
      <c r="T8213" s="11"/>
    </row>
    <row r="8214" spans="8:20" x14ac:dyDescent="0.35">
      <c r="H8214" s="711"/>
      <c r="I8214" s="711"/>
      <c r="J8214" s="711"/>
      <c r="K8214" s="711"/>
      <c r="L8214" s="711"/>
      <c r="Q8214" s="11"/>
      <c r="R8214" s="11"/>
      <c r="S8214" s="11"/>
      <c r="T8214" s="11"/>
    </row>
    <row r="8215" spans="8:20" x14ac:dyDescent="0.35">
      <c r="H8215" s="711"/>
      <c r="I8215" s="711"/>
      <c r="J8215" s="711"/>
      <c r="K8215" s="711"/>
      <c r="L8215" s="711"/>
      <c r="Q8215" s="11"/>
      <c r="R8215" s="11"/>
      <c r="S8215" s="11"/>
      <c r="T8215" s="11"/>
    </row>
    <row r="8216" spans="8:20" x14ac:dyDescent="0.35">
      <c r="H8216" s="711"/>
      <c r="I8216" s="711"/>
      <c r="J8216" s="711"/>
      <c r="K8216" s="711"/>
      <c r="L8216" s="711"/>
      <c r="Q8216" s="11"/>
      <c r="R8216" s="11"/>
      <c r="S8216" s="11"/>
      <c r="T8216" s="11"/>
    </row>
    <row r="8217" spans="8:20" x14ac:dyDescent="0.35">
      <c r="H8217" s="711"/>
      <c r="I8217" s="711"/>
      <c r="J8217" s="711"/>
      <c r="K8217" s="711"/>
      <c r="L8217" s="711"/>
      <c r="Q8217" s="11"/>
      <c r="R8217" s="11"/>
      <c r="S8217" s="11"/>
      <c r="T8217" s="11"/>
    </row>
    <row r="8218" spans="8:20" x14ac:dyDescent="0.35">
      <c r="H8218" s="711"/>
      <c r="I8218" s="711"/>
      <c r="J8218" s="711"/>
      <c r="K8218" s="711"/>
      <c r="L8218" s="711"/>
      <c r="Q8218" s="11"/>
      <c r="R8218" s="11"/>
      <c r="S8218" s="11"/>
      <c r="T8218" s="11"/>
    </row>
    <row r="8219" spans="8:20" x14ac:dyDescent="0.35">
      <c r="H8219" s="711"/>
      <c r="I8219" s="711"/>
      <c r="J8219" s="711"/>
      <c r="K8219" s="711"/>
      <c r="L8219" s="711"/>
      <c r="Q8219" s="11"/>
      <c r="R8219" s="11"/>
      <c r="S8219" s="11"/>
      <c r="T8219" s="11"/>
    </row>
    <row r="8220" spans="8:20" x14ac:dyDescent="0.35">
      <c r="H8220" s="711"/>
      <c r="I8220" s="711"/>
      <c r="J8220" s="711"/>
      <c r="K8220" s="711"/>
      <c r="L8220" s="711"/>
      <c r="Q8220" s="11"/>
      <c r="R8220" s="11"/>
      <c r="S8220" s="11"/>
      <c r="T8220" s="11"/>
    </row>
    <row r="8221" spans="8:20" x14ac:dyDescent="0.35">
      <c r="H8221" s="711"/>
      <c r="I8221" s="711"/>
      <c r="J8221" s="711"/>
      <c r="K8221" s="711"/>
      <c r="L8221" s="711"/>
      <c r="Q8221" s="11"/>
      <c r="R8221" s="11"/>
      <c r="S8221" s="11"/>
      <c r="T8221" s="11"/>
    </row>
    <row r="8222" spans="8:20" x14ac:dyDescent="0.35">
      <c r="H8222" s="711"/>
      <c r="I8222" s="711"/>
      <c r="J8222" s="711"/>
      <c r="K8222" s="711"/>
      <c r="L8222" s="711"/>
      <c r="Q8222" s="11"/>
      <c r="R8222" s="11"/>
      <c r="S8222" s="11"/>
      <c r="T8222" s="11"/>
    </row>
    <row r="8223" spans="8:20" x14ac:dyDescent="0.35">
      <c r="H8223" s="711"/>
      <c r="I8223" s="711"/>
      <c r="J8223" s="711"/>
      <c r="K8223" s="711"/>
      <c r="L8223" s="711"/>
      <c r="Q8223" s="11"/>
      <c r="R8223" s="11"/>
      <c r="S8223" s="11"/>
      <c r="T8223" s="11"/>
    </row>
    <row r="8224" spans="8:20" x14ac:dyDescent="0.35">
      <c r="H8224" s="711"/>
      <c r="I8224" s="711"/>
      <c r="J8224" s="711"/>
      <c r="K8224" s="711"/>
      <c r="L8224" s="711"/>
      <c r="Q8224" s="11"/>
      <c r="R8224" s="11"/>
      <c r="S8224" s="11"/>
      <c r="T8224" s="11"/>
    </row>
    <row r="8225" spans="8:20" x14ac:dyDescent="0.35">
      <c r="H8225" s="711"/>
      <c r="I8225" s="711"/>
      <c r="J8225" s="711"/>
      <c r="K8225" s="711"/>
      <c r="L8225" s="711"/>
      <c r="Q8225" s="11"/>
      <c r="R8225" s="11"/>
      <c r="S8225" s="11"/>
      <c r="T8225" s="11"/>
    </row>
    <row r="8226" spans="8:20" x14ac:dyDescent="0.35">
      <c r="H8226" s="711"/>
      <c r="I8226" s="711"/>
      <c r="J8226" s="711"/>
      <c r="K8226" s="711"/>
      <c r="L8226" s="711"/>
      <c r="Q8226" s="11"/>
      <c r="R8226" s="11"/>
      <c r="S8226" s="11"/>
      <c r="T8226" s="11"/>
    </row>
    <row r="8227" spans="8:20" x14ac:dyDescent="0.35">
      <c r="H8227" s="711"/>
      <c r="I8227" s="711"/>
      <c r="J8227" s="711"/>
      <c r="K8227" s="711"/>
      <c r="L8227" s="711"/>
      <c r="Q8227" s="11"/>
      <c r="R8227" s="11"/>
      <c r="S8227" s="11"/>
      <c r="T8227" s="11"/>
    </row>
    <row r="8228" spans="8:20" x14ac:dyDescent="0.35">
      <c r="H8228" s="711"/>
      <c r="I8228" s="711"/>
      <c r="J8228" s="711"/>
      <c r="K8228" s="711"/>
      <c r="L8228" s="711"/>
      <c r="Q8228" s="11"/>
      <c r="R8228" s="11"/>
      <c r="S8228" s="11"/>
      <c r="T8228" s="11"/>
    </row>
    <row r="8229" spans="8:20" x14ac:dyDescent="0.35">
      <c r="H8229" s="711"/>
      <c r="I8229" s="711"/>
      <c r="J8229" s="711"/>
      <c r="K8229" s="711"/>
      <c r="L8229" s="711"/>
      <c r="Q8229" s="11"/>
      <c r="R8229" s="11"/>
      <c r="S8229" s="11"/>
      <c r="T8229" s="11"/>
    </row>
    <row r="8230" spans="8:20" x14ac:dyDescent="0.35">
      <c r="H8230" s="711"/>
      <c r="I8230" s="711"/>
      <c r="J8230" s="711"/>
      <c r="K8230" s="711"/>
      <c r="L8230" s="711"/>
      <c r="Q8230" s="11"/>
      <c r="R8230" s="11"/>
      <c r="S8230" s="11"/>
      <c r="T8230" s="11"/>
    </row>
    <row r="8231" spans="8:20" x14ac:dyDescent="0.35">
      <c r="H8231" s="711"/>
      <c r="I8231" s="711"/>
      <c r="J8231" s="711"/>
      <c r="K8231" s="711"/>
      <c r="L8231" s="711"/>
      <c r="Q8231" s="11"/>
      <c r="R8231" s="11"/>
      <c r="S8231" s="11"/>
      <c r="T8231" s="11"/>
    </row>
    <row r="8232" spans="8:20" x14ac:dyDescent="0.35">
      <c r="H8232" s="711"/>
      <c r="I8232" s="711"/>
      <c r="J8232" s="711"/>
      <c r="K8232" s="711"/>
      <c r="L8232" s="711"/>
      <c r="Q8232" s="11"/>
      <c r="R8232" s="11"/>
      <c r="S8232" s="11"/>
      <c r="T8232" s="11"/>
    </row>
    <row r="8233" spans="8:20" x14ac:dyDescent="0.35">
      <c r="H8233" s="711"/>
      <c r="I8233" s="711"/>
      <c r="J8233" s="711"/>
      <c r="K8233" s="711"/>
      <c r="L8233" s="711"/>
      <c r="Q8233" s="11"/>
      <c r="R8233" s="11"/>
      <c r="S8233" s="11"/>
      <c r="T8233" s="11"/>
    </row>
    <row r="8234" spans="8:20" x14ac:dyDescent="0.35">
      <c r="H8234" s="711"/>
      <c r="I8234" s="711"/>
      <c r="J8234" s="711"/>
      <c r="K8234" s="711"/>
      <c r="L8234" s="711"/>
      <c r="Q8234" s="11"/>
      <c r="R8234" s="11"/>
      <c r="S8234" s="11"/>
      <c r="T8234" s="11"/>
    </row>
    <row r="8235" spans="8:20" x14ac:dyDescent="0.35">
      <c r="H8235" s="711"/>
      <c r="I8235" s="711"/>
      <c r="J8235" s="711"/>
      <c r="K8235" s="711"/>
      <c r="L8235" s="711"/>
      <c r="Q8235" s="11"/>
      <c r="R8235" s="11"/>
      <c r="S8235" s="11"/>
      <c r="T8235" s="11"/>
    </row>
    <row r="8236" spans="8:20" x14ac:dyDescent="0.35">
      <c r="H8236" s="711"/>
      <c r="I8236" s="711"/>
      <c r="J8236" s="711"/>
      <c r="K8236" s="711"/>
      <c r="L8236" s="711"/>
      <c r="Q8236" s="11"/>
      <c r="R8236" s="11"/>
      <c r="S8236" s="11"/>
      <c r="T8236" s="11"/>
    </row>
    <row r="8237" spans="8:20" x14ac:dyDescent="0.35">
      <c r="H8237" s="711"/>
      <c r="I8237" s="711"/>
      <c r="J8237" s="711"/>
      <c r="K8237" s="711"/>
      <c r="L8237" s="711"/>
      <c r="Q8237" s="11"/>
      <c r="R8237" s="11"/>
      <c r="S8237" s="11"/>
      <c r="T8237" s="11"/>
    </row>
    <row r="8238" spans="8:20" x14ac:dyDescent="0.35">
      <c r="H8238" s="711"/>
      <c r="I8238" s="711"/>
      <c r="J8238" s="711"/>
      <c r="K8238" s="711"/>
      <c r="L8238" s="711"/>
      <c r="Q8238" s="11"/>
      <c r="R8238" s="11"/>
      <c r="S8238" s="11"/>
      <c r="T8238" s="11"/>
    </row>
    <row r="8239" spans="8:20" x14ac:dyDescent="0.35">
      <c r="H8239" s="711"/>
      <c r="I8239" s="711"/>
      <c r="J8239" s="711"/>
      <c r="K8239" s="711"/>
      <c r="L8239" s="711"/>
      <c r="Q8239" s="11"/>
      <c r="R8239" s="11"/>
      <c r="S8239" s="11"/>
      <c r="T8239" s="11"/>
    </row>
    <row r="8240" spans="8:20" x14ac:dyDescent="0.35">
      <c r="H8240" s="711"/>
      <c r="I8240" s="711"/>
      <c r="J8240" s="711"/>
      <c r="K8240" s="711"/>
      <c r="L8240" s="711"/>
      <c r="Q8240" s="11"/>
      <c r="R8240" s="11"/>
      <c r="S8240" s="11"/>
      <c r="T8240" s="11"/>
    </row>
    <row r="8241" spans="8:20" x14ac:dyDescent="0.35">
      <c r="H8241" s="711"/>
      <c r="I8241" s="711"/>
      <c r="J8241" s="711"/>
      <c r="K8241" s="711"/>
      <c r="L8241" s="711"/>
      <c r="Q8241" s="11"/>
      <c r="R8241" s="11"/>
      <c r="S8241" s="11"/>
      <c r="T8241" s="11"/>
    </row>
    <row r="8242" spans="8:20" x14ac:dyDescent="0.35">
      <c r="H8242" s="711"/>
      <c r="I8242" s="711"/>
      <c r="J8242" s="711"/>
      <c r="K8242" s="711"/>
      <c r="L8242" s="711"/>
      <c r="Q8242" s="11"/>
      <c r="R8242" s="11"/>
      <c r="S8242" s="11"/>
      <c r="T8242" s="11"/>
    </row>
    <row r="8243" spans="8:20" x14ac:dyDescent="0.35">
      <c r="H8243" s="711"/>
      <c r="I8243" s="711"/>
      <c r="J8243" s="711"/>
      <c r="K8243" s="711"/>
      <c r="L8243" s="711"/>
      <c r="Q8243" s="11"/>
      <c r="R8243" s="11"/>
      <c r="S8243" s="11"/>
      <c r="T8243" s="11"/>
    </row>
    <row r="8244" spans="8:20" x14ac:dyDescent="0.35">
      <c r="H8244" s="711"/>
      <c r="I8244" s="711"/>
      <c r="J8244" s="711"/>
      <c r="K8244" s="711"/>
      <c r="L8244" s="711"/>
      <c r="Q8244" s="11"/>
      <c r="R8244" s="11"/>
      <c r="S8244" s="11"/>
      <c r="T8244" s="11"/>
    </row>
    <row r="8245" spans="8:20" x14ac:dyDescent="0.35">
      <c r="H8245" s="711"/>
      <c r="I8245" s="711"/>
      <c r="J8245" s="711"/>
      <c r="K8245" s="711"/>
      <c r="L8245" s="711"/>
      <c r="Q8245" s="11"/>
      <c r="R8245" s="11"/>
      <c r="S8245" s="11"/>
      <c r="T8245" s="11"/>
    </row>
    <row r="8246" spans="8:20" x14ac:dyDescent="0.35">
      <c r="H8246" s="711"/>
      <c r="I8246" s="711"/>
      <c r="J8246" s="711"/>
      <c r="K8246" s="711"/>
      <c r="L8246" s="711"/>
      <c r="Q8246" s="11"/>
      <c r="R8246" s="11"/>
      <c r="S8246" s="11"/>
      <c r="T8246" s="11"/>
    </row>
    <row r="8247" spans="8:20" x14ac:dyDescent="0.35">
      <c r="H8247" s="711"/>
      <c r="I8247" s="711"/>
      <c r="J8247" s="711"/>
      <c r="K8247" s="711"/>
      <c r="L8247" s="711"/>
      <c r="Q8247" s="11"/>
      <c r="R8247" s="11"/>
      <c r="S8247" s="11"/>
      <c r="T8247" s="11"/>
    </row>
    <row r="8248" spans="8:20" x14ac:dyDescent="0.35">
      <c r="H8248" s="711"/>
      <c r="I8248" s="711"/>
      <c r="J8248" s="711"/>
      <c r="K8248" s="711"/>
      <c r="L8248" s="711"/>
      <c r="Q8248" s="11"/>
      <c r="R8248" s="11"/>
      <c r="S8248" s="11"/>
      <c r="T8248" s="11"/>
    </row>
    <row r="8249" spans="8:20" x14ac:dyDescent="0.35">
      <c r="H8249" s="711"/>
      <c r="I8249" s="711"/>
      <c r="J8249" s="711"/>
      <c r="K8249" s="711"/>
      <c r="L8249" s="711"/>
      <c r="Q8249" s="11"/>
      <c r="R8249" s="11"/>
      <c r="S8249" s="11"/>
      <c r="T8249" s="11"/>
    </row>
    <row r="8250" spans="8:20" x14ac:dyDescent="0.35">
      <c r="H8250" s="711"/>
      <c r="I8250" s="711"/>
      <c r="J8250" s="711"/>
      <c r="K8250" s="711"/>
      <c r="L8250" s="711"/>
      <c r="Q8250" s="11"/>
      <c r="R8250" s="11"/>
      <c r="S8250" s="11"/>
      <c r="T8250" s="11"/>
    </row>
    <row r="8251" spans="8:20" x14ac:dyDescent="0.35">
      <c r="H8251" s="711"/>
      <c r="I8251" s="711"/>
      <c r="J8251" s="711"/>
      <c r="K8251" s="711"/>
      <c r="L8251" s="711"/>
      <c r="Q8251" s="11"/>
      <c r="R8251" s="11"/>
      <c r="S8251" s="11"/>
      <c r="T8251" s="11"/>
    </row>
    <row r="8252" spans="8:20" x14ac:dyDescent="0.35">
      <c r="H8252" s="711"/>
      <c r="I8252" s="711"/>
      <c r="J8252" s="711"/>
      <c r="K8252" s="711"/>
      <c r="L8252" s="711"/>
      <c r="Q8252" s="11"/>
      <c r="R8252" s="11"/>
      <c r="S8252" s="11"/>
      <c r="T8252" s="11"/>
    </row>
    <row r="8253" spans="8:20" x14ac:dyDescent="0.35">
      <c r="H8253" s="711"/>
      <c r="I8253" s="711"/>
      <c r="J8253" s="711"/>
      <c r="K8253" s="711"/>
      <c r="L8253" s="711"/>
      <c r="Q8253" s="11"/>
      <c r="R8253" s="11"/>
      <c r="S8253" s="11"/>
      <c r="T8253" s="11"/>
    </row>
    <row r="8254" spans="8:20" x14ac:dyDescent="0.35">
      <c r="H8254" s="711"/>
      <c r="I8254" s="711"/>
      <c r="J8254" s="711"/>
      <c r="K8254" s="711"/>
      <c r="L8254" s="711"/>
      <c r="Q8254" s="11"/>
      <c r="R8254" s="11"/>
      <c r="S8254" s="11"/>
      <c r="T8254" s="11"/>
    </row>
    <row r="8255" spans="8:20" x14ac:dyDescent="0.35">
      <c r="H8255" s="711"/>
      <c r="I8255" s="711"/>
      <c r="J8255" s="711"/>
      <c r="K8255" s="711"/>
      <c r="L8255" s="711"/>
      <c r="Q8255" s="11"/>
      <c r="R8255" s="11"/>
      <c r="S8255" s="11"/>
      <c r="T8255" s="11"/>
    </row>
    <row r="8256" spans="8:20" x14ac:dyDescent="0.35">
      <c r="H8256" s="711"/>
      <c r="I8256" s="711"/>
      <c r="J8256" s="711"/>
      <c r="K8256" s="711"/>
      <c r="L8256" s="711"/>
      <c r="Q8256" s="11"/>
      <c r="R8256" s="11"/>
      <c r="S8256" s="11"/>
      <c r="T8256" s="11"/>
    </row>
    <row r="8257" spans="8:20" x14ac:dyDescent="0.35">
      <c r="H8257" s="711"/>
      <c r="I8257" s="711"/>
      <c r="J8257" s="711"/>
      <c r="K8257" s="711"/>
      <c r="L8257" s="711"/>
      <c r="Q8257" s="11"/>
      <c r="R8257" s="11"/>
      <c r="S8257" s="11"/>
      <c r="T8257" s="11"/>
    </row>
    <row r="8258" spans="8:20" x14ac:dyDescent="0.35">
      <c r="H8258" s="711"/>
      <c r="I8258" s="711"/>
      <c r="J8258" s="711"/>
      <c r="K8258" s="711"/>
      <c r="L8258" s="711"/>
      <c r="Q8258" s="11"/>
      <c r="R8258" s="11"/>
      <c r="S8258" s="11"/>
      <c r="T8258" s="11"/>
    </row>
    <row r="8259" spans="8:20" x14ac:dyDescent="0.35">
      <c r="H8259" s="711"/>
      <c r="I8259" s="711"/>
      <c r="J8259" s="711"/>
      <c r="K8259" s="711"/>
      <c r="L8259" s="711"/>
      <c r="Q8259" s="11"/>
      <c r="R8259" s="11"/>
      <c r="S8259" s="11"/>
      <c r="T8259" s="11"/>
    </row>
    <row r="8260" spans="8:20" x14ac:dyDescent="0.35">
      <c r="H8260" s="711"/>
      <c r="I8260" s="711"/>
      <c r="J8260" s="711"/>
      <c r="K8260" s="711"/>
      <c r="L8260" s="711"/>
      <c r="Q8260" s="11"/>
      <c r="R8260" s="11"/>
      <c r="S8260" s="11"/>
      <c r="T8260" s="11"/>
    </row>
    <row r="8261" spans="8:20" x14ac:dyDescent="0.35">
      <c r="H8261" s="711"/>
      <c r="I8261" s="711"/>
      <c r="J8261" s="711"/>
      <c r="K8261" s="711"/>
      <c r="L8261" s="711"/>
      <c r="Q8261" s="11"/>
      <c r="R8261" s="11"/>
      <c r="S8261" s="11"/>
      <c r="T8261" s="11"/>
    </row>
    <row r="8262" spans="8:20" x14ac:dyDescent="0.35">
      <c r="H8262" s="711"/>
      <c r="I8262" s="711"/>
      <c r="J8262" s="711"/>
      <c r="K8262" s="711"/>
      <c r="L8262" s="711"/>
      <c r="Q8262" s="11"/>
      <c r="R8262" s="11"/>
      <c r="S8262" s="11"/>
      <c r="T8262" s="11"/>
    </row>
    <row r="8263" spans="8:20" x14ac:dyDescent="0.35">
      <c r="H8263" s="711"/>
      <c r="I8263" s="711"/>
      <c r="J8263" s="711"/>
      <c r="K8263" s="711"/>
      <c r="L8263" s="711"/>
      <c r="Q8263" s="11"/>
      <c r="R8263" s="11"/>
      <c r="S8263" s="11"/>
      <c r="T8263" s="11"/>
    </row>
    <row r="8264" spans="8:20" x14ac:dyDescent="0.35">
      <c r="H8264" s="711"/>
      <c r="I8264" s="711"/>
      <c r="J8264" s="711"/>
      <c r="K8264" s="711"/>
      <c r="L8264" s="711"/>
      <c r="Q8264" s="11"/>
      <c r="R8264" s="11"/>
      <c r="S8264" s="11"/>
      <c r="T8264" s="11"/>
    </row>
    <row r="8265" spans="8:20" x14ac:dyDescent="0.35">
      <c r="H8265" s="711"/>
      <c r="I8265" s="711"/>
      <c r="J8265" s="711"/>
      <c r="K8265" s="711"/>
      <c r="L8265" s="711"/>
      <c r="Q8265" s="11"/>
      <c r="R8265" s="11"/>
      <c r="S8265" s="11"/>
      <c r="T8265" s="11"/>
    </row>
    <row r="8266" spans="8:20" x14ac:dyDescent="0.35">
      <c r="H8266" s="711"/>
      <c r="I8266" s="711"/>
      <c r="J8266" s="711"/>
      <c r="K8266" s="711"/>
      <c r="L8266" s="711"/>
      <c r="Q8266" s="11"/>
      <c r="R8266" s="11"/>
      <c r="S8266" s="11"/>
      <c r="T8266" s="11"/>
    </row>
    <row r="8267" spans="8:20" x14ac:dyDescent="0.35">
      <c r="H8267" s="711"/>
      <c r="I8267" s="711"/>
      <c r="J8267" s="711"/>
      <c r="K8267" s="711"/>
      <c r="L8267" s="711"/>
      <c r="Q8267" s="11"/>
      <c r="R8267" s="11"/>
      <c r="S8267" s="11"/>
      <c r="T8267" s="11"/>
    </row>
    <row r="8268" spans="8:20" x14ac:dyDescent="0.35">
      <c r="H8268" s="711"/>
      <c r="I8268" s="711"/>
      <c r="J8268" s="711"/>
      <c r="K8268" s="711"/>
      <c r="L8268" s="711"/>
      <c r="Q8268" s="11"/>
      <c r="R8268" s="11"/>
      <c r="S8268" s="11"/>
      <c r="T8268" s="11"/>
    </row>
    <row r="8269" spans="8:20" x14ac:dyDescent="0.35">
      <c r="H8269" s="711"/>
      <c r="I8269" s="711"/>
      <c r="J8269" s="711"/>
      <c r="K8269" s="711"/>
      <c r="L8269" s="711"/>
      <c r="Q8269" s="11"/>
      <c r="R8269" s="11"/>
      <c r="S8269" s="11"/>
      <c r="T8269" s="11"/>
    </row>
    <row r="8270" spans="8:20" x14ac:dyDescent="0.35">
      <c r="H8270" s="711"/>
      <c r="I8270" s="711"/>
      <c r="J8270" s="711"/>
      <c r="K8270" s="711"/>
      <c r="L8270" s="711"/>
      <c r="Q8270" s="11"/>
      <c r="R8270" s="11"/>
      <c r="S8270" s="11"/>
      <c r="T8270" s="11"/>
    </row>
    <row r="8271" spans="8:20" x14ac:dyDescent="0.35">
      <c r="H8271" s="711"/>
      <c r="I8271" s="711"/>
      <c r="J8271" s="711"/>
      <c r="K8271" s="711"/>
      <c r="L8271" s="711"/>
      <c r="Q8271" s="11"/>
      <c r="R8271" s="11"/>
      <c r="S8271" s="11"/>
      <c r="T8271" s="11"/>
    </row>
    <row r="8272" spans="8:20" x14ac:dyDescent="0.35">
      <c r="H8272" s="711"/>
      <c r="I8272" s="711"/>
      <c r="J8272" s="711"/>
      <c r="K8272" s="711"/>
      <c r="L8272" s="711"/>
      <c r="Q8272" s="11"/>
      <c r="R8272" s="11"/>
      <c r="S8272" s="11"/>
      <c r="T8272" s="11"/>
    </row>
    <row r="8273" spans="8:20" x14ac:dyDescent="0.35">
      <c r="H8273" s="711"/>
      <c r="I8273" s="711"/>
      <c r="J8273" s="711"/>
      <c r="K8273" s="711"/>
      <c r="L8273" s="711"/>
      <c r="Q8273" s="11"/>
      <c r="R8273" s="11"/>
      <c r="S8273" s="11"/>
      <c r="T8273" s="11"/>
    </row>
    <row r="8274" spans="8:20" x14ac:dyDescent="0.35">
      <c r="H8274" s="711"/>
      <c r="I8274" s="711"/>
      <c r="J8274" s="711"/>
      <c r="K8274" s="711"/>
      <c r="L8274" s="711"/>
      <c r="Q8274" s="11"/>
      <c r="R8274" s="11"/>
      <c r="S8274" s="11"/>
      <c r="T8274" s="11"/>
    </row>
    <row r="8275" spans="8:20" x14ac:dyDescent="0.35">
      <c r="H8275" s="711"/>
      <c r="I8275" s="711"/>
      <c r="J8275" s="711"/>
      <c r="K8275" s="711"/>
      <c r="L8275" s="711"/>
      <c r="Q8275" s="11"/>
      <c r="R8275" s="11"/>
      <c r="S8275" s="11"/>
      <c r="T8275" s="11"/>
    </row>
    <row r="8276" spans="8:20" x14ac:dyDescent="0.35">
      <c r="H8276" s="711"/>
      <c r="I8276" s="711"/>
      <c r="J8276" s="711"/>
      <c r="K8276" s="711"/>
      <c r="L8276" s="711"/>
      <c r="Q8276" s="11"/>
      <c r="R8276" s="11"/>
      <c r="S8276" s="11"/>
      <c r="T8276" s="11"/>
    </row>
    <row r="8277" spans="8:20" x14ac:dyDescent="0.35">
      <c r="H8277" s="711"/>
      <c r="I8277" s="711"/>
      <c r="J8277" s="711"/>
      <c r="K8277" s="711"/>
      <c r="L8277" s="711"/>
      <c r="Q8277" s="11"/>
      <c r="R8277" s="11"/>
      <c r="S8277" s="11"/>
      <c r="T8277" s="11"/>
    </row>
    <row r="8278" spans="8:20" x14ac:dyDescent="0.35">
      <c r="H8278" s="711"/>
      <c r="I8278" s="711"/>
      <c r="J8278" s="711"/>
      <c r="K8278" s="711"/>
      <c r="L8278" s="711"/>
      <c r="Q8278" s="11"/>
      <c r="R8278" s="11"/>
      <c r="S8278" s="11"/>
      <c r="T8278" s="11"/>
    </row>
    <row r="8279" spans="8:20" x14ac:dyDescent="0.35">
      <c r="H8279" s="711"/>
      <c r="I8279" s="711"/>
      <c r="J8279" s="711"/>
      <c r="K8279" s="711"/>
      <c r="L8279" s="711"/>
      <c r="Q8279" s="11"/>
      <c r="R8279" s="11"/>
      <c r="S8279" s="11"/>
      <c r="T8279" s="11"/>
    </row>
    <row r="8280" spans="8:20" x14ac:dyDescent="0.35">
      <c r="H8280" s="711"/>
      <c r="I8280" s="711"/>
      <c r="J8280" s="711"/>
      <c r="K8280" s="711"/>
      <c r="L8280" s="711"/>
      <c r="Q8280" s="11"/>
      <c r="R8280" s="11"/>
      <c r="S8280" s="11"/>
      <c r="T8280" s="11"/>
    </row>
    <row r="8281" spans="8:20" x14ac:dyDescent="0.35">
      <c r="H8281" s="711"/>
      <c r="I8281" s="711"/>
      <c r="J8281" s="711"/>
      <c r="K8281" s="711"/>
      <c r="L8281" s="711"/>
      <c r="Q8281" s="11"/>
      <c r="R8281" s="11"/>
      <c r="S8281" s="11"/>
      <c r="T8281" s="11"/>
    </row>
    <row r="8282" spans="8:20" x14ac:dyDescent="0.35">
      <c r="H8282" s="711"/>
      <c r="I8282" s="711"/>
      <c r="J8282" s="711"/>
      <c r="K8282" s="711"/>
      <c r="L8282" s="711"/>
      <c r="Q8282" s="11"/>
      <c r="R8282" s="11"/>
      <c r="S8282" s="11"/>
      <c r="T8282" s="11"/>
    </row>
    <row r="8283" spans="8:20" x14ac:dyDescent="0.35">
      <c r="H8283" s="711"/>
      <c r="I8283" s="711"/>
      <c r="J8283" s="711"/>
      <c r="K8283" s="711"/>
      <c r="L8283" s="711"/>
      <c r="Q8283" s="11"/>
      <c r="R8283" s="11"/>
      <c r="S8283" s="11"/>
      <c r="T8283" s="11"/>
    </row>
    <row r="8284" spans="8:20" x14ac:dyDescent="0.35">
      <c r="H8284" s="711"/>
      <c r="I8284" s="711"/>
      <c r="J8284" s="711"/>
      <c r="K8284" s="711"/>
      <c r="L8284" s="711"/>
      <c r="Q8284" s="11"/>
      <c r="R8284" s="11"/>
      <c r="S8284" s="11"/>
      <c r="T8284" s="11"/>
    </row>
    <row r="8285" spans="8:20" x14ac:dyDescent="0.35">
      <c r="H8285" s="711"/>
      <c r="I8285" s="711"/>
      <c r="J8285" s="711"/>
      <c r="K8285" s="711"/>
      <c r="L8285" s="711"/>
      <c r="Q8285" s="11"/>
      <c r="R8285" s="11"/>
      <c r="S8285" s="11"/>
      <c r="T8285" s="11"/>
    </row>
    <row r="8286" spans="8:20" x14ac:dyDescent="0.35">
      <c r="H8286" s="711"/>
      <c r="I8286" s="711"/>
      <c r="J8286" s="711"/>
      <c r="K8286" s="711"/>
      <c r="L8286" s="711"/>
      <c r="Q8286" s="11"/>
      <c r="R8286" s="11"/>
      <c r="S8286" s="11"/>
      <c r="T8286" s="11"/>
    </row>
    <row r="8287" spans="8:20" x14ac:dyDescent="0.35">
      <c r="H8287" s="711"/>
      <c r="I8287" s="711"/>
      <c r="J8287" s="711"/>
      <c r="K8287" s="711"/>
      <c r="L8287" s="711"/>
      <c r="Q8287" s="11"/>
      <c r="R8287" s="11"/>
      <c r="S8287" s="11"/>
      <c r="T8287" s="11"/>
    </row>
    <row r="8288" spans="8:20" x14ac:dyDescent="0.35">
      <c r="H8288" s="711"/>
      <c r="I8288" s="711"/>
      <c r="J8288" s="711"/>
      <c r="K8288" s="711"/>
      <c r="L8288" s="711"/>
      <c r="Q8288" s="11"/>
      <c r="R8288" s="11"/>
      <c r="S8288" s="11"/>
      <c r="T8288" s="11"/>
    </row>
    <row r="8289" spans="8:20" x14ac:dyDescent="0.35">
      <c r="H8289" s="711"/>
      <c r="I8289" s="711"/>
      <c r="J8289" s="711"/>
      <c r="K8289" s="711"/>
      <c r="L8289" s="711"/>
      <c r="Q8289" s="11"/>
      <c r="R8289" s="11"/>
      <c r="S8289" s="11"/>
      <c r="T8289" s="11"/>
    </row>
    <row r="8290" spans="8:20" x14ac:dyDescent="0.35">
      <c r="H8290" s="711"/>
      <c r="I8290" s="711"/>
      <c r="J8290" s="711"/>
      <c r="K8290" s="711"/>
      <c r="L8290" s="711"/>
      <c r="Q8290" s="11"/>
      <c r="R8290" s="11"/>
      <c r="S8290" s="11"/>
      <c r="T8290" s="11"/>
    </row>
    <row r="8291" spans="8:20" x14ac:dyDescent="0.35">
      <c r="H8291" s="711"/>
      <c r="I8291" s="711"/>
      <c r="J8291" s="711"/>
      <c r="K8291" s="711"/>
      <c r="L8291" s="711"/>
      <c r="Q8291" s="11"/>
      <c r="R8291" s="11"/>
      <c r="S8291" s="11"/>
      <c r="T8291" s="11"/>
    </row>
    <row r="8292" spans="8:20" x14ac:dyDescent="0.35">
      <c r="H8292" s="711"/>
      <c r="I8292" s="711"/>
      <c r="J8292" s="711"/>
      <c r="K8292" s="711"/>
      <c r="L8292" s="711"/>
      <c r="Q8292" s="11"/>
      <c r="R8292" s="11"/>
      <c r="S8292" s="11"/>
      <c r="T8292" s="11"/>
    </row>
    <row r="8293" spans="8:20" x14ac:dyDescent="0.35">
      <c r="H8293" s="711"/>
      <c r="I8293" s="711"/>
      <c r="J8293" s="711"/>
      <c r="K8293" s="711"/>
      <c r="L8293" s="711"/>
      <c r="Q8293" s="11"/>
      <c r="R8293" s="11"/>
      <c r="S8293" s="11"/>
      <c r="T8293" s="11"/>
    </row>
    <row r="8294" spans="8:20" x14ac:dyDescent="0.35">
      <c r="H8294" s="711"/>
      <c r="I8294" s="711"/>
      <c r="J8294" s="711"/>
      <c r="K8294" s="711"/>
      <c r="L8294" s="711"/>
      <c r="Q8294" s="11"/>
      <c r="R8294" s="11"/>
      <c r="S8294" s="11"/>
      <c r="T8294" s="11"/>
    </row>
    <row r="8295" spans="8:20" x14ac:dyDescent="0.35">
      <c r="H8295" s="711"/>
      <c r="I8295" s="711"/>
      <c r="J8295" s="711"/>
      <c r="K8295" s="711"/>
      <c r="L8295" s="711"/>
      <c r="Q8295" s="11"/>
      <c r="R8295" s="11"/>
      <c r="S8295" s="11"/>
      <c r="T8295" s="11"/>
    </row>
    <row r="8296" spans="8:20" x14ac:dyDescent="0.35">
      <c r="H8296" s="711"/>
      <c r="I8296" s="711"/>
      <c r="J8296" s="711"/>
      <c r="K8296" s="711"/>
      <c r="L8296" s="711"/>
      <c r="Q8296" s="11"/>
      <c r="R8296" s="11"/>
      <c r="S8296" s="11"/>
      <c r="T8296" s="11"/>
    </row>
    <row r="8297" spans="8:20" x14ac:dyDescent="0.35">
      <c r="H8297" s="711"/>
      <c r="I8297" s="711"/>
      <c r="J8297" s="711"/>
      <c r="K8297" s="711"/>
      <c r="L8297" s="711"/>
      <c r="Q8297" s="11"/>
      <c r="R8297" s="11"/>
      <c r="S8297" s="11"/>
      <c r="T8297" s="11"/>
    </row>
    <row r="8298" spans="8:20" x14ac:dyDescent="0.35">
      <c r="H8298" s="711"/>
      <c r="I8298" s="711"/>
      <c r="J8298" s="711"/>
      <c r="K8298" s="711"/>
      <c r="L8298" s="711"/>
      <c r="Q8298" s="11"/>
      <c r="R8298" s="11"/>
      <c r="S8298" s="11"/>
      <c r="T8298" s="11"/>
    </row>
    <row r="8299" spans="8:20" x14ac:dyDescent="0.35">
      <c r="H8299" s="711"/>
      <c r="I8299" s="711"/>
      <c r="J8299" s="711"/>
      <c r="K8299" s="711"/>
      <c r="L8299" s="711"/>
      <c r="Q8299" s="11"/>
      <c r="R8299" s="11"/>
      <c r="S8299" s="11"/>
      <c r="T8299" s="11"/>
    </row>
    <row r="8300" spans="8:20" x14ac:dyDescent="0.35">
      <c r="H8300" s="711"/>
      <c r="I8300" s="711"/>
      <c r="J8300" s="711"/>
      <c r="K8300" s="711"/>
      <c r="L8300" s="711"/>
      <c r="Q8300" s="11"/>
      <c r="R8300" s="11"/>
      <c r="S8300" s="11"/>
      <c r="T8300" s="11"/>
    </row>
    <row r="8301" spans="8:20" x14ac:dyDescent="0.35">
      <c r="H8301" s="711"/>
      <c r="I8301" s="711"/>
      <c r="J8301" s="711"/>
      <c r="K8301" s="711"/>
      <c r="L8301" s="711"/>
      <c r="Q8301" s="11"/>
      <c r="R8301" s="11"/>
      <c r="S8301" s="11"/>
      <c r="T8301" s="11"/>
    </row>
    <row r="8302" spans="8:20" x14ac:dyDescent="0.35">
      <c r="H8302" s="711"/>
      <c r="I8302" s="711"/>
      <c r="J8302" s="711"/>
      <c r="K8302" s="711"/>
      <c r="L8302" s="711"/>
      <c r="Q8302" s="11"/>
      <c r="R8302" s="11"/>
      <c r="S8302" s="11"/>
      <c r="T8302" s="11"/>
    </row>
    <row r="8303" spans="8:20" x14ac:dyDescent="0.35">
      <c r="H8303" s="711"/>
      <c r="I8303" s="711"/>
      <c r="J8303" s="711"/>
      <c r="K8303" s="711"/>
      <c r="L8303" s="711"/>
      <c r="Q8303" s="11"/>
      <c r="R8303" s="11"/>
      <c r="S8303" s="11"/>
      <c r="T8303" s="11"/>
    </row>
    <row r="8304" spans="8:20" x14ac:dyDescent="0.35">
      <c r="H8304" s="711"/>
      <c r="I8304" s="711"/>
      <c r="J8304" s="711"/>
      <c r="K8304" s="711"/>
      <c r="L8304" s="711"/>
      <c r="Q8304" s="11"/>
      <c r="R8304" s="11"/>
      <c r="S8304" s="11"/>
      <c r="T8304" s="11"/>
    </row>
    <row r="8305" spans="8:20" x14ac:dyDescent="0.35">
      <c r="H8305" s="711"/>
      <c r="I8305" s="711"/>
      <c r="J8305" s="711"/>
      <c r="K8305" s="711"/>
      <c r="L8305" s="711"/>
      <c r="Q8305" s="11"/>
      <c r="R8305" s="11"/>
      <c r="S8305" s="11"/>
      <c r="T8305" s="11"/>
    </row>
    <row r="8306" spans="8:20" x14ac:dyDescent="0.35">
      <c r="H8306" s="711"/>
      <c r="I8306" s="711"/>
      <c r="J8306" s="711"/>
      <c r="K8306" s="711"/>
      <c r="L8306" s="711"/>
      <c r="Q8306" s="11"/>
      <c r="R8306" s="11"/>
      <c r="S8306" s="11"/>
      <c r="T8306" s="11"/>
    </row>
    <row r="8307" spans="8:20" x14ac:dyDescent="0.35">
      <c r="H8307" s="711"/>
      <c r="I8307" s="711"/>
      <c r="J8307" s="711"/>
      <c r="K8307" s="711"/>
      <c r="L8307" s="711"/>
      <c r="Q8307" s="11"/>
      <c r="R8307" s="11"/>
      <c r="S8307" s="11"/>
      <c r="T8307" s="11"/>
    </row>
    <row r="8308" spans="8:20" x14ac:dyDescent="0.35">
      <c r="H8308" s="711"/>
      <c r="I8308" s="711"/>
      <c r="J8308" s="711"/>
      <c r="K8308" s="711"/>
      <c r="L8308" s="711"/>
      <c r="Q8308" s="11"/>
      <c r="R8308" s="11"/>
      <c r="S8308" s="11"/>
      <c r="T8308" s="11"/>
    </row>
    <row r="8309" spans="8:20" x14ac:dyDescent="0.35">
      <c r="H8309" s="711"/>
      <c r="I8309" s="711"/>
      <c r="J8309" s="711"/>
      <c r="K8309" s="711"/>
      <c r="L8309" s="711"/>
      <c r="Q8309" s="11"/>
      <c r="R8309" s="11"/>
      <c r="S8309" s="11"/>
      <c r="T8309" s="11"/>
    </row>
    <row r="8310" spans="8:20" x14ac:dyDescent="0.35">
      <c r="H8310" s="711"/>
      <c r="I8310" s="711"/>
      <c r="J8310" s="711"/>
      <c r="K8310" s="711"/>
      <c r="L8310" s="711"/>
      <c r="Q8310" s="11"/>
      <c r="R8310" s="11"/>
      <c r="S8310" s="11"/>
      <c r="T8310" s="11"/>
    </row>
    <row r="8311" spans="8:20" x14ac:dyDescent="0.35">
      <c r="H8311" s="711"/>
      <c r="I8311" s="711"/>
      <c r="J8311" s="711"/>
      <c r="K8311" s="711"/>
      <c r="L8311" s="711"/>
      <c r="Q8311" s="11"/>
      <c r="R8311" s="11"/>
      <c r="S8311" s="11"/>
      <c r="T8311" s="11"/>
    </row>
    <row r="8312" spans="8:20" x14ac:dyDescent="0.35">
      <c r="H8312" s="711"/>
      <c r="I8312" s="711"/>
      <c r="J8312" s="711"/>
      <c r="K8312" s="711"/>
      <c r="L8312" s="711"/>
      <c r="Q8312" s="11"/>
      <c r="R8312" s="11"/>
      <c r="S8312" s="11"/>
      <c r="T8312" s="11"/>
    </row>
    <row r="8313" spans="8:20" x14ac:dyDescent="0.35">
      <c r="H8313" s="711"/>
      <c r="I8313" s="711"/>
      <c r="J8313" s="711"/>
      <c r="K8313" s="711"/>
      <c r="L8313" s="711"/>
      <c r="Q8313" s="11"/>
      <c r="R8313" s="11"/>
      <c r="S8313" s="11"/>
      <c r="T8313" s="11"/>
    </row>
    <row r="8314" spans="8:20" x14ac:dyDescent="0.35">
      <c r="H8314" s="711"/>
      <c r="I8314" s="711"/>
      <c r="J8314" s="711"/>
      <c r="K8314" s="711"/>
      <c r="L8314" s="711"/>
      <c r="Q8314" s="11"/>
      <c r="R8314" s="11"/>
      <c r="S8314" s="11"/>
      <c r="T8314" s="11"/>
    </row>
    <row r="8315" spans="8:20" x14ac:dyDescent="0.35">
      <c r="H8315" s="711"/>
      <c r="I8315" s="711"/>
      <c r="J8315" s="711"/>
      <c r="K8315" s="711"/>
      <c r="L8315" s="711"/>
      <c r="Q8315" s="11"/>
      <c r="R8315" s="11"/>
      <c r="S8315" s="11"/>
      <c r="T8315" s="11"/>
    </row>
    <row r="8316" spans="8:20" x14ac:dyDescent="0.35">
      <c r="H8316" s="711"/>
      <c r="I8316" s="711"/>
      <c r="J8316" s="711"/>
      <c r="K8316" s="711"/>
      <c r="L8316" s="711"/>
      <c r="Q8316" s="11"/>
      <c r="R8316" s="11"/>
      <c r="S8316" s="11"/>
      <c r="T8316" s="11"/>
    </row>
    <row r="8317" spans="8:20" x14ac:dyDescent="0.35">
      <c r="H8317" s="711"/>
      <c r="I8317" s="711"/>
      <c r="J8317" s="711"/>
      <c r="K8317" s="711"/>
      <c r="L8317" s="711"/>
      <c r="Q8317" s="11"/>
      <c r="R8317" s="11"/>
      <c r="S8317" s="11"/>
      <c r="T8317" s="11"/>
    </row>
    <row r="8318" spans="8:20" x14ac:dyDescent="0.35">
      <c r="H8318" s="711"/>
      <c r="I8318" s="711"/>
      <c r="J8318" s="711"/>
      <c r="K8318" s="711"/>
      <c r="L8318" s="711"/>
      <c r="Q8318" s="11"/>
      <c r="R8318" s="11"/>
      <c r="S8318" s="11"/>
      <c r="T8318" s="11"/>
    </row>
    <row r="8319" spans="8:20" x14ac:dyDescent="0.35">
      <c r="H8319" s="711"/>
      <c r="I8319" s="711"/>
      <c r="J8319" s="711"/>
      <c r="K8319" s="711"/>
      <c r="L8319" s="711"/>
      <c r="Q8319" s="11"/>
      <c r="R8319" s="11"/>
      <c r="S8319" s="11"/>
      <c r="T8319" s="11"/>
    </row>
    <row r="8320" spans="8:20" x14ac:dyDescent="0.35">
      <c r="H8320" s="711"/>
      <c r="I8320" s="711"/>
      <c r="J8320" s="711"/>
      <c r="K8320" s="711"/>
      <c r="L8320" s="711"/>
      <c r="Q8320" s="11"/>
      <c r="R8320" s="11"/>
      <c r="S8320" s="11"/>
      <c r="T8320" s="11"/>
    </row>
    <row r="8321" spans="8:20" x14ac:dyDescent="0.35">
      <c r="H8321" s="711"/>
      <c r="I8321" s="711"/>
      <c r="J8321" s="711"/>
      <c r="K8321" s="711"/>
      <c r="L8321" s="711"/>
      <c r="Q8321" s="11"/>
      <c r="R8321" s="11"/>
      <c r="S8321" s="11"/>
      <c r="T8321" s="11"/>
    </row>
    <row r="8322" spans="8:20" x14ac:dyDescent="0.35">
      <c r="H8322" s="711"/>
      <c r="I8322" s="711"/>
      <c r="J8322" s="711"/>
      <c r="K8322" s="711"/>
      <c r="L8322" s="711"/>
      <c r="Q8322" s="11"/>
      <c r="R8322" s="11"/>
      <c r="S8322" s="11"/>
      <c r="T8322" s="11"/>
    </row>
    <row r="8323" spans="8:20" x14ac:dyDescent="0.35">
      <c r="H8323" s="711"/>
      <c r="I8323" s="711"/>
      <c r="J8323" s="711"/>
      <c r="K8323" s="711"/>
      <c r="L8323" s="711"/>
      <c r="Q8323" s="11"/>
      <c r="R8323" s="11"/>
      <c r="S8323" s="11"/>
      <c r="T8323" s="11"/>
    </row>
    <row r="8324" spans="8:20" x14ac:dyDescent="0.35">
      <c r="H8324" s="711"/>
      <c r="I8324" s="711"/>
      <c r="J8324" s="711"/>
      <c r="K8324" s="711"/>
      <c r="L8324" s="711"/>
      <c r="Q8324" s="11"/>
      <c r="R8324" s="11"/>
      <c r="S8324" s="11"/>
      <c r="T8324" s="11"/>
    </row>
    <row r="8325" spans="8:20" x14ac:dyDescent="0.35">
      <c r="H8325" s="711"/>
      <c r="I8325" s="711"/>
      <c r="J8325" s="711"/>
      <c r="K8325" s="711"/>
      <c r="L8325" s="711"/>
      <c r="Q8325" s="11"/>
      <c r="R8325" s="11"/>
      <c r="S8325" s="11"/>
      <c r="T8325" s="11"/>
    </row>
    <row r="8326" spans="8:20" x14ac:dyDescent="0.35">
      <c r="H8326" s="711"/>
      <c r="I8326" s="711"/>
      <c r="J8326" s="711"/>
      <c r="K8326" s="711"/>
      <c r="L8326" s="711"/>
      <c r="Q8326" s="11"/>
      <c r="R8326" s="11"/>
      <c r="S8326" s="11"/>
      <c r="T8326" s="11"/>
    </row>
    <row r="8327" spans="8:20" x14ac:dyDescent="0.35">
      <c r="H8327" s="711"/>
      <c r="I8327" s="711"/>
      <c r="J8327" s="711"/>
      <c r="K8327" s="711"/>
      <c r="L8327" s="711"/>
      <c r="Q8327" s="11"/>
      <c r="R8327" s="11"/>
      <c r="S8327" s="11"/>
      <c r="T8327" s="11"/>
    </row>
    <row r="8328" spans="8:20" x14ac:dyDescent="0.35">
      <c r="H8328" s="711"/>
      <c r="I8328" s="711"/>
      <c r="J8328" s="711"/>
      <c r="K8328" s="711"/>
      <c r="L8328" s="711"/>
      <c r="Q8328" s="11"/>
      <c r="R8328" s="11"/>
      <c r="S8328" s="11"/>
      <c r="T8328" s="11"/>
    </row>
    <row r="8329" spans="8:20" x14ac:dyDescent="0.35">
      <c r="H8329" s="711"/>
      <c r="I8329" s="711"/>
      <c r="J8329" s="711"/>
      <c r="K8329" s="711"/>
      <c r="L8329" s="711"/>
      <c r="Q8329" s="11"/>
      <c r="R8329" s="11"/>
      <c r="S8329" s="11"/>
      <c r="T8329" s="11"/>
    </row>
    <row r="8330" spans="8:20" x14ac:dyDescent="0.35">
      <c r="H8330" s="711"/>
      <c r="I8330" s="711"/>
      <c r="J8330" s="711"/>
      <c r="K8330" s="711"/>
      <c r="L8330" s="711"/>
      <c r="Q8330" s="11"/>
      <c r="R8330" s="11"/>
      <c r="S8330" s="11"/>
      <c r="T8330" s="11"/>
    </row>
    <row r="8331" spans="8:20" x14ac:dyDescent="0.35">
      <c r="H8331" s="711"/>
      <c r="I8331" s="711"/>
      <c r="J8331" s="711"/>
      <c r="K8331" s="711"/>
      <c r="L8331" s="711"/>
      <c r="Q8331" s="11"/>
      <c r="R8331" s="11"/>
      <c r="S8331" s="11"/>
      <c r="T8331" s="11"/>
    </row>
    <row r="8332" spans="8:20" x14ac:dyDescent="0.35">
      <c r="H8332" s="711"/>
      <c r="I8332" s="711"/>
      <c r="J8332" s="711"/>
      <c r="K8332" s="711"/>
      <c r="L8332" s="711"/>
      <c r="Q8332" s="11"/>
      <c r="R8332" s="11"/>
      <c r="S8332" s="11"/>
      <c r="T8332" s="11"/>
    </row>
    <row r="8333" spans="8:20" x14ac:dyDescent="0.35">
      <c r="H8333" s="711"/>
      <c r="I8333" s="711"/>
      <c r="J8333" s="711"/>
      <c r="K8333" s="711"/>
      <c r="L8333" s="711"/>
      <c r="Q8333" s="11"/>
      <c r="R8333" s="11"/>
      <c r="S8333" s="11"/>
      <c r="T8333" s="11"/>
    </row>
    <row r="8334" spans="8:20" x14ac:dyDescent="0.35">
      <c r="H8334" s="711"/>
      <c r="I8334" s="711"/>
      <c r="J8334" s="711"/>
      <c r="K8334" s="711"/>
      <c r="L8334" s="711"/>
      <c r="Q8334" s="11"/>
      <c r="R8334" s="11"/>
      <c r="S8334" s="11"/>
      <c r="T8334" s="11"/>
    </row>
    <row r="8335" spans="8:20" x14ac:dyDescent="0.35">
      <c r="H8335" s="711"/>
      <c r="I8335" s="711"/>
      <c r="J8335" s="711"/>
      <c r="K8335" s="711"/>
      <c r="L8335" s="711"/>
      <c r="Q8335" s="11"/>
      <c r="R8335" s="11"/>
      <c r="S8335" s="11"/>
      <c r="T8335" s="11"/>
    </row>
    <row r="8336" spans="8:20" x14ac:dyDescent="0.35">
      <c r="H8336" s="711"/>
      <c r="I8336" s="711"/>
      <c r="J8336" s="711"/>
      <c r="K8336" s="711"/>
      <c r="L8336" s="711"/>
      <c r="Q8336" s="11"/>
      <c r="R8336" s="11"/>
      <c r="S8336" s="11"/>
      <c r="T8336" s="11"/>
    </row>
    <row r="8337" spans="8:20" x14ac:dyDescent="0.35">
      <c r="H8337" s="711"/>
      <c r="I8337" s="711"/>
      <c r="J8337" s="711"/>
      <c r="K8337" s="711"/>
      <c r="L8337" s="711"/>
      <c r="Q8337" s="11"/>
      <c r="R8337" s="11"/>
      <c r="S8337" s="11"/>
      <c r="T8337" s="11"/>
    </row>
    <row r="8338" spans="8:20" x14ac:dyDescent="0.35">
      <c r="H8338" s="711"/>
      <c r="I8338" s="711"/>
      <c r="J8338" s="711"/>
      <c r="K8338" s="711"/>
      <c r="L8338" s="711"/>
      <c r="Q8338" s="11"/>
      <c r="R8338" s="11"/>
      <c r="S8338" s="11"/>
      <c r="T8338" s="11"/>
    </row>
    <row r="8339" spans="8:20" x14ac:dyDescent="0.35">
      <c r="H8339" s="711"/>
      <c r="I8339" s="711"/>
      <c r="J8339" s="711"/>
      <c r="K8339" s="711"/>
      <c r="L8339" s="711"/>
      <c r="Q8339" s="11"/>
      <c r="R8339" s="11"/>
      <c r="S8339" s="11"/>
      <c r="T8339" s="11"/>
    </row>
    <row r="8340" spans="8:20" x14ac:dyDescent="0.35">
      <c r="H8340" s="711"/>
      <c r="I8340" s="711"/>
      <c r="J8340" s="711"/>
      <c r="K8340" s="711"/>
      <c r="L8340" s="711"/>
      <c r="Q8340" s="11"/>
      <c r="R8340" s="11"/>
      <c r="S8340" s="11"/>
      <c r="T8340" s="11"/>
    </row>
    <row r="8341" spans="8:20" x14ac:dyDescent="0.35">
      <c r="H8341" s="711"/>
      <c r="I8341" s="711"/>
      <c r="J8341" s="711"/>
      <c r="K8341" s="711"/>
      <c r="L8341" s="711"/>
      <c r="Q8341" s="11"/>
      <c r="R8341" s="11"/>
      <c r="S8341" s="11"/>
      <c r="T8341" s="11"/>
    </row>
    <row r="8342" spans="8:20" x14ac:dyDescent="0.35">
      <c r="H8342" s="711"/>
      <c r="I8342" s="711"/>
      <c r="J8342" s="711"/>
      <c r="K8342" s="711"/>
      <c r="L8342" s="711"/>
      <c r="Q8342" s="11"/>
      <c r="R8342" s="11"/>
      <c r="S8342" s="11"/>
      <c r="T8342" s="11"/>
    </row>
    <row r="8343" spans="8:20" x14ac:dyDescent="0.35">
      <c r="H8343" s="711"/>
      <c r="I8343" s="711"/>
      <c r="J8343" s="711"/>
      <c r="K8343" s="711"/>
      <c r="L8343" s="711"/>
      <c r="Q8343" s="11"/>
      <c r="R8343" s="11"/>
      <c r="S8343" s="11"/>
      <c r="T8343" s="11"/>
    </row>
    <row r="8344" spans="8:20" x14ac:dyDescent="0.35">
      <c r="H8344" s="711"/>
      <c r="I8344" s="711"/>
      <c r="J8344" s="711"/>
      <c r="K8344" s="711"/>
      <c r="L8344" s="711"/>
      <c r="Q8344" s="11"/>
      <c r="R8344" s="11"/>
      <c r="S8344" s="11"/>
      <c r="T8344" s="11"/>
    </row>
    <row r="8345" spans="8:20" x14ac:dyDescent="0.35">
      <c r="H8345" s="711"/>
      <c r="I8345" s="711"/>
      <c r="J8345" s="711"/>
      <c r="K8345" s="711"/>
      <c r="L8345" s="711"/>
      <c r="Q8345" s="11"/>
      <c r="R8345" s="11"/>
      <c r="S8345" s="11"/>
      <c r="T8345" s="11"/>
    </row>
    <row r="8346" spans="8:20" x14ac:dyDescent="0.35">
      <c r="H8346" s="711"/>
      <c r="I8346" s="711"/>
      <c r="J8346" s="711"/>
      <c r="K8346" s="711"/>
      <c r="L8346" s="711"/>
      <c r="Q8346" s="11"/>
      <c r="R8346" s="11"/>
      <c r="S8346" s="11"/>
      <c r="T8346" s="11"/>
    </row>
    <row r="8347" spans="8:20" x14ac:dyDescent="0.35">
      <c r="H8347" s="711"/>
      <c r="I8347" s="711"/>
      <c r="J8347" s="711"/>
      <c r="K8347" s="711"/>
      <c r="L8347" s="711"/>
      <c r="Q8347" s="11"/>
      <c r="R8347" s="11"/>
      <c r="S8347" s="11"/>
      <c r="T8347" s="11"/>
    </row>
    <row r="8348" spans="8:20" x14ac:dyDescent="0.35">
      <c r="H8348" s="711"/>
      <c r="I8348" s="711"/>
      <c r="J8348" s="711"/>
      <c r="K8348" s="711"/>
      <c r="L8348" s="711"/>
      <c r="Q8348" s="11"/>
      <c r="R8348" s="11"/>
      <c r="S8348" s="11"/>
      <c r="T8348" s="11"/>
    </row>
    <row r="8349" spans="8:20" x14ac:dyDescent="0.35">
      <c r="H8349" s="711"/>
      <c r="I8349" s="711"/>
      <c r="J8349" s="711"/>
      <c r="K8349" s="711"/>
      <c r="L8349" s="711"/>
      <c r="Q8349" s="11"/>
      <c r="R8349" s="11"/>
      <c r="S8349" s="11"/>
      <c r="T8349" s="11"/>
    </row>
    <row r="8350" spans="8:20" x14ac:dyDescent="0.35">
      <c r="H8350" s="711"/>
      <c r="I8350" s="711"/>
      <c r="J8350" s="711"/>
      <c r="K8350" s="711"/>
      <c r="L8350" s="711"/>
      <c r="Q8350" s="11"/>
      <c r="R8350" s="11"/>
      <c r="S8350" s="11"/>
      <c r="T8350" s="11"/>
    </row>
    <row r="8351" spans="8:20" x14ac:dyDescent="0.35">
      <c r="H8351" s="711"/>
      <c r="I8351" s="711"/>
      <c r="J8351" s="711"/>
      <c r="K8351" s="711"/>
      <c r="L8351" s="711"/>
      <c r="Q8351" s="11"/>
      <c r="R8351" s="11"/>
      <c r="S8351" s="11"/>
      <c r="T8351" s="11"/>
    </row>
    <row r="8352" spans="8:20" x14ac:dyDescent="0.35">
      <c r="H8352" s="711"/>
      <c r="I8352" s="711"/>
      <c r="J8352" s="711"/>
      <c r="K8352" s="711"/>
      <c r="L8352" s="711"/>
      <c r="Q8352" s="11"/>
      <c r="R8352" s="11"/>
      <c r="S8352" s="11"/>
      <c r="T8352" s="11"/>
    </row>
    <row r="8353" spans="8:20" x14ac:dyDescent="0.35">
      <c r="H8353" s="711"/>
      <c r="I8353" s="711"/>
      <c r="J8353" s="711"/>
      <c r="K8353" s="711"/>
      <c r="L8353" s="711"/>
      <c r="Q8353" s="11"/>
      <c r="R8353" s="11"/>
      <c r="S8353" s="11"/>
      <c r="T8353" s="11"/>
    </row>
    <row r="8354" spans="8:20" x14ac:dyDescent="0.35">
      <c r="H8354" s="711"/>
      <c r="I8354" s="711"/>
      <c r="J8354" s="711"/>
      <c r="K8354" s="711"/>
      <c r="L8354" s="711"/>
      <c r="Q8354" s="11"/>
      <c r="R8354" s="11"/>
      <c r="S8354" s="11"/>
      <c r="T8354" s="11"/>
    </row>
    <row r="8355" spans="8:20" x14ac:dyDescent="0.35">
      <c r="H8355" s="711"/>
      <c r="I8355" s="711"/>
      <c r="J8355" s="711"/>
      <c r="K8355" s="711"/>
      <c r="L8355" s="711"/>
      <c r="Q8355" s="11"/>
      <c r="R8355" s="11"/>
      <c r="S8355" s="11"/>
      <c r="T8355" s="11"/>
    </row>
    <row r="8356" spans="8:20" x14ac:dyDescent="0.35">
      <c r="H8356" s="711"/>
      <c r="I8356" s="711"/>
      <c r="J8356" s="711"/>
      <c r="K8356" s="711"/>
      <c r="L8356" s="711"/>
      <c r="Q8356" s="11"/>
      <c r="R8356" s="11"/>
      <c r="S8356" s="11"/>
      <c r="T8356" s="11"/>
    </row>
    <row r="8357" spans="8:20" x14ac:dyDescent="0.35">
      <c r="H8357" s="711"/>
      <c r="I8357" s="711"/>
      <c r="J8357" s="711"/>
      <c r="K8357" s="711"/>
      <c r="L8357" s="711"/>
      <c r="Q8357" s="11"/>
      <c r="R8357" s="11"/>
      <c r="S8357" s="11"/>
      <c r="T8357" s="11"/>
    </row>
    <row r="8358" spans="8:20" x14ac:dyDescent="0.35">
      <c r="H8358" s="711"/>
      <c r="I8358" s="711"/>
      <c r="J8358" s="711"/>
      <c r="K8358" s="711"/>
      <c r="L8358" s="711"/>
      <c r="Q8358" s="11"/>
      <c r="R8358" s="11"/>
      <c r="S8358" s="11"/>
      <c r="T8358" s="11"/>
    </row>
    <row r="8359" spans="8:20" x14ac:dyDescent="0.35">
      <c r="H8359" s="711"/>
      <c r="I8359" s="711"/>
      <c r="J8359" s="711"/>
      <c r="K8359" s="711"/>
      <c r="L8359" s="711"/>
      <c r="Q8359" s="11"/>
      <c r="R8359" s="11"/>
      <c r="S8359" s="11"/>
      <c r="T8359" s="11"/>
    </row>
    <row r="8360" spans="8:20" x14ac:dyDescent="0.35">
      <c r="H8360" s="711"/>
      <c r="I8360" s="711"/>
      <c r="J8360" s="711"/>
      <c r="K8360" s="711"/>
      <c r="L8360" s="711"/>
      <c r="Q8360" s="11"/>
      <c r="R8360" s="11"/>
      <c r="S8360" s="11"/>
      <c r="T8360" s="11"/>
    </row>
    <row r="8361" spans="8:20" x14ac:dyDescent="0.35">
      <c r="H8361" s="711"/>
      <c r="I8361" s="711"/>
      <c r="J8361" s="711"/>
      <c r="K8361" s="711"/>
      <c r="L8361" s="711"/>
      <c r="Q8361" s="11"/>
      <c r="R8361" s="11"/>
      <c r="S8361" s="11"/>
      <c r="T8361" s="11"/>
    </row>
    <row r="8362" spans="8:20" x14ac:dyDescent="0.35">
      <c r="H8362" s="711"/>
      <c r="I8362" s="711"/>
      <c r="J8362" s="711"/>
      <c r="K8362" s="711"/>
      <c r="L8362" s="711"/>
      <c r="Q8362" s="11"/>
      <c r="R8362" s="11"/>
      <c r="S8362" s="11"/>
      <c r="T8362" s="11"/>
    </row>
    <row r="8363" spans="8:20" x14ac:dyDescent="0.35">
      <c r="H8363" s="711"/>
      <c r="I8363" s="711"/>
      <c r="J8363" s="711"/>
      <c r="K8363" s="711"/>
      <c r="L8363" s="711"/>
      <c r="Q8363" s="11"/>
      <c r="R8363" s="11"/>
      <c r="S8363" s="11"/>
      <c r="T8363" s="11"/>
    </row>
    <row r="8364" spans="8:20" x14ac:dyDescent="0.35">
      <c r="H8364" s="711"/>
      <c r="I8364" s="711"/>
      <c r="J8364" s="711"/>
      <c r="K8364" s="711"/>
      <c r="L8364" s="711"/>
      <c r="Q8364" s="11"/>
      <c r="R8364" s="11"/>
      <c r="S8364" s="11"/>
      <c r="T8364" s="11"/>
    </row>
    <row r="8365" spans="8:20" x14ac:dyDescent="0.35">
      <c r="H8365" s="711"/>
      <c r="I8365" s="711"/>
      <c r="J8365" s="711"/>
      <c r="K8365" s="711"/>
      <c r="L8365" s="711"/>
      <c r="Q8365" s="11"/>
      <c r="R8365" s="11"/>
      <c r="S8365" s="11"/>
      <c r="T8365" s="11"/>
    </row>
    <row r="8366" spans="8:20" x14ac:dyDescent="0.35">
      <c r="H8366" s="711"/>
      <c r="I8366" s="711"/>
      <c r="J8366" s="711"/>
      <c r="K8366" s="711"/>
      <c r="L8366" s="711"/>
      <c r="Q8366" s="11"/>
      <c r="R8366" s="11"/>
      <c r="S8366" s="11"/>
      <c r="T8366" s="11"/>
    </row>
    <row r="8367" spans="8:20" x14ac:dyDescent="0.35">
      <c r="H8367" s="711"/>
      <c r="I8367" s="711"/>
      <c r="J8367" s="711"/>
      <c r="K8367" s="711"/>
      <c r="L8367" s="711"/>
      <c r="Q8367" s="11"/>
      <c r="R8367" s="11"/>
      <c r="S8367" s="11"/>
      <c r="T8367" s="11"/>
    </row>
    <row r="8368" spans="8:20" x14ac:dyDescent="0.35">
      <c r="H8368" s="711"/>
      <c r="I8368" s="711"/>
      <c r="J8368" s="711"/>
      <c r="K8368" s="711"/>
      <c r="L8368" s="711"/>
      <c r="Q8368" s="11"/>
      <c r="R8368" s="11"/>
      <c r="S8368" s="11"/>
      <c r="T8368" s="11"/>
    </row>
    <row r="8369" spans="8:20" x14ac:dyDescent="0.35">
      <c r="H8369" s="711"/>
      <c r="I8369" s="711"/>
      <c r="J8369" s="711"/>
      <c r="K8369" s="711"/>
      <c r="L8369" s="711"/>
      <c r="Q8369" s="11"/>
      <c r="R8369" s="11"/>
      <c r="S8369" s="11"/>
      <c r="T8369" s="11"/>
    </row>
    <row r="8370" spans="8:20" x14ac:dyDescent="0.35">
      <c r="H8370" s="711"/>
      <c r="I8370" s="711"/>
      <c r="J8370" s="711"/>
      <c r="K8370" s="711"/>
      <c r="L8370" s="711"/>
      <c r="Q8370" s="11"/>
      <c r="R8370" s="11"/>
      <c r="S8370" s="11"/>
      <c r="T8370" s="11"/>
    </row>
    <row r="8371" spans="8:20" x14ac:dyDescent="0.35">
      <c r="H8371" s="711"/>
      <c r="I8371" s="711"/>
      <c r="J8371" s="711"/>
      <c r="K8371" s="711"/>
      <c r="L8371" s="711"/>
      <c r="Q8371" s="11"/>
      <c r="R8371" s="11"/>
      <c r="S8371" s="11"/>
      <c r="T8371" s="11"/>
    </row>
    <row r="8372" spans="8:20" x14ac:dyDescent="0.35">
      <c r="H8372" s="711"/>
      <c r="I8372" s="711"/>
      <c r="J8372" s="711"/>
      <c r="K8372" s="711"/>
      <c r="L8372" s="711"/>
      <c r="Q8372" s="11"/>
      <c r="R8372" s="11"/>
      <c r="S8372" s="11"/>
      <c r="T8372" s="11"/>
    </row>
    <row r="8373" spans="8:20" x14ac:dyDescent="0.35">
      <c r="H8373" s="711"/>
      <c r="I8373" s="711"/>
      <c r="J8373" s="711"/>
      <c r="K8373" s="711"/>
      <c r="L8373" s="711"/>
      <c r="Q8373" s="11"/>
      <c r="R8373" s="11"/>
      <c r="S8373" s="11"/>
      <c r="T8373" s="11"/>
    </row>
    <row r="8374" spans="8:20" x14ac:dyDescent="0.35">
      <c r="H8374" s="711"/>
      <c r="I8374" s="711"/>
      <c r="J8374" s="711"/>
      <c r="K8374" s="711"/>
      <c r="L8374" s="711"/>
      <c r="Q8374" s="11"/>
      <c r="R8374" s="11"/>
      <c r="S8374" s="11"/>
      <c r="T8374" s="11"/>
    </row>
    <row r="8375" spans="8:20" x14ac:dyDescent="0.35">
      <c r="H8375" s="711"/>
      <c r="I8375" s="711"/>
      <c r="J8375" s="711"/>
      <c r="K8375" s="711"/>
      <c r="L8375" s="711"/>
      <c r="Q8375" s="11"/>
      <c r="R8375" s="11"/>
      <c r="S8375" s="11"/>
      <c r="T8375" s="11"/>
    </row>
    <row r="8376" spans="8:20" x14ac:dyDescent="0.35">
      <c r="H8376" s="711"/>
      <c r="I8376" s="711"/>
      <c r="J8376" s="711"/>
      <c r="K8376" s="711"/>
      <c r="L8376" s="711"/>
      <c r="Q8376" s="11"/>
      <c r="R8376" s="11"/>
      <c r="S8376" s="11"/>
      <c r="T8376" s="11"/>
    </row>
    <row r="8377" spans="8:20" x14ac:dyDescent="0.35">
      <c r="H8377" s="711"/>
      <c r="I8377" s="711"/>
      <c r="J8377" s="711"/>
      <c r="K8377" s="711"/>
      <c r="L8377" s="711"/>
      <c r="Q8377" s="11"/>
      <c r="R8377" s="11"/>
      <c r="S8377" s="11"/>
      <c r="T8377" s="11"/>
    </row>
    <row r="8378" spans="8:20" x14ac:dyDescent="0.35">
      <c r="H8378" s="711"/>
      <c r="I8378" s="711"/>
      <c r="J8378" s="711"/>
      <c r="K8378" s="711"/>
      <c r="L8378" s="711"/>
      <c r="Q8378" s="11"/>
      <c r="R8378" s="11"/>
      <c r="S8378" s="11"/>
      <c r="T8378" s="11"/>
    </row>
    <row r="8379" spans="8:20" x14ac:dyDescent="0.35">
      <c r="H8379" s="711"/>
      <c r="I8379" s="711"/>
      <c r="J8379" s="711"/>
      <c r="K8379" s="711"/>
      <c r="L8379" s="711"/>
      <c r="Q8379" s="11"/>
      <c r="R8379" s="11"/>
      <c r="S8379" s="11"/>
      <c r="T8379" s="11"/>
    </row>
    <row r="8380" spans="8:20" x14ac:dyDescent="0.35">
      <c r="H8380" s="711"/>
      <c r="I8380" s="711"/>
      <c r="J8380" s="711"/>
      <c r="K8380" s="711"/>
      <c r="L8380" s="711"/>
      <c r="Q8380" s="11"/>
      <c r="R8380" s="11"/>
      <c r="S8380" s="11"/>
      <c r="T8380" s="11"/>
    </row>
    <row r="8381" spans="8:20" x14ac:dyDescent="0.35">
      <c r="H8381" s="711"/>
      <c r="I8381" s="711"/>
      <c r="J8381" s="711"/>
      <c r="K8381" s="711"/>
      <c r="L8381" s="711"/>
      <c r="Q8381" s="11"/>
      <c r="R8381" s="11"/>
      <c r="S8381" s="11"/>
      <c r="T8381" s="11"/>
    </row>
    <row r="8382" spans="8:20" x14ac:dyDescent="0.35">
      <c r="H8382" s="711"/>
      <c r="I8382" s="711"/>
      <c r="J8382" s="711"/>
      <c r="K8382" s="711"/>
      <c r="L8382" s="711"/>
      <c r="Q8382" s="11"/>
      <c r="R8382" s="11"/>
      <c r="S8382" s="11"/>
      <c r="T8382" s="11"/>
    </row>
    <row r="8383" spans="8:20" x14ac:dyDescent="0.35">
      <c r="H8383" s="711"/>
      <c r="I8383" s="711"/>
      <c r="J8383" s="711"/>
      <c r="K8383" s="711"/>
      <c r="L8383" s="711"/>
      <c r="Q8383" s="11"/>
      <c r="R8383" s="11"/>
      <c r="S8383" s="11"/>
      <c r="T8383" s="11"/>
    </row>
    <row r="8384" spans="8:20" x14ac:dyDescent="0.35">
      <c r="H8384" s="711"/>
      <c r="I8384" s="711"/>
      <c r="J8384" s="711"/>
      <c r="K8384" s="711"/>
      <c r="L8384" s="711"/>
      <c r="Q8384" s="11"/>
      <c r="R8384" s="11"/>
      <c r="S8384" s="11"/>
      <c r="T8384" s="11"/>
    </row>
    <row r="8385" spans="8:20" x14ac:dyDescent="0.35">
      <c r="H8385" s="711"/>
      <c r="I8385" s="711"/>
      <c r="J8385" s="711"/>
      <c r="K8385" s="711"/>
      <c r="L8385" s="711"/>
      <c r="Q8385" s="11"/>
      <c r="R8385" s="11"/>
      <c r="S8385" s="11"/>
      <c r="T8385" s="11"/>
    </row>
    <row r="8386" spans="8:20" x14ac:dyDescent="0.35">
      <c r="H8386" s="711"/>
      <c r="I8386" s="711"/>
      <c r="J8386" s="711"/>
      <c r="K8386" s="711"/>
      <c r="L8386" s="711"/>
      <c r="Q8386" s="11"/>
      <c r="R8386" s="11"/>
      <c r="S8386" s="11"/>
      <c r="T8386" s="11"/>
    </row>
    <row r="8387" spans="8:20" x14ac:dyDescent="0.35">
      <c r="H8387" s="711"/>
      <c r="I8387" s="711"/>
      <c r="J8387" s="711"/>
      <c r="K8387" s="711"/>
      <c r="L8387" s="711"/>
      <c r="Q8387" s="11"/>
      <c r="R8387" s="11"/>
      <c r="S8387" s="11"/>
      <c r="T8387" s="11"/>
    </row>
    <row r="8388" spans="8:20" x14ac:dyDescent="0.35">
      <c r="H8388" s="711"/>
      <c r="I8388" s="711"/>
      <c r="J8388" s="711"/>
      <c r="K8388" s="711"/>
      <c r="L8388" s="711"/>
      <c r="Q8388" s="11"/>
      <c r="R8388" s="11"/>
      <c r="S8388" s="11"/>
      <c r="T8388" s="11"/>
    </row>
    <row r="8389" spans="8:20" x14ac:dyDescent="0.35">
      <c r="H8389" s="711"/>
      <c r="I8389" s="711"/>
      <c r="J8389" s="711"/>
      <c r="K8389" s="711"/>
      <c r="L8389" s="711"/>
      <c r="Q8389" s="11"/>
      <c r="R8389" s="11"/>
      <c r="S8389" s="11"/>
      <c r="T8389" s="11"/>
    </row>
    <row r="8390" spans="8:20" x14ac:dyDescent="0.35">
      <c r="H8390" s="711"/>
      <c r="I8390" s="711"/>
      <c r="J8390" s="711"/>
      <c r="K8390" s="711"/>
      <c r="L8390" s="711"/>
      <c r="Q8390" s="11"/>
      <c r="R8390" s="11"/>
      <c r="S8390" s="11"/>
      <c r="T8390" s="11"/>
    </row>
    <row r="8391" spans="8:20" x14ac:dyDescent="0.35">
      <c r="H8391" s="711"/>
      <c r="I8391" s="711"/>
      <c r="J8391" s="711"/>
      <c r="K8391" s="711"/>
      <c r="L8391" s="711"/>
      <c r="Q8391" s="11"/>
      <c r="R8391" s="11"/>
      <c r="S8391" s="11"/>
      <c r="T8391" s="11"/>
    </row>
    <row r="8392" spans="8:20" x14ac:dyDescent="0.35">
      <c r="H8392" s="711"/>
      <c r="I8392" s="711"/>
      <c r="J8392" s="711"/>
      <c r="K8392" s="711"/>
      <c r="L8392" s="711"/>
      <c r="Q8392" s="11"/>
      <c r="R8392" s="11"/>
      <c r="S8392" s="11"/>
      <c r="T8392" s="11"/>
    </row>
    <row r="8393" spans="8:20" x14ac:dyDescent="0.35">
      <c r="H8393" s="711"/>
      <c r="I8393" s="711"/>
      <c r="J8393" s="711"/>
      <c r="K8393" s="711"/>
      <c r="L8393" s="711"/>
      <c r="Q8393" s="11"/>
      <c r="R8393" s="11"/>
      <c r="S8393" s="11"/>
      <c r="T8393" s="11"/>
    </row>
    <row r="8394" spans="8:20" x14ac:dyDescent="0.35">
      <c r="H8394" s="711"/>
      <c r="I8394" s="711"/>
      <c r="J8394" s="711"/>
      <c r="K8394" s="711"/>
      <c r="L8394" s="711"/>
      <c r="Q8394" s="11"/>
      <c r="R8394" s="11"/>
      <c r="S8394" s="11"/>
      <c r="T8394" s="11"/>
    </row>
    <row r="8395" spans="8:20" x14ac:dyDescent="0.35">
      <c r="H8395" s="711"/>
      <c r="I8395" s="711"/>
      <c r="J8395" s="711"/>
      <c r="K8395" s="711"/>
      <c r="L8395" s="711"/>
      <c r="Q8395" s="11"/>
      <c r="R8395" s="11"/>
      <c r="S8395" s="11"/>
      <c r="T8395" s="11"/>
    </row>
    <row r="8396" spans="8:20" x14ac:dyDescent="0.35">
      <c r="H8396" s="711"/>
      <c r="I8396" s="711"/>
      <c r="J8396" s="711"/>
      <c r="K8396" s="711"/>
      <c r="L8396" s="711"/>
      <c r="Q8396" s="11"/>
      <c r="R8396" s="11"/>
      <c r="S8396" s="11"/>
      <c r="T8396" s="11"/>
    </row>
    <row r="8397" spans="8:20" x14ac:dyDescent="0.35">
      <c r="H8397" s="711"/>
      <c r="I8397" s="711"/>
      <c r="J8397" s="711"/>
      <c r="K8397" s="711"/>
      <c r="L8397" s="711"/>
      <c r="Q8397" s="11"/>
      <c r="R8397" s="11"/>
      <c r="S8397" s="11"/>
      <c r="T8397" s="11"/>
    </row>
    <row r="8398" spans="8:20" x14ac:dyDescent="0.35">
      <c r="H8398" s="711"/>
      <c r="I8398" s="711"/>
      <c r="J8398" s="711"/>
      <c r="K8398" s="711"/>
      <c r="L8398" s="711"/>
      <c r="Q8398" s="11"/>
      <c r="R8398" s="11"/>
      <c r="S8398" s="11"/>
      <c r="T8398" s="11"/>
    </row>
    <row r="8399" spans="8:20" x14ac:dyDescent="0.35">
      <c r="H8399" s="711"/>
      <c r="I8399" s="711"/>
      <c r="J8399" s="711"/>
      <c r="K8399" s="711"/>
      <c r="L8399" s="711"/>
      <c r="Q8399" s="11"/>
      <c r="R8399" s="11"/>
      <c r="S8399" s="11"/>
      <c r="T8399" s="11"/>
    </row>
    <row r="8400" spans="8:20" x14ac:dyDescent="0.35">
      <c r="H8400" s="711"/>
      <c r="I8400" s="711"/>
      <c r="J8400" s="711"/>
      <c r="K8400" s="711"/>
      <c r="L8400" s="711"/>
      <c r="Q8400" s="11"/>
      <c r="R8400" s="11"/>
      <c r="S8400" s="11"/>
      <c r="T8400" s="11"/>
    </row>
    <row r="8401" spans="8:20" x14ac:dyDescent="0.35">
      <c r="H8401" s="711"/>
      <c r="I8401" s="711"/>
      <c r="J8401" s="711"/>
      <c r="K8401" s="711"/>
      <c r="L8401" s="711"/>
      <c r="Q8401" s="11"/>
      <c r="R8401" s="11"/>
      <c r="S8401" s="11"/>
      <c r="T8401" s="11"/>
    </row>
    <row r="8402" spans="8:20" x14ac:dyDescent="0.35">
      <c r="H8402" s="711"/>
      <c r="I8402" s="711"/>
      <c r="J8402" s="711"/>
      <c r="K8402" s="711"/>
      <c r="L8402" s="711"/>
      <c r="Q8402" s="11"/>
      <c r="R8402" s="11"/>
      <c r="S8402" s="11"/>
      <c r="T8402" s="11"/>
    </row>
    <row r="8403" spans="8:20" x14ac:dyDescent="0.35">
      <c r="H8403" s="711"/>
      <c r="I8403" s="711"/>
      <c r="J8403" s="711"/>
      <c r="K8403" s="711"/>
      <c r="L8403" s="711"/>
      <c r="Q8403" s="11"/>
      <c r="R8403" s="11"/>
      <c r="S8403" s="11"/>
      <c r="T8403" s="11"/>
    </row>
    <row r="8404" spans="8:20" x14ac:dyDescent="0.35">
      <c r="H8404" s="711"/>
      <c r="I8404" s="711"/>
      <c r="J8404" s="711"/>
      <c r="K8404" s="711"/>
      <c r="L8404" s="711"/>
      <c r="Q8404" s="11"/>
      <c r="R8404" s="11"/>
      <c r="S8404" s="11"/>
      <c r="T8404" s="11"/>
    </row>
    <row r="8405" spans="8:20" x14ac:dyDescent="0.35">
      <c r="H8405" s="711"/>
      <c r="I8405" s="711"/>
      <c r="J8405" s="711"/>
      <c r="K8405" s="711"/>
      <c r="L8405" s="711"/>
      <c r="Q8405" s="11"/>
      <c r="R8405" s="11"/>
      <c r="S8405" s="11"/>
      <c r="T8405" s="11"/>
    </row>
    <row r="8406" spans="8:20" x14ac:dyDescent="0.35">
      <c r="H8406" s="711"/>
      <c r="I8406" s="711"/>
      <c r="J8406" s="711"/>
      <c r="K8406" s="711"/>
      <c r="L8406" s="711"/>
      <c r="Q8406" s="11"/>
      <c r="R8406" s="11"/>
      <c r="S8406" s="11"/>
      <c r="T8406" s="11"/>
    </row>
    <row r="8407" spans="8:20" x14ac:dyDescent="0.35">
      <c r="H8407" s="711"/>
      <c r="I8407" s="711"/>
      <c r="J8407" s="711"/>
      <c r="K8407" s="711"/>
      <c r="L8407" s="711"/>
      <c r="Q8407" s="11"/>
      <c r="R8407" s="11"/>
      <c r="S8407" s="11"/>
      <c r="T8407" s="11"/>
    </row>
    <row r="8408" spans="8:20" x14ac:dyDescent="0.35">
      <c r="H8408" s="711"/>
      <c r="I8408" s="711"/>
      <c r="J8408" s="711"/>
      <c r="K8408" s="711"/>
      <c r="L8408" s="711"/>
      <c r="Q8408" s="11"/>
      <c r="R8408" s="11"/>
      <c r="S8408" s="11"/>
      <c r="T8408" s="11"/>
    </row>
    <row r="8409" spans="8:20" x14ac:dyDescent="0.35">
      <c r="H8409" s="711"/>
      <c r="I8409" s="711"/>
      <c r="J8409" s="711"/>
      <c r="K8409" s="711"/>
      <c r="L8409" s="711"/>
      <c r="Q8409" s="11"/>
      <c r="R8409" s="11"/>
      <c r="S8409" s="11"/>
      <c r="T8409" s="11"/>
    </row>
    <row r="8410" spans="8:20" x14ac:dyDescent="0.35">
      <c r="H8410" s="711"/>
      <c r="I8410" s="711"/>
      <c r="J8410" s="711"/>
      <c r="K8410" s="711"/>
      <c r="L8410" s="711"/>
      <c r="Q8410" s="11"/>
      <c r="R8410" s="11"/>
      <c r="S8410" s="11"/>
      <c r="T8410" s="11"/>
    </row>
    <row r="8411" spans="8:20" x14ac:dyDescent="0.35">
      <c r="H8411" s="711"/>
      <c r="I8411" s="711"/>
      <c r="J8411" s="711"/>
      <c r="K8411" s="711"/>
      <c r="L8411" s="711"/>
      <c r="Q8411" s="11"/>
      <c r="R8411" s="11"/>
      <c r="S8411" s="11"/>
      <c r="T8411" s="11"/>
    </row>
    <row r="8412" spans="8:20" x14ac:dyDescent="0.35">
      <c r="H8412" s="711"/>
      <c r="I8412" s="711"/>
      <c r="J8412" s="711"/>
      <c r="K8412" s="711"/>
      <c r="L8412" s="711"/>
      <c r="Q8412" s="11"/>
      <c r="R8412" s="11"/>
      <c r="S8412" s="11"/>
      <c r="T8412" s="11"/>
    </row>
    <row r="8413" spans="8:20" x14ac:dyDescent="0.35">
      <c r="H8413" s="711"/>
      <c r="I8413" s="711"/>
      <c r="J8413" s="711"/>
      <c r="K8413" s="711"/>
      <c r="L8413" s="711"/>
      <c r="Q8413" s="11"/>
      <c r="R8413" s="11"/>
      <c r="S8413" s="11"/>
      <c r="T8413" s="11"/>
    </row>
    <row r="8414" spans="8:20" x14ac:dyDescent="0.35">
      <c r="H8414" s="711"/>
      <c r="I8414" s="711"/>
      <c r="J8414" s="711"/>
      <c r="K8414" s="711"/>
      <c r="L8414" s="711"/>
      <c r="Q8414" s="11"/>
      <c r="R8414" s="11"/>
      <c r="S8414" s="11"/>
      <c r="T8414" s="11"/>
    </row>
    <row r="8415" spans="8:20" x14ac:dyDescent="0.35">
      <c r="H8415" s="711"/>
      <c r="I8415" s="711"/>
      <c r="J8415" s="711"/>
      <c r="K8415" s="711"/>
      <c r="L8415" s="711"/>
      <c r="Q8415" s="11"/>
      <c r="R8415" s="11"/>
      <c r="S8415" s="11"/>
      <c r="T8415" s="11"/>
    </row>
    <row r="8416" spans="8:20" x14ac:dyDescent="0.35">
      <c r="H8416" s="711"/>
      <c r="I8416" s="711"/>
      <c r="J8416" s="711"/>
      <c r="K8416" s="711"/>
      <c r="L8416" s="711"/>
      <c r="Q8416" s="11"/>
      <c r="R8416" s="11"/>
      <c r="S8416" s="11"/>
      <c r="T8416" s="11"/>
    </row>
    <row r="8417" spans="8:20" x14ac:dyDescent="0.35">
      <c r="H8417" s="711"/>
      <c r="I8417" s="711"/>
      <c r="J8417" s="711"/>
      <c r="K8417" s="711"/>
      <c r="L8417" s="711"/>
      <c r="Q8417" s="11"/>
      <c r="R8417" s="11"/>
      <c r="S8417" s="11"/>
      <c r="T8417" s="11"/>
    </row>
    <row r="8418" spans="8:20" x14ac:dyDescent="0.35">
      <c r="H8418" s="711"/>
      <c r="I8418" s="711"/>
      <c r="J8418" s="711"/>
      <c r="K8418" s="711"/>
      <c r="L8418" s="711"/>
      <c r="Q8418" s="11"/>
      <c r="R8418" s="11"/>
      <c r="S8418" s="11"/>
      <c r="T8418" s="11"/>
    </row>
    <row r="8419" spans="8:20" x14ac:dyDescent="0.35">
      <c r="H8419" s="711"/>
      <c r="I8419" s="711"/>
      <c r="J8419" s="711"/>
      <c r="K8419" s="711"/>
      <c r="L8419" s="711"/>
      <c r="Q8419" s="11"/>
      <c r="R8419" s="11"/>
      <c r="S8419" s="11"/>
      <c r="T8419" s="11"/>
    </row>
    <row r="8420" spans="8:20" x14ac:dyDescent="0.35">
      <c r="H8420" s="711"/>
      <c r="I8420" s="711"/>
      <c r="J8420" s="711"/>
      <c r="K8420" s="711"/>
      <c r="L8420" s="711"/>
      <c r="Q8420" s="11"/>
      <c r="R8420" s="11"/>
      <c r="S8420" s="11"/>
      <c r="T8420" s="11"/>
    </row>
    <row r="8421" spans="8:20" x14ac:dyDescent="0.35">
      <c r="H8421" s="711"/>
      <c r="I8421" s="711"/>
      <c r="J8421" s="711"/>
      <c r="K8421" s="711"/>
      <c r="L8421" s="711"/>
      <c r="Q8421" s="11"/>
      <c r="R8421" s="11"/>
      <c r="S8421" s="11"/>
      <c r="T8421" s="11"/>
    </row>
    <row r="8422" spans="8:20" x14ac:dyDescent="0.35">
      <c r="H8422" s="711"/>
      <c r="I8422" s="711"/>
      <c r="J8422" s="711"/>
      <c r="K8422" s="711"/>
      <c r="L8422" s="711"/>
      <c r="Q8422" s="11"/>
      <c r="R8422" s="11"/>
      <c r="S8422" s="11"/>
      <c r="T8422" s="11"/>
    </row>
    <row r="8423" spans="8:20" x14ac:dyDescent="0.35">
      <c r="H8423" s="711"/>
      <c r="I8423" s="711"/>
      <c r="J8423" s="711"/>
      <c r="K8423" s="711"/>
      <c r="L8423" s="711"/>
      <c r="Q8423" s="11"/>
      <c r="R8423" s="11"/>
      <c r="S8423" s="11"/>
      <c r="T8423" s="11"/>
    </row>
    <row r="8424" spans="8:20" x14ac:dyDescent="0.35">
      <c r="H8424" s="711"/>
      <c r="I8424" s="711"/>
      <c r="J8424" s="711"/>
      <c r="K8424" s="711"/>
      <c r="L8424" s="711"/>
      <c r="Q8424" s="11"/>
      <c r="R8424" s="11"/>
      <c r="S8424" s="11"/>
      <c r="T8424" s="11"/>
    </row>
    <row r="8425" spans="8:20" x14ac:dyDescent="0.35">
      <c r="H8425" s="711"/>
      <c r="I8425" s="711"/>
      <c r="J8425" s="711"/>
      <c r="K8425" s="711"/>
      <c r="L8425" s="711"/>
      <c r="Q8425" s="11"/>
      <c r="R8425" s="11"/>
      <c r="S8425" s="11"/>
      <c r="T8425" s="11"/>
    </row>
    <row r="8426" spans="8:20" x14ac:dyDescent="0.35">
      <c r="H8426" s="711"/>
      <c r="I8426" s="711"/>
      <c r="J8426" s="711"/>
      <c r="K8426" s="711"/>
      <c r="L8426" s="711"/>
      <c r="Q8426" s="11"/>
      <c r="R8426" s="11"/>
      <c r="S8426" s="11"/>
      <c r="T8426" s="11"/>
    </row>
    <row r="8427" spans="8:20" x14ac:dyDescent="0.35">
      <c r="H8427" s="711"/>
      <c r="I8427" s="711"/>
      <c r="J8427" s="711"/>
      <c r="K8427" s="711"/>
      <c r="L8427" s="711"/>
      <c r="Q8427" s="11"/>
      <c r="R8427" s="11"/>
      <c r="S8427" s="11"/>
      <c r="T8427" s="11"/>
    </row>
    <row r="8428" spans="8:20" x14ac:dyDescent="0.35">
      <c r="H8428" s="711"/>
      <c r="I8428" s="711"/>
      <c r="J8428" s="711"/>
      <c r="K8428" s="711"/>
      <c r="L8428" s="711"/>
      <c r="Q8428" s="11"/>
      <c r="R8428" s="11"/>
      <c r="S8428" s="11"/>
      <c r="T8428" s="11"/>
    </row>
    <row r="8429" spans="8:20" x14ac:dyDescent="0.35">
      <c r="H8429" s="711"/>
      <c r="I8429" s="711"/>
      <c r="J8429" s="711"/>
      <c r="K8429" s="711"/>
      <c r="L8429" s="711"/>
      <c r="Q8429" s="11"/>
      <c r="R8429" s="11"/>
      <c r="S8429" s="11"/>
      <c r="T8429" s="11"/>
    </row>
    <row r="8430" spans="8:20" x14ac:dyDescent="0.35">
      <c r="H8430" s="711"/>
      <c r="I8430" s="711"/>
      <c r="J8430" s="711"/>
      <c r="K8430" s="711"/>
      <c r="L8430" s="711"/>
      <c r="Q8430" s="11"/>
      <c r="R8430" s="11"/>
      <c r="S8430" s="11"/>
      <c r="T8430" s="11"/>
    </row>
    <row r="8431" spans="8:20" x14ac:dyDescent="0.35">
      <c r="H8431" s="711"/>
      <c r="I8431" s="711"/>
      <c r="J8431" s="711"/>
      <c r="K8431" s="711"/>
      <c r="L8431" s="711"/>
      <c r="Q8431" s="11"/>
      <c r="R8431" s="11"/>
      <c r="S8431" s="11"/>
      <c r="T8431" s="11"/>
    </row>
    <row r="8432" spans="8:20" x14ac:dyDescent="0.35">
      <c r="H8432" s="711"/>
      <c r="I8432" s="711"/>
      <c r="J8432" s="711"/>
      <c r="K8432" s="711"/>
      <c r="L8432" s="711"/>
      <c r="Q8432" s="11"/>
      <c r="R8432" s="11"/>
      <c r="S8432" s="11"/>
      <c r="T8432" s="11"/>
    </row>
    <row r="8433" spans="8:20" x14ac:dyDescent="0.35">
      <c r="H8433" s="711"/>
      <c r="I8433" s="711"/>
      <c r="J8433" s="711"/>
      <c r="K8433" s="711"/>
      <c r="L8433" s="711"/>
      <c r="Q8433" s="11"/>
      <c r="R8433" s="11"/>
      <c r="S8433" s="11"/>
      <c r="T8433" s="11"/>
    </row>
    <row r="8434" spans="8:20" x14ac:dyDescent="0.35">
      <c r="H8434" s="711"/>
      <c r="I8434" s="711"/>
      <c r="J8434" s="711"/>
      <c r="K8434" s="711"/>
      <c r="L8434" s="711"/>
      <c r="Q8434" s="11"/>
      <c r="R8434" s="11"/>
      <c r="S8434" s="11"/>
      <c r="T8434" s="11"/>
    </row>
    <row r="8435" spans="8:20" x14ac:dyDescent="0.35">
      <c r="H8435" s="711"/>
      <c r="I8435" s="711"/>
      <c r="J8435" s="711"/>
      <c r="K8435" s="711"/>
      <c r="L8435" s="711"/>
      <c r="Q8435" s="11"/>
      <c r="R8435" s="11"/>
      <c r="S8435" s="11"/>
      <c r="T8435" s="11"/>
    </row>
    <row r="8436" spans="8:20" x14ac:dyDescent="0.35">
      <c r="H8436" s="711"/>
      <c r="I8436" s="711"/>
      <c r="J8436" s="711"/>
      <c r="K8436" s="711"/>
      <c r="L8436" s="711"/>
      <c r="Q8436" s="11"/>
      <c r="R8436" s="11"/>
      <c r="S8436" s="11"/>
      <c r="T8436" s="11"/>
    </row>
    <row r="8437" spans="8:20" x14ac:dyDescent="0.35">
      <c r="H8437" s="711"/>
      <c r="I8437" s="711"/>
      <c r="J8437" s="711"/>
      <c r="K8437" s="711"/>
      <c r="L8437" s="711"/>
      <c r="Q8437" s="11"/>
      <c r="R8437" s="11"/>
      <c r="S8437" s="11"/>
      <c r="T8437" s="11"/>
    </row>
    <row r="8438" spans="8:20" x14ac:dyDescent="0.35">
      <c r="H8438" s="711"/>
      <c r="I8438" s="711"/>
      <c r="J8438" s="711"/>
      <c r="K8438" s="711"/>
      <c r="L8438" s="711"/>
      <c r="Q8438" s="11"/>
      <c r="R8438" s="11"/>
      <c r="S8438" s="11"/>
      <c r="T8438" s="11"/>
    </row>
    <row r="8439" spans="8:20" x14ac:dyDescent="0.35">
      <c r="H8439" s="711"/>
      <c r="I8439" s="711"/>
      <c r="J8439" s="711"/>
      <c r="K8439" s="711"/>
      <c r="L8439" s="711"/>
      <c r="Q8439" s="11"/>
      <c r="R8439" s="11"/>
      <c r="S8439" s="11"/>
      <c r="T8439" s="11"/>
    </row>
    <row r="8440" spans="8:20" x14ac:dyDescent="0.35">
      <c r="H8440" s="711"/>
      <c r="I8440" s="711"/>
      <c r="J8440" s="711"/>
      <c r="K8440" s="711"/>
      <c r="L8440" s="711"/>
      <c r="Q8440" s="11"/>
      <c r="R8440" s="11"/>
      <c r="S8440" s="11"/>
      <c r="T8440" s="11"/>
    </row>
    <row r="8441" spans="8:20" x14ac:dyDescent="0.35">
      <c r="H8441" s="711"/>
      <c r="I8441" s="711"/>
      <c r="J8441" s="711"/>
      <c r="K8441" s="711"/>
      <c r="L8441" s="711"/>
      <c r="Q8441" s="11"/>
      <c r="R8441" s="11"/>
      <c r="S8441" s="11"/>
      <c r="T8441" s="11"/>
    </row>
    <row r="8442" spans="8:20" x14ac:dyDescent="0.35">
      <c r="H8442" s="711"/>
      <c r="I8442" s="711"/>
      <c r="J8442" s="711"/>
      <c r="K8442" s="711"/>
      <c r="L8442" s="711"/>
      <c r="Q8442" s="11"/>
      <c r="R8442" s="11"/>
      <c r="S8442" s="11"/>
      <c r="T8442" s="11"/>
    </row>
    <row r="8443" spans="8:20" x14ac:dyDescent="0.35">
      <c r="H8443" s="711"/>
      <c r="I8443" s="711"/>
      <c r="J8443" s="711"/>
      <c r="K8443" s="711"/>
      <c r="L8443" s="711"/>
      <c r="Q8443" s="11"/>
      <c r="R8443" s="11"/>
      <c r="S8443" s="11"/>
      <c r="T8443" s="11"/>
    </row>
    <row r="8444" spans="8:20" x14ac:dyDescent="0.35">
      <c r="H8444" s="711"/>
      <c r="I8444" s="711"/>
      <c r="J8444" s="711"/>
      <c r="K8444" s="711"/>
      <c r="L8444" s="711"/>
      <c r="Q8444" s="11"/>
      <c r="R8444" s="11"/>
      <c r="S8444" s="11"/>
      <c r="T8444" s="11"/>
    </row>
    <row r="8445" spans="8:20" x14ac:dyDescent="0.35">
      <c r="H8445" s="711"/>
      <c r="I8445" s="711"/>
      <c r="J8445" s="711"/>
      <c r="K8445" s="711"/>
      <c r="L8445" s="711"/>
      <c r="Q8445" s="11"/>
      <c r="R8445" s="11"/>
      <c r="S8445" s="11"/>
      <c r="T8445" s="11"/>
    </row>
    <row r="8446" spans="8:20" x14ac:dyDescent="0.35">
      <c r="H8446" s="711"/>
      <c r="I8446" s="711"/>
      <c r="J8446" s="711"/>
      <c r="K8446" s="711"/>
      <c r="L8446" s="711"/>
      <c r="Q8446" s="11"/>
      <c r="R8446" s="11"/>
      <c r="S8446" s="11"/>
      <c r="T8446" s="11"/>
    </row>
    <row r="8447" spans="8:20" x14ac:dyDescent="0.35">
      <c r="H8447" s="711"/>
      <c r="I8447" s="711"/>
      <c r="J8447" s="711"/>
      <c r="K8447" s="711"/>
      <c r="L8447" s="711"/>
      <c r="Q8447" s="11"/>
      <c r="R8447" s="11"/>
      <c r="S8447" s="11"/>
      <c r="T8447" s="11"/>
    </row>
    <row r="8448" spans="8:20" x14ac:dyDescent="0.35">
      <c r="H8448" s="711"/>
      <c r="I8448" s="711"/>
      <c r="J8448" s="711"/>
      <c r="K8448" s="711"/>
      <c r="L8448" s="711"/>
      <c r="Q8448" s="11"/>
      <c r="R8448" s="11"/>
      <c r="S8448" s="11"/>
      <c r="T8448" s="11"/>
    </row>
    <row r="8449" spans="8:20" x14ac:dyDescent="0.35">
      <c r="H8449" s="711"/>
      <c r="I8449" s="711"/>
      <c r="J8449" s="711"/>
      <c r="K8449" s="711"/>
      <c r="L8449" s="711"/>
      <c r="Q8449" s="11"/>
      <c r="R8449" s="11"/>
      <c r="S8449" s="11"/>
      <c r="T8449" s="11"/>
    </row>
    <row r="8450" spans="8:20" x14ac:dyDescent="0.35">
      <c r="H8450" s="711"/>
      <c r="I8450" s="711"/>
      <c r="J8450" s="711"/>
      <c r="K8450" s="711"/>
      <c r="L8450" s="711"/>
      <c r="Q8450" s="11"/>
      <c r="R8450" s="11"/>
      <c r="S8450" s="11"/>
      <c r="T8450" s="11"/>
    </row>
    <row r="8451" spans="8:20" x14ac:dyDescent="0.35">
      <c r="H8451" s="711"/>
      <c r="I8451" s="711"/>
      <c r="J8451" s="711"/>
      <c r="K8451" s="711"/>
      <c r="L8451" s="711"/>
      <c r="Q8451" s="11"/>
      <c r="R8451" s="11"/>
      <c r="S8451" s="11"/>
      <c r="T8451" s="11"/>
    </row>
    <row r="8452" spans="8:20" x14ac:dyDescent="0.35">
      <c r="H8452" s="711"/>
      <c r="I8452" s="711"/>
      <c r="J8452" s="711"/>
      <c r="K8452" s="711"/>
      <c r="L8452" s="711"/>
      <c r="Q8452" s="11"/>
      <c r="R8452" s="11"/>
      <c r="S8452" s="11"/>
      <c r="T8452" s="11"/>
    </row>
    <row r="8453" spans="8:20" x14ac:dyDescent="0.35">
      <c r="H8453" s="711"/>
      <c r="I8453" s="711"/>
      <c r="J8453" s="711"/>
      <c r="K8453" s="711"/>
      <c r="L8453" s="711"/>
      <c r="Q8453" s="11"/>
      <c r="R8453" s="11"/>
      <c r="S8453" s="11"/>
      <c r="T8453" s="11"/>
    </row>
    <row r="8454" spans="8:20" x14ac:dyDescent="0.35">
      <c r="H8454" s="711"/>
      <c r="I8454" s="711"/>
      <c r="J8454" s="711"/>
      <c r="K8454" s="711"/>
      <c r="L8454" s="711"/>
      <c r="Q8454" s="11"/>
      <c r="R8454" s="11"/>
      <c r="S8454" s="11"/>
      <c r="T8454" s="11"/>
    </row>
    <row r="8455" spans="8:20" x14ac:dyDescent="0.35">
      <c r="H8455" s="711"/>
      <c r="I8455" s="711"/>
      <c r="J8455" s="711"/>
      <c r="K8455" s="711"/>
      <c r="L8455" s="711"/>
      <c r="Q8455" s="11"/>
      <c r="R8455" s="11"/>
      <c r="S8455" s="11"/>
      <c r="T8455" s="11"/>
    </row>
    <row r="8456" spans="8:20" x14ac:dyDescent="0.35">
      <c r="H8456" s="711"/>
      <c r="I8456" s="711"/>
      <c r="J8456" s="711"/>
      <c r="K8456" s="711"/>
      <c r="L8456" s="711"/>
      <c r="Q8456" s="11"/>
      <c r="R8456" s="11"/>
      <c r="S8456" s="11"/>
      <c r="T8456" s="11"/>
    </row>
    <row r="8457" spans="8:20" x14ac:dyDescent="0.35">
      <c r="H8457" s="711"/>
      <c r="I8457" s="711"/>
      <c r="J8457" s="711"/>
      <c r="K8457" s="711"/>
      <c r="L8457" s="711"/>
      <c r="Q8457" s="11"/>
      <c r="R8457" s="11"/>
      <c r="S8457" s="11"/>
      <c r="T8457" s="11"/>
    </row>
    <row r="8458" spans="8:20" x14ac:dyDescent="0.35">
      <c r="H8458" s="711"/>
      <c r="I8458" s="711"/>
      <c r="J8458" s="711"/>
      <c r="K8458" s="711"/>
      <c r="L8458" s="711"/>
      <c r="Q8458" s="11"/>
      <c r="R8458" s="11"/>
      <c r="S8458" s="11"/>
      <c r="T8458" s="11"/>
    </row>
    <row r="8459" spans="8:20" x14ac:dyDescent="0.35">
      <c r="H8459" s="711"/>
      <c r="I8459" s="711"/>
      <c r="J8459" s="711"/>
      <c r="K8459" s="711"/>
      <c r="L8459" s="711"/>
      <c r="Q8459" s="11"/>
      <c r="R8459" s="11"/>
      <c r="S8459" s="11"/>
      <c r="T8459" s="11"/>
    </row>
    <row r="8460" spans="8:20" x14ac:dyDescent="0.35">
      <c r="H8460" s="711"/>
      <c r="I8460" s="711"/>
      <c r="J8460" s="711"/>
      <c r="K8460" s="711"/>
      <c r="L8460" s="711"/>
      <c r="Q8460" s="11"/>
      <c r="R8460" s="11"/>
      <c r="S8460" s="11"/>
      <c r="T8460" s="11"/>
    </row>
    <row r="8461" spans="8:20" x14ac:dyDescent="0.35">
      <c r="H8461" s="711"/>
      <c r="I8461" s="711"/>
      <c r="J8461" s="711"/>
      <c r="K8461" s="711"/>
      <c r="L8461" s="711"/>
      <c r="Q8461" s="11"/>
      <c r="R8461" s="11"/>
      <c r="S8461" s="11"/>
      <c r="T8461" s="11"/>
    </row>
    <row r="8462" spans="8:20" x14ac:dyDescent="0.35">
      <c r="H8462" s="711"/>
      <c r="I8462" s="711"/>
      <c r="J8462" s="711"/>
      <c r="K8462" s="711"/>
      <c r="L8462" s="711"/>
      <c r="Q8462" s="11"/>
      <c r="R8462" s="11"/>
      <c r="S8462" s="11"/>
      <c r="T8462" s="11"/>
    </row>
    <row r="8463" spans="8:20" x14ac:dyDescent="0.35">
      <c r="H8463" s="711"/>
      <c r="I8463" s="711"/>
      <c r="J8463" s="711"/>
      <c r="K8463" s="711"/>
      <c r="L8463" s="711"/>
      <c r="Q8463" s="11"/>
      <c r="R8463" s="11"/>
      <c r="S8463" s="11"/>
      <c r="T8463" s="11"/>
    </row>
    <row r="8464" spans="8:20" x14ac:dyDescent="0.35">
      <c r="H8464" s="711"/>
      <c r="I8464" s="711"/>
      <c r="J8464" s="711"/>
      <c r="K8464" s="711"/>
      <c r="L8464" s="711"/>
      <c r="Q8464" s="11"/>
      <c r="R8464" s="11"/>
      <c r="S8464" s="11"/>
      <c r="T8464" s="11"/>
    </row>
    <row r="8465" spans="8:20" x14ac:dyDescent="0.35">
      <c r="H8465" s="711"/>
      <c r="I8465" s="711"/>
      <c r="J8465" s="711"/>
      <c r="K8465" s="711"/>
      <c r="L8465" s="711"/>
      <c r="Q8465" s="11"/>
      <c r="R8465" s="11"/>
      <c r="S8465" s="11"/>
      <c r="T8465" s="11"/>
    </row>
    <row r="8466" spans="8:20" x14ac:dyDescent="0.35">
      <c r="H8466" s="711"/>
      <c r="I8466" s="711"/>
      <c r="J8466" s="711"/>
      <c r="K8466" s="711"/>
      <c r="L8466" s="711"/>
      <c r="Q8466" s="11"/>
      <c r="R8466" s="11"/>
      <c r="S8466" s="11"/>
      <c r="T8466" s="11"/>
    </row>
    <row r="8467" spans="8:20" x14ac:dyDescent="0.35">
      <c r="H8467" s="711"/>
      <c r="I8467" s="711"/>
      <c r="J8467" s="711"/>
      <c r="K8467" s="711"/>
      <c r="L8467" s="711"/>
      <c r="Q8467" s="11"/>
      <c r="R8467" s="11"/>
      <c r="S8467" s="11"/>
      <c r="T8467" s="11"/>
    </row>
    <row r="8468" spans="8:20" x14ac:dyDescent="0.35">
      <c r="H8468" s="711"/>
      <c r="I8468" s="711"/>
      <c r="J8468" s="711"/>
      <c r="K8468" s="711"/>
      <c r="L8468" s="711"/>
      <c r="Q8468" s="11"/>
      <c r="R8468" s="11"/>
      <c r="S8468" s="11"/>
      <c r="T8468" s="11"/>
    </row>
    <row r="8469" spans="8:20" x14ac:dyDescent="0.35">
      <c r="H8469" s="711"/>
      <c r="I8469" s="711"/>
      <c r="J8469" s="711"/>
      <c r="K8469" s="711"/>
      <c r="L8469" s="711"/>
      <c r="Q8469" s="11"/>
      <c r="R8469" s="11"/>
      <c r="S8469" s="11"/>
      <c r="T8469" s="11"/>
    </row>
    <row r="8470" spans="8:20" x14ac:dyDescent="0.35">
      <c r="H8470" s="711"/>
      <c r="I8470" s="711"/>
      <c r="J8470" s="711"/>
      <c r="K8470" s="711"/>
      <c r="L8470" s="711"/>
      <c r="Q8470" s="11"/>
      <c r="R8470" s="11"/>
      <c r="S8470" s="11"/>
      <c r="T8470" s="11"/>
    </row>
    <row r="8471" spans="8:20" x14ac:dyDescent="0.35">
      <c r="H8471" s="711"/>
      <c r="I8471" s="711"/>
      <c r="J8471" s="711"/>
      <c r="K8471" s="711"/>
      <c r="L8471" s="711"/>
      <c r="Q8471" s="11"/>
      <c r="R8471" s="11"/>
      <c r="S8471" s="11"/>
      <c r="T8471" s="11"/>
    </row>
    <row r="8472" spans="8:20" x14ac:dyDescent="0.35">
      <c r="H8472" s="711"/>
      <c r="I8472" s="711"/>
      <c r="J8472" s="711"/>
      <c r="K8472" s="711"/>
      <c r="L8472" s="711"/>
      <c r="Q8472" s="11"/>
      <c r="R8472" s="11"/>
      <c r="S8472" s="11"/>
      <c r="T8472" s="11"/>
    </row>
    <row r="8473" spans="8:20" x14ac:dyDescent="0.35">
      <c r="H8473" s="711"/>
      <c r="I8473" s="711"/>
      <c r="J8473" s="711"/>
      <c r="K8473" s="711"/>
      <c r="L8473" s="711"/>
      <c r="Q8473" s="11"/>
      <c r="R8473" s="11"/>
      <c r="S8473" s="11"/>
      <c r="T8473" s="11"/>
    </row>
    <row r="8474" spans="8:20" x14ac:dyDescent="0.35">
      <c r="H8474" s="711"/>
      <c r="I8474" s="711"/>
      <c r="J8474" s="711"/>
      <c r="K8474" s="711"/>
      <c r="L8474" s="711"/>
      <c r="Q8474" s="11"/>
      <c r="R8474" s="11"/>
      <c r="S8474" s="11"/>
      <c r="T8474" s="11"/>
    </row>
    <row r="8475" spans="8:20" x14ac:dyDescent="0.35">
      <c r="H8475" s="711"/>
      <c r="I8475" s="711"/>
      <c r="J8475" s="711"/>
      <c r="K8475" s="711"/>
      <c r="L8475" s="711"/>
      <c r="Q8475" s="11"/>
      <c r="R8475" s="11"/>
      <c r="S8475" s="11"/>
      <c r="T8475" s="11"/>
    </row>
    <row r="8476" spans="8:20" x14ac:dyDescent="0.35">
      <c r="H8476" s="711"/>
      <c r="I8476" s="711"/>
      <c r="J8476" s="711"/>
      <c r="K8476" s="711"/>
      <c r="L8476" s="711"/>
      <c r="Q8476" s="11"/>
      <c r="R8476" s="11"/>
      <c r="S8476" s="11"/>
      <c r="T8476" s="11"/>
    </row>
    <row r="8477" spans="8:20" x14ac:dyDescent="0.35">
      <c r="H8477" s="711"/>
      <c r="I8477" s="711"/>
      <c r="J8477" s="711"/>
      <c r="K8477" s="711"/>
      <c r="L8477" s="711"/>
      <c r="Q8477" s="11"/>
      <c r="R8477" s="11"/>
      <c r="S8477" s="11"/>
      <c r="T8477" s="11"/>
    </row>
    <row r="8478" spans="8:20" x14ac:dyDescent="0.35">
      <c r="H8478" s="711"/>
      <c r="I8478" s="711"/>
      <c r="J8478" s="711"/>
      <c r="K8478" s="711"/>
      <c r="L8478" s="711"/>
      <c r="Q8478" s="11"/>
      <c r="R8478" s="11"/>
      <c r="S8478" s="11"/>
      <c r="T8478" s="11"/>
    </row>
    <row r="8479" spans="8:20" x14ac:dyDescent="0.35">
      <c r="H8479" s="711"/>
      <c r="I8479" s="711"/>
      <c r="J8479" s="711"/>
      <c r="K8479" s="711"/>
      <c r="L8479" s="711"/>
      <c r="Q8479" s="11"/>
      <c r="R8479" s="11"/>
      <c r="S8479" s="11"/>
      <c r="T8479" s="11"/>
    </row>
    <row r="8480" spans="8:20" x14ac:dyDescent="0.35">
      <c r="H8480" s="711"/>
      <c r="I8480" s="711"/>
      <c r="J8480" s="711"/>
      <c r="K8480" s="711"/>
      <c r="L8480" s="711"/>
      <c r="Q8480" s="11"/>
      <c r="R8480" s="11"/>
      <c r="S8480" s="11"/>
      <c r="T8480" s="11"/>
    </row>
    <row r="8481" spans="8:20" x14ac:dyDescent="0.35">
      <c r="H8481" s="711"/>
      <c r="I8481" s="711"/>
      <c r="J8481" s="711"/>
      <c r="K8481" s="711"/>
      <c r="L8481" s="711"/>
      <c r="Q8481" s="11"/>
      <c r="R8481" s="11"/>
      <c r="S8481" s="11"/>
      <c r="T8481" s="11"/>
    </row>
    <row r="8482" spans="8:20" x14ac:dyDescent="0.35">
      <c r="H8482" s="711"/>
      <c r="I8482" s="711"/>
      <c r="J8482" s="711"/>
      <c r="K8482" s="711"/>
      <c r="L8482" s="711"/>
      <c r="Q8482" s="11"/>
      <c r="R8482" s="11"/>
      <c r="S8482" s="11"/>
      <c r="T8482" s="11"/>
    </row>
    <row r="8483" spans="8:20" x14ac:dyDescent="0.35">
      <c r="H8483" s="711"/>
      <c r="I8483" s="711"/>
      <c r="J8483" s="711"/>
      <c r="K8483" s="711"/>
      <c r="L8483" s="711"/>
      <c r="Q8483" s="11"/>
      <c r="R8483" s="11"/>
      <c r="S8483" s="11"/>
      <c r="T8483" s="11"/>
    </row>
    <row r="8484" spans="8:20" x14ac:dyDescent="0.35">
      <c r="H8484" s="711"/>
      <c r="I8484" s="711"/>
      <c r="J8484" s="711"/>
      <c r="K8484" s="711"/>
      <c r="L8484" s="711"/>
      <c r="Q8484" s="11"/>
      <c r="R8484" s="11"/>
      <c r="S8484" s="11"/>
      <c r="T8484" s="11"/>
    </row>
    <row r="8485" spans="8:20" x14ac:dyDescent="0.35">
      <c r="H8485" s="711"/>
      <c r="I8485" s="711"/>
      <c r="J8485" s="711"/>
      <c r="K8485" s="711"/>
      <c r="L8485" s="711"/>
      <c r="Q8485" s="11"/>
      <c r="R8485" s="11"/>
      <c r="S8485" s="11"/>
      <c r="T8485" s="11"/>
    </row>
    <row r="8486" spans="8:20" x14ac:dyDescent="0.35">
      <c r="H8486" s="711"/>
      <c r="I8486" s="711"/>
      <c r="J8486" s="711"/>
      <c r="K8486" s="711"/>
      <c r="L8486" s="711"/>
      <c r="Q8486" s="11"/>
      <c r="R8486" s="11"/>
      <c r="S8486" s="11"/>
      <c r="T8486" s="11"/>
    </row>
    <row r="8487" spans="8:20" x14ac:dyDescent="0.35">
      <c r="H8487" s="711"/>
      <c r="I8487" s="711"/>
      <c r="J8487" s="711"/>
      <c r="K8487" s="711"/>
      <c r="L8487" s="711"/>
      <c r="Q8487" s="11"/>
      <c r="R8487" s="11"/>
      <c r="S8487" s="11"/>
      <c r="T8487" s="11"/>
    </row>
    <row r="8488" spans="8:20" x14ac:dyDescent="0.35">
      <c r="H8488" s="711"/>
      <c r="I8488" s="711"/>
      <c r="J8488" s="711"/>
      <c r="K8488" s="711"/>
      <c r="L8488" s="711"/>
      <c r="Q8488" s="11"/>
      <c r="R8488" s="11"/>
      <c r="S8488" s="11"/>
      <c r="T8488" s="11"/>
    </row>
    <row r="8489" spans="8:20" x14ac:dyDescent="0.35">
      <c r="H8489" s="711"/>
      <c r="I8489" s="711"/>
      <c r="J8489" s="711"/>
      <c r="K8489" s="711"/>
      <c r="L8489" s="711"/>
      <c r="Q8489" s="11"/>
      <c r="R8489" s="11"/>
      <c r="S8489" s="11"/>
      <c r="T8489" s="11"/>
    </row>
    <row r="8490" spans="8:20" x14ac:dyDescent="0.35">
      <c r="H8490" s="711"/>
      <c r="I8490" s="711"/>
      <c r="J8490" s="711"/>
      <c r="K8490" s="711"/>
      <c r="L8490" s="711"/>
      <c r="Q8490" s="11"/>
      <c r="R8490" s="11"/>
      <c r="S8490" s="11"/>
      <c r="T8490" s="11"/>
    </row>
    <row r="8491" spans="8:20" x14ac:dyDescent="0.35">
      <c r="H8491" s="711"/>
      <c r="I8491" s="711"/>
      <c r="J8491" s="711"/>
      <c r="K8491" s="711"/>
      <c r="L8491" s="711"/>
      <c r="Q8491" s="11"/>
      <c r="R8491" s="11"/>
      <c r="S8491" s="11"/>
      <c r="T8491" s="11"/>
    </row>
    <row r="8492" spans="8:20" x14ac:dyDescent="0.35">
      <c r="H8492" s="711"/>
      <c r="I8492" s="711"/>
      <c r="J8492" s="711"/>
      <c r="K8492" s="711"/>
      <c r="L8492" s="711"/>
      <c r="Q8492" s="11"/>
      <c r="R8492" s="11"/>
      <c r="S8492" s="11"/>
      <c r="T8492" s="11"/>
    </row>
    <row r="8493" spans="8:20" x14ac:dyDescent="0.35">
      <c r="H8493" s="711"/>
      <c r="I8493" s="711"/>
      <c r="J8493" s="711"/>
      <c r="K8493" s="711"/>
      <c r="L8493" s="711"/>
      <c r="Q8493" s="11"/>
      <c r="R8493" s="11"/>
      <c r="S8493" s="11"/>
      <c r="T8493" s="11"/>
    </row>
    <row r="8494" spans="8:20" x14ac:dyDescent="0.35">
      <c r="H8494" s="711"/>
      <c r="I8494" s="711"/>
      <c r="J8494" s="711"/>
      <c r="K8494" s="711"/>
      <c r="L8494" s="711"/>
      <c r="Q8494" s="11"/>
      <c r="R8494" s="11"/>
      <c r="S8494" s="11"/>
      <c r="T8494" s="11"/>
    </row>
    <row r="8495" spans="8:20" x14ac:dyDescent="0.35">
      <c r="H8495" s="711"/>
      <c r="I8495" s="711"/>
      <c r="J8495" s="711"/>
      <c r="K8495" s="711"/>
      <c r="L8495" s="711"/>
      <c r="Q8495" s="11"/>
      <c r="R8495" s="11"/>
      <c r="S8495" s="11"/>
      <c r="T8495" s="11"/>
    </row>
    <row r="8496" spans="8:20" x14ac:dyDescent="0.35">
      <c r="H8496" s="711"/>
      <c r="I8496" s="711"/>
      <c r="J8496" s="711"/>
      <c r="K8496" s="711"/>
      <c r="L8496" s="711"/>
      <c r="Q8496" s="11"/>
      <c r="R8496" s="11"/>
      <c r="S8496" s="11"/>
      <c r="T8496" s="11"/>
    </row>
    <row r="8497" spans="8:20" x14ac:dyDescent="0.35">
      <c r="H8497" s="711"/>
      <c r="I8497" s="711"/>
      <c r="J8497" s="711"/>
      <c r="K8497" s="711"/>
      <c r="L8497" s="711"/>
      <c r="Q8497" s="11"/>
      <c r="R8497" s="11"/>
      <c r="S8497" s="11"/>
      <c r="T8497" s="11"/>
    </row>
    <row r="8498" spans="8:20" x14ac:dyDescent="0.35">
      <c r="H8498" s="711"/>
      <c r="I8498" s="711"/>
      <c r="J8498" s="711"/>
      <c r="K8498" s="711"/>
      <c r="L8498" s="711"/>
      <c r="Q8498" s="11"/>
      <c r="R8498" s="11"/>
      <c r="S8498" s="11"/>
      <c r="T8498" s="11"/>
    </row>
    <row r="8499" spans="8:20" x14ac:dyDescent="0.35">
      <c r="H8499" s="711"/>
      <c r="I8499" s="711"/>
      <c r="J8499" s="711"/>
      <c r="K8499" s="711"/>
      <c r="L8499" s="711"/>
      <c r="Q8499" s="11"/>
      <c r="R8499" s="11"/>
      <c r="S8499" s="11"/>
      <c r="T8499" s="11"/>
    </row>
    <row r="8500" spans="8:20" x14ac:dyDescent="0.35">
      <c r="H8500" s="711"/>
      <c r="I8500" s="711"/>
      <c r="J8500" s="711"/>
      <c r="K8500" s="711"/>
      <c r="L8500" s="711"/>
      <c r="Q8500" s="11"/>
      <c r="R8500" s="11"/>
      <c r="S8500" s="11"/>
      <c r="T8500" s="11"/>
    </row>
    <row r="8501" spans="8:20" x14ac:dyDescent="0.35">
      <c r="H8501" s="711"/>
      <c r="I8501" s="711"/>
      <c r="J8501" s="711"/>
      <c r="K8501" s="711"/>
      <c r="L8501" s="711"/>
      <c r="Q8501" s="11"/>
      <c r="R8501" s="11"/>
      <c r="S8501" s="11"/>
      <c r="T8501" s="11"/>
    </row>
    <row r="8502" spans="8:20" x14ac:dyDescent="0.35">
      <c r="H8502" s="711"/>
      <c r="I8502" s="711"/>
      <c r="J8502" s="711"/>
      <c r="K8502" s="711"/>
      <c r="L8502" s="711"/>
      <c r="Q8502" s="11"/>
      <c r="R8502" s="11"/>
      <c r="S8502" s="11"/>
      <c r="T8502" s="11"/>
    </row>
    <row r="8503" spans="8:20" x14ac:dyDescent="0.35">
      <c r="H8503" s="711"/>
      <c r="I8503" s="711"/>
      <c r="J8503" s="711"/>
      <c r="K8503" s="711"/>
      <c r="L8503" s="711"/>
      <c r="Q8503" s="11"/>
      <c r="R8503" s="11"/>
      <c r="S8503" s="11"/>
      <c r="T8503" s="11"/>
    </row>
    <row r="8504" spans="8:20" x14ac:dyDescent="0.35">
      <c r="H8504" s="711"/>
      <c r="I8504" s="711"/>
      <c r="J8504" s="711"/>
      <c r="K8504" s="711"/>
      <c r="L8504" s="711"/>
      <c r="Q8504" s="11"/>
      <c r="R8504" s="11"/>
      <c r="S8504" s="11"/>
      <c r="T8504" s="11"/>
    </row>
    <row r="8505" spans="8:20" x14ac:dyDescent="0.35">
      <c r="H8505" s="711"/>
      <c r="I8505" s="711"/>
      <c r="J8505" s="711"/>
      <c r="K8505" s="711"/>
      <c r="L8505" s="711"/>
      <c r="Q8505" s="11"/>
      <c r="R8505" s="11"/>
      <c r="S8505" s="11"/>
      <c r="T8505" s="11"/>
    </row>
    <row r="8506" spans="8:20" x14ac:dyDescent="0.35">
      <c r="H8506" s="711"/>
      <c r="I8506" s="711"/>
      <c r="J8506" s="711"/>
      <c r="K8506" s="711"/>
      <c r="L8506" s="711"/>
      <c r="Q8506" s="11"/>
      <c r="R8506" s="11"/>
      <c r="S8506" s="11"/>
      <c r="T8506" s="11"/>
    </row>
    <row r="8507" spans="8:20" x14ac:dyDescent="0.35">
      <c r="H8507" s="711"/>
      <c r="I8507" s="711"/>
      <c r="J8507" s="711"/>
      <c r="K8507" s="711"/>
      <c r="L8507" s="711"/>
      <c r="Q8507" s="11"/>
      <c r="R8507" s="11"/>
      <c r="S8507" s="11"/>
      <c r="T8507" s="11"/>
    </row>
    <row r="8508" spans="8:20" x14ac:dyDescent="0.35">
      <c r="H8508" s="711"/>
      <c r="I8508" s="711"/>
      <c r="J8508" s="711"/>
      <c r="K8508" s="711"/>
      <c r="L8508" s="711"/>
      <c r="Q8508" s="11"/>
      <c r="R8508" s="11"/>
      <c r="S8508" s="11"/>
      <c r="T8508" s="11"/>
    </row>
    <row r="8509" spans="8:20" x14ac:dyDescent="0.35">
      <c r="H8509" s="711"/>
      <c r="I8509" s="711"/>
      <c r="J8509" s="711"/>
      <c r="K8509" s="711"/>
      <c r="L8509" s="711"/>
      <c r="Q8509" s="11"/>
      <c r="R8509" s="11"/>
      <c r="S8509" s="11"/>
      <c r="T8509" s="11"/>
    </row>
    <row r="8510" spans="8:20" x14ac:dyDescent="0.35">
      <c r="H8510" s="711"/>
      <c r="I8510" s="711"/>
      <c r="J8510" s="711"/>
      <c r="K8510" s="711"/>
      <c r="L8510" s="711"/>
      <c r="Q8510" s="11"/>
      <c r="R8510" s="11"/>
      <c r="S8510" s="11"/>
      <c r="T8510" s="11"/>
    </row>
    <row r="8511" spans="8:20" x14ac:dyDescent="0.35">
      <c r="H8511" s="711"/>
      <c r="I8511" s="711"/>
      <c r="J8511" s="711"/>
      <c r="K8511" s="711"/>
      <c r="L8511" s="711"/>
      <c r="Q8511" s="11"/>
      <c r="R8511" s="11"/>
      <c r="S8511" s="11"/>
      <c r="T8511" s="11"/>
    </row>
    <row r="8512" spans="8:20" x14ac:dyDescent="0.35">
      <c r="H8512" s="711"/>
      <c r="I8512" s="711"/>
      <c r="J8512" s="711"/>
      <c r="K8512" s="711"/>
      <c r="L8512" s="711"/>
      <c r="Q8512" s="11"/>
      <c r="R8512" s="11"/>
      <c r="S8512" s="11"/>
      <c r="T8512" s="11"/>
    </row>
    <row r="8513" spans="8:20" x14ac:dyDescent="0.35">
      <c r="H8513" s="711"/>
      <c r="I8513" s="711"/>
      <c r="J8513" s="711"/>
      <c r="K8513" s="711"/>
      <c r="L8513" s="711"/>
      <c r="Q8513" s="11"/>
      <c r="R8513" s="11"/>
      <c r="S8513" s="11"/>
      <c r="T8513" s="11"/>
    </row>
    <row r="8514" spans="8:20" x14ac:dyDescent="0.35">
      <c r="H8514" s="711"/>
      <c r="I8514" s="711"/>
      <c r="J8514" s="711"/>
      <c r="K8514" s="711"/>
      <c r="L8514" s="711"/>
      <c r="Q8514" s="11"/>
      <c r="R8514" s="11"/>
      <c r="S8514" s="11"/>
      <c r="T8514" s="11"/>
    </row>
    <row r="8515" spans="8:20" x14ac:dyDescent="0.35">
      <c r="H8515" s="711"/>
      <c r="I8515" s="711"/>
      <c r="J8515" s="711"/>
      <c r="K8515" s="711"/>
      <c r="L8515" s="711"/>
      <c r="Q8515" s="11"/>
      <c r="R8515" s="11"/>
      <c r="S8515" s="11"/>
      <c r="T8515" s="11"/>
    </row>
    <row r="8516" spans="8:20" x14ac:dyDescent="0.35">
      <c r="H8516" s="711"/>
      <c r="I8516" s="711"/>
      <c r="J8516" s="711"/>
      <c r="K8516" s="711"/>
      <c r="L8516" s="711"/>
      <c r="Q8516" s="11"/>
      <c r="R8516" s="11"/>
      <c r="S8516" s="11"/>
      <c r="T8516" s="11"/>
    </row>
    <row r="8517" spans="8:20" x14ac:dyDescent="0.35">
      <c r="H8517" s="711"/>
      <c r="I8517" s="711"/>
      <c r="J8517" s="711"/>
      <c r="K8517" s="711"/>
      <c r="L8517" s="711"/>
      <c r="Q8517" s="11"/>
      <c r="R8517" s="11"/>
      <c r="S8517" s="11"/>
      <c r="T8517" s="11"/>
    </row>
    <row r="8518" spans="8:20" x14ac:dyDescent="0.35">
      <c r="H8518" s="711"/>
      <c r="I8518" s="711"/>
      <c r="J8518" s="711"/>
      <c r="K8518" s="711"/>
      <c r="L8518" s="711"/>
      <c r="Q8518" s="11"/>
      <c r="R8518" s="11"/>
      <c r="S8518" s="11"/>
      <c r="T8518" s="11"/>
    </row>
    <row r="8519" spans="8:20" x14ac:dyDescent="0.35">
      <c r="H8519" s="711"/>
      <c r="I8519" s="711"/>
      <c r="J8519" s="711"/>
      <c r="K8519" s="711"/>
      <c r="L8519" s="711"/>
      <c r="Q8519" s="11"/>
      <c r="R8519" s="11"/>
      <c r="S8519" s="11"/>
      <c r="T8519" s="11"/>
    </row>
    <row r="8520" spans="8:20" x14ac:dyDescent="0.35">
      <c r="H8520" s="711"/>
      <c r="I8520" s="711"/>
      <c r="J8520" s="711"/>
      <c r="K8520" s="711"/>
      <c r="L8520" s="711"/>
      <c r="Q8520" s="11"/>
      <c r="R8520" s="11"/>
      <c r="S8520" s="11"/>
      <c r="T8520" s="11"/>
    </row>
    <row r="8521" spans="8:20" x14ac:dyDescent="0.35">
      <c r="H8521" s="711"/>
      <c r="I8521" s="711"/>
      <c r="J8521" s="711"/>
      <c r="K8521" s="711"/>
      <c r="L8521" s="711"/>
      <c r="Q8521" s="11"/>
      <c r="R8521" s="11"/>
      <c r="S8521" s="11"/>
      <c r="T8521" s="11"/>
    </row>
    <row r="8522" spans="8:20" x14ac:dyDescent="0.35">
      <c r="H8522" s="711"/>
      <c r="I8522" s="711"/>
      <c r="J8522" s="711"/>
      <c r="K8522" s="711"/>
      <c r="L8522" s="711"/>
      <c r="Q8522" s="11"/>
      <c r="R8522" s="11"/>
      <c r="S8522" s="11"/>
      <c r="T8522" s="11"/>
    </row>
    <row r="8523" spans="8:20" x14ac:dyDescent="0.35">
      <c r="H8523" s="711"/>
      <c r="I8523" s="711"/>
      <c r="J8523" s="711"/>
      <c r="K8523" s="711"/>
      <c r="L8523" s="711"/>
      <c r="Q8523" s="11"/>
      <c r="R8523" s="11"/>
      <c r="S8523" s="11"/>
      <c r="T8523" s="11"/>
    </row>
    <row r="8524" spans="8:20" x14ac:dyDescent="0.35">
      <c r="H8524" s="711"/>
      <c r="I8524" s="711"/>
      <c r="J8524" s="711"/>
      <c r="K8524" s="711"/>
      <c r="L8524" s="711"/>
      <c r="Q8524" s="11"/>
      <c r="R8524" s="11"/>
      <c r="S8524" s="11"/>
      <c r="T8524" s="11"/>
    </row>
    <row r="8525" spans="8:20" x14ac:dyDescent="0.35">
      <c r="H8525" s="711"/>
      <c r="I8525" s="711"/>
      <c r="J8525" s="711"/>
      <c r="K8525" s="711"/>
      <c r="L8525" s="711"/>
      <c r="Q8525" s="11"/>
      <c r="R8525" s="11"/>
      <c r="S8525" s="11"/>
      <c r="T8525" s="11"/>
    </row>
    <row r="8526" spans="8:20" x14ac:dyDescent="0.35">
      <c r="H8526" s="711"/>
      <c r="I8526" s="711"/>
      <c r="J8526" s="711"/>
      <c r="K8526" s="711"/>
      <c r="L8526" s="711"/>
      <c r="Q8526" s="11"/>
      <c r="R8526" s="11"/>
      <c r="S8526" s="11"/>
      <c r="T8526" s="11"/>
    </row>
    <row r="8527" spans="8:20" x14ac:dyDescent="0.35">
      <c r="H8527" s="711"/>
      <c r="I8527" s="711"/>
      <c r="J8527" s="711"/>
      <c r="K8527" s="711"/>
      <c r="L8527" s="711"/>
      <c r="Q8527" s="11"/>
      <c r="R8527" s="11"/>
      <c r="S8527" s="11"/>
      <c r="T8527" s="11"/>
    </row>
    <row r="8528" spans="8:20" x14ac:dyDescent="0.35">
      <c r="H8528" s="711"/>
      <c r="I8528" s="711"/>
      <c r="J8528" s="711"/>
      <c r="K8528" s="711"/>
      <c r="L8528" s="711"/>
      <c r="Q8528" s="11"/>
      <c r="R8528" s="11"/>
      <c r="S8528" s="11"/>
      <c r="T8528" s="11"/>
    </row>
    <row r="8529" spans="8:20" x14ac:dyDescent="0.35">
      <c r="H8529" s="711"/>
      <c r="I8529" s="711"/>
      <c r="J8529" s="711"/>
      <c r="K8529" s="711"/>
      <c r="L8529" s="711"/>
      <c r="Q8529" s="11"/>
      <c r="R8529" s="11"/>
      <c r="S8529" s="11"/>
      <c r="T8529" s="11"/>
    </row>
    <row r="8530" spans="8:20" x14ac:dyDescent="0.35">
      <c r="H8530" s="711"/>
      <c r="I8530" s="711"/>
      <c r="J8530" s="711"/>
      <c r="K8530" s="711"/>
      <c r="L8530" s="711"/>
      <c r="Q8530" s="11"/>
      <c r="R8530" s="11"/>
      <c r="S8530" s="11"/>
      <c r="T8530" s="11"/>
    </row>
    <row r="8531" spans="8:20" x14ac:dyDescent="0.35">
      <c r="H8531" s="711"/>
      <c r="I8531" s="711"/>
      <c r="J8531" s="711"/>
      <c r="K8531" s="711"/>
      <c r="L8531" s="711"/>
      <c r="Q8531" s="11"/>
      <c r="R8531" s="11"/>
      <c r="S8531" s="11"/>
      <c r="T8531" s="11"/>
    </row>
    <row r="8532" spans="8:20" x14ac:dyDescent="0.35">
      <c r="H8532" s="711"/>
      <c r="I8532" s="711"/>
      <c r="J8532" s="711"/>
      <c r="K8532" s="711"/>
      <c r="L8532" s="711"/>
      <c r="Q8532" s="11"/>
      <c r="R8532" s="11"/>
      <c r="S8532" s="11"/>
      <c r="T8532" s="11"/>
    </row>
    <row r="8533" spans="8:20" x14ac:dyDescent="0.35">
      <c r="H8533" s="711"/>
      <c r="I8533" s="711"/>
      <c r="J8533" s="711"/>
      <c r="K8533" s="711"/>
      <c r="L8533" s="711"/>
      <c r="Q8533" s="11"/>
      <c r="R8533" s="11"/>
      <c r="S8533" s="11"/>
      <c r="T8533" s="11"/>
    </row>
    <row r="8534" spans="8:20" x14ac:dyDescent="0.35">
      <c r="H8534" s="711"/>
      <c r="I8534" s="711"/>
      <c r="J8534" s="711"/>
      <c r="K8534" s="711"/>
      <c r="L8534" s="711"/>
      <c r="Q8534" s="11"/>
      <c r="R8534" s="11"/>
      <c r="S8534" s="11"/>
      <c r="T8534" s="11"/>
    </row>
    <row r="8535" spans="8:20" x14ac:dyDescent="0.35">
      <c r="H8535" s="711"/>
      <c r="I8535" s="711"/>
      <c r="J8535" s="711"/>
      <c r="K8535" s="711"/>
      <c r="L8535" s="711"/>
      <c r="Q8535" s="11"/>
      <c r="R8535" s="11"/>
      <c r="S8535" s="11"/>
      <c r="T8535" s="11"/>
    </row>
    <row r="8536" spans="8:20" x14ac:dyDescent="0.35">
      <c r="H8536" s="711"/>
      <c r="I8536" s="711"/>
      <c r="J8536" s="711"/>
      <c r="K8536" s="711"/>
      <c r="L8536" s="711"/>
      <c r="Q8536" s="11"/>
      <c r="R8536" s="11"/>
      <c r="S8536" s="11"/>
      <c r="T8536" s="11"/>
    </row>
    <row r="8537" spans="8:20" x14ac:dyDescent="0.35">
      <c r="H8537" s="711"/>
      <c r="I8537" s="711"/>
      <c r="J8537" s="711"/>
      <c r="K8537" s="711"/>
      <c r="L8537" s="711"/>
      <c r="Q8537" s="11"/>
      <c r="R8537" s="11"/>
      <c r="S8537" s="11"/>
      <c r="T8537" s="11"/>
    </row>
    <row r="8538" spans="8:20" x14ac:dyDescent="0.35">
      <c r="H8538" s="711"/>
      <c r="I8538" s="711"/>
      <c r="J8538" s="711"/>
      <c r="K8538" s="711"/>
      <c r="L8538" s="711"/>
      <c r="Q8538" s="11"/>
      <c r="R8538" s="11"/>
      <c r="S8538" s="11"/>
      <c r="T8538" s="11"/>
    </row>
    <row r="8539" spans="8:20" x14ac:dyDescent="0.35">
      <c r="H8539" s="711"/>
      <c r="I8539" s="711"/>
      <c r="J8539" s="711"/>
      <c r="K8539" s="711"/>
      <c r="L8539" s="711"/>
      <c r="Q8539" s="11"/>
      <c r="R8539" s="11"/>
      <c r="S8539" s="11"/>
      <c r="T8539" s="11"/>
    </row>
    <row r="8540" spans="8:20" x14ac:dyDescent="0.35">
      <c r="H8540" s="711"/>
      <c r="I8540" s="711"/>
      <c r="J8540" s="711"/>
      <c r="K8540" s="711"/>
      <c r="L8540" s="711"/>
      <c r="Q8540" s="11"/>
      <c r="R8540" s="11"/>
      <c r="S8540" s="11"/>
      <c r="T8540" s="11"/>
    </row>
    <row r="8541" spans="8:20" x14ac:dyDescent="0.35">
      <c r="H8541" s="711"/>
      <c r="I8541" s="711"/>
      <c r="J8541" s="711"/>
      <c r="K8541" s="711"/>
      <c r="L8541" s="711"/>
      <c r="Q8541" s="11"/>
      <c r="R8541" s="11"/>
      <c r="S8541" s="11"/>
      <c r="T8541" s="11"/>
    </row>
    <row r="8542" spans="8:20" x14ac:dyDescent="0.35">
      <c r="H8542" s="711"/>
      <c r="I8542" s="711"/>
      <c r="J8542" s="711"/>
      <c r="K8542" s="711"/>
      <c r="L8542" s="711"/>
      <c r="Q8542" s="11"/>
      <c r="R8542" s="11"/>
      <c r="S8542" s="11"/>
      <c r="T8542" s="11"/>
    </row>
    <row r="8543" spans="8:20" x14ac:dyDescent="0.35">
      <c r="H8543" s="711"/>
      <c r="I8543" s="711"/>
      <c r="J8543" s="711"/>
      <c r="K8543" s="711"/>
      <c r="L8543" s="711"/>
      <c r="Q8543" s="11"/>
      <c r="R8543" s="11"/>
      <c r="S8543" s="11"/>
      <c r="T8543" s="11"/>
    </row>
    <row r="8544" spans="8:20" x14ac:dyDescent="0.35">
      <c r="H8544" s="711"/>
      <c r="I8544" s="711"/>
      <c r="J8544" s="711"/>
      <c r="K8544" s="711"/>
      <c r="L8544" s="711"/>
      <c r="Q8544" s="11"/>
      <c r="R8544" s="11"/>
      <c r="S8544" s="11"/>
      <c r="T8544" s="11"/>
    </row>
    <row r="8545" spans="8:20" x14ac:dyDescent="0.35">
      <c r="H8545" s="711"/>
      <c r="I8545" s="711"/>
      <c r="J8545" s="711"/>
      <c r="K8545" s="711"/>
      <c r="L8545" s="711"/>
      <c r="Q8545" s="11"/>
      <c r="R8545" s="11"/>
      <c r="S8545" s="11"/>
      <c r="T8545" s="11"/>
    </row>
    <row r="8546" spans="8:20" x14ac:dyDescent="0.35">
      <c r="H8546" s="711"/>
      <c r="I8546" s="711"/>
      <c r="J8546" s="711"/>
      <c r="K8546" s="711"/>
      <c r="L8546" s="711"/>
      <c r="Q8546" s="11"/>
      <c r="R8546" s="11"/>
      <c r="S8546" s="11"/>
      <c r="T8546" s="11"/>
    </row>
    <row r="8547" spans="8:20" x14ac:dyDescent="0.35">
      <c r="H8547" s="711"/>
      <c r="I8547" s="711"/>
      <c r="J8547" s="711"/>
      <c r="K8547" s="711"/>
      <c r="L8547" s="711"/>
      <c r="Q8547" s="11"/>
      <c r="R8547" s="11"/>
      <c r="S8547" s="11"/>
      <c r="T8547" s="11"/>
    </row>
    <row r="8548" spans="8:20" x14ac:dyDescent="0.35">
      <c r="H8548" s="711"/>
      <c r="I8548" s="711"/>
      <c r="J8548" s="711"/>
      <c r="K8548" s="711"/>
      <c r="L8548" s="711"/>
      <c r="Q8548" s="11"/>
      <c r="R8548" s="11"/>
      <c r="S8548" s="11"/>
      <c r="T8548" s="11"/>
    </row>
    <row r="8549" spans="8:20" x14ac:dyDescent="0.35">
      <c r="H8549" s="711"/>
      <c r="I8549" s="711"/>
      <c r="J8549" s="711"/>
      <c r="K8549" s="711"/>
      <c r="L8549" s="711"/>
      <c r="Q8549" s="11"/>
      <c r="R8549" s="11"/>
      <c r="S8549" s="11"/>
      <c r="T8549" s="11"/>
    </row>
    <row r="8550" spans="8:20" x14ac:dyDescent="0.35">
      <c r="H8550" s="711"/>
      <c r="I8550" s="711"/>
      <c r="J8550" s="711"/>
      <c r="K8550" s="711"/>
      <c r="L8550" s="711"/>
      <c r="Q8550" s="11"/>
      <c r="R8550" s="11"/>
      <c r="S8550" s="11"/>
      <c r="T8550" s="11"/>
    </row>
    <row r="8551" spans="8:20" x14ac:dyDescent="0.35">
      <c r="H8551" s="711"/>
      <c r="I8551" s="711"/>
      <c r="J8551" s="711"/>
      <c r="K8551" s="711"/>
      <c r="L8551" s="711"/>
      <c r="Q8551" s="11"/>
      <c r="R8551" s="11"/>
      <c r="S8551" s="11"/>
      <c r="T8551" s="11"/>
    </row>
    <row r="8552" spans="8:20" x14ac:dyDescent="0.35">
      <c r="H8552" s="711"/>
      <c r="I8552" s="711"/>
      <c r="J8552" s="711"/>
      <c r="K8552" s="711"/>
      <c r="L8552" s="711"/>
      <c r="Q8552" s="11"/>
      <c r="R8552" s="11"/>
      <c r="S8552" s="11"/>
      <c r="T8552" s="11"/>
    </row>
    <row r="8553" spans="8:20" x14ac:dyDescent="0.35">
      <c r="H8553" s="711"/>
      <c r="I8553" s="711"/>
      <c r="J8553" s="711"/>
      <c r="K8553" s="711"/>
      <c r="L8553" s="711"/>
      <c r="Q8553" s="11"/>
      <c r="R8553" s="11"/>
      <c r="S8553" s="11"/>
      <c r="T8553" s="11"/>
    </row>
    <row r="8554" spans="8:20" x14ac:dyDescent="0.35">
      <c r="H8554" s="711"/>
      <c r="I8554" s="711"/>
      <c r="J8554" s="711"/>
      <c r="K8554" s="711"/>
      <c r="L8554" s="711"/>
      <c r="Q8554" s="11"/>
      <c r="R8554" s="11"/>
      <c r="S8554" s="11"/>
      <c r="T8554" s="11"/>
    </row>
    <row r="8555" spans="8:20" x14ac:dyDescent="0.35">
      <c r="H8555" s="711"/>
      <c r="I8555" s="711"/>
      <c r="J8555" s="711"/>
      <c r="K8555" s="711"/>
      <c r="L8555" s="711"/>
      <c r="Q8555" s="11"/>
      <c r="R8555" s="11"/>
      <c r="S8555" s="11"/>
      <c r="T8555" s="11"/>
    </row>
    <row r="8556" spans="8:20" x14ac:dyDescent="0.35">
      <c r="H8556" s="711"/>
      <c r="I8556" s="711"/>
      <c r="J8556" s="711"/>
      <c r="K8556" s="711"/>
      <c r="L8556" s="711"/>
      <c r="Q8556" s="11"/>
      <c r="R8556" s="11"/>
      <c r="S8556" s="11"/>
      <c r="T8556" s="11"/>
    </row>
    <row r="8557" spans="8:20" x14ac:dyDescent="0.35">
      <c r="H8557" s="711"/>
      <c r="I8557" s="711"/>
      <c r="J8557" s="711"/>
      <c r="K8557" s="711"/>
      <c r="L8557" s="711"/>
      <c r="Q8557" s="11"/>
      <c r="R8557" s="11"/>
      <c r="S8557" s="11"/>
      <c r="T8557" s="11"/>
    </row>
    <row r="8558" spans="8:20" x14ac:dyDescent="0.35">
      <c r="H8558" s="711"/>
      <c r="I8558" s="711"/>
      <c r="J8558" s="711"/>
      <c r="K8558" s="711"/>
      <c r="L8558" s="711"/>
      <c r="Q8558" s="11"/>
      <c r="R8558" s="11"/>
      <c r="S8558" s="11"/>
      <c r="T8558" s="11"/>
    </row>
    <row r="8559" spans="8:20" x14ac:dyDescent="0.35">
      <c r="H8559" s="711"/>
      <c r="I8559" s="711"/>
      <c r="J8559" s="711"/>
      <c r="K8559" s="711"/>
      <c r="L8559" s="711"/>
      <c r="Q8559" s="11"/>
      <c r="R8559" s="11"/>
      <c r="S8559" s="11"/>
      <c r="T8559" s="11"/>
    </row>
    <row r="8560" spans="8:20" x14ac:dyDescent="0.35">
      <c r="H8560" s="711"/>
      <c r="I8560" s="711"/>
      <c r="J8560" s="711"/>
      <c r="K8560" s="711"/>
      <c r="L8560" s="711"/>
      <c r="Q8560" s="11"/>
      <c r="R8560" s="11"/>
      <c r="S8560" s="11"/>
      <c r="T8560" s="11"/>
    </row>
    <row r="8561" spans="8:20" x14ac:dyDescent="0.35">
      <c r="H8561" s="711"/>
      <c r="I8561" s="711"/>
      <c r="J8561" s="711"/>
      <c r="K8561" s="711"/>
      <c r="L8561" s="711"/>
      <c r="Q8561" s="11"/>
      <c r="R8561" s="11"/>
      <c r="S8561" s="11"/>
      <c r="T8561" s="11"/>
    </row>
    <row r="8562" spans="8:20" x14ac:dyDescent="0.35">
      <c r="H8562" s="711"/>
      <c r="I8562" s="711"/>
      <c r="J8562" s="711"/>
      <c r="K8562" s="711"/>
      <c r="L8562" s="711"/>
      <c r="Q8562" s="11"/>
      <c r="R8562" s="11"/>
      <c r="S8562" s="11"/>
      <c r="T8562" s="11"/>
    </row>
    <row r="8563" spans="8:20" x14ac:dyDescent="0.35">
      <c r="H8563" s="711"/>
      <c r="I8563" s="711"/>
      <c r="J8563" s="711"/>
      <c r="K8563" s="711"/>
      <c r="L8563" s="711"/>
      <c r="Q8563" s="11"/>
      <c r="R8563" s="11"/>
      <c r="S8563" s="11"/>
      <c r="T8563" s="11"/>
    </row>
    <row r="8564" spans="8:20" x14ac:dyDescent="0.35">
      <c r="H8564" s="711"/>
      <c r="I8564" s="711"/>
      <c r="J8564" s="711"/>
      <c r="K8564" s="711"/>
      <c r="L8564" s="711"/>
      <c r="Q8564" s="11"/>
      <c r="R8564" s="11"/>
      <c r="S8564" s="11"/>
      <c r="T8564" s="11"/>
    </row>
    <row r="8565" spans="8:20" x14ac:dyDescent="0.35">
      <c r="H8565" s="711"/>
      <c r="I8565" s="711"/>
      <c r="J8565" s="711"/>
      <c r="K8565" s="711"/>
      <c r="L8565" s="711"/>
      <c r="Q8565" s="11"/>
      <c r="R8565" s="11"/>
      <c r="S8565" s="11"/>
      <c r="T8565" s="11"/>
    </row>
    <row r="8566" spans="8:20" x14ac:dyDescent="0.35">
      <c r="H8566" s="711"/>
      <c r="I8566" s="711"/>
      <c r="J8566" s="711"/>
      <c r="K8566" s="711"/>
      <c r="L8566" s="711"/>
      <c r="Q8566" s="11"/>
      <c r="R8566" s="11"/>
      <c r="S8566" s="11"/>
      <c r="T8566" s="11"/>
    </row>
    <row r="8567" spans="8:20" x14ac:dyDescent="0.35">
      <c r="H8567" s="711"/>
      <c r="I8567" s="711"/>
      <c r="J8567" s="711"/>
      <c r="K8567" s="711"/>
      <c r="L8567" s="711"/>
      <c r="Q8567" s="11"/>
      <c r="R8567" s="11"/>
      <c r="S8567" s="11"/>
      <c r="T8567" s="11"/>
    </row>
    <row r="8568" spans="8:20" x14ac:dyDescent="0.35">
      <c r="H8568" s="711"/>
      <c r="I8568" s="711"/>
      <c r="J8568" s="711"/>
      <c r="K8568" s="711"/>
      <c r="L8568" s="711"/>
      <c r="Q8568" s="11"/>
      <c r="R8568" s="11"/>
      <c r="S8568" s="11"/>
      <c r="T8568" s="11"/>
    </row>
    <row r="8569" spans="8:20" x14ac:dyDescent="0.35">
      <c r="H8569" s="711"/>
      <c r="I8569" s="711"/>
      <c r="J8569" s="711"/>
      <c r="K8569" s="711"/>
      <c r="L8569" s="711"/>
      <c r="Q8569" s="11"/>
      <c r="R8569" s="11"/>
      <c r="S8569" s="11"/>
      <c r="T8569" s="11"/>
    </row>
    <row r="8570" spans="8:20" x14ac:dyDescent="0.35">
      <c r="H8570" s="711"/>
      <c r="I8570" s="711"/>
      <c r="J8570" s="711"/>
      <c r="K8570" s="711"/>
      <c r="L8570" s="711"/>
      <c r="Q8570" s="11"/>
      <c r="R8570" s="11"/>
      <c r="S8570" s="11"/>
      <c r="T8570" s="11"/>
    </row>
    <row r="8571" spans="8:20" x14ac:dyDescent="0.35">
      <c r="H8571" s="711"/>
      <c r="I8571" s="711"/>
      <c r="J8571" s="711"/>
      <c r="K8571" s="711"/>
      <c r="L8571" s="711"/>
      <c r="Q8571" s="11"/>
      <c r="R8571" s="11"/>
      <c r="S8571" s="11"/>
      <c r="T8571" s="11"/>
    </row>
    <row r="8572" spans="8:20" x14ac:dyDescent="0.35">
      <c r="H8572" s="711"/>
      <c r="I8572" s="711"/>
      <c r="J8572" s="711"/>
      <c r="K8572" s="711"/>
      <c r="L8572" s="711"/>
      <c r="Q8572" s="11"/>
      <c r="R8572" s="11"/>
      <c r="S8572" s="11"/>
      <c r="T8572" s="11"/>
    </row>
    <row r="8573" spans="8:20" x14ac:dyDescent="0.35">
      <c r="H8573" s="711"/>
      <c r="I8573" s="711"/>
      <c r="J8573" s="711"/>
      <c r="K8573" s="711"/>
      <c r="L8573" s="711"/>
      <c r="Q8573" s="11"/>
      <c r="R8573" s="11"/>
      <c r="S8573" s="11"/>
      <c r="T8573" s="11"/>
    </row>
    <row r="8574" spans="8:20" x14ac:dyDescent="0.35">
      <c r="H8574" s="711"/>
      <c r="I8574" s="711"/>
      <c r="J8574" s="711"/>
      <c r="K8574" s="711"/>
      <c r="L8574" s="711"/>
      <c r="Q8574" s="11"/>
      <c r="R8574" s="11"/>
      <c r="S8574" s="11"/>
      <c r="T8574" s="11"/>
    </row>
    <row r="8575" spans="8:20" x14ac:dyDescent="0.35">
      <c r="H8575" s="711"/>
      <c r="I8575" s="711"/>
      <c r="J8575" s="711"/>
      <c r="K8575" s="711"/>
      <c r="L8575" s="711"/>
      <c r="Q8575" s="11"/>
      <c r="R8575" s="11"/>
      <c r="S8575" s="11"/>
      <c r="T8575" s="11"/>
    </row>
    <row r="8576" spans="8:20" x14ac:dyDescent="0.35">
      <c r="H8576" s="711"/>
      <c r="I8576" s="711"/>
      <c r="J8576" s="711"/>
      <c r="K8576" s="711"/>
      <c r="L8576" s="711"/>
      <c r="Q8576" s="11"/>
      <c r="R8576" s="11"/>
      <c r="S8576" s="11"/>
      <c r="T8576" s="11"/>
    </row>
    <row r="8577" spans="8:20" x14ac:dyDescent="0.35">
      <c r="H8577" s="711"/>
      <c r="I8577" s="711"/>
      <c r="J8577" s="711"/>
      <c r="K8577" s="711"/>
      <c r="L8577" s="711"/>
      <c r="Q8577" s="11"/>
      <c r="R8577" s="11"/>
      <c r="S8577" s="11"/>
      <c r="T8577" s="11"/>
    </row>
    <row r="8578" spans="8:20" x14ac:dyDescent="0.35">
      <c r="H8578" s="711"/>
      <c r="I8578" s="711"/>
      <c r="J8578" s="711"/>
      <c r="K8578" s="711"/>
      <c r="L8578" s="711"/>
      <c r="Q8578" s="11"/>
      <c r="R8578" s="11"/>
      <c r="S8578" s="11"/>
      <c r="T8578" s="11"/>
    </row>
    <row r="8579" spans="8:20" x14ac:dyDescent="0.35">
      <c r="H8579" s="711"/>
      <c r="I8579" s="711"/>
      <c r="J8579" s="711"/>
      <c r="K8579" s="711"/>
      <c r="L8579" s="711"/>
      <c r="Q8579" s="11"/>
      <c r="R8579" s="11"/>
      <c r="S8579" s="11"/>
      <c r="T8579" s="11"/>
    </row>
    <row r="8580" spans="8:20" x14ac:dyDescent="0.35">
      <c r="H8580" s="711"/>
      <c r="I8580" s="711"/>
      <c r="J8580" s="711"/>
      <c r="K8580" s="711"/>
      <c r="L8580" s="711"/>
      <c r="Q8580" s="11"/>
      <c r="R8580" s="11"/>
      <c r="S8580" s="11"/>
      <c r="T8580" s="11"/>
    </row>
    <row r="8581" spans="8:20" x14ac:dyDescent="0.35">
      <c r="H8581" s="711"/>
      <c r="I8581" s="711"/>
      <c r="J8581" s="711"/>
      <c r="K8581" s="711"/>
      <c r="L8581" s="711"/>
      <c r="Q8581" s="11"/>
      <c r="R8581" s="11"/>
      <c r="S8581" s="11"/>
      <c r="T8581" s="11"/>
    </row>
    <row r="8582" spans="8:20" x14ac:dyDescent="0.35">
      <c r="H8582" s="711"/>
      <c r="I8582" s="711"/>
      <c r="J8582" s="711"/>
      <c r="K8582" s="711"/>
      <c r="L8582" s="711"/>
      <c r="Q8582" s="11"/>
      <c r="R8582" s="11"/>
      <c r="S8582" s="11"/>
      <c r="T8582" s="11"/>
    </row>
    <row r="8583" spans="8:20" x14ac:dyDescent="0.35">
      <c r="H8583" s="711"/>
      <c r="I8583" s="711"/>
      <c r="J8583" s="711"/>
      <c r="K8583" s="711"/>
      <c r="L8583" s="711"/>
      <c r="Q8583" s="11"/>
      <c r="R8583" s="11"/>
      <c r="S8583" s="11"/>
      <c r="T8583" s="11"/>
    </row>
    <row r="8584" spans="8:20" x14ac:dyDescent="0.35">
      <c r="H8584" s="711"/>
      <c r="I8584" s="711"/>
      <c r="J8584" s="711"/>
      <c r="K8584" s="711"/>
      <c r="L8584" s="711"/>
      <c r="Q8584" s="11"/>
      <c r="R8584" s="11"/>
      <c r="S8584" s="11"/>
      <c r="T8584" s="11"/>
    </row>
    <row r="8585" spans="8:20" x14ac:dyDescent="0.35">
      <c r="H8585" s="711"/>
      <c r="I8585" s="711"/>
      <c r="J8585" s="711"/>
      <c r="K8585" s="711"/>
      <c r="L8585" s="711"/>
      <c r="Q8585" s="11"/>
      <c r="R8585" s="11"/>
      <c r="S8585" s="11"/>
      <c r="T8585" s="11"/>
    </row>
    <row r="8586" spans="8:20" x14ac:dyDescent="0.35">
      <c r="H8586" s="711"/>
      <c r="I8586" s="711"/>
      <c r="J8586" s="711"/>
      <c r="K8586" s="711"/>
      <c r="L8586" s="711"/>
      <c r="Q8586" s="11"/>
      <c r="R8586" s="11"/>
      <c r="S8586" s="11"/>
      <c r="T8586" s="11"/>
    </row>
    <row r="8587" spans="8:20" x14ac:dyDescent="0.35">
      <c r="H8587" s="711"/>
      <c r="I8587" s="711"/>
      <c r="J8587" s="711"/>
      <c r="K8587" s="711"/>
      <c r="L8587" s="711"/>
      <c r="Q8587" s="11"/>
      <c r="R8587" s="11"/>
      <c r="S8587" s="11"/>
      <c r="T8587" s="11"/>
    </row>
    <row r="8588" spans="8:20" x14ac:dyDescent="0.35">
      <c r="H8588" s="711"/>
      <c r="I8588" s="711"/>
      <c r="J8588" s="711"/>
      <c r="K8588" s="711"/>
      <c r="L8588" s="711"/>
      <c r="Q8588" s="11"/>
      <c r="R8588" s="11"/>
      <c r="S8588" s="11"/>
      <c r="T8588" s="11"/>
    </row>
    <row r="8589" spans="8:20" x14ac:dyDescent="0.35">
      <c r="H8589" s="711"/>
      <c r="I8589" s="711"/>
      <c r="J8589" s="711"/>
      <c r="K8589" s="711"/>
      <c r="L8589" s="711"/>
      <c r="Q8589" s="11"/>
      <c r="R8589" s="11"/>
      <c r="S8589" s="11"/>
      <c r="T8589" s="11"/>
    </row>
    <row r="8590" spans="8:20" x14ac:dyDescent="0.35">
      <c r="H8590" s="711"/>
      <c r="I8590" s="711"/>
      <c r="J8590" s="711"/>
      <c r="K8590" s="711"/>
      <c r="L8590" s="711"/>
      <c r="Q8590" s="11"/>
      <c r="R8590" s="11"/>
      <c r="S8590" s="11"/>
      <c r="T8590" s="11"/>
    </row>
    <row r="8591" spans="8:20" x14ac:dyDescent="0.35">
      <c r="H8591" s="711"/>
      <c r="I8591" s="711"/>
      <c r="J8591" s="711"/>
      <c r="K8591" s="711"/>
      <c r="L8591" s="711"/>
      <c r="Q8591" s="11"/>
      <c r="R8591" s="11"/>
      <c r="S8591" s="11"/>
      <c r="T8591" s="11"/>
    </row>
    <row r="8592" spans="8:20" x14ac:dyDescent="0.35">
      <c r="H8592" s="711"/>
      <c r="I8592" s="711"/>
      <c r="J8592" s="711"/>
      <c r="K8592" s="711"/>
      <c r="L8592" s="711"/>
      <c r="Q8592" s="11"/>
      <c r="R8592" s="11"/>
      <c r="S8592" s="11"/>
      <c r="T8592" s="11"/>
    </row>
    <row r="8593" spans="8:20" x14ac:dyDescent="0.35">
      <c r="H8593" s="711"/>
      <c r="I8593" s="711"/>
      <c r="J8593" s="711"/>
      <c r="K8593" s="711"/>
      <c r="L8593" s="711"/>
      <c r="Q8593" s="11"/>
      <c r="R8593" s="11"/>
      <c r="S8593" s="11"/>
      <c r="T8593" s="11"/>
    </row>
    <row r="8594" spans="8:20" x14ac:dyDescent="0.35">
      <c r="H8594" s="711"/>
      <c r="I8594" s="711"/>
      <c r="J8594" s="711"/>
      <c r="K8594" s="711"/>
      <c r="L8594" s="711"/>
      <c r="Q8594" s="11"/>
      <c r="R8594" s="11"/>
      <c r="S8594" s="11"/>
      <c r="T8594" s="11"/>
    </row>
    <row r="8595" spans="8:20" x14ac:dyDescent="0.35">
      <c r="H8595" s="711"/>
      <c r="I8595" s="711"/>
      <c r="J8595" s="711"/>
      <c r="K8595" s="711"/>
      <c r="L8595" s="711"/>
      <c r="Q8595" s="11"/>
      <c r="R8595" s="11"/>
      <c r="S8595" s="11"/>
      <c r="T8595" s="11"/>
    </row>
    <row r="8596" spans="8:20" x14ac:dyDescent="0.35">
      <c r="H8596" s="711"/>
      <c r="I8596" s="711"/>
      <c r="J8596" s="711"/>
      <c r="K8596" s="711"/>
      <c r="L8596" s="711"/>
      <c r="Q8596" s="11"/>
      <c r="R8596" s="11"/>
      <c r="S8596" s="11"/>
      <c r="T8596" s="11"/>
    </row>
    <row r="8597" spans="8:20" x14ac:dyDescent="0.35">
      <c r="H8597" s="711"/>
      <c r="I8597" s="711"/>
      <c r="J8597" s="711"/>
      <c r="K8597" s="711"/>
      <c r="L8597" s="711"/>
      <c r="Q8597" s="11"/>
      <c r="R8597" s="11"/>
      <c r="S8597" s="11"/>
      <c r="T8597" s="11"/>
    </row>
    <row r="8598" spans="8:20" x14ac:dyDescent="0.35">
      <c r="H8598" s="711"/>
      <c r="I8598" s="711"/>
      <c r="J8598" s="711"/>
      <c r="K8598" s="711"/>
      <c r="L8598" s="711"/>
      <c r="Q8598" s="11"/>
      <c r="R8598" s="11"/>
      <c r="S8598" s="11"/>
      <c r="T8598" s="11"/>
    </row>
    <row r="8599" spans="8:20" x14ac:dyDescent="0.35">
      <c r="H8599" s="711"/>
      <c r="I8599" s="711"/>
      <c r="J8599" s="711"/>
      <c r="K8599" s="711"/>
      <c r="L8599" s="711"/>
      <c r="Q8599" s="11"/>
      <c r="R8599" s="11"/>
      <c r="S8599" s="11"/>
      <c r="T8599" s="11"/>
    </row>
    <row r="8600" spans="8:20" x14ac:dyDescent="0.35">
      <c r="H8600" s="711"/>
      <c r="I8600" s="711"/>
      <c r="J8600" s="711"/>
      <c r="K8600" s="711"/>
      <c r="L8600" s="711"/>
      <c r="Q8600" s="11"/>
      <c r="R8600" s="11"/>
      <c r="S8600" s="11"/>
      <c r="T8600" s="11"/>
    </row>
    <row r="8601" spans="8:20" x14ac:dyDescent="0.35">
      <c r="H8601" s="711"/>
      <c r="I8601" s="711"/>
      <c r="J8601" s="711"/>
      <c r="K8601" s="711"/>
      <c r="L8601" s="711"/>
      <c r="Q8601" s="11"/>
      <c r="R8601" s="11"/>
      <c r="S8601" s="11"/>
      <c r="T8601" s="11"/>
    </row>
    <row r="8602" spans="8:20" x14ac:dyDescent="0.35">
      <c r="H8602" s="711"/>
      <c r="I8602" s="711"/>
      <c r="J8602" s="711"/>
      <c r="K8602" s="711"/>
      <c r="L8602" s="711"/>
      <c r="Q8602" s="11"/>
      <c r="R8602" s="11"/>
      <c r="S8602" s="11"/>
      <c r="T8602" s="11"/>
    </row>
    <row r="8603" spans="8:20" x14ac:dyDescent="0.35">
      <c r="H8603" s="711"/>
      <c r="I8603" s="711"/>
      <c r="J8603" s="711"/>
      <c r="K8603" s="711"/>
      <c r="L8603" s="711"/>
      <c r="Q8603" s="11"/>
      <c r="R8603" s="11"/>
      <c r="S8603" s="11"/>
      <c r="T8603" s="11"/>
    </row>
    <row r="8604" spans="8:20" x14ac:dyDescent="0.35">
      <c r="H8604" s="711"/>
      <c r="I8604" s="711"/>
      <c r="J8604" s="711"/>
      <c r="K8604" s="711"/>
      <c r="L8604" s="711"/>
      <c r="Q8604" s="11"/>
      <c r="R8604" s="11"/>
      <c r="S8604" s="11"/>
      <c r="T8604" s="11"/>
    </row>
    <row r="8605" spans="8:20" x14ac:dyDescent="0.35">
      <c r="H8605" s="711"/>
      <c r="I8605" s="711"/>
      <c r="J8605" s="711"/>
      <c r="K8605" s="711"/>
      <c r="L8605" s="711"/>
      <c r="Q8605" s="11"/>
      <c r="R8605" s="11"/>
      <c r="S8605" s="11"/>
      <c r="T8605" s="11"/>
    </row>
    <row r="8606" spans="8:20" x14ac:dyDescent="0.35">
      <c r="H8606" s="711"/>
      <c r="I8606" s="711"/>
      <c r="J8606" s="711"/>
      <c r="K8606" s="711"/>
      <c r="L8606" s="711"/>
      <c r="Q8606" s="11"/>
      <c r="R8606" s="11"/>
      <c r="S8606" s="11"/>
      <c r="T8606" s="11"/>
    </row>
    <row r="8607" spans="8:20" x14ac:dyDescent="0.35">
      <c r="H8607" s="711"/>
      <c r="I8607" s="711"/>
      <c r="J8607" s="711"/>
      <c r="K8607" s="711"/>
      <c r="L8607" s="711"/>
      <c r="Q8607" s="11"/>
      <c r="R8607" s="11"/>
      <c r="S8607" s="11"/>
      <c r="T8607" s="11"/>
    </row>
    <row r="8608" spans="8:20" x14ac:dyDescent="0.35">
      <c r="H8608" s="711"/>
      <c r="I8608" s="711"/>
      <c r="J8608" s="711"/>
      <c r="K8608" s="711"/>
      <c r="L8608" s="711"/>
      <c r="Q8608" s="11"/>
      <c r="R8608" s="11"/>
      <c r="S8608" s="11"/>
      <c r="T8608" s="11"/>
    </row>
    <row r="8609" spans="8:20" x14ac:dyDescent="0.35">
      <c r="H8609" s="711"/>
      <c r="I8609" s="711"/>
      <c r="J8609" s="711"/>
      <c r="K8609" s="711"/>
      <c r="L8609" s="711"/>
      <c r="Q8609" s="11"/>
      <c r="R8609" s="11"/>
      <c r="S8609" s="11"/>
      <c r="T8609" s="11"/>
    </row>
    <row r="8610" spans="8:20" x14ac:dyDescent="0.35">
      <c r="H8610" s="711"/>
      <c r="I8610" s="711"/>
      <c r="J8610" s="711"/>
      <c r="K8610" s="711"/>
      <c r="L8610" s="711"/>
      <c r="Q8610" s="11"/>
      <c r="R8610" s="11"/>
      <c r="S8610" s="11"/>
      <c r="T8610" s="11"/>
    </row>
    <row r="8611" spans="8:20" x14ac:dyDescent="0.35">
      <c r="H8611" s="711"/>
      <c r="I8611" s="711"/>
      <c r="J8611" s="711"/>
      <c r="K8611" s="711"/>
      <c r="L8611" s="711"/>
      <c r="Q8611" s="11"/>
      <c r="R8611" s="11"/>
      <c r="S8611" s="11"/>
      <c r="T8611" s="11"/>
    </row>
    <row r="8612" spans="8:20" x14ac:dyDescent="0.35">
      <c r="H8612" s="711"/>
      <c r="I8612" s="711"/>
      <c r="J8612" s="711"/>
      <c r="K8612" s="711"/>
      <c r="L8612" s="711"/>
      <c r="Q8612" s="11"/>
      <c r="R8612" s="11"/>
      <c r="S8612" s="11"/>
      <c r="T8612" s="11"/>
    </row>
    <row r="8613" spans="8:20" x14ac:dyDescent="0.35">
      <c r="H8613" s="711"/>
      <c r="I8613" s="711"/>
      <c r="J8613" s="711"/>
      <c r="K8613" s="711"/>
      <c r="L8613" s="711"/>
      <c r="Q8613" s="11"/>
      <c r="R8613" s="11"/>
      <c r="S8613" s="11"/>
      <c r="T8613" s="11"/>
    </row>
    <row r="8614" spans="8:20" x14ac:dyDescent="0.35">
      <c r="H8614" s="711"/>
      <c r="I8614" s="711"/>
      <c r="J8614" s="711"/>
      <c r="K8614" s="711"/>
      <c r="L8614" s="711"/>
      <c r="Q8614" s="11"/>
      <c r="R8614" s="11"/>
      <c r="S8614" s="11"/>
      <c r="T8614" s="11"/>
    </row>
    <row r="8615" spans="8:20" x14ac:dyDescent="0.35">
      <c r="H8615" s="711"/>
      <c r="I8615" s="711"/>
      <c r="J8615" s="711"/>
      <c r="K8615" s="711"/>
      <c r="L8615" s="711"/>
      <c r="Q8615" s="11"/>
      <c r="R8615" s="11"/>
      <c r="S8615" s="11"/>
      <c r="T8615" s="11"/>
    </row>
    <row r="8616" spans="8:20" x14ac:dyDescent="0.35">
      <c r="H8616" s="711"/>
      <c r="I8616" s="711"/>
      <c r="J8616" s="711"/>
      <c r="K8616" s="711"/>
      <c r="L8616" s="711"/>
      <c r="Q8616" s="11"/>
      <c r="R8616" s="11"/>
      <c r="S8616" s="11"/>
      <c r="T8616" s="11"/>
    </row>
    <row r="8617" spans="8:20" x14ac:dyDescent="0.35">
      <c r="H8617" s="711"/>
      <c r="I8617" s="711"/>
      <c r="J8617" s="711"/>
      <c r="K8617" s="711"/>
      <c r="L8617" s="711"/>
      <c r="Q8617" s="11"/>
      <c r="R8617" s="11"/>
      <c r="S8617" s="11"/>
      <c r="T8617" s="11"/>
    </row>
    <row r="8618" spans="8:20" x14ac:dyDescent="0.35">
      <c r="H8618" s="711"/>
      <c r="I8618" s="711"/>
      <c r="J8618" s="711"/>
      <c r="K8618" s="711"/>
      <c r="L8618" s="711"/>
      <c r="Q8618" s="11"/>
      <c r="R8618" s="11"/>
      <c r="S8618" s="11"/>
      <c r="T8618" s="11"/>
    </row>
    <row r="8619" spans="8:20" x14ac:dyDescent="0.35">
      <c r="H8619" s="711"/>
      <c r="I8619" s="711"/>
      <c r="J8619" s="711"/>
      <c r="K8619" s="711"/>
      <c r="L8619" s="711"/>
      <c r="Q8619" s="11"/>
      <c r="R8619" s="11"/>
      <c r="S8619" s="11"/>
      <c r="T8619" s="11"/>
    </row>
    <row r="8620" spans="8:20" x14ac:dyDescent="0.35">
      <c r="H8620" s="711"/>
      <c r="I8620" s="711"/>
      <c r="J8620" s="711"/>
      <c r="K8620" s="711"/>
      <c r="L8620" s="711"/>
      <c r="Q8620" s="11"/>
      <c r="R8620" s="11"/>
      <c r="S8620" s="11"/>
      <c r="T8620" s="11"/>
    </row>
    <row r="8621" spans="8:20" x14ac:dyDescent="0.35">
      <c r="H8621" s="711"/>
      <c r="I8621" s="711"/>
      <c r="J8621" s="711"/>
      <c r="K8621" s="711"/>
      <c r="L8621" s="711"/>
      <c r="Q8621" s="11"/>
      <c r="R8621" s="11"/>
      <c r="S8621" s="11"/>
      <c r="T8621" s="11"/>
    </row>
    <row r="8622" spans="8:20" x14ac:dyDescent="0.35">
      <c r="H8622" s="711"/>
      <c r="I8622" s="711"/>
      <c r="J8622" s="711"/>
      <c r="K8622" s="711"/>
      <c r="L8622" s="711"/>
      <c r="Q8622" s="11"/>
      <c r="R8622" s="11"/>
      <c r="S8622" s="11"/>
      <c r="T8622" s="11"/>
    </row>
    <row r="8623" spans="8:20" x14ac:dyDescent="0.35">
      <c r="H8623" s="711"/>
      <c r="I8623" s="711"/>
      <c r="J8623" s="711"/>
      <c r="K8623" s="711"/>
      <c r="L8623" s="711"/>
      <c r="Q8623" s="11"/>
      <c r="R8623" s="11"/>
      <c r="S8623" s="11"/>
      <c r="T8623" s="11"/>
    </row>
    <row r="8624" spans="8:20" x14ac:dyDescent="0.35">
      <c r="H8624" s="711"/>
      <c r="I8624" s="711"/>
      <c r="J8624" s="711"/>
      <c r="K8624" s="711"/>
      <c r="L8624" s="711"/>
      <c r="Q8624" s="11"/>
      <c r="R8624" s="11"/>
      <c r="S8624" s="11"/>
      <c r="T8624" s="11"/>
    </row>
    <row r="8625" spans="8:20" x14ac:dyDescent="0.35">
      <c r="H8625" s="711"/>
      <c r="I8625" s="711"/>
      <c r="J8625" s="711"/>
      <c r="K8625" s="711"/>
      <c r="L8625" s="711"/>
      <c r="Q8625" s="11"/>
      <c r="R8625" s="11"/>
      <c r="S8625" s="11"/>
      <c r="T8625" s="11"/>
    </row>
    <row r="8626" spans="8:20" x14ac:dyDescent="0.35">
      <c r="H8626" s="711"/>
      <c r="I8626" s="711"/>
      <c r="J8626" s="711"/>
      <c r="K8626" s="711"/>
      <c r="L8626" s="711"/>
      <c r="Q8626" s="11"/>
      <c r="R8626" s="11"/>
      <c r="S8626" s="11"/>
      <c r="T8626" s="11"/>
    </row>
    <row r="8627" spans="8:20" x14ac:dyDescent="0.35">
      <c r="H8627" s="711"/>
      <c r="I8627" s="711"/>
      <c r="J8627" s="711"/>
      <c r="K8627" s="711"/>
      <c r="L8627" s="711"/>
      <c r="Q8627" s="11"/>
      <c r="R8627" s="11"/>
      <c r="S8627" s="11"/>
      <c r="T8627" s="11"/>
    </row>
    <row r="8628" spans="8:20" x14ac:dyDescent="0.35">
      <c r="H8628" s="711"/>
      <c r="I8628" s="711"/>
      <c r="J8628" s="711"/>
      <c r="K8628" s="711"/>
      <c r="L8628" s="711"/>
      <c r="Q8628" s="11"/>
      <c r="R8628" s="11"/>
      <c r="S8628" s="11"/>
      <c r="T8628" s="11"/>
    </row>
    <row r="8629" spans="8:20" x14ac:dyDescent="0.35">
      <c r="H8629" s="711"/>
      <c r="I8629" s="711"/>
      <c r="J8629" s="711"/>
      <c r="K8629" s="711"/>
      <c r="L8629" s="711"/>
      <c r="Q8629" s="11"/>
      <c r="R8629" s="11"/>
      <c r="S8629" s="11"/>
      <c r="T8629" s="11"/>
    </row>
    <row r="8630" spans="8:20" x14ac:dyDescent="0.35">
      <c r="H8630" s="711"/>
      <c r="I8630" s="711"/>
      <c r="J8630" s="711"/>
      <c r="K8630" s="711"/>
      <c r="L8630" s="711"/>
      <c r="Q8630" s="11"/>
      <c r="R8630" s="11"/>
      <c r="S8630" s="11"/>
      <c r="T8630" s="11"/>
    </row>
    <row r="8631" spans="8:20" x14ac:dyDescent="0.35">
      <c r="H8631" s="711"/>
      <c r="I8631" s="711"/>
      <c r="J8631" s="711"/>
      <c r="K8631" s="711"/>
      <c r="L8631" s="711"/>
      <c r="Q8631" s="11"/>
      <c r="R8631" s="11"/>
      <c r="S8631" s="11"/>
      <c r="T8631" s="11"/>
    </row>
    <row r="8632" spans="8:20" x14ac:dyDescent="0.35">
      <c r="H8632" s="711"/>
      <c r="I8632" s="711"/>
      <c r="J8632" s="711"/>
      <c r="K8632" s="711"/>
      <c r="L8632" s="711"/>
      <c r="Q8632" s="11"/>
      <c r="R8632" s="11"/>
      <c r="S8632" s="11"/>
      <c r="T8632" s="11"/>
    </row>
    <row r="8633" spans="8:20" x14ac:dyDescent="0.35">
      <c r="H8633" s="711"/>
      <c r="I8633" s="711"/>
      <c r="J8633" s="711"/>
      <c r="K8633" s="711"/>
      <c r="L8633" s="711"/>
      <c r="Q8633" s="11"/>
      <c r="R8633" s="11"/>
      <c r="S8633" s="11"/>
      <c r="T8633" s="11"/>
    </row>
    <row r="8634" spans="8:20" x14ac:dyDescent="0.35">
      <c r="H8634" s="711"/>
      <c r="I8634" s="711"/>
      <c r="J8634" s="711"/>
      <c r="K8634" s="711"/>
      <c r="L8634" s="711"/>
      <c r="Q8634" s="11"/>
      <c r="R8634" s="11"/>
      <c r="S8634" s="11"/>
      <c r="T8634" s="11"/>
    </row>
    <row r="8635" spans="8:20" x14ac:dyDescent="0.35">
      <c r="H8635" s="711"/>
      <c r="I8635" s="711"/>
      <c r="J8635" s="711"/>
      <c r="K8635" s="711"/>
      <c r="L8635" s="711"/>
      <c r="Q8635" s="11"/>
      <c r="R8635" s="11"/>
      <c r="S8635" s="11"/>
      <c r="T8635" s="11"/>
    </row>
    <row r="8636" spans="8:20" x14ac:dyDescent="0.35">
      <c r="H8636" s="711"/>
      <c r="I8636" s="711"/>
      <c r="J8636" s="711"/>
      <c r="K8636" s="711"/>
      <c r="L8636" s="711"/>
      <c r="Q8636" s="11"/>
      <c r="R8636" s="11"/>
      <c r="S8636" s="11"/>
      <c r="T8636" s="11"/>
    </row>
    <row r="8637" spans="8:20" x14ac:dyDescent="0.35">
      <c r="H8637" s="711"/>
      <c r="I8637" s="711"/>
      <c r="J8637" s="711"/>
      <c r="K8637" s="711"/>
      <c r="L8637" s="711"/>
      <c r="Q8637" s="11"/>
      <c r="R8637" s="11"/>
      <c r="S8637" s="11"/>
      <c r="T8637" s="11"/>
    </row>
    <row r="8638" spans="8:20" x14ac:dyDescent="0.35">
      <c r="H8638" s="711"/>
      <c r="I8638" s="711"/>
      <c r="J8638" s="711"/>
      <c r="K8638" s="711"/>
      <c r="L8638" s="711"/>
      <c r="Q8638" s="11"/>
      <c r="R8638" s="11"/>
      <c r="S8638" s="11"/>
      <c r="T8638" s="11"/>
    </row>
    <row r="8639" spans="8:20" x14ac:dyDescent="0.35">
      <c r="H8639" s="711"/>
      <c r="I8639" s="711"/>
      <c r="J8639" s="711"/>
      <c r="K8639" s="711"/>
      <c r="L8639" s="711"/>
      <c r="Q8639" s="11"/>
      <c r="R8639" s="11"/>
      <c r="S8639" s="11"/>
      <c r="T8639" s="11"/>
    </row>
    <row r="8640" spans="8:20" x14ac:dyDescent="0.35">
      <c r="H8640" s="711"/>
      <c r="I8640" s="711"/>
      <c r="J8640" s="711"/>
      <c r="K8640" s="711"/>
      <c r="L8640" s="711"/>
      <c r="Q8640" s="11"/>
      <c r="R8640" s="11"/>
      <c r="S8640" s="11"/>
      <c r="T8640" s="11"/>
    </row>
    <row r="8641" spans="8:20" x14ac:dyDescent="0.35">
      <c r="H8641" s="711"/>
      <c r="I8641" s="711"/>
      <c r="J8641" s="711"/>
      <c r="K8641" s="711"/>
      <c r="L8641" s="711"/>
      <c r="Q8641" s="11"/>
      <c r="R8641" s="11"/>
      <c r="S8641" s="11"/>
      <c r="T8641" s="11"/>
    </row>
    <row r="8642" spans="8:20" x14ac:dyDescent="0.35">
      <c r="H8642" s="711"/>
      <c r="I8642" s="711"/>
      <c r="J8642" s="711"/>
      <c r="K8642" s="711"/>
      <c r="L8642" s="711"/>
      <c r="Q8642" s="11"/>
      <c r="R8642" s="11"/>
      <c r="S8642" s="11"/>
      <c r="T8642" s="11"/>
    </row>
    <row r="8643" spans="8:20" x14ac:dyDescent="0.35">
      <c r="H8643" s="711"/>
      <c r="I8643" s="711"/>
      <c r="J8643" s="711"/>
      <c r="K8643" s="711"/>
      <c r="L8643" s="711"/>
      <c r="Q8643" s="11"/>
      <c r="R8643" s="11"/>
      <c r="S8643" s="11"/>
      <c r="T8643" s="11"/>
    </row>
    <row r="8644" spans="8:20" x14ac:dyDescent="0.35">
      <c r="H8644" s="711"/>
      <c r="I8644" s="711"/>
      <c r="J8644" s="711"/>
      <c r="K8644" s="711"/>
      <c r="L8644" s="711"/>
      <c r="Q8644" s="11"/>
      <c r="R8644" s="11"/>
      <c r="S8644" s="11"/>
      <c r="T8644" s="11"/>
    </row>
    <row r="8645" spans="8:20" x14ac:dyDescent="0.35">
      <c r="H8645" s="711"/>
      <c r="I8645" s="711"/>
      <c r="J8645" s="711"/>
      <c r="K8645" s="711"/>
      <c r="L8645" s="711"/>
      <c r="Q8645" s="11"/>
      <c r="R8645" s="11"/>
      <c r="S8645" s="11"/>
      <c r="T8645" s="11"/>
    </row>
    <row r="8646" spans="8:20" x14ac:dyDescent="0.35">
      <c r="H8646" s="711"/>
      <c r="I8646" s="711"/>
      <c r="J8646" s="711"/>
      <c r="K8646" s="711"/>
      <c r="L8646" s="711"/>
      <c r="Q8646" s="11"/>
      <c r="R8646" s="11"/>
      <c r="S8646" s="11"/>
      <c r="T8646" s="11"/>
    </row>
    <row r="8647" spans="8:20" x14ac:dyDescent="0.35">
      <c r="H8647" s="711"/>
      <c r="I8647" s="711"/>
      <c r="J8647" s="711"/>
      <c r="K8647" s="711"/>
      <c r="L8647" s="711"/>
      <c r="Q8647" s="11"/>
      <c r="R8647" s="11"/>
      <c r="S8647" s="11"/>
      <c r="T8647" s="11"/>
    </row>
    <row r="8648" spans="8:20" x14ac:dyDescent="0.35">
      <c r="H8648" s="711"/>
      <c r="I8648" s="711"/>
      <c r="J8648" s="711"/>
      <c r="K8648" s="711"/>
      <c r="L8648" s="711"/>
      <c r="Q8648" s="11"/>
      <c r="R8648" s="11"/>
      <c r="S8648" s="11"/>
      <c r="T8648" s="11"/>
    </row>
    <row r="8649" spans="8:20" x14ac:dyDescent="0.35">
      <c r="H8649" s="711"/>
      <c r="I8649" s="711"/>
      <c r="J8649" s="711"/>
      <c r="K8649" s="711"/>
      <c r="L8649" s="711"/>
      <c r="Q8649" s="11"/>
      <c r="R8649" s="11"/>
      <c r="S8649" s="11"/>
      <c r="T8649" s="11"/>
    </row>
    <row r="8650" spans="8:20" x14ac:dyDescent="0.35">
      <c r="H8650" s="711"/>
      <c r="I8650" s="711"/>
      <c r="J8650" s="711"/>
      <c r="K8650" s="711"/>
      <c r="L8650" s="711"/>
      <c r="Q8650" s="11"/>
      <c r="R8650" s="11"/>
      <c r="S8650" s="11"/>
      <c r="T8650" s="11"/>
    </row>
    <row r="8651" spans="8:20" x14ac:dyDescent="0.35">
      <c r="H8651" s="711"/>
      <c r="I8651" s="711"/>
      <c r="J8651" s="711"/>
      <c r="K8651" s="711"/>
      <c r="L8651" s="711"/>
      <c r="Q8651" s="11"/>
      <c r="R8651" s="11"/>
      <c r="S8651" s="11"/>
      <c r="T8651" s="11"/>
    </row>
    <row r="8652" spans="8:20" x14ac:dyDescent="0.35">
      <c r="H8652" s="711"/>
      <c r="I8652" s="711"/>
      <c r="J8652" s="711"/>
      <c r="K8652" s="711"/>
      <c r="L8652" s="711"/>
      <c r="Q8652" s="11"/>
      <c r="R8652" s="11"/>
      <c r="S8652" s="11"/>
      <c r="T8652" s="11"/>
    </row>
    <row r="8653" spans="8:20" x14ac:dyDescent="0.35">
      <c r="H8653" s="711"/>
      <c r="I8653" s="711"/>
      <c r="J8653" s="711"/>
      <c r="K8653" s="711"/>
      <c r="L8653" s="711"/>
      <c r="Q8653" s="11"/>
      <c r="R8653" s="11"/>
      <c r="S8653" s="11"/>
      <c r="T8653" s="11"/>
    </row>
    <row r="8654" spans="8:20" x14ac:dyDescent="0.35">
      <c r="H8654" s="711"/>
      <c r="I8654" s="711"/>
      <c r="J8654" s="711"/>
      <c r="K8654" s="711"/>
      <c r="L8654" s="711"/>
      <c r="Q8654" s="11"/>
      <c r="R8654" s="11"/>
      <c r="S8654" s="11"/>
      <c r="T8654" s="11"/>
    </row>
    <row r="8655" spans="8:20" x14ac:dyDescent="0.35">
      <c r="H8655" s="711"/>
      <c r="I8655" s="711"/>
      <c r="J8655" s="711"/>
      <c r="K8655" s="711"/>
      <c r="L8655" s="711"/>
      <c r="Q8655" s="11"/>
      <c r="R8655" s="11"/>
      <c r="S8655" s="11"/>
      <c r="T8655" s="11"/>
    </row>
    <row r="8656" spans="8:20" x14ac:dyDescent="0.35">
      <c r="H8656" s="711"/>
      <c r="I8656" s="711"/>
      <c r="J8656" s="711"/>
      <c r="K8656" s="711"/>
      <c r="L8656" s="711"/>
      <c r="Q8656" s="11"/>
      <c r="R8656" s="11"/>
      <c r="S8656" s="11"/>
      <c r="T8656" s="11"/>
    </row>
    <row r="8657" spans="8:20" x14ac:dyDescent="0.35">
      <c r="H8657" s="711"/>
      <c r="I8657" s="711"/>
      <c r="J8657" s="711"/>
      <c r="K8657" s="711"/>
      <c r="L8657" s="711"/>
      <c r="Q8657" s="11"/>
      <c r="R8657" s="11"/>
      <c r="S8657" s="11"/>
      <c r="T8657" s="11"/>
    </row>
    <row r="8658" spans="8:20" x14ac:dyDescent="0.35">
      <c r="H8658" s="711"/>
      <c r="I8658" s="711"/>
      <c r="J8658" s="711"/>
      <c r="K8658" s="711"/>
      <c r="L8658" s="711"/>
      <c r="Q8658" s="11"/>
      <c r="R8658" s="11"/>
      <c r="S8658" s="11"/>
      <c r="T8658" s="11"/>
    </row>
    <row r="8659" spans="8:20" x14ac:dyDescent="0.35">
      <c r="H8659" s="711"/>
      <c r="I8659" s="711"/>
      <c r="J8659" s="711"/>
      <c r="K8659" s="711"/>
      <c r="L8659" s="711"/>
      <c r="Q8659" s="11"/>
      <c r="R8659" s="11"/>
      <c r="S8659" s="11"/>
      <c r="T8659" s="11"/>
    </row>
    <row r="8660" spans="8:20" x14ac:dyDescent="0.35">
      <c r="H8660" s="711"/>
      <c r="I8660" s="711"/>
      <c r="J8660" s="711"/>
      <c r="K8660" s="711"/>
      <c r="L8660" s="711"/>
      <c r="Q8660" s="11"/>
      <c r="R8660" s="11"/>
      <c r="S8660" s="11"/>
      <c r="T8660" s="11"/>
    </row>
    <row r="8661" spans="8:20" x14ac:dyDescent="0.35">
      <c r="H8661" s="711"/>
      <c r="I8661" s="711"/>
      <c r="J8661" s="711"/>
      <c r="K8661" s="711"/>
      <c r="L8661" s="711"/>
      <c r="Q8661" s="11"/>
      <c r="R8661" s="11"/>
      <c r="S8661" s="11"/>
      <c r="T8661" s="11"/>
    </row>
    <row r="8662" spans="8:20" x14ac:dyDescent="0.35">
      <c r="H8662" s="711"/>
      <c r="I8662" s="711"/>
      <c r="J8662" s="711"/>
      <c r="K8662" s="711"/>
      <c r="L8662" s="711"/>
      <c r="Q8662" s="11"/>
      <c r="R8662" s="11"/>
      <c r="S8662" s="11"/>
      <c r="T8662" s="11"/>
    </row>
    <row r="8663" spans="8:20" x14ac:dyDescent="0.35">
      <c r="H8663" s="711"/>
      <c r="I8663" s="711"/>
      <c r="J8663" s="711"/>
      <c r="K8663" s="711"/>
      <c r="L8663" s="711"/>
      <c r="Q8663" s="11"/>
      <c r="R8663" s="11"/>
      <c r="S8663" s="11"/>
      <c r="T8663" s="11"/>
    </row>
    <row r="8664" spans="8:20" x14ac:dyDescent="0.35">
      <c r="H8664" s="711"/>
      <c r="I8664" s="711"/>
      <c r="J8664" s="711"/>
      <c r="K8664" s="711"/>
      <c r="L8664" s="711"/>
      <c r="Q8664" s="11"/>
      <c r="R8664" s="11"/>
      <c r="S8664" s="11"/>
      <c r="T8664" s="11"/>
    </row>
    <row r="8665" spans="8:20" x14ac:dyDescent="0.35">
      <c r="H8665" s="711"/>
      <c r="I8665" s="711"/>
      <c r="J8665" s="711"/>
      <c r="K8665" s="711"/>
      <c r="L8665" s="711"/>
      <c r="Q8665" s="11"/>
      <c r="R8665" s="11"/>
      <c r="S8665" s="11"/>
      <c r="T8665" s="11"/>
    </row>
    <row r="8666" spans="8:20" x14ac:dyDescent="0.35">
      <c r="H8666" s="711"/>
      <c r="I8666" s="711"/>
      <c r="J8666" s="711"/>
      <c r="K8666" s="711"/>
      <c r="L8666" s="711"/>
      <c r="Q8666" s="11"/>
      <c r="R8666" s="11"/>
      <c r="S8666" s="11"/>
      <c r="T8666" s="11"/>
    </row>
    <row r="8667" spans="8:20" x14ac:dyDescent="0.35">
      <c r="H8667" s="711"/>
      <c r="I8667" s="711"/>
      <c r="J8667" s="711"/>
      <c r="K8667" s="711"/>
      <c r="L8667" s="711"/>
      <c r="Q8667" s="11"/>
      <c r="R8667" s="11"/>
      <c r="S8667" s="11"/>
      <c r="T8667" s="11"/>
    </row>
    <row r="8668" spans="8:20" x14ac:dyDescent="0.35">
      <c r="H8668" s="711"/>
      <c r="I8668" s="711"/>
      <c r="J8668" s="711"/>
      <c r="K8668" s="711"/>
      <c r="L8668" s="711"/>
      <c r="Q8668" s="11"/>
      <c r="R8668" s="11"/>
      <c r="S8668" s="11"/>
      <c r="T8668" s="11"/>
    </row>
    <row r="8669" spans="8:20" x14ac:dyDescent="0.35">
      <c r="H8669" s="711"/>
      <c r="I8669" s="711"/>
      <c r="J8669" s="711"/>
      <c r="K8669" s="711"/>
      <c r="L8669" s="711"/>
      <c r="Q8669" s="11"/>
      <c r="R8669" s="11"/>
      <c r="S8669" s="11"/>
      <c r="T8669" s="11"/>
    </row>
    <row r="8670" spans="8:20" x14ac:dyDescent="0.35">
      <c r="H8670" s="711"/>
      <c r="I8670" s="711"/>
      <c r="J8670" s="711"/>
      <c r="K8670" s="711"/>
      <c r="L8670" s="711"/>
      <c r="Q8670" s="11"/>
      <c r="R8670" s="11"/>
      <c r="S8670" s="11"/>
      <c r="T8670" s="11"/>
    </row>
    <row r="8671" spans="8:20" x14ac:dyDescent="0.35">
      <c r="H8671" s="711"/>
      <c r="I8671" s="711"/>
      <c r="J8671" s="711"/>
      <c r="K8671" s="711"/>
      <c r="L8671" s="711"/>
      <c r="Q8671" s="11"/>
      <c r="R8671" s="11"/>
      <c r="S8671" s="11"/>
      <c r="T8671" s="11"/>
    </row>
    <row r="8672" spans="8:20" x14ac:dyDescent="0.35">
      <c r="H8672" s="711"/>
      <c r="I8672" s="711"/>
      <c r="J8672" s="711"/>
      <c r="K8672" s="711"/>
      <c r="L8672" s="711"/>
      <c r="Q8672" s="11"/>
      <c r="R8672" s="11"/>
      <c r="S8672" s="11"/>
      <c r="T8672" s="11"/>
    </row>
    <row r="8673" spans="8:20" x14ac:dyDescent="0.35">
      <c r="H8673" s="711"/>
      <c r="I8673" s="711"/>
      <c r="J8673" s="711"/>
      <c r="K8673" s="711"/>
      <c r="L8673" s="711"/>
      <c r="Q8673" s="11"/>
      <c r="R8673" s="11"/>
      <c r="S8673" s="11"/>
      <c r="T8673" s="11"/>
    </row>
    <row r="8674" spans="8:20" x14ac:dyDescent="0.35">
      <c r="H8674" s="711"/>
      <c r="I8674" s="711"/>
      <c r="J8674" s="711"/>
      <c r="K8674" s="711"/>
      <c r="L8674" s="711"/>
      <c r="Q8674" s="11"/>
      <c r="R8674" s="11"/>
      <c r="S8674" s="11"/>
      <c r="T8674" s="11"/>
    </row>
    <row r="8675" spans="8:20" x14ac:dyDescent="0.35">
      <c r="H8675" s="711"/>
      <c r="I8675" s="711"/>
      <c r="J8675" s="711"/>
      <c r="K8675" s="711"/>
      <c r="L8675" s="711"/>
      <c r="Q8675" s="11"/>
      <c r="R8675" s="11"/>
      <c r="S8675" s="11"/>
      <c r="T8675" s="11"/>
    </row>
    <row r="8676" spans="8:20" x14ac:dyDescent="0.35">
      <c r="H8676" s="711"/>
      <c r="I8676" s="711"/>
      <c r="J8676" s="711"/>
      <c r="K8676" s="711"/>
      <c r="L8676" s="711"/>
      <c r="Q8676" s="11"/>
      <c r="R8676" s="11"/>
      <c r="S8676" s="11"/>
      <c r="T8676" s="11"/>
    </row>
    <row r="8677" spans="8:20" x14ac:dyDescent="0.35">
      <c r="H8677" s="711"/>
      <c r="I8677" s="711"/>
      <c r="J8677" s="711"/>
      <c r="K8677" s="711"/>
      <c r="L8677" s="711"/>
      <c r="Q8677" s="11"/>
      <c r="R8677" s="11"/>
      <c r="S8677" s="11"/>
      <c r="T8677" s="11"/>
    </row>
    <row r="8678" spans="8:20" x14ac:dyDescent="0.35">
      <c r="H8678" s="711"/>
      <c r="I8678" s="711"/>
      <c r="J8678" s="711"/>
      <c r="K8678" s="711"/>
      <c r="L8678" s="711"/>
      <c r="Q8678" s="11"/>
      <c r="R8678" s="11"/>
      <c r="S8678" s="11"/>
      <c r="T8678" s="11"/>
    </row>
    <row r="8679" spans="8:20" x14ac:dyDescent="0.35">
      <c r="H8679" s="711"/>
      <c r="I8679" s="711"/>
      <c r="J8679" s="711"/>
      <c r="K8679" s="711"/>
      <c r="L8679" s="711"/>
      <c r="Q8679" s="11"/>
      <c r="R8679" s="11"/>
      <c r="S8679" s="11"/>
      <c r="T8679" s="11"/>
    </row>
    <row r="8680" spans="8:20" x14ac:dyDescent="0.35">
      <c r="H8680" s="711"/>
      <c r="I8680" s="711"/>
      <c r="J8680" s="711"/>
      <c r="K8680" s="711"/>
      <c r="L8680" s="711"/>
      <c r="Q8680" s="11"/>
      <c r="R8680" s="11"/>
      <c r="S8680" s="11"/>
      <c r="T8680" s="11"/>
    </row>
    <row r="8681" spans="8:20" x14ac:dyDescent="0.35">
      <c r="H8681" s="711"/>
      <c r="I8681" s="711"/>
      <c r="J8681" s="711"/>
      <c r="K8681" s="711"/>
      <c r="L8681" s="711"/>
      <c r="Q8681" s="11"/>
      <c r="R8681" s="11"/>
      <c r="S8681" s="11"/>
      <c r="T8681" s="11"/>
    </row>
    <row r="8682" spans="8:20" x14ac:dyDescent="0.35">
      <c r="H8682" s="711"/>
      <c r="I8682" s="711"/>
      <c r="J8682" s="711"/>
      <c r="K8682" s="711"/>
      <c r="L8682" s="711"/>
      <c r="Q8682" s="11"/>
      <c r="R8682" s="11"/>
      <c r="S8682" s="11"/>
      <c r="T8682" s="11"/>
    </row>
    <row r="8683" spans="8:20" x14ac:dyDescent="0.35">
      <c r="H8683" s="711"/>
      <c r="I8683" s="711"/>
      <c r="J8683" s="711"/>
      <c r="K8683" s="711"/>
      <c r="L8683" s="711"/>
      <c r="Q8683" s="11"/>
      <c r="R8683" s="11"/>
      <c r="S8683" s="11"/>
      <c r="T8683" s="11"/>
    </row>
    <row r="8684" spans="8:20" x14ac:dyDescent="0.35">
      <c r="H8684" s="711"/>
      <c r="I8684" s="711"/>
      <c r="J8684" s="711"/>
      <c r="K8684" s="711"/>
      <c r="L8684" s="711"/>
      <c r="Q8684" s="11"/>
      <c r="R8684" s="11"/>
      <c r="S8684" s="11"/>
      <c r="T8684" s="11"/>
    </row>
    <row r="8685" spans="8:20" x14ac:dyDescent="0.35">
      <c r="H8685" s="711"/>
      <c r="I8685" s="711"/>
      <c r="J8685" s="711"/>
      <c r="K8685" s="711"/>
      <c r="L8685" s="711"/>
      <c r="Q8685" s="11"/>
      <c r="R8685" s="11"/>
      <c r="S8685" s="11"/>
      <c r="T8685" s="11"/>
    </row>
    <row r="8686" spans="8:20" x14ac:dyDescent="0.35">
      <c r="H8686" s="711"/>
      <c r="I8686" s="711"/>
      <c r="J8686" s="711"/>
      <c r="K8686" s="711"/>
      <c r="L8686" s="711"/>
      <c r="Q8686" s="11"/>
      <c r="R8686" s="11"/>
      <c r="S8686" s="11"/>
      <c r="T8686" s="11"/>
    </row>
    <row r="8687" spans="8:20" x14ac:dyDescent="0.35">
      <c r="H8687" s="711"/>
      <c r="I8687" s="711"/>
      <c r="J8687" s="711"/>
      <c r="K8687" s="711"/>
      <c r="L8687" s="711"/>
      <c r="Q8687" s="11"/>
      <c r="R8687" s="11"/>
      <c r="S8687" s="11"/>
      <c r="T8687" s="11"/>
    </row>
    <row r="8688" spans="8:20" x14ac:dyDescent="0.35">
      <c r="H8688" s="711"/>
      <c r="I8688" s="711"/>
      <c r="J8688" s="711"/>
      <c r="K8688" s="711"/>
      <c r="L8688" s="711"/>
      <c r="Q8688" s="11"/>
      <c r="R8688" s="11"/>
      <c r="S8688" s="11"/>
      <c r="T8688" s="11"/>
    </row>
    <row r="8689" spans="8:20" x14ac:dyDescent="0.35">
      <c r="H8689" s="711"/>
      <c r="I8689" s="711"/>
      <c r="J8689" s="711"/>
      <c r="K8689" s="711"/>
      <c r="L8689" s="711"/>
      <c r="Q8689" s="11"/>
      <c r="R8689" s="11"/>
      <c r="S8689" s="11"/>
      <c r="T8689" s="11"/>
    </row>
    <row r="8690" spans="8:20" x14ac:dyDescent="0.35">
      <c r="H8690" s="711"/>
      <c r="I8690" s="711"/>
      <c r="J8690" s="711"/>
      <c r="K8690" s="711"/>
      <c r="L8690" s="711"/>
      <c r="Q8690" s="11"/>
      <c r="R8690" s="11"/>
      <c r="S8690" s="11"/>
      <c r="T8690" s="11"/>
    </row>
    <row r="8691" spans="8:20" x14ac:dyDescent="0.35">
      <c r="H8691" s="711"/>
      <c r="I8691" s="711"/>
      <c r="J8691" s="711"/>
      <c r="K8691" s="711"/>
      <c r="L8691" s="711"/>
      <c r="Q8691" s="11"/>
      <c r="R8691" s="11"/>
      <c r="S8691" s="11"/>
      <c r="T8691" s="11"/>
    </row>
    <row r="8692" spans="8:20" x14ac:dyDescent="0.35">
      <c r="H8692" s="711"/>
      <c r="I8692" s="711"/>
      <c r="J8692" s="711"/>
      <c r="K8692" s="711"/>
      <c r="L8692" s="711"/>
      <c r="Q8692" s="11"/>
      <c r="R8692" s="11"/>
      <c r="S8692" s="11"/>
      <c r="T8692" s="11"/>
    </row>
    <row r="8693" spans="8:20" x14ac:dyDescent="0.35">
      <c r="H8693" s="711"/>
      <c r="I8693" s="711"/>
      <c r="J8693" s="711"/>
      <c r="K8693" s="711"/>
      <c r="L8693" s="711"/>
      <c r="Q8693" s="11"/>
      <c r="R8693" s="11"/>
      <c r="S8693" s="11"/>
      <c r="T8693" s="11"/>
    </row>
    <row r="8694" spans="8:20" x14ac:dyDescent="0.35">
      <c r="H8694" s="711"/>
      <c r="I8694" s="711"/>
      <c r="J8694" s="711"/>
      <c r="K8694" s="711"/>
      <c r="L8694" s="711"/>
      <c r="Q8694" s="11"/>
      <c r="R8694" s="11"/>
      <c r="S8694" s="11"/>
      <c r="T8694" s="11"/>
    </row>
    <row r="8695" spans="8:20" x14ac:dyDescent="0.35">
      <c r="H8695" s="711"/>
      <c r="I8695" s="711"/>
      <c r="J8695" s="711"/>
      <c r="K8695" s="711"/>
      <c r="L8695" s="711"/>
      <c r="Q8695" s="11"/>
      <c r="R8695" s="11"/>
      <c r="S8695" s="11"/>
      <c r="T8695" s="11"/>
    </row>
    <row r="8696" spans="8:20" x14ac:dyDescent="0.35">
      <c r="H8696" s="711"/>
      <c r="I8696" s="711"/>
      <c r="J8696" s="711"/>
      <c r="K8696" s="711"/>
      <c r="L8696" s="711"/>
      <c r="Q8696" s="11"/>
      <c r="R8696" s="11"/>
      <c r="S8696" s="11"/>
      <c r="T8696" s="11"/>
    </row>
    <row r="8697" spans="8:20" x14ac:dyDescent="0.35">
      <c r="H8697" s="711"/>
      <c r="I8697" s="711"/>
      <c r="J8697" s="711"/>
      <c r="K8697" s="711"/>
      <c r="L8697" s="711"/>
      <c r="Q8697" s="11"/>
      <c r="R8697" s="11"/>
      <c r="S8697" s="11"/>
      <c r="T8697" s="11"/>
    </row>
    <row r="8698" spans="8:20" x14ac:dyDescent="0.35">
      <c r="H8698" s="711"/>
      <c r="I8698" s="711"/>
      <c r="J8698" s="711"/>
      <c r="K8698" s="711"/>
      <c r="L8698" s="711"/>
      <c r="Q8698" s="11"/>
      <c r="R8698" s="11"/>
      <c r="S8698" s="11"/>
      <c r="T8698" s="11"/>
    </row>
    <row r="8699" spans="8:20" x14ac:dyDescent="0.35">
      <c r="H8699" s="711"/>
      <c r="I8699" s="711"/>
      <c r="J8699" s="711"/>
      <c r="K8699" s="711"/>
      <c r="L8699" s="711"/>
      <c r="Q8699" s="11"/>
      <c r="R8699" s="11"/>
      <c r="S8699" s="11"/>
      <c r="T8699" s="11"/>
    </row>
    <row r="8700" spans="8:20" x14ac:dyDescent="0.35">
      <c r="H8700" s="711"/>
      <c r="I8700" s="711"/>
      <c r="J8700" s="711"/>
      <c r="K8700" s="711"/>
      <c r="L8700" s="711"/>
      <c r="Q8700" s="11"/>
      <c r="R8700" s="11"/>
      <c r="S8700" s="11"/>
      <c r="T8700" s="11"/>
    </row>
    <row r="8701" spans="8:20" x14ac:dyDescent="0.35">
      <c r="H8701" s="711"/>
      <c r="I8701" s="711"/>
      <c r="J8701" s="711"/>
      <c r="K8701" s="711"/>
      <c r="L8701" s="711"/>
      <c r="Q8701" s="11"/>
      <c r="R8701" s="11"/>
      <c r="S8701" s="11"/>
      <c r="T8701" s="11"/>
    </row>
    <row r="8702" spans="8:20" x14ac:dyDescent="0.35">
      <c r="H8702" s="711"/>
      <c r="I8702" s="711"/>
      <c r="J8702" s="711"/>
      <c r="K8702" s="711"/>
      <c r="L8702" s="711"/>
      <c r="Q8702" s="11"/>
      <c r="R8702" s="11"/>
      <c r="S8702" s="11"/>
      <c r="T8702" s="11"/>
    </row>
    <row r="8703" spans="8:20" x14ac:dyDescent="0.35">
      <c r="H8703" s="711"/>
      <c r="I8703" s="711"/>
      <c r="J8703" s="711"/>
      <c r="K8703" s="711"/>
      <c r="L8703" s="711"/>
      <c r="Q8703" s="11"/>
      <c r="R8703" s="11"/>
      <c r="S8703" s="11"/>
      <c r="T8703" s="11"/>
    </row>
    <row r="8704" spans="8:20" x14ac:dyDescent="0.35">
      <c r="H8704" s="711"/>
      <c r="I8704" s="711"/>
      <c r="J8704" s="711"/>
      <c r="K8704" s="711"/>
      <c r="L8704" s="711"/>
      <c r="Q8704" s="11"/>
      <c r="R8704" s="11"/>
      <c r="S8704" s="11"/>
      <c r="T8704" s="11"/>
    </row>
    <row r="8705" spans="8:20" x14ac:dyDescent="0.35">
      <c r="H8705" s="711"/>
      <c r="I8705" s="711"/>
      <c r="J8705" s="711"/>
      <c r="K8705" s="711"/>
      <c r="L8705" s="711"/>
      <c r="Q8705" s="11"/>
      <c r="R8705" s="11"/>
      <c r="S8705" s="11"/>
      <c r="T8705" s="11"/>
    </row>
    <row r="8706" spans="8:20" x14ac:dyDescent="0.35">
      <c r="H8706" s="711"/>
      <c r="I8706" s="711"/>
      <c r="J8706" s="711"/>
      <c r="K8706" s="711"/>
      <c r="L8706" s="711"/>
      <c r="Q8706" s="11"/>
      <c r="R8706" s="11"/>
      <c r="S8706" s="11"/>
      <c r="T8706" s="11"/>
    </row>
    <row r="8707" spans="8:20" x14ac:dyDescent="0.35">
      <c r="H8707" s="711"/>
      <c r="I8707" s="711"/>
      <c r="J8707" s="711"/>
      <c r="K8707" s="711"/>
      <c r="L8707" s="711"/>
      <c r="Q8707" s="11"/>
      <c r="R8707" s="11"/>
      <c r="S8707" s="11"/>
      <c r="T8707" s="11"/>
    </row>
    <row r="8708" spans="8:20" x14ac:dyDescent="0.35">
      <c r="H8708" s="711"/>
      <c r="I8708" s="711"/>
      <c r="J8708" s="711"/>
      <c r="K8708" s="711"/>
      <c r="L8708" s="711"/>
      <c r="Q8708" s="11"/>
      <c r="R8708" s="11"/>
      <c r="S8708" s="11"/>
      <c r="T8708" s="11"/>
    </row>
    <row r="8709" spans="8:20" x14ac:dyDescent="0.35">
      <c r="H8709" s="711"/>
      <c r="I8709" s="711"/>
      <c r="J8709" s="711"/>
      <c r="K8709" s="711"/>
      <c r="L8709" s="711"/>
      <c r="Q8709" s="11"/>
      <c r="R8709" s="11"/>
      <c r="S8709" s="11"/>
      <c r="T8709" s="11"/>
    </row>
    <row r="8710" spans="8:20" x14ac:dyDescent="0.35">
      <c r="H8710" s="711"/>
      <c r="I8710" s="711"/>
      <c r="J8710" s="711"/>
      <c r="K8710" s="711"/>
      <c r="L8710" s="711"/>
      <c r="Q8710" s="11"/>
      <c r="R8710" s="11"/>
      <c r="S8710" s="11"/>
      <c r="T8710" s="11"/>
    </row>
    <row r="8711" spans="8:20" x14ac:dyDescent="0.35">
      <c r="H8711" s="711"/>
      <c r="I8711" s="711"/>
      <c r="J8711" s="711"/>
      <c r="K8711" s="711"/>
      <c r="L8711" s="711"/>
      <c r="Q8711" s="11"/>
      <c r="R8711" s="11"/>
      <c r="S8711" s="11"/>
      <c r="T8711" s="11"/>
    </row>
    <row r="8712" spans="8:20" x14ac:dyDescent="0.35">
      <c r="H8712" s="711"/>
      <c r="I8712" s="711"/>
      <c r="J8712" s="711"/>
      <c r="K8712" s="711"/>
      <c r="L8712" s="711"/>
      <c r="Q8712" s="11"/>
      <c r="R8712" s="11"/>
      <c r="S8712" s="11"/>
      <c r="T8712" s="11"/>
    </row>
    <row r="8713" spans="8:20" x14ac:dyDescent="0.35">
      <c r="H8713" s="711"/>
      <c r="I8713" s="711"/>
      <c r="J8713" s="711"/>
      <c r="K8713" s="711"/>
      <c r="L8713" s="711"/>
      <c r="Q8713" s="11"/>
      <c r="R8713" s="11"/>
      <c r="S8713" s="11"/>
      <c r="T8713" s="11"/>
    </row>
    <row r="8714" spans="8:20" x14ac:dyDescent="0.35">
      <c r="H8714" s="711"/>
      <c r="I8714" s="711"/>
      <c r="J8714" s="711"/>
      <c r="K8714" s="711"/>
      <c r="L8714" s="711"/>
      <c r="Q8714" s="11"/>
      <c r="R8714" s="11"/>
      <c r="S8714" s="11"/>
      <c r="T8714" s="11"/>
    </row>
    <row r="8715" spans="8:20" x14ac:dyDescent="0.35">
      <c r="H8715" s="711"/>
      <c r="I8715" s="711"/>
      <c r="J8715" s="711"/>
      <c r="K8715" s="711"/>
      <c r="L8715" s="711"/>
      <c r="Q8715" s="11"/>
      <c r="R8715" s="11"/>
      <c r="S8715" s="11"/>
      <c r="T8715" s="11"/>
    </row>
    <row r="8716" spans="8:20" x14ac:dyDescent="0.35">
      <c r="H8716" s="711"/>
      <c r="I8716" s="711"/>
      <c r="J8716" s="711"/>
      <c r="K8716" s="711"/>
      <c r="L8716" s="711"/>
      <c r="Q8716" s="11"/>
      <c r="R8716" s="11"/>
      <c r="S8716" s="11"/>
      <c r="T8716" s="11"/>
    </row>
    <row r="8717" spans="8:20" x14ac:dyDescent="0.35">
      <c r="H8717" s="711"/>
      <c r="I8717" s="711"/>
      <c r="J8717" s="711"/>
      <c r="K8717" s="711"/>
      <c r="L8717" s="711"/>
      <c r="Q8717" s="11"/>
      <c r="R8717" s="11"/>
      <c r="S8717" s="11"/>
      <c r="T8717" s="11"/>
    </row>
    <row r="8718" spans="8:20" x14ac:dyDescent="0.35">
      <c r="H8718" s="711"/>
      <c r="I8718" s="711"/>
      <c r="J8718" s="711"/>
      <c r="K8718" s="711"/>
      <c r="L8718" s="711"/>
      <c r="Q8718" s="11"/>
      <c r="R8718" s="11"/>
      <c r="S8718" s="11"/>
      <c r="T8718" s="11"/>
    </row>
    <row r="8719" spans="8:20" x14ac:dyDescent="0.35">
      <c r="H8719" s="711"/>
      <c r="I8719" s="711"/>
      <c r="J8719" s="711"/>
      <c r="K8719" s="711"/>
      <c r="L8719" s="711"/>
      <c r="Q8719" s="11"/>
      <c r="R8719" s="11"/>
      <c r="S8719" s="11"/>
      <c r="T8719" s="11"/>
    </row>
    <row r="8720" spans="8:20" x14ac:dyDescent="0.35">
      <c r="H8720" s="711"/>
      <c r="I8720" s="711"/>
      <c r="J8720" s="711"/>
      <c r="K8720" s="711"/>
      <c r="L8720" s="711"/>
      <c r="Q8720" s="11"/>
      <c r="R8720" s="11"/>
      <c r="S8720" s="11"/>
      <c r="T8720" s="11"/>
    </row>
    <row r="8721" spans="8:20" x14ac:dyDescent="0.35">
      <c r="H8721" s="711"/>
      <c r="I8721" s="711"/>
      <c r="J8721" s="711"/>
      <c r="K8721" s="711"/>
      <c r="L8721" s="711"/>
      <c r="Q8721" s="11"/>
      <c r="R8721" s="11"/>
      <c r="S8721" s="11"/>
      <c r="T8721" s="11"/>
    </row>
    <row r="8722" spans="8:20" x14ac:dyDescent="0.35">
      <c r="H8722" s="711"/>
      <c r="I8722" s="711"/>
      <c r="J8722" s="711"/>
      <c r="K8722" s="711"/>
      <c r="L8722" s="711"/>
      <c r="Q8722" s="11"/>
      <c r="R8722" s="11"/>
      <c r="S8722" s="11"/>
      <c r="T8722" s="11"/>
    </row>
    <row r="8723" spans="8:20" x14ac:dyDescent="0.35">
      <c r="H8723" s="711"/>
      <c r="I8723" s="711"/>
      <c r="J8723" s="711"/>
      <c r="K8723" s="711"/>
      <c r="L8723" s="711"/>
      <c r="Q8723" s="11"/>
      <c r="R8723" s="11"/>
      <c r="S8723" s="11"/>
      <c r="T8723" s="11"/>
    </row>
    <row r="8724" spans="8:20" x14ac:dyDescent="0.35">
      <c r="H8724" s="711"/>
      <c r="I8724" s="711"/>
      <c r="J8724" s="711"/>
      <c r="K8724" s="711"/>
      <c r="L8724" s="711"/>
      <c r="Q8724" s="11"/>
      <c r="R8724" s="11"/>
      <c r="S8724" s="11"/>
      <c r="T8724" s="11"/>
    </row>
    <row r="8725" spans="8:20" x14ac:dyDescent="0.35">
      <c r="H8725" s="711"/>
      <c r="I8725" s="711"/>
      <c r="J8725" s="711"/>
      <c r="K8725" s="711"/>
      <c r="L8725" s="711"/>
      <c r="Q8725" s="11"/>
      <c r="R8725" s="11"/>
      <c r="S8725" s="11"/>
      <c r="T8725" s="11"/>
    </row>
    <row r="8726" spans="8:20" x14ac:dyDescent="0.35">
      <c r="H8726" s="711"/>
      <c r="I8726" s="711"/>
      <c r="J8726" s="711"/>
      <c r="K8726" s="711"/>
      <c r="L8726" s="711"/>
      <c r="Q8726" s="11"/>
      <c r="R8726" s="11"/>
      <c r="S8726" s="11"/>
      <c r="T8726" s="11"/>
    </row>
    <row r="8727" spans="8:20" x14ac:dyDescent="0.35">
      <c r="H8727" s="711"/>
      <c r="I8727" s="711"/>
      <c r="J8727" s="711"/>
      <c r="K8727" s="711"/>
      <c r="L8727" s="711"/>
      <c r="Q8727" s="11"/>
      <c r="R8727" s="11"/>
      <c r="S8727" s="11"/>
      <c r="T8727" s="11"/>
    </row>
    <row r="8728" spans="8:20" x14ac:dyDescent="0.35">
      <c r="H8728" s="711"/>
      <c r="I8728" s="711"/>
      <c r="J8728" s="711"/>
      <c r="K8728" s="711"/>
      <c r="L8728" s="711"/>
      <c r="Q8728" s="11"/>
      <c r="R8728" s="11"/>
      <c r="S8728" s="11"/>
      <c r="T8728" s="11"/>
    </row>
    <row r="8729" spans="8:20" x14ac:dyDescent="0.35">
      <c r="H8729" s="711"/>
      <c r="I8729" s="711"/>
      <c r="J8729" s="711"/>
      <c r="K8729" s="711"/>
      <c r="L8729" s="711"/>
      <c r="Q8729" s="11"/>
      <c r="R8729" s="11"/>
      <c r="S8729" s="11"/>
      <c r="T8729" s="11"/>
    </row>
    <row r="8730" spans="8:20" x14ac:dyDescent="0.35">
      <c r="H8730" s="711"/>
      <c r="I8730" s="711"/>
      <c r="J8730" s="711"/>
      <c r="K8730" s="711"/>
      <c r="L8730" s="711"/>
      <c r="Q8730" s="11"/>
      <c r="R8730" s="11"/>
      <c r="S8730" s="11"/>
      <c r="T8730" s="11"/>
    </row>
    <row r="8731" spans="8:20" x14ac:dyDescent="0.35">
      <c r="H8731" s="711"/>
      <c r="I8731" s="711"/>
      <c r="J8731" s="711"/>
      <c r="K8731" s="711"/>
      <c r="L8731" s="711"/>
      <c r="Q8731" s="11"/>
      <c r="R8731" s="11"/>
      <c r="S8731" s="11"/>
      <c r="T8731" s="11"/>
    </row>
    <row r="8732" spans="8:20" x14ac:dyDescent="0.35">
      <c r="H8732" s="711"/>
      <c r="I8732" s="711"/>
      <c r="J8732" s="711"/>
      <c r="K8732" s="711"/>
      <c r="L8732" s="711"/>
      <c r="Q8732" s="11"/>
      <c r="R8732" s="11"/>
      <c r="S8732" s="11"/>
      <c r="T8732" s="11"/>
    </row>
    <row r="8733" spans="8:20" x14ac:dyDescent="0.35">
      <c r="H8733" s="711"/>
      <c r="I8733" s="711"/>
      <c r="J8733" s="711"/>
      <c r="K8733" s="711"/>
      <c r="L8733" s="711"/>
      <c r="Q8733" s="11"/>
      <c r="R8733" s="11"/>
      <c r="S8733" s="11"/>
      <c r="T8733" s="11"/>
    </row>
    <row r="8734" spans="8:20" x14ac:dyDescent="0.35">
      <c r="H8734" s="711"/>
      <c r="I8734" s="711"/>
      <c r="J8734" s="711"/>
      <c r="K8734" s="711"/>
      <c r="L8734" s="711"/>
      <c r="Q8734" s="11"/>
      <c r="R8734" s="11"/>
      <c r="S8734" s="11"/>
      <c r="T8734" s="11"/>
    </row>
    <row r="8735" spans="8:20" x14ac:dyDescent="0.35">
      <c r="H8735" s="711"/>
      <c r="I8735" s="711"/>
      <c r="J8735" s="711"/>
      <c r="K8735" s="711"/>
      <c r="L8735" s="711"/>
      <c r="Q8735" s="11"/>
      <c r="R8735" s="11"/>
      <c r="S8735" s="11"/>
      <c r="T8735" s="11"/>
    </row>
    <row r="8736" spans="8:20" x14ac:dyDescent="0.35">
      <c r="H8736" s="711"/>
      <c r="I8736" s="711"/>
      <c r="J8736" s="711"/>
      <c r="K8736" s="711"/>
      <c r="L8736" s="711"/>
      <c r="Q8736" s="11"/>
      <c r="R8736" s="11"/>
      <c r="S8736" s="11"/>
      <c r="T8736" s="11"/>
    </row>
    <row r="8737" spans="8:20" x14ac:dyDescent="0.35">
      <c r="H8737" s="711"/>
      <c r="I8737" s="711"/>
      <c r="J8737" s="711"/>
      <c r="K8737" s="711"/>
      <c r="L8737" s="711"/>
      <c r="Q8737" s="11"/>
      <c r="R8737" s="11"/>
      <c r="S8737" s="11"/>
      <c r="T8737" s="11"/>
    </row>
    <row r="8738" spans="8:20" x14ac:dyDescent="0.35">
      <c r="H8738" s="711"/>
      <c r="I8738" s="711"/>
      <c r="J8738" s="711"/>
      <c r="K8738" s="711"/>
      <c r="L8738" s="711"/>
      <c r="Q8738" s="11"/>
      <c r="R8738" s="11"/>
      <c r="S8738" s="11"/>
      <c r="T8738" s="11"/>
    </row>
    <row r="8739" spans="8:20" x14ac:dyDescent="0.35">
      <c r="H8739" s="711"/>
      <c r="I8739" s="711"/>
      <c r="J8739" s="711"/>
      <c r="K8739" s="711"/>
      <c r="L8739" s="711"/>
      <c r="Q8739" s="11"/>
      <c r="R8739" s="11"/>
      <c r="S8739" s="11"/>
      <c r="T8739" s="11"/>
    </row>
    <row r="8740" spans="8:20" x14ac:dyDescent="0.35">
      <c r="H8740" s="711"/>
      <c r="I8740" s="711"/>
      <c r="J8740" s="711"/>
      <c r="K8740" s="711"/>
      <c r="L8740" s="711"/>
      <c r="Q8740" s="11"/>
      <c r="R8740" s="11"/>
      <c r="S8740" s="11"/>
      <c r="T8740" s="11"/>
    </row>
    <row r="8741" spans="8:20" x14ac:dyDescent="0.35">
      <c r="H8741" s="711"/>
      <c r="I8741" s="711"/>
      <c r="J8741" s="711"/>
      <c r="K8741" s="711"/>
      <c r="L8741" s="711"/>
      <c r="Q8741" s="11"/>
      <c r="R8741" s="11"/>
      <c r="S8741" s="11"/>
      <c r="T8741" s="11"/>
    </row>
    <row r="8742" spans="8:20" x14ac:dyDescent="0.35">
      <c r="H8742" s="711"/>
      <c r="I8742" s="711"/>
      <c r="J8742" s="711"/>
      <c r="K8742" s="711"/>
      <c r="L8742" s="711"/>
      <c r="Q8742" s="11"/>
      <c r="R8742" s="11"/>
      <c r="S8742" s="11"/>
      <c r="T8742" s="11"/>
    </row>
    <row r="8743" spans="8:20" x14ac:dyDescent="0.35">
      <c r="H8743" s="711"/>
      <c r="I8743" s="711"/>
      <c r="J8743" s="711"/>
      <c r="K8743" s="711"/>
      <c r="L8743" s="711"/>
      <c r="Q8743" s="11"/>
      <c r="R8743" s="11"/>
      <c r="S8743" s="11"/>
      <c r="T8743" s="11"/>
    </row>
    <row r="8744" spans="8:20" x14ac:dyDescent="0.35">
      <c r="H8744" s="711"/>
      <c r="I8744" s="711"/>
      <c r="J8744" s="711"/>
      <c r="K8744" s="711"/>
      <c r="L8744" s="711"/>
      <c r="Q8744" s="11"/>
      <c r="R8744" s="11"/>
      <c r="S8744" s="11"/>
      <c r="T8744" s="11"/>
    </row>
    <row r="8745" spans="8:20" x14ac:dyDescent="0.35">
      <c r="H8745" s="711"/>
      <c r="I8745" s="711"/>
      <c r="J8745" s="711"/>
      <c r="K8745" s="711"/>
      <c r="L8745" s="711"/>
      <c r="Q8745" s="11"/>
      <c r="R8745" s="11"/>
      <c r="S8745" s="11"/>
      <c r="T8745" s="11"/>
    </row>
    <row r="8746" spans="8:20" x14ac:dyDescent="0.35">
      <c r="H8746" s="711"/>
      <c r="I8746" s="711"/>
      <c r="J8746" s="711"/>
      <c r="K8746" s="711"/>
      <c r="L8746" s="711"/>
      <c r="Q8746" s="11"/>
      <c r="R8746" s="11"/>
      <c r="S8746" s="11"/>
      <c r="T8746" s="11"/>
    </row>
    <row r="8747" spans="8:20" x14ac:dyDescent="0.35">
      <c r="H8747" s="711"/>
      <c r="I8747" s="711"/>
      <c r="J8747" s="711"/>
      <c r="K8747" s="711"/>
      <c r="L8747" s="711"/>
      <c r="Q8747" s="11"/>
      <c r="R8747" s="11"/>
      <c r="S8747" s="11"/>
      <c r="T8747" s="11"/>
    </row>
    <row r="8748" spans="8:20" x14ac:dyDescent="0.35">
      <c r="H8748" s="711"/>
      <c r="I8748" s="711"/>
      <c r="J8748" s="711"/>
      <c r="K8748" s="711"/>
      <c r="L8748" s="711"/>
      <c r="Q8748" s="11"/>
      <c r="R8748" s="11"/>
      <c r="S8748" s="11"/>
      <c r="T8748" s="11"/>
    </row>
    <row r="8749" spans="8:20" x14ac:dyDescent="0.35">
      <c r="H8749" s="711"/>
      <c r="I8749" s="711"/>
      <c r="J8749" s="711"/>
      <c r="K8749" s="711"/>
      <c r="L8749" s="711"/>
      <c r="Q8749" s="11"/>
      <c r="R8749" s="11"/>
      <c r="S8749" s="11"/>
      <c r="T8749" s="11"/>
    </row>
    <row r="8750" spans="8:20" x14ac:dyDescent="0.35">
      <c r="H8750" s="711"/>
      <c r="I8750" s="711"/>
      <c r="J8750" s="711"/>
      <c r="K8750" s="711"/>
      <c r="L8750" s="711"/>
      <c r="Q8750" s="11"/>
      <c r="R8750" s="11"/>
      <c r="S8750" s="11"/>
      <c r="T8750" s="11"/>
    </row>
    <row r="8751" spans="8:20" x14ac:dyDescent="0.35">
      <c r="H8751" s="711"/>
      <c r="I8751" s="711"/>
      <c r="J8751" s="711"/>
      <c r="K8751" s="711"/>
      <c r="L8751" s="711"/>
      <c r="Q8751" s="11"/>
      <c r="R8751" s="11"/>
      <c r="S8751" s="11"/>
      <c r="T8751" s="11"/>
    </row>
    <row r="8752" spans="8:20" x14ac:dyDescent="0.35">
      <c r="H8752" s="711"/>
      <c r="I8752" s="711"/>
      <c r="J8752" s="711"/>
      <c r="K8752" s="711"/>
      <c r="L8752" s="711"/>
      <c r="Q8752" s="11"/>
      <c r="R8752" s="11"/>
      <c r="S8752" s="11"/>
      <c r="T8752" s="11"/>
    </row>
    <row r="8753" spans="8:20" x14ac:dyDescent="0.35">
      <c r="H8753" s="711"/>
      <c r="I8753" s="711"/>
      <c r="J8753" s="711"/>
      <c r="K8753" s="711"/>
      <c r="L8753" s="711"/>
      <c r="Q8753" s="11"/>
      <c r="R8753" s="11"/>
      <c r="S8753" s="11"/>
      <c r="T8753" s="11"/>
    </row>
    <row r="8754" spans="8:20" x14ac:dyDescent="0.35">
      <c r="H8754" s="711"/>
      <c r="I8754" s="711"/>
      <c r="J8754" s="711"/>
      <c r="K8754" s="711"/>
      <c r="L8754" s="711"/>
      <c r="Q8754" s="11"/>
      <c r="R8754" s="11"/>
      <c r="S8754" s="11"/>
      <c r="T8754" s="11"/>
    </row>
    <row r="8755" spans="8:20" x14ac:dyDescent="0.35">
      <c r="H8755" s="711"/>
      <c r="I8755" s="711"/>
      <c r="J8755" s="711"/>
      <c r="K8755" s="711"/>
      <c r="L8755" s="711"/>
      <c r="Q8755" s="11"/>
      <c r="R8755" s="11"/>
      <c r="S8755" s="11"/>
      <c r="T8755" s="11"/>
    </row>
    <row r="8756" spans="8:20" x14ac:dyDescent="0.35">
      <c r="H8756" s="711"/>
      <c r="I8756" s="711"/>
      <c r="J8756" s="711"/>
      <c r="K8756" s="711"/>
      <c r="L8756" s="711"/>
      <c r="Q8756" s="11"/>
      <c r="R8756" s="11"/>
      <c r="S8756" s="11"/>
      <c r="T8756" s="11"/>
    </row>
    <row r="8757" spans="8:20" x14ac:dyDescent="0.35">
      <c r="H8757" s="711"/>
      <c r="I8757" s="711"/>
      <c r="J8757" s="711"/>
      <c r="K8757" s="711"/>
      <c r="L8757" s="711"/>
      <c r="Q8757" s="11"/>
      <c r="R8757" s="11"/>
      <c r="S8757" s="11"/>
      <c r="T8757" s="11"/>
    </row>
    <row r="8758" spans="8:20" x14ac:dyDescent="0.35">
      <c r="H8758" s="711"/>
      <c r="I8758" s="711"/>
      <c r="J8758" s="711"/>
      <c r="K8758" s="711"/>
      <c r="L8758" s="711"/>
      <c r="Q8758" s="11"/>
      <c r="R8758" s="11"/>
      <c r="S8758" s="11"/>
      <c r="T8758" s="11"/>
    </row>
    <row r="8759" spans="8:20" x14ac:dyDescent="0.35">
      <c r="H8759" s="711"/>
      <c r="I8759" s="711"/>
      <c r="J8759" s="711"/>
      <c r="K8759" s="711"/>
      <c r="L8759" s="711"/>
      <c r="Q8759" s="11"/>
      <c r="R8759" s="11"/>
      <c r="S8759" s="11"/>
      <c r="T8759" s="11"/>
    </row>
    <row r="8760" spans="8:20" x14ac:dyDescent="0.35">
      <c r="H8760" s="711"/>
      <c r="I8760" s="711"/>
      <c r="J8760" s="711"/>
      <c r="K8760" s="711"/>
      <c r="L8760" s="711"/>
      <c r="Q8760" s="11"/>
      <c r="R8760" s="11"/>
      <c r="S8760" s="11"/>
      <c r="T8760" s="11"/>
    </row>
    <row r="8761" spans="8:20" x14ac:dyDescent="0.35">
      <c r="H8761" s="711"/>
      <c r="I8761" s="711"/>
      <c r="J8761" s="711"/>
      <c r="K8761" s="711"/>
      <c r="L8761" s="711"/>
      <c r="Q8761" s="11"/>
      <c r="R8761" s="11"/>
      <c r="S8761" s="11"/>
      <c r="T8761" s="11"/>
    </row>
    <row r="8762" spans="8:20" x14ac:dyDescent="0.35">
      <c r="H8762" s="711"/>
      <c r="I8762" s="711"/>
      <c r="J8762" s="711"/>
      <c r="K8762" s="711"/>
      <c r="L8762" s="711"/>
      <c r="Q8762" s="11"/>
      <c r="R8762" s="11"/>
      <c r="S8762" s="11"/>
      <c r="T8762" s="11"/>
    </row>
    <row r="8763" spans="8:20" x14ac:dyDescent="0.35">
      <c r="H8763" s="711"/>
      <c r="I8763" s="711"/>
      <c r="J8763" s="711"/>
      <c r="K8763" s="711"/>
      <c r="L8763" s="711"/>
      <c r="Q8763" s="11"/>
      <c r="R8763" s="11"/>
      <c r="S8763" s="11"/>
      <c r="T8763" s="11"/>
    </row>
    <row r="8764" spans="8:20" x14ac:dyDescent="0.35">
      <c r="H8764" s="711"/>
      <c r="I8764" s="711"/>
      <c r="J8764" s="711"/>
      <c r="K8764" s="711"/>
      <c r="L8764" s="711"/>
      <c r="Q8764" s="11"/>
      <c r="R8764" s="11"/>
      <c r="S8764" s="11"/>
      <c r="T8764" s="11"/>
    </row>
    <row r="8765" spans="8:20" x14ac:dyDescent="0.35">
      <c r="H8765" s="711"/>
      <c r="I8765" s="711"/>
      <c r="J8765" s="711"/>
      <c r="K8765" s="711"/>
      <c r="L8765" s="711"/>
      <c r="Q8765" s="11"/>
      <c r="R8765" s="11"/>
      <c r="S8765" s="11"/>
      <c r="T8765" s="11"/>
    </row>
    <row r="8766" spans="8:20" x14ac:dyDescent="0.35">
      <c r="H8766" s="711"/>
      <c r="I8766" s="711"/>
      <c r="J8766" s="711"/>
      <c r="K8766" s="711"/>
      <c r="L8766" s="711"/>
      <c r="Q8766" s="11"/>
      <c r="R8766" s="11"/>
      <c r="S8766" s="11"/>
      <c r="T8766" s="11"/>
    </row>
    <row r="8767" spans="8:20" x14ac:dyDescent="0.35">
      <c r="H8767" s="711"/>
      <c r="I8767" s="711"/>
      <c r="J8767" s="711"/>
      <c r="K8767" s="711"/>
      <c r="L8767" s="711"/>
      <c r="Q8767" s="11"/>
      <c r="R8767" s="11"/>
      <c r="S8767" s="11"/>
      <c r="T8767" s="11"/>
    </row>
    <row r="8768" spans="8:20" x14ac:dyDescent="0.35">
      <c r="H8768" s="711"/>
      <c r="I8768" s="711"/>
      <c r="J8768" s="711"/>
      <c r="K8768" s="711"/>
      <c r="L8768" s="711"/>
      <c r="Q8768" s="11"/>
      <c r="R8768" s="11"/>
      <c r="S8768" s="11"/>
      <c r="T8768" s="11"/>
    </row>
    <row r="8769" spans="8:20" x14ac:dyDescent="0.35">
      <c r="H8769" s="711"/>
      <c r="I8769" s="711"/>
      <c r="J8769" s="711"/>
      <c r="K8769" s="711"/>
      <c r="L8769" s="711"/>
      <c r="Q8769" s="11"/>
      <c r="R8769" s="11"/>
      <c r="S8769" s="11"/>
      <c r="T8769" s="11"/>
    </row>
    <row r="8770" spans="8:20" x14ac:dyDescent="0.35">
      <c r="H8770" s="711"/>
      <c r="I8770" s="711"/>
      <c r="J8770" s="711"/>
      <c r="K8770" s="711"/>
      <c r="L8770" s="711"/>
      <c r="Q8770" s="11"/>
      <c r="R8770" s="11"/>
      <c r="S8770" s="11"/>
      <c r="T8770" s="11"/>
    </row>
    <row r="8771" spans="8:20" x14ac:dyDescent="0.35">
      <c r="H8771" s="711"/>
      <c r="I8771" s="711"/>
      <c r="J8771" s="711"/>
      <c r="K8771" s="711"/>
      <c r="L8771" s="711"/>
      <c r="Q8771" s="11"/>
      <c r="R8771" s="11"/>
      <c r="S8771" s="11"/>
      <c r="T8771" s="11"/>
    </row>
    <row r="8772" spans="8:20" x14ac:dyDescent="0.35">
      <c r="H8772" s="711"/>
      <c r="I8772" s="711"/>
      <c r="J8772" s="711"/>
      <c r="K8772" s="711"/>
      <c r="L8772" s="711"/>
      <c r="Q8772" s="11"/>
      <c r="R8772" s="11"/>
      <c r="S8772" s="11"/>
      <c r="T8772" s="11"/>
    </row>
    <row r="8773" spans="8:20" x14ac:dyDescent="0.35">
      <c r="H8773" s="711"/>
      <c r="I8773" s="711"/>
      <c r="J8773" s="711"/>
      <c r="K8773" s="711"/>
      <c r="L8773" s="711"/>
      <c r="Q8773" s="11"/>
      <c r="R8773" s="11"/>
      <c r="S8773" s="11"/>
      <c r="T8773" s="11"/>
    </row>
    <row r="8774" spans="8:20" x14ac:dyDescent="0.35">
      <c r="H8774" s="711"/>
      <c r="I8774" s="711"/>
      <c r="J8774" s="711"/>
      <c r="K8774" s="711"/>
      <c r="L8774" s="711"/>
      <c r="Q8774" s="11"/>
      <c r="R8774" s="11"/>
      <c r="S8774" s="11"/>
      <c r="T8774" s="11"/>
    </row>
    <row r="8775" spans="8:20" x14ac:dyDescent="0.35">
      <c r="H8775" s="711"/>
      <c r="I8775" s="711"/>
      <c r="J8775" s="711"/>
      <c r="K8775" s="711"/>
      <c r="L8775" s="711"/>
      <c r="Q8775" s="11"/>
      <c r="R8775" s="11"/>
      <c r="S8775" s="11"/>
      <c r="T8775" s="11"/>
    </row>
    <row r="8776" spans="8:20" x14ac:dyDescent="0.35">
      <c r="H8776" s="711"/>
      <c r="I8776" s="711"/>
      <c r="J8776" s="711"/>
      <c r="K8776" s="711"/>
      <c r="L8776" s="711"/>
      <c r="Q8776" s="11"/>
      <c r="R8776" s="11"/>
      <c r="S8776" s="11"/>
      <c r="T8776" s="11"/>
    </row>
    <row r="8777" spans="8:20" x14ac:dyDescent="0.35">
      <c r="H8777" s="711"/>
      <c r="I8777" s="711"/>
      <c r="J8777" s="711"/>
      <c r="K8777" s="711"/>
      <c r="L8777" s="711"/>
      <c r="Q8777" s="11"/>
      <c r="R8777" s="11"/>
      <c r="S8777" s="11"/>
      <c r="T8777" s="11"/>
    </row>
    <row r="8778" spans="8:20" x14ac:dyDescent="0.35">
      <c r="H8778" s="711"/>
      <c r="I8778" s="711"/>
      <c r="J8778" s="711"/>
      <c r="K8778" s="711"/>
      <c r="L8778" s="711"/>
      <c r="Q8778" s="11"/>
      <c r="R8778" s="11"/>
      <c r="S8778" s="11"/>
      <c r="T8778" s="11"/>
    </row>
    <row r="8779" spans="8:20" x14ac:dyDescent="0.35">
      <c r="H8779" s="711"/>
      <c r="I8779" s="711"/>
      <c r="J8779" s="711"/>
      <c r="K8779" s="711"/>
      <c r="L8779" s="711"/>
      <c r="Q8779" s="11"/>
      <c r="R8779" s="11"/>
      <c r="S8779" s="11"/>
      <c r="T8779" s="11"/>
    </row>
    <row r="8780" spans="8:20" x14ac:dyDescent="0.35">
      <c r="H8780" s="711"/>
      <c r="I8780" s="711"/>
      <c r="J8780" s="711"/>
      <c r="K8780" s="711"/>
      <c r="L8780" s="711"/>
      <c r="Q8780" s="11"/>
      <c r="R8780" s="11"/>
      <c r="S8780" s="11"/>
      <c r="T8780" s="11"/>
    </row>
    <row r="8781" spans="8:20" x14ac:dyDescent="0.35">
      <c r="H8781" s="711"/>
      <c r="I8781" s="711"/>
      <c r="J8781" s="711"/>
      <c r="K8781" s="711"/>
      <c r="L8781" s="711"/>
      <c r="Q8781" s="11"/>
      <c r="R8781" s="11"/>
      <c r="S8781" s="11"/>
      <c r="T8781" s="11"/>
    </row>
    <row r="8782" spans="8:20" x14ac:dyDescent="0.35">
      <c r="H8782" s="711"/>
      <c r="I8782" s="711"/>
      <c r="J8782" s="711"/>
      <c r="K8782" s="711"/>
      <c r="L8782" s="711"/>
      <c r="Q8782" s="11"/>
      <c r="R8782" s="11"/>
      <c r="S8782" s="11"/>
      <c r="T8782" s="11"/>
    </row>
    <row r="8783" spans="8:20" x14ac:dyDescent="0.35">
      <c r="H8783" s="711"/>
      <c r="I8783" s="711"/>
      <c r="J8783" s="711"/>
      <c r="K8783" s="711"/>
      <c r="L8783" s="711"/>
      <c r="Q8783" s="11"/>
      <c r="R8783" s="11"/>
      <c r="S8783" s="11"/>
      <c r="T8783" s="11"/>
    </row>
    <row r="8784" spans="8:20" x14ac:dyDescent="0.35">
      <c r="H8784" s="711"/>
      <c r="I8784" s="711"/>
      <c r="J8784" s="711"/>
      <c r="K8784" s="711"/>
      <c r="L8784" s="711"/>
      <c r="Q8784" s="11"/>
      <c r="R8784" s="11"/>
      <c r="S8784" s="11"/>
      <c r="T8784" s="11"/>
    </row>
    <row r="8785" spans="8:20" x14ac:dyDescent="0.35">
      <c r="H8785" s="711"/>
      <c r="I8785" s="711"/>
      <c r="J8785" s="711"/>
      <c r="K8785" s="711"/>
      <c r="L8785" s="711"/>
      <c r="Q8785" s="11"/>
      <c r="R8785" s="11"/>
      <c r="S8785" s="11"/>
      <c r="T8785" s="11"/>
    </row>
    <row r="8786" spans="8:20" x14ac:dyDescent="0.35">
      <c r="H8786" s="711"/>
      <c r="I8786" s="711"/>
      <c r="J8786" s="711"/>
      <c r="K8786" s="711"/>
      <c r="L8786" s="711"/>
      <c r="Q8786" s="11"/>
      <c r="R8786" s="11"/>
      <c r="S8786" s="11"/>
      <c r="T8786" s="11"/>
    </row>
    <row r="8787" spans="8:20" x14ac:dyDescent="0.35">
      <c r="H8787" s="711"/>
      <c r="I8787" s="711"/>
      <c r="J8787" s="711"/>
      <c r="K8787" s="711"/>
      <c r="L8787" s="711"/>
      <c r="Q8787" s="11"/>
      <c r="R8787" s="11"/>
      <c r="S8787" s="11"/>
      <c r="T8787" s="11"/>
    </row>
    <row r="8788" spans="8:20" x14ac:dyDescent="0.35">
      <c r="H8788" s="711"/>
      <c r="I8788" s="711"/>
      <c r="J8788" s="711"/>
      <c r="K8788" s="711"/>
      <c r="L8788" s="711"/>
      <c r="Q8788" s="11"/>
      <c r="R8788" s="11"/>
      <c r="S8788" s="11"/>
      <c r="T8788" s="11"/>
    </row>
    <row r="8789" spans="8:20" x14ac:dyDescent="0.35">
      <c r="H8789" s="711"/>
      <c r="I8789" s="711"/>
      <c r="J8789" s="711"/>
      <c r="K8789" s="711"/>
      <c r="L8789" s="711"/>
      <c r="Q8789" s="11"/>
      <c r="R8789" s="11"/>
      <c r="S8789" s="11"/>
      <c r="T8789" s="11"/>
    </row>
    <row r="8790" spans="8:20" x14ac:dyDescent="0.35">
      <c r="H8790" s="711"/>
      <c r="I8790" s="711"/>
      <c r="J8790" s="711"/>
      <c r="K8790" s="711"/>
      <c r="L8790" s="711"/>
      <c r="Q8790" s="11"/>
      <c r="R8790" s="11"/>
      <c r="S8790" s="11"/>
      <c r="T8790" s="11"/>
    </row>
    <row r="8791" spans="8:20" x14ac:dyDescent="0.35">
      <c r="H8791" s="711"/>
      <c r="I8791" s="711"/>
      <c r="J8791" s="711"/>
      <c r="K8791" s="711"/>
      <c r="L8791" s="711"/>
      <c r="Q8791" s="11"/>
      <c r="R8791" s="11"/>
      <c r="S8791" s="11"/>
      <c r="T8791" s="11"/>
    </row>
    <row r="8792" spans="8:20" x14ac:dyDescent="0.35">
      <c r="H8792" s="711"/>
      <c r="I8792" s="711"/>
      <c r="J8792" s="711"/>
      <c r="K8792" s="711"/>
      <c r="L8792" s="711"/>
      <c r="Q8792" s="11"/>
      <c r="R8792" s="11"/>
      <c r="S8792" s="11"/>
      <c r="T8792" s="11"/>
    </row>
    <row r="8793" spans="8:20" x14ac:dyDescent="0.35">
      <c r="H8793" s="711"/>
      <c r="I8793" s="711"/>
      <c r="J8793" s="711"/>
      <c r="K8793" s="711"/>
      <c r="L8793" s="711"/>
      <c r="Q8793" s="11"/>
      <c r="R8793" s="11"/>
      <c r="S8793" s="11"/>
      <c r="T8793" s="11"/>
    </row>
    <row r="8794" spans="8:20" x14ac:dyDescent="0.35">
      <c r="H8794" s="711"/>
      <c r="I8794" s="711"/>
      <c r="J8794" s="711"/>
      <c r="K8794" s="711"/>
      <c r="L8794" s="711"/>
      <c r="Q8794" s="11"/>
      <c r="R8794" s="11"/>
      <c r="S8794" s="11"/>
      <c r="T8794" s="11"/>
    </row>
    <row r="8795" spans="8:20" x14ac:dyDescent="0.35">
      <c r="H8795" s="711"/>
      <c r="I8795" s="711"/>
      <c r="J8795" s="711"/>
      <c r="K8795" s="711"/>
      <c r="L8795" s="711"/>
      <c r="Q8795" s="11"/>
      <c r="R8795" s="11"/>
      <c r="S8795" s="11"/>
      <c r="T8795" s="11"/>
    </row>
    <row r="8796" spans="8:20" x14ac:dyDescent="0.35">
      <c r="H8796" s="711"/>
      <c r="I8796" s="711"/>
      <c r="J8796" s="711"/>
      <c r="K8796" s="711"/>
      <c r="L8796" s="711"/>
      <c r="Q8796" s="11"/>
      <c r="R8796" s="11"/>
      <c r="S8796" s="11"/>
      <c r="T8796" s="11"/>
    </row>
    <row r="8797" spans="8:20" x14ac:dyDescent="0.35">
      <c r="H8797" s="711"/>
      <c r="I8797" s="711"/>
      <c r="J8797" s="711"/>
      <c r="K8797" s="711"/>
      <c r="L8797" s="711"/>
      <c r="Q8797" s="11"/>
      <c r="R8797" s="11"/>
      <c r="S8797" s="11"/>
      <c r="T8797" s="11"/>
    </row>
    <row r="8798" spans="8:20" x14ac:dyDescent="0.35">
      <c r="H8798" s="711"/>
      <c r="I8798" s="711"/>
      <c r="J8798" s="711"/>
      <c r="K8798" s="711"/>
      <c r="L8798" s="711"/>
      <c r="Q8798" s="11"/>
      <c r="R8798" s="11"/>
      <c r="S8798" s="11"/>
      <c r="T8798" s="11"/>
    </row>
    <row r="8799" spans="8:20" x14ac:dyDescent="0.35">
      <c r="H8799" s="711"/>
      <c r="I8799" s="711"/>
      <c r="J8799" s="711"/>
      <c r="K8799" s="711"/>
      <c r="L8799" s="711"/>
      <c r="Q8799" s="11"/>
      <c r="R8799" s="11"/>
      <c r="S8799" s="11"/>
      <c r="T8799" s="11"/>
    </row>
    <row r="8800" spans="8:20" x14ac:dyDescent="0.35">
      <c r="H8800" s="711"/>
      <c r="I8800" s="711"/>
      <c r="J8800" s="711"/>
      <c r="K8800" s="711"/>
      <c r="L8800" s="711"/>
      <c r="Q8800" s="11"/>
      <c r="R8800" s="11"/>
      <c r="S8800" s="11"/>
      <c r="T8800" s="11"/>
    </row>
    <row r="8801" spans="8:20" x14ac:dyDescent="0.35">
      <c r="H8801" s="711"/>
      <c r="I8801" s="711"/>
      <c r="J8801" s="711"/>
      <c r="K8801" s="711"/>
      <c r="L8801" s="711"/>
      <c r="Q8801" s="11"/>
      <c r="R8801" s="11"/>
      <c r="S8801" s="11"/>
      <c r="T8801" s="11"/>
    </row>
    <row r="8802" spans="8:20" x14ac:dyDescent="0.35">
      <c r="H8802" s="711"/>
      <c r="I8802" s="711"/>
      <c r="J8802" s="711"/>
      <c r="K8802" s="711"/>
      <c r="L8802" s="711"/>
      <c r="Q8802" s="11"/>
      <c r="R8802" s="11"/>
      <c r="S8802" s="11"/>
      <c r="T8802" s="11"/>
    </row>
    <row r="8803" spans="8:20" x14ac:dyDescent="0.35">
      <c r="H8803" s="711"/>
      <c r="I8803" s="711"/>
      <c r="J8803" s="711"/>
      <c r="K8803" s="711"/>
      <c r="L8803" s="711"/>
      <c r="Q8803" s="11"/>
      <c r="R8803" s="11"/>
      <c r="S8803" s="11"/>
      <c r="T8803" s="11"/>
    </row>
    <row r="8804" spans="8:20" x14ac:dyDescent="0.35">
      <c r="H8804" s="711"/>
      <c r="I8804" s="711"/>
      <c r="J8804" s="711"/>
      <c r="K8804" s="711"/>
      <c r="L8804" s="711"/>
      <c r="Q8804" s="11"/>
      <c r="R8804" s="11"/>
      <c r="S8804" s="11"/>
      <c r="T8804" s="11"/>
    </row>
    <row r="8805" spans="8:20" x14ac:dyDescent="0.35">
      <c r="H8805" s="711"/>
      <c r="I8805" s="711"/>
      <c r="J8805" s="711"/>
      <c r="K8805" s="711"/>
      <c r="L8805" s="711"/>
      <c r="Q8805" s="11"/>
      <c r="R8805" s="11"/>
      <c r="S8805" s="11"/>
      <c r="T8805" s="11"/>
    </row>
    <row r="8806" spans="8:20" x14ac:dyDescent="0.35">
      <c r="H8806" s="711"/>
      <c r="I8806" s="711"/>
      <c r="J8806" s="711"/>
      <c r="K8806" s="711"/>
      <c r="L8806" s="711"/>
      <c r="Q8806" s="11"/>
      <c r="R8806" s="11"/>
      <c r="S8806" s="11"/>
      <c r="T8806" s="11"/>
    </row>
    <row r="8807" spans="8:20" x14ac:dyDescent="0.35">
      <c r="H8807" s="711"/>
      <c r="I8807" s="711"/>
      <c r="J8807" s="711"/>
      <c r="K8807" s="711"/>
      <c r="L8807" s="711"/>
      <c r="Q8807" s="11"/>
      <c r="R8807" s="11"/>
      <c r="S8807" s="11"/>
      <c r="T8807" s="11"/>
    </row>
    <row r="8808" spans="8:20" x14ac:dyDescent="0.35">
      <c r="H8808" s="711"/>
      <c r="I8808" s="711"/>
      <c r="J8808" s="711"/>
      <c r="K8808" s="711"/>
      <c r="L8808" s="711"/>
      <c r="Q8808" s="11"/>
      <c r="R8808" s="11"/>
      <c r="S8808" s="11"/>
      <c r="T8808" s="11"/>
    </row>
    <row r="8809" spans="8:20" x14ac:dyDescent="0.35">
      <c r="H8809" s="711"/>
      <c r="I8809" s="711"/>
      <c r="J8809" s="711"/>
      <c r="K8809" s="711"/>
      <c r="L8809" s="711"/>
      <c r="Q8809" s="11"/>
      <c r="R8809" s="11"/>
      <c r="S8809" s="11"/>
      <c r="T8809" s="11"/>
    </row>
    <row r="8810" spans="8:20" x14ac:dyDescent="0.35">
      <c r="H8810" s="711"/>
      <c r="I8810" s="711"/>
      <c r="J8810" s="711"/>
      <c r="K8810" s="711"/>
      <c r="L8810" s="711"/>
      <c r="Q8810" s="11"/>
      <c r="R8810" s="11"/>
      <c r="S8810" s="11"/>
      <c r="T8810" s="11"/>
    </row>
    <row r="8811" spans="8:20" x14ac:dyDescent="0.35">
      <c r="H8811" s="711"/>
      <c r="I8811" s="711"/>
      <c r="J8811" s="711"/>
      <c r="K8811" s="711"/>
      <c r="L8811" s="711"/>
      <c r="Q8811" s="11"/>
      <c r="R8811" s="11"/>
      <c r="S8811" s="11"/>
      <c r="T8811" s="11"/>
    </row>
    <row r="8812" spans="8:20" x14ac:dyDescent="0.35">
      <c r="H8812" s="711"/>
      <c r="I8812" s="711"/>
      <c r="J8812" s="711"/>
      <c r="K8812" s="711"/>
      <c r="L8812" s="711"/>
      <c r="Q8812" s="11"/>
      <c r="R8812" s="11"/>
      <c r="S8812" s="11"/>
      <c r="T8812" s="11"/>
    </row>
    <row r="8813" spans="8:20" x14ac:dyDescent="0.35">
      <c r="H8813" s="711"/>
      <c r="I8813" s="711"/>
      <c r="J8813" s="711"/>
      <c r="K8813" s="711"/>
      <c r="L8813" s="711"/>
      <c r="Q8813" s="11"/>
      <c r="R8813" s="11"/>
      <c r="S8813" s="11"/>
      <c r="T8813" s="11"/>
    </row>
    <row r="8814" spans="8:20" x14ac:dyDescent="0.35">
      <c r="H8814" s="711"/>
      <c r="I8814" s="711"/>
      <c r="J8814" s="711"/>
      <c r="K8814" s="711"/>
      <c r="L8814" s="711"/>
      <c r="Q8814" s="11"/>
      <c r="R8814" s="11"/>
      <c r="S8814" s="11"/>
      <c r="T8814" s="11"/>
    </row>
    <row r="8815" spans="8:20" x14ac:dyDescent="0.35">
      <c r="H8815" s="711"/>
      <c r="I8815" s="711"/>
      <c r="J8815" s="711"/>
      <c r="K8815" s="711"/>
      <c r="L8815" s="711"/>
      <c r="Q8815" s="11"/>
      <c r="R8815" s="11"/>
      <c r="S8815" s="11"/>
      <c r="T8815" s="11"/>
    </row>
    <row r="8816" spans="8:20" x14ac:dyDescent="0.35">
      <c r="H8816" s="711"/>
      <c r="I8816" s="711"/>
      <c r="J8816" s="711"/>
      <c r="K8816" s="711"/>
      <c r="L8816" s="711"/>
      <c r="Q8816" s="11"/>
      <c r="R8816" s="11"/>
      <c r="S8816" s="11"/>
      <c r="T8816" s="11"/>
    </row>
    <row r="8817" spans="8:20" x14ac:dyDescent="0.35">
      <c r="H8817" s="711"/>
      <c r="I8817" s="711"/>
      <c r="J8817" s="711"/>
      <c r="K8817" s="711"/>
      <c r="L8817" s="711"/>
      <c r="Q8817" s="11"/>
      <c r="R8817" s="11"/>
      <c r="S8817" s="11"/>
      <c r="T8817" s="11"/>
    </row>
    <row r="8818" spans="8:20" x14ac:dyDescent="0.35">
      <c r="H8818" s="711"/>
      <c r="I8818" s="711"/>
      <c r="J8818" s="711"/>
      <c r="K8818" s="711"/>
      <c r="L8818" s="711"/>
      <c r="Q8818" s="11"/>
      <c r="R8818" s="11"/>
      <c r="S8818" s="11"/>
      <c r="T8818" s="11"/>
    </row>
    <row r="8819" spans="8:20" x14ac:dyDescent="0.35">
      <c r="H8819" s="711"/>
      <c r="I8819" s="711"/>
      <c r="J8819" s="711"/>
      <c r="K8819" s="711"/>
      <c r="L8819" s="711"/>
      <c r="Q8819" s="11"/>
      <c r="R8819" s="11"/>
      <c r="S8819" s="11"/>
      <c r="T8819" s="11"/>
    </row>
    <row r="8820" spans="8:20" x14ac:dyDescent="0.35">
      <c r="H8820" s="711"/>
      <c r="I8820" s="711"/>
      <c r="J8820" s="711"/>
      <c r="K8820" s="711"/>
      <c r="L8820" s="711"/>
      <c r="Q8820" s="11"/>
      <c r="R8820" s="11"/>
      <c r="S8820" s="11"/>
      <c r="T8820" s="11"/>
    </row>
    <row r="8821" spans="8:20" x14ac:dyDescent="0.35">
      <c r="H8821" s="711"/>
      <c r="I8821" s="711"/>
      <c r="J8821" s="711"/>
      <c r="K8821" s="711"/>
      <c r="L8821" s="711"/>
      <c r="Q8821" s="11"/>
      <c r="R8821" s="11"/>
      <c r="S8821" s="11"/>
      <c r="T8821" s="11"/>
    </row>
    <row r="8822" spans="8:20" x14ac:dyDescent="0.35">
      <c r="H8822" s="711"/>
      <c r="I8822" s="711"/>
      <c r="J8822" s="711"/>
      <c r="K8822" s="711"/>
      <c r="L8822" s="711"/>
      <c r="Q8822" s="11"/>
      <c r="R8822" s="11"/>
      <c r="S8822" s="11"/>
      <c r="T8822" s="11"/>
    </row>
    <row r="8823" spans="8:20" x14ac:dyDescent="0.35">
      <c r="H8823" s="711"/>
      <c r="I8823" s="711"/>
      <c r="J8823" s="711"/>
      <c r="K8823" s="711"/>
      <c r="L8823" s="711"/>
      <c r="Q8823" s="11"/>
      <c r="R8823" s="11"/>
      <c r="S8823" s="11"/>
      <c r="T8823" s="11"/>
    </row>
    <row r="8824" spans="8:20" x14ac:dyDescent="0.35">
      <c r="H8824" s="711"/>
      <c r="I8824" s="711"/>
      <c r="J8824" s="711"/>
      <c r="K8824" s="711"/>
      <c r="L8824" s="711"/>
      <c r="Q8824" s="11"/>
      <c r="R8824" s="11"/>
      <c r="S8824" s="11"/>
      <c r="T8824" s="11"/>
    </row>
    <row r="8825" spans="8:20" x14ac:dyDescent="0.35">
      <c r="H8825" s="711"/>
      <c r="I8825" s="711"/>
      <c r="J8825" s="711"/>
      <c r="K8825" s="711"/>
      <c r="L8825" s="711"/>
      <c r="Q8825" s="11"/>
      <c r="R8825" s="11"/>
      <c r="S8825" s="11"/>
      <c r="T8825" s="11"/>
    </row>
    <row r="8826" spans="8:20" x14ac:dyDescent="0.35">
      <c r="H8826" s="711"/>
      <c r="I8826" s="711"/>
      <c r="J8826" s="711"/>
      <c r="K8826" s="711"/>
      <c r="L8826" s="711"/>
      <c r="Q8826" s="11"/>
      <c r="R8826" s="11"/>
      <c r="S8826" s="11"/>
      <c r="T8826" s="11"/>
    </row>
    <row r="8827" spans="8:20" x14ac:dyDescent="0.35">
      <c r="H8827" s="711"/>
      <c r="I8827" s="711"/>
      <c r="J8827" s="711"/>
      <c r="K8827" s="711"/>
      <c r="L8827" s="711"/>
      <c r="Q8827" s="11"/>
      <c r="R8827" s="11"/>
      <c r="S8827" s="11"/>
      <c r="T8827" s="11"/>
    </row>
    <row r="8828" spans="8:20" x14ac:dyDescent="0.35">
      <c r="H8828" s="711"/>
      <c r="I8828" s="711"/>
      <c r="J8828" s="711"/>
      <c r="K8828" s="711"/>
      <c r="L8828" s="711"/>
      <c r="Q8828" s="11"/>
      <c r="R8828" s="11"/>
      <c r="S8828" s="11"/>
      <c r="T8828" s="11"/>
    </row>
    <row r="8829" spans="8:20" x14ac:dyDescent="0.35">
      <c r="H8829" s="711"/>
      <c r="I8829" s="711"/>
      <c r="J8829" s="711"/>
      <c r="K8829" s="711"/>
      <c r="L8829" s="711"/>
      <c r="Q8829" s="11"/>
      <c r="R8829" s="11"/>
      <c r="S8829" s="11"/>
      <c r="T8829" s="11"/>
    </row>
    <row r="8830" spans="8:20" x14ac:dyDescent="0.35">
      <c r="H8830" s="711"/>
      <c r="I8830" s="711"/>
      <c r="J8830" s="711"/>
      <c r="K8830" s="711"/>
      <c r="L8830" s="711"/>
      <c r="Q8830" s="11"/>
      <c r="R8830" s="11"/>
      <c r="S8830" s="11"/>
      <c r="T8830" s="11"/>
    </row>
    <row r="8831" spans="8:20" x14ac:dyDescent="0.35">
      <c r="H8831" s="711"/>
      <c r="I8831" s="711"/>
      <c r="J8831" s="711"/>
      <c r="K8831" s="711"/>
      <c r="L8831" s="711"/>
      <c r="Q8831" s="11"/>
      <c r="R8831" s="11"/>
      <c r="S8831" s="11"/>
      <c r="T8831" s="11"/>
    </row>
    <row r="8832" spans="8:20" x14ac:dyDescent="0.35">
      <c r="H8832" s="711"/>
      <c r="I8832" s="711"/>
      <c r="J8832" s="711"/>
      <c r="K8832" s="711"/>
      <c r="L8832" s="711"/>
      <c r="Q8832" s="11"/>
      <c r="R8832" s="11"/>
      <c r="S8832" s="11"/>
      <c r="T8832" s="11"/>
    </row>
    <row r="8833" spans="8:20" x14ac:dyDescent="0.35">
      <c r="H8833" s="711"/>
      <c r="I8833" s="711"/>
      <c r="J8833" s="711"/>
      <c r="K8833" s="711"/>
      <c r="L8833" s="711"/>
      <c r="Q8833" s="11"/>
      <c r="R8833" s="11"/>
      <c r="S8833" s="11"/>
      <c r="T8833" s="11"/>
    </row>
    <row r="8834" spans="8:20" x14ac:dyDescent="0.35">
      <c r="H8834" s="711"/>
      <c r="I8834" s="711"/>
      <c r="J8834" s="711"/>
      <c r="K8834" s="711"/>
      <c r="L8834" s="711"/>
      <c r="Q8834" s="11"/>
      <c r="R8834" s="11"/>
      <c r="S8834" s="11"/>
      <c r="T8834" s="11"/>
    </row>
    <row r="8835" spans="8:20" x14ac:dyDescent="0.35">
      <c r="H8835" s="711"/>
      <c r="I8835" s="711"/>
      <c r="J8835" s="711"/>
      <c r="K8835" s="711"/>
      <c r="L8835" s="711"/>
      <c r="Q8835" s="11"/>
      <c r="R8835" s="11"/>
      <c r="S8835" s="11"/>
      <c r="T8835" s="11"/>
    </row>
    <row r="8836" spans="8:20" x14ac:dyDescent="0.35">
      <c r="H8836" s="711"/>
      <c r="I8836" s="711"/>
      <c r="J8836" s="711"/>
      <c r="K8836" s="711"/>
      <c r="L8836" s="711"/>
      <c r="Q8836" s="11"/>
      <c r="R8836" s="11"/>
      <c r="S8836" s="11"/>
      <c r="T8836" s="11"/>
    </row>
    <row r="8837" spans="8:20" x14ac:dyDescent="0.35">
      <c r="H8837" s="711"/>
      <c r="I8837" s="711"/>
      <c r="J8837" s="711"/>
      <c r="K8837" s="711"/>
      <c r="L8837" s="711"/>
      <c r="Q8837" s="11"/>
      <c r="R8837" s="11"/>
      <c r="S8837" s="11"/>
      <c r="T8837" s="11"/>
    </row>
    <row r="8838" spans="8:20" x14ac:dyDescent="0.35">
      <c r="H8838" s="711"/>
      <c r="I8838" s="711"/>
      <c r="J8838" s="711"/>
      <c r="K8838" s="711"/>
      <c r="L8838" s="711"/>
      <c r="Q8838" s="11"/>
      <c r="R8838" s="11"/>
      <c r="S8838" s="11"/>
      <c r="T8838" s="11"/>
    </row>
    <row r="8839" spans="8:20" x14ac:dyDescent="0.35">
      <c r="H8839" s="711"/>
      <c r="I8839" s="711"/>
      <c r="J8839" s="711"/>
      <c r="K8839" s="711"/>
      <c r="L8839" s="711"/>
      <c r="Q8839" s="11"/>
      <c r="R8839" s="11"/>
      <c r="S8839" s="11"/>
      <c r="T8839" s="11"/>
    </row>
    <row r="8840" spans="8:20" x14ac:dyDescent="0.35">
      <c r="H8840" s="711"/>
      <c r="I8840" s="711"/>
      <c r="J8840" s="711"/>
      <c r="K8840" s="711"/>
      <c r="L8840" s="711"/>
      <c r="Q8840" s="11"/>
      <c r="R8840" s="11"/>
      <c r="S8840" s="11"/>
      <c r="T8840" s="11"/>
    </row>
    <row r="8841" spans="8:20" x14ac:dyDescent="0.35">
      <c r="H8841" s="711"/>
      <c r="I8841" s="711"/>
      <c r="J8841" s="711"/>
      <c r="K8841" s="711"/>
      <c r="L8841" s="711"/>
      <c r="Q8841" s="11"/>
      <c r="R8841" s="11"/>
      <c r="S8841" s="11"/>
      <c r="T8841" s="11"/>
    </row>
    <row r="8842" spans="8:20" x14ac:dyDescent="0.35">
      <c r="H8842" s="711"/>
      <c r="I8842" s="711"/>
      <c r="J8842" s="711"/>
      <c r="K8842" s="711"/>
      <c r="L8842" s="711"/>
      <c r="Q8842" s="11"/>
      <c r="R8842" s="11"/>
      <c r="S8842" s="11"/>
      <c r="T8842" s="11"/>
    </row>
    <row r="8843" spans="8:20" x14ac:dyDescent="0.35">
      <c r="H8843" s="711"/>
      <c r="I8843" s="711"/>
      <c r="J8843" s="711"/>
      <c r="K8843" s="711"/>
      <c r="L8843" s="711"/>
      <c r="Q8843" s="11"/>
      <c r="R8843" s="11"/>
      <c r="S8843" s="11"/>
      <c r="T8843" s="11"/>
    </row>
    <row r="8844" spans="8:20" x14ac:dyDescent="0.35">
      <c r="H8844" s="711"/>
      <c r="I8844" s="711"/>
      <c r="J8844" s="711"/>
      <c r="K8844" s="711"/>
      <c r="L8844" s="711"/>
      <c r="Q8844" s="11"/>
      <c r="R8844" s="11"/>
      <c r="S8844" s="11"/>
      <c r="T8844" s="11"/>
    </row>
    <row r="8845" spans="8:20" x14ac:dyDescent="0.35">
      <c r="H8845" s="711"/>
      <c r="I8845" s="711"/>
      <c r="J8845" s="711"/>
      <c r="K8845" s="711"/>
      <c r="L8845" s="711"/>
      <c r="Q8845" s="11"/>
      <c r="R8845" s="11"/>
      <c r="S8845" s="11"/>
      <c r="T8845" s="11"/>
    </row>
    <row r="8846" spans="8:20" x14ac:dyDescent="0.35">
      <c r="H8846" s="711"/>
      <c r="I8846" s="711"/>
      <c r="J8846" s="711"/>
      <c r="K8846" s="711"/>
      <c r="L8846" s="711"/>
      <c r="Q8846" s="11"/>
      <c r="R8846" s="11"/>
      <c r="S8846" s="11"/>
      <c r="T8846" s="11"/>
    </row>
    <row r="8847" spans="8:20" x14ac:dyDescent="0.35">
      <c r="H8847" s="711"/>
      <c r="I8847" s="711"/>
      <c r="J8847" s="711"/>
      <c r="K8847" s="711"/>
      <c r="L8847" s="711"/>
      <c r="Q8847" s="11"/>
      <c r="R8847" s="11"/>
      <c r="S8847" s="11"/>
      <c r="T8847" s="11"/>
    </row>
    <row r="8848" spans="8:20" x14ac:dyDescent="0.35">
      <c r="H8848" s="711"/>
      <c r="I8848" s="711"/>
      <c r="J8848" s="711"/>
      <c r="K8848" s="711"/>
      <c r="L8848" s="711"/>
      <c r="Q8848" s="11"/>
      <c r="R8848" s="11"/>
      <c r="S8848" s="11"/>
      <c r="T8848" s="11"/>
    </row>
    <row r="8849" spans="8:20" x14ac:dyDescent="0.35">
      <c r="H8849" s="711"/>
      <c r="I8849" s="711"/>
      <c r="J8849" s="711"/>
      <c r="K8849" s="711"/>
      <c r="L8849" s="711"/>
      <c r="Q8849" s="11"/>
      <c r="R8849" s="11"/>
      <c r="S8849" s="11"/>
      <c r="T8849" s="11"/>
    </row>
    <row r="8850" spans="8:20" x14ac:dyDescent="0.35">
      <c r="H8850" s="711"/>
      <c r="I8850" s="711"/>
      <c r="J8850" s="711"/>
      <c r="K8850" s="711"/>
      <c r="L8850" s="711"/>
      <c r="Q8850" s="11"/>
      <c r="R8850" s="11"/>
      <c r="S8850" s="11"/>
      <c r="T8850" s="11"/>
    </row>
    <row r="8851" spans="8:20" x14ac:dyDescent="0.35">
      <c r="H8851" s="711"/>
      <c r="I8851" s="711"/>
      <c r="J8851" s="711"/>
      <c r="K8851" s="711"/>
      <c r="L8851" s="711"/>
      <c r="Q8851" s="11"/>
      <c r="R8851" s="11"/>
      <c r="S8851" s="11"/>
      <c r="T8851" s="11"/>
    </row>
    <row r="8852" spans="8:20" x14ac:dyDescent="0.35">
      <c r="H8852" s="711"/>
      <c r="I8852" s="711"/>
      <c r="J8852" s="711"/>
      <c r="K8852" s="711"/>
      <c r="L8852" s="711"/>
      <c r="Q8852" s="11"/>
      <c r="R8852" s="11"/>
      <c r="S8852" s="11"/>
      <c r="T8852" s="11"/>
    </row>
    <row r="8853" spans="8:20" x14ac:dyDescent="0.35">
      <c r="H8853" s="711"/>
      <c r="I8853" s="711"/>
      <c r="J8853" s="711"/>
      <c r="K8853" s="711"/>
      <c r="L8853" s="711"/>
      <c r="Q8853" s="11"/>
      <c r="R8853" s="11"/>
      <c r="S8853" s="11"/>
      <c r="T8853" s="11"/>
    </row>
    <row r="8854" spans="8:20" x14ac:dyDescent="0.35">
      <c r="H8854" s="711"/>
      <c r="I8854" s="711"/>
      <c r="J8854" s="711"/>
      <c r="K8854" s="711"/>
      <c r="L8854" s="711"/>
      <c r="Q8854" s="11"/>
      <c r="R8854" s="11"/>
      <c r="S8854" s="11"/>
      <c r="T8854" s="11"/>
    </row>
    <row r="8855" spans="8:20" x14ac:dyDescent="0.35">
      <c r="H8855" s="711"/>
      <c r="I8855" s="711"/>
      <c r="J8855" s="711"/>
      <c r="K8855" s="711"/>
      <c r="L8855" s="711"/>
      <c r="Q8855" s="11"/>
      <c r="R8855" s="11"/>
      <c r="S8855" s="11"/>
      <c r="T8855" s="11"/>
    </row>
    <row r="8856" spans="8:20" x14ac:dyDescent="0.35">
      <c r="H8856" s="711"/>
      <c r="I8856" s="711"/>
      <c r="J8856" s="711"/>
      <c r="K8856" s="711"/>
      <c r="L8856" s="711"/>
      <c r="Q8856" s="11"/>
      <c r="R8856" s="11"/>
      <c r="S8856" s="11"/>
      <c r="T8856" s="11"/>
    </row>
    <row r="8857" spans="8:20" x14ac:dyDescent="0.35">
      <c r="H8857" s="711"/>
      <c r="I8857" s="711"/>
      <c r="J8857" s="711"/>
      <c r="K8857" s="711"/>
      <c r="L8857" s="711"/>
      <c r="Q8857" s="11"/>
      <c r="R8857" s="11"/>
      <c r="S8857" s="11"/>
      <c r="T8857" s="11"/>
    </row>
    <row r="8858" spans="8:20" x14ac:dyDescent="0.35">
      <c r="H8858" s="711"/>
      <c r="I8858" s="711"/>
      <c r="J8858" s="711"/>
      <c r="K8858" s="711"/>
      <c r="L8858" s="711"/>
      <c r="Q8858" s="11"/>
      <c r="R8858" s="11"/>
      <c r="S8858" s="11"/>
      <c r="T8858" s="11"/>
    </row>
    <row r="8859" spans="8:20" x14ac:dyDescent="0.35">
      <c r="H8859" s="711"/>
      <c r="I8859" s="711"/>
      <c r="J8859" s="711"/>
      <c r="K8859" s="711"/>
      <c r="L8859" s="711"/>
      <c r="Q8859" s="11"/>
      <c r="R8859" s="11"/>
      <c r="S8859" s="11"/>
      <c r="T8859" s="11"/>
    </row>
    <row r="8860" spans="8:20" x14ac:dyDescent="0.35">
      <c r="H8860" s="711"/>
      <c r="I8860" s="711"/>
      <c r="J8860" s="711"/>
      <c r="K8860" s="711"/>
      <c r="L8860" s="711"/>
      <c r="Q8860" s="11"/>
      <c r="R8860" s="11"/>
      <c r="S8860" s="11"/>
      <c r="T8860" s="11"/>
    </row>
    <row r="8861" spans="8:20" x14ac:dyDescent="0.35">
      <c r="H8861" s="711"/>
      <c r="I8861" s="711"/>
      <c r="J8861" s="711"/>
      <c r="K8861" s="711"/>
      <c r="L8861" s="711"/>
      <c r="Q8861" s="11"/>
      <c r="R8861" s="11"/>
      <c r="S8861" s="11"/>
      <c r="T8861" s="11"/>
    </row>
    <row r="8862" spans="8:20" x14ac:dyDescent="0.35">
      <c r="H8862" s="711"/>
      <c r="I8862" s="711"/>
      <c r="J8862" s="711"/>
      <c r="K8862" s="711"/>
      <c r="L8862" s="711"/>
      <c r="Q8862" s="11"/>
      <c r="R8862" s="11"/>
      <c r="S8862" s="11"/>
      <c r="T8862" s="11"/>
    </row>
    <row r="8863" spans="8:20" x14ac:dyDescent="0.35">
      <c r="H8863" s="711"/>
      <c r="I8863" s="711"/>
      <c r="J8863" s="711"/>
      <c r="K8863" s="711"/>
      <c r="L8863" s="711"/>
      <c r="Q8863" s="11"/>
      <c r="R8863" s="11"/>
      <c r="S8863" s="11"/>
      <c r="T8863" s="11"/>
    </row>
    <row r="8864" spans="8:20" x14ac:dyDescent="0.35">
      <c r="H8864" s="711"/>
      <c r="I8864" s="711"/>
      <c r="J8864" s="711"/>
      <c r="K8864" s="711"/>
      <c r="L8864" s="711"/>
      <c r="Q8864" s="11"/>
      <c r="R8864" s="11"/>
      <c r="S8864" s="11"/>
      <c r="T8864" s="11"/>
    </row>
    <row r="8865" spans="8:20" x14ac:dyDescent="0.35">
      <c r="H8865" s="711"/>
      <c r="I8865" s="711"/>
      <c r="J8865" s="711"/>
      <c r="K8865" s="711"/>
      <c r="L8865" s="711"/>
      <c r="Q8865" s="11"/>
      <c r="R8865" s="11"/>
      <c r="S8865" s="11"/>
      <c r="T8865" s="11"/>
    </row>
    <row r="8866" spans="8:20" x14ac:dyDescent="0.35">
      <c r="H8866" s="711"/>
      <c r="I8866" s="711"/>
      <c r="J8866" s="711"/>
      <c r="K8866" s="711"/>
      <c r="L8866" s="711"/>
      <c r="Q8866" s="11"/>
      <c r="R8866" s="11"/>
      <c r="S8866" s="11"/>
      <c r="T8866" s="11"/>
    </row>
    <row r="8867" spans="8:20" x14ac:dyDescent="0.35">
      <c r="H8867" s="711"/>
      <c r="I8867" s="711"/>
      <c r="J8867" s="711"/>
      <c r="K8867" s="711"/>
      <c r="L8867" s="711"/>
      <c r="Q8867" s="11"/>
      <c r="R8867" s="11"/>
      <c r="S8867" s="11"/>
      <c r="T8867" s="11"/>
    </row>
    <row r="8868" spans="8:20" x14ac:dyDescent="0.35">
      <c r="H8868" s="711"/>
      <c r="I8868" s="711"/>
      <c r="J8868" s="711"/>
      <c r="K8868" s="711"/>
      <c r="L8868" s="711"/>
      <c r="Q8868" s="11"/>
      <c r="R8868" s="11"/>
      <c r="S8868" s="11"/>
      <c r="T8868" s="11"/>
    </row>
    <row r="8869" spans="8:20" x14ac:dyDescent="0.35">
      <c r="H8869" s="711"/>
      <c r="I8869" s="711"/>
      <c r="J8869" s="711"/>
      <c r="K8869" s="711"/>
      <c r="L8869" s="711"/>
      <c r="Q8869" s="11"/>
      <c r="R8869" s="11"/>
      <c r="S8869" s="11"/>
      <c r="T8869" s="11"/>
    </row>
    <row r="8870" spans="8:20" x14ac:dyDescent="0.35">
      <c r="H8870" s="711"/>
      <c r="I8870" s="711"/>
      <c r="J8870" s="711"/>
      <c r="K8870" s="711"/>
      <c r="L8870" s="711"/>
      <c r="Q8870" s="11"/>
      <c r="R8870" s="11"/>
      <c r="S8870" s="11"/>
      <c r="T8870" s="11"/>
    </row>
    <row r="8871" spans="8:20" x14ac:dyDescent="0.35">
      <c r="H8871" s="711"/>
      <c r="I8871" s="711"/>
      <c r="J8871" s="711"/>
      <c r="K8871" s="711"/>
      <c r="L8871" s="711"/>
      <c r="Q8871" s="11"/>
      <c r="R8871" s="11"/>
      <c r="S8871" s="11"/>
      <c r="T8871" s="11"/>
    </row>
    <row r="8872" spans="8:20" x14ac:dyDescent="0.35">
      <c r="H8872" s="711"/>
      <c r="I8872" s="711"/>
      <c r="J8872" s="711"/>
      <c r="K8872" s="711"/>
      <c r="L8872" s="711"/>
      <c r="Q8872" s="11"/>
      <c r="R8872" s="11"/>
      <c r="S8872" s="11"/>
      <c r="T8872" s="11"/>
    </row>
    <row r="8873" spans="8:20" x14ac:dyDescent="0.35">
      <c r="H8873" s="711"/>
      <c r="I8873" s="711"/>
      <c r="J8873" s="711"/>
      <c r="K8873" s="711"/>
      <c r="L8873" s="711"/>
      <c r="Q8873" s="11"/>
      <c r="R8873" s="11"/>
      <c r="S8873" s="11"/>
      <c r="T8873" s="11"/>
    </row>
    <row r="8874" spans="8:20" x14ac:dyDescent="0.35">
      <c r="H8874" s="711"/>
      <c r="I8874" s="711"/>
      <c r="J8874" s="711"/>
      <c r="K8874" s="711"/>
      <c r="L8874" s="711"/>
      <c r="Q8874" s="11"/>
      <c r="R8874" s="11"/>
      <c r="S8874" s="11"/>
      <c r="T8874" s="11"/>
    </row>
    <row r="8875" spans="8:20" x14ac:dyDescent="0.35">
      <c r="H8875" s="711"/>
      <c r="I8875" s="711"/>
      <c r="J8875" s="711"/>
      <c r="K8875" s="711"/>
      <c r="L8875" s="711"/>
      <c r="Q8875" s="11"/>
      <c r="R8875" s="11"/>
      <c r="S8875" s="11"/>
      <c r="T8875" s="11"/>
    </row>
    <row r="8876" spans="8:20" x14ac:dyDescent="0.35">
      <c r="H8876" s="711"/>
      <c r="I8876" s="711"/>
      <c r="J8876" s="711"/>
      <c r="K8876" s="711"/>
      <c r="L8876" s="711"/>
      <c r="Q8876" s="11"/>
      <c r="R8876" s="11"/>
      <c r="S8876" s="11"/>
      <c r="T8876" s="11"/>
    </row>
    <row r="8877" spans="8:20" x14ac:dyDescent="0.35">
      <c r="H8877" s="711"/>
      <c r="I8877" s="711"/>
      <c r="J8877" s="711"/>
      <c r="K8877" s="711"/>
      <c r="L8877" s="711"/>
      <c r="Q8877" s="11"/>
      <c r="R8877" s="11"/>
      <c r="S8877" s="11"/>
      <c r="T8877" s="11"/>
    </row>
    <row r="8878" spans="8:20" x14ac:dyDescent="0.35">
      <c r="H8878" s="711"/>
      <c r="I8878" s="711"/>
      <c r="J8878" s="711"/>
      <c r="K8878" s="711"/>
      <c r="L8878" s="711"/>
      <c r="Q8878" s="11"/>
      <c r="R8878" s="11"/>
      <c r="S8878" s="11"/>
      <c r="T8878" s="11"/>
    </row>
    <row r="8879" spans="8:20" x14ac:dyDescent="0.35">
      <c r="H8879" s="711"/>
      <c r="I8879" s="711"/>
      <c r="J8879" s="711"/>
      <c r="K8879" s="711"/>
      <c r="L8879" s="711"/>
      <c r="Q8879" s="11"/>
      <c r="R8879" s="11"/>
      <c r="S8879" s="11"/>
      <c r="T8879" s="11"/>
    </row>
    <row r="8880" spans="8:20" x14ac:dyDescent="0.35">
      <c r="H8880" s="711"/>
      <c r="I8880" s="711"/>
      <c r="J8880" s="711"/>
      <c r="K8880" s="711"/>
      <c r="L8880" s="711"/>
      <c r="Q8880" s="11"/>
      <c r="R8880" s="11"/>
      <c r="S8880" s="11"/>
      <c r="T8880" s="11"/>
    </row>
    <row r="8881" spans="8:20" x14ac:dyDescent="0.35">
      <c r="H8881" s="711"/>
      <c r="I8881" s="711"/>
      <c r="J8881" s="711"/>
      <c r="K8881" s="711"/>
      <c r="L8881" s="711"/>
      <c r="Q8881" s="11"/>
      <c r="R8881" s="11"/>
      <c r="S8881" s="11"/>
      <c r="T8881" s="11"/>
    </row>
    <row r="8882" spans="8:20" x14ac:dyDescent="0.35">
      <c r="H8882" s="711"/>
      <c r="I8882" s="711"/>
      <c r="J8882" s="711"/>
      <c r="K8882" s="711"/>
      <c r="L8882" s="711"/>
      <c r="Q8882" s="11"/>
      <c r="R8882" s="11"/>
      <c r="S8882" s="11"/>
      <c r="T8882" s="11"/>
    </row>
    <row r="8883" spans="8:20" x14ac:dyDescent="0.35">
      <c r="H8883" s="711"/>
      <c r="I8883" s="711"/>
      <c r="J8883" s="711"/>
      <c r="K8883" s="711"/>
      <c r="L8883" s="711"/>
      <c r="Q8883" s="11"/>
      <c r="R8883" s="11"/>
      <c r="S8883" s="11"/>
      <c r="T8883" s="11"/>
    </row>
    <row r="8884" spans="8:20" x14ac:dyDescent="0.35">
      <c r="H8884" s="711"/>
      <c r="I8884" s="711"/>
      <c r="J8884" s="711"/>
      <c r="K8884" s="711"/>
      <c r="L8884" s="711"/>
      <c r="Q8884" s="11"/>
      <c r="R8884" s="11"/>
      <c r="S8884" s="11"/>
      <c r="T8884" s="11"/>
    </row>
    <row r="8885" spans="8:20" x14ac:dyDescent="0.35">
      <c r="H8885" s="711"/>
      <c r="I8885" s="711"/>
      <c r="J8885" s="711"/>
      <c r="K8885" s="711"/>
      <c r="L8885" s="711"/>
      <c r="Q8885" s="11"/>
      <c r="R8885" s="11"/>
      <c r="S8885" s="11"/>
      <c r="T8885" s="11"/>
    </row>
    <row r="8886" spans="8:20" x14ac:dyDescent="0.35">
      <c r="H8886" s="711"/>
      <c r="I8886" s="711"/>
      <c r="J8886" s="711"/>
      <c r="K8886" s="711"/>
      <c r="L8886" s="711"/>
      <c r="Q8886" s="11"/>
      <c r="R8886" s="11"/>
      <c r="S8886" s="11"/>
      <c r="T8886" s="11"/>
    </row>
    <row r="8887" spans="8:20" x14ac:dyDescent="0.35">
      <c r="H8887" s="711"/>
      <c r="I8887" s="711"/>
      <c r="J8887" s="711"/>
      <c r="K8887" s="711"/>
      <c r="L8887" s="711"/>
      <c r="Q8887" s="11"/>
      <c r="R8887" s="11"/>
      <c r="S8887" s="11"/>
      <c r="T8887" s="11"/>
    </row>
    <row r="8888" spans="8:20" x14ac:dyDescent="0.35">
      <c r="H8888" s="711"/>
      <c r="I8888" s="711"/>
      <c r="J8888" s="711"/>
      <c r="K8888" s="711"/>
      <c r="L8888" s="711"/>
      <c r="Q8888" s="11"/>
      <c r="R8888" s="11"/>
      <c r="S8888" s="11"/>
      <c r="T8888" s="11"/>
    </row>
    <row r="8889" spans="8:20" x14ac:dyDescent="0.35">
      <c r="H8889" s="711"/>
      <c r="I8889" s="711"/>
      <c r="J8889" s="711"/>
      <c r="K8889" s="711"/>
      <c r="L8889" s="711"/>
      <c r="Q8889" s="11"/>
      <c r="R8889" s="11"/>
      <c r="S8889" s="11"/>
      <c r="T8889" s="11"/>
    </row>
    <row r="8890" spans="8:20" x14ac:dyDescent="0.35">
      <c r="H8890" s="711"/>
      <c r="I8890" s="711"/>
      <c r="J8890" s="711"/>
      <c r="K8890" s="711"/>
      <c r="L8890" s="711"/>
      <c r="Q8890" s="11"/>
      <c r="R8890" s="11"/>
      <c r="S8890" s="11"/>
      <c r="T8890" s="11"/>
    </row>
    <row r="8891" spans="8:20" x14ac:dyDescent="0.35">
      <c r="H8891" s="711"/>
      <c r="I8891" s="711"/>
      <c r="J8891" s="711"/>
      <c r="K8891" s="711"/>
      <c r="L8891" s="711"/>
      <c r="Q8891" s="11"/>
      <c r="R8891" s="11"/>
      <c r="S8891" s="11"/>
      <c r="T8891" s="11"/>
    </row>
    <row r="8892" spans="8:20" x14ac:dyDescent="0.35">
      <c r="H8892" s="711"/>
      <c r="I8892" s="711"/>
      <c r="J8892" s="711"/>
      <c r="K8892" s="711"/>
      <c r="L8892" s="711"/>
      <c r="Q8892" s="11"/>
      <c r="R8892" s="11"/>
      <c r="S8892" s="11"/>
      <c r="T8892" s="11"/>
    </row>
    <row r="8893" spans="8:20" x14ac:dyDescent="0.35">
      <c r="H8893" s="711"/>
      <c r="I8893" s="711"/>
      <c r="J8893" s="711"/>
      <c r="K8893" s="711"/>
      <c r="L8893" s="711"/>
      <c r="Q8893" s="11"/>
      <c r="R8893" s="11"/>
      <c r="S8893" s="11"/>
      <c r="T8893" s="11"/>
    </row>
    <row r="8894" spans="8:20" x14ac:dyDescent="0.35">
      <c r="H8894" s="711"/>
      <c r="I8894" s="711"/>
      <c r="J8894" s="711"/>
      <c r="K8894" s="711"/>
      <c r="L8894" s="711"/>
      <c r="Q8894" s="11"/>
      <c r="R8894" s="11"/>
      <c r="S8894" s="11"/>
      <c r="T8894" s="11"/>
    </row>
    <row r="8895" spans="8:20" x14ac:dyDescent="0.35">
      <c r="H8895" s="711"/>
      <c r="I8895" s="711"/>
      <c r="J8895" s="711"/>
      <c r="K8895" s="711"/>
      <c r="L8895" s="711"/>
      <c r="Q8895" s="11"/>
      <c r="R8895" s="11"/>
      <c r="S8895" s="11"/>
      <c r="T8895" s="11"/>
    </row>
    <row r="8896" spans="8:20" x14ac:dyDescent="0.35">
      <c r="H8896" s="711"/>
      <c r="I8896" s="711"/>
      <c r="J8896" s="711"/>
      <c r="K8896" s="711"/>
      <c r="L8896" s="711"/>
      <c r="Q8896" s="11"/>
      <c r="R8896" s="11"/>
      <c r="S8896" s="11"/>
      <c r="T8896" s="11"/>
    </row>
    <row r="8897" spans="8:20" x14ac:dyDescent="0.35">
      <c r="H8897" s="711"/>
      <c r="I8897" s="711"/>
      <c r="J8897" s="711"/>
      <c r="K8897" s="711"/>
      <c r="L8897" s="711"/>
      <c r="Q8897" s="11"/>
      <c r="R8897" s="11"/>
      <c r="S8897" s="11"/>
      <c r="T8897" s="11"/>
    </row>
    <row r="8898" spans="8:20" x14ac:dyDescent="0.35">
      <c r="H8898" s="711"/>
      <c r="I8898" s="711"/>
      <c r="J8898" s="711"/>
      <c r="K8898" s="711"/>
      <c r="L8898" s="711"/>
      <c r="Q8898" s="11"/>
      <c r="R8898" s="11"/>
      <c r="S8898" s="11"/>
      <c r="T8898" s="11"/>
    </row>
    <row r="8899" spans="8:20" x14ac:dyDescent="0.35">
      <c r="H8899" s="711"/>
      <c r="I8899" s="711"/>
      <c r="J8899" s="711"/>
      <c r="K8899" s="711"/>
      <c r="L8899" s="711"/>
      <c r="Q8899" s="11"/>
      <c r="R8899" s="11"/>
      <c r="S8899" s="11"/>
      <c r="T8899" s="11"/>
    </row>
    <row r="8900" spans="8:20" x14ac:dyDescent="0.35">
      <c r="H8900" s="711"/>
      <c r="I8900" s="711"/>
      <c r="J8900" s="711"/>
      <c r="K8900" s="711"/>
      <c r="L8900" s="711"/>
      <c r="Q8900" s="11"/>
      <c r="R8900" s="11"/>
      <c r="S8900" s="11"/>
      <c r="T8900" s="11"/>
    </row>
    <row r="8901" spans="8:20" x14ac:dyDescent="0.35">
      <c r="H8901" s="711"/>
      <c r="I8901" s="711"/>
      <c r="J8901" s="711"/>
      <c r="K8901" s="711"/>
      <c r="L8901" s="711"/>
      <c r="Q8901" s="11"/>
      <c r="R8901" s="11"/>
      <c r="S8901" s="11"/>
      <c r="T8901" s="11"/>
    </row>
    <row r="8902" spans="8:20" x14ac:dyDescent="0.35">
      <c r="H8902" s="711"/>
      <c r="I8902" s="711"/>
      <c r="J8902" s="711"/>
      <c r="K8902" s="711"/>
      <c r="L8902" s="711"/>
      <c r="Q8902" s="11"/>
      <c r="R8902" s="11"/>
      <c r="S8902" s="11"/>
      <c r="T8902" s="11"/>
    </row>
    <row r="8903" spans="8:20" x14ac:dyDescent="0.35">
      <c r="H8903" s="711"/>
      <c r="I8903" s="711"/>
      <c r="J8903" s="711"/>
      <c r="K8903" s="711"/>
      <c r="L8903" s="711"/>
      <c r="Q8903" s="11"/>
      <c r="R8903" s="11"/>
      <c r="S8903" s="11"/>
      <c r="T8903" s="11"/>
    </row>
    <row r="8904" spans="8:20" x14ac:dyDescent="0.35">
      <c r="H8904" s="711"/>
      <c r="I8904" s="711"/>
      <c r="J8904" s="711"/>
      <c r="K8904" s="711"/>
      <c r="L8904" s="711"/>
      <c r="Q8904" s="11"/>
      <c r="R8904" s="11"/>
      <c r="S8904" s="11"/>
      <c r="T8904" s="11"/>
    </row>
    <row r="8905" spans="8:20" x14ac:dyDescent="0.35">
      <c r="H8905" s="711"/>
      <c r="I8905" s="711"/>
      <c r="J8905" s="711"/>
      <c r="K8905" s="711"/>
      <c r="L8905" s="711"/>
      <c r="Q8905" s="11"/>
      <c r="R8905" s="11"/>
      <c r="S8905" s="11"/>
      <c r="T8905" s="11"/>
    </row>
    <row r="8906" spans="8:20" x14ac:dyDescent="0.35">
      <c r="H8906" s="711"/>
      <c r="I8906" s="711"/>
      <c r="J8906" s="711"/>
      <c r="K8906" s="711"/>
      <c r="L8906" s="711"/>
      <c r="Q8906" s="11"/>
      <c r="R8906" s="11"/>
      <c r="S8906" s="11"/>
      <c r="T8906" s="11"/>
    </row>
    <row r="8907" spans="8:20" x14ac:dyDescent="0.35">
      <c r="H8907" s="711"/>
      <c r="I8907" s="711"/>
      <c r="J8907" s="711"/>
      <c r="K8907" s="711"/>
      <c r="L8907" s="711"/>
      <c r="Q8907" s="11"/>
      <c r="R8907" s="11"/>
      <c r="S8907" s="11"/>
      <c r="T8907" s="11"/>
    </row>
    <row r="8908" spans="8:20" x14ac:dyDescent="0.35">
      <c r="H8908" s="711"/>
      <c r="I8908" s="711"/>
      <c r="J8908" s="711"/>
      <c r="K8908" s="711"/>
      <c r="L8908" s="711"/>
      <c r="Q8908" s="11"/>
      <c r="R8908" s="11"/>
      <c r="S8908" s="11"/>
      <c r="T8908" s="11"/>
    </row>
    <row r="8909" spans="8:20" x14ac:dyDescent="0.35">
      <c r="H8909" s="711"/>
      <c r="I8909" s="711"/>
      <c r="J8909" s="711"/>
      <c r="K8909" s="711"/>
      <c r="L8909" s="711"/>
      <c r="Q8909" s="11"/>
      <c r="R8909" s="11"/>
      <c r="S8909" s="11"/>
      <c r="T8909" s="11"/>
    </row>
    <row r="8910" spans="8:20" x14ac:dyDescent="0.35">
      <c r="H8910" s="711"/>
      <c r="I8910" s="711"/>
      <c r="J8910" s="711"/>
      <c r="K8910" s="711"/>
      <c r="L8910" s="711"/>
      <c r="Q8910" s="11"/>
      <c r="R8910" s="11"/>
      <c r="S8910" s="11"/>
      <c r="T8910" s="11"/>
    </row>
    <row r="8911" spans="8:20" x14ac:dyDescent="0.35">
      <c r="H8911" s="711"/>
      <c r="I8911" s="711"/>
      <c r="J8911" s="711"/>
      <c r="K8911" s="711"/>
      <c r="L8911" s="711"/>
      <c r="Q8911" s="11"/>
      <c r="R8911" s="11"/>
      <c r="S8911" s="11"/>
      <c r="T8911" s="11"/>
    </row>
    <row r="8912" spans="8:20" x14ac:dyDescent="0.35">
      <c r="H8912" s="711"/>
      <c r="I8912" s="711"/>
      <c r="J8912" s="711"/>
      <c r="K8912" s="711"/>
      <c r="L8912" s="711"/>
      <c r="Q8912" s="11"/>
      <c r="R8912" s="11"/>
      <c r="S8912" s="11"/>
      <c r="T8912" s="11"/>
    </row>
    <row r="8913" spans="8:20" x14ac:dyDescent="0.35">
      <c r="H8913" s="711"/>
      <c r="I8913" s="711"/>
      <c r="J8913" s="711"/>
      <c r="K8913" s="711"/>
      <c r="L8913" s="711"/>
      <c r="Q8913" s="11"/>
      <c r="R8913" s="11"/>
      <c r="S8913" s="11"/>
      <c r="T8913" s="11"/>
    </row>
    <row r="8914" spans="8:20" x14ac:dyDescent="0.35">
      <c r="H8914" s="711"/>
      <c r="I8914" s="711"/>
      <c r="J8914" s="711"/>
      <c r="K8914" s="711"/>
      <c r="L8914" s="711"/>
      <c r="Q8914" s="11"/>
      <c r="R8914" s="11"/>
      <c r="S8914" s="11"/>
      <c r="T8914" s="11"/>
    </row>
    <row r="8915" spans="8:20" x14ac:dyDescent="0.35">
      <c r="H8915" s="711"/>
      <c r="I8915" s="711"/>
      <c r="J8915" s="711"/>
      <c r="K8915" s="711"/>
      <c r="L8915" s="711"/>
      <c r="Q8915" s="11"/>
      <c r="R8915" s="11"/>
      <c r="S8915" s="11"/>
      <c r="T8915" s="11"/>
    </row>
    <row r="8916" spans="8:20" x14ac:dyDescent="0.35">
      <c r="H8916" s="711"/>
      <c r="I8916" s="711"/>
      <c r="J8916" s="711"/>
      <c r="K8916" s="711"/>
      <c r="L8916" s="711"/>
      <c r="Q8916" s="11"/>
      <c r="R8916" s="11"/>
      <c r="S8916" s="11"/>
      <c r="T8916" s="11"/>
    </row>
    <row r="8917" spans="8:20" x14ac:dyDescent="0.35">
      <c r="H8917" s="711"/>
      <c r="I8917" s="711"/>
      <c r="J8917" s="711"/>
      <c r="K8917" s="711"/>
      <c r="L8917" s="711"/>
      <c r="Q8917" s="11"/>
      <c r="R8917" s="11"/>
      <c r="S8917" s="11"/>
      <c r="T8917" s="11"/>
    </row>
    <row r="8918" spans="8:20" x14ac:dyDescent="0.35">
      <c r="H8918" s="711"/>
      <c r="I8918" s="711"/>
      <c r="J8918" s="711"/>
      <c r="K8918" s="711"/>
      <c r="L8918" s="711"/>
      <c r="Q8918" s="11"/>
      <c r="R8918" s="11"/>
      <c r="S8918" s="11"/>
      <c r="T8918" s="11"/>
    </row>
    <row r="8919" spans="8:20" x14ac:dyDescent="0.35">
      <c r="H8919" s="711"/>
      <c r="I8919" s="711"/>
      <c r="J8919" s="711"/>
      <c r="K8919" s="711"/>
      <c r="L8919" s="711"/>
      <c r="Q8919" s="11"/>
      <c r="R8919" s="11"/>
      <c r="S8919" s="11"/>
      <c r="T8919" s="11"/>
    </row>
    <row r="8920" spans="8:20" x14ac:dyDescent="0.35">
      <c r="H8920" s="711"/>
      <c r="I8920" s="711"/>
      <c r="J8920" s="711"/>
      <c r="K8920" s="711"/>
      <c r="L8920" s="711"/>
      <c r="Q8920" s="11"/>
      <c r="R8920" s="11"/>
      <c r="S8920" s="11"/>
      <c r="T8920" s="11"/>
    </row>
    <row r="8921" spans="8:20" x14ac:dyDescent="0.35">
      <c r="H8921" s="711"/>
      <c r="I8921" s="711"/>
      <c r="J8921" s="711"/>
      <c r="K8921" s="711"/>
      <c r="L8921" s="711"/>
      <c r="Q8921" s="11"/>
      <c r="R8921" s="11"/>
      <c r="S8921" s="11"/>
      <c r="T8921" s="11"/>
    </row>
    <row r="8922" spans="8:20" x14ac:dyDescent="0.35">
      <c r="H8922" s="711"/>
      <c r="I8922" s="711"/>
      <c r="J8922" s="711"/>
      <c r="K8922" s="711"/>
      <c r="L8922" s="711"/>
      <c r="Q8922" s="11"/>
      <c r="R8922" s="11"/>
      <c r="S8922" s="11"/>
      <c r="T8922" s="11"/>
    </row>
    <row r="8923" spans="8:20" x14ac:dyDescent="0.35">
      <c r="H8923" s="711"/>
      <c r="I8923" s="711"/>
      <c r="J8923" s="711"/>
      <c r="K8923" s="711"/>
      <c r="L8923" s="711"/>
      <c r="Q8923" s="11"/>
      <c r="R8923" s="11"/>
      <c r="S8923" s="11"/>
      <c r="T8923" s="11"/>
    </row>
    <row r="8924" spans="8:20" x14ac:dyDescent="0.35">
      <c r="H8924" s="711"/>
      <c r="I8924" s="711"/>
      <c r="J8924" s="711"/>
      <c r="K8924" s="711"/>
      <c r="L8924" s="711"/>
      <c r="Q8924" s="11"/>
      <c r="R8924" s="11"/>
      <c r="S8924" s="11"/>
      <c r="T8924" s="11"/>
    </row>
    <row r="8925" spans="8:20" x14ac:dyDescent="0.35">
      <c r="H8925" s="711"/>
      <c r="I8925" s="711"/>
      <c r="J8925" s="711"/>
      <c r="K8925" s="711"/>
      <c r="L8925" s="711"/>
      <c r="Q8925" s="11"/>
      <c r="R8925" s="11"/>
      <c r="S8925" s="11"/>
      <c r="T8925" s="11"/>
    </row>
    <row r="8926" spans="8:20" x14ac:dyDescent="0.35">
      <c r="H8926" s="711"/>
      <c r="I8926" s="711"/>
      <c r="J8926" s="711"/>
      <c r="K8926" s="711"/>
      <c r="L8926" s="711"/>
      <c r="Q8926" s="11"/>
      <c r="R8926" s="11"/>
      <c r="S8926" s="11"/>
      <c r="T8926" s="11"/>
    </row>
    <row r="8927" spans="8:20" x14ac:dyDescent="0.35">
      <c r="H8927" s="711"/>
      <c r="I8927" s="711"/>
      <c r="J8927" s="711"/>
      <c r="K8927" s="711"/>
      <c r="L8927" s="711"/>
      <c r="Q8927" s="11"/>
      <c r="R8927" s="11"/>
      <c r="S8927" s="11"/>
      <c r="T8927" s="11"/>
    </row>
    <row r="8928" spans="8:20" x14ac:dyDescent="0.35">
      <c r="H8928" s="711"/>
      <c r="I8928" s="711"/>
      <c r="J8928" s="711"/>
      <c r="K8928" s="711"/>
      <c r="L8928" s="711"/>
      <c r="Q8928" s="11"/>
      <c r="R8928" s="11"/>
      <c r="S8928" s="11"/>
      <c r="T8928" s="11"/>
    </row>
    <row r="8929" spans="8:20" x14ac:dyDescent="0.35">
      <c r="H8929" s="711"/>
      <c r="I8929" s="711"/>
      <c r="J8929" s="711"/>
      <c r="K8929" s="711"/>
      <c r="L8929" s="711"/>
      <c r="Q8929" s="11"/>
      <c r="R8929" s="11"/>
      <c r="S8929" s="11"/>
      <c r="T8929" s="11"/>
    </row>
    <row r="8930" spans="8:20" x14ac:dyDescent="0.35">
      <c r="H8930" s="711"/>
      <c r="I8930" s="711"/>
      <c r="J8930" s="711"/>
      <c r="K8930" s="711"/>
      <c r="L8930" s="711"/>
      <c r="Q8930" s="11"/>
      <c r="R8930" s="11"/>
      <c r="S8930" s="11"/>
      <c r="T8930" s="11"/>
    </row>
    <row r="8931" spans="8:20" x14ac:dyDescent="0.35">
      <c r="H8931" s="711"/>
      <c r="I8931" s="711"/>
      <c r="J8931" s="711"/>
      <c r="K8931" s="711"/>
      <c r="L8931" s="711"/>
      <c r="Q8931" s="11"/>
      <c r="R8931" s="11"/>
      <c r="S8931" s="11"/>
      <c r="T8931" s="11"/>
    </row>
    <row r="8932" spans="8:20" x14ac:dyDescent="0.35">
      <c r="H8932" s="711"/>
      <c r="I8932" s="711"/>
      <c r="J8932" s="711"/>
      <c r="K8932" s="711"/>
      <c r="L8932" s="711"/>
      <c r="Q8932" s="11"/>
      <c r="R8932" s="11"/>
      <c r="S8932" s="11"/>
      <c r="T8932" s="11"/>
    </row>
    <row r="8933" spans="8:20" x14ac:dyDescent="0.35">
      <c r="H8933" s="711"/>
      <c r="I8933" s="711"/>
      <c r="J8933" s="711"/>
      <c r="K8933" s="711"/>
      <c r="L8933" s="711"/>
      <c r="Q8933" s="11"/>
      <c r="R8933" s="11"/>
      <c r="S8933" s="11"/>
      <c r="T8933" s="11"/>
    </row>
    <row r="8934" spans="8:20" x14ac:dyDescent="0.35">
      <c r="H8934" s="711"/>
      <c r="I8934" s="711"/>
      <c r="J8934" s="711"/>
      <c r="K8934" s="711"/>
      <c r="L8934" s="711"/>
      <c r="Q8934" s="11"/>
      <c r="R8934" s="11"/>
      <c r="S8934" s="11"/>
      <c r="T8934" s="11"/>
    </row>
    <row r="8935" spans="8:20" x14ac:dyDescent="0.35">
      <c r="H8935" s="711"/>
      <c r="I8935" s="711"/>
      <c r="J8935" s="711"/>
      <c r="K8935" s="711"/>
      <c r="L8935" s="711"/>
      <c r="Q8935" s="11"/>
      <c r="R8935" s="11"/>
      <c r="S8935" s="11"/>
      <c r="T8935" s="11"/>
    </row>
    <row r="8936" spans="8:20" x14ac:dyDescent="0.35">
      <c r="H8936" s="711"/>
      <c r="I8936" s="711"/>
      <c r="J8936" s="711"/>
      <c r="K8936" s="711"/>
      <c r="L8936" s="711"/>
      <c r="Q8936" s="11"/>
      <c r="R8936" s="11"/>
      <c r="S8936" s="11"/>
      <c r="T8936" s="11"/>
    </row>
    <row r="8937" spans="8:20" x14ac:dyDescent="0.35">
      <c r="H8937" s="711"/>
      <c r="I8937" s="711"/>
      <c r="J8937" s="711"/>
      <c r="K8937" s="711"/>
      <c r="L8937" s="711"/>
      <c r="Q8937" s="11"/>
      <c r="R8937" s="11"/>
      <c r="S8937" s="11"/>
      <c r="T8937" s="11"/>
    </row>
    <row r="8938" spans="8:20" x14ac:dyDescent="0.35">
      <c r="H8938" s="711"/>
      <c r="I8938" s="711"/>
      <c r="J8938" s="711"/>
      <c r="K8938" s="711"/>
      <c r="L8938" s="711"/>
      <c r="Q8938" s="11"/>
      <c r="R8938" s="11"/>
      <c r="S8938" s="11"/>
      <c r="T8938" s="11"/>
    </row>
    <row r="8939" spans="8:20" x14ac:dyDescent="0.35">
      <c r="H8939" s="711"/>
      <c r="I8939" s="711"/>
      <c r="J8939" s="711"/>
      <c r="K8939" s="711"/>
      <c r="L8939" s="711"/>
      <c r="Q8939" s="11"/>
      <c r="R8939" s="11"/>
      <c r="S8939" s="11"/>
      <c r="T8939" s="11"/>
    </row>
    <row r="8940" spans="8:20" x14ac:dyDescent="0.35">
      <c r="H8940" s="711"/>
      <c r="I8940" s="711"/>
      <c r="J8940" s="711"/>
      <c r="K8940" s="711"/>
      <c r="L8940" s="711"/>
      <c r="Q8940" s="11"/>
      <c r="R8940" s="11"/>
      <c r="S8940" s="11"/>
      <c r="T8940" s="11"/>
    </row>
    <row r="8941" spans="8:20" x14ac:dyDescent="0.35">
      <c r="H8941" s="711"/>
      <c r="I8941" s="711"/>
      <c r="J8941" s="711"/>
      <c r="K8941" s="711"/>
      <c r="L8941" s="711"/>
      <c r="Q8941" s="11"/>
      <c r="R8941" s="11"/>
      <c r="S8941" s="11"/>
      <c r="T8941" s="11"/>
    </row>
    <row r="8942" spans="8:20" x14ac:dyDescent="0.35">
      <c r="H8942" s="711"/>
      <c r="I8942" s="711"/>
      <c r="J8942" s="711"/>
      <c r="K8942" s="711"/>
      <c r="L8942" s="711"/>
      <c r="Q8942" s="11"/>
      <c r="R8942" s="11"/>
      <c r="S8942" s="11"/>
      <c r="T8942" s="11"/>
    </row>
    <row r="8943" spans="8:20" x14ac:dyDescent="0.35">
      <c r="H8943" s="711"/>
      <c r="I8943" s="711"/>
      <c r="J8943" s="711"/>
      <c r="K8943" s="711"/>
      <c r="L8943" s="711"/>
      <c r="Q8943" s="11"/>
      <c r="R8943" s="11"/>
      <c r="S8943" s="11"/>
      <c r="T8943" s="11"/>
    </row>
    <row r="8944" spans="8:20" x14ac:dyDescent="0.35">
      <c r="H8944" s="711"/>
      <c r="I8944" s="711"/>
      <c r="J8944" s="711"/>
      <c r="K8944" s="711"/>
      <c r="L8944" s="711"/>
      <c r="Q8944" s="11"/>
      <c r="R8944" s="11"/>
      <c r="S8944" s="11"/>
      <c r="T8944" s="11"/>
    </row>
    <row r="8945" spans="8:20" x14ac:dyDescent="0.35">
      <c r="H8945" s="711"/>
      <c r="I8945" s="711"/>
      <c r="J8945" s="711"/>
      <c r="K8945" s="711"/>
      <c r="L8945" s="711"/>
      <c r="Q8945" s="11"/>
      <c r="R8945" s="11"/>
      <c r="S8945" s="11"/>
      <c r="T8945" s="11"/>
    </row>
    <row r="8946" spans="8:20" x14ac:dyDescent="0.35">
      <c r="H8946" s="711"/>
      <c r="I8946" s="711"/>
      <c r="J8946" s="711"/>
      <c r="K8946" s="711"/>
      <c r="L8946" s="711"/>
      <c r="Q8946" s="11"/>
      <c r="R8946" s="11"/>
      <c r="S8946" s="11"/>
      <c r="T8946" s="11"/>
    </row>
    <row r="8947" spans="8:20" x14ac:dyDescent="0.35">
      <c r="H8947" s="711"/>
      <c r="I8947" s="711"/>
      <c r="J8947" s="711"/>
      <c r="K8947" s="711"/>
      <c r="L8947" s="711"/>
      <c r="Q8947" s="11"/>
      <c r="R8947" s="11"/>
      <c r="S8947" s="11"/>
      <c r="T8947" s="11"/>
    </row>
    <row r="8948" spans="8:20" x14ac:dyDescent="0.35">
      <c r="H8948" s="711"/>
      <c r="I8948" s="711"/>
      <c r="J8948" s="711"/>
      <c r="K8948" s="711"/>
      <c r="L8948" s="711"/>
      <c r="Q8948" s="11"/>
      <c r="R8948" s="11"/>
      <c r="S8948" s="11"/>
      <c r="T8948" s="11"/>
    </row>
    <row r="8949" spans="8:20" x14ac:dyDescent="0.35">
      <c r="H8949" s="711"/>
      <c r="I8949" s="711"/>
      <c r="J8949" s="711"/>
      <c r="K8949" s="711"/>
      <c r="L8949" s="711"/>
      <c r="Q8949" s="11"/>
      <c r="R8949" s="11"/>
      <c r="S8949" s="11"/>
      <c r="T8949" s="11"/>
    </row>
    <row r="8950" spans="8:20" x14ac:dyDescent="0.35">
      <c r="H8950" s="711"/>
      <c r="I8950" s="711"/>
      <c r="J8950" s="711"/>
      <c r="K8950" s="711"/>
      <c r="L8950" s="711"/>
      <c r="Q8950" s="11"/>
      <c r="R8950" s="11"/>
      <c r="S8950" s="11"/>
      <c r="T8950" s="11"/>
    </row>
    <row r="8951" spans="8:20" x14ac:dyDescent="0.35">
      <c r="H8951" s="711"/>
      <c r="I8951" s="711"/>
      <c r="J8951" s="711"/>
      <c r="K8951" s="711"/>
      <c r="L8951" s="711"/>
      <c r="Q8951" s="11"/>
      <c r="R8951" s="11"/>
      <c r="S8951" s="11"/>
      <c r="T8951" s="11"/>
    </row>
    <row r="8952" spans="8:20" x14ac:dyDescent="0.35">
      <c r="H8952" s="711"/>
      <c r="I8952" s="711"/>
      <c r="J8952" s="711"/>
      <c r="K8952" s="711"/>
      <c r="L8952" s="711"/>
      <c r="Q8952" s="11"/>
      <c r="R8952" s="11"/>
      <c r="S8952" s="11"/>
      <c r="T8952" s="11"/>
    </row>
    <row r="8953" spans="8:20" x14ac:dyDescent="0.35">
      <c r="H8953" s="711"/>
      <c r="I8953" s="711"/>
      <c r="J8953" s="711"/>
      <c r="K8953" s="711"/>
      <c r="L8953" s="711"/>
      <c r="Q8953" s="11"/>
      <c r="R8953" s="11"/>
      <c r="S8953" s="11"/>
      <c r="T8953" s="11"/>
    </row>
    <row r="8954" spans="8:20" x14ac:dyDescent="0.35">
      <c r="H8954" s="711"/>
      <c r="I8954" s="711"/>
      <c r="J8954" s="711"/>
      <c r="K8954" s="711"/>
      <c r="L8954" s="711"/>
      <c r="Q8954" s="11"/>
      <c r="R8954" s="11"/>
      <c r="S8954" s="11"/>
      <c r="T8954" s="11"/>
    </row>
    <row r="8955" spans="8:20" x14ac:dyDescent="0.35">
      <c r="H8955" s="711"/>
      <c r="I8955" s="711"/>
      <c r="J8955" s="711"/>
      <c r="K8955" s="711"/>
      <c r="L8955" s="711"/>
      <c r="Q8955" s="11"/>
      <c r="R8955" s="11"/>
      <c r="S8955" s="11"/>
      <c r="T8955" s="11"/>
    </row>
    <row r="8956" spans="8:20" x14ac:dyDescent="0.35">
      <c r="H8956" s="711"/>
      <c r="I8956" s="711"/>
      <c r="J8956" s="711"/>
      <c r="K8956" s="711"/>
      <c r="L8956" s="711"/>
      <c r="Q8956" s="11"/>
      <c r="R8956" s="11"/>
      <c r="S8956" s="11"/>
      <c r="T8956" s="11"/>
    </row>
    <row r="8957" spans="8:20" x14ac:dyDescent="0.35">
      <c r="H8957" s="711"/>
      <c r="I8957" s="711"/>
      <c r="J8957" s="711"/>
      <c r="K8957" s="711"/>
      <c r="L8957" s="711"/>
      <c r="Q8957" s="11"/>
      <c r="R8957" s="11"/>
      <c r="S8957" s="11"/>
      <c r="T8957" s="11"/>
    </row>
    <row r="8958" spans="8:20" x14ac:dyDescent="0.35">
      <c r="H8958" s="711"/>
      <c r="I8958" s="711"/>
      <c r="J8958" s="711"/>
      <c r="K8958" s="711"/>
      <c r="L8958" s="711"/>
      <c r="Q8958" s="11"/>
      <c r="R8958" s="11"/>
      <c r="S8958" s="11"/>
      <c r="T8958" s="11"/>
    </row>
    <row r="8959" spans="8:20" x14ac:dyDescent="0.35">
      <c r="H8959" s="711"/>
      <c r="I8959" s="711"/>
      <c r="J8959" s="711"/>
      <c r="K8959" s="711"/>
      <c r="L8959" s="711"/>
      <c r="Q8959" s="11"/>
      <c r="R8959" s="11"/>
      <c r="S8959" s="11"/>
      <c r="T8959" s="11"/>
    </row>
    <row r="8960" spans="8:20" x14ac:dyDescent="0.35">
      <c r="H8960" s="711"/>
      <c r="I8960" s="711"/>
      <c r="J8960" s="711"/>
      <c r="K8960" s="711"/>
      <c r="L8960" s="711"/>
      <c r="Q8960" s="11"/>
      <c r="R8960" s="11"/>
      <c r="S8960" s="11"/>
      <c r="T8960" s="11"/>
    </row>
    <row r="8961" spans="8:20" x14ac:dyDescent="0.35">
      <c r="H8961" s="711"/>
      <c r="I8961" s="711"/>
      <c r="J8961" s="711"/>
      <c r="K8961" s="711"/>
      <c r="L8961" s="711"/>
      <c r="Q8961" s="11"/>
      <c r="R8961" s="11"/>
      <c r="S8961" s="11"/>
      <c r="T8961" s="11"/>
    </row>
    <row r="8962" spans="8:20" x14ac:dyDescent="0.35">
      <c r="H8962" s="711"/>
      <c r="I8962" s="711"/>
      <c r="J8962" s="711"/>
      <c r="K8962" s="711"/>
      <c r="L8962" s="711"/>
      <c r="Q8962" s="11"/>
      <c r="R8962" s="11"/>
      <c r="S8962" s="11"/>
      <c r="T8962" s="11"/>
    </row>
    <row r="8963" spans="8:20" x14ac:dyDescent="0.35">
      <c r="H8963" s="711"/>
      <c r="I8963" s="711"/>
      <c r="J8963" s="711"/>
      <c r="K8963" s="711"/>
      <c r="L8963" s="711"/>
      <c r="Q8963" s="11"/>
      <c r="R8963" s="11"/>
      <c r="S8963" s="11"/>
      <c r="T8963" s="11"/>
    </row>
    <row r="8964" spans="8:20" x14ac:dyDescent="0.35">
      <c r="H8964" s="711"/>
      <c r="I8964" s="711"/>
      <c r="J8964" s="711"/>
      <c r="K8964" s="711"/>
      <c r="L8964" s="711"/>
      <c r="Q8964" s="11"/>
      <c r="R8964" s="11"/>
      <c r="S8964" s="11"/>
      <c r="T8964" s="11"/>
    </row>
    <row r="8965" spans="8:20" x14ac:dyDescent="0.35">
      <c r="H8965" s="711"/>
      <c r="I8965" s="711"/>
      <c r="J8965" s="711"/>
      <c r="K8965" s="711"/>
      <c r="L8965" s="711"/>
      <c r="Q8965" s="11"/>
      <c r="R8965" s="11"/>
      <c r="S8965" s="11"/>
      <c r="T8965" s="11"/>
    </row>
    <row r="8966" spans="8:20" x14ac:dyDescent="0.35">
      <c r="H8966" s="711"/>
      <c r="I8966" s="711"/>
      <c r="J8966" s="711"/>
      <c r="K8966" s="711"/>
      <c r="L8966" s="711"/>
      <c r="Q8966" s="11"/>
      <c r="R8966" s="11"/>
      <c r="S8966" s="11"/>
      <c r="T8966" s="11"/>
    </row>
    <row r="8967" spans="8:20" x14ac:dyDescent="0.35">
      <c r="H8967" s="711"/>
      <c r="I8967" s="711"/>
      <c r="J8967" s="711"/>
      <c r="K8967" s="711"/>
      <c r="L8967" s="711"/>
      <c r="Q8967" s="11"/>
      <c r="R8967" s="11"/>
      <c r="S8967" s="11"/>
      <c r="T8967" s="11"/>
    </row>
    <row r="8968" spans="8:20" x14ac:dyDescent="0.35">
      <c r="H8968" s="711"/>
      <c r="I8968" s="711"/>
      <c r="J8968" s="711"/>
      <c r="K8968" s="711"/>
      <c r="L8968" s="711"/>
      <c r="Q8968" s="11"/>
      <c r="R8968" s="11"/>
      <c r="S8968" s="11"/>
      <c r="T8968" s="11"/>
    </row>
    <row r="8969" spans="8:20" x14ac:dyDescent="0.35">
      <c r="H8969" s="711"/>
      <c r="I8969" s="711"/>
      <c r="J8969" s="711"/>
      <c r="K8969" s="711"/>
      <c r="L8969" s="711"/>
      <c r="Q8969" s="11"/>
      <c r="R8969" s="11"/>
      <c r="S8969" s="11"/>
      <c r="T8969" s="11"/>
    </row>
    <row r="8970" spans="8:20" x14ac:dyDescent="0.35">
      <c r="H8970" s="711"/>
      <c r="I8970" s="711"/>
      <c r="J8970" s="711"/>
      <c r="K8970" s="711"/>
      <c r="L8970" s="711"/>
      <c r="Q8970" s="11"/>
      <c r="R8970" s="11"/>
      <c r="S8970" s="11"/>
      <c r="T8970" s="11"/>
    </row>
    <row r="8971" spans="8:20" x14ac:dyDescent="0.35">
      <c r="H8971" s="711"/>
      <c r="I8971" s="711"/>
      <c r="J8971" s="711"/>
      <c r="K8971" s="711"/>
      <c r="L8971" s="711"/>
      <c r="Q8971" s="11"/>
      <c r="R8971" s="11"/>
      <c r="S8971" s="11"/>
      <c r="T8971" s="11"/>
    </row>
    <row r="8972" spans="8:20" x14ac:dyDescent="0.35">
      <c r="H8972" s="711"/>
      <c r="I8972" s="711"/>
      <c r="J8972" s="711"/>
      <c r="K8972" s="711"/>
      <c r="L8972" s="711"/>
      <c r="Q8972" s="11"/>
      <c r="R8972" s="11"/>
      <c r="S8972" s="11"/>
      <c r="T8972" s="11"/>
    </row>
    <row r="8973" spans="8:20" x14ac:dyDescent="0.35">
      <c r="H8973" s="711"/>
      <c r="I8973" s="711"/>
      <c r="J8973" s="711"/>
      <c r="K8973" s="711"/>
      <c r="L8973" s="711"/>
      <c r="Q8973" s="11"/>
      <c r="R8973" s="11"/>
      <c r="S8973" s="11"/>
      <c r="T8973" s="11"/>
    </row>
    <row r="8974" spans="8:20" x14ac:dyDescent="0.35">
      <c r="H8974" s="711"/>
      <c r="I8974" s="711"/>
      <c r="J8974" s="711"/>
      <c r="K8974" s="711"/>
      <c r="L8974" s="711"/>
      <c r="Q8974" s="11"/>
      <c r="R8974" s="11"/>
      <c r="S8974" s="11"/>
      <c r="T8974" s="11"/>
    </row>
    <row r="8975" spans="8:20" x14ac:dyDescent="0.35">
      <c r="H8975" s="711"/>
      <c r="I8975" s="711"/>
      <c r="J8975" s="711"/>
      <c r="K8975" s="711"/>
      <c r="L8975" s="711"/>
      <c r="Q8975" s="11"/>
      <c r="R8975" s="11"/>
      <c r="S8975" s="11"/>
      <c r="T8975" s="11"/>
    </row>
    <row r="8976" spans="8:20" x14ac:dyDescent="0.35">
      <c r="H8976" s="711"/>
      <c r="I8976" s="711"/>
      <c r="J8976" s="711"/>
      <c r="K8976" s="711"/>
      <c r="L8976" s="711"/>
      <c r="Q8976" s="11"/>
      <c r="R8976" s="11"/>
      <c r="S8976" s="11"/>
      <c r="T8976" s="11"/>
    </row>
    <row r="8977" spans="8:20" x14ac:dyDescent="0.35">
      <c r="H8977" s="711"/>
      <c r="I8977" s="711"/>
      <c r="J8977" s="711"/>
      <c r="K8977" s="711"/>
      <c r="L8977" s="711"/>
      <c r="Q8977" s="11"/>
      <c r="R8977" s="11"/>
      <c r="S8977" s="11"/>
      <c r="T8977" s="11"/>
    </row>
    <row r="8978" spans="8:20" x14ac:dyDescent="0.35">
      <c r="H8978" s="711"/>
      <c r="I8978" s="711"/>
      <c r="J8978" s="711"/>
      <c r="K8978" s="711"/>
      <c r="L8978" s="711"/>
      <c r="Q8978" s="11"/>
      <c r="R8978" s="11"/>
      <c r="S8978" s="11"/>
      <c r="T8978" s="11"/>
    </row>
    <row r="8979" spans="8:20" x14ac:dyDescent="0.35">
      <c r="H8979" s="711"/>
      <c r="I8979" s="711"/>
      <c r="J8979" s="711"/>
      <c r="K8979" s="711"/>
      <c r="L8979" s="711"/>
      <c r="Q8979" s="11"/>
      <c r="R8979" s="11"/>
      <c r="S8979" s="11"/>
      <c r="T8979" s="11"/>
    </row>
    <row r="8980" spans="8:20" x14ac:dyDescent="0.35">
      <c r="H8980" s="711"/>
      <c r="I8980" s="711"/>
      <c r="J8980" s="711"/>
      <c r="K8980" s="711"/>
      <c r="L8980" s="711"/>
      <c r="Q8980" s="11"/>
      <c r="R8980" s="11"/>
      <c r="S8980" s="11"/>
      <c r="T8980" s="11"/>
    </row>
    <row r="8981" spans="8:20" x14ac:dyDescent="0.35">
      <c r="H8981" s="711"/>
      <c r="I8981" s="711"/>
      <c r="J8981" s="711"/>
      <c r="K8981" s="711"/>
      <c r="L8981" s="711"/>
      <c r="Q8981" s="11"/>
      <c r="R8981" s="11"/>
      <c r="S8981" s="11"/>
      <c r="T8981" s="11"/>
    </row>
    <row r="8982" spans="8:20" x14ac:dyDescent="0.35">
      <c r="H8982" s="711"/>
      <c r="I8982" s="711"/>
      <c r="J8982" s="711"/>
      <c r="K8982" s="711"/>
      <c r="L8982" s="711"/>
      <c r="Q8982" s="11"/>
      <c r="R8982" s="11"/>
      <c r="S8982" s="11"/>
      <c r="T8982" s="11"/>
    </row>
    <row r="8983" spans="8:20" x14ac:dyDescent="0.35">
      <c r="H8983" s="711"/>
      <c r="I8983" s="711"/>
      <c r="J8983" s="711"/>
      <c r="K8983" s="711"/>
      <c r="L8983" s="711"/>
      <c r="Q8983" s="11"/>
      <c r="R8983" s="11"/>
      <c r="S8983" s="11"/>
      <c r="T8983" s="11"/>
    </row>
    <row r="8984" spans="8:20" x14ac:dyDescent="0.35">
      <c r="H8984" s="711"/>
      <c r="I8984" s="711"/>
      <c r="J8984" s="711"/>
      <c r="K8984" s="711"/>
      <c r="L8984" s="711"/>
      <c r="Q8984" s="11"/>
      <c r="R8984" s="11"/>
      <c r="S8984" s="11"/>
      <c r="T8984" s="11"/>
    </row>
    <row r="8985" spans="8:20" x14ac:dyDescent="0.35">
      <c r="H8985" s="711"/>
      <c r="I8985" s="711"/>
      <c r="J8985" s="711"/>
      <c r="K8985" s="711"/>
      <c r="L8985" s="711"/>
      <c r="Q8985" s="11"/>
      <c r="R8985" s="11"/>
      <c r="S8985" s="11"/>
      <c r="T8985" s="11"/>
    </row>
    <row r="8986" spans="8:20" x14ac:dyDescent="0.35">
      <c r="H8986" s="711"/>
      <c r="I8986" s="711"/>
      <c r="J8986" s="711"/>
      <c r="K8986" s="711"/>
      <c r="L8986" s="711"/>
      <c r="Q8986" s="11"/>
      <c r="R8986" s="11"/>
      <c r="S8986" s="11"/>
      <c r="T8986" s="11"/>
    </row>
    <row r="8987" spans="8:20" x14ac:dyDescent="0.35">
      <c r="H8987" s="711"/>
      <c r="I8987" s="711"/>
      <c r="J8987" s="711"/>
      <c r="K8987" s="711"/>
      <c r="L8987" s="711"/>
      <c r="Q8987" s="11"/>
      <c r="R8987" s="11"/>
      <c r="S8987" s="11"/>
      <c r="T8987" s="11"/>
    </row>
    <row r="8988" spans="8:20" x14ac:dyDescent="0.35">
      <c r="H8988" s="711"/>
      <c r="I8988" s="711"/>
      <c r="J8988" s="711"/>
      <c r="K8988" s="711"/>
      <c r="L8988" s="711"/>
      <c r="Q8988" s="11"/>
      <c r="R8988" s="11"/>
      <c r="S8988" s="11"/>
      <c r="T8988" s="11"/>
    </row>
    <row r="8989" spans="8:20" x14ac:dyDescent="0.35">
      <c r="H8989" s="711"/>
      <c r="I8989" s="711"/>
      <c r="J8989" s="711"/>
      <c r="K8989" s="711"/>
      <c r="L8989" s="711"/>
      <c r="Q8989" s="11"/>
      <c r="R8989" s="11"/>
      <c r="S8989" s="11"/>
      <c r="T8989" s="11"/>
    </row>
    <row r="8990" spans="8:20" x14ac:dyDescent="0.35">
      <c r="H8990" s="711"/>
      <c r="I8990" s="711"/>
      <c r="J8990" s="711"/>
      <c r="K8990" s="711"/>
      <c r="L8990" s="711"/>
      <c r="Q8990" s="11"/>
      <c r="R8990" s="11"/>
      <c r="S8990" s="11"/>
      <c r="T8990" s="11"/>
    </row>
    <row r="8991" spans="8:20" x14ac:dyDescent="0.35">
      <c r="H8991" s="711"/>
      <c r="I8991" s="711"/>
      <c r="J8991" s="711"/>
      <c r="K8991" s="711"/>
      <c r="L8991" s="711"/>
      <c r="Q8991" s="11"/>
      <c r="R8991" s="11"/>
      <c r="S8991" s="11"/>
      <c r="T8991" s="11"/>
    </row>
    <row r="8992" spans="8:20" x14ac:dyDescent="0.35">
      <c r="H8992" s="711"/>
      <c r="I8992" s="711"/>
      <c r="J8992" s="711"/>
      <c r="K8992" s="711"/>
      <c r="L8992" s="711"/>
      <c r="Q8992" s="11"/>
      <c r="R8992" s="11"/>
      <c r="S8992" s="11"/>
      <c r="T8992" s="11"/>
    </row>
    <row r="8993" spans="8:20" x14ac:dyDescent="0.35">
      <c r="H8993" s="711"/>
      <c r="I8993" s="711"/>
      <c r="J8993" s="711"/>
      <c r="K8993" s="711"/>
      <c r="L8993" s="711"/>
      <c r="Q8993" s="11"/>
      <c r="R8993" s="11"/>
      <c r="S8993" s="11"/>
      <c r="T8993" s="11"/>
    </row>
    <row r="8994" spans="8:20" x14ac:dyDescent="0.35">
      <c r="H8994" s="711"/>
      <c r="I8994" s="711"/>
      <c r="J8994" s="711"/>
      <c r="K8994" s="711"/>
      <c r="L8994" s="711"/>
      <c r="Q8994" s="11"/>
      <c r="R8994" s="11"/>
      <c r="S8994" s="11"/>
      <c r="T8994" s="11"/>
    </row>
    <row r="8995" spans="8:20" x14ac:dyDescent="0.35">
      <c r="H8995" s="711"/>
      <c r="I8995" s="711"/>
      <c r="J8995" s="711"/>
      <c r="K8995" s="711"/>
      <c r="L8995" s="711"/>
      <c r="Q8995" s="11"/>
      <c r="R8995" s="11"/>
      <c r="S8995" s="11"/>
      <c r="T8995" s="11"/>
    </row>
    <row r="8996" spans="8:20" x14ac:dyDescent="0.35">
      <c r="H8996" s="711"/>
      <c r="I8996" s="711"/>
      <c r="J8996" s="711"/>
      <c r="K8996" s="711"/>
      <c r="L8996" s="711"/>
      <c r="Q8996" s="11"/>
      <c r="R8996" s="11"/>
      <c r="S8996" s="11"/>
      <c r="T8996" s="11"/>
    </row>
    <row r="8997" spans="8:20" x14ac:dyDescent="0.35">
      <c r="H8997" s="711"/>
      <c r="I8997" s="711"/>
      <c r="J8997" s="711"/>
      <c r="K8997" s="711"/>
      <c r="L8997" s="711"/>
      <c r="Q8997" s="11"/>
      <c r="R8997" s="11"/>
      <c r="S8997" s="11"/>
      <c r="T8997" s="11"/>
    </row>
    <row r="8998" spans="8:20" x14ac:dyDescent="0.35">
      <c r="H8998" s="711"/>
      <c r="I8998" s="711"/>
      <c r="J8998" s="711"/>
      <c r="K8998" s="711"/>
      <c r="L8998" s="711"/>
      <c r="Q8998" s="11"/>
      <c r="R8998" s="11"/>
      <c r="S8998" s="11"/>
      <c r="T8998" s="11"/>
    </row>
    <row r="8999" spans="8:20" x14ac:dyDescent="0.35">
      <c r="H8999" s="711"/>
      <c r="I8999" s="711"/>
      <c r="J8999" s="711"/>
      <c r="K8999" s="711"/>
      <c r="L8999" s="711"/>
      <c r="Q8999" s="11"/>
      <c r="R8999" s="11"/>
      <c r="S8999" s="11"/>
      <c r="T8999" s="11"/>
    </row>
    <row r="9000" spans="8:20" x14ac:dyDescent="0.35">
      <c r="H9000" s="711"/>
      <c r="I9000" s="711"/>
      <c r="J9000" s="711"/>
      <c r="K9000" s="711"/>
      <c r="L9000" s="711"/>
      <c r="Q9000" s="11"/>
      <c r="R9000" s="11"/>
      <c r="S9000" s="11"/>
      <c r="T9000" s="11"/>
    </row>
    <row r="9001" spans="8:20" x14ac:dyDescent="0.35">
      <c r="H9001" s="711"/>
      <c r="I9001" s="711"/>
      <c r="J9001" s="711"/>
      <c r="K9001" s="711"/>
      <c r="L9001" s="711"/>
      <c r="Q9001" s="11"/>
      <c r="R9001" s="11"/>
      <c r="S9001" s="11"/>
      <c r="T9001" s="11"/>
    </row>
    <row r="9002" spans="8:20" x14ac:dyDescent="0.35">
      <c r="H9002" s="711"/>
      <c r="I9002" s="711"/>
      <c r="J9002" s="711"/>
      <c r="K9002" s="711"/>
      <c r="L9002" s="711"/>
      <c r="Q9002" s="11"/>
      <c r="R9002" s="11"/>
      <c r="S9002" s="11"/>
      <c r="T9002" s="11"/>
    </row>
    <row r="9003" spans="8:20" x14ac:dyDescent="0.35">
      <c r="H9003" s="711"/>
      <c r="I9003" s="711"/>
      <c r="J9003" s="711"/>
      <c r="K9003" s="711"/>
      <c r="L9003" s="711"/>
      <c r="Q9003" s="11"/>
      <c r="R9003" s="11"/>
      <c r="S9003" s="11"/>
      <c r="T9003" s="11"/>
    </row>
    <row r="9004" spans="8:20" x14ac:dyDescent="0.35">
      <c r="H9004" s="711"/>
      <c r="I9004" s="711"/>
      <c r="J9004" s="711"/>
      <c r="K9004" s="711"/>
      <c r="L9004" s="711"/>
      <c r="Q9004" s="11"/>
      <c r="R9004" s="11"/>
      <c r="S9004" s="11"/>
      <c r="T9004" s="11"/>
    </row>
    <row r="9005" spans="8:20" x14ac:dyDescent="0.35">
      <c r="H9005" s="711"/>
      <c r="I9005" s="711"/>
      <c r="J9005" s="711"/>
      <c r="K9005" s="711"/>
      <c r="L9005" s="711"/>
      <c r="Q9005" s="11"/>
      <c r="R9005" s="11"/>
      <c r="S9005" s="11"/>
      <c r="T9005" s="11"/>
    </row>
    <row r="9006" spans="8:20" x14ac:dyDescent="0.35">
      <c r="H9006" s="711"/>
      <c r="I9006" s="711"/>
      <c r="J9006" s="711"/>
      <c r="K9006" s="711"/>
      <c r="L9006" s="711"/>
      <c r="Q9006" s="11"/>
      <c r="R9006" s="11"/>
      <c r="S9006" s="11"/>
      <c r="T9006" s="11"/>
    </row>
    <row r="9007" spans="8:20" x14ac:dyDescent="0.35">
      <c r="H9007" s="711"/>
      <c r="I9007" s="711"/>
      <c r="J9007" s="711"/>
      <c r="K9007" s="711"/>
      <c r="L9007" s="711"/>
      <c r="Q9007" s="11"/>
      <c r="R9007" s="11"/>
      <c r="S9007" s="11"/>
      <c r="T9007" s="11"/>
    </row>
    <row r="9008" spans="8:20" x14ac:dyDescent="0.35">
      <c r="H9008" s="711"/>
      <c r="I9008" s="711"/>
      <c r="J9008" s="711"/>
      <c r="K9008" s="711"/>
      <c r="L9008" s="711"/>
      <c r="Q9008" s="11"/>
      <c r="R9008" s="11"/>
      <c r="S9008" s="11"/>
      <c r="T9008" s="11"/>
    </row>
    <row r="9009" spans="8:20" x14ac:dyDescent="0.35">
      <c r="H9009" s="711"/>
      <c r="I9009" s="711"/>
      <c r="J9009" s="711"/>
      <c r="K9009" s="711"/>
      <c r="L9009" s="711"/>
      <c r="Q9009" s="11"/>
      <c r="R9009" s="11"/>
      <c r="S9009" s="11"/>
      <c r="T9009" s="11"/>
    </row>
    <row r="9010" spans="8:20" x14ac:dyDescent="0.35">
      <c r="H9010" s="711"/>
      <c r="I9010" s="711"/>
      <c r="J9010" s="711"/>
      <c r="K9010" s="711"/>
      <c r="L9010" s="711"/>
      <c r="Q9010" s="11"/>
      <c r="R9010" s="11"/>
      <c r="S9010" s="11"/>
      <c r="T9010" s="11"/>
    </row>
    <row r="9011" spans="8:20" x14ac:dyDescent="0.35">
      <c r="H9011" s="711"/>
      <c r="I9011" s="711"/>
      <c r="J9011" s="711"/>
      <c r="K9011" s="711"/>
      <c r="L9011" s="711"/>
      <c r="Q9011" s="11"/>
      <c r="R9011" s="11"/>
      <c r="S9011" s="11"/>
      <c r="T9011" s="11"/>
    </row>
    <row r="9012" spans="8:20" x14ac:dyDescent="0.35">
      <c r="H9012" s="711"/>
      <c r="I9012" s="711"/>
      <c r="J9012" s="711"/>
      <c r="K9012" s="711"/>
      <c r="L9012" s="711"/>
      <c r="Q9012" s="11"/>
      <c r="R9012" s="11"/>
      <c r="S9012" s="11"/>
      <c r="T9012" s="11"/>
    </row>
    <row r="9013" spans="8:20" x14ac:dyDescent="0.35">
      <c r="H9013" s="711"/>
      <c r="I9013" s="711"/>
      <c r="J9013" s="711"/>
      <c r="K9013" s="711"/>
      <c r="L9013" s="711"/>
      <c r="Q9013" s="11"/>
      <c r="R9013" s="11"/>
      <c r="S9013" s="11"/>
      <c r="T9013" s="11"/>
    </row>
    <row r="9014" spans="8:20" x14ac:dyDescent="0.35">
      <c r="H9014" s="711"/>
      <c r="I9014" s="711"/>
      <c r="J9014" s="711"/>
      <c r="K9014" s="711"/>
      <c r="L9014" s="711"/>
      <c r="Q9014" s="11"/>
      <c r="R9014" s="11"/>
      <c r="S9014" s="11"/>
      <c r="T9014" s="11"/>
    </row>
    <row r="9015" spans="8:20" x14ac:dyDescent="0.35">
      <c r="H9015" s="711"/>
      <c r="I9015" s="711"/>
      <c r="J9015" s="711"/>
      <c r="K9015" s="711"/>
      <c r="L9015" s="711"/>
      <c r="Q9015" s="11"/>
      <c r="R9015" s="11"/>
      <c r="S9015" s="11"/>
      <c r="T9015" s="11"/>
    </row>
    <row r="9016" spans="8:20" x14ac:dyDescent="0.35">
      <c r="H9016" s="711"/>
      <c r="I9016" s="711"/>
      <c r="J9016" s="711"/>
      <c r="K9016" s="711"/>
      <c r="L9016" s="711"/>
      <c r="Q9016" s="11"/>
      <c r="R9016" s="11"/>
      <c r="S9016" s="11"/>
      <c r="T9016" s="11"/>
    </row>
    <row r="9017" spans="8:20" x14ac:dyDescent="0.35">
      <c r="H9017" s="711"/>
      <c r="I9017" s="711"/>
      <c r="J9017" s="711"/>
      <c r="K9017" s="711"/>
      <c r="L9017" s="711"/>
      <c r="Q9017" s="11"/>
      <c r="R9017" s="11"/>
      <c r="S9017" s="11"/>
      <c r="T9017" s="11"/>
    </row>
    <row r="9018" spans="8:20" x14ac:dyDescent="0.35">
      <c r="H9018" s="711"/>
      <c r="I9018" s="711"/>
      <c r="J9018" s="711"/>
      <c r="K9018" s="711"/>
      <c r="L9018" s="711"/>
      <c r="Q9018" s="11"/>
      <c r="R9018" s="11"/>
      <c r="S9018" s="11"/>
      <c r="T9018" s="11"/>
    </row>
    <row r="9019" spans="8:20" x14ac:dyDescent="0.35">
      <c r="H9019" s="711"/>
      <c r="I9019" s="711"/>
      <c r="J9019" s="711"/>
      <c r="K9019" s="711"/>
      <c r="L9019" s="711"/>
      <c r="Q9019" s="11"/>
      <c r="R9019" s="11"/>
      <c r="S9019" s="11"/>
      <c r="T9019" s="11"/>
    </row>
    <row r="9020" spans="8:20" x14ac:dyDescent="0.35">
      <c r="H9020" s="711"/>
      <c r="I9020" s="711"/>
      <c r="J9020" s="711"/>
      <c r="K9020" s="711"/>
      <c r="L9020" s="711"/>
      <c r="Q9020" s="11"/>
      <c r="R9020" s="11"/>
      <c r="S9020" s="11"/>
      <c r="T9020" s="11"/>
    </row>
    <row r="9021" spans="8:20" x14ac:dyDescent="0.35">
      <c r="H9021" s="711"/>
      <c r="I9021" s="711"/>
      <c r="J9021" s="711"/>
      <c r="K9021" s="711"/>
      <c r="L9021" s="711"/>
      <c r="Q9021" s="11"/>
      <c r="R9021" s="11"/>
      <c r="S9021" s="11"/>
      <c r="T9021" s="11"/>
    </row>
    <row r="9022" spans="8:20" x14ac:dyDescent="0.35">
      <c r="H9022" s="711"/>
      <c r="I9022" s="711"/>
      <c r="J9022" s="711"/>
      <c r="K9022" s="711"/>
      <c r="L9022" s="711"/>
      <c r="Q9022" s="11"/>
      <c r="R9022" s="11"/>
      <c r="S9022" s="11"/>
      <c r="T9022" s="11"/>
    </row>
    <row r="9023" spans="8:20" x14ac:dyDescent="0.35">
      <c r="H9023" s="711"/>
      <c r="I9023" s="711"/>
      <c r="J9023" s="711"/>
      <c r="K9023" s="711"/>
      <c r="L9023" s="711"/>
      <c r="Q9023" s="11"/>
      <c r="R9023" s="11"/>
      <c r="S9023" s="11"/>
      <c r="T9023" s="11"/>
    </row>
    <row r="9024" spans="8:20" x14ac:dyDescent="0.35">
      <c r="H9024" s="711"/>
      <c r="I9024" s="711"/>
      <c r="J9024" s="711"/>
      <c r="K9024" s="711"/>
      <c r="L9024" s="711"/>
      <c r="Q9024" s="11"/>
      <c r="R9024" s="11"/>
      <c r="S9024" s="11"/>
      <c r="T9024" s="11"/>
    </row>
    <row r="9025" spans="8:20" x14ac:dyDescent="0.35">
      <c r="H9025" s="711"/>
      <c r="I9025" s="711"/>
      <c r="J9025" s="711"/>
      <c r="K9025" s="711"/>
      <c r="L9025" s="711"/>
      <c r="Q9025" s="11"/>
      <c r="R9025" s="11"/>
      <c r="S9025" s="11"/>
      <c r="T9025" s="11"/>
    </row>
    <row r="9026" spans="8:20" x14ac:dyDescent="0.35">
      <c r="H9026" s="711"/>
      <c r="I9026" s="711"/>
      <c r="J9026" s="711"/>
      <c r="K9026" s="711"/>
      <c r="L9026" s="711"/>
      <c r="Q9026" s="11"/>
      <c r="R9026" s="11"/>
      <c r="S9026" s="11"/>
      <c r="T9026" s="11"/>
    </row>
    <row r="9027" spans="8:20" x14ac:dyDescent="0.35">
      <c r="H9027" s="711"/>
      <c r="I9027" s="711"/>
      <c r="J9027" s="711"/>
      <c r="K9027" s="711"/>
      <c r="L9027" s="711"/>
      <c r="Q9027" s="11"/>
      <c r="R9027" s="11"/>
      <c r="S9027" s="11"/>
      <c r="T9027" s="11"/>
    </row>
    <row r="9028" spans="8:20" x14ac:dyDescent="0.35">
      <c r="H9028" s="711"/>
      <c r="I9028" s="711"/>
      <c r="J9028" s="711"/>
      <c r="K9028" s="711"/>
      <c r="L9028" s="711"/>
      <c r="Q9028" s="11"/>
      <c r="R9028" s="11"/>
      <c r="S9028" s="11"/>
      <c r="T9028" s="11"/>
    </row>
    <row r="9029" spans="8:20" x14ac:dyDescent="0.35">
      <c r="H9029" s="711"/>
      <c r="I9029" s="711"/>
      <c r="J9029" s="711"/>
      <c r="K9029" s="711"/>
      <c r="L9029" s="711"/>
      <c r="Q9029" s="11"/>
      <c r="R9029" s="11"/>
      <c r="S9029" s="11"/>
      <c r="T9029" s="11"/>
    </row>
    <row r="9030" spans="8:20" x14ac:dyDescent="0.35">
      <c r="H9030" s="711"/>
      <c r="I9030" s="711"/>
      <c r="J9030" s="711"/>
      <c r="K9030" s="711"/>
      <c r="L9030" s="711"/>
      <c r="Q9030" s="11"/>
      <c r="R9030" s="11"/>
      <c r="S9030" s="11"/>
      <c r="T9030" s="11"/>
    </row>
    <row r="9031" spans="8:20" x14ac:dyDescent="0.35">
      <c r="H9031" s="711"/>
      <c r="I9031" s="711"/>
      <c r="J9031" s="711"/>
      <c r="K9031" s="711"/>
      <c r="L9031" s="711"/>
      <c r="Q9031" s="11"/>
      <c r="R9031" s="11"/>
      <c r="S9031" s="11"/>
      <c r="T9031" s="11"/>
    </row>
    <row r="9032" spans="8:20" x14ac:dyDescent="0.35">
      <c r="H9032" s="711"/>
      <c r="I9032" s="711"/>
      <c r="J9032" s="711"/>
      <c r="K9032" s="711"/>
      <c r="L9032" s="711"/>
      <c r="Q9032" s="11"/>
      <c r="R9032" s="11"/>
      <c r="S9032" s="11"/>
      <c r="T9032" s="11"/>
    </row>
    <row r="9033" spans="8:20" x14ac:dyDescent="0.35">
      <c r="H9033" s="711"/>
      <c r="I9033" s="711"/>
      <c r="J9033" s="711"/>
      <c r="K9033" s="711"/>
      <c r="L9033" s="711"/>
      <c r="Q9033" s="11"/>
      <c r="R9033" s="11"/>
      <c r="S9033" s="11"/>
      <c r="T9033" s="11"/>
    </row>
    <row r="9034" spans="8:20" x14ac:dyDescent="0.35">
      <c r="H9034" s="711"/>
      <c r="I9034" s="711"/>
      <c r="J9034" s="711"/>
      <c r="K9034" s="711"/>
      <c r="L9034" s="711"/>
      <c r="Q9034" s="11"/>
      <c r="R9034" s="11"/>
      <c r="S9034" s="11"/>
      <c r="T9034" s="11"/>
    </row>
    <row r="9035" spans="8:20" x14ac:dyDescent="0.35">
      <c r="H9035" s="711"/>
      <c r="I9035" s="711"/>
      <c r="J9035" s="711"/>
      <c r="K9035" s="711"/>
      <c r="L9035" s="711"/>
      <c r="Q9035" s="11"/>
      <c r="R9035" s="11"/>
      <c r="S9035" s="11"/>
      <c r="T9035" s="11"/>
    </row>
    <row r="9036" spans="8:20" x14ac:dyDescent="0.35">
      <c r="H9036" s="711"/>
      <c r="I9036" s="711"/>
      <c r="J9036" s="711"/>
      <c r="K9036" s="711"/>
      <c r="L9036" s="711"/>
      <c r="Q9036" s="11"/>
      <c r="R9036" s="11"/>
      <c r="S9036" s="11"/>
      <c r="T9036" s="11"/>
    </row>
    <row r="9037" spans="8:20" x14ac:dyDescent="0.35">
      <c r="H9037" s="711"/>
      <c r="I9037" s="711"/>
      <c r="J9037" s="711"/>
      <c r="K9037" s="711"/>
      <c r="L9037" s="711"/>
      <c r="Q9037" s="11"/>
      <c r="R9037" s="11"/>
      <c r="S9037" s="11"/>
      <c r="T9037" s="11"/>
    </row>
    <row r="9038" spans="8:20" x14ac:dyDescent="0.35">
      <c r="H9038" s="711"/>
      <c r="I9038" s="711"/>
      <c r="J9038" s="711"/>
      <c r="K9038" s="711"/>
      <c r="L9038" s="711"/>
      <c r="Q9038" s="11"/>
      <c r="R9038" s="11"/>
      <c r="S9038" s="11"/>
      <c r="T9038" s="11"/>
    </row>
    <row r="9039" spans="8:20" x14ac:dyDescent="0.35">
      <c r="H9039" s="711"/>
      <c r="I9039" s="711"/>
      <c r="J9039" s="711"/>
      <c r="K9039" s="711"/>
      <c r="L9039" s="711"/>
      <c r="Q9039" s="11"/>
      <c r="R9039" s="11"/>
      <c r="S9039" s="11"/>
      <c r="T9039" s="11"/>
    </row>
    <row r="9040" spans="8:20" x14ac:dyDescent="0.35">
      <c r="H9040" s="711"/>
      <c r="I9040" s="711"/>
      <c r="J9040" s="711"/>
      <c r="K9040" s="711"/>
      <c r="L9040" s="711"/>
      <c r="Q9040" s="11"/>
      <c r="R9040" s="11"/>
      <c r="S9040" s="11"/>
      <c r="T9040" s="11"/>
    </row>
    <row r="9041" spans="8:20" x14ac:dyDescent="0.35">
      <c r="H9041" s="711"/>
      <c r="I9041" s="711"/>
      <c r="J9041" s="711"/>
      <c r="K9041" s="711"/>
      <c r="L9041" s="711"/>
      <c r="Q9041" s="11"/>
      <c r="R9041" s="11"/>
      <c r="S9041" s="11"/>
      <c r="T9041" s="11"/>
    </row>
    <row r="9042" spans="8:20" x14ac:dyDescent="0.35">
      <c r="H9042" s="711"/>
      <c r="I9042" s="711"/>
      <c r="J9042" s="711"/>
      <c r="K9042" s="711"/>
      <c r="L9042" s="711"/>
      <c r="Q9042" s="11"/>
      <c r="R9042" s="11"/>
      <c r="S9042" s="11"/>
      <c r="T9042" s="11"/>
    </row>
    <row r="9043" spans="8:20" x14ac:dyDescent="0.35">
      <c r="H9043" s="711"/>
      <c r="I9043" s="711"/>
      <c r="J9043" s="711"/>
      <c r="K9043" s="711"/>
      <c r="L9043" s="711"/>
      <c r="Q9043" s="11"/>
      <c r="R9043" s="11"/>
      <c r="S9043" s="11"/>
      <c r="T9043" s="11"/>
    </row>
    <row r="9044" spans="8:20" x14ac:dyDescent="0.35">
      <c r="H9044" s="711"/>
      <c r="I9044" s="711"/>
      <c r="J9044" s="711"/>
      <c r="K9044" s="711"/>
      <c r="L9044" s="711"/>
      <c r="Q9044" s="11"/>
      <c r="R9044" s="11"/>
      <c r="S9044" s="11"/>
      <c r="T9044" s="11"/>
    </row>
    <row r="9045" spans="8:20" x14ac:dyDescent="0.35">
      <c r="H9045" s="711"/>
      <c r="I9045" s="711"/>
      <c r="J9045" s="711"/>
      <c r="K9045" s="711"/>
      <c r="L9045" s="711"/>
      <c r="Q9045" s="11"/>
      <c r="R9045" s="11"/>
      <c r="S9045" s="11"/>
      <c r="T9045" s="11"/>
    </row>
    <row r="9046" spans="8:20" x14ac:dyDescent="0.35">
      <c r="H9046" s="711"/>
      <c r="I9046" s="711"/>
      <c r="J9046" s="711"/>
      <c r="K9046" s="711"/>
      <c r="L9046" s="711"/>
      <c r="Q9046" s="11"/>
      <c r="R9046" s="11"/>
      <c r="S9046" s="11"/>
      <c r="T9046" s="11"/>
    </row>
    <row r="9047" spans="8:20" x14ac:dyDescent="0.35">
      <c r="H9047" s="711"/>
      <c r="I9047" s="711"/>
      <c r="J9047" s="711"/>
      <c r="K9047" s="711"/>
      <c r="L9047" s="711"/>
      <c r="Q9047" s="11"/>
      <c r="R9047" s="11"/>
      <c r="S9047" s="11"/>
      <c r="T9047" s="11"/>
    </row>
    <row r="9048" spans="8:20" x14ac:dyDescent="0.35">
      <c r="H9048" s="711"/>
      <c r="I9048" s="711"/>
      <c r="J9048" s="711"/>
      <c r="K9048" s="711"/>
      <c r="L9048" s="711"/>
      <c r="Q9048" s="11"/>
      <c r="R9048" s="11"/>
      <c r="S9048" s="11"/>
      <c r="T9048" s="11"/>
    </row>
    <row r="9049" spans="8:20" x14ac:dyDescent="0.35">
      <c r="H9049" s="711"/>
      <c r="I9049" s="711"/>
      <c r="J9049" s="711"/>
      <c r="K9049" s="711"/>
      <c r="L9049" s="711"/>
      <c r="Q9049" s="11"/>
      <c r="R9049" s="11"/>
      <c r="S9049" s="11"/>
      <c r="T9049" s="11"/>
    </row>
    <row r="9050" spans="8:20" x14ac:dyDescent="0.35">
      <c r="H9050" s="711"/>
      <c r="I9050" s="711"/>
      <c r="J9050" s="711"/>
      <c r="K9050" s="711"/>
      <c r="L9050" s="711"/>
      <c r="Q9050" s="11"/>
      <c r="R9050" s="11"/>
      <c r="S9050" s="11"/>
      <c r="T9050" s="11"/>
    </row>
    <row r="9051" spans="8:20" x14ac:dyDescent="0.35">
      <c r="H9051" s="711"/>
      <c r="I9051" s="711"/>
      <c r="J9051" s="711"/>
      <c r="K9051" s="711"/>
      <c r="L9051" s="711"/>
      <c r="Q9051" s="11"/>
      <c r="R9051" s="11"/>
      <c r="S9051" s="11"/>
      <c r="T9051" s="11"/>
    </row>
    <row r="9052" spans="8:20" x14ac:dyDescent="0.35">
      <c r="H9052" s="711"/>
      <c r="I9052" s="711"/>
      <c r="J9052" s="711"/>
      <c r="K9052" s="711"/>
      <c r="L9052" s="711"/>
      <c r="Q9052" s="11"/>
      <c r="R9052" s="11"/>
      <c r="S9052" s="11"/>
      <c r="T9052" s="11"/>
    </row>
    <row r="9053" spans="8:20" x14ac:dyDescent="0.35">
      <c r="H9053" s="711"/>
      <c r="I9053" s="711"/>
      <c r="J9053" s="711"/>
      <c r="K9053" s="711"/>
      <c r="L9053" s="711"/>
      <c r="Q9053" s="11"/>
      <c r="R9053" s="11"/>
      <c r="S9053" s="11"/>
      <c r="T9053" s="11"/>
    </row>
    <row r="9054" spans="8:20" x14ac:dyDescent="0.35">
      <c r="H9054" s="711"/>
      <c r="I9054" s="711"/>
      <c r="J9054" s="711"/>
      <c r="K9054" s="711"/>
      <c r="L9054" s="711"/>
      <c r="Q9054" s="11"/>
      <c r="R9054" s="11"/>
      <c r="S9054" s="11"/>
      <c r="T9054" s="11"/>
    </row>
    <row r="9055" spans="8:20" x14ac:dyDescent="0.35">
      <c r="H9055" s="711"/>
      <c r="I9055" s="711"/>
      <c r="J9055" s="711"/>
      <c r="K9055" s="711"/>
      <c r="L9055" s="711"/>
      <c r="Q9055" s="11"/>
      <c r="R9055" s="11"/>
      <c r="S9055" s="11"/>
      <c r="T9055" s="11"/>
    </row>
    <row r="9056" spans="8:20" x14ac:dyDescent="0.35">
      <c r="H9056" s="711"/>
      <c r="I9056" s="711"/>
      <c r="J9056" s="711"/>
      <c r="K9056" s="711"/>
      <c r="L9056" s="711"/>
      <c r="Q9056" s="11"/>
      <c r="R9056" s="11"/>
      <c r="S9056" s="11"/>
      <c r="T9056" s="11"/>
    </row>
    <row r="9057" spans="8:20" x14ac:dyDescent="0.35">
      <c r="H9057" s="711"/>
      <c r="I9057" s="711"/>
      <c r="J9057" s="711"/>
      <c r="K9057" s="711"/>
      <c r="L9057" s="711"/>
      <c r="Q9057" s="11"/>
      <c r="R9057" s="11"/>
      <c r="S9057" s="11"/>
      <c r="T9057" s="11"/>
    </row>
    <row r="9058" spans="8:20" x14ac:dyDescent="0.35">
      <c r="H9058" s="711"/>
      <c r="I9058" s="711"/>
      <c r="J9058" s="711"/>
      <c r="K9058" s="711"/>
      <c r="L9058" s="711"/>
      <c r="Q9058" s="11"/>
      <c r="R9058" s="11"/>
      <c r="S9058" s="11"/>
      <c r="T9058" s="11"/>
    </row>
    <row r="9059" spans="8:20" x14ac:dyDescent="0.35">
      <c r="H9059" s="711"/>
      <c r="I9059" s="711"/>
      <c r="J9059" s="711"/>
      <c r="K9059" s="711"/>
      <c r="L9059" s="711"/>
      <c r="Q9059" s="11"/>
      <c r="R9059" s="11"/>
      <c r="S9059" s="11"/>
      <c r="T9059" s="11"/>
    </row>
    <row r="9060" spans="8:20" x14ac:dyDescent="0.35">
      <c r="H9060" s="711"/>
      <c r="I9060" s="711"/>
      <c r="J9060" s="711"/>
      <c r="K9060" s="711"/>
      <c r="L9060" s="711"/>
      <c r="Q9060" s="11"/>
      <c r="R9060" s="11"/>
      <c r="S9060" s="11"/>
      <c r="T9060" s="11"/>
    </row>
    <row r="9061" spans="8:20" x14ac:dyDescent="0.35">
      <c r="H9061" s="711"/>
      <c r="I9061" s="711"/>
      <c r="J9061" s="711"/>
      <c r="K9061" s="711"/>
      <c r="L9061" s="711"/>
      <c r="Q9061" s="11"/>
      <c r="R9061" s="11"/>
      <c r="S9061" s="11"/>
      <c r="T9061" s="11"/>
    </row>
    <row r="9062" spans="8:20" x14ac:dyDescent="0.35">
      <c r="H9062" s="711"/>
      <c r="I9062" s="711"/>
      <c r="J9062" s="711"/>
      <c r="K9062" s="711"/>
      <c r="L9062" s="711"/>
      <c r="Q9062" s="11"/>
      <c r="R9062" s="11"/>
      <c r="S9062" s="11"/>
      <c r="T9062" s="11"/>
    </row>
    <row r="9063" spans="8:20" x14ac:dyDescent="0.35">
      <c r="H9063" s="711"/>
      <c r="I9063" s="711"/>
      <c r="J9063" s="711"/>
      <c r="K9063" s="711"/>
      <c r="L9063" s="711"/>
      <c r="Q9063" s="11"/>
      <c r="R9063" s="11"/>
      <c r="S9063" s="11"/>
      <c r="T9063" s="11"/>
    </row>
    <row r="9064" spans="8:20" x14ac:dyDescent="0.35">
      <c r="H9064" s="711"/>
      <c r="I9064" s="711"/>
      <c r="J9064" s="711"/>
      <c r="K9064" s="711"/>
      <c r="L9064" s="711"/>
      <c r="Q9064" s="11"/>
      <c r="R9064" s="11"/>
      <c r="S9064" s="11"/>
      <c r="T9064" s="11"/>
    </row>
    <row r="9065" spans="8:20" x14ac:dyDescent="0.35">
      <c r="H9065" s="711"/>
      <c r="I9065" s="711"/>
      <c r="J9065" s="711"/>
      <c r="K9065" s="711"/>
      <c r="L9065" s="711"/>
      <c r="Q9065" s="11"/>
      <c r="R9065" s="11"/>
      <c r="S9065" s="11"/>
      <c r="T9065" s="11"/>
    </row>
    <row r="9066" spans="8:20" x14ac:dyDescent="0.35">
      <c r="H9066" s="711"/>
      <c r="I9066" s="711"/>
      <c r="J9066" s="711"/>
      <c r="K9066" s="711"/>
      <c r="L9066" s="711"/>
      <c r="Q9066" s="11"/>
      <c r="R9066" s="11"/>
      <c r="S9066" s="11"/>
      <c r="T9066" s="11"/>
    </row>
    <row r="9067" spans="8:20" x14ac:dyDescent="0.35">
      <c r="H9067" s="711"/>
      <c r="I9067" s="711"/>
      <c r="J9067" s="711"/>
      <c r="K9067" s="711"/>
      <c r="L9067" s="711"/>
      <c r="Q9067" s="11"/>
      <c r="R9067" s="11"/>
      <c r="S9067" s="11"/>
      <c r="T9067" s="11"/>
    </row>
    <row r="9068" spans="8:20" x14ac:dyDescent="0.35">
      <c r="H9068" s="711"/>
      <c r="I9068" s="711"/>
      <c r="J9068" s="711"/>
      <c r="K9068" s="711"/>
      <c r="L9068" s="711"/>
      <c r="Q9068" s="11"/>
      <c r="R9068" s="11"/>
      <c r="S9068" s="11"/>
      <c r="T9068" s="11"/>
    </row>
    <row r="9069" spans="8:20" x14ac:dyDescent="0.35">
      <c r="H9069" s="711"/>
      <c r="I9069" s="711"/>
      <c r="J9069" s="711"/>
      <c r="K9069" s="711"/>
      <c r="L9069" s="711"/>
      <c r="Q9069" s="11"/>
      <c r="R9069" s="11"/>
      <c r="S9069" s="11"/>
      <c r="T9069" s="11"/>
    </row>
    <row r="9070" spans="8:20" x14ac:dyDescent="0.35">
      <c r="H9070" s="711"/>
      <c r="I9070" s="711"/>
      <c r="J9070" s="711"/>
      <c r="K9070" s="711"/>
      <c r="L9070" s="711"/>
      <c r="Q9070" s="11"/>
      <c r="R9070" s="11"/>
      <c r="S9070" s="11"/>
      <c r="T9070" s="11"/>
    </row>
    <row r="9071" spans="8:20" x14ac:dyDescent="0.35">
      <c r="H9071" s="711"/>
      <c r="I9071" s="711"/>
      <c r="J9071" s="711"/>
      <c r="K9071" s="711"/>
      <c r="L9071" s="711"/>
      <c r="Q9071" s="11"/>
      <c r="R9071" s="11"/>
      <c r="S9071" s="11"/>
      <c r="T9071" s="11"/>
    </row>
    <row r="9072" spans="8:20" x14ac:dyDescent="0.35">
      <c r="H9072" s="711"/>
      <c r="I9072" s="711"/>
      <c r="J9072" s="711"/>
      <c r="K9072" s="711"/>
      <c r="L9072" s="711"/>
      <c r="Q9072" s="11"/>
      <c r="R9072" s="11"/>
      <c r="S9072" s="11"/>
      <c r="T9072" s="11"/>
    </row>
    <row r="9073" spans="8:20" x14ac:dyDescent="0.35">
      <c r="H9073" s="711"/>
      <c r="I9073" s="711"/>
      <c r="J9073" s="711"/>
      <c r="K9073" s="711"/>
      <c r="L9073" s="711"/>
      <c r="Q9073" s="11"/>
      <c r="R9073" s="11"/>
      <c r="S9073" s="11"/>
      <c r="T9073" s="11"/>
    </row>
    <row r="9074" spans="8:20" x14ac:dyDescent="0.35">
      <c r="H9074" s="711"/>
      <c r="I9074" s="711"/>
      <c r="J9074" s="711"/>
      <c r="K9074" s="711"/>
      <c r="L9074" s="711"/>
      <c r="Q9074" s="11"/>
      <c r="R9074" s="11"/>
      <c r="S9074" s="11"/>
      <c r="T9074" s="11"/>
    </row>
    <row r="9075" spans="8:20" x14ac:dyDescent="0.35">
      <c r="H9075" s="711"/>
      <c r="I9075" s="711"/>
      <c r="J9075" s="711"/>
      <c r="K9075" s="711"/>
      <c r="L9075" s="711"/>
      <c r="Q9075" s="11"/>
      <c r="R9075" s="11"/>
      <c r="S9075" s="11"/>
      <c r="T9075" s="11"/>
    </row>
    <row r="9076" spans="8:20" x14ac:dyDescent="0.35">
      <c r="H9076" s="711"/>
      <c r="I9076" s="711"/>
      <c r="J9076" s="711"/>
      <c r="K9076" s="711"/>
      <c r="L9076" s="711"/>
      <c r="Q9076" s="11"/>
      <c r="R9076" s="11"/>
      <c r="S9076" s="11"/>
      <c r="T9076" s="11"/>
    </row>
    <row r="9077" spans="8:20" x14ac:dyDescent="0.35">
      <c r="H9077" s="711"/>
      <c r="I9077" s="711"/>
      <c r="J9077" s="711"/>
      <c r="K9077" s="711"/>
      <c r="L9077" s="711"/>
      <c r="Q9077" s="11"/>
      <c r="R9077" s="11"/>
      <c r="S9077" s="11"/>
      <c r="T9077" s="11"/>
    </row>
    <row r="9078" spans="8:20" x14ac:dyDescent="0.35">
      <c r="H9078" s="711"/>
      <c r="I9078" s="711"/>
      <c r="J9078" s="711"/>
      <c r="K9078" s="711"/>
      <c r="L9078" s="711"/>
      <c r="Q9078" s="11"/>
      <c r="R9078" s="11"/>
      <c r="S9078" s="11"/>
      <c r="T9078" s="11"/>
    </row>
    <row r="9079" spans="8:20" x14ac:dyDescent="0.35">
      <c r="H9079" s="711"/>
      <c r="I9079" s="711"/>
      <c r="J9079" s="711"/>
      <c r="K9079" s="711"/>
      <c r="L9079" s="711"/>
      <c r="Q9079" s="11"/>
      <c r="R9079" s="11"/>
      <c r="S9079" s="11"/>
      <c r="T9079" s="11"/>
    </row>
    <row r="9080" spans="8:20" x14ac:dyDescent="0.35">
      <c r="H9080" s="711"/>
      <c r="I9080" s="711"/>
      <c r="J9080" s="711"/>
      <c r="K9080" s="711"/>
      <c r="L9080" s="711"/>
      <c r="Q9080" s="11"/>
      <c r="R9080" s="11"/>
      <c r="S9080" s="11"/>
      <c r="T9080" s="11"/>
    </row>
    <row r="9081" spans="8:20" x14ac:dyDescent="0.35">
      <c r="H9081" s="711"/>
      <c r="I9081" s="711"/>
      <c r="J9081" s="711"/>
      <c r="K9081" s="711"/>
      <c r="L9081" s="711"/>
      <c r="Q9081" s="11"/>
      <c r="R9081" s="11"/>
      <c r="S9081" s="11"/>
      <c r="T9081" s="11"/>
    </row>
    <row r="9082" spans="8:20" x14ac:dyDescent="0.35">
      <c r="H9082" s="711"/>
      <c r="I9082" s="711"/>
      <c r="J9082" s="711"/>
      <c r="K9082" s="711"/>
      <c r="L9082" s="711"/>
      <c r="Q9082" s="11"/>
      <c r="R9082" s="11"/>
      <c r="S9082" s="11"/>
      <c r="T9082" s="11"/>
    </row>
    <row r="9083" spans="8:20" x14ac:dyDescent="0.35">
      <c r="H9083" s="711"/>
      <c r="I9083" s="711"/>
      <c r="J9083" s="711"/>
      <c r="K9083" s="711"/>
      <c r="L9083" s="711"/>
      <c r="Q9083" s="11"/>
      <c r="R9083" s="11"/>
      <c r="S9083" s="11"/>
      <c r="T9083" s="11"/>
    </row>
    <row r="9084" spans="8:20" x14ac:dyDescent="0.35">
      <c r="H9084" s="711"/>
      <c r="I9084" s="711"/>
      <c r="J9084" s="711"/>
      <c r="K9084" s="711"/>
      <c r="L9084" s="711"/>
      <c r="Q9084" s="11"/>
      <c r="R9084" s="11"/>
      <c r="S9084" s="11"/>
      <c r="T9084" s="11"/>
    </row>
    <row r="9085" spans="8:20" x14ac:dyDescent="0.35">
      <c r="H9085" s="711"/>
      <c r="I9085" s="711"/>
      <c r="J9085" s="711"/>
      <c r="K9085" s="711"/>
      <c r="L9085" s="711"/>
      <c r="Q9085" s="11"/>
      <c r="R9085" s="11"/>
      <c r="S9085" s="11"/>
      <c r="T9085" s="11"/>
    </row>
    <row r="9086" spans="8:20" x14ac:dyDescent="0.35">
      <c r="H9086" s="711"/>
      <c r="I9086" s="711"/>
      <c r="J9086" s="711"/>
      <c r="K9086" s="711"/>
      <c r="L9086" s="711"/>
      <c r="Q9086" s="11"/>
      <c r="R9086" s="11"/>
      <c r="S9086" s="11"/>
      <c r="T9086" s="11"/>
    </row>
    <row r="9087" spans="8:20" x14ac:dyDescent="0.35">
      <c r="H9087" s="711"/>
      <c r="I9087" s="711"/>
      <c r="J9087" s="711"/>
      <c r="K9087" s="711"/>
      <c r="L9087" s="711"/>
      <c r="Q9087" s="11"/>
      <c r="R9087" s="11"/>
      <c r="S9087" s="11"/>
      <c r="T9087" s="11"/>
    </row>
    <row r="9088" spans="8:20" x14ac:dyDescent="0.35">
      <c r="H9088" s="711"/>
      <c r="I9088" s="711"/>
      <c r="J9088" s="711"/>
      <c r="K9088" s="711"/>
      <c r="L9088" s="711"/>
      <c r="Q9088" s="11"/>
      <c r="R9088" s="11"/>
      <c r="S9088" s="11"/>
      <c r="T9088" s="11"/>
    </row>
    <row r="9089" spans="8:20" x14ac:dyDescent="0.35">
      <c r="H9089" s="711"/>
      <c r="I9089" s="711"/>
      <c r="J9089" s="711"/>
      <c r="K9089" s="711"/>
      <c r="L9089" s="711"/>
      <c r="Q9089" s="11"/>
      <c r="R9089" s="11"/>
      <c r="S9089" s="11"/>
      <c r="T9089" s="11"/>
    </row>
    <row r="9090" spans="8:20" x14ac:dyDescent="0.35">
      <c r="H9090" s="711"/>
      <c r="I9090" s="711"/>
      <c r="J9090" s="711"/>
      <c r="K9090" s="711"/>
      <c r="L9090" s="711"/>
      <c r="Q9090" s="11"/>
      <c r="R9090" s="11"/>
      <c r="S9090" s="11"/>
      <c r="T9090" s="11"/>
    </row>
    <row r="9091" spans="8:20" x14ac:dyDescent="0.35">
      <c r="H9091" s="711"/>
      <c r="I9091" s="711"/>
      <c r="J9091" s="711"/>
      <c r="K9091" s="711"/>
      <c r="L9091" s="711"/>
      <c r="Q9091" s="11"/>
      <c r="R9091" s="11"/>
      <c r="S9091" s="11"/>
      <c r="T9091" s="11"/>
    </row>
    <row r="9092" spans="8:20" x14ac:dyDescent="0.35">
      <c r="H9092" s="711"/>
      <c r="I9092" s="711"/>
      <c r="J9092" s="711"/>
      <c r="K9092" s="711"/>
      <c r="L9092" s="711"/>
      <c r="Q9092" s="11"/>
      <c r="R9092" s="11"/>
      <c r="S9092" s="11"/>
      <c r="T9092" s="11"/>
    </row>
    <row r="9093" spans="8:20" x14ac:dyDescent="0.35">
      <c r="H9093" s="711"/>
      <c r="I9093" s="711"/>
      <c r="J9093" s="711"/>
      <c r="K9093" s="711"/>
      <c r="L9093" s="711"/>
      <c r="Q9093" s="11"/>
      <c r="R9093" s="11"/>
      <c r="S9093" s="11"/>
      <c r="T9093" s="11"/>
    </row>
    <row r="9094" spans="8:20" x14ac:dyDescent="0.35">
      <c r="H9094" s="711"/>
      <c r="I9094" s="711"/>
      <c r="J9094" s="711"/>
      <c r="K9094" s="711"/>
      <c r="L9094" s="711"/>
      <c r="Q9094" s="11"/>
      <c r="R9094" s="11"/>
      <c r="S9094" s="11"/>
      <c r="T9094" s="11"/>
    </row>
    <row r="9095" spans="8:20" x14ac:dyDescent="0.35">
      <c r="H9095" s="711"/>
      <c r="I9095" s="711"/>
      <c r="J9095" s="711"/>
      <c r="K9095" s="711"/>
      <c r="L9095" s="711"/>
      <c r="Q9095" s="11"/>
      <c r="R9095" s="11"/>
      <c r="S9095" s="11"/>
      <c r="T9095" s="11"/>
    </row>
    <row r="9096" spans="8:20" x14ac:dyDescent="0.35">
      <c r="H9096" s="711"/>
      <c r="I9096" s="711"/>
      <c r="J9096" s="711"/>
      <c r="K9096" s="711"/>
      <c r="L9096" s="711"/>
      <c r="Q9096" s="11"/>
      <c r="R9096" s="11"/>
      <c r="S9096" s="11"/>
      <c r="T9096" s="11"/>
    </row>
    <row r="9097" spans="8:20" x14ac:dyDescent="0.35">
      <c r="H9097" s="711"/>
      <c r="I9097" s="711"/>
      <c r="J9097" s="711"/>
      <c r="K9097" s="711"/>
      <c r="L9097" s="711"/>
      <c r="Q9097" s="11"/>
      <c r="R9097" s="11"/>
      <c r="S9097" s="11"/>
      <c r="T9097" s="11"/>
    </row>
    <row r="9098" spans="8:20" x14ac:dyDescent="0.35">
      <c r="H9098" s="711"/>
      <c r="I9098" s="711"/>
      <c r="J9098" s="711"/>
      <c r="K9098" s="711"/>
      <c r="L9098" s="711"/>
      <c r="Q9098" s="11"/>
      <c r="R9098" s="11"/>
      <c r="S9098" s="11"/>
      <c r="T9098" s="11"/>
    </row>
    <row r="9099" spans="8:20" x14ac:dyDescent="0.35">
      <c r="H9099" s="711"/>
      <c r="I9099" s="711"/>
      <c r="J9099" s="711"/>
      <c r="K9099" s="711"/>
      <c r="L9099" s="711"/>
      <c r="Q9099" s="11"/>
      <c r="R9099" s="11"/>
      <c r="S9099" s="11"/>
      <c r="T9099" s="11"/>
    </row>
    <row r="9100" spans="8:20" x14ac:dyDescent="0.35">
      <c r="H9100" s="711"/>
      <c r="I9100" s="711"/>
      <c r="J9100" s="711"/>
      <c r="K9100" s="711"/>
      <c r="L9100" s="711"/>
      <c r="Q9100" s="11"/>
      <c r="R9100" s="11"/>
      <c r="S9100" s="11"/>
      <c r="T9100" s="11"/>
    </row>
    <row r="9101" spans="8:20" x14ac:dyDescent="0.35">
      <c r="H9101" s="711"/>
      <c r="I9101" s="711"/>
      <c r="J9101" s="711"/>
      <c r="K9101" s="711"/>
      <c r="L9101" s="711"/>
      <c r="Q9101" s="11"/>
      <c r="R9101" s="11"/>
      <c r="S9101" s="11"/>
      <c r="T9101" s="11"/>
    </row>
    <row r="9102" spans="8:20" x14ac:dyDescent="0.35">
      <c r="H9102" s="711"/>
      <c r="I9102" s="711"/>
      <c r="J9102" s="711"/>
      <c r="K9102" s="711"/>
      <c r="L9102" s="711"/>
      <c r="Q9102" s="11"/>
      <c r="R9102" s="11"/>
      <c r="S9102" s="11"/>
      <c r="T9102" s="11"/>
    </row>
    <row r="9103" spans="8:20" x14ac:dyDescent="0.35">
      <c r="H9103" s="711"/>
      <c r="I9103" s="711"/>
      <c r="J9103" s="711"/>
      <c r="K9103" s="711"/>
      <c r="L9103" s="711"/>
      <c r="Q9103" s="11"/>
      <c r="R9103" s="11"/>
      <c r="S9103" s="11"/>
      <c r="T9103" s="11"/>
    </row>
    <row r="9104" spans="8:20" x14ac:dyDescent="0.35">
      <c r="H9104" s="711"/>
      <c r="I9104" s="711"/>
      <c r="J9104" s="711"/>
      <c r="K9104" s="711"/>
      <c r="L9104" s="711"/>
      <c r="Q9104" s="11"/>
      <c r="R9104" s="11"/>
      <c r="S9104" s="11"/>
      <c r="T9104" s="11"/>
    </row>
    <row r="9105" spans="8:20" x14ac:dyDescent="0.35">
      <c r="H9105" s="711"/>
      <c r="I9105" s="711"/>
      <c r="J9105" s="711"/>
      <c r="K9105" s="711"/>
      <c r="L9105" s="711"/>
      <c r="Q9105" s="11"/>
      <c r="R9105" s="11"/>
      <c r="S9105" s="11"/>
      <c r="T9105" s="11"/>
    </row>
    <row r="9106" spans="8:20" x14ac:dyDescent="0.35">
      <c r="H9106" s="711"/>
      <c r="I9106" s="711"/>
      <c r="J9106" s="711"/>
      <c r="K9106" s="711"/>
      <c r="L9106" s="711"/>
      <c r="Q9106" s="11"/>
      <c r="R9106" s="11"/>
      <c r="S9106" s="11"/>
      <c r="T9106" s="11"/>
    </row>
    <row r="9107" spans="8:20" x14ac:dyDescent="0.35">
      <c r="H9107" s="711"/>
      <c r="I9107" s="711"/>
      <c r="J9107" s="711"/>
      <c r="K9107" s="711"/>
      <c r="L9107" s="711"/>
      <c r="Q9107" s="11"/>
      <c r="R9107" s="11"/>
      <c r="S9107" s="11"/>
      <c r="T9107" s="11"/>
    </row>
    <row r="9108" spans="8:20" x14ac:dyDescent="0.35">
      <c r="H9108" s="711"/>
      <c r="I9108" s="711"/>
      <c r="J9108" s="711"/>
      <c r="K9108" s="711"/>
      <c r="L9108" s="711"/>
      <c r="Q9108" s="11"/>
      <c r="R9108" s="11"/>
      <c r="S9108" s="11"/>
      <c r="T9108" s="11"/>
    </row>
    <row r="9109" spans="8:20" x14ac:dyDescent="0.35">
      <c r="H9109" s="711"/>
      <c r="I9109" s="711"/>
      <c r="J9109" s="711"/>
      <c r="K9109" s="711"/>
      <c r="L9109" s="711"/>
      <c r="Q9109" s="11"/>
      <c r="R9109" s="11"/>
      <c r="S9109" s="11"/>
      <c r="T9109" s="11"/>
    </row>
    <row r="9110" spans="8:20" x14ac:dyDescent="0.35">
      <c r="H9110" s="711"/>
      <c r="I9110" s="711"/>
      <c r="J9110" s="711"/>
      <c r="K9110" s="711"/>
      <c r="L9110" s="711"/>
      <c r="Q9110" s="11"/>
      <c r="R9110" s="11"/>
      <c r="S9110" s="11"/>
      <c r="T9110" s="11"/>
    </row>
    <row r="9111" spans="8:20" x14ac:dyDescent="0.35">
      <c r="H9111" s="711"/>
      <c r="I9111" s="711"/>
      <c r="J9111" s="711"/>
      <c r="K9111" s="711"/>
      <c r="L9111" s="711"/>
      <c r="Q9111" s="11"/>
      <c r="R9111" s="11"/>
      <c r="S9111" s="11"/>
      <c r="T9111" s="11"/>
    </row>
    <row r="9112" spans="8:20" x14ac:dyDescent="0.35">
      <c r="H9112" s="711"/>
      <c r="I9112" s="711"/>
      <c r="J9112" s="711"/>
      <c r="K9112" s="711"/>
      <c r="L9112" s="711"/>
      <c r="Q9112" s="11"/>
      <c r="R9112" s="11"/>
      <c r="S9112" s="11"/>
      <c r="T9112" s="11"/>
    </row>
    <row r="9113" spans="8:20" x14ac:dyDescent="0.35">
      <c r="H9113" s="711"/>
      <c r="I9113" s="711"/>
      <c r="J9113" s="711"/>
      <c r="K9113" s="711"/>
      <c r="L9113" s="711"/>
      <c r="Q9113" s="11"/>
      <c r="R9113" s="11"/>
      <c r="S9113" s="11"/>
      <c r="T9113" s="11"/>
    </row>
    <row r="9114" spans="8:20" x14ac:dyDescent="0.35">
      <c r="H9114" s="711"/>
      <c r="I9114" s="711"/>
      <c r="J9114" s="711"/>
      <c r="K9114" s="711"/>
      <c r="L9114" s="711"/>
      <c r="Q9114" s="11"/>
      <c r="R9114" s="11"/>
      <c r="S9114" s="11"/>
      <c r="T9114" s="11"/>
    </row>
    <row r="9115" spans="8:20" x14ac:dyDescent="0.35">
      <c r="H9115" s="711"/>
      <c r="I9115" s="711"/>
      <c r="J9115" s="711"/>
      <c r="K9115" s="711"/>
      <c r="L9115" s="711"/>
      <c r="Q9115" s="11"/>
      <c r="R9115" s="11"/>
      <c r="S9115" s="11"/>
      <c r="T9115" s="11"/>
    </row>
    <row r="9116" spans="8:20" x14ac:dyDescent="0.35">
      <c r="H9116" s="711"/>
      <c r="I9116" s="711"/>
      <c r="J9116" s="711"/>
      <c r="K9116" s="711"/>
      <c r="L9116" s="711"/>
      <c r="Q9116" s="11"/>
      <c r="R9116" s="11"/>
      <c r="S9116" s="11"/>
      <c r="T9116" s="11"/>
    </row>
    <row r="9117" spans="8:20" x14ac:dyDescent="0.35">
      <c r="H9117" s="711"/>
      <c r="I9117" s="711"/>
      <c r="J9117" s="711"/>
      <c r="K9117" s="711"/>
      <c r="L9117" s="711"/>
      <c r="Q9117" s="11"/>
      <c r="R9117" s="11"/>
      <c r="S9117" s="11"/>
      <c r="T9117" s="11"/>
    </row>
    <row r="9118" spans="8:20" x14ac:dyDescent="0.35">
      <c r="H9118" s="711"/>
      <c r="I9118" s="711"/>
      <c r="J9118" s="711"/>
      <c r="K9118" s="711"/>
      <c r="L9118" s="711"/>
      <c r="Q9118" s="11"/>
      <c r="R9118" s="11"/>
      <c r="S9118" s="11"/>
      <c r="T9118" s="11"/>
    </row>
    <row r="9119" spans="8:20" x14ac:dyDescent="0.35">
      <c r="H9119" s="711"/>
      <c r="I9119" s="711"/>
      <c r="J9119" s="711"/>
      <c r="K9119" s="711"/>
      <c r="L9119" s="711"/>
      <c r="Q9119" s="11"/>
      <c r="R9119" s="11"/>
      <c r="S9119" s="11"/>
      <c r="T9119" s="11"/>
    </row>
    <row r="9120" spans="8:20" x14ac:dyDescent="0.35">
      <c r="H9120" s="711"/>
      <c r="I9120" s="711"/>
      <c r="J9120" s="711"/>
      <c r="K9120" s="711"/>
      <c r="L9120" s="711"/>
      <c r="Q9120" s="11"/>
      <c r="R9120" s="11"/>
      <c r="S9120" s="11"/>
      <c r="T9120" s="11"/>
    </row>
    <row r="9121" spans="8:20" x14ac:dyDescent="0.35">
      <c r="H9121" s="711"/>
      <c r="I9121" s="711"/>
      <c r="J9121" s="711"/>
      <c r="K9121" s="711"/>
      <c r="L9121" s="711"/>
      <c r="Q9121" s="11"/>
      <c r="R9121" s="11"/>
      <c r="S9121" s="11"/>
      <c r="T9121" s="11"/>
    </row>
    <row r="9122" spans="8:20" x14ac:dyDescent="0.35">
      <c r="H9122" s="711"/>
      <c r="I9122" s="711"/>
      <c r="J9122" s="711"/>
      <c r="K9122" s="711"/>
      <c r="L9122" s="711"/>
      <c r="Q9122" s="11"/>
      <c r="R9122" s="11"/>
      <c r="S9122" s="11"/>
      <c r="T9122" s="11"/>
    </row>
    <row r="9123" spans="8:20" x14ac:dyDescent="0.35">
      <c r="H9123" s="711"/>
      <c r="I9123" s="711"/>
      <c r="J9123" s="711"/>
      <c r="K9123" s="711"/>
      <c r="L9123" s="711"/>
      <c r="Q9123" s="11"/>
      <c r="R9123" s="11"/>
      <c r="S9123" s="11"/>
      <c r="T9123" s="11"/>
    </row>
    <row r="9124" spans="8:20" x14ac:dyDescent="0.35">
      <c r="H9124" s="711"/>
      <c r="I9124" s="711"/>
      <c r="J9124" s="711"/>
      <c r="K9124" s="711"/>
      <c r="L9124" s="711"/>
      <c r="Q9124" s="11"/>
      <c r="R9124" s="11"/>
      <c r="S9124" s="11"/>
      <c r="T9124" s="11"/>
    </row>
    <row r="9125" spans="8:20" x14ac:dyDescent="0.35">
      <c r="H9125" s="711"/>
      <c r="I9125" s="711"/>
      <c r="J9125" s="711"/>
      <c r="K9125" s="711"/>
      <c r="L9125" s="711"/>
      <c r="Q9125" s="11"/>
      <c r="R9125" s="11"/>
      <c r="S9125" s="11"/>
      <c r="T9125" s="11"/>
    </row>
    <row r="9126" spans="8:20" x14ac:dyDescent="0.35">
      <c r="H9126" s="711"/>
      <c r="I9126" s="711"/>
      <c r="J9126" s="711"/>
      <c r="K9126" s="711"/>
      <c r="L9126" s="711"/>
      <c r="Q9126" s="11"/>
      <c r="R9126" s="11"/>
      <c r="S9126" s="11"/>
      <c r="T9126" s="11"/>
    </row>
    <row r="9127" spans="8:20" x14ac:dyDescent="0.35">
      <c r="H9127" s="711"/>
      <c r="I9127" s="711"/>
      <c r="J9127" s="711"/>
      <c r="K9127" s="711"/>
      <c r="L9127" s="711"/>
      <c r="Q9127" s="11"/>
      <c r="R9127" s="11"/>
      <c r="S9127" s="11"/>
      <c r="T9127" s="11"/>
    </row>
    <row r="9128" spans="8:20" x14ac:dyDescent="0.35">
      <c r="H9128" s="711"/>
      <c r="I9128" s="711"/>
      <c r="J9128" s="711"/>
      <c r="K9128" s="711"/>
      <c r="L9128" s="711"/>
      <c r="Q9128" s="11"/>
      <c r="R9128" s="11"/>
      <c r="S9128" s="11"/>
      <c r="T9128" s="11"/>
    </row>
    <row r="9129" spans="8:20" x14ac:dyDescent="0.35">
      <c r="H9129" s="711"/>
      <c r="I9129" s="711"/>
      <c r="J9129" s="711"/>
      <c r="K9129" s="711"/>
      <c r="L9129" s="711"/>
      <c r="Q9129" s="11"/>
      <c r="R9129" s="11"/>
      <c r="S9129" s="11"/>
      <c r="T9129" s="11"/>
    </row>
    <row r="9130" spans="8:20" x14ac:dyDescent="0.35">
      <c r="H9130" s="711"/>
      <c r="I9130" s="711"/>
      <c r="J9130" s="711"/>
      <c r="K9130" s="711"/>
      <c r="L9130" s="711"/>
      <c r="Q9130" s="11"/>
      <c r="R9130" s="11"/>
      <c r="S9130" s="11"/>
      <c r="T9130" s="11"/>
    </row>
    <row r="9131" spans="8:20" x14ac:dyDescent="0.35">
      <c r="H9131" s="711"/>
      <c r="I9131" s="711"/>
      <c r="J9131" s="711"/>
      <c r="K9131" s="711"/>
      <c r="L9131" s="711"/>
      <c r="Q9131" s="11"/>
      <c r="R9131" s="11"/>
      <c r="S9131" s="11"/>
      <c r="T9131" s="11"/>
    </row>
    <row r="9132" spans="8:20" x14ac:dyDescent="0.35">
      <c r="H9132" s="711"/>
      <c r="I9132" s="711"/>
      <c r="J9132" s="711"/>
      <c r="K9132" s="711"/>
      <c r="L9132" s="711"/>
      <c r="Q9132" s="11"/>
      <c r="R9132" s="11"/>
      <c r="S9132" s="11"/>
      <c r="T9132" s="11"/>
    </row>
    <row r="9133" spans="8:20" x14ac:dyDescent="0.35">
      <c r="H9133" s="711"/>
      <c r="I9133" s="711"/>
      <c r="J9133" s="711"/>
      <c r="K9133" s="711"/>
      <c r="L9133" s="711"/>
      <c r="Q9133" s="11"/>
      <c r="R9133" s="11"/>
      <c r="S9133" s="11"/>
      <c r="T9133" s="11"/>
    </row>
    <row r="9134" spans="8:20" x14ac:dyDescent="0.35">
      <c r="H9134" s="711"/>
      <c r="I9134" s="711"/>
      <c r="J9134" s="711"/>
      <c r="K9134" s="711"/>
      <c r="L9134" s="711"/>
      <c r="Q9134" s="11"/>
      <c r="R9134" s="11"/>
      <c r="S9134" s="11"/>
      <c r="T9134" s="11"/>
    </row>
    <row r="9135" spans="8:20" x14ac:dyDescent="0.35">
      <c r="H9135" s="711"/>
      <c r="I9135" s="711"/>
      <c r="J9135" s="711"/>
      <c r="K9135" s="711"/>
      <c r="L9135" s="711"/>
      <c r="Q9135" s="11"/>
      <c r="R9135" s="11"/>
      <c r="S9135" s="11"/>
      <c r="T9135" s="11"/>
    </row>
    <row r="9136" spans="8:20" x14ac:dyDescent="0.35">
      <c r="H9136" s="711"/>
      <c r="I9136" s="711"/>
      <c r="J9136" s="711"/>
      <c r="K9136" s="711"/>
      <c r="L9136" s="711"/>
      <c r="Q9136" s="11"/>
      <c r="R9136" s="11"/>
      <c r="S9136" s="11"/>
      <c r="T9136" s="11"/>
    </row>
    <row r="9137" spans="8:20" x14ac:dyDescent="0.35">
      <c r="H9137" s="711"/>
      <c r="I9137" s="711"/>
      <c r="J9137" s="711"/>
      <c r="K9137" s="711"/>
      <c r="L9137" s="711"/>
      <c r="Q9137" s="11"/>
      <c r="R9137" s="11"/>
      <c r="S9137" s="11"/>
      <c r="T9137" s="11"/>
    </row>
    <row r="9138" spans="8:20" x14ac:dyDescent="0.35">
      <c r="H9138" s="711"/>
      <c r="I9138" s="711"/>
      <c r="J9138" s="711"/>
      <c r="K9138" s="711"/>
      <c r="L9138" s="711"/>
      <c r="Q9138" s="11"/>
      <c r="R9138" s="11"/>
      <c r="S9138" s="11"/>
      <c r="T9138" s="11"/>
    </row>
    <row r="9139" spans="8:20" x14ac:dyDescent="0.35">
      <c r="H9139" s="711"/>
      <c r="I9139" s="711"/>
      <c r="J9139" s="711"/>
      <c r="K9139" s="711"/>
      <c r="L9139" s="711"/>
      <c r="Q9139" s="11"/>
      <c r="R9139" s="11"/>
      <c r="S9139" s="11"/>
      <c r="T9139" s="11"/>
    </row>
    <row r="9140" spans="8:20" x14ac:dyDescent="0.35">
      <c r="H9140" s="711"/>
      <c r="I9140" s="711"/>
      <c r="J9140" s="711"/>
      <c r="K9140" s="711"/>
      <c r="L9140" s="711"/>
      <c r="Q9140" s="11"/>
      <c r="R9140" s="11"/>
      <c r="S9140" s="11"/>
      <c r="T9140" s="11"/>
    </row>
    <row r="9141" spans="8:20" x14ac:dyDescent="0.35">
      <c r="H9141" s="711"/>
      <c r="I9141" s="711"/>
      <c r="J9141" s="711"/>
      <c r="K9141" s="711"/>
      <c r="L9141" s="711"/>
      <c r="Q9141" s="11"/>
      <c r="R9141" s="11"/>
      <c r="S9141" s="11"/>
      <c r="T9141" s="11"/>
    </row>
    <row r="9142" spans="8:20" x14ac:dyDescent="0.35">
      <c r="H9142" s="711"/>
      <c r="I9142" s="711"/>
      <c r="J9142" s="711"/>
      <c r="K9142" s="711"/>
      <c r="L9142" s="711"/>
      <c r="Q9142" s="11"/>
      <c r="R9142" s="11"/>
      <c r="S9142" s="11"/>
      <c r="T9142" s="11"/>
    </row>
    <row r="9143" spans="8:20" x14ac:dyDescent="0.35">
      <c r="H9143" s="711"/>
      <c r="I9143" s="711"/>
      <c r="J9143" s="711"/>
      <c r="K9143" s="711"/>
      <c r="L9143" s="711"/>
      <c r="Q9143" s="11"/>
      <c r="R9143" s="11"/>
      <c r="S9143" s="11"/>
      <c r="T9143" s="11"/>
    </row>
    <row r="9144" spans="8:20" x14ac:dyDescent="0.35">
      <c r="H9144" s="711"/>
      <c r="I9144" s="711"/>
      <c r="J9144" s="711"/>
      <c r="K9144" s="711"/>
      <c r="L9144" s="711"/>
      <c r="Q9144" s="11"/>
      <c r="R9144" s="11"/>
      <c r="S9144" s="11"/>
      <c r="T9144" s="11"/>
    </row>
    <row r="9145" spans="8:20" x14ac:dyDescent="0.35">
      <c r="H9145" s="711"/>
      <c r="I9145" s="711"/>
      <c r="J9145" s="711"/>
      <c r="K9145" s="711"/>
      <c r="L9145" s="711"/>
      <c r="Q9145" s="11"/>
      <c r="R9145" s="11"/>
      <c r="S9145" s="11"/>
      <c r="T9145" s="11"/>
    </row>
    <row r="9146" spans="8:20" x14ac:dyDescent="0.35">
      <c r="H9146" s="711"/>
      <c r="I9146" s="711"/>
      <c r="J9146" s="711"/>
      <c r="K9146" s="711"/>
      <c r="L9146" s="711"/>
      <c r="Q9146" s="11"/>
      <c r="R9146" s="11"/>
      <c r="S9146" s="11"/>
      <c r="T9146" s="11"/>
    </row>
    <row r="9147" spans="8:20" x14ac:dyDescent="0.35">
      <c r="H9147" s="711"/>
      <c r="I9147" s="711"/>
      <c r="J9147" s="711"/>
      <c r="K9147" s="711"/>
      <c r="L9147" s="711"/>
      <c r="Q9147" s="11"/>
      <c r="R9147" s="11"/>
      <c r="S9147" s="11"/>
      <c r="T9147" s="11"/>
    </row>
    <row r="9148" spans="8:20" x14ac:dyDescent="0.35">
      <c r="H9148" s="711"/>
      <c r="I9148" s="711"/>
      <c r="J9148" s="711"/>
      <c r="K9148" s="711"/>
      <c r="L9148" s="711"/>
      <c r="Q9148" s="11"/>
      <c r="R9148" s="11"/>
      <c r="S9148" s="11"/>
      <c r="T9148" s="11"/>
    </row>
    <row r="9149" spans="8:20" x14ac:dyDescent="0.35">
      <c r="H9149" s="711"/>
      <c r="I9149" s="711"/>
      <c r="J9149" s="711"/>
      <c r="K9149" s="711"/>
      <c r="L9149" s="711"/>
      <c r="Q9149" s="11"/>
      <c r="R9149" s="11"/>
      <c r="S9149" s="11"/>
      <c r="T9149" s="11"/>
    </row>
    <row r="9150" spans="8:20" x14ac:dyDescent="0.35">
      <c r="H9150" s="711"/>
      <c r="I9150" s="711"/>
      <c r="J9150" s="711"/>
      <c r="K9150" s="711"/>
      <c r="L9150" s="711"/>
      <c r="Q9150" s="11"/>
      <c r="R9150" s="11"/>
      <c r="S9150" s="11"/>
      <c r="T9150" s="11"/>
    </row>
    <row r="9151" spans="8:20" x14ac:dyDescent="0.35">
      <c r="H9151" s="711"/>
      <c r="I9151" s="711"/>
      <c r="J9151" s="711"/>
      <c r="K9151" s="711"/>
      <c r="L9151" s="711"/>
      <c r="Q9151" s="11"/>
      <c r="R9151" s="11"/>
      <c r="S9151" s="11"/>
      <c r="T9151" s="11"/>
    </row>
    <row r="9152" spans="8:20" x14ac:dyDescent="0.35">
      <c r="H9152" s="711"/>
      <c r="I9152" s="711"/>
      <c r="J9152" s="711"/>
      <c r="K9152" s="711"/>
      <c r="L9152" s="711"/>
      <c r="Q9152" s="11"/>
      <c r="R9152" s="11"/>
      <c r="S9152" s="11"/>
      <c r="T9152" s="11"/>
    </row>
    <row r="9153" spans="8:20" x14ac:dyDescent="0.35">
      <c r="H9153" s="711"/>
      <c r="I9153" s="711"/>
      <c r="J9153" s="711"/>
      <c r="K9153" s="711"/>
      <c r="L9153" s="711"/>
      <c r="Q9153" s="11"/>
      <c r="R9153" s="11"/>
      <c r="S9153" s="11"/>
      <c r="T9153" s="11"/>
    </row>
    <row r="9154" spans="8:20" x14ac:dyDescent="0.35">
      <c r="H9154" s="711"/>
      <c r="I9154" s="711"/>
      <c r="J9154" s="711"/>
      <c r="K9154" s="711"/>
      <c r="L9154" s="711"/>
      <c r="Q9154" s="11"/>
      <c r="R9154" s="11"/>
      <c r="S9154" s="11"/>
      <c r="T9154" s="11"/>
    </row>
    <row r="9155" spans="8:20" x14ac:dyDescent="0.35">
      <c r="H9155" s="711"/>
      <c r="I9155" s="711"/>
      <c r="J9155" s="711"/>
      <c r="K9155" s="711"/>
      <c r="L9155" s="711"/>
      <c r="Q9155" s="11"/>
      <c r="R9155" s="11"/>
      <c r="S9155" s="11"/>
      <c r="T9155" s="11"/>
    </row>
    <row r="9156" spans="8:20" x14ac:dyDescent="0.35">
      <c r="H9156" s="711"/>
      <c r="I9156" s="711"/>
      <c r="J9156" s="711"/>
      <c r="K9156" s="711"/>
      <c r="L9156" s="711"/>
      <c r="Q9156" s="11"/>
      <c r="R9156" s="11"/>
      <c r="S9156" s="11"/>
      <c r="T9156" s="11"/>
    </row>
    <row r="9157" spans="8:20" x14ac:dyDescent="0.35">
      <c r="H9157" s="711"/>
      <c r="I9157" s="711"/>
      <c r="J9157" s="711"/>
      <c r="K9157" s="711"/>
      <c r="L9157" s="711"/>
      <c r="Q9157" s="11"/>
      <c r="R9157" s="11"/>
      <c r="S9157" s="11"/>
      <c r="T9157" s="11"/>
    </row>
    <row r="9158" spans="8:20" x14ac:dyDescent="0.35">
      <c r="H9158" s="711"/>
      <c r="I9158" s="711"/>
      <c r="J9158" s="711"/>
      <c r="K9158" s="711"/>
      <c r="L9158" s="711"/>
      <c r="Q9158" s="11"/>
      <c r="R9158" s="11"/>
      <c r="S9158" s="11"/>
      <c r="T9158" s="11"/>
    </row>
    <row r="9159" spans="8:20" x14ac:dyDescent="0.35">
      <c r="H9159" s="711"/>
      <c r="I9159" s="711"/>
      <c r="J9159" s="711"/>
      <c r="K9159" s="711"/>
      <c r="L9159" s="711"/>
      <c r="Q9159" s="11"/>
      <c r="R9159" s="11"/>
      <c r="S9159" s="11"/>
      <c r="T9159" s="11"/>
    </row>
    <row r="9160" spans="8:20" x14ac:dyDescent="0.35">
      <c r="H9160" s="711"/>
      <c r="I9160" s="711"/>
      <c r="J9160" s="711"/>
      <c r="K9160" s="711"/>
      <c r="L9160" s="711"/>
      <c r="Q9160" s="11"/>
      <c r="R9160" s="11"/>
      <c r="S9160" s="11"/>
      <c r="T9160" s="11"/>
    </row>
    <row r="9161" spans="8:20" x14ac:dyDescent="0.35">
      <c r="H9161" s="711"/>
      <c r="I9161" s="711"/>
      <c r="J9161" s="711"/>
      <c r="K9161" s="711"/>
      <c r="L9161" s="711"/>
      <c r="Q9161" s="11"/>
      <c r="R9161" s="11"/>
      <c r="S9161" s="11"/>
      <c r="T9161" s="11"/>
    </row>
    <row r="9162" spans="8:20" x14ac:dyDescent="0.35">
      <c r="H9162" s="711"/>
      <c r="I9162" s="711"/>
      <c r="J9162" s="711"/>
      <c r="K9162" s="711"/>
      <c r="L9162" s="711"/>
      <c r="Q9162" s="11"/>
      <c r="R9162" s="11"/>
      <c r="S9162" s="11"/>
      <c r="T9162" s="11"/>
    </row>
    <row r="9163" spans="8:20" x14ac:dyDescent="0.35">
      <c r="H9163" s="711"/>
      <c r="I9163" s="711"/>
      <c r="J9163" s="711"/>
      <c r="K9163" s="711"/>
      <c r="L9163" s="711"/>
      <c r="Q9163" s="11"/>
      <c r="R9163" s="11"/>
      <c r="S9163" s="11"/>
      <c r="T9163" s="11"/>
    </row>
    <row r="9164" spans="8:20" x14ac:dyDescent="0.35">
      <c r="H9164" s="711"/>
      <c r="I9164" s="711"/>
      <c r="J9164" s="711"/>
      <c r="K9164" s="711"/>
      <c r="L9164" s="711"/>
      <c r="Q9164" s="11"/>
      <c r="R9164" s="11"/>
      <c r="S9164" s="11"/>
      <c r="T9164" s="11"/>
    </row>
    <row r="9165" spans="8:20" x14ac:dyDescent="0.35">
      <c r="H9165" s="711"/>
      <c r="I9165" s="711"/>
      <c r="J9165" s="711"/>
      <c r="K9165" s="711"/>
      <c r="L9165" s="711"/>
      <c r="Q9165" s="11"/>
      <c r="R9165" s="11"/>
      <c r="S9165" s="11"/>
      <c r="T9165" s="11"/>
    </row>
    <row r="9166" spans="8:20" x14ac:dyDescent="0.35">
      <c r="H9166" s="711"/>
      <c r="I9166" s="711"/>
      <c r="J9166" s="711"/>
      <c r="K9166" s="711"/>
      <c r="L9166" s="711"/>
      <c r="Q9166" s="11"/>
      <c r="R9166" s="11"/>
      <c r="S9166" s="11"/>
      <c r="T9166" s="11"/>
    </row>
    <row r="9167" spans="8:20" x14ac:dyDescent="0.35">
      <c r="H9167" s="711"/>
      <c r="I9167" s="711"/>
      <c r="J9167" s="711"/>
      <c r="K9167" s="711"/>
      <c r="L9167" s="711"/>
      <c r="Q9167" s="11"/>
      <c r="R9167" s="11"/>
      <c r="S9167" s="11"/>
      <c r="T9167" s="11"/>
    </row>
    <row r="9168" spans="8:20" x14ac:dyDescent="0.35">
      <c r="H9168" s="711"/>
      <c r="I9168" s="711"/>
      <c r="J9168" s="711"/>
      <c r="K9168" s="711"/>
      <c r="L9168" s="711"/>
      <c r="Q9168" s="11"/>
      <c r="R9168" s="11"/>
      <c r="S9168" s="11"/>
      <c r="T9168" s="11"/>
    </row>
    <row r="9169" spans="8:20" x14ac:dyDescent="0.35">
      <c r="H9169" s="711"/>
      <c r="I9169" s="711"/>
      <c r="J9169" s="711"/>
      <c r="K9169" s="711"/>
      <c r="L9169" s="711"/>
      <c r="Q9169" s="11"/>
      <c r="R9169" s="11"/>
      <c r="S9169" s="11"/>
      <c r="T9169" s="11"/>
    </row>
    <row r="9170" spans="8:20" x14ac:dyDescent="0.35">
      <c r="H9170" s="711"/>
      <c r="I9170" s="711"/>
      <c r="J9170" s="711"/>
      <c r="K9170" s="711"/>
      <c r="L9170" s="711"/>
      <c r="Q9170" s="11"/>
      <c r="R9170" s="11"/>
      <c r="S9170" s="11"/>
      <c r="T9170" s="11"/>
    </row>
    <row r="9171" spans="8:20" x14ac:dyDescent="0.35">
      <c r="H9171" s="711"/>
      <c r="I9171" s="711"/>
      <c r="J9171" s="711"/>
      <c r="K9171" s="711"/>
      <c r="L9171" s="711"/>
      <c r="Q9171" s="11"/>
      <c r="R9171" s="11"/>
      <c r="S9171" s="11"/>
      <c r="T9171" s="11"/>
    </row>
    <row r="9172" spans="8:20" x14ac:dyDescent="0.35">
      <c r="H9172" s="711"/>
      <c r="I9172" s="711"/>
      <c r="J9172" s="711"/>
      <c r="K9172" s="711"/>
      <c r="L9172" s="711"/>
      <c r="Q9172" s="11"/>
      <c r="R9172" s="11"/>
      <c r="S9172" s="11"/>
      <c r="T9172" s="11"/>
    </row>
    <row r="9173" spans="8:20" x14ac:dyDescent="0.35">
      <c r="H9173" s="711"/>
      <c r="I9173" s="711"/>
      <c r="J9173" s="711"/>
      <c r="K9173" s="711"/>
      <c r="L9173" s="711"/>
      <c r="Q9173" s="11"/>
      <c r="R9173" s="11"/>
      <c r="S9173" s="11"/>
      <c r="T9173" s="11"/>
    </row>
    <row r="9174" spans="8:20" x14ac:dyDescent="0.35">
      <c r="H9174" s="711"/>
      <c r="I9174" s="711"/>
      <c r="J9174" s="711"/>
      <c r="K9174" s="711"/>
      <c r="L9174" s="711"/>
      <c r="Q9174" s="11"/>
      <c r="R9174" s="11"/>
      <c r="S9174" s="11"/>
      <c r="T9174" s="11"/>
    </row>
    <row r="9175" spans="8:20" x14ac:dyDescent="0.35">
      <c r="H9175" s="711"/>
      <c r="I9175" s="711"/>
      <c r="J9175" s="711"/>
      <c r="K9175" s="711"/>
      <c r="L9175" s="711"/>
      <c r="Q9175" s="11"/>
      <c r="R9175" s="11"/>
      <c r="S9175" s="11"/>
      <c r="T9175" s="11"/>
    </row>
    <row r="9176" spans="8:20" x14ac:dyDescent="0.35">
      <c r="H9176" s="711"/>
      <c r="I9176" s="711"/>
      <c r="J9176" s="711"/>
      <c r="K9176" s="711"/>
      <c r="L9176" s="711"/>
      <c r="Q9176" s="11"/>
      <c r="R9176" s="11"/>
      <c r="S9176" s="11"/>
      <c r="T9176" s="11"/>
    </row>
    <row r="9177" spans="8:20" x14ac:dyDescent="0.35">
      <c r="H9177" s="711"/>
      <c r="I9177" s="711"/>
      <c r="J9177" s="711"/>
      <c r="K9177" s="711"/>
      <c r="L9177" s="711"/>
      <c r="Q9177" s="11"/>
      <c r="R9177" s="11"/>
      <c r="S9177" s="11"/>
      <c r="T9177" s="11"/>
    </row>
    <row r="9178" spans="8:20" x14ac:dyDescent="0.35">
      <c r="H9178" s="711"/>
      <c r="I9178" s="711"/>
      <c r="J9178" s="711"/>
      <c r="K9178" s="711"/>
      <c r="L9178" s="711"/>
      <c r="Q9178" s="11"/>
      <c r="R9178" s="11"/>
      <c r="S9178" s="11"/>
      <c r="T9178" s="11"/>
    </row>
    <row r="9179" spans="8:20" x14ac:dyDescent="0.35">
      <c r="H9179" s="711"/>
      <c r="I9179" s="711"/>
      <c r="J9179" s="711"/>
      <c r="K9179" s="711"/>
      <c r="L9179" s="711"/>
      <c r="Q9179" s="11"/>
      <c r="R9179" s="11"/>
      <c r="S9179" s="11"/>
      <c r="T9179" s="11"/>
    </row>
    <row r="9180" spans="8:20" x14ac:dyDescent="0.35">
      <c r="H9180" s="711"/>
      <c r="I9180" s="711"/>
      <c r="J9180" s="711"/>
      <c r="K9180" s="711"/>
      <c r="L9180" s="711"/>
      <c r="Q9180" s="11"/>
      <c r="R9180" s="11"/>
      <c r="S9180" s="11"/>
      <c r="T9180" s="11"/>
    </row>
    <row r="9181" spans="8:20" x14ac:dyDescent="0.35">
      <c r="H9181" s="711"/>
      <c r="I9181" s="711"/>
      <c r="J9181" s="711"/>
      <c r="K9181" s="711"/>
      <c r="L9181" s="711"/>
      <c r="Q9181" s="11"/>
      <c r="R9181" s="11"/>
      <c r="S9181" s="11"/>
      <c r="T9181" s="11"/>
    </row>
    <row r="9182" spans="8:20" x14ac:dyDescent="0.35">
      <c r="H9182" s="711"/>
      <c r="I9182" s="711"/>
      <c r="J9182" s="711"/>
      <c r="K9182" s="711"/>
      <c r="L9182" s="711"/>
      <c r="Q9182" s="11"/>
      <c r="R9182" s="11"/>
      <c r="S9182" s="11"/>
      <c r="T9182" s="11"/>
    </row>
    <row r="9183" spans="8:20" x14ac:dyDescent="0.35">
      <c r="H9183" s="711"/>
      <c r="I9183" s="711"/>
      <c r="J9183" s="711"/>
      <c r="K9183" s="711"/>
      <c r="L9183" s="711"/>
      <c r="Q9183" s="11"/>
      <c r="R9183" s="11"/>
      <c r="S9183" s="11"/>
      <c r="T9183" s="11"/>
    </row>
    <row r="9184" spans="8:20" x14ac:dyDescent="0.35">
      <c r="H9184" s="711"/>
      <c r="I9184" s="711"/>
      <c r="J9184" s="711"/>
      <c r="K9184" s="711"/>
      <c r="L9184" s="711"/>
      <c r="Q9184" s="11"/>
      <c r="R9184" s="11"/>
      <c r="S9184" s="11"/>
      <c r="T9184" s="11"/>
    </row>
    <row r="9185" spans="8:20" x14ac:dyDescent="0.35">
      <c r="H9185" s="711"/>
      <c r="I9185" s="711"/>
      <c r="J9185" s="711"/>
      <c r="K9185" s="711"/>
      <c r="L9185" s="711"/>
      <c r="Q9185" s="11"/>
      <c r="R9185" s="11"/>
      <c r="S9185" s="11"/>
      <c r="T9185" s="11"/>
    </row>
    <row r="9186" spans="8:20" x14ac:dyDescent="0.35">
      <c r="H9186" s="711"/>
      <c r="I9186" s="711"/>
      <c r="J9186" s="711"/>
      <c r="K9186" s="711"/>
      <c r="L9186" s="711"/>
      <c r="Q9186" s="11"/>
      <c r="R9186" s="11"/>
      <c r="S9186" s="11"/>
      <c r="T9186" s="11"/>
    </row>
    <row r="9187" spans="8:20" x14ac:dyDescent="0.35">
      <c r="H9187" s="711"/>
      <c r="I9187" s="711"/>
      <c r="J9187" s="711"/>
      <c r="K9187" s="711"/>
      <c r="L9187" s="711"/>
      <c r="Q9187" s="11"/>
      <c r="R9187" s="11"/>
      <c r="S9187" s="11"/>
      <c r="T9187" s="11"/>
    </row>
    <row r="9188" spans="8:20" x14ac:dyDescent="0.35">
      <c r="H9188" s="711"/>
      <c r="I9188" s="711"/>
      <c r="J9188" s="711"/>
      <c r="K9188" s="711"/>
      <c r="L9188" s="711"/>
      <c r="Q9188" s="11"/>
      <c r="R9188" s="11"/>
      <c r="S9188" s="11"/>
      <c r="T9188" s="11"/>
    </row>
    <row r="9189" spans="8:20" x14ac:dyDescent="0.35">
      <c r="H9189" s="711"/>
      <c r="I9189" s="711"/>
      <c r="J9189" s="711"/>
      <c r="K9189" s="711"/>
      <c r="L9189" s="711"/>
      <c r="Q9189" s="11"/>
      <c r="R9189" s="11"/>
      <c r="S9189" s="11"/>
      <c r="T9189" s="11"/>
    </row>
    <row r="9190" spans="8:20" x14ac:dyDescent="0.35">
      <c r="H9190" s="711"/>
      <c r="I9190" s="711"/>
      <c r="J9190" s="711"/>
      <c r="K9190" s="711"/>
      <c r="L9190" s="711"/>
      <c r="Q9190" s="11"/>
      <c r="R9190" s="11"/>
      <c r="S9190" s="11"/>
      <c r="T9190" s="11"/>
    </row>
    <row r="9191" spans="8:20" x14ac:dyDescent="0.35">
      <c r="H9191" s="711"/>
      <c r="I9191" s="711"/>
      <c r="J9191" s="711"/>
      <c r="K9191" s="711"/>
      <c r="L9191" s="711"/>
      <c r="Q9191" s="11"/>
      <c r="R9191" s="11"/>
      <c r="S9191" s="11"/>
      <c r="T9191" s="11"/>
    </row>
    <row r="9192" spans="8:20" x14ac:dyDescent="0.35">
      <c r="H9192" s="711"/>
      <c r="I9192" s="711"/>
      <c r="J9192" s="711"/>
      <c r="K9192" s="711"/>
      <c r="L9192" s="711"/>
      <c r="Q9192" s="11"/>
      <c r="R9192" s="11"/>
      <c r="S9192" s="11"/>
      <c r="T9192" s="11"/>
    </row>
    <row r="9193" spans="8:20" x14ac:dyDescent="0.35">
      <c r="H9193" s="711"/>
      <c r="I9193" s="711"/>
      <c r="J9193" s="711"/>
      <c r="K9193" s="711"/>
      <c r="L9193" s="711"/>
      <c r="Q9193" s="11"/>
      <c r="R9193" s="11"/>
      <c r="S9193" s="11"/>
      <c r="T9193" s="11"/>
    </row>
    <row r="9194" spans="8:20" x14ac:dyDescent="0.35">
      <c r="H9194" s="711"/>
      <c r="I9194" s="711"/>
      <c r="J9194" s="711"/>
      <c r="K9194" s="711"/>
      <c r="L9194" s="711"/>
      <c r="Q9194" s="11"/>
      <c r="R9194" s="11"/>
      <c r="S9194" s="11"/>
      <c r="T9194" s="11"/>
    </row>
    <row r="9195" spans="8:20" x14ac:dyDescent="0.35">
      <c r="H9195" s="711"/>
      <c r="I9195" s="711"/>
      <c r="J9195" s="711"/>
      <c r="K9195" s="711"/>
      <c r="L9195" s="711"/>
      <c r="Q9195" s="11"/>
      <c r="R9195" s="11"/>
      <c r="S9195" s="11"/>
      <c r="T9195" s="11"/>
    </row>
    <row r="9196" spans="8:20" x14ac:dyDescent="0.35">
      <c r="H9196" s="711"/>
      <c r="I9196" s="711"/>
      <c r="J9196" s="711"/>
      <c r="K9196" s="711"/>
      <c r="L9196" s="711"/>
      <c r="Q9196" s="11"/>
      <c r="R9196" s="11"/>
      <c r="S9196" s="11"/>
      <c r="T9196" s="11"/>
    </row>
    <row r="9197" spans="8:20" x14ac:dyDescent="0.35">
      <c r="H9197" s="711"/>
      <c r="I9197" s="711"/>
      <c r="J9197" s="711"/>
      <c r="K9197" s="711"/>
      <c r="L9197" s="711"/>
      <c r="Q9197" s="11"/>
      <c r="R9197" s="11"/>
      <c r="S9197" s="11"/>
      <c r="T9197" s="11"/>
    </row>
    <row r="9198" spans="8:20" x14ac:dyDescent="0.35">
      <c r="H9198" s="711"/>
      <c r="I9198" s="711"/>
      <c r="J9198" s="711"/>
      <c r="K9198" s="711"/>
      <c r="L9198" s="711"/>
      <c r="Q9198" s="11"/>
      <c r="R9198" s="11"/>
      <c r="S9198" s="11"/>
      <c r="T9198" s="11"/>
    </row>
    <row r="9199" spans="8:20" x14ac:dyDescent="0.35">
      <c r="H9199" s="711"/>
      <c r="I9199" s="711"/>
      <c r="J9199" s="711"/>
      <c r="K9199" s="711"/>
      <c r="L9199" s="711"/>
      <c r="Q9199" s="11"/>
      <c r="R9199" s="11"/>
      <c r="S9199" s="11"/>
      <c r="T9199" s="11"/>
    </row>
    <row r="9200" spans="8:20" x14ac:dyDescent="0.35">
      <c r="H9200" s="711"/>
      <c r="I9200" s="711"/>
      <c r="J9200" s="711"/>
      <c r="K9200" s="711"/>
      <c r="L9200" s="711"/>
      <c r="Q9200" s="11"/>
      <c r="R9200" s="11"/>
      <c r="S9200" s="11"/>
      <c r="T9200" s="11"/>
    </row>
    <row r="9201" spans="8:20" x14ac:dyDescent="0.35">
      <c r="H9201" s="711"/>
      <c r="I9201" s="711"/>
      <c r="J9201" s="711"/>
      <c r="K9201" s="711"/>
      <c r="L9201" s="711"/>
      <c r="Q9201" s="11"/>
      <c r="R9201" s="11"/>
      <c r="S9201" s="11"/>
      <c r="T9201" s="11"/>
    </row>
    <row r="9202" spans="8:20" x14ac:dyDescent="0.35">
      <c r="H9202" s="711"/>
      <c r="I9202" s="711"/>
      <c r="J9202" s="711"/>
      <c r="K9202" s="711"/>
      <c r="L9202" s="711"/>
      <c r="Q9202" s="11"/>
      <c r="R9202" s="11"/>
      <c r="S9202" s="11"/>
      <c r="T9202" s="11"/>
    </row>
    <row r="9203" spans="8:20" x14ac:dyDescent="0.35">
      <c r="H9203" s="711"/>
      <c r="I9203" s="711"/>
      <c r="J9203" s="711"/>
      <c r="K9203" s="711"/>
      <c r="L9203" s="711"/>
      <c r="Q9203" s="11"/>
      <c r="R9203" s="11"/>
      <c r="S9203" s="11"/>
      <c r="T9203" s="11"/>
    </row>
    <row r="9204" spans="8:20" x14ac:dyDescent="0.35">
      <c r="H9204" s="711"/>
      <c r="I9204" s="711"/>
      <c r="J9204" s="711"/>
      <c r="K9204" s="711"/>
      <c r="L9204" s="711"/>
      <c r="Q9204" s="11"/>
      <c r="R9204" s="11"/>
      <c r="S9204" s="11"/>
      <c r="T9204" s="11"/>
    </row>
    <row r="9205" spans="8:20" x14ac:dyDescent="0.35">
      <c r="H9205" s="711"/>
      <c r="I9205" s="711"/>
      <c r="J9205" s="711"/>
      <c r="K9205" s="711"/>
      <c r="L9205" s="711"/>
      <c r="Q9205" s="11"/>
      <c r="R9205" s="11"/>
      <c r="S9205" s="11"/>
      <c r="T9205" s="11"/>
    </row>
    <row r="9206" spans="8:20" x14ac:dyDescent="0.35">
      <c r="H9206" s="711"/>
      <c r="I9206" s="711"/>
      <c r="J9206" s="711"/>
      <c r="K9206" s="711"/>
      <c r="L9206" s="711"/>
      <c r="Q9206" s="11"/>
      <c r="R9206" s="11"/>
      <c r="S9206" s="11"/>
      <c r="T9206" s="11"/>
    </row>
    <row r="9207" spans="8:20" x14ac:dyDescent="0.35">
      <c r="H9207" s="711"/>
      <c r="I9207" s="711"/>
      <c r="J9207" s="711"/>
      <c r="K9207" s="711"/>
      <c r="L9207" s="711"/>
      <c r="Q9207" s="11"/>
      <c r="R9207" s="11"/>
      <c r="S9207" s="11"/>
      <c r="T9207" s="11"/>
    </row>
    <row r="9208" spans="8:20" x14ac:dyDescent="0.35">
      <c r="H9208" s="711"/>
      <c r="I9208" s="711"/>
      <c r="J9208" s="711"/>
      <c r="K9208" s="711"/>
      <c r="L9208" s="711"/>
      <c r="Q9208" s="11"/>
      <c r="R9208" s="11"/>
      <c r="S9208" s="11"/>
      <c r="T9208" s="11"/>
    </row>
    <row r="9209" spans="8:20" x14ac:dyDescent="0.35">
      <c r="H9209" s="711"/>
      <c r="I9209" s="711"/>
      <c r="J9209" s="711"/>
      <c r="K9209" s="711"/>
      <c r="L9209" s="711"/>
      <c r="Q9209" s="11"/>
      <c r="R9209" s="11"/>
      <c r="S9209" s="11"/>
      <c r="T9209" s="11"/>
    </row>
    <row r="9210" spans="8:20" x14ac:dyDescent="0.35">
      <c r="H9210" s="711"/>
      <c r="I9210" s="711"/>
      <c r="J9210" s="711"/>
      <c r="K9210" s="711"/>
      <c r="L9210" s="711"/>
      <c r="Q9210" s="11"/>
      <c r="R9210" s="11"/>
      <c r="S9210" s="11"/>
      <c r="T9210" s="11"/>
    </row>
    <row r="9211" spans="8:20" x14ac:dyDescent="0.35">
      <c r="H9211" s="711"/>
      <c r="I9211" s="711"/>
      <c r="J9211" s="711"/>
      <c r="K9211" s="711"/>
      <c r="L9211" s="711"/>
      <c r="Q9211" s="11"/>
      <c r="R9211" s="11"/>
      <c r="S9211" s="11"/>
      <c r="T9211" s="11"/>
    </row>
    <row r="9212" spans="8:20" x14ac:dyDescent="0.35">
      <c r="H9212" s="711"/>
      <c r="I9212" s="711"/>
      <c r="J9212" s="711"/>
      <c r="K9212" s="711"/>
      <c r="L9212" s="711"/>
      <c r="Q9212" s="11"/>
      <c r="R9212" s="11"/>
      <c r="S9212" s="11"/>
      <c r="T9212" s="11"/>
    </row>
    <row r="9213" spans="8:20" x14ac:dyDescent="0.35">
      <c r="H9213" s="711"/>
      <c r="I9213" s="711"/>
      <c r="J9213" s="711"/>
      <c r="K9213" s="711"/>
      <c r="L9213" s="711"/>
      <c r="Q9213" s="11"/>
      <c r="R9213" s="11"/>
      <c r="S9213" s="11"/>
      <c r="T9213" s="11"/>
    </row>
    <row r="9214" spans="8:20" x14ac:dyDescent="0.35">
      <c r="H9214" s="711"/>
      <c r="I9214" s="711"/>
      <c r="J9214" s="711"/>
      <c r="K9214" s="711"/>
      <c r="L9214" s="711"/>
      <c r="Q9214" s="11"/>
      <c r="R9214" s="11"/>
      <c r="S9214" s="11"/>
      <c r="T9214" s="11"/>
    </row>
    <row r="9215" spans="8:20" x14ac:dyDescent="0.35">
      <c r="H9215" s="711"/>
      <c r="I9215" s="711"/>
      <c r="J9215" s="711"/>
      <c r="K9215" s="711"/>
      <c r="L9215" s="711"/>
      <c r="Q9215" s="11"/>
      <c r="R9215" s="11"/>
      <c r="S9215" s="11"/>
      <c r="T9215" s="11"/>
    </row>
    <row r="9216" spans="8:20" x14ac:dyDescent="0.35">
      <c r="H9216" s="711"/>
      <c r="I9216" s="711"/>
      <c r="J9216" s="711"/>
      <c r="K9216" s="711"/>
      <c r="L9216" s="711"/>
      <c r="Q9216" s="11"/>
      <c r="R9216" s="11"/>
      <c r="S9216" s="11"/>
      <c r="T9216" s="11"/>
    </row>
    <row r="9217" spans="8:20" x14ac:dyDescent="0.35">
      <c r="H9217" s="711"/>
      <c r="I9217" s="711"/>
      <c r="J9217" s="711"/>
      <c r="K9217" s="711"/>
      <c r="L9217" s="711"/>
      <c r="Q9217" s="11"/>
      <c r="R9217" s="11"/>
      <c r="S9217" s="11"/>
      <c r="T9217" s="11"/>
    </row>
    <row r="9218" spans="8:20" x14ac:dyDescent="0.35">
      <c r="H9218" s="711"/>
      <c r="I9218" s="711"/>
      <c r="J9218" s="711"/>
      <c r="K9218" s="711"/>
      <c r="L9218" s="711"/>
      <c r="Q9218" s="11"/>
      <c r="R9218" s="11"/>
      <c r="S9218" s="11"/>
      <c r="T9218" s="11"/>
    </row>
    <row r="9219" spans="8:20" x14ac:dyDescent="0.35">
      <c r="H9219" s="711"/>
      <c r="I9219" s="711"/>
      <c r="J9219" s="711"/>
      <c r="K9219" s="711"/>
      <c r="L9219" s="711"/>
      <c r="Q9219" s="11"/>
      <c r="R9219" s="11"/>
      <c r="S9219" s="11"/>
      <c r="T9219" s="11"/>
    </row>
    <row r="9220" spans="8:20" x14ac:dyDescent="0.35">
      <c r="H9220" s="711"/>
      <c r="I9220" s="711"/>
      <c r="J9220" s="711"/>
      <c r="K9220" s="711"/>
      <c r="L9220" s="711"/>
      <c r="Q9220" s="11"/>
      <c r="R9220" s="11"/>
      <c r="S9220" s="11"/>
      <c r="T9220" s="11"/>
    </row>
    <row r="9221" spans="8:20" x14ac:dyDescent="0.35">
      <c r="H9221" s="711"/>
      <c r="I9221" s="711"/>
      <c r="J9221" s="711"/>
      <c r="K9221" s="711"/>
      <c r="L9221" s="711"/>
      <c r="Q9221" s="11"/>
      <c r="R9221" s="11"/>
      <c r="S9221" s="11"/>
      <c r="T9221" s="11"/>
    </row>
    <row r="9222" spans="8:20" x14ac:dyDescent="0.35">
      <c r="H9222" s="711"/>
      <c r="I9222" s="711"/>
      <c r="J9222" s="711"/>
      <c r="K9222" s="711"/>
      <c r="L9222" s="711"/>
      <c r="Q9222" s="11"/>
      <c r="R9222" s="11"/>
      <c r="S9222" s="11"/>
      <c r="T9222" s="11"/>
    </row>
    <row r="9223" spans="8:20" x14ac:dyDescent="0.35">
      <c r="H9223" s="711"/>
      <c r="I9223" s="711"/>
      <c r="J9223" s="711"/>
      <c r="K9223" s="711"/>
      <c r="L9223" s="711"/>
      <c r="Q9223" s="11"/>
      <c r="R9223" s="11"/>
      <c r="S9223" s="11"/>
      <c r="T9223" s="11"/>
    </row>
    <row r="9224" spans="8:20" x14ac:dyDescent="0.35">
      <c r="H9224" s="711"/>
      <c r="I9224" s="711"/>
      <c r="J9224" s="711"/>
      <c r="K9224" s="711"/>
      <c r="L9224" s="711"/>
      <c r="Q9224" s="11"/>
      <c r="R9224" s="11"/>
      <c r="S9224" s="11"/>
      <c r="T9224" s="11"/>
    </row>
    <row r="9225" spans="8:20" x14ac:dyDescent="0.35">
      <c r="H9225" s="711"/>
      <c r="I9225" s="711"/>
      <c r="J9225" s="711"/>
      <c r="K9225" s="711"/>
      <c r="L9225" s="711"/>
      <c r="Q9225" s="11"/>
      <c r="R9225" s="11"/>
      <c r="S9225" s="11"/>
      <c r="T9225" s="11"/>
    </row>
    <row r="9226" spans="8:20" x14ac:dyDescent="0.35">
      <c r="H9226" s="711"/>
      <c r="I9226" s="711"/>
      <c r="J9226" s="711"/>
      <c r="K9226" s="711"/>
      <c r="L9226" s="711"/>
      <c r="Q9226" s="11"/>
      <c r="R9226" s="11"/>
      <c r="S9226" s="11"/>
      <c r="T9226" s="11"/>
    </row>
    <row r="9227" spans="8:20" x14ac:dyDescent="0.35">
      <c r="H9227" s="711"/>
      <c r="I9227" s="711"/>
      <c r="J9227" s="711"/>
      <c r="K9227" s="711"/>
      <c r="L9227" s="711"/>
      <c r="Q9227" s="11"/>
      <c r="R9227" s="11"/>
      <c r="S9227" s="11"/>
      <c r="T9227" s="11"/>
    </row>
    <row r="9228" spans="8:20" x14ac:dyDescent="0.35">
      <c r="H9228" s="711"/>
      <c r="I9228" s="711"/>
      <c r="J9228" s="711"/>
      <c r="K9228" s="711"/>
      <c r="L9228" s="711"/>
      <c r="Q9228" s="11"/>
      <c r="R9228" s="11"/>
      <c r="S9228" s="11"/>
      <c r="T9228" s="11"/>
    </row>
    <row r="9229" spans="8:20" x14ac:dyDescent="0.35">
      <c r="H9229" s="711"/>
      <c r="I9229" s="711"/>
      <c r="J9229" s="711"/>
      <c r="K9229" s="711"/>
      <c r="L9229" s="711"/>
      <c r="Q9229" s="11"/>
      <c r="R9229" s="11"/>
      <c r="S9229" s="11"/>
      <c r="T9229" s="11"/>
    </row>
    <row r="9230" spans="8:20" x14ac:dyDescent="0.35">
      <c r="H9230" s="711"/>
      <c r="I9230" s="711"/>
      <c r="J9230" s="711"/>
      <c r="K9230" s="711"/>
      <c r="L9230" s="711"/>
      <c r="Q9230" s="11"/>
      <c r="R9230" s="11"/>
      <c r="S9230" s="11"/>
      <c r="T9230" s="11"/>
    </row>
    <row r="9231" spans="8:20" x14ac:dyDescent="0.35">
      <c r="H9231" s="711"/>
      <c r="I9231" s="711"/>
      <c r="J9231" s="711"/>
      <c r="K9231" s="711"/>
      <c r="L9231" s="711"/>
      <c r="Q9231" s="11"/>
      <c r="R9231" s="11"/>
      <c r="S9231" s="11"/>
      <c r="T9231" s="11"/>
    </row>
    <row r="9232" spans="8:20" x14ac:dyDescent="0.35">
      <c r="H9232" s="711"/>
      <c r="I9232" s="711"/>
      <c r="J9232" s="711"/>
      <c r="K9232" s="711"/>
      <c r="L9232" s="711"/>
      <c r="Q9232" s="11"/>
      <c r="R9232" s="11"/>
      <c r="S9232" s="11"/>
      <c r="T9232" s="11"/>
    </row>
    <row r="9233" spans="8:20" x14ac:dyDescent="0.35">
      <c r="H9233" s="711"/>
      <c r="I9233" s="711"/>
      <c r="J9233" s="711"/>
      <c r="K9233" s="711"/>
      <c r="L9233" s="711"/>
      <c r="Q9233" s="11"/>
      <c r="R9233" s="11"/>
      <c r="S9233" s="11"/>
      <c r="T9233" s="11"/>
    </row>
    <row r="9234" spans="8:20" x14ac:dyDescent="0.35">
      <c r="H9234" s="711"/>
      <c r="I9234" s="711"/>
      <c r="J9234" s="711"/>
      <c r="K9234" s="711"/>
      <c r="L9234" s="711"/>
      <c r="Q9234" s="11"/>
      <c r="R9234" s="11"/>
      <c r="S9234" s="11"/>
      <c r="T9234" s="11"/>
    </row>
    <row r="9235" spans="8:20" x14ac:dyDescent="0.35">
      <c r="H9235" s="711"/>
      <c r="I9235" s="711"/>
      <c r="J9235" s="711"/>
      <c r="K9235" s="711"/>
      <c r="L9235" s="711"/>
      <c r="Q9235" s="11"/>
      <c r="R9235" s="11"/>
      <c r="S9235" s="11"/>
      <c r="T9235" s="11"/>
    </row>
    <row r="9236" spans="8:20" x14ac:dyDescent="0.35">
      <c r="H9236" s="711"/>
      <c r="I9236" s="711"/>
      <c r="J9236" s="711"/>
      <c r="K9236" s="711"/>
      <c r="L9236" s="711"/>
      <c r="Q9236" s="11"/>
      <c r="R9236" s="11"/>
      <c r="S9236" s="11"/>
      <c r="T9236" s="11"/>
    </row>
    <row r="9237" spans="8:20" x14ac:dyDescent="0.35">
      <c r="H9237" s="711"/>
      <c r="I9237" s="711"/>
      <c r="J9237" s="711"/>
      <c r="K9237" s="711"/>
      <c r="L9237" s="711"/>
      <c r="Q9237" s="11"/>
      <c r="R9237" s="11"/>
      <c r="S9237" s="11"/>
      <c r="T9237" s="11"/>
    </row>
    <row r="9238" spans="8:20" x14ac:dyDescent="0.35">
      <c r="H9238" s="711"/>
      <c r="I9238" s="711"/>
      <c r="J9238" s="711"/>
      <c r="K9238" s="711"/>
      <c r="L9238" s="711"/>
      <c r="Q9238" s="11"/>
      <c r="R9238" s="11"/>
      <c r="S9238" s="11"/>
      <c r="T9238" s="11"/>
    </row>
    <row r="9239" spans="8:20" x14ac:dyDescent="0.35">
      <c r="H9239" s="711"/>
      <c r="I9239" s="711"/>
      <c r="J9239" s="711"/>
      <c r="K9239" s="711"/>
      <c r="L9239" s="711"/>
      <c r="Q9239" s="11"/>
      <c r="R9239" s="11"/>
      <c r="S9239" s="11"/>
      <c r="T9239" s="11"/>
    </row>
    <row r="9240" spans="8:20" x14ac:dyDescent="0.35">
      <c r="H9240" s="711"/>
      <c r="I9240" s="711"/>
      <c r="J9240" s="711"/>
      <c r="K9240" s="711"/>
      <c r="L9240" s="711"/>
      <c r="Q9240" s="11"/>
      <c r="R9240" s="11"/>
      <c r="S9240" s="11"/>
      <c r="T9240" s="11"/>
    </row>
    <row r="9241" spans="8:20" x14ac:dyDescent="0.35">
      <c r="H9241" s="711"/>
      <c r="I9241" s="711"/>
      <c r="J9241" s="711"/>
      <c r="K9241" s="711"/>
      <c r="L9241" s="711"/>
      <c r="Q9241" s="11"/>
      <c r="R9241" s="11"/>
      <c r="S9241" s="11"/>
      <c r="T9241" s="11"/>
    </row>
    <row r="9242" spans="8:20" x14ac:dyDescent="0.35">
      <c r="H9242" s="711"/>
      <c r="I9242" s="711"/>
      <c r="J9242" s="711"/>
      <c r="K9242" s="711"/>
      <c r="L9242" s="711"/>
      <c r="Q9242" s="11"/>
      <c r="R9242" s="11"/>
      <c r="S9242" s="11"/>
      <c r="T9242" s="11"/>
    </row>
    <row r="9243" spans="8:20" x14ac:dyDescent="0.35">
      <c r="H9243" s="711"/>
      <c r="I9243" s="711"/>
      <c r="J9243" s="711"/>
      <c r="K9243" s="711"/>
      <c r="L9243" s="711"/>
      <c r="Q9243" s="11"/>
      <c r="R9243" s="11"/>
      <c r="S9243" s="11"/>
      <c r="T9243" s="11"/>
    </row>
    <row r="9244" spans="8:20" x14ac:dyDescent="0.35">
      <c r="H9244" s="711"/>
      <c r="I9244" s="711"/>
      <c r="J9244" s="711"/>
      <c r="K9244" s="711"/>
      <c r="L9244" s="711"/>
      <c r="Q9244" s="11"/>
      <c r="R9244" s="11"/>
      <c r="S9244" s="11"/>
      <c r="T9244" s="11"/>
    </row>
    <row r="9245" spans="8:20" x14ac:dyDescent="0.35">
      <c r="H9245" s="711"/>
      <c r="I9245" s="711"/>
      <c r="J9245" s="711"/>
      <c r="K9245" s="711"/>
      <c r="L9245" s="711"/>
      <c r="Q9245" s="11"/>
      <c r="R9245" s="11"/>
      <c r="S9245" s="11"/>
      <c r="T9245" s="11"/>
    </row>
    <row r="9246" spans="8:20" x14ac:dyDescent="0.35">
      <c r="H9246" s="711"/>
      <c r="I9246" s="711"/>
      <c r="J9246" s="711"/>
      <c r="K9246" s="711"/>
      <c r="L9246" s="711"/>
      <c r="Q9246" s="11"/>
      <c r="R9246" s="11"/>
      <c r="S9246" s="11"/>
      <c r="T9246" s="11"/>
    </row>
    <row r="9247" spans="8:20" x14ac:dyDescent="0.35">
      <c r="H9247" s="711"/>
      <c r="I9247" s="711"/>
      <c r="J9247" s="711"/>
      <c r="K9247" s="711"/>
      <c r="L9247" s="711"/>
      <c r="Q9247" s="11"/>
      <c r="R9247" s="11"/>
      <c r="S9247" s="11"/>
      <c r="T9247" s="11"/>
    </row>
    <row r="9248" spans="8:20" x14ac:dyDescent="0.35">
      <c r="H9248" s="711"/>
      <c r="I9248" s="711"/>
      <c r="J9248" s="711"/>
      <c r="K9248" s="711"/>
      <c r="L9248" s="711"/>
      <c r="Q9248" s="11"/>
      <c r="R9248" s="11"/>
      <c r="S9248" s="11"/>
      <c r="T9248" s="11"/>
    </row>
    <row r="9249" spans="8:20" x14ac:dyDescent="0.35">
      <c r="H9249" s="711"/>
      <c r="I9249" s="711"/>
      <c r="J9249" s="711"/>
      <c r="K9249" s="711"/>
      <c r="L9249" s="711"/>
      <c r="Q9249" s="11"/>
      <c r="R9249" s="11"/>
      <c r="S9249" s="11"/>
      <c r="T9249" s="11"/>
    </row>
    <row r="9250" spans="8:20" x14ac:dyDescent="0.35">
      <c r="H9250" s="711"/>
      <c r="I9250" s="711"/>
      <c r="J9250" s="711"/>
      <c r="K9250" s="711"/>
      <c r="L9250" s="711"/>
      <c r="Q9250" s="11"/>
      <c r="R9250" s="11"/>
      <c r="S9250" s="11"/>
      <c r="T9250" s="11"/>
    </row>
    <row r="9251" spans="8:20" x14ac:dyDescent="0.35">
      <c r="H9251" s="711"/>
      <c r="I9251" s="711"/>
      <c r="J9251" s="711"/>
      <c r="K9251" s="711"/>
      <c r="L9251" s="711"/>
      <c r="Q9251" s="11"/>
      <c r="R9251" s="11"/>
      <c r="S9251" s="11"/>
      <c r="T9251" s="11"/>
    </row>
    <row r="9252" spans="8:20" x14ac:dyDescent="0.35">
      <c r="H9252" s="711"/>
      <c r="I9252" s="711"/>
      <c r="J9252" s="711"/>
      <c r="K9252" s="711"/>
      <c r="L9252" s="711"/>
      <c r="Q9252" s="11"/>
      <c r="R9252" s="11"/>
      <c r="S9252" s="11"/>
      <c r="T9252" s="11"/>
    </row>
    <row r="9253" spans="8:20" x14ac:dyDescent="0.35">
      <c r="H9253" s="711"/>
      <c r="I9253" s="711"/>
      <c r="J9253" s="711"/>
      <c r="K9253" s="711"/>
      <c r="L9253" s="711"/>
      <c r="Q9253" s="11"/>
      <c r="R9253" s="11"/>
      <c r="S9253" s="11"/>
      <c r="T9253" s="11"/>
    </row>
    <row r="9254" spans="8:20" x14ac:dyDescent="0.35">
      <c r="H9254" s="711"/>
      <c r="I9254" s="711"/>
      <c r="J9254" s="711"/>
      <c r="K9254" s="711"/>
      <c r="L9254" s="711"/>
      <c r="Q9254" s="11"/>
      <c r="R9254" s="11"/>
      <c r="S9254" s="11"/>
      <c r="T9254" s="11"/>
    </row>
    <row r="9255" spans="8:20" x14ac:dyDescent="0.35">
      <c r="H9255" s="711"/>
      <c r="I9255" s="711"/>
      <c r="J9255" s="711"/>
      <c r="K9255" s="711"/>
      <c r="L9255" s="711"/>
      <c r="Q9255" s="11"/>
      <c r="R9255" s="11"/>
      <c r="S9255" s="11"/>
      <c r="T9255" s="11"/>
    </row>
    <row r="9256" spans="8:20" x14ac:dyDescent="0.35">
      <c r="H9256" s="711"/>
      <c r="I9256" s="711"/>
      <c r="J9256" s="711"/>
      <c r="K9256" s="711"/>
      <c r="L9256" s="711"/>
      <c r="Q9256" s="11"/>
      <c r="R9256" s="11"/>
      <c r="S9256" s="11"/>
      <c r="T9256" s="11"/>
    </row>
    <row r="9257" spans="8:20" x14ac:dyDescent="0.35">
      <c r="H9257" s="711"/>
      <c r="I9257" s="711"/>
      <c r="J9257" s="711"/>
      <c r="K9257" s="711"/>
      <c r="L9257" s="711"/>
      <c r="Q9257" s="11"/>
      <c r="R9257" s="11"/>
      <c r="S9257" s="11"/>
      <c r="T9257" s="11"/>
    </row>
    <row r="9258" spans="8:20" x14ac:dyDescent="0.35">
      <c r="H9258" s="711"/>
      <c r="I9258" s="711"/>
      <c r="J9258" s="711"/>
      <c r="K9258" s="711"/>
      <c r="L9258" s="711"/>
      <c r="Q9258" s="11"/>
      <c r="R9258" s="11"/>
      <c r="S9258" s="11"/>
      <c r="T9258" s="11"/>
    </row>
    <row r="9259" spans="8:20" x14ac:dyDescent="0.35">
      <c r="H9259" s="711"/>
      <c r="I9259" s="711"/>
      <c r="J9259" s="711"/>
      <c r="K9259" s="711"/>
      <c r="L9259" s="711"/>
      <c r="Q9259" s="11"/>
      <c r="R9259" s="11"/>
      <c r="S9259" s="11"/>
      <c r="T9259" s="11"/>
    </row>
    <row r="9260" spans="8:20" x14ac:dyDescent="0.35">
      <c r="H9260" s="711"/>
      <c r="I9260" s="711"/>
      <c r="J9260" s="711"/>
      <c r="K9260" s="711"/>
      <c r="L9260" s="711"/>
      <c r="Q9260" s="11"/>
      <c r="R9260" s="11"/>
      <c r="S9260" s="11"/>
      <c r="T9260" s="11"/>
    </row>
    <row r="9261" spans="8:20" x14ac:dyDescent="0.35">
      <c r="H9261" s="711"/>
      <c r="I9261" s="711"/>
      <c r="J9261" s="711"/>
      <c r="K9261" s="711"/>
      <c r="L9261" s="711"/>
      <c r="Q9261" s="11"/>
      <c r="R9261" s="11"/>
      <c r="S9261" s="11"/>
      <c r="T9261" s="11"/>
    </row>
    <row r="9262" spans="8:20" x14ac:dyDescent="0.35">
      <c r="H9262" s="711"/>
      <c r="I9262" s="711"/>
      <c r="J9262" s="711"/>
      <c r="K9262" s="711"/>
      <c r="L9262" s="711"/>
      <c r="Q9262" s="11"/>
      <c r="R9262" s="11"/>
      <c r="S9262" s="11"/>
      <c r="T9262" s="11"/>
    </row>
    <row r="9263" spans="8:20" x14ac:dyDescent="0.35">
      <c r="H9263" s="711"/>
      <c r="I9263" s="711"/>
      <c r="J9263" s="711"/>
      <c r="K9263" s="711"/>
      <c r="L9263" s="711"/>
      <c r="Q9263" s="11"/>
      <c r="R9263" s="11"/>
      <c r="S9263" s="11"/>
      <c r="T9263" s="11"/>
    </row>
    <row r="9264" spans="8:20" x14ac:dyDescent="0.35">
      <c r="H9264" s="711"/>
      <c r="I9264" s="711"/>
      <c r="J9264" s="711"/>
      <c r="K9264" s="711"/>
      <c r="L9264" s="711"/>
      <c r="Q9264" s="11"/>
      <c r="R9264" s="11"/>
      <c r="S9264" s="11"/>
      <c r="T9264" s="11"/>
    </row>
    <row r="9265" spans="8:20" x14ac:dyDescent="0.35">
      <c r="H9265" s="711"/>
      <c r="I9265" s="711"/>
      <c r="J9265" s="711"/>
      <c r="K9265" s="711"/>
      <c r="L9265" s="711"/>
      <c r="Q9265" s="11"/>
      <c r="R9265" s="11"/>
      <c r="S9265" s="11"/>
      <c r="T9265" s="11"/>
    </row>
    <row r="9266" spans="8:20" x14ac:dyDescent="0.35">
      <c r="H9266" s="711"/>
      <c r="I9266" s="711"/>
      <c r="J9266" s="711"/>
      <c r="K9266" s="711"/>
      <c r="L9266" s="711"/>
      <c r="Q9266" s="11"/>
      <c r="R9266" s="11"/>
      <c r="S9266" s="11"/>
      <c r="T9266" s="11"/>
    </row>
    <row r="9267" spans="8:20" x14ac:dyDescent="0.35">
      <c r="H9267" s="711"/>
      <c r="I9267" s="711"/>
      <c r="J9267" s="711"/>
      <c r="K9267" s="711"/>
      <c r="L9267" s="711"/>
      <c r="Q9267" s="11"/>
      <c r="R9267" s="11"/>
      <c r="S9267" s="11"/>
      <c r="T9267" s="11"/>
    </row>
    <row r="9268" spans="8:20" x14ac:dyDescent="0.35">
      <c r="H9268" s="711"/>
      <c r="I9268" s="711"/>
      <c r="J9268" s="711"/>
      <c r="K9268" s="711"/>
      <c r="L9268" s="711"/>
      <c r="Q9268" s="11"/>
      <c r="R9268" s="11"/>
      <c r="S9268" s="11"/>
      <c r="T9268" s="11"/>
    </row>
    <row r="9269" spans="8:20" x14ac:dyDescent="0.35">
      <c r="H9269" s="711"/>
      <c r="I9269" s="711"/>
      <c r="J9269" s="711"/>
      <c r="K9269" s="711"/>
      <c r="L9269" s="711"/>
      <c r="Q9269" s="11"/>
      <c r="R9269" s="11"/>
      <c r="S9269" s="11"/>
      <c r="T9269" s="11"/>
    </row>
    <row r="9270" spans="8:20" x14ac:dyDescent="0.35">
      <c r="H9270" s="711"/>
      <c r="I9270" s="711"/>
      <c r="J9270" s="711"/>
      <c r="K9270" s="711"/>
      <c r="L9270" s="711"/>
      <c r="Q9270" s="11"/>
      <c r="R9270" s="11"/>
      <c r="S9270" s="11"/>
      <c r="T9270" s="11"/>
    </row>
    <row r="9271" spans="8:20" x14ac:dyDescent="0.35">
      <c r="H9271" s="711"/>
      <c r="I9271" s="711"/>
      <c r="J9271" s="711"/>
      <c r="K9271" s="711"/>
      <c r="L9271" s="711"/>
      <c r="Q9271" s="11"/>
      <c r="R9271" s="11"/>
      <c r="S9271" s="11"/>
      <c r="T9271" s="11"/>
    </row>
    <row r="9272" spans="8:20" x14ac:dyDescent="0.35">
      <c r="H9272" s="711"/>
      <c r="I9272" s="711"/>
      <c r="J9272" s="711"/>
      <c r="K9272" s="711"/>
      <c r="L9272" s="711"/>
      <c r="Q9272" s="11"/>
      <c r="R9272" s="11"/>
      <c r="S9272" s="11"/>
      <c r="T9272" s="11"/>
    </row>
    <row r="9273" spans="8:20" x14ac:dyDescent="0.35">
      <c r="H9273" s="711"/>
      <c r="I9273" s="711"/>
      <c r="J9273" s="711"/>
      <c r="K9273" s="711"/>
      <c r="L9273" s="711"/>
      <c r="Q9273" s="11"/>
      <c r="R9273" s="11"/>
      <c r="S9273" s="11"/>
      <c r="T9273" s="11"/>
    </row>
    <row r="9274" spans="8:20" x14ac:dyDescent="0.35">
      <c r="H9274" s="711"/>
      <c r="I9274" s="711"/>
      <c r="J9274" s="711"/>
      <c r="K9274" s="711"/>
      <c r="L9274" s="711"/>
      <c r="Q9274" s="11"/>
      <c r="R9274" s="11"/>
      <c r="S9274" s="11"/>
      <c r="T9274" s="11"/>
    </row>
    <row r="9275" spans="8:20" x14ac:dyDescent="0.35">
      <c r="H9275" s="711"/>
      <c r="I9275" s="711"/>
      <c r="J9275" s="711"/>
      <c r="K9275" s="711"/>
      <c r="L9275" s="711"/>
      <c r="Q9275" s="11"/>
      <c r="R9275" s="11"/>
      <c r="S9275" s="11"/>
      <c r="T9275" s="11"/>
    </row>
    <row r="9276" spans="8:20" x14ac:dyDescent="0.35">
      <c r="H9276" s="711"/>
      <c r="I9276" s="711"/>
      <c r="J9276" s="711"/>
      <c r="K9276" s="711"/>
      <c r="L9276" s="711"/>
      <c r="Q9276" s="11"/>
      <c r="R9276" s="11"/>
      <c r="S9276" s="11"/>
      <c r="T9276" s="11"/>
    </row>
    <row r="9277" spans="8:20" x14ac:dyDescent="0.35">
      <c r="H9277" s="711"/>
      <c r="I9277" s="711"/>
      <c r="J9277" s="711"/>
      <c r="K9277" s="711"/>
      <c r="L9277" s="711"/>
      <c r="Q9277" s="11"/>
      <c r="R9277" s="11"/>
      <c r="S9277" s="11"/>
      <c r="T9277" s="11"/>
    </row>
    <row r="9278" spans="8:20" x14ac:dyDescent="0.35">
      <c r="H9278" s="711"/>
      <c r="I9278" s="711"/>
      <c r="J9278" s="711"/>
      <c r="K9278" s="711"/>
      <c r="L9278" s="711"/>
      <c r="Q9278" s="11"/>
      <c r="R9278" s="11"/>
      <c r="S9278" s="11"/>
      <c r="T9278" s="11"/>
    </row>
    <row r="9279" spans="8:20" x14ac:dyDescent="0.35">
      <c r="H9279" s="711"/>
      <c r="I9279" s="711"/>
      <c r="J9279" s="711"/>
      <c r="K9279" s="711"/>
      <c r="L9279" s="711"/>
      <c r="Q9279" s="11"/>
      <c r="R9279" s="11"/>
      <c r="S9279" s="11"/>
      <c r="T9279" s="11"/>
    </row>
    <row r="9280" spans="8:20" x14ac:dyDescent="0.35">
      <c r="H9280" s="711"/>
      <c r="I9280" s="711"/>
      <c r="J9280" s="711"/>
      <c r="K9280" s="711"/>
      <c r="L9280" s="711"/>
      <c r="Q9280" s="11"/>
      <c r="R9280" s="11"/>
      <c r="S9280" s="11"/>
      <c r="T9280" s="11"/>
    </row>
    <row r="9281" spans="8:20" x14ac:dyDescent="0.35">
      <c r="H9281" s="711"/>
      <c r="I9281" s="711"/>
      <c r="J9281" s="711"/>
      <c r="K9281" s="711"/>
      <c r="L9281" s="711"/>
      <c r="Q9281" s="11"/>
      <c r="R9281" s="11"/>
      <c r="S9281" s="11"/>
      <c r="T9281" s="11"/>
    </row>
    <row r="9282" spans="8:20" x14ac:dyDescent="0.35">
      <c r="H9282" s="711"/>
      <c r="I9282" s="711"/>
      <c r="J9282" s="711"/>
      <c r="K9282" s="711"/>
      <c r="L9282" s="711"/>
      <c r="Q9282" s="11"/>
      <c r="R9282" s="11"/>
      <c r="S9282" s="11"/>
      <c r="T9282" s="11"/>
    </row>
    <row r="9283" spans="8:20" x14ac:dyDescent="0.35">
      <c r="H9283" s="711"/>
      <c r="I9283" s="711"/>
      <c r="J9283" s="711"/>
      <c r="K9283" s="711"/>
      <c r="L9283" s="711"/>
      <c r="Q9283" s="11"/>
      <c r="R9283" s="11"/>
      <c r="S9283" s="11"/>
      <c r="T9283" s="11"/>
    </row>
    <row r="9284" spans="8:20" x14ac:dyDescent="0.35">
      <c r="H9284" s="711"/>
      <c r="I9284" s="711"/>
      <c r="J9284" s="711"/>
      <c r="K9284" s="711"/>
      <c r="L9284" s="711"/>
      <c r="Q9284" s="11"/>
      <c r="R9284" s="11"/>
      <c r="S9284" s="11"/>
      <c r="T9284" s="11"/>
    </row>
    <row r="9285" spans="8:20" x14ac:dyDescent="0.35">
      <c r="H9285" s="711"/>
      <c r="I9285" s="711"/>
      <c r="J9285" s="711"/>
      <c r="K9285" s="711"/>
      <c r="L9285" s="711"/>
      <c r="Q9285" s="11"/>
      <c r="R9285" s="11"/>
      <c r="S9285" s="11"/>
      <c r="T9285" s="11"/>
    </row>
    <row r="9286" spans="8:20" x14ac:dyDescent="0.35">
      <c r="H9286" s="711"/>
      <c r="I9286" s="711"/>
      <c r="J9286" s="711"/>
      <c r="K9286" s="711"/>
      <c r="L9286" s="711"/>
      <c r="Q9286" s="11"/>
      <c r="R9286" s="11"/>
      <c r="S9286" s="11"/>
      <c r="T9286" s="11"/>
    </row>
    <row r="9287" spans="8:20" x14ac:dyDescent="0.35">
      <c r="H9287" s="711"/>
      <c r="I9287" s="711"/>
      <c r="J9287" s="711"/>
      <c r="K9287" s="711"/>
      <c r="L9287" s="711"/>
      <c r="Q9287" s="11"/>
      <c r="R9287" s="11"/>
      <c r="S9287" s="11"/>
      <c r="T9287" s="11"/>
    </row>
    <row r="9288" spans="8:20" x14ac:dyDescent="0.35">
      <c r="H9288" s="711"/>
      <c r="I9288" s="711"/>
      <c r="J9288" s="711"/>
      <c r="K9288" s="711"/>
      <c r="L9288" s="711"/>
      <c r="Q9288" s="11"/>
      <c r="R9288" s="11"/>
      <c r="S9288" s="11"/>
      <c r="T9288" s="11"/>
    </row>
    <row r="9289" spans="8:20" x14ac:dyDescent="0.35">
      <c r="H9289" s="711"/>
      <c r="I9289" s="711"/>
      <c r="J9289" s="711"/>
      <c r="K9289" s="711"/>
      <c r="L9289" s="711"/>
      <c r="Q9289" s="11"/>
      <c r="R9289" s="11"/>
      <c r="S9289" s="11"/>
      <c r="T9289" s="11"/>
    </row>
    <row r="9290" spans="8:20" x14ac:dyDescent="0.35">
      <c r="H9290" s="711"/>
      <c r="I9290" s="711"/>
      <c r="J9290" s="711"/>
      <c r="K9290" s="711"/>
      <c r="L9290" s="711"/>
      <c r="Q9290" s="11"/>
      <c r="R9290" s="11"/>
      <c r="S9290" s="11"/>
      <c r="T9290" s="11"/>
    </row>
    <row r="9291" spans="8:20" x14ac:dyDescent="0.35">
      <c r="H9291" s="711"/>
      <c r="I9291" s="711"/>
      <c r="J9291" s="711"/>
      <c r="K9291" s="711"/>
      <c r="L9291" s="711"/>
      <c r="Q9291" s="11"/>
      <c r="R9291" s="11"/>
      <c r="S9291" s="11"/>
      <c r="T9291" s="11"/>
    </row>
    <row r="9292" spans="8:20" x14ac:dyDescent="0.35">
      <c r="H9292" s="711"/>
      <c r="I9292" s="711"/>
      <c r="J9292" s="711"/>
      <c r="K9292" s="711"/>
      <c r="L9292" s="711"/>
      <c r="Q9292" s="11"/>
      <c r="R9292" s="11"/>
      <c r="S9292" s="11"/>
      <c r="T9292" s="11"/>
    </row>
    <row r="9293" spans="8:20" x14ac:dyDescent="0.35">
      <c r="H9293" s="711"/>
      <c r="I9293" s="711"/>
      <c r="J9293" s="711"/>
      <c r="K9293" s="711"/>
      <c r="L9293" s="711"/>
      <c r="Q9293" s="11"/>
      <c r="R9293" s="11"/>
      <c r="S9293" s="11"/>
      <c r="T9293" s="11"/>
    </row>
    <row r="9294" spans="8:20" x14ac:dyDescent="0.35">
      <c r="H9294" s="711"/>
      <c r="I9294" s="711"/>
      <c r="J9294" s="711"/>
      <c r="K9294" s="711"/>
      <c r="L9294" s="711"/>
      <c r="Q9294" s="11"/>
      <c r="R9294" s="11"/>
      <c r="S9294" s="11"/>
      <c r="T9294" s="11"/>
    </row>
    <row r="9295" spans="8:20" x14ac:dyDescent="0.35">
      <c r="H9295" s="711"/>
      <c r="I9295" s="711"/>
      <c r="J9295" s="711"/>
      <c r="K9295" s="711"/>
      <c r="L9295" s="711"/>
      <c r="Q9295" s="11"/>
      <c r="R9295" s="11"/>
      <c r="S9295" s="11"/>
      <c r="T9295" s="11"/>
    </row>
    <row r="9296" spans="8:20" x14ac:dyDescent="0.35">
      <c r="H9296" s="711"/>
      <c r="I9296" s="711"/>
      <c r="J9296" s="711"/>
      <c r="K9296" s="711"/>
      <c r="L9296" s="711"/>
      <c r="Q9296" s="11"/>
      <c r="R9296" s="11"/>
      <c r="S9296" s="11"/>
      <c r="T9296" s="11"/>
    </row>
    <row r="9297" spans="8:20" x14ac:dyDescent="0.35">
      <c r="H9297" s="711"/>
      <c r="I9297" s="711"/>
      <c r="J9297" s="711"/>
      <c r="K9297" s="711"/>
      <c r="L9297" s="711"/>
      <c r="Q9297" s="11"/>
      <c r="R9297" s="11"/>
      <c r="S9297" s="11"/>
      <c r="T9297" s="11"/>
    </row>
    <row r="9298" spans="8:20" x14ac:dyDescent="0.35">
      <c r="H9298" s="711"/>
      <c r="I9298" s="711"/>
      <c r="J9298" s="711"/>
      <c r="K9298" s="711"/>
      <c r="L9298" s="711"/>
      <c r="Q9298" s="11"/>
      <c r="R9298" s="11"/>
      <c r="S9298" s="11"/>
      <c r="T9298" s="11"/>
    </row>
    <row r="9299" spans="8:20" x14ac:dyDescent="0.35">
      <c r="H9299" s="711"/>
      <c r="I9299" s="711"/>
      <c r="J9299" s="711"/>
      <c r="K9299" s="711"/>
      <c r="L9299" s="711"/>
      <c r="Q9299" s="11"/>
      <c r="R9299" s="11"/>
      <c r="S9299" s="11"/>
      <c r="T9299" s="11"/>
    </row>
    <row r="9300" spans="8:20" x14ac:dyDescent="0.35">
      <c r="H9300" s="711"/>
      <c r="I9300" s="711"/>
      <c r="J9300" s="711"/>
      <c r="K9300" s="711"/>
      <c r="L9300" s="711"/>
      <c r="Q9300" s="11"/>
      <c r="R9300" s="11"/>
      <c r="S9300" s="11"/>
      <c r="T9300" s="11"/>
    </row>
    <row r="9301" spans="8:20" x14ac:dyDescent="0.35">
      <c r="H9301" s="711"/>
      <c r="I9301" s="711"/>
      <c r="J9301" s="711"/>
      <c r="K9301" s="711"/>
      <c r="L9301" s="711"/>
      <c r="Q9301" s="11"/>
      <c r="R9301" s="11"/>
      <c r="S9301" s="11"/>
      <c r="T9301" s="11"/>
    </row>
    <row r="9302" spans="8:20" x14ac:dyDescent="0.35">
      <c r="H9302" s="711"/>
      <c r="I9302" s="711"/>
      <c r="J9302" s="711"/>
      <c r="K9302" s="711"/>
      <c r="L9302" s="711"/>
      <c r="Q9302" s="11"/>
      <c r="R9302" s="11"/>
      <c r="S9302" s="11"/>
      <c r="T9302" s="11"/>
    </row>
    <row r="9303" spans="8:20" x14ac:dyDescent="0.35">
      <c r="H9303" s="711"/>
      <c r="I9303" s="711"/>
      <c r="J9303" s="711"/>
      <c r="K9303" s="711"/>
      <c r="L9303" s="711"/>
      <c r="Q9303" s="11"/>
      <c r="R9303" s="11"/>
      <c r="S9303" s="11"/>
      <c r="T9303" s="11"/>
    </row>
    <row r="9304" spans="8:20" x14ac:dyDescent="0.35">
      <c r="H9304" s="711"/>
      <c r="I9304" s="711"/>
      <c r="J9304" s="711"/>
      <c r="K9304" s="711"/>
      <c r="L9304" s="711"/>
      <c r="Q9304" s="11"/>
      <c r="R9304" s="11"/>
      <c r="S9304" s="11"/>
      <c r="T9304" s="11"/>
    </row>
    <row r="9305" spans="8:20" x14ac:dyDescent="0.35">
      <c r="H9305" s="711"/>
      <c r="I9305" s="711"/>
      <c r="J9305" s="711"/>
      <c r="K9305" s="711"/>
      <c r="L9305" s="711"/>
      <c r="Q9305" s="11"/>
      <c r="R9305" s="11"/>
      <c r="S9305" s="11"/>
      <c r="T9305" s="11"/>
    </row>
    <row r="9306" spans="8:20" x14ac:dyDescent="0.35">
      <c r="H9306" s="711"/>
      <c r="I9306" s="711"/>
      <c r="J9306" s="711"/>
      <c r="K9306" s="711"/>
      <c r="L9306" s="711"/>
      <c r="Q9306" s="11"/>
      <c r="R9306" s="11"/>
      <c r="S9306" s="11"/>
      <c r="T9306" s="11"/>
    </row>
    <row r="9307" spans="8:20" x14ac:dyDescent="0.35">
      <c r="H9307" s="711"/>
      <c r="I9307" s="711"/>
      <c r="J9307" s="711"/>
      <c r="K9307" s="711"/>
      <c r="L9307" s="711"/>
      <c r="Q9307" s="11"/>
      <c r="R9307" s="11"/>
      <c r="S9307" s="11"/>
      <c r="T9307" s="11"/>
    </row>
    <row r="9308" spans="8:20" x14ac:dyDescent="0.35">
      <c r="H9308" s="711"/>
      <c r="I9308" s="711"/>
      <c r="J9308" s="711"/>
      <c r="K9308" s="711"/>
      <c r="L9308" s="711"/>
      <c r="Q9308" s="11"/>
      <c r="R9308" s="11"/>
      <c r="S9308" s="11"/>
      <c r="T9308" s="11"/>
    </row>
    <row r="9309" spans="8:20" x14ac:dyDescent="0.35">
      <c r="H9309" s="711"/>
      <c r="I9309" s="711"/>
      <c r="J9309" s="711"/>
      <c r="K9309" s="711"/>
      <c r="L9309" s="711"/>
      <c r="Q9309" s="11"/>
      <c r="R9309" s="11"/>
      <c r="S9309" s="11"/>
      <c r="T9309" s="11"/>
    </row>
    <row r="9310" spans="8:20" x14ac:dyDescent="0.35">
      <c r="H9310" s="711"/>
      <c r="I9310" s="711"/>
      <c r="J9310" s="711"/>
      <c r="K9310" s="711"/>
      <c r="L9310" s="711"/>
      <c r="Q9310" s="11"/>
      <c r="R9310" s="11"/>
      <c r="S9310" s="11"/>
      <c r="T9310" s="11"/>
    </row>
    <row r="9311" spans="8:20" x14ac:dyDescent="0.35">
      <c r="H9311" s="711"/>
      <c r="I9311" s="711"/>
      <c r="J9311" s="711"/>
      <c r="K9311" s="711"/>
      <c r="L9311" s="711"/>
      <c r="Q9311" s="11"/>
      <c r="R9311" s="11"/>
      <c r="S9311" s="11"/>
      <c r="T9311" s="11"/>
    </row>
    <row r="9312" spans="8:20" x14ac:dyDescent="0.35">
      <c r="H9312" s="711"/>
      <c r="I9312" s="711"/>
      <c r="J9312" s="711"/>
      <c r="K9312" s="711"/>
      <c r="L9312" s="711"/>
      <c r="Q9312" s="11"/>
      <c r="R9312" s="11"/>
      <c r="S9312" s="11"/>
      <c r="T9312" s="11"/>
    </row>
    <row r="9313" spans="8:20" x14ac:dyDescent="0.35">
      <c r="H9313" s="711"/>
      <c r="I9313" s="711"/>
      <c r="J9313" s="711"/>
      <c r="K9313" s="711"/>
      <c r="L9313" s="711"/>
      <c r="Q9313" s="11"/>
      <c r="R9313" s="11"/>
      <c r="S9313" s="11"/>
      <c r="T9313" s="11"/>
    </row>
    <row r="9314" spans="8:20" x14ac:dyDescent="0.35">
      <c r="H9314" s="711"/>
      <c r="I9314" s="711"/>
      <c r="J9314" s="711"/>
      <c r="K9314" s="711"/>
      <c r="L9314" s="711"/>
      <c r="Q9314" s="11"/>
      <c r="R9314" s="11"/>
      <c r="S9314" s="11"/>
      <c r="T9314" s="11"/>
    </row>
    <row r="9315" spans="8:20" x14ac:dyDescent="0.35">
      <c r="H9315" s="711"/>
      <c r="I9315" s="711"/>
      <c r="J9315" s="711"/>
      <c r="K9315" s="711"/>
      <c r="L9315" s="711"/>
      <c r="Q9315" s="11"/>
      <c r="R9315" s="11"/>
      <c r="S9315" s="11"/>
      <c r="T9315" s="11"/>
    </row>
    <row r="9316" spans="8:20" x14ac:dyDescent="0.35">
      <c r="H9316" s="711"/>
      <c r="I9316" s="711"/>
      <c r="J9316" s="711"/>
      <c r="K9316" s="711"/>
      <c r="L9316" s="711"/>
      <c r="Q9316" s="11"/>
      <c r="R9316" s="11"/>
      <c r="S9316" s="11"/>
      <c r="T9316" s="11"/>
    </row>
    <row r="9317" spans="8:20" x14ac:dyDescent="0.35">
      <c r="H9317" s="711"/>
      <c r="I9317" s="711"/>
      <c r="J9317" s="711"/>
      <c r="K9317" s="711"/>
      <c r="L9317" s="711"/>
      <c r="Q9317" s="11"/>
      <c r="R9317" s="11"/>
      <c r="S9317" s="11"/>
      <c r="T9317" s="11"/>
    </row>
    <row r="9318" spans="8:20" x14ac:dyDescent="0.35">
      <c r="H9318" s="711"/>
      <c r="I9318" s="711"/>
      <c r="J9318" s="711"/>
      <c r="K9318" s="711"/>
      <c r="L9318" s="711"/>
      <c r="Q9318" s="11"/>
      <c r="R9318" s="11"/>
      <c r="S9318" s="11"/>
      <c r="T9318" s="11"/>
    </row>
    <row r="9319" spans="8:20" x14ac:dyDescent="0.35">
      <c r="H9319" s="711"/>
      <c r="I9319" s="711"/>
      <c r="J9319" s="711"/>
      <c r="K9319" s="711"/>
      <c r="L9319" s="711"/>
      <c r="Q9319" s="11"/>
      <c r="R9319" s="11"/>
      <c r="S9319" s="11"/>
      <c r="T9319" s="11"/>
    </row>
    <row r="9320" spans="8:20" x14ac:dyDescent="0.35">
      <c r="H9320" s="711"/>
      <c r="I9320" s="711"/>
      <c r="J9320" s="711"/>
      <c r="K9320" s="711"/>
      <c r="L9320" s="711"/>
      <c r="Q9320" s="11"/>
      <c r="R9320" s="11"/>
      <c r="S9320" s="11"/>
      <c r="T9320" s="11"/>
    </row>
    <row r="9321" spans="8:20" x14ac:dyDescent="0.35">
      <c r="H9321" s="711"/>
      <c r="I9321" s="711"/>
      <c r="J9321" s="711"/>
      <c r="K9321" s="711"/>
      <c r="L9321" s="711"/>
      <c r="Q9321" s="11"/>
      <c r="R9321" s="11"/>
      <c r="S9321" s="11"/>
      <c r="T9321" s="11"/>
    </row>
    <row r="9322" spans="8:20" x14ac:dyDescent="0.35">
      <c r="H9322" s="711"/>
      <c r="I9322" s="711"/>
      <c r="J9322" s="711"/>
      <c r="K9322" s="711"/>
      <c r="L9322" s="711"/>
      <c r="Q9322" s="11"/>
      <c r="R9322" s="11"/>
      <c r="S9322" s="11"/>
      <c r="T9322" s="11"/>
    </row>
    <row r="9323" spans="8:20" x14ac:dyDescent="0.35">
      <c r="H9323" s="711"/>
      <c r="I9323" s="711"/>
      <c r="J9323" s="711"/>
      <c r="K9323" s="711"/>
      <c r="L9323" s="711"/>
      <c r="Q9323" s="11"/>
      <c r="R9323" s="11"/>
      <c r="S9323" s="11"/>
      <c r="T9323" s="11"/>
    </row>
    <row r="9324" spans="8:20" x14ac:dyDescent="0.35">
      <c r="H9324" s="711"/>
      <c r="I9324" s="711"/>
      <c r="J9324" s="711"/>
      <c r="K9324" s="711"/>
      <c r="L9324" s="711"/>
      <c r="Q9324" s="11"/>
      <c r="R9324" s="11"/>
      <c r="S9324" s="11"/>
      <c r="T9324" s="11"/>
    </row>
    <row r="9325" spans="8:20" x14ac:dyDescent="0.35">
      <c r="H9325" s="711"/>
      <c r="I9325" s="711"/>
      <c r="J9325" s="711"/>
      <c r="K9325" s="711"/>
      <c r="L9325" s="711"/>
      <c r="Q9325" s="11"/>
      <c r="R9325" s="11"/>
      <c r="S9325" s="11"/>
      <c r="T9325" s="11"/>
    </row>
    <row r="9326" spans="8:20" x14ac:dyDescent="0.35">
      <c r="H9326" s="711"/>
      <c r="I9326" s="711"/>
      <c r="J9326" s="711"/>
      <c r="K9326" s="711"/>
      <c r="L9326" s="711"/>
      <c r="Q9326" s="11"/>
      <c r="R9326" s="11"/>
      <c r="S9326" s="11"/>
      <c r="T9326" s="11"/>
    </row>
    <row r="9327" spans="8:20" x14ac:dyDescent="0.35">
      <c r="H9327" s="711"/>
      <c r="I9327" s="711"/>
      <c r="J9327" s="711"/>
      <c r="K9327" s="711"/>
      <c r="L9327" s="711"/>
      <c r="Q9327" s="11"/>
      <c r="R9327" s="11"/>
      <c r="S9327" s="11"/>
      <c r="T9327" s="11"/>
    </row>
    <row r="9328" spans="8:20" x14ac:dyDescent="0.35">
      <c r="H9328" s="711"/>
      <c r="I9328" s="711"/>
      <c r="J9328" s="711"/>
      <c r="K9328" s="711"/>
      <c r="L9328" s="711"/>
      <c r="Q9328" s="11"/>
      <c r="R9328" s="11"/>
      <c r="S9328" s="11"/>
      <c r="T9328" s="11"/>
    </row>
    <row r="9329" spans="8:20" x14ac:dyDescent="0.35">
      <c r="H9329" s="711"/>
      <c r="I9329" s="711"/>
      <c r="J9329" s="711"/>
      <c r="K9329" s="711"/>
      <c r="L9329" s="711"/>
      <c r="Q9329" s="11"/>
      <c r="R9329" s="11"/>
      <c r="S9329" s="11"/>
      <c r="T9329" s="11"/>
    </row>
    <row r="9330" spans="8:20" x14ac:dyDescent="0.35">
      <c r="H9330" s="711"/>
      <c r="I9330" s="711"/>
      <c r="J9330" s="711"/>
      <c r="K9330" s="711"/>
      <c r="L9330" s="711"/>
      <c r="Q9330" s="11"/>
      <c r="R9330" s="11"/>
      <c r="S9330" s="11"/>
      <c r="T9330" s="11"/>
    </row>
    <row r="9331" spans="8:20" x14ac:dyDescent="0.35">
      <c r="H9331" s="711"/>
      <c r="I9331" s="711"/>
      <c r="J9331" s="711"/>
      <c r="K9331" s="711"/>
      <c r="L9331" s="711"/>
      <c r="Q9331" s="11"/>
      <c r="R9331" s="11"/>
      <c r="S9331" s="11"/>
      <c r="T9331" s="11"/>
    </row>
    <row r="9332" spans="8:20" x14ac:dyDescent="0.35">
      <c r="H9332" s="711"/>
      <c r="I9332" s="711"/>
      <c r="J9332" s="711"/>
      <c r="K9332" s="711"/>
      <c r="L9332" s="711"/>
      <c r="Q9332" s="11"/>
      <c r="R9332" s="11"/>
      <c r="S9332" s="11"/>
      <c r="T9332" s="11"/>
    </row>
    <row r="9333" spans="8:20" x14ac:dyDescent="0.35">
      <c r="H9333" s="711"/>
      <c r="I9333" s="711"/>
      <c r="J9333" s="711"/>
      <c r="K9333" s="711"/>
      <c r="L9333" s="711"/>
      <c r="Q9333" s="11"/>
      <c r="R9333" s="11"/>
      <c r="S9333" s="11"/>
      <c r="T9333" s="11"/>
    </row>
    <row r="9334" spans="8:20" x14ac:dyDescent="0.35">
      <c r="H9334" s="711"/>
      <c r="I9334" s="711"/>
      <c r="J9334" s="711"/>
      <c r="K9334" s="711"/>
      <c r="L9334" s="711"/>
      <c r="Q9334" s="11"/>
      <c r="R9334" s="11"/>
      <c r="S9334" s="11"/>
      <c r="T9334" s="11"/>
    </row>
    <row r="9335" spans="8:20" x14ac:dyDescent="0.35">
      <c r="H9335" s="711"/>
      <c r="I9335" s="711"/>
      <c r="J9335" s="711"/>
      <c r="K9335" s="711"/>
      <c r="L9335" s="711"/>
      <c r="Q9335" s="11"/>
      <c r="R9335" s="11"/>
      <c r="S9335" s="11"/>
      <c r="T9335" s="11"/>
    </row>
    <row r="9336" spans="8:20" x14ac:dyDescent="0.35">
      <c r="H9336" s="711"/>
      <c r="I9336" s="711"/>
      <c r="J9336" s="711"/>
      <c r="K9336" s="711"/>
      <c r="L9336" s="711"/>
      <c r="Q9336" s="11"/>
      <c r="R9336" s="11"/>
      <c r="S9336" s="11"/>
      <c r="T9336" s="11"/>
    </row>
    <row r="9337" spans="8:20" x14ac:dyDescent="0.35">
      <c r="H9337" s="711"/>
      <c r="I9337" s="711"/>
      <c r="J9337" s="711"/>
      <c r="K9337" s="711"/>
      <c r="L9337" s="711"/>
      <c r="Q9337" s="11"/>
      <c r="R9337" s="11"/>
      <c r="S9337" s="11"/>
      <c r="T9337" s="11"/>
    </row>
    <row r="9338" spans="8:20" x14ac:dyDescent="0.35">
      <c r="H9338" s="711"/>
      <c r="I9338" s="711"/>
      <c r="J9338" s="711"/>
      <c r="K9338" s="711"/>
      <c r="L9338" s="711"/>
      <c r="Q9338" s="11"/>
      <c r="R9338" s="11"/>
      <c r="S9338" s="11"/>
      <c r="T9338" s="11"/>
    </row>
    <row r="9339" spans="8:20" x14ac:dyDescent="0.35">
      <c r="H9339" s="711"/>
      <c r="I9339" s="711"/>
      <c r="J9339" s="711"/>
      <c r="K9339" s="711"/>
      <c r="L9339" s="711"/>
      <c r="Q9339" s="11"/>
      <c r="R9339" s="11"/>
      <c r="S9339" s="11"/>
      <c r="T9339" s="11"/>
    </row>
    <row r="9340" spans="8:20" x14ac:dyDescent="0.35">
      <c r="H9340" s="711"/>
      <c r="I9340" s="711"/>
      <c r="J9340" s="711"/>
      <c r="K9340" s="711"/>
      <c r="L9340" s="711"/>
      <c r="Q9340" s="11"/>
      <c r="R9340" s="11"/>
      <c r="S9340" s="11"/>
      <c r="T9340" s="11"/>
    </row>
    <row r="9341" spans="8:20" x14ac:dyDescent="0.35">
      <c r="H9341" s="711"/>
      <c r="I9341" s="711"/>
      <c r="J9341" s="711"/>
      <c r="K9341" s="711"/>
      <c r="L9341" s="711"/>
      <c r="Q9341" s="11"/>
      <c r="R9341" s="11"/>
      <c r="S9341" s="11"/>
      <c r="T9341" s="11"/>
    </row>
    <row r="9342" spans="8:20" x14ac:dyDescent="0.35">
      <c r="H9342" s="711"/>
      <c r="I9342" s="711"/>
      <c r="J9342" s="711"/>
      <c r="K9342" s="711"/>
      <c r="L9342" s="711"/>
      <c r="Q9342" s="11"/>
      <c r="R9342" s="11"/>
      <c r="S9342" s="11"/>
      <c r="T9342" s="11"/>
    </row>
    <row r="9343" spans="8:20" x14ac:dyDescent="0.35">
      <c r="H9343" s="711"/>
      <c r="I9343" s="711"/>
      <c r="J9343" s="711"/>
      <c r="K9343" s="711"/>
      <c r="L9343" s="711"/>
      <c r="Q9343" s="11"/>
      <c r="R9343" s="11"/>
      <c r="S9343" s="11"/>
      <c r="T9343" s="11"/>
    </row>
    <row r="9344" spans="8:20" x14ac:dyDescent="0.35">
      <c r="H9344" s="711"/>
      <c r="I9344" s="711"/>
      <c r="J9344" s="711"/>
      <c r="K9344" s="711"/>
      <c r="L9344" s="711"/>
      <c r="Q9344" s="11"/>
      <c r="R9344" s="11"/>
      <c r="S9344" s="11"/>
      <c r="T9344" s="11"/>
    </row>
    <row r="9345" spans="8:20" x14ac:dyDescent="0.35">
      <c r="H9345" s="711"/>
      <c r="I9345" s="711"/>
      <c r="J9345" s="711"/>
      <c r="K9345" s="711"/>
      <c r="L9345" s="711"/>
      <c r="Q9345" s="11"/>
      <c r="R9345" s="11"/>
      <c r="S9345" s="11"/>
      <c r="T9345" s="11"/>
    </row>
    <row r="9346" spans="8:20" x14ac:dyDescent="0.35">
      <c r="H9346" s="711"/>
      <c r="I9346" s="711"/>
      <c r="J9346" s="711"/>
      <c r="K9346" s="711"/>
      <c r="L9346" s="711"/>
      <c r="Q9346" s="11"/>
      <c r="R9346" s="11"/>
      <c r="S9346" s="11"/>
      <c r="T9346" s="11"/>
    </row>
    <row r="9347" spans="8:20" x14ac:dyDescent="0.35">
      <c r="H9347" s="711"/>
      <c r="I9347" s="711"/>
      <c r="J9347" s="711"/>
      <c r="K9347" s="711"/>
      <c r="L9347" s="711"/>
      <c r="Q9347" s="11"/>
      <c r="R9347" s="11"/>
      <c r="S9347" s="11"/>
      <c r="T9347" s="11"/>
    </row>
    <row r="9348" spans="8:20" x14ac:dyDescent="0.35">
      <c r="H9348" s="711"/>
      <c r="I9348" s="711"/>
      <c r="J9348" s="711"/>
      <c r="K9348" s="711"/>
      <c r="L9348" s="711"/>
      <c r="Q9348" s="11"/>
      <c r="R9348" s="11"/>
      <c r="S9348" s="11"/>
      <c r="T9348" s="11"/>
    </row>
    <row r="9349" spans="8:20" x14ac:dyDescent="0.35">
      <c r="H9349" s="711"/>
      <c r="I9349" s="711"/>
      <c r="J9349" s="711"/>
      <c r="K9349" s="711"/>
      <c r="L9349" s="711"/>
      <c r="Q9349" s="11"/>
      <c r="R9349" s="11"/>
      <c r="S9349" s="11"/>
      <c r="T9349" s="11"/>
    </row>
    <row r="9350" spans="8:20" x14ac:dyDescent="0.35">
      <c r="H9350" s="711"/>
      <c r="I9350" s="711"/>
      <c r="J9350" s="711"/>
      <c r="K9350" s="711"/>
      <c r="L9350" s="711"/>
      <c r="Q9350" s="11"/>
      <c r="R9350" s="11"/>
      <c r="S9350" s="11"/>
      <c r="T9350" s="11"/>
    </row>
    <row r="9351" spans="8:20" x14ac:dyDescent="0.35">
      <c r="H9351" s="711"/>
      <c r="I9351" s="711"/>
      <c r="J9351" s="711"/>
      <c r="K9351" s="711"/>
      <c r="L9351" s="711"/>
      <c r="Q9351" s="11"/>
      <c r="R9351" s="11"/>
      <c r="S9351" s="11"/>
      <c r="T9351" s="11"/>
    </row>
    <row r="9352" spans="8:20" x14ac:dyDescent="0.35">
      <c r="H9352" s="711"/>
      <c r="I9352" s="711"/>
      <c r="J9352" s="711"/>
      <c r="K9352" s="711"/>
      <c r="L9352" s="711"/>
      <c r="Q9352" s="11"/>
      <c r="R9352" s="11"/>
      <c r="S9352" s="11"/>
      <c r="T9352" s="11"/>
    </row>
    <row r="9353" spans="8:20" x14ac:dyDescent="0.35">
      <c r="H9353" s="711"/>
      <c r="I9353" s="711"/>
      <c r="J9353" s="711"/>
      <c r="K9353" s="711"/>
      <c r="L9353" s="711"/>
      <c r="Q9353" s="11"/>
      <c r="R9353" s="11"/>
      <c r="S9353" s="11"/>
      <c r="T9353" s="11"/>
    </row>
    <row r="9354" spans="8:20" x14ac:dyDescent="0.35">
      <c r="H9354" s="711"/>
      <c r="I9354" s="711"/>
      <c r="J9354" s="711"/>
      <c r="K9354" s="711"/>
      <c r="L9354" s="711"/>
      <c r="Q9354" s="11"/>
      <c r="R9354" s="11"/>
      <c r="S9354" s="11"/>
      <c r="T9354" s="11"/>
    </row>
    <row r="9355" spans="8:20" x14ac:dyDescent="0.35">
      <c r="H9355" s="711"/>
      <c r="I9355" s="711"/>
      <c r="J9355" s="711"/>
      <c r="K9355" s="711"/>
      <c r="L9355" s="711"/>
      <c r="Q9355" s="11"/>
      <c r="R9355" s="11"/>
      <c r="S9355" s="11"/>
      <c r="T9355" s="11"/>
    </row>
    <row r="9356" spans="8:20" x14ac:dyDescent="0.35">
      <c r="H9356" s="711"/>
      <c r="I9356" s="711"/>
      <c r="J9356" s="711"/>
      <c r="K9356" s="711"/>
      <c r="L9356" s="711"/>
      <c r="Q9356" s="11"/>
      <c r="R9356" s="11"/>
      <c r="S9356" s="11"/>
      <c r="T9356" s="11"/>
    </row>
    <row r="9357" spans="8:20" x14ac:dyDescent="0.35">
      <c r="H9357" s="711"/>
      <c r="I9357" s="711"/>
      <c r="J9357" s="711"/>
      <c r="K9357" s="711"/>
      <c r="L9357" s="711"/>
      <c r="Q9357" s="11"/>
      <c r="R9357" s="11"/>
      <c r="S9357" s="11"/>
      <c r="T9357" s="11"/>
    </row>
    <row r="9358" spans="8:20" x14ac:dyDescent="0.35">
      <c r="H9358" s="711"/>
      <c r="I9358" s="711"/>
      <c r="J9358" s="711"/>
      <c r="K9358" s="711"/>
      <c r="L9358" s="711"/>
      <c r="Q9358" s="11"/>
      <c r="R9358" s="11"/>
      <c r="S9358" s="11"/>
      <c r="T9358" s="11"/>
    </row>
    <row r="9359" spans="8:20" x14ac:dyDescent="0.35">
      <c r="H9359" s="711"/>
      <c r="I9359" s="711"/>
      <c r="J9359" s="711"/>
      <c r="K9359" s="711"/>
      <c r="L9359" s="711"/>
      <c r="Q9359" s="11"/>
      <c r="R9359" s="11"/>
      <c r="S9359" s="11"/>
      <c r="T9359" s="11"/>
    </row>
    <row r="9360" spans="8:20" x14ac:dyDescent="0.35">
      <c r="H9360" s="711"/>
      <c r="I9360" s="711"/>
      <c r="J9360" s="711"/>
      <c r="K9360" s="711"/>
      <c r="L9360" s="711"/>
      <c r="Q9360" s="11"/>
      <c r="R9360" s="11"/>
      <c r="S9360" s="11"/>
      <c r="T9360" s="11"/>
    </row>
    <row r="9361" spans="8:20" x14ac:dyDescent="0.35">
      <c r="H9361" s="711"/>
      <c r="I9361" s="711"/>
      <c r="J9361" s="711"/>
      <c r="K9361" s="711"/>
      <c r="L9361" s="711"/>
      <c r="Q9361" s="11"/>
      <c r="R9361" s="11"/>
      <c r="S9361" s="11"/>
      <c r="T9361" s="11"/>
    </row>
    <row r="9362" spans="8:20" x14ac:dyDescent="0.35">
      <c r="H9362" s="711"/>
      <c r="I9362" s="711"/>
      <c r="J9362" s="711"/>
      <c r="K9362" s="711"/>
      <c r="L9362" s="711"/>
      <c r="Q9362" s="11"/>
      <c r="R9362" s="11"/>
      <c r="S9362" s="11"/>
      <c r="T9362" s="11"/>
    </row>
    <row r="9363" spans="8:20" x14ac:dyDescent="0.35">
      <c r="H9363" s="711"/>
      <c r="I9363" s="711"/>
      <c r="J9363" s="711"/>
      <c r="K9363" s="711"/>
      <c r="L9363" s="711"/>
      <c r="Q9363" s="11"/>
      <c r="R9363" s="11"/>
      <c r="S9363" s="11"/>
      <c r="T9363" s="11"/>
    </row>
    <row r="9364" spans="8:20" x14ac:dyDescent="0.35">
      <c r="H9364" s="711"/>
      <c r="I9364" s="711"/>
      <c r="J9364" s="711"/>
      <c r="K9364" s="711"/>
      <c r="L9364" s="711"/>
      <c r="Q9364" s="11"/>
      <c r="R9364" s="11"/>
      <c r="S9364" s="11"/>
      <c r="T9364" s="11"/>
    </row>
    <row r="9365" spans="8:20" x14ac:dyDescent="0.35">
      <c r="H9365" s="711"/>
      <c r="I9365" s="711"/>
      <c r="J9365" s="711"/>
      <c r="K9365" s="711"/>
      <c r="L9365" s="711"/>
      <c r="Q9365" s="11"/>
      <c r="R9365" s="11"/>
      <c r="S9365" s="11"/>
      <c r="T9365" s="11"/>
    </row>
    <row r="9366" spans="8:20" x14ac:dyDescent="0.35">
      <c r="H9366" s="711"/>
      <c r="I9366" s="711"/>
      <c r="J9366" s="711"/>
      <c r="K9366" s="711"/>
      <c r="L9366" s="711"/>
      <c r="Q9366" s="11"/>
      <c r="R9366" s="11"/>
      <c r="S9366" s="11"/>
      <c r="T9366" s="11"/>
    </row>
    <row r="9367" spans="8:20" x14ac:dyDescent="0.35">
      <c r="H9367" s="711"/>
      <c r="I9367" s="711"/>
      <c r="J9367" s="711"/>
      <c r="K9367" s="711"/>
      <c r="L9367" s="711"/>
      <c r="Q9367" s="11"/>
      <c r="R9367" s="11"/>
      <c r="S9367" s="11"/>
      <c r="T9367" s="11"/>
    </row>
    <row r="9368" spans="8:20" x14ac:dyDescent="0.35">
      <c r="H9368" s="711"/>
      <c r="I9368" s="711"/>
      <c r="J9368" s="711"/>
      <c r="K9368" s="711"/>
      <c r="L9368" s="711"/>
      <c r="Q9368" s="11"/>
      <c r="R9368" s="11"/>
      <c r="S9368" s="11"/>
      <c r="T9368" s="11"/>
    </row>
    <row r="9369" spans="8:20" x14ac:dyDescent="0.35">
      <c r="H9369" s="711"/>
      <c r="I9369" s="711"/>
      <c r="J9369" s="711"/>
      <c r="K9369" s="711"/>
      <c r="L9369" s="711"/>
      <c r="Q9369" s="11"/>
      <c r="R9369" s="11"/>
      <c r="S9369" s="11"/>
      <c r="T9369" s="11"/>
    </row>
    <row r="9370" spans="8:20" x14ac:dyDescent="0.35">
      <c r="H9370" s="711"/>
      <c r="I9370" s="711"/>
      <c r="J9370" s="711"/>
      <c r="K9370" s="711"/>
      <c r="L9370" s="711"/>
      <c r="Q9370" s="11"/>
      <c r="R9370" s="11"/>
      <c r="S9370" s="11"/>
      <c r="T9370" s="11"/>
    </row>
    <row r="9371" spans="8:20" x14ac:dyDescent="0.35">
      <c r="H9371" s="711"/>
      <c r="I9371" s="711"/>
      <c r="J9371" s="711"/>
      <c r="K9371" s="711"/>
      <c r="L9371" s="711"/>
      <c r="Q9371" s="11"/>
      <c r="R9371" s="11"/>
      <c r="S9371" s="11"/>
      <c r="T9371" s="11"/>
    </row>
    <row r="9372" spans="8:20" x14ac:dyDescent="0.35">
      <c r="H9372" s="711"/>
      <c r="I9372" s="711"/>
      <c r="J9372" s="711"/>
      <c r="K9372" s="711"/>
      <c r="L9372" s="711"/>
      <c r="Q9372" s="11"/>
      <c r="R9372" s="11"/>
      <c r="S9372" s="11"/>
      <c r="T9372" s="11"/>
    </row>
    <row r="9373" spans="8:20" x14ac:dyDescent="0.35">
      <c r="H9373" s="711"/>
      <c r="I9373" s="711"/>
      <c r="J9373" s="711"/>
      <c r="K9373" s="711"/>
      <c r="L9373" s="711"/>
      <c r="Q9373" s="11"/>
      <c r="R9373" s="11"/>
      <c r="S9373" s="11"/>
      <c r="T9373" s="11"/>
    </row>
    <row r="9374" spans="8:20" x14ac:dyDescent="0.35">
      <c r="H9374" s="711"/>
      <c r="I9374" s="711"/>
      <c r="J9374" s="711"/>
      <c r="K9374" s="711"/>
      <c r="L9374" s="711"/>
      <c r="Q9374" s="11"/>
      <c r="R9374" s="11"/>
      <c r="S9374" s="11"/>
      <c r="T9374" s="11"/>
    </row>
    <row r="9375" spans="8:20" x14ac:dyDescent="0.35">
      <c r="H9375" s="711"/>
      <c r="I9375" s="711"/>
      <c r="J9375" s="711"/>
      <c r="K9375" s="711"/>
      <c r="L9375" s="711"/>
      <c r="Q9375" s="11"/>
      <c r="R9375" s="11"/>
      <c r="S9375" s="11"/>
      <c r="T9375" s="11"/>
    </row>
    <row r="9376" spans="8:20" x14ac:dyDescent="0.35">
      <c r="H9376" s="711"/>
      <c r="I9376" s="711"/>
      <c r="J9376" s="711"/>
      <c r="K9376" s="711"/>
      <c r="L9376" s="711"/>
      <c r="Q9376" s="11"/>
      <c r="R9376" s="11"/>
      <c r="S9376" s="11"/>
      <c r="T9376" s="11"/>
    </row>
    <row r="9377" spans="8:20" x14ac:dyDescent="0.35">
      <c r="H9377" s="711"/>
      <c r="I9377" s="711"/>
      <c r="J9377" s="711"/>
      <c r="K9377" s="711"/>
      <c r="L9377" s="711"/>
      <c r="Q9377" s="11"/>
      <c r="R9377" s="11"/>
      <c r="S9377" s="11"/>
      <c r="T9377" s="11"/>
    </row>
    <row r="9378" spans="8:20" x14ac:dyDescent="0.35">
      <c r="H9378" s="711"/>
      <c r="I9378" s="711"/>
      <c r="J9378" s="711"/>
      <c r="K9378" s="711"/>
      <c r="L9378" s="711"/>
      <c r="Q9378" s="11"/>
      <c r="R9378" s="11"/>
      <c r="S9378" s="11"/>
      <c r="T9378" s="11"/>
    </row>
    <row r="9379" spans="8:20" x14ac:dyDescent="0.35">
      <c r="H9379" s="711"/>
      <c r="I9379" s="711"/>
      <c r="J9379" s="711"/>
      <c r="K9379" s="711"/>
      <c r="L9379" s="711"/>
      <c r="Q9379" s="11"/>
      <c r="R9379" s="11"/>
      <c r="S9379" s="11"/>
      <c r="T9379" s="11"/>
    </row>
    <row r="9380" spans="8:20" x14ac:dyDescent="0.35">
      <c r="H9380" s="711"/>
      <c r="I9380" s="711"/>
      <c r="J9380" s="711"/>
      <c r="K9380" s="711"/>
      <c r="L9380" s="711"/>
      <c r="Q9380" s="11"/>
      <c r="R9380" s="11"/>
      <c r="S9380" s="11"/>
      <c r="T9380" s="11"/>
    </row>
    <row r="9381" spans="8:20" x14ac:dyDescent="0.35">
      <c r="H9381" s="711"/>
      <c r="I9381" s="711"/>
      <c r="J9381" s="711"/>
      <c r="K9381" s="711"/>
      <c r="L9381" s="711"/>
      <c r="Q9381" s="11"/>
      <c r="R9381" s="11"/>
      <c r="S9381" s="11"/>
      <c r="T9381" s="11"/>
    </row>
    <row r="9382" spans="8:20" x14ac:dyDescent="0.35">
      <c r="H9382" s="711"/>
      <c r="I9382" s="711"/>
      <c r="J9382" s="711"/>
      <c r="K9382" s="711"/>
      <c r="L9382" s="711"/>
      <c r="Q9382" s="11"/>
      <c r="R9382" s="11"/>
      <c r="S9382" s="11"/>
      <c r="T9382" s="11"/>
    </row>
    <row r="9383" spans="8:20" x14ac:dyDescent="0.35">
      <c r="H9383" s="711"/>
      <c r="I9383" s="711"/>
      <c r="J9383" s="711"/>
      <c r="K9383" s="711"/>
      <c r="L9383" s="711"/>
      <c r="Q9383" s="11"/>
      <c r="R9383" s="11"/>
      <c r="S9383" s="11"/>
      <c r="T9383" s="11"/>
    </row>
    <row r="9384" spans="8:20" x14ac:dyDescent="0.35">
      <c r="H9384" s="711"/>
      <c r="I9384" s="711"/>
      <c r="J9384" s="711"/>
      <c r="K9384" s="711"/>
      <c r="L9384" s="711"/>
      <c r="Q9384" s="11"/>
      <c r="R9384" s="11"/>
      <c r="S9384" s="11"/>
      <c r="T9384" s="11"/>
    </row>
    <row r="9385" spans="8:20" x14ac:dyDescent="0.35">
      <c r="H9385" s="711"/>
      <c r="I9385" s="711"/>
      <c r="J9385" s="711"/>
      <c r="K9385" s="711"/>
      <c r="L9385" s="711"/>
      <c r="Q9385" s="11"/>
      <c r="R9385" s="11"/>
      <c r="S9385" s="11"/>
      <c r="T9385" s="11"/>
    </row>
    <row r="9386" spans="8:20" x14ac:dyDescent="0.35">
      <c r="H9386" s="711"/>
      <c r="I9386" s="711"/>
      <c r="J9386" s="711"/>
      <c r="K9386" s="711"/>
      <c r="L9386" s="711"/>
      <c r="Q9386" s="11"/>
      <c r="R9386" s="11"/>
      <c r="S9386" s="11"/>
      <c r="T9386" s="11"/>
    </row>
    <row r="9387" spans="8:20" x14ac:dyDescent="0.35">
      <c r="H9387" s="711"/>
      <c r="I9387" s="711"/>
      <c r="J9387" s="711"/>
      <c r="K9387" s="711"/>
      <c r="L9387" s="711"/>
      <c r="Q9387" s="11"/>
      <c r="R9387" s="11"/>
      <c r="S9387" s="11"/>
      <c r="T9387" s="11"/>
    </row>
    <row r="9388" spans="8:20" x14ac:dyDescent="0.35">
      <c r="H9388" s="711"/>
      <c r="I9388" s="711"/>
      <c r="J9388" s="711"/>
      <c r="K9388" s="711"/>
      <c r="L9388" s="711"/>
      <c r="Q9388" s="11"/>
      <c r="R9388" s="11"/>
      <c r="S9388" s="11"/>
      <c r="T9388" s="11"/>
    </row>
    <row r="9389" spans="8:20" x14ac:dyDescent="0.35">
      <c r="H9389" s="711"/>
      <c r="I9389" s="711"/>
      <c r="J9389" s="711"/>
      <c r="K9389" s="711"/>
      <c r="L9389" s="711"/>
      <c r="Q9389" s="11"/>
      <c r="R9389" s="11"/>
      <c r="S9389" s="11"/>
      <c r="T9389" s="11"/>
    </row>
    <row r="9390" spans="8:20" x14ac:dyDescent="0.35">
      <c r="H9390" s="711"/>
      <c r="I9390" s="711"/>
      <c r="J9390" s="711"/>
      <c r="K9390" s="711"/>
      <c r="L9390" s="711"/>
      <c r="Q9390" s="11"/>
      <c r="R9390" s="11"/>
      <c r="S9390" s="11"/>
      <c r="T9390" s="11"/>
    </row>
    <row r="9391" spans="8:20" x14ac:dyDescent="0.35">
      <c r="H9391" s="711"/>
      <c r="I9391" s="711"/>
      <c r="J9391" s="711"/>
      <c r="K9391" s="711"/>
      <c r="L9391" s="711"/>
      <c r="Q9391" s="11"/>
      <c r="R9391" s="11"/>
      <c r="S9391" s="11"/>
      <c r="T9391" s="11"/>
    </row>
    <row r="9392" spans="8:20" x14ac:dyDescent="0.35">
      <c r="H9392" s="711"/>
      <c r="I9392" s="711"/>
      <c r="J9392" s="711"/>
      <c r="K9392" s="711"/>
      <c r="L9392" s="711"/>
      <c r="Q9392" s="11"/>
      <c r="R9392" s="11"/>
      <c r="S9392" s="11"/>
      <c r="T9392" s="11"/>
    </row>
    <row r="9393" spans="8:20" x14ac:dyDescent="0.35">
      <c r="H9393" s="711"/>
      <c r="I9393" s="711"/>
      <c r="J9393" s="711"/>
      <c r="K9393" s="711"/>
      <c r="L9393" s="711"/>
      <c r="Q9393" s="11"/>
      <c r="R9393" s="11"/>
      <c r="S9393" s="11"/>
      <c r="T9393" s="11"/>
    </row>
    <row r="9394" spans="8:20" x14ac:dyDescent="0.35">
      <c r="H9394" s="711"/>
      <c r="I9394" s="711"/>
      <c r="J9394" s="711"/>
      <c r="K9394" s="711"/>
      <c r="L9394" s="711"/>
      <c r="Q9394" s="11"/>
      <c r="R9394" s="11"/>
      <c r="S9394" s="11"/>
      <c r="T9394" s="11"/>
    </row>
    <row r="9395" spans="8:20" x14ac:dyDescent="0.35">
      <c r="H9395" s="711"/>
      <c r="I9395" s="711"/>
      <c r="J9395" s="711"/>
      <c r="K9395" s="711"/>
      <c r="L9395" s="711"/>
      <c r="Q9395" s="11"/>
      <c r="R9395" s="11"/>
      <c r="S9395" s="11"/>
      <c r="T9395" s="11"/>
    </row>
    <row r="9396" spans="8:20" x14ac:dyDescent="0.35">
      <c r="H9396" s="711"/>
      <c r="I9396" s="711"/>
      <c r="J9396" s="711"/>
      <c r="K9396" s="711"/>
      <c r="L9396" s="711"/>
      <c r="Q9396" s="11"/>
      <c r="R9396" s="11"/>
      <c r="S9396" s="11"/>
      <c r="T9396" s="11"/>
    </row>
    <row r="9397" spans="8:20" x14ac:dyDescent="0.35">
      <c r="H9397" s="711"/>
      <c r="I9397" s="711"/>
      <c r="J9397" s="711"/>
      <c r="K9397" s="711"/>
      <c r="L9397" s="711"/>
      <c r="Q9397" s="11"/>
      <c r="R9397" s="11"/>
      <c r="S9397" s="11"/>
      <c r="T9397" s="11"/>
    </row>
    <row r="9398" spans="8:20" x14ac:dyDescent="0.35">
      <c r="H9398" s="711"/>
      <c r="I9398" s="711"/>
      <c r="J9398" s="711"/>
      <c r="K9398" s="711"/>
      <c r="L9398" s="711"/>
      <c r="Q9398" s="11"/>
      <c r="R9398" s="11"/>
      <c r="S9398" s="11"/>
      <c r="T9398" s="11"/>
    </row>
    <row r="9399" spans="8:20" x14ac:dyDescent="0.35">
      <c r="H9399" s="711"/>
      <c r="I9399" s="711"/>
      <c r="J9399" s="711"/>
      <c r="K9399" s="711"/>
      <c r="L9399" s="711"/>
      <c r="Q9399" s="11"/>
      <c r="R9399" s="11"/>
      <c r="S9399" s="11"/>
      <c r="T9399" s="11"/>
    </row>
    <row r="9400" spans="8:20" x14ac:dyDescent="0.35">
      <c r="H9400" s="711"/>
      <c r="I9400" s="711"/>
      <c r="J9400" s="711"/>
      <c r="K9400" s="711"/>
      <c r="L9400" s="711"/>
      <c r="Q9400" s="11"/>
      <c r="R9400" s="11"/>
      <c r="S9400" s="11"/>
      <c r="T9400" s="11"/>
    </row>
    <row r="9401" spans="8:20" x14ac:dyDescent="0.35">
      <c r="H9401" s="711"/>
      <c r="I9401" s="711"/>
      <c r="J9401" s="711"/>
      <c r="K9401" s="711"/>
      <c r="L9401" s="711"/>
      <c r="Q9401" s="11"/>
      <c r="R9401" s="11"/>
      <c r="S9401" s="11"/>
      <c r="T9401" s="11"/>
    </row>
    <row r="9402" spans="8:20" x14ac:dyDescent="0.35">
      <c r="H9402" s="711"/>
      <c r="I9402" s="711"/>
      <c r="J9402" s="711"/>
      <c r="K9402" s="711"/>
      <c r="L9402" s="711"/>
      <c r="Q9402" s="11"/>
      <c r="R9402" s="11"/>
      <c r="S9402" s="11"/>
      <c r="T9402" s="11"/>
    </row>
    <row r="9403" spans="8:20" x14ac:dyDescent="0.35">
      <c r="H9403" s="711"/>
      <c r="I9403" s="711"/>
      <c r="J9403" s="711"/>
      <c r="K9403" s="711"/>
      <c r="L9403" s="711"/>
      <c r="Q9403" s="11"/>
      <c r="R9403" s="11"/>
      <c r="S9403" s="11"/>
      <c r="T9403" s="11"/>
    </row>
    <row r="9404" spans="8:20" x14ac:dyDescent="0.35">
      <c r="H9404" s="711"/>
      <c r="I9404" s="711"/>
      <c r="J9404" s="711"/>
      <c r="K9404" s="711"/>
      <c r="L9404" s="711"/>
      <c r="Q9404" s="11"/>
      <c r="R9404" s="11"/>
      <c r="S9404" s="11"/>
      <c r="T9404" s="11"/>
    </row>
    <row r="9405" spans="8:20" x14ac:dyDescent="0.35">
      <c r="H9405" s="711"/>
      <c r="I9405" s="711"/>
      <c r="J9405" s="711"/>
      <c r="K9405" s="711"/>
      <c r="L9405" s="711"/>
      <c r="Q9405" s="11"/>
      <c r="R9405" s="11"/>
      <c r="S9405" s="11"/>
      <c r="T9405" s="11"/>
    </row>
    <row r="9406" spans="8:20" x14ac:dyDescent="0.35">
      <c r="H9406" s="711"/>
      <c r="I9406" s="711"/>
      <c r="J9406" s="711"/>
      <c r="K9406" s="711"/>
      <c r="L9406" s="711"/>
      <c r="Q9406" s="11"/>
      <c r="R9406" s="11"/>
      <c r="S9406" s="11"/>
      <c r="T9406" s="11"/>
    </row>
    <row r="9407" spans="8:20" x14ac:dyDescent="0.35">
      <c r="H9407" s="711"/>
      <c r="I9407" s="711"/>
      <c r="J9407" s="711"/>
      <c r="K9407" s="711"/>
      <c r="L9407" s="711"/>
      <c r="Q9407" s="11"/>
      <c r="R9407" s="11"/>
      <c r="S9407" s="11"/>
      <c r="T9407" s="11"/>
    </row>
    <row r="9408" spans="8:20" x14ac:dyDescent="0.35">
      <c r="H9408" s="711"/>
      <c r="I9408" s="711"/>
      <c r="J9408" s="711"/>
      <c r="K9408" s="711"/>
      <c r="L9408" s="711"/>
      <c r="Q9408" s="11"/>
      <c r="R9408" s="11"/>
      <c r="S9408" s="11"/>
      <c r="T9408" s="11"/>
    </row>
    <row r="9409" spans="8:20" x14ac:dyDescent="0.35">
      <c r="H9409" s="711"/>
      <c r="I9409" s="711"/>
      <c r="J9409" s="711"/>
      <c r="K9409" s="711"/>
      <c r="L9409" s="711"/>
      <c r="Q9409" s="11"/>
      <c r="R9409" s="11"/>
      <c r="S9409" s="11"/>
      <c r="T9409" s="11"/>
    </row>
    <row r="9410" spans="8:20" x14ac:dyDescent="0.35">
      <c r="H9410" s="711"/>
      <c r="I9410" s="711"/>
      <c r="J9410" s="711"/>
      <c r="K9410" s="711"/>
      <c r="L9410" s="711"/>
      <c r="Q9410" s="11"/>
      <c r="R9410" s="11"/>
      <c r="S9410" s="11"/>
      <c r="T9410" s="11"/>
    </row>
    <row r="9411" spans="8:20" x14ac:dyDescent="0.35">
      <c r="H9411" s="711"/>
      <c r="I9411" s="711"/>
      <c r="J9411" s="711"/>
      <c r="K9411" s="711"/>
      <c r="L9411" s="711"/>
      <c r="Q9411" s="11"/>
      <c r="R9411" s="11"/>
      <c r="S9411" s="11"/>
      <c r="T9411" s="11"/>
    </row>
    <row r="9412" spans="8:20" x14ac:dyDescent="0.35">
      <c r="H9412" s="711"/>
      <c r="I9412" s="711"/>
      <c r="J9412" s="711"/>
      <c r="K9412" s="711"/>
      <c r="L9412" s="711"/>
      <c r="Q9412" s="11"/>
      <c r="R9412" s="11"/>
      <c r="S9412" s="11"/>
      <c r="T9412" s="11"/>
    </row>
    <row r="9413" spans="8:20" x14ac:dyDescent="0.35">
      <c r="H9413" s="711"/>
      <c r="I9413" s="711"/>
      <c r="J9413" s="711"/>
      <c r="K9413" s="711"/>
      <c r="L9413" s="711"/>
      <c r="Q9413" s="11"/>
      <c r="R9413" s="11"/>
      <c r="S9413" s="11"/>
      <c r="T9413" s="11"/>
    </row>
    <row r="9414" spans="8:20" x14ac:dyDescent="0.35">
      <c r="H9414" s="711"/>
      <c r="I9414" s="711"/>
      <c r="J9414" s="711"/>
      <c r="K9414" s="711"/>
      <c r="L9414" s="711"/>
      <c r="Q9414" s="11"/>
      <c r="R9414" s="11"/>
      <c r="S9414" s="11"/>
      <c r="T9414" s="11"/>
    </row>
    <row r="9415" spans="8:20" x14ac:dyDescent="0.35">
      <c r="H9415" s="711"/>
      <c r="I9415" s="711"/>
      <c r="J9415" s="711"/>
      <c r="K9415" s="711"/>
      <c r="L9415" s="711"/>
      <c r="Q9415" s="11"/>
      <c r="R9415" s="11"/>
      <c r="S9415" s="11"/>
      <c r="T9415" s="11"/>
    </row>
    <row r="9416" spans="8:20" x14ac:dyDescent="0.35">
      <c r="H9416" s="711"/>
      <c r="I9416" s="711"/>
      <c r="J9416" s="711"/>
      <c r="K9416" s="711"/>
      <c r="L9416" s="711"/>
      <c r="Q9416" s="11"/>
      <c r="R9416" s="11"/>
      <c r="S9416" s="11"/>
      <c r="T9416" s="11"/>
    </row>
    <row r="9417" spans="8:20" x14ac:dyDescent="0.35">
      <c r="H9417" s="711"/>
      <c r="I9417" s="711"/>
      <c r="J9417" s="711"/>
      <c r="K9417" s="711"/>
      <c r="L9417" s="711"/>
      <c r="Q9417" s="11"/>
      <c r="R9417" s="11"/>
      <c r="S9417" s="11"/>
      <c r="T9417" s="11"/>
    </row>
    <row r="9418" spans="8:20" x14ac:dyDescent="0.35">
      <c r="H9418" s="711"/>
      <c r="I9418" s="711"/>
      <c r="J9418" s="711"/>
      <c r="K9418" s="711"/>
      <c r="L9418" s="711"/>
      <c r="Q9418" s="11"/>
      <c r="R9418" s="11"/>
      <c r="S9418" s="11"/>
      <c r="T9418" s="11"/>
    </row>
    <row r="9419" spans="8:20" x14ac:dyDescent="0.35">
      <c r="H9419" s="711"/>
      <c r="I9419" s="711"/>
      <c r="J9419" s="711"/>
      <c r="K9419" s="711"/>
      <c r="L9419" s="711"/>
      <c r="Q9419" s="11"/>
      <c r="R9419" s="11"/>
      <c r="S9419" s="11"/>
      <c r="T9419" s="11"/>
    </row>
    <row r="9420" spans="8:20" x14ac:dyDescent="0.35">
      <c r="H9420" s="711"/>
      <c r="I9420" s="711"/>
      <c r="J9420" s="711"/>
      <c r="K9420" s="711"/>
      <c r="L9420" s="711"/>
      <c r="Q9420" s="11"/>
      <c r="R9420" s="11"/>
      <c r="S9420" s="11"/>
      <c r="T9420" s="11"/>
    </row>
    <row r="9421" spans="8:20" x14ac:dyDescent="0.35">
      <c r="H9421" s="711"/>
      <c r="I9421" s="711"/>
      <c r="J9421" s="711"/>
      <c r="K9421" s="711"/>
      <c r="L9421" s="711"/>
      <c r="Q9421" s="11"/>
      <c r="R9421" s="11"/>
      <c r="S9421" s="11"/>
      <c r="T9421" s="11"/>
    </row>
    <row r="9422" spans="8:20" x14ac:dyDescent="0.35">
      <c r="H9422" s="711"/>
      <c r="I9422" s="711"/>
      <c r="J9422" s="711"/>
      <c r="K9422" s="711"/>
      <c r="L9422" s="711"/>
      <c r="Q9422" s="11"/>
      <c r="R9422" s="11"/>
      <c r="S9422" s="11"/>
      <c r="T9422" s="11"/>
    </row>
    <row r="9423" spans="8:20" x14ac:dyDescent="0.35">
      <c r="H9423" s="711"/>
      <c r="I9423" s="711"/>
      <c r="J9423" s="711"/>
      <c r="K9423" s="711"/>
      <c r="L9423" s="711"/>
      <c r="Q9423" s="11"/>
      <c r="R9423" s="11"/>
      <c r="S9423" s="11"/>
      <c r="T9423" s="11"/>
    </row>
    <row r="9424" spans="8:20" x14ac:dyDescent="0.35">
      <c r="H9424" s="711"/>
      <c r="I9424" s="711"/>
      <c r="J9424" s="711"/>
      <c r="K9424" s="711"/>
      <c r="L9424" s="711"/>
      <c r="Q9424" s="11"/>
      <c r="R9424" s="11"/>
      <c r="S9424" s="11"/>
      <c r="T9424" s="11"/>
    </row>
    <row r="9425" spans="8:20" x14ac:dyDescent="0.35">
      <c r="H9425" s="711"/>
      <c r="I9425" s="711"/>
      <c r="J9425" s="711"/>
      <c r="K9425" s="711"/>
      <c r="L9425" s="711"/>
      <c r="Q9425" s="11"/>
      <c r="R9425" s="11"/>
      <c r="S9425" s="11"/>
      <c r="T9425" s="11"/>
    </row>
    <row r="9426" spans="8:20" x14ac:dyDescent="0.35">
      <c r="H9426" s="711"/>
      <c r="I9426" s="711"/>
      <c r="J9426" s="711"/>
      <c r="K9426" s="711"/>
      <c r="L9426" s="711"/>
      <c r="Q9426" s="11"/>
      <c r="R9426" s="11"/>
      <c r="S9426" s="11"/>
      <c r="T9426" s="11"/>
    </row>
    <row r="9427" spans="8:20" x14ac:dyDescent="0.35">
      <c r="H9427" s="711"/>
      <c r="I9427" s="711"/>
      <c r="J9427" s="711"/>
      <c r="K9427" s="711"/>
      <c r="L9427" s="711"/>
      <c r="Q9427" s="11"/>
      <c r="R9427" s="11"/>
      <c r="S9427" s="11"/>
      <c r="T9427" s="11"/>
    </row>
    <row r="9428" spans="8:20" x14ac:dyDescent="0.35">
      <c r="H9428" s="711"/>
      <c r="I9428" s="711"/>
      <c r="J9428" s="711"/>
      <c r="K9428" s="711"/>
      <c r="L9428" s="711"/>
      <c r="Q9428" s="11"/>
      <c r="R9428" s="11"/>
      <c r="S9428" s="11"/>
      <c r="T9428" s="11"/>
    </row>
    <row r="9429" spans="8:20" x14ac:dyDescent="0.35">
      <c r="H9429" s="711"/>
      <c r="I9429" s="711"/>
      <c r="J9429" s="711"/>
      <c r="K9429" s="711"/>
      <c r="L9429" s="711"/>
      <c r="Q9429" s="11"/>
      <c r="R9429" s="11"/>
      <c r="S9429" s="11"/>
      <c r="T9429" s="11"/>
    </row>
    <row r="9430" spans="8:20" x14ac:dyDescent="0.35">
      <c r="H9430" s="711"/>
      <c r="I9430" s="711"/>
      <c r="J9430" s="711"/>
      <c r="K9430" s="711"/>
      <c r="L9430" s="711"/>
      <c r="Q9430" s="11"/>
      <c r="R9430" s="11"/>
      <c r="S9430" s="11"/>
      <c r="T9430" s="11"/>
    </row>
    <row r="9431" spans="8:20" x14ac:dyDescent="0.35">
      <c r="H9431" s="711"/>
      <c r="I9431" s="711"/>
      <c r="J9431" s="711"/>
      <c r="K9431" s="711"/>
      <c r="L9431" s="711"/>
      <c r="Q9431" s="11"/>
      <c r="R9431" s="11"/>
      <c r="S9431" s="11"/>
      <c r="T9431" s="11"/>
    </row>
    <row r="9432" spans="8:20" x14ac:dyDescent="0.35">
      <c r="H9432" s="711"/>
      <c r="I9432" s="711"/>
      <c r="J9432" s="711"/>
      <c r="K9432" s="711"/>
      <c r="L9432" s="711"/>
      <c r="Q9432" s="11"/>
      <c r="R9432" s="11"/>
      <c r="S9432" s="11"/>
      <c r="T9432" s="11"/>
    </row>
    <row r="9433" spans="8:20" x14ac:dyDescent="0.35">
      <c r="H9433" s="711"/>
      <c r="I9433" s="711"/>
      <c r="J9433" s="711"/>
      <c r="K9433" s="711"/>
      <c r="L9433" s="711"/>
      <c r="Q9433" s="11"/>
      <c r="R9433" s="11"/>
      <c r="S9433" s="11"/>
      <c r="T9433" s="11"/>
    </row>
    <row r="9434" spans="8:20" x14ac:dyDescent="0.35">
      <c r="H9434" s="711"/>
      <c r="I9434" s="711"/>
      <c r="J9434" s="711"/>
      <c r="K9434" s="711"/>
      <c r="L9434" s="711"/>
      <c r="Q9434" s="11"/>
      <c r="R9434" s="11"/>
      <c r="S9434" s="11"/>
      <c r="T9434" s="11"/>
    </row>
    <row r="9435" spans="8:20" x14ac:dyDescent="0.35">
      <c r="H9435" s="711"/>
      <c r="I9435" s="711"/>
      <c r="J9435" s="711"/>
      <c r="K9435" s="711"/>
      <c r="L9435" s="711"/>
      <c r="Q9435" s="11"/>
      <c r="R9435" s="11"/>
      <c r="S9435" s="11"/>
      <c r="T9435" s="11"/>
    </row>
    <row r="9436" spans="8:20" x14ac:dyDescent="0.35">
      <c r="H9436" s="711"/>
      <c r="I9436" s="711"/>
      <c r="J9436" s="711"/>
      <c r="K9436" s="711"/>
      <c r="L9436" s="711"/>
      <c r="Q9436" s="11"/>
      <c r="R9436" s="11"/>
      <c r="S9436" s="11"/>
      <c r="T9436" s="11"/>
    </row>
    <row r="9437" spans="8:20" x14ac:dyDescent="0.35">
      <c r="H9437" s="711"/>
      <c r="I9437" s="711"/>
      <c r="J9437" s="711"/>
      <c r="K9437" s="711"/>
      <c r="L9437" s="711"/>
      <c r="Q9437" s="11"/>
      <c r="R9437" s="11"/>
      <c r="S9437" s="11"/>
      <c r="T9437" s="11"/>
    </row>
    <row r="9438" spans="8:20" x14ac:dyDescent="0.35">
      <c r="H9438" s="711"/>
      <c r="I9438" s="711"/>
      <c r="J9438" s="711"/>
      <c r="K9438" s="711"/>
      <c r="L9438" s="711"/>
      <c r="Q9438" s="11"/>
      <c r="R9438" s="11"/>
      <c r="S9438" s="11"/>
      <c r="T9438" s="11"/>
    </row>
    <row r="9439" spans="8:20" x14ac:dyDescent="0.35">
      <c r="H9439" s="711"/>
      <c r="I9439" s="711"/>
      <c r="J9439" s="711"/>
      <c r="K9439" s="711"/>
      <c r="L9439" s="711"/>
      <c r="Q9439" s="11"/>
      <c r="R9439" s="11"/>
      <c r="S9439" s="11"/>
      <c r="T9439" s="11"/>
    </row>
    <row r="9440" spans="8:20" x14ac:dyDescent="0.35">
      <c r="H9440" s="711"/>
      <c r="I9440" s="711"/>
      <c r="J9440" s="711"/>
      <c r="K9440" s="711"/>
      <c r="L9440" s="711"/>
      <c r="Q9440" s="11"/>
      <c r="R9440" s="11"/>
      <c r="S9440" s="11"/>
      <c r="T9440" s="11"/>
    </row>
    <row r="9441" spans="8:20" x14ac:dyDescent="0.35">
      <c r="H9441" s="711"/>
      <c r="I9441" s="711"/>
      <c r="J9441" s="711"/>
      <c r="K9441" s="711"/>
      <c r="L9441" s="711"/>
      <c r="Q9441" s="11"/>
      <c r="R9441" s="11"/>
      <c r="S9441" s="11"/>
      <c r="T9441" s="11"/>
    </row>
    <row r="9442" spans="8:20" x14ac:dyDescent="0.35">
      <c r="H9442" s="711"/>
      <c r="I9442" s="711"/>
      <c r="J9442" s="711"/>
      <c r="K9442" s="711"/>
      <c r="L9442" s="711"/>
      <c r="Q9442" s="11"/>
      <c r="R9442" s="11"/>
      <c r="S9442" s="11"/>
      <c r="T9442" s="11"/>
    </row>
    <row r="9443" spans="8:20" x14ac:dyDescent="0.35">
      <c r="H9443" s="711"/>
      <c r="I9443" s="711"/>
      <c r="J9443" s="711"/>
      <c r="K9443" s="711"/>
      <c r="L9443" s="711"/>
      <c r="Q9443" s="11"/>
      <c r="R9443" s="11"/>
      <c r="S9443" s="11"/>
      <c r="T9443" s="11"/>
    </row>
    <row r="9444" spans="8:20" x14ac:dyDescent="0.35">
      <c r="H9444" s="711"/>
      <c r="I9444" s="711"/>
      <c r="J9444" s="711"/>
      <c r="K9444" s="711"/>
      <c r="L9444" s="711"/>
      <c r="Q9444" s="11"/>
      <c r="R9444" s="11"/>
      <c r="S9444" s="11"/>
      <c r="T9444" s="11"/>
    </row>
    <row r="9445" spans="8:20" x14ac:dyDescent="0.35">
      <c r="H9445" s="711"/>
      <c r="I9445" s="711"/>
      <c r="J9445" s="711"/>
      <c r="K9445" s="711"/>
      <c r="L9445" s="711"/>
      <c r="Q9445" s="11"/>
      <c r="R9445" s="11"/>
      <c r="S9445" s="11"/>
      <c r="T9445" s="11"/>
    </row>
    <row r="9446" spans="8:20" x14ac:dyDescent="0.35">
      <c r="H9446" s="711"/>
      <c r="I9446" s="711"/>
      <c r="J9446" s="711"/>
      <c r="K9446" s="711"/>
      <c r="L9446" s="711"/>
      <c r="Q9446" s="11"/>
      <c r="R9446" s="11"/>
      <c r="S9446" s="11"/>
      <c r="T9446" s="11"/>
    </row>
    <row r="9447" spans="8:20" x14ac:dyDescent="0.35">
      <c r="H9447" s="711"/>
      <c r="I9447" s="711"/>
      <c r="J9447" s="711"/>
      <c r="K9447" s="711"/>
      <c r="L9447" s="711"/>
      <c r="Q9447" s="11"/>
      <c r="R9447" s="11"/>
      <c r="S9447" s="11"/>
      <c r="T9447" s="11"/>
    </row>
    <row r="9448" spans="8:20" x14ac:dyDescent="0.35">
      <c r="H9448" s="711"/>
      <c r="I9448" s="711"/>
      <c r="J9448" s="711"/>
      <c r="K9448" s="711"/>
      <c r="L9448" s="711"/>
      <c r="Q9448" s="11"/>
      <c r="R9448" s="11"/>
      <c r="S9448" s="11"/>
      <c r="T9448" s="11"/>
    </row>
    <row r="9449" spans="8:20" x14ac:dyDescent="0.35">
      <c r="H9449" s="711"/>
      <c r="I9449" s="711"/>
      <c r="J9449" s="711"/>
      <c r="K9449" s="711"/>
      <c r="L9449" s="711"/>
      <c r="Q9449" s="11"/>
      <c r="R9449" s="11"/>
      <c r="S9449" s="11"/>
      <c r="T9449" s="11"/>
    </row>
    <row r="9450" spans="8:20" x14ac:dyDescent="0.35">
      <c r="H9450" s="711"/>
      <c r="I9450" s="711"/>
      <c r="J9450" s="711"/>
      <c r="K9450" s="711"/>
      <c r="L9450" s="711"/>
      <c r="Q9450" s="11"/>
      <c r="R9450" s="11"/>
      <c r="S9450" s="11"/>
      <c r="T9450" s="11"/>
    </row>
    <row r="9451" spans="8:20" x14ac:dyDescent="0.35">
      <c r="H9451" s="711"/>
      <c r="I9451" s="711"/>
      <c r="J9451" s="711"/>
      <c r="K9451" s="711"/>
      <c r="L9451" s="711"/>
      <c r="Q9451" s="11"/>
      <c r="R9451" s="11"/>
      <c r="S9451" s="11"/>
      <c r="T9451" s="11"/>
    </row>
    <row r="9452" spans="8:20" x14ac:dyDescent="0.35">
      <c r="H9452" s="711"/>
      <c r="I9452" s="711"/>
      <c r="J9452" s="711"/>
      <c r="K9452" s="711"/>
      <c r="L9452" s="711"/>
      <c r="Q9452" s="11"/>
      <c r="R9452" s="11"/>
      <c r="S9452" s="11"/>
      <c r="T9452" s="11"/>
    </row>
    <row r="9453" spans="8:20" x14ac:dyDescent="0.35">
      <c r="H9453" s="711"/>
      <c r="I9453" s="711"/>
      <c r="J9453" s="711"/>
      <c r="K9453" s="711"/>
      <c r="L9453" s="711"/>
      <c r="Q9453" s="11"/>
      <c r="R9453" s="11"/>
      <c r="S9453" s="11"/>
      <c r="T9453" s="11"/>
    </row>
    <row r="9454" spans="8:20" x14ac:dyDescent="0.35">
      <c r="H9454" s="711"/>
      <c r="I9454" s="711"/>
      <c r="J9454" s="711"/>
      <c r="K9454" s="711"/>
      <c r="L9454" s="711"/>
      <c r="Q9454" s="11"/>
      <c r="R9454" s="11"/>
      <c r="S9454" s="11"/>
      <c r="T9454" s="11"/>
    </row>
    <row r="9455" spans="8:20" x14ac:dyDescent="0.35">
      <c r="H9455" s="711"/>
      <c r="I9455" s="711"/>
      <c r="J9455" s="711"/>
      <c r="K9455" s="711"/>
      <c r="L9455" s="711"/>
      <c r="Q9455" s="11"/>
      <c r="R9455" s="11"/>
      <c r="S9455" s="11"/>
      <c r="T9455" s="11"/>
    </row>
    <row r="9456" spans="8:20" x14ac:dyDescent="0.35">
      <c r="H9456" s="711"/>
      <c r="I9456" s="711"/>
      <c r="J9456" s="711"/>
      <c r="K9456" s="711"/>
      <c r="L9456" s="711"/>
      <c r="Q9456" s="11"/>
      <c r="R9456" s="11"/>
      <c r="S9456" s="11"/>
      <c r="T9456" s="11"/>
    </row>
    <row r="9457" spans="8:20" x14ac:dyDescent="0.35">
      <c r="H9457" s="711"/>
      <c r="I9457" s="711"/>
      <c r="J9457" s="711"/>
      <c r="K9457" s="711"/>
      <c r="L9457" s="711"/>
      <c r="Q9457" s="11"/>
      <c r="R9457" s="11"/>
      <c r="S9457" s="11"/>
      <c r="T9457" s="11"/>
    </row>
    <row r="9458" spans="8:20" x14ac:dyDescent="0.35">
      <c r="H9458" s="711"/>
      <c r="I9458" s="711"/>
      <c r="J9458" s="711"/>
      <c r="K9458" s="711"/>
      <c r="L9458" s="711"/>
      <c r="Q9458" s="11"/>
      <c r="R9458" s="11"/>
      <c r="S9458" s="11"/>
      <c r="T9458" s="11"/>
    </row>
    <row r="9459" spans="8:20" x14ac:dyDescent="0.35">
      <c r="H9459" s="711"/>
      <c r="I9459" s="711"/>
      <c r="J9459" s="711"/>
      <c r="K9459" s="711"/>
      <c r="L9459" s="711"/>
      <c r="Q9459" s="11"/>
      <c r="R9459" s="11"/>
      <c r="S9459" s="11"/>
      <c r="T9459" s="11"/>
    </row>
    <row r="9460" spans="8:20" x14ac:dyDescent="0.35">
      <c r="H9460" s="711"/>
      <c r="I9460" s="711"/>
      <c r="J9460" s="711"/>
      <c r="K9460" s="711"/>
      <c r="L9460" s="711"/>
      <c r="Q9460" s="11"/>
      <c r="R9460" s="11"/>
      <c r="S9460" s="11"/>
      <c r="T9460" s="11"/>
    </row>
    <row r="9461" spans="8:20" x14ac:dyDescent="0.35">
      <c r="H9461" s="711"/>
      <c r="I9461" s="711"/>
      <c r="J9461" s="711"/>
      <c r="K9461" s="711"/>
      <c r="L9461" s="711"/>
      <c r="Q9461" s="11"/>
      <c r="R9461" s="11"/>
      <c r="S9461" s="11"/>
      <c r="T9461" s="11"/>
    </row>
    <row r="9462" spans="8:20" x14ac:dyDescent="0.35">
      <c r="H9462" s="711"/>
      <c r="I9462" s="711"/>
      <c r="J9462" s="711"/>
      <c r="K9462" s="711"/>
      <c r="L9462" s="711"/>
      <c r="Q9462" s="11"/>
      <c r="R9462" s="11"/>
      <c r="S9462" s="11"/>
      <c r="T9462" s="11"/>
    </row>
    <row r="9463" spans="8:20" x14ac:dyDescent="0.35">
      <c r="H9463" s="711"/>
      <c r="I9463" s="711"/>
      <c r="J9463" s="711"/>
      <c r="K9463" s="711"/>
      <c r="L9463" s="711"/>
      <c r="Q9463" s="11"/>
      <c r="R9463" s="11"/>
      <c r="S9463" s="11"/>
      <c r="T9463" s="11"/>
    </row>
    <row r="9464" spans="8:20" x14ac:dyDescent="0.35">
      <c r="H9464" s="711"/>
      <c r="I9464" s="711"/>
      <c r="J9464" s="711"/>
      <c r="K9464" s="711"/>
      <c r="L9464" s="711"/>
      <c r="Q9464" s="11"/>
      <c r="R9464" s="11"/>
      <c r="S9464" s="11"/>
      <c r="T9464" s="11"/>
    </row>
    <row r="9465" spans="8:20" x14ac:dyDescent="0.35">
      <c r="H9465" s="711"/>
      <c r="I9465" s="711"/>
      <c r="J9465" s="711"/>
      <c r="K9465" s="711"/>
      <c r="L9465" s="711"/>
      <c r="Q9465" s="11"/>
      <c r="R9465" s="11"/>
      <c r="S9465" s="11"/>
      <c r="T9465" s="11"/>
    </row>
    <row r="9466" spans="8:20" x14ac:dyDescent="0.35">
      <c r="H9466" s="711"/>
      <c r="I9466" s="711"/>
      <c r="J9466" s="711"/>
      <c r="K9466" s="711"/>
      <c r="L9466" s="711"/>
      <c r="Q9466" s="11"/>
      <c r="R9466" s="11"/>
      <c r="S9466" s="11"/>
      <c r="T9466" s="11"/>
    </row>
    <row r="9467" spans="8:20" x14ac:dyDescent="0.35">
      <c r="H9467" s="711"/>
      <c r="I9467" s="711"/>
      <c r="J9467" s="711"/>
      <c r="K9467" s="711"/>
      <c r="L9467" s="711"/>
      <c r="Q9467" s="11"/>
      <c r="R9467" s="11"/>
      <c r="S9467" s="11"/>
      <c r="T9467" s="11"/>
    </row>
    <row r="9468" spans="8:20" x14ac:dyDescent="0.35">
      <c r="H9468" s="711"/>
      <c r="I9468" s="711"/>
      <c r="J9468" s="711"/>
      <c r="K9468" s="711"/>
      <c r="L9468" s="711"/>
      <c r="Q9468" s="11"/>
      <c r="R9468" s="11"/>
      <c r="S9468" s="11"/>
      <c r="T9468" s="11"/>
    </row>
    <row r="9469" spans="8:20" x14ac:dyDescent="0.35">
      <c r="H9469" s="711"/>
      <c r="I9469" s="711"/>
      <c r="J9469" s="711"/>
      <c r="K9469" s="711"/>
      <c r="L9469" s="711"/>
      <c r="Q9469" s="11"/>
      <c r="R9469" s="11"/>
      <c r="S9469" s="11"/>
      <c r="T9469" s="11"/>
    </row>
    <row r="9470" spans="8:20" x14ac:dyDescent="0.35">
      <c r="H9470" s="711"/>
      <c r="I9470" s="711"/>
      <c r="J9470" s="711"/>
      <c r="K9470" s="711"/>
      <c r="L9470" s="711"/>
      <c r="Q9470" s="11"/>
      <c r="R9470" s="11"/>
      <c r="S9470" s="11"/>
      <c r="T9470" s="11"/>
    </row>
    <row r="9471" spans="8:20" x14ac:dyDescent="0.35">
      <c r="H9471" s="711"/>
      <c r="I9471" s="711"/>
      <c r="J9471" s="711"/>
      <c r="K9471" s="711"/>
      <c r="L9471" s="711"/>
      <c r="Q9471" s="11"/>
      <c r="R9471" s="11"/>
      <c r="S9471" s="11"/>
      <c r="T9471" s="11"/>
    </row>
    <row r="9472" spans="8:20" x14ac:dyDescent="0.35">
      <c r="H9472" s="711"/>
      <c r="I9472" s="711"/>
      <c r="J9472" s="711"/>
      <c r="K9472" s="711"/>
      <c r="L9472" s="711"/>
      <c r="Q9472" s="11"/>
      <c r="R9472" s="11"/>
      <c r="S9472" s="11"/>
      <c r="T9472" s="11"/>
    </row>
    <row r="9473" spans="8:20" x14ac:dyDescent="0.35">
      <c r="H9473" s="711"/>
      <c r="I9473" s="711"/>
      <c r="J9473" s="711"/>
      <c r="K9473" s="711"/>
      <c r="L9473" s="711"/>
      <c r="Q9473" s="11"/>
      <c r="R9473" s="11"/>
      <c r="S9473" s="11"/>
      <c r="T9473" s="11"/>
    </row>
    <row r="9474" spans="8:20" x14ac:dyDescent="0.35">
      <c r="H9474" s="711"/>
      <c r="I9474" s="711"/>
      <c r="J9474" s="711"/>
      <c r="K9474" s="711"/>
      <c r="L9474" s="711"/>
      <c r="Q9474" s="11"/>
      <c r="R9474" s="11"/>
      <c r="S9474" s="11"/>
      <c r="T9474" s="11"/>
    </row>
    <row r="9475" spans="8:20" x14ac:dyDescent="0.35">
      <c r="H9475" s="711"/>
      <c r="I9475" s="711"/>
      <c r="J9475" s="711"/>
      <c r="K9475" s="711"/>
      <c r="L9475" s="711"/>
      <c r="Q9475" s="11"/>
      <c r="R9475" s="11"/>
      <c r="S9475" s="11"/>
      <c r="T9475" s="11"/>
    </row>
    <row r="9476" spans="8:20" x14ac:dyDescent="0.35">
      <c r="H9476" s="711"/>
      <c r="I9476" s="711"/>
      <c r="J9476" s="711"/>
      <c r="K9476" s="711"/>
      <c r="L9476" s="711"/>
      <c r="Q9476" s="11"/>
      <c r="R9476" s="11"/>
      <c r="S9476" s="11"/>
      <c r="T9476" s="11"/>
    </row>
    <row r="9477" spans="8:20" x14ac:dyDescent="0.35">
      <c r="H9477" s="711"/>
      <c r="I9477" s="711"/>
      <c r="J9477" s="711"/>
      <c r="K9477" s="711"/>
      <c r="L9477" s="711"/>
      <c r="Q9477" s="11"/>
      <c r="R9477" s="11"/>
      <c r="S9477" s="11"/>
      <c r="T9477" s="11"/>
    </row>
    <row r="9478" spans="8:20" x14ac:dyDescent="0.35">
      <c r="H9478" s="711"/>
      <c r="I9478" s="711"/>
      <c r="J9478" s="711"/>
      <c r="K9478" s="711"/>
      <c r="L9478" s="711"/>
      <c r="Q9478" s="11"/>
      <c r="R9478" s="11"/>
      <c r="S9478" s="11"/>
      <c r="T9478" s="11"/>
    </row>
    <row r="9479" spans="8:20" x14ac:dyDescent="0.35">
      <c r="H9479" s="711"/>
      <c r="I9479" s="711"/>
      <c r="J9479" s="711"/>
      <c r="K9479" s="711"/>
      <c r="L9479" s="711"/>
      <c r="Q9479" s="11"/>
      <c r="R9479" s="11"/>
      <c r="S9479" s="11"/>
      <c r="T9479" s="11"/>
    </row>
    <row r="9480" spans="8:20" x14ac:dyDescent="0.35">
      <c r="H9480" s="711"/>
      <c r="I9480" s="711"/>
      <c r="J9480" s="711"/>
      <c r="K9480" s="711"/>
      <c r="L9480" s="711"/>
      <c r="Q9480" s="11"/>
      <c r="R9480" s="11"/>
      <c r="S9480" s="11"/>
      <c r="T9480" s="11"/>
    </row>
    <row r="9481" spans="8:20" x14ac:dyDescent="0.35">
      <c r="H9481" s="711"/>
      <c r="I9481" s="711"/>
      <c r="J9481" s="711"/>
      <c r="K9481" s="711"/>
      <c r="L9481" s="711"/>
      <c r="Q9481" s="11"/>
      <c r="R9481" s="11"/>
      <c r="S9481" s="11"/>
      <c r="T9481" s="11"/>
    </row>
    <row r="9482" spans="8:20" x14ac:dyDescent="0.35">
      <c r="H9482" s="711"/>
      <c r="I9482" s="711"/>
      <c r="J9482" s="711"/>
      <c r="K9482" s="711"/>
      <c r="L9482" s="711"/>
      <c r="Q9482" s="11"/>
      <c r="R9482" s="11"/>
      <c r="S9482" s="11"/>
      <c r="T9482" s="11"/>
    </row>
    <row r="9483" spans="8:20" x14ac:dyDescent="0.35">
      <c r="H9483" s="711"/>
      <c r="I9483" s="711"/>
      <c r="J9483" s="711"/>
      <c r="K9483" s="711"/>
      <c r="L9483" s="711"/>
      <c r="Q9483" s="11"/>
      <c r="R9483" s="11"/>
      <c r="S9483" s="11"/>
      <c r="T9483" s="11"/>
    </row>
    <row r="9484" spans="8:20" x14ac:dyDescent="0.35">
      <c r="H9484" s="711"/>
      <c r="I9484" s="711"/>
      <c r="J9484" s="711"/>
      <c r="K9484" s="711"/>
      <c r="L9484" s="711"/>
      <c r="Q9484" s="11"/>
      <c r="R9484" s="11"/>
      <c r="S9484" s="11"/>
      <c r="T9484" s="11"/>
    </row>
    <row r="9485" spans="8:20" x14ac:dyDescent="0.35">
      <c r="H9485" s="711"/>
      <c r="I9485" s="711"/>
      <c r="J9485" s="711"/>
      <c r="K9485" s="711"/>
      <c r="L9485" s="711"/>
      <c r="Q9485" s="11"/>
      <c r="R9485" s="11"/>
      <c r="S9485" s="11"/>
      <c r="T9485" s="11"/>
    </row>
    <row r="9486" spans="8:20" x14ac:dyDescent="0.35">
      <c r="H9486" s="711"/>
      <c r="I9486" s="711"/>
      <c r="J9486" s="711"/>
      <c r="K9486" s="711"/>
      <c r="L9486" s="711"/>
      <c r="Q9486" s="11"/>
      <c r="R9486" s="11"/>
      <c r="S9486" s="11"/>
      <c r="T9486" s="11"/>
    </row>
    <row r="9487" spans="8:20" x14ac:dyDescent="0.35">
      <c r="H9487" s="711"/>
      <c r="I9487" s="711"/>
      <c r="J9487" s="711"/>
      <c r="K9487" s="711"/>
      <c r="L9487" s="711"/>
      <c r="Q9487" s="11"/>
      <c r="R9487" s="11"/>
      <c r="S9487" s="11"/>
      <c r="T9487" s="11"/>
    </row>
    <row r="9488" spans="8:20" x14ac:dyDescent="0.35">
      <c r="H9488" s="711"/>
      <c r="I9488" s="711"/>
      <c r="J9488" s="711"/>
      <c r="K9488" s="711"/>
      <c r="L9488" s="711"/>
      <c r="Q9488" s="11"/>
      <c r="R9488" s="11"/>
      <c r="S9488" s="11"/>
      <c r="T9488" s="11"/>
    </row>
    <row r="9489" spans="8:20" x14ac:dyDescent="0.35">
      <c r="H9489" s="711"/>
      <c r="I9489" s="711"/>
      <c r="J9489" s="711"/>
      <c r="K9489" s="711"/>
      <c r="L9489" s="711"/>
      <c r="Q9489" s="11"/>
      <c r="R9489" s="11"/>
      <c r="S9489" s="11"/>
      <c r="T9489" s="11"/>
    </row>
    <row r="9490" spans="8:20" x14ac:dyDescent="0.35">
      <c r="H9490" s="711"/>
      <c r="I9490" s="711"/>
      <c r="J9490" s="711"/>
      <c r="K9490" s="711"/>
      <c r="L9490" s="711"/>
      <c r="Q9490" s="11"/>
      <c r="R9490" s="11"/>
      <c r="S9490" s="11"/>
      <c r="T9490" s="11"/>
    </row>
    <row r="9491" spans="8:20" x14ac:dyDescent="0.35">
      <c r="H9491" s="711"/>
      <c r="I9491" s="711"/>
      <c r="J9491" s="711"/>
      <c r="K9491" s="711"/>
      <c r="L9491" s="711"/>
      <c r="Q9491" s="11"/>
      <c r="R9491" s="11"/>
      <c r="S9491" s="11"/>
      <c r="T9491" s="11"/>
    </row>
    <row r="9492" spans="8:20" x14ac:dyDescent="0.35">
      <c r="H9492" s="711"/>
      <c r="I9492" s="711"/>
      <c r="J9492" s="711"/>
      <c r="K9492" s="711"/>
      <c r="L9492" s="711"/>
      <c r="Q9492" s="11"/>
      <c r="R9492" s="11"/>
      <c r="S9492" s="11"/>
      <c r="T9492" s="11"/>
    </row>
    <row r="9493" spans="8:20" x14ac:dyDescent="0.35">
      <c r="H9493" s="711"/>
      <c r="I9493" s="711"/>
      <c r="J9493" s="711"/>
      <c r="K9493" s="711"/>
      <c r="L9493" s="711"/>
      <c r="Q9493" s="11"/>
      <c r="R9493" s="11"/>
      <c r="S9493" s="11"/>
      <c r="T9493" s="11"/>
    </row>
    <row r="9494" spans="8:20" x14ac:dyDescent="0.35">
      <c r="H9494" s="711"/>
      <c r="I9494" s="711"/>
      <c r="J9494" s="711"/>
      <c r="K9494" s="711"/>
      <c r="L9494" s="711"/>
      <c r="Q9494" s="11"/>
      <c r="R9494" s="11"/>
      <c r="S9494" s="11"/>
      <c r="T9494" s="11"/>
    </row>
    <row r="9495" spans="8:20" x14ac:dyDescent="0.35">
      <c r="H9495" s="711"/>
      <c r="I9495" s="711"/>
      <c r="J9495" s="711"/>
      <c r="K9495" s="711"/>
      <c r="L9495" s="711"/>
      <c r="Q9495" s="11"/>
      <c r="R9495" s="11"/>
      <c r="S9495" s="11"/>
      <c r="T9495" s="11"/>
    </row>
    <row r="9496" spans="8:20" x14ac:dyDescent="0.35">
      <c r="H9496" s="711"/>
      <c r="I9496" s="711"/>
      <c r="J9496" s="711"/>
      <c r="K9496" s="711"/>
      <c r="L9496" s="711"/>
      <c r="Q9496" s="11"/>
      <c r="R9496" s="11"/>
      <c r="S9496" s="11"/>
      <c r="T9496" s="11"/>
    </row>
    <row r="9497" spans="8:20" x14ac:dyDescent="0.35">
      <c r="H9497" s="711"/>
      <c r="I9497" s="711"/>
      <c r="J9497" s="711"/>
      <c r="K9497" s="711"/>
      <c r="L9497" s="711"/>
      <c r="Q9497" s="11"/>
      <c r="R9497" s="11"/>
      <c r="S9497" s="11"/>
      <c r="T9497" s="11"/>
    </row>
    <row r="9498" spans="8:20" x14ac:dyDescent="0.35">
      <c r="H9498" s="711"/>
      <c r="I9498" s="711"/>
      <c r="J9498" s="711"/>
      <c r="K9498" s="711"/>
      <c r="L9498" s="711"/>
      <c r="Q9498" s="11"/>
      <c r="R9498" s="11"/>
      <c r="S9498" s="11"/>
      <c r="T9498" s="11"/>
    </row>
    <row r="9499" spans="8:20" x14ac:dyDescent="0.35">
      <c r="H9499" s="711"/>
      <c r="I9499" s="711"/>
      <c r="J9499" s="711"/>
      <c r="K9499" s="711"/>
      <c r="L9499" s="711"/>
      <c r="Q9499" s="11"/>
      <c r="R9499" s="11"/>
      <c r="S9499" s="11"/>
      <c r="T9499" s="11"/>
    </row>
    <row r="9500" spans="8:20" x14ac:dyDescent="0.35">
      <c r="H9500" s="711"/>
      <c r="I9500" s="711"/>
      <c r="J9500" s="711"/>
      <c r="K9500" s="711"/>
      <c r="L9500" s="711"/>
      <c r="Q9500" s="11"/>
      <c r="R9500" s="11"/>
      <c r="S9500" s="11"/>
      <c r="T9500" s="11"/>
    </row>
    <row r="9501" spans="8:20" x14ac:dyDescent="0.35">
      <c r="H9501" s="711"/>
      <c r="I9501" s="711"/>
      <c r="J9501" s="711"/>
      <c r="K9501" s="711"/>
      <c r="L9501" s="711"/>
      <c r="Q9501" s="11"/>
      <c r="R9501" s="11"/>
      <c r="S9501" s="11"/>
      <c r="T9501" s="11"/>
    </row>
    <row r="9502" spans="8:20" x14ac:dyDescent="0.35">
      <c r="H9502" s="711"/>
      <c r="I9502" s="711"/>
      <c r="J9502" s="711"/>
      <c r="K9502" s="711"/>
      <c r="L9502" s="711"/>
      <c r="Q9502" s="11"/>
      <c r="R9502" s="11"/>
      <c r="S9502" s="11"/>
      <c r="T9502" s="11"/>
    </row>
    <row r="9503" spans="8:20" x14ac:dyDescent="0.35">
      <c r="H9503" s="711"/>
      <c r="I9503" s="711"/>
      <c r="J9503" s="711"/>
      <c r="K9503" s="711"/>
      <c r="L9503" s="711"/>
      <c r="Q9503" s="11"/>
      <c r="R9503" s="11"/>
      <c r="S9503" s="11"/>
      <c r="T9503" s="11"/>
    </row>
    <row r="9504" spans="8:20" x14ac:dyDescent="0.35">
      <c r="H9504" s="711"/>
      <c r="I9504" s="711"/>
      <c r="J9504" s="711"/>
      <c r="K9504" s="711"/>
      <c r="L9504" s="711"/>
      <c r="Q9504" s="11"/>
      <c r="R9504" s="11"/>
      <c r="S9504" s="11"/>
      <c r="T9504" s="11"/>
    </row>
    <row r="9505" spans="8:20" x14ac:dyDescent="0.35">
      <c r="H9505" s="711"/>
      <c r="I9505" s="711"/>
      <c r="J9505" s="711"/>
      <c r="K9505" s="711"/>
      <c r="L9505" s="711"/>
      <c r="Q9505" s="11"/>
      <c r="R9505" s="11"/>
      <c r="S9505" s="11"/>
      <c r="T9505" s="11"/>
    </row>
    <row r="9506" spans="8:20" x14ac:dyDescent="0.35">
      <c r="H9506" s="711"/>
      <c r="I9506" s="711"/>
      <c r="J9506" s="711"/>
      <c r="K9506" s="711"/>
      <c r="L9506" s="711"/>
      <c r="Q9506" s="11"/>
      <c r="R9506" s="11"/>
      <c r="S9506" s="11"/>
      <c r="T9506" s="11"/>
    </row>
    <row r="9507" spans="8:20" x14ac:dyDescent="0.35">
      <c r="H9507" s="711"/>
      <c r="I9507" s="711"/>
      <c r="J9507" s="711"/>
      <c r="K9507" s="711"/>
      <c r="L9507" s="711"/>
      <c r="Q9507" s="11"/>
      <c r="R9507" s="11"/>
      <c r="S9507" s="11"/>
      <c r="T9507" s="11"/>
    </row>
    <row r="9508" spans="8:20" x14ac:dyDescent="0.35">
      <c r="H9508" s="711"/>
      <c r="I9508" s="711"/>
      <c r="J9508" s="711"/>
      <c r="K9508" s="711"/>
      <c r="L9508" s="711"/>
      <c r="Q9508" s="11"/>
      <c r="R9508" s="11"/>
      <c r="S9508" s="11"/>
      <c r="T9508" s="11"/>
    </row>
    <row r="9509" spans="8:20" x14ac:dyDescent="0.35">
      <c r="H9509" s="711"/>
      <c r="I9509" s="711"/>
      <c r="J9509" s="711"/>
      <c r="K9509" s="711"/>
      <c r="L9509" s="711"/>
      <c r="Q9509" s="11"/>
      <c r="R9509" s="11"/>
      <c r="S9509" s="11"/>
      <c r="T9509" s="11"/>
    </row>
    <row r="9510" spans="8:20" x14ac:dyDescent="0.35">
      <c r="H9510" s="711"/>
      <c r="I9510" s="711"/>
      <c r="J9510" s="711"/>
      <c r="K9510" s="711"/>
      <c r="L9510" s="711"/>
      <c r="Q9510" s="11"/>
      <c r="R9510" s="11"/>
      <c r="S9510" s="11"/>
      <c r="T9510" s="11"/>
    </row>
    <row r="9511" spans="8:20" x14ac:dyDescent="0.35">
      <c r="H9511" s="711"/>
      <c r="I9511" s="711"/>
      <c r="J9511" s="711"/>
      <c r="K9511" s="711"/>
      <c r="L9511" s="711"/>
      <c r="Q9511" s="11"/>
      <c r="R9511" s="11"/>
      <c r="S9511" s="11"/>
      <c r="T9511" s="11"/>
    </row>
    <row r="9512" spans="8:20" x14ac:dyDescent="0.35">
      <c r="H9512" s="711"/>
      <c r="I9512" s="711"/>
      <c r="J9512" s="711"/>
      <c r="K9512" s="711"/>
      <c r="L9512" s="711"/>
      <c r="Q9512" s="11"/>
      <c r="R9512" s="11"/>
      <c r="S9512" s="11"/>
      <c r="T9512" s="11"/>
    </row>
    <row r="9513" spans="8:20" x14ac:dyDescent="0.35">
      <c r="H9513" s="711"/>
      <c r="I9513" s="711"/>
      <c r="J9513" s="711"/>
      <c r="K9513" s="711"/>
      <c r="L9513" s="711"/>
      <c r="Q9513" s="11"/>
      <c r="R9513" s="11"/>
      <c r="S9513" s="11"/>
      <c r="T9513" s="11"/>
    </row>
    <row r="9514" spans="8:20" x14ac:dyDescent="0.35">
      <c r="H9514" s="711"/>
      <c r="I9514" s="711"/>
      <c r="J9514" s="711"/>
      <c r="K9514" s="711"/>
      <c r="L9514" s="711"/>
      <c r="Q9514" s="11"/>
      <c r="R9514" s="11"/>
      <c r="S9514" s="11"/>
      <c r="T9514" s="11"/>
    </row>
    <row r="9515" spans="8:20" x14ac:dyDescent="0.35">
      <c r="H9515" s="711"/>
      <c r="I9515" s="711"/>
      <c r="J9515" s="711"/>
      <c r="K9515" s="711"/>
      <c r="L9515" s="711"/>
      <c r="Q9515" s="11"/>
      <c r="R9515" s="11"/>
      <c r="S9515" s="11"/>
      <c r="T9515" s="11"/>
    </row>
    <row r="9516" spans="8:20" x14ac:dyDescent="0.35">
      <c r="H9516" s="711"/>
      <c r="I9516" s="711"/>
      <c r="J9516" s="711"/>
      <c r="K9516" s="711"/>
      <c r="L9516" s="711"/>
      <c r="Q9516" s="11"/>
      <c r="R9516" s="11"/>
      <c r="S9516" s="11"/>
      <c r="T9516" s="11"/>
    </row>
    <row r="9517" spans="8:20" x14ac:dyDescent="0.35">
      <c r="H9517" s="711"/>
      <c r="I9517" s="711"/>
      <c r="J9517" s="711"/>
      <c r="K9517" s="711"/>
      <c r="L9517" s="711"/>
      <c r="Q9517" s="11"/>
      <c r="R9517" s="11"/>
      <c r="S9517" s="11"/>
      <c r="T9517" s="11"/>
    </row>
    <row r="9518" spans="8:20" x14ac:dyDescent="0.35">
      <c r="H9518" s="711"/>
      <c r="I9518" s="711"/>
      <c r="J9518" s="711"/>
      <c r="K9518" s="711"/>
      <c r="L9518" s="711"/>
      <c r="Q9518" s="11"/>
      <c r="R9518" s="11"/>
      <c r="S9518" s="11"/>
      <c r="T9518" s="11"/>
    </row>
    <row r="9519" spans="8:20" x14ac:dyDescent="0.35">
      <c r="H9519" s="711"/>
      <c r="I9519" s="711"/>
      <c r="J9519" s="711"/>
      <c r="K9519" s="711"/>
      <c r="L9519" s="711"/>
      <c r="Q9519" s="11"/>
      <c r="R9519" s="11"/>
      <c r="S9519" s="11"/>
      <c r="T9519" s="11"/>
    </row>
    <row r="9520" spans="8:20" x14ac:dyDescent="0.35">
      <c r="H9520" s="711"/>
      <c r="I9520" s="711"/>
      <c r="J9520" s="711"/>
      <c r="K9520" s="711"/>
      <c r="L9520" s="711"/>
      <c r="Q9520" s="11"/>
      <c r="R9520" s="11"/>
      <c r="S9520" s="11"/>
      <c r="T9520" s="11"/>
    </row>
    <row r="9521" spans="8:20" x14ac:dyDescent="0.35">
      <c r="H9521" s="711"/>
      <c r="I9521" s="711"/>
      <c r="J9521" s="711"/>
      <c r="K9521" s="711"/>
      <c r="L9521" s="711"/>
      <c r="Q9521" s="11"/>
      <c r="R9521" s="11"/>
      <c r="S9521" s="11"/>
      <c r="T9521" s="11"/>
    </row>
    <row r="9522" spans="8:20" x14ac:dyDescent="0.35">
      <c r="H9522" s="711"/>
      <c r="I9522" s="711"/>
      <c r="J9522" s="711"/>
      <c r="K9522" s="711"/>
      <c r="L9522" s="711"/>
      <c r="Q9522" s="11"/>
      <c r="R9522" s="11"/>
      <c r="S9522" s="11"/>
      <c r="T9522" s="11"/>
    </row>
    <row r="9523" spans="8:20" x14ac:dyDescent="0.35">
      <c r="H9523" s="711"/>
      <c r="I9523" s="711"/>
      <c r="J9523" s="711"/>
      <c r="K9523" s="711"/>
      <c r="L9523" s="711"/>
      <c r="Q9523" s="11"/>
      <c r="R9523" s="11"/>
      <c r="S9523" s="11"/>
      <c r="T9523" s="11"/>
    </row>
    <row r="9524" spans="8:20" x14ac:dyDescent="0.35">
      <c r="H9524" s="711"/>
      <c r="I9524" s="711"/>
      <c r="J9524" s="711"/>
      <c r="K9524" s="711"/>
      <c r="L9524" s="711"/>
      <c r="Q9524" s="11"/>
      <c r="R9524" s="11"/>
      <c r="S9524" s="11"/>
      <c r="T9524" s="11"/>
    </row>
    <row r="9525" spans="8:20" x14ac:dyDescent="0.35">
      <c r="H9525" s="711"/>
      <c r="I9525" s="711"/>
      <c r="J9525" s="711"/>
      <c r="K9525" s="711"/>
      <c r="L9525" s="711"/>
      <c r="Q9525" s="11"/>
      <c r="R9525" s="11"/>
      <c r="S9525" s="11"/>
      <c r="T9525" s="11"/>
    </row>
    <row r="9526" spans="8:20" x14ac:dyDescent="0.35">
      <c r="H9526" s="711"/>
      <c r="I9526" s="711"/>
      <c r="J9526" s="711"/>
      <c r="K9526" s="711"/>
      <c r="L9526" s="711"/>
      <c r="Q9526" s="11"/>
      <c r="R9526" s="11"/>
      <c r="S9526" s="11"/>
      <c r="T9526" s="11"/>
    </row>
    <row r="9527" spans="8:20" x14ac:dyDescent="0.35">
      <c r="H9527" s="711"/>
      <c r="I9527" s="711"/>
      <c r="J9527" s="711"/>
      <c r="K9527" s="711"/>
      <c r="L9527" s="711"/>
      <c r="Q9527" s="11"/>
      <c r="R9527" s="11"/>
      <c r="S9527" s="11"/>
      <c r="T9527" s="11"/>
    </row>
    <row r="9528" spans="8:20" x14ac:dyDescent="0.35">
      <c r="H9528" s="711"/>
      <c r="I9528" s="711"/>
      <c r="J9528" s="711"/>
      <c r="K9528" s="711"/>
      <c r="L9528" s="711"/>
      <c r="Q9528" s="11"/>
      <c r="R9528" s="11"/>
      <c r="S9528" s="11"/>
      <c r="T9528" s="11"/>
    </row>
    <row r="9529" spans="8:20" x14ac:dyDescent="0.35">
      <c r="H9529" s="711"/>
      <c r="I9529" s="711"/>
      <c r="J9529" s="711"/>
      <c r="K9529" s="711"/>
      <c r="L9529" s="711"/>
      <c r="Q9529" s="11"/>
      <c r="R9529" s="11"/>
      <c r="S9529" s="11"/>
      <c r="T9529" s="11"/>
    </row>
    <row r="9530" spans="8:20" x14ac:dyDescent="0.35">
      <c r="H9530" s="711"/>
      <c r="I9530" s="711"/>
      <c r="J9530" s="711"/>
      <c r="K9530" s="711"/>
      <c r="L9530" s="711"/>
      <c r="Q9530" s="11"/>
      <c r="R9530" s="11"/>
      <c r="S9530" s="11"/>
      <c r="T9530" s="11"/>
    </row>
    <row r="9531" spans="8:20" x14ac:dyDescent="0.35">
      <c r="H9531" s="711"/>
      <c r="I9531" s="711"/>
      <c r="J9531" s="711"/>
      <c r="K9531" s="711"/>
      <c r="L9531" s="711"/>
      <c r="Q9531" s="11"/>
      <c r="R9531" s="11"/>
      <c r="S9531" s="11"/>
      <c r="T9531" s="11"/>
    </row>
    <row r="9532" spans="8:20" x14ac:dyDescent="0.35">
      <c r="H9532" s="711"/>
      <c r="I9532" s="711"/>
      <c r="J9532" s="711"/>
      <c r="K9532" s="711"/>
      <c r="L9532" s="711"/>
      <c r="Q9532" s="11"/>
      <c r="R9532" s="11"/>
      <c r="S9532" s="11"/>
      <c r="T9532" s="11"/>
    </row>
    <row r="9533" spans="8:20" x14ac:dyDescent="0.35">
      <c r="H9533" s="711"/>
      <c r="I9533" s="711"/>
      <c r="J9533" s="711"/>
      <c r="K9533" s="711"/>
      <c r="L9533" s="711"/>
      <c r="Q9533" s="11"/>
      <c r="R9533" s="11"/>
      <c r="S9533" s="11"/>
      <c r="T9533" s="11"/>
    </row>
    <row r="9534" spans="8:20" x14ac:dyDescent="0.35">
      <c r="H9534" s="711"/>
      <c r="I9534" s="711"/>
      <c r="J9534" s="711"/>
      <c r="K9534" s="711"/>
      <c r="L9534" s="711"/>
      <c r="Q9534" s="11"/>
      <c r="R9534" s="11"/>
      <c r="S9534" s="11"/>
      <c r="T9534" s="11"/>
    </row>
    <row r="9535" spans="8:20" x14ac:dyDescent="0.35">
      <c r="H9535" s="711"/>
      <c r="I9535" s="711"/>
      <c r="J9535" s="711"/>
      <c r="K9535" s="711"/>
      <c r="L9535" s="711"/>
      <c r="Q9535" s="11"/>
      <c r="R9535" s="11"/>
      <c r="S9535" s="11"/>
      <c r="T9535" s="11"/>
    </row>
    <row r="9536" spans="8:20" x14ac:dyDescent="0.35">
      <c r="H9536" s="711"/>
      <c r="I9536" s="711"/>
      <c r="J9536" s="711"/>
      <c r="K9536" s="711"/>
      <c r="L9536" s="711"/>
      <c r="Q9536" s="11"/>
      <c r="R9536" s="11"/>
      <c r="S9536" s="11"/>
      <c r="T9536" s="11"/>
    </row>
    <row r="9537" spans="8:20" x14ac:dyDescent="0.35">
      <c r="H9537" s="711"/>
      <c r="I9537" s="711"/>
      <c r="J9537" s="711"/>
      <c r="K9537" s="711"/>
      <c r="L9537" s="711"/>
      <c r="Q9537" s="11"/>
      <c r="R9537" s="11"/>
      <c r="S9537" s="11"/>
      <c r="T9537" s="11"/>
    </row>
    <row r="9538" spans="8:20" x14ac:dyDescent="0.35">
      <c r="H9538" s="711"/>
      <c r="I9538" s="711"/>
      <c r="J9538" s="711"/>
      <c r="K9538" s="711"/>
      <c r="L9538" s="711"/>
      <c r="Q9538" s="11"/>
      <c r="R9538" s="11"/>
      <c r="S9538" s="11"/>
      <c r="T9538" s="11"/>
    </row>
    <row r="9539" spans="8:20" x14ac:dyDescent="0.35">
      <c r="H9539" s="711"/>
      <c r="I9539" s="711"/>
      <c r="J9539" s="711"/>
      <c r="K9539" s="711"/>
      <c r="L9539" s="711"/>
      <c r="Q9539" s="11"/>
      <c r="R9539" s="11"/>
      <c r="S9539" s="11"/>
      <c r="T9539" s="11"/>
    </row>
    <row r="9540" spans="8:20" x14ac:dyDescent="0.35">
      <c r="H9540" s="711"/>
      <c r="I9540" s="711"/>
      <c r="J9540" s="711"/>
      <c r="K9540" s="711"/>
      <c r="L9540" s="711"/>
      <c r="Q9540" s="11"/>
      <c r="R9540" s="11"/>
      <c r="S9540" s="11"/>
      <c r="T9540" s="11"/>
    </row>
    <row r="9541" spans="8:20" x14ac:dyDescent="0.35">
      <c r="H9541" s="711"/>
      <c r="I9541" s="711"/>
      <c r="J9541" s="711"/>
      <c r="K9541" s="711"/>
      <c r="L9541" s="711"/>
      <c r="Q9541" s="11"/>
      <c r="R9541" s="11"/>
      <c r="S9541" s="11"/>
      <c r="T9541" s="11"/>
    </row>
    <row r="9542" spans="8:20" x14ac:dyDescent="0.35">
      <c r="H9542" s="711"/>
      <c r="I9542" s="711"/>
      <c r="J9542" s="711"/>
      <c r="K9542" s="711"/>
      <c r="L9542" s="711"/>
      <c r="Q9542" s="11"/>
      <c r="R9542" s="11"/>
      <c r="S9542" s="11"/>
      <c r="T9542" s="11"/>
    </row>
    <row r="9543" spans="8:20" x14ac:dyDescent="0.35">
      <c r="H9543" s="711"/>
      <c r="I9543" s="711"/>
      <c r="J9543" s="711"/>
      <c r="K9543" s="711"/>
      <c r="L9543" s="711"/>
      <c r="Q9543" s="11"/>
      <c r="R9543" s="11"/>
      <c r="S9543" s="11"/>
      <c r="T9543" s="11"/>
    </row>
    <row r="9544" spans="8:20" x14ac:dyDescent="0.35">
      <c r="H9544" s="711"/>
      <c r="I9544" s="711"/>
      <c r="J9544" s="711"/>
      <c r="K9544" s="711"/>
      <c r="L9544" s="711"/>
      <c r="Q9544" s="11"/>
      <c r="R9544" s="11"/>
      <c r="S9544" s="11"/>
      <c r="T9544" s="11"/>
    </row>
    <row r="9545" spans="8:20" x14ac:dyDescent="0.35">
      <c r="H9545" s="711"/>
      <c r="I9545" s="711"/>
      <c r="J9545" s="711"/>
      <c r="K9545" s="711"/>
      <c r="L9545" s="711"/>
      <c r="Q9545" s="11"/>
      <c r="R9545" s="11"/>
      <c r="S9545" s="11"/>
      <c r="T9545" s="11"/>
    </row>
    <row r="9546" spans="8:20" x14ac:dyDescent="0.35">
      <c r="H9546" s="711"/>
      <c r="I9546" s="711"/>
      <c r="J9546" s="711"/>
      <c r="K9546" s="711"/>
      <c r="L9546" s="711"/>
      <c r="Q9546" s="11"/>
      <c r="R9546" s="11"/>
      <c r="S9546" s="11"/>
      <c r="T9546" s="11"/>
    </row>
    <row r="9547" spans="8:20" x14ac:dyDescent="0.35">
      <c r="H9547" s="711"/>
      <c r="I9547" s="711"/>
      <c r="J9547" s="711"/>
      <c r="K9547" s="711"/>
      <c r="L9547" s="711"/>
      <c r="Q9547" s="11"/>
      <c r="R9547" s="11"/>
      <c r="S9547" s="11"/>
      <c r="T9547" s="11"/>
    </row>
    <row r="9548" spans="8:20" x14ac:dyDescent="0.35">
      <c r="H9548" s="711"/>
      <c r="I9548" s="711"/>
      <c r="J9548" s="711"/>
      <c r="K9548" s="711"/>
      <c r="L9548" s="711"/>
      <c r="Q9548" s="11"/>
      <c r="R9548" s="11"/>
      <c r="S9548" s="11"/>
      <c r="T9548" s="11"/>
    </row>
    <row r="9549" spans="8:20" x14ac:dyDescent="0.35">
      <c r="H9549" s="711"/>
      <c r="I9549" s="711"/>
      <c r="J9549" s="711"/>
      <c r="K9549" s="711"/>
      <c r="L9549" s="711"/>
      <c r="Q9549" s="11"/>
      <c r="R9549" s="11"/>
      <c r="S9549" s="11"/>
      <c r="T9549" s="11"/>
    </row>
    <row r="9550" spans="8:20" x14ac:dyDescent="0.35">
      <c r="H9550" s="711"/>
      <c r="I9550" s="711"/>
      <c r="J9550" s="711"/>
      <c r="K9550" s="711"/>
      <c r="L9550" s="711"/>
      <c r="Q9550" s="11"/>
      <c r="R9550" s="11"/>
      <c r="S9550" s="11"/>
      <c r="T9550" s="11"/>
    </row>
    <row r="9551" spans="8:20" x14ac:dyDescent="0.35">
      <c r="H9551" s="711"/>
      <c r="I9551" s="711"/>
      <c r="J9551" s="711"/>
      <c r="K9551" s="711"/>
      <c r="L9551" s="711"/>
      <c r="Q9551" s="11"/>
      <c r="R9551" s="11"/>
      <c r="S9551" s="11"/>
      <c r="T9551" s="11"/>
    </row>
    <row r="9552" spans="8:20" x14ac:dyDescent="0.35">
      <c r="H9552" s="711"/>
      <c r="I9552" s="711"/>
      <c r="J9552" s="711"/>
      <c r="K9552" s="711"/>
      <c r="L9552" s="711"/>
      <c r="Q9552" s="11"/>
      <c r="R9552" s="11"/>
      <c r="S9552" s="11"/>
      <c r="T9552" s="11"/>
    </row>
    <row r="9553" spans="8:20" x14ac:dyDescent="0.35">
      <c r="H9553" s="711"/>
      <c r="I9553" s="711"/>
      <c r="J9553" s="711"/>
      <c r="K9553" s="711"/>
      <c r="L9553" s="711"/>
      <c r="Q9553" s="11"/>
      <c r="R9553" s="11"/>
      <c r="S9553" s="11"/>
      <c r="T9553" s="11"/>
    </row>
    <row r="9554" spans="8:20" x14ac:dyDescent="0.35">
      <c r="H9554" s="711"/>
      <c r="I9554" s="711"/>
      <c r="J9554" s="711"/>
      <c r="K9554" s="711"/>
      <c r="L9554" s="711"/>
      <c r="Q9554" s="11"/>
      <c r="R9554" s="11"/>
      <c r="S9554" s="11"/>
      <c r="T9554" s="11"/>
    </row>
    <row r="9555" spans="8:20" x14ac:dyDescent="0.35">
      <c r="H9555" s="711"/>
      <c r="I9555" s="711"/>
      <c r="J9555" s="711"/>
      <c r="K9555" s="711"/>
      <c r="L9555" s="711"/>
      <c r="Q9555" s="11"/>
      <c r="R9555" s="11"/>
      <c r="S9555" s="11"/>
      <c r="T9555" s="11"/>
    </row>
    <row r="9556" spans="8:20" x14ac:dyDescent="0.35">
      <c r="H9556" s="711"/>
      <c r="I9556" s="711"/>
      <c r="J9556" s="711"/>
      <c r="K9556" s="711"/>
      <c r="L9556" s="711"/>
      <c r="Q9556" s="11"/>
      <c r="R9556" s="11"/>
      <c r="S9556" s="11"/>
      <c r="T9556" s="11"/>
    </row>
    <row r="9557" spans="8:20" x14ac:dyDescent="0.35">
      <c r="H9557" s="711"/>
      <c r="I9557" s="711"/>
      <c r="J9557" s="711"/>
      <c r="K9557" s="711"/>
      <c r="L9557" s="711"/>
      <c r="Q9557" s="11"/>
      <c r="R9557" s="11"/>
      <c r="S9557" s="11"/>
      <c r="T9557" s="11"/>
    </row>
    <row r="9558" spans="8:20" x14ac:dyDescent="0.35">
      <c r="H9558" s="711"/>
      <c r="I9558" s="711"/>
      <c r="J9558" s="711"/>
      <c r="K9558" s="711"/>
      <c r="L9558" s="711"/>
      <c r="Q9558" s="11"/>
      <c r="R9558" s="11"/>
      <c r="S9558" s="11"/>
      <c r="T9558" s="11"/>
    </row>
    <row r="9559" spans="8:20" x14ac:dyDescent="0.35">
      <c r="H9559" s="711"/>
      <c r="I9559" s="711"/>
      <c r="J9559" s="711"/>
      <c r="K9559" s="711"/>
      <c r="L9559" s="711"/>
      <c r="Q9559" s="11"/>
      <c r="R9559" s="11"/>
      <c r="S9559" s="11"/>
      <c r="T9559" s="11"/>
    </row>
    <row r="9560" spans="8:20" x14ac:dyDescent="0.35">
      <c r="H9560" s="711"/>
      <c r="I9560" s="711"/>
      <c r="J9560" s="711"/>
      <c r="K9560" s="711"/>
      <c r="L9560" s="711"/>
      <c r="Q9560" s="11"/>
      <c r="R9560" s="11"/>
      <c r="S9560" s="11"/>
      <c r="T9560" s="11"/>
    </row>
    <row r="9561" spans="8:20" x14ac:dyDescent="0.35">
      <c r="H9561" s="711"/>
      <c r="I9561" s="711"/>
      <c r="J9561" s="711"/>
      <c r="K9561" s="711"/>
      <c r="L9561" s="711"/>
      <c r="Q9561" s="11"/>
      <c r="R9561" s="11"/>
      <c r="S9561" s="11"/>
      <c r="T9561" s="11"/>
    </row>
    <row r="9562" spans="8:20" x14ac:dyDescent="0.35">
      <c r="H9562" s="711"/>
      <c r="I9562" s="711"/>
      <c r="J9562" s="711"/>
      <c r="K9562" s="711"/>
      <c r="L9562" s="711"/>
      <c r="Q9562" s="11"/>
      <c r="R9562" s="11"/>
      <c r="S9562" s="11"/>
      <c r="T9562" s="11"/>
    </row>
    <row r="9563" spans="8:20" x14ac:dyDescent="0.35">
      <c r="H9563" s="711"/>
      <c r="I9563" s="711"/>
      <c r="J9563" s="711"/>
      <c r="K9563" s="711"/>
      <c r="L9563" s="711"/>
      <c r="Q9563" s="11"/>
      <c r="R9563" s="11"/>
      <c r="S9563" s="11"/>
      <c r="T9563" s="11"/>
    </row>
    <row r="9564" spans="8:20" x14ac:dyDescent="0.35">
      <c r="H9564" s="711"/>
      <c r="I9564" s="711"/>
      <c r="J9564" s="711"/>
      <c r="K9564" s="711"/>
      <c r="L9564" s="711"/>
      <c r="Q9564" s="11"/>
      <c r="R9564" s="11"/>
      <c r="S9564" s="11"/>
      <c r="T9564" s="11"/>
    </row>
    <row r="9565" spans="8:20" x14ac:dyDescent="0.35">
      <c r="H9565" s="711"/>
      <c r="I9565" s="711"/>
      <c r="J9565" s="711"/>
      <c r="K9565" s="711"/>
      <c r="L9565" s="711"/>
      <c r="Q9565" s="11"/>
      <c r="R9565" s="11"/>
      <c r="S9565" s="11"/>
      <c r="T9565" s="11"/>
    </row>
    <row r="9566" spans="8:20" x14ac:dyDescent="0.35">
      <c r="H9566" s="711"/>
      <c r="I9566" s="711"/>
      <c r="J9566" s="711"/>
      <c r="K9566" s="711"/>
      <c r="L9566" s="711"/>
      <c r="Q9566" s="11"/>
      <c r="R9566" s="11"/>
      <c r="S9566" s="11"/>
      <c r="T9566" s="11"/>
    </row>
    <row r="9567" spans="8:20" x14ac:dyDescent="0.35">
      <c r="H9567" s="711"/>
      <c r="I9567" s="711"/>
      <c r="J9567" s="711"/>
      <c r="K9567" s="711"/>
      <c r="L9567" s="711"/>
      <c r="Q9567" s="11"/>
      <c r="R9567" s="11"/>
      <c r="S9567" s="11"/>
      <c r="T9567" s="11"/>
    </row>
    <row r="9568" spans="8:20" x14ac:dyDescent="0.35">
      <c r="H9568" s="711"/>
      <c r="I9568" s="711"/>
      <c r="J9568" s="711"/>
      <c r="K9568" s="711"/>
      <c r="L9568" s="711"/>
      <c r="Q9568" s="11"/>
      <c r="R9568" s="11"/>
      <c r="S9568" s="11"/>
      <c r="T9568" s="11"/>
    </row>
    <row r="9569" spans="8:20" x14ac:dyDescent="0.35">
      <c r="H9569" s="711"/>
      <c r="I9569" s="711"/>
      <c r="J9569" s="711"/>
      <c r="K9569" s="711"/>
      <c r="L9569" s="711"/>
      <c r="Q9569" s="11"/>
      <c r="R9569" s="11"/>
      <c r="S9569" s="11"/>
      <c r="T9569" s="11"/>
    </row>
    <row r="9570" spans="8:20" x14ac:dyDescent="0.35">
      <c r="H9570" s="711"/>
      <c r="I9570" s="711"/>
      <c r="J9570" s="711"/>
      <c r="K9570" s="711"/>
      <c r="L9570" s="711"/>
      <c r="Q9570" s="11"/>
      <c r="R9570" s="11"/>
      <c r="S9570" s="11"/>
      <c r="T9570" s="11"/>
    </row>
    <row r="9571" spans="8:20" x14ac:dyDescent="0.35">
      <c r="H9571" s="711"/>
      <c r="I9571" s="711"/>
      <c r="J9571" s="711"/>
      <c r="K9571" s="711"/>
      <c r="L9571" s="711"/>
      <c r="Q9571" s="11"/>
      <c r="R9571" s="11"/>
      <c r="S9571" s="11"/>
      <c r="T9571" s="11"/>
    </row>
    <row r="9572" spans="8:20" x14ac:dyDescent="0.35">
      <c r="H9572" s="711"/>
      <c r="I9572" s="711"/>
      <c r="J9572" s="711"/>
      <c r="K9572" s="711"/>
      <c r="L9572" s="711"/>
      <c r="Q9572" s="11"/>
      <c r="R9572" s="11"/>
      <c r="S9572" s="11"/>
      <c r="T9572" s="11"/>
    </row>
    <row r="9573" spans="8:20" x14ac:dyDescent="0.35">
      <c r="H9573" s="711"/>
      <c r="I9573" s="711"/>
      <c r="J9573" s="711"/>
      <c r="K9573" s="711"/>
      <c r="L9573" s="711"/>
      <c r="Q9573" s="11"/>
      <c r="R9573" s="11"/>
      <c r="S9573" s="11"/>
      <c r="T9573" s="11"/>
    </row>
    <row r="9574" spans="8:20" x14ac:dyDescent="0.35">
      <c r="H9574" s="711"/>
      <c r="I9574" s="711"/>
      <c r="J9574" s="711"/>
      <c r="K9574" s="711"/>
      <c r="L9574" s="711"/>
      <c r="Q9574" s="11"/>
      <c r="R9574" s="11"/>
      <c r="S9574" s="11"/>
      <c r="T9574" s="11"/>
    </row>
    <row r="9575" spans="8:20" x14ac:dyDescent="0.35">
      <c r="H9575" s="711"/>
      <c r="I9575" s="711"/>
      <c r="J9575" s="711"/>
      <c r="K9575" s="711"/>
      <c r="L9575" s="711"/>
      <c r="Q9575" s="11"/>
      <c r="R9575" s="11"/>
      <c r="S9575" s="11"/>
      <c r="T9575" s="11"/>
    </row>
    <row r="9576" spans="8:20" x14ac:dyDescent="0.35">
      <c r="H9576" s="711"/>
      <c r="I9576" s="711"/>
      <c r="J9576" s="711"/>
      <c r="K9576" s="711"/>
      <c r="L9576" s="711"/>
      <c r="Q9576" s="11"/>
      <c r="R9576" s="11"/>
      <c r="S9576" s="11"/>
      <c r="T9576" s="11"/>
    </row>
    <row r="9577" spans="8:20" x14ac:dyDescent="0.35">
      <c r="H9577" s="711"/>
      <c r="I9577" s="711"/>
      <c r="J9577" s="711"/>
      <c r="K9577" s="711"/>
      <c r="L9577" s="711"/>
      <c r="Q9577" s="11"/>
      <c r="R9577" s="11"/>
      <c r="S9577" s="11"/>
      <c r="T9577" s="11"/>
    </row>
    <row r="9578" spans="8:20" x14ac:dyDescent="0.35">
      <c r="H9578" s="711"/>
      <c r="I9578" s="711"/>
      <c r="J9578" s="711"/>
      <c r="K9578" s="711"/>
      <c r="L9578" s="711"/>
      <c r="Q9578" s="11"/>
      <c r="R9578" s="11"/>
      <c r="S9578" s="11"/>
      <c r="T9578" s="11"/>
    </row>
    <row r="9579" spans="8:20" x14ac:dyDescent="0.35">
      <c r="H9579" s="711"/>
      <c r="I9579" s="711"/>
      <c r="J9579" s="711"/>
      <c r="K9579" s="711"/>
      <c r="L9579" s="711"/>
      <c r="Q9579" s="11"/>
      <c r="R9579" s="11"/>
      <c r="S9579" s="11"/>
      <c r="T9579" s="11"/>
    </row>
    <row r="9580" spans="8:20" x14ac:dyDescent="0.35">
      <c r="H9580" s="711"/>
      <c r="I9580" s="711"/>
      <c r="J9580" s="711"/>
      <c r="K9580" s="711"/>
      <c r="L9580" s="711"/>
      <c r="Q9580" s="11"/>
      <c r="R9580" s="11"/>
      <c r="S9580" s="11"/>
      <c r="T9580" s="11"/>
    </row>
    <row r="9581" spans="8:20" x14ac:dyDescent="0.35">
      <c r="H9581" s="711"/>
      <c r="I9581" s="711"/>
      <c r="J9581" s="711"/>
      <c r="K9581" s="711"/>
      <c r="L9581" s="711"/>
      <c r="Q9581" s="11"/>
      <c r="R9581" s="11"/>
      <c r="S9581" s="11"/>
      <c r="T9581" s="11"/>
    </row>
    <row r="9582" spans="8:20" x14ac:dyDescent="0.35">
      <c r="H9582" s="711"/>
      <c r="I9582" s="711"/>
      <c r="J9582" s="711"/>
      <c r="K9582" s="711"/>
      <c r="L9582" s="711"/>
      <c r="Q9582" s="11"/>
      <c r="R9582" s="11"/>
      <c r="S9582" s="11"/>
      <c r="T9582" s="11"/>
    </row>
    <row r="9583" spans="8:20" x14ac:dyDescent="0.35">
      <c r="H9583" s="711"/>
      <c r="I9583" s="711"/>
      <c r="J9583" s="711"/>
      <c r="K9583" s="711"/>
      <c r="L9583" s="711"/>
      <c r="Q9583" s="11"/>
      <c r="R9583" s="11"/>
      <c r="S9583" s="11"/>
      <c r="T9583" s="11"/>
    </row>
    <row r="9584" spans="8:20" x14ac:dyDescent="0.35">
      <c r="H9584" s="711"/>
      <c r="I9584" s="711"/>
      <c r="J9584" s="711"/>
      <c r="K9584" s="711"/>
      <c r="L9584" s="711"/>
      <c r="Q9584" s="11"/>
      <c r="R9584" s="11"/>
      <c r="S9584" s="11"/>
      <c r="T9584" s="11"/>
    </row>
    <row r="9585" spans="8:20" x14ac:dyDescent="0.35">
      <c r="H9585" s="711"/>
      <c r="I9585" s="711"/>
      <c r="J9585" s="711"/>
      <c r="K9585" s="711"/>
      <c r="L9585" s="711"/>
      <c r="Q9585" s="11"/>
      <c r="R9585" s="11"/>
      <c r="S9585" s="11"/>
      <c r="T9585" s="11"/>
    </row>
    <row r="9586" spans="8:20" x14ac:dyDescent="0.35">
      <c r="H9586" s="711"/>
      <c r="I9586" s="711"/>
      <c r="J9586" s="711"/>
      <c r="K9586" s="711"/>
      <c r="L9586" s="711"/>
      <c r="Q9586" s="11"/>
      <c r="R9586" s="11"/>
      <c r="S9586" s="11"/>
      <c r="T9586" s="11"/>
    </row>
    <row r="9587" spans="8:20" x14ac:dyDescent="0.35">
      <c r="H9587" s="711"/>
      <c r="I9587" s="711"/>
      <c r="J9587" s="711"/>
      <c r="K9587" s="711"/>
      <c r="L9587" s="711"/>
      <c r="Q9587" s="11"/>
      <c r="R9587" s="11"/>
      <c r="S9587" s="11"/>
      <c r="T9587" s="11"/>
    </row>
    <row r="9588" spans="8:20" x14ac:dyDescent="0.35">
      <c r="H9588" s="711"/>
      <c r="I9588" s="711"/>
      <c r="J9588" s="711"/>
      <c r="K9588" s="711"/>
      <c r="L9588" s="711"/>
      <c r="Q9588" s="11"/>
      <c r="R9588" s="11"/>
      <c r="S9588" s="11"/>
      <c r="T9588" s="11"/>
    </row>
    <row r="9589" spans="8:20" x14ac:dyDescent="0.35">
      <c r="H9589" s="711"/>
      <c r="I9589" s="711"/>
      <c r="J9589" s="711"/>
      <c r="K9589" s="711"/>
      <c r="L9589" s="711"/>
      <c r="Q9589" s="11"/>
      <c r="R9589" s="11"/>
      <c r="S9589" s="11"/>
      <c r="T9589" s="11"/>
    </row>
    <row r="9590" spans="8:20" x14ac:dyDescent="0.35">
      <c r="H9590" s="711"/>
      <c r="I9590" s="711"/>
      <c r="J9590" s="711"/>
      <c r="K9590" s="711"/>
      <c r="L9590" s="711"/>
      <c r="Q9590" s="11"/>
      <c r="R9590" s="11"/>
      <c r="S9590" s="11"/>
      <c r="T9590" s="11"/>
    </row>
    <row r="9591" spans="8:20" x14ac:dyDescent="0.35">
      <c r="H9591" s="711"/>
      <c r="I9591" s="711"/>
      <c r="J9591" s="711"/>
      <c r="K9591" s="711"/>
      <c r="L9591" s="711"/>
      <c r="Q9591" s="11"/>
      <c r="R9591" s="11"/>
      <c r="S9591" s="11"/>
      <c r="T9591" s="11"/>
    </row>
    <row r="9592" spans="8:20" x14ac:dyDescent="0.35">
      <c r="H9592" s="711"/>
      <c r="I9592" s="711"/>
      <c r="J9592" s="711"/>
      <c r="K9592" s="711"/>
      <c r="L9592" s="711"/>
      <c r="Q9592" s="11"/>
      <c r="R9592" s="11"/>
      <c r="S9592" s="11"/>
      <c r="T9592" s="11"/>
    </row>
    <row r="9593" spans="8:20" x14ac:dyDescent="0.35">
      <c r="H9593" s="711"/>
      <c r="I9593" s="711"/>
      <c r="J9593" s="711"/>
      <c r="K9593" s="711"/>
      <c r="L9593" s="711"/>
      <c r="Q9593" s="11"/>
      <c r="R9593" s="11"/>
      <c r="S9593" s="11"/>
      <c r="T9593" s="11"/>
    </row>
    <row r="9594" spans="8:20" x14ac:dyDescent="0.35">
      <c r="H9594" s="711"/>
      <c r="I9594" s="711"/>
      <c r="J9594" s="711"/>
      <c r="K9594" s="711"/>
      <c r="L9594" s="711"/>
      <c r="Q9594" s="11"/>
      <c r="R9594" s="11"/>
      <c r="S9594" s="11"/>
      <c r="T9594" s="11"/>
    </row>
    <row r="9595" spans="8:20" x14ac:dyDescent="0.35">
      <c r="H9595" s="711"/>
      <c r="I9595" s="711"/>
      <c r="J9595" s="711"/>
      <c r="K9595" s="711"/>
      <c r="L9595" s="711"/>
      <c r="Q9595" s="11"/>
      <c r="R9595" s="11"/>
      <c r="S9595" s="11"/>
      <c r="T9595" s="11"/>
    </row>
    <row r="9596" spans="8:20" x14ac:dyDescent="0.35">
      <c r="H9596" s="711"/>
      <c r="I9596" s="711"/>
      <c r="J9596" s="711"/>
      <c r="K9596" s="711"/>
      <c r="L9596" s="711"/>
      <c r="Q9596" s="11"/>
      <c r="R9596" s="11"/>
      <c r="S9596" s="11"/>
      <c r="T9596" s="11"/>
    </row>
    <row r="9597" spans="8:20" x14ac:dyDescent="0.35">
      <c r="H9597" s="711"/>
      <c r="I9597" s="711"/>
      <c r="J9597" s="711"/>
      <c r="K9597" s="711"/>
      <c r="L9597" s="711"/>
      <c r="Q9597" s="11"/>
      <c r="R9597" s="11"/>
      <c r="S9597" s="11"/>
      <c r="T9597" s="11"/>
    </row>
    <row r="9598" spans="8:20" x14ac:dyDescent="0.35">
      <c r="H9598" s="711"/>
      <c r="I9598" s="711"/>
      <c r="J9598" s="711"/>
      <c r="K9598" s="711"/>
      <c r="L9598" s="711"/>
      <c r="Q9598" s="11"/>
      <c r="R9598" s="11"/>
      <c r="S9598" s="11"/>
      <c r="T9598" s="11"/>
    </row>
    <row r="9599" spans="8:20" x14ac:dyDescent="0.35">
      <c r="H9599" s="711"/>
      <c r="I9599" s="711"/>
      <c r="J9599" s="711"/>
      <c r="K9599" s="711"/>
      <c r="L9599" s="711"/>
      <c r="Q9599" s="11"/>
      <c r="R9599" s="11"/>
      <c r="S9599" s="11"/>
      <c r="T9599" s="11"/>
    </row>
    <row r="9600" spans="8:20" x14ac:dyDescent="0.35">
      <c r="H9600" s="711"/>
      <c r="I9600" s="711"/>
      <c r="J9600" s="711"/>
      <c r="K9600" s="711"/>
      <c r="L9600" s="711"/>
      <c r="Q9600" s="11"/>
      <c r="R9600" s="11"/>
      <c r="S9600" s="11"/>
      <c r="T9600" s="11"/>
    </row>
    <row r="9601" spans="8:20" x14ac:dyDescent="0.35">
      <c r="H9601" s="711"/>
      <c r="I9601" s="711"/>
      <c r="J9601" s="711"/>
      <c r="K9601" s="711"/>
      <c r="L9601" s="711"/>
      <c r="Q9601" s="11"/>
      <c r="R9601" s="11"/>
      <c r="S9601" s="11"/>
      <c r="T9601" s="11"/>
    </row>
    <row r="9602" spans="8:20" x14ac:dyDescent="0.35">
      <c r="H9602" s="711"/>
      <c r="I9602" s="711"/>
      <c r="J9602" s="711"/>
      <c r="K9602" s="711"/>
      <c r="L9602" s="711"/>
      <c r="Q9602" s="11"/>
      <c r="R9602" s="11"/>
      <c r="S9602" s="11"/>
      <c r="T9602" s="11"/>
    </row>
    <row r="9603" spans="8:20" x14ac:dyDescent="0.35">
      <c r="H9603" s="711"/>
      <c r="I9603" s="711"/>
      <c r="J9603" s="711"/>
      <c r="K9603" s="711"/>
      <c r="L9603" s="711"/>
      <c r="Q9603" s="11"/>
      <c r="R9603" s="11"/>
      <c r="S9603" s="11"/>
      <c r="T9603" s="11"/>
    </row>
    <row r="9604" spans="8:20" x14ac:dyDescent="0.35">
      <c r="H9604" s="711"/>
      <c r="I9604" s="711"/>
      <c r="J9604" s="711"/>
      <c r="K9604" s="711"/>
      <c r="L9604" s="711"/>
      <c r="Q9604" s="11"/>
      <c r="R9604" s="11"/>
      <c r="S9604" s="11"/>
      <c r="T9604" s="11"/>
    </row>
    <row r="9605" spans="8:20" x14ac:dyDescent="0.35">
      <c r="H9605" s="711"/>
      <c r="I9605" s="711"/>
      <c r="J9605" s="711"/>
      <c r="K9605" s="711"/>
      <c r="L9605" s="711"/>
      <c r="Q9605" s="11"/>
      <c r="R9605" s="11"/>
      <c r="S9605" s="11"/>
      <c r="T9605" s="11"/>
    </row>
    <row r="9606" spans="8:20" x14ac:dyDescent="0.35">
      <c r="H9606" s="711"/>
      <c r="I9606" s="711"/>
      <c r="J9606" s="711"/>
      <c r="K9606" s="711"/>
      <c r="L9606" s="711"/>
      <c r="Q9606" s="11"/>
      <c r="R9606" s="11"/>
      <c r="S9606" s="11"/>
      <c r="T9606" s="11"/>
    </row>
    <row r="9607" spans="8:20" x14ac:dyDescent="0.35">
      <c r="H9607" s="711"/>
      <c r="I9607" s="711"/>
      <c r="J9607" s="711"/>
      <c r="K9607" s="711"/>
      <c r="L9607" s="711"/>
      <c r="Q9607" s="11"/>
      <c r="R9607" s="11"/>
      <c r="S9607" s="11"/>
      <c r="T9607" s="11"/>
    </row>
    <row r="9608" spans="8:20" x14ac:dyDescent="0.35">
      <c r="H9608" s="711"/>
      <c r="I9608" s="711"/>
      <c r="J9608" s="711"/>
      <c r="K9608" s="711"/>
      <c r="L9608" s="711"/>
      <c r="Q9608" s="11"/>
      <c r="R9608" s="11"/>
      <c r="S9608" s="11"/>
      <c r="T9608" s="11"/>
    </row>
    <row r="9609" spans="8:20" x14ac:dyDescent="0.35">
      <c r="H9609" s="711"/>
      <c r="I9609" s="711"/>
      <c r="J9609" s="711"/>
      <c r="K9609" s="711"/>
      <c r="L9609" s="711"/>
      <c r="Q9609" s="11"/>
      <c r="R9609" s="11"/>
      <c r="S9609" s="11"/>
      <c r="T9609" s="11"/>
    </row>
    <row r="9610" spans="8:20" x14ac:dyDescent="0.35">
      <c r="H9610" s="711"/>
      <c r="I9610" s="711"/>
      <c r="J9610" s="711"/>
      <c r="K9610" s="711"/>
      <c r="L9610" s="711"/>
      <c r="Q9610" s="11"/>
      <c r="R9610" s="11"/>
      <c r="S9610" s="11"/>
      <c r="T9610" s="11"/>
    </row>
    <row r="9611" spans="8:20" x14ac:dyDescent="0.35">
      <c r="H9611" s="711"/>
      <c r="I9611" s="711"/>
      <c r="J9611" s="711"/>
      <c r="K9611" s="711"/>
      <c r="L9611" s="711"/>
      <c r="Q9611" s="11"/>
      <c r="R9611" s="11"/>
      <c r="S9611" s="11"/>
      <c r="T9611" s="11"/>
    </row>
    <row r="9612" spans="8:20" x14ac:dyDescent="0.35">
      <c r="H9612" s="711"/>
      <c r="I9612" s="711"/>
      <c r="J9612" s="711"/>
      <c r="K9612" s="711"/>
      <c r="L9612" s="711"/>
      <c r="Q9612" s="11"/>
      <c r="R9612" s="11"/>
      <c r="S9612" s="11"/>
      <c r="T9612" s="11"/>
    </row>
    <row r="9613" spans="8:20" x14ac:dyDescent="0.35">
      <c r="H9613" s="711"/>
      <c r="I9613" s="711"/>
      <c r="J9613" s="711"/>
      <c r="K9613" s="711"/>
      <c r="L9613" s="711"/>
      <c r="Q9613" s="11"/>
      <c r="R9613" s="11"/>
      <c r="S9613" s="11"/>
      <c r="T9613" s="11"/>
    </row>
    <row r="9614" spans="8:20" x14ac:dyDescent="0.35">
      <c r="H9614" s="711"/>
      <c r="I9614" s="711"/>
      <c r="J9614" s="711"/>
      <c r="K9614" s="711"/>
      <c r="L9614" s="711"/>
      <c r="Q9614" s="11"/>
      <c r="R9614" s="11"/>
      <c r="S9614" s="11"/>
      <c r="T9614" s="11"/>
    </row>
    <row r="9615" spans="8:20" x14ac:dyDescent="0.35">
      <c r="H9615" s="711"/>
      <c r="I9615" s="711"/>
      <c r="J9615" s="711"/>
      <c r="K9615" s="711"/>
      <c r="L9615" s="711"/>
      <c r="Q9615" s="11"/>
      <c r="R9615" s="11"/>
      <c r="S9615" s="11"/>
      <c r="T9615" s="11"/>
    </row>
    <row r="9616" spans="8:20" x14ac:dyDescent="0.35">
      <c r="H9616" s="711"/>
      <c r="I9616" s="711"/>
      <c r="J9616" s="711"/>
      <c r="K9616" s="711"/>
      <c r="L9616" s="711"/>
      <c r="Q9616" s="11"/>
      <c r="R9616" s="11"/>
      <c r="S9616" s="11"/>
      <c r="T9616" s="11"/>
    </row>
    <row r="9617" spans="8:20" x14ac:dyDescent="0.35">
      <c r="H9617" s="711"/>
      <c r="I9617" s="711"/>
      <c r="J9617" s="711"/>
      <c r="K9617" s="711"/>
      <c r="L9617" s="711"/>
      <c r="Q9617" s="11"/>
      <c r="R9617" s="11"/>
      <c r="S9617" s="11"/>
      <c r="T9617" s="11"/>
    </row>
    <row r="9618" spans="8:20" x14ac:dyDescent="0.35">
      <c r="H9618" s="711"/>
      <c r="I9618" s="711"/>
      <c r="J9618" s="711"/>
      <c r="K9618" s="711"/>
      <c r="L9618" s="711"/>
      <c r="Q9618" s="11"/>
      <c r="R9618" s="11"/>
      <c r="S9618" s="11"/>
      <c r="T9618" s="11"/>
    </row>
    <row r="9619" spans="8:20" x14ac:dyDescent="0.35">
      <c r="H9619" s="711"/>
      <c r="I9619" s="711"/>
      <c r="J9619" s="711"/>
      <c r="K9619" s="711"/>
      <c r="L9619" s="711"/>
      <c r="Q9619" s="11"/>
      <c r="R9619" s="11"/>
      <c r="S9619" s="11"/>
      <c r="T9619" s="11"/>
    </row>
    <row r="9620" spans="8:20" x14ac:dyDescent="0.35">
      <c r="H9620" s="711"/>
      <c r="I9620" s="711"/>
      <c r="J9620" s="711"/>
      <c r="K9620" s="711"/>
      <c r="L9620" s="711"/>
      <c r="Q9620" s="11"/>
      <c r="R9620" s="11"/>
      <c r="S9620" s="11"/>
      <c r="T9620" s="11"/>
    </row>
    <row r="9621" spans="8:20" x14ac:dyDescent="0.35">
      <c r="H9621" s="711"/>
      <c r="I9621" s="711"/>
      <c r="J9621" s="711"/>
      <c r="K9621" s="711"/>
      <c r="L9621" s="711"/>
      <c r="Q9621" s="11"/>
      <c r="R9621" s="11"/>
      <c r="S9621" s="11"/>
      <c r="T9621" s="11"/>
    </row>
    <row r="9622" spans="8:20" x14ac:dyDescent="0.35">
      <c r="H9622" s="711"/>
      <c r="I9622" s="711"/>
      <c r="J9622" s="711"/>
      <c r="K9622" s="711"/>
      <c r="L9622" s="711"/>
      <c r="Q9622" s="11"/>
      <c r="R9622" s="11"/>
      <c r="S9622" s="11"/>
      <c r="T9622" s="11"/>
    </row>
    <row r="9623" spans="8:20" x14ac:dyDescent="0.35">
      <c r="H9623" s="711"/>
      <c r="I9623" s="711"/>
      <c r="J9623" s="711"/>
      <c r="K9623" s="711"/>
      <c r="L9623" s="711"/>
      <c r="Q9623" s="11"/>
      <c r="R9623" s="11"/>
      <c r="S9623" s="11"/>
      <c r="T9623" s="11"/>
    </row>
    <row r="9624" spans="8:20" x14ac:dyDescent="0.35">
      <c r="H9624" s="711"/>
      <c r="I9624" s="711"/>
      <c r="J9624" s="711"/>
      <c r="K9624" s="711"/>
      <c r="L9624" s="711"/>
      <c r="Q9624" s="11"/>
      <c r="R9624" s="11"/>
      <c r="S9624" s="11"/>
      <c r="T9624" s="11"/>
    </row>
    <row r="9625" spans="8:20" x14ac:dyDescent="0.35">
      <c r="H9625" s="711"/>
      <c r="I9625" s="711"/>
      <c r="J9625" s="711"/>
      <c r="K9625" s="711"/>
      <c r="L9625" s="711"/>
      <c r="Q9625" s="11"/>
      <c r="R9625" s="11"/>
      <c r="S9625" s="11"/>
      <c r="T9625" s="11"/>
    </row>
    <row r="9626" spans="8:20" x14ac:dyDescent="0.35">
      <c r="H9626" s="711"/>
      <c r="I9626" s="711"/>
      <c r="J9626" s="711"/>
      <c r="K9626" s="711"/>
      <c r="L9626" s="711"/>
      <c r="Q9626" s="11"/>
      <c r="R9626" s="11"/>
      <c r="S9626" s="11"/>
      <c r="T9626" s="11"/>
    </row>
    <row r="9627" spans="8:20" x14ac:dyDescent="0.35">
      <c r="H9627" s="711"/>
      <c r="I9627" s="711"/>
      <c r="J9627" s="711"/>
      <c r="K9627" s="711"/>
      <c r="L9627" s="711"/>
      <c r="Q9627" s="11"/>
      <c r="R9627" s="11"/>
      <c r="S9627" s="11"/>
      <c r="T9627" s="11"/>
    </row>
    <row r="9628" spans="8:20" x14ac:dyDescent="0.35">
      <c r="H9628" s="711"/>
      <c r="I9628" s="711"/>
      <c r="J9628" s="711"/>
      <c r="K9628" s="711"/>
      <c r="L9628" s="711"/>
      <c r="Q9628" s="11"/>
      <c r="R9628" s="11"/>
      <c r="S9628" s="11"/>
      <c r="T9628" s="11"/>
    </row>
    <row r="9629" spans="8:20" x14ac:dyDescent="0.35">
      <c r="H9629" s="711"/>
      <c r="I9629" s="711"/>
      <c r="J9629" s="711"/>
      <c r="K9629" s="711"/>
      <c r="L9629" s="711"/>
      <c r="Q9629" s="11"/>
      <c r="R9629" s="11"/>
      <c r="S9629" s="11"/>
      <c r="T9629" s="11"/>
    </row>
    <row r="9630" spans="8:20" x14ac:dyDescent="0.35">
      <c r="H9630" s="711"/>
      <c r="I9630" s="711"/>
      <c r="J9630" s="711"/>
      <c r="K9630" s="711"/>
      <c r="L9630" s="711"/>
      <c r="Q9630" s="11"/>
      <c r="R9630" s="11"/>
      <c r="S9630" s="11"/>
      <c r="T9630" s="11"/>
    </row>
    <row r="9631" spans="8:20" x14ac:dyDescent="0.35">
      <c r="H9631" s="711"/>
      <c r="I9631" s="711"/>
      <c r="J9631" s="711"/>
      <c r="K9631" s="711"/>
      <c r="L9631" s="711"/>
      <c r="Q9631" s="11"/>
      <c r="R9631" s="11"/>
      <c r="S9631" s="11"/>
      <c r="T9631" s="11"/>
    </row>
    <row r="9632" spans="8:20" x14ac:dyDescent="0.35">
      <c r="H9632" s="711"/>
      <c r="I9632" s="711"/>
      <c r="J9632" s="711"/>
      <c r="K9632" s="711"/>
      <c r="L9632" s="711"/>
      <c r="Q9632" s="11"/>
      <c r="R9632" s="11"/>
      <c r="S9632" s="11"/>
      <c r="T9632" s="11"/>
    </row>
    <row r="9633" spans="8:20" x14ac:dyDescent="0.35">
      <c r="H9633" s="711"/>
      <c r="I9633" s="711"/>
      <c r="J9633" s="711"/>
      <c r="K9633" s="711"/>
      <c r="L9633" s="711"/>
      <c r="Q9633" s="11"/>
      <c r="R9633" s="11"/>
      <c r="S9633" s="11"/>
      <c r="T9633" s="11"/>
    </row>
    <row r="9634" spans="8:20" x14ac:dyDescent="0.35">
      <c r="H9634" s="711"/>
      <c r="I9634" s="711"/>
      <c r="J9634" s="711"/>
      <c r="K9634" s="711"/>
      <c r="L9634" s="711"/>
      <c r="Q9634" s="11"/>
      <c r="R9634" s="11"/>
      <c r="S9634" s="11"/>
      <c r="T9634" s="11"/>
    </row>
    <row r="9635" spans="8:20" x14ac:dyDescent="0.35">
      <c r="H9635" s="711"/>
      <c r="I9635" s="711"/>
      <c r="J9635" s="711"/>
      <c r="K9635" s="711"/>
      <c r="L9635" s="711"/>
      <c r="Q9635" s="11"/>
      <c r="R9635" s="11"/>
      <c r="S9635" s="11"/>
      <c r="T9635" s="11"/>
    </row>
    <row r="9636" spans="8:20" x14ac:dyDescent="0.35">
      <c r="H9636" s="711"/>
      <c r="I9636" s="711"/>
      <c r="J9636" s="711"/>
      <c r="K9636" s="711"/>
      <c r="L9636" s="711"/>
      <c r="Q9636" s="11"/>
      <c r="R9636" s="11"/>
      <c r="S9636" s="11"/>
      <c r="T9636" s="11"/>
    </row>
    <row r="9637" spans="8:20" x14ac:dyDescent="0.35">
      <c r="H9637" s="711"/>
      <c r="I9637" s="711"/>
      <c r="J9637" s="711"/>
      <c r="K9637" s="711"/>
      <c r="L9637" s="711"/>
      <c r="Q9637" s="11"/>
      <c r="R9637" s="11"/>
      <c r="S9637" s="11"/>
      <c r="T9637" s="11"/>
    </row>
    <row r="9638" spans="8:20" x14ac:dyDescent="0.35">
      <c r="H9638" s="711"/>
      <c r="I9638" s="711"/>
      <c r="J9638" s="711"/>
      <c r="K9638" s="711"/>
      <c r="L9638" s="711"/>
      <c r="Q9638" s="11"/>
      <c r="R9638" s="11"/>
      <c r="S9638" s="11"/>
      <c r="T9638" s="11"/>
    </row>
    <row r="9639" spans="8:20" x14ac:dyDescent="0.35">
      <c r="H9639" s="711"/>
      <c r="I9639" s="711"/>
      <c r="J9639" s="711"/>
      <c r="K9639" s="711"/>
      <c r="L9639" s="711"/>
      <c r="Q9639" s="11"/>
      <c r="R9639" s="11"/>
      <c r="S9639" s="11"/>
      <c r="T9639" s="11"/>
    </row>
    <row r="9640" spans="8:20" x14ac:dyDescent="0.35">
      <c r="H9640" s="711"/>
      <c r="I9640" s="711"/>
      <c r="J9640" s="711"/>
      <c r="K9640" s="711"/>
      <c r="L9640" s="711"/>
      <c r="Q9640" s="11"/>
      <c r="R9640" s="11"/>
      <c r="S9640" s="11"/>
      <c r="T9640" s="11"/>
    </row>
    <row r="9641" spans="8:20" x14ac:dyDescent="0.35">
      <c r="H9641" s="711"/>
      <c r="I9641" s="711"/>
      <c r="J9641" s="711"/>
      <c r="K9641" s="711"/>
      <c r="L9641" s="711"/>
      <c r="Q9641" s="11"/>
      <c r="R9641" s="11"/>
      <c r="S9641" s="11"/>
      <c r="T9641" s="11"/>
    </row>
    <row r="9642" spans="8:20" x14ac:dyDescent="0.35">
      <c r="H9642" s="711"/>
      <c r="I9642" s="711"/>
      <c r="J9642" s="711"/>
      <c r="K9642" s="711"/>
      <c r="L9642" s="711"/>
      <c r="Q9642" s="11"/>
      <c r="R9642" s="11"/>
      <c r="S9642" s="11"/>
      <c r="T9642" s="11"/>
    </row>
    <row r="9643" spans="8:20" x14ac:dyDescent="0.35">
      <c r="H9643" s="711"/>
      <c r="I9643" s="711"/>
      <c r="J9643" s="711"/>
      <c r="K9643" s="711"/>
      <c r="L9643" s="711"/>
      <c r="Q9643" s="11"/>
      <c r="R9643" s="11"/>
      <c r="S9643" s="11"/>
      <c r="T9643" s="11"/>
    </row>
    <row r="9644" spans="8:20" x14ac:dyDescent="0.35">
      <c r="H9644" s="711"/>
      <c r="I9644" s="711"/>
      <c r="J9644" s="711"/>
      <c r="K9644" s="711"/>
      <c r="L9644" s="711"/>
      <c r="Q9644" s="11"/>
      <c r="R9644" s="11"/>
      <c r="S9644" s="11"/>
      <c r="T9644" s="11"/>
    </row>
    <row r="9645" spans="8:20" x14ac:dyDescent="0.35">
      <c r="H9645" s="711"/>
      <c r="I9645" s="711"/>
      <c r="J9645" s="711"/>
      <c r="K9645" s="711"/>
      <c r="L9645" s="711"/>
      <c r="Q9645" s="11"/>
      <c r="R9645" s="11"/>
      <c r="S9645" s="11"/>
      <c r="T9645" s="11"/>
    </row>
    <row r="9646" spans="8:20" x14ac:dyDescent="0.35">
      <c r="H9646" s="711"/>
      <c r="I9646" s="711"/>
      <c r="J9646" s="711"/>
      <c r="K9646" s="711"/>
      <c r="L9646" s="711"/>
      <c r="Q9646" s="11"/>
      <c r="R9646" s="11"/>
      <c r="S9646" s="11"/>
      <c r="T9646" s="11"/>
    </row>
    <row r="9647" spans="8:20" x14ac:dyDescent="0.35">
      <c r="H9647" s="711"/>
      <c r="I9647" s="711"/>
      <c r="J9647" s="711"/>
      <c r="K9647" s="711"/>
      <c r="L9647" s="711"/>
      <c r="Q9647" s="11"/>
      <c r="R9647" s="11"/>
      <c r="S9647" s="11"/>
      <c r="T9647" s="11"/>
    </row>
    <row r="9648" spans="8:20" x14ac:dyDescent="0.35">
      <c r="H9648" s="711"/>
      <c r="I9648" s="711"/>
      <c r="J9648" s="711"/>
      <c r="K9648" s="711"/>
      <c r="L9648" s="711"/>
      <c r="Q9648" s="11"/>
      <c r="R9648" s="11"/>
      <c r="S9648" s="11"/>
      <c r="T9648" s="11"/>
    </row>
    <row r="9649" spans="8:20" x14ac:dyDescent="0.35">
      <c r="H9649" s="711"/>
      <c r="I9649" s="711"/>
      <c r="J9649" s="711"/>
      <c r="K9649" s="711"/>
      <c r="L9649" s="711"/>
      <c r="Q9649" s="11"/>
      <c r="R9649" s="11"/>
      <c r="S9649" s="11"/>
      <c r="T9649" s="11"/>
    </row>
    <row r="9650" spans="8:20" x14ac:dyDescent="0.35">
      <c r="H9650" s="711"/>
      <c r="I9650" s="711"/>
      <c r="J9650" s="711"/>
      <c r="K9650" s="711"/>
      <c r="L9650" s="711"/>
      <c r="Q9650" s="11"/>
      <c r="R9650" s="11"/>
      <c r="S9650" s="11"/>
      <c r="T9650" s="11"/>
    </row>
    <row r="9651" spans="8:20" x14ac:dyDescent="0.35">
      <c r="H9651" s="711"/>
      <c r="I9651" s="711"/>
      <c r="J9651" s="711"/>
      <c r="K9651" s="711"/>
      <c r="L9651" s="711"/>
      <c r="Q9651" s="11"/>
      <c r="R9651" s="11"/>
      <c r="S9651" s="11"/>
      <c r="T9651" s="11"/>
    </row>
    <row r="9652" spans="8:20" x14ac:dyDescent="0.35">
      <c r="H9652" s="711"/>
      <c r="I9652" s="711"/>
      <c r="J9652" s="711"/>
      <c r="K9652" s="711"/>
      <c r="L9652" s="711"/>
      <c r="Q9652" s="11"/>
      <c r="R9652" s="11"/>
      <c r="S9652" s="11"/>
      <c r="T9652" s="11"/>
    </row>
    <row r="9653" spans="8:20" x14ac:dyDescent="0.35">
      <c r="H9653" s="711"/>
      <c r="I9653" s="711"/>
      <c r="J9653" s="711"/>
      <c r="K9653" s="711"/>
      <c r="L9653" s="711"/>
      <c r="Q9653" s="11"/>
      <c r="R9653" s="11"/>
      <c r="S9653" s="11"/>
      <c r="T9653" s="11"/>
    </row>
    <row r="9654" spans="8:20" x14ac:dyDescent="0.35">
      <c r="H9654" s="711"/>
      <c r="I9654" s="711"/>
      <c r="J9654" s="711"/>
      <c r="K9654" s="711"/>
      <c r="L9654" s="711"/>
      <c r="Q9654" s="11"/>
      <c r="R9654" s="11"/>
      <c r="S9654" s="11"/>
      <c r="T9654" s="11"/>
    </row>
    <row r="9655" spans="8:20" x14ac:dyDescent="0.35">
      <c r="H9655" s="711"/>
      <c r="I9655" s="711"/>
      <c r="J9655" s="711"/>
      <c r="K9655" s="711"/>
      <c r="L9655" s="711"/>
      <c r="Q9655" s="11"/>
      <c r="R9655" s="11"/>
      <c r="S9655" s="11"/>
      <c r="T9655" s="11"/>
    </row>
    <row r="9656" spans="8:20" x14ac:dyDescent="0.35">
      <c r="H9656" s="711"/>
      <c r="I9656" s="711"/>
      <c r="J9656" s="711"/>
      <c r="K9656" s="711"/>
      <c r="L9656" s="711"/>
      <c r="Q9656" s="11"/>
      <c r="R9656" s="11"/>
      <c r="S9656" s="11"/>
      <c r="T9656" s="11"/>
    </row>
    <row r="9657" spans="8:20" x14ac:dyDescent="0.35">
      <c r="H9657" s="711"/>
      <c r="I9657" s="711"/>
      <c r="J9657" s="711"/>
      <c r="K9657" s="711"/>
      <c r="L9657" s="711"/>
      <c r="Q9657" s="11"/>
      <c r="R9657" s="11"/>
      <c r="S9657" s="11"/>
      <c r="T9657" s="11"/>
    </row>
    <row r="9658" spans="8:20" x14ac:dyDescent="0.35">
      <c r="H9658" s="711"/>
      <c r="I9658" s="711"/>
      <c r="J9658" s="711"/>
      <c r="K9658" s="711"/>
      <c r="L9658" s="711"/>
      <c r="Q9658" s="11"/>
      <c r="R9658" s="11"/>
      <c r="S9658" s="11"/>
      <c r="T9658" s="11"/>
    </row>
    <row r="9659" spans="8:20" x14ac:dyDescent="0.35">
      <c r="H9659" s="711"/>
      <c r="I9659" s="711"/>
      <c r="J9659" s="711"/>
      <c r="K9659" s="711"/>
      <c r="L9659" s="711"/>
      <c r="Q9659" s="11"/>
      <c r="R9659" s="11"/>
      <c r="S9659" s="11"/>
      <c r="T9659" s="11"/>
    </row>
    <row r="9660" spans="8:20" x14ac:dyDescent="0.35">
      <c r="H9660" s="711"/>
      <c r="I9660" s="711"/>
      <c r="J9660" s="711"/>
      <c r="K9660" s="711"/>
      <c r="L9660" s="711"/>
      <c r="Q9660" s="11"/>
      <c r="R9660" s="11"/>
      <c r="S9660" s="11"/>
      <c r="T9660" s="11"/>
    </row>
    <row r="9661" spans="8:20" x14ac:dyDescent="0.35">
      <c r="H9661" s="711"/>
      <c r="I9661" s="711"/>
      <c r="J9661" s="711"/>
      <c r="K9661" s="711"/>
      <c r="L9661" s="711"/>
      <c r="Q9661" s="11"/>
      <c r="R9661" s="11"/>
      <c r="S9661" s="11"/>
      <c r="T9661" s="11"/>
    </row>
    <row r="9662" spans="8:20" x14ac:dyDescent="0.35">
      <c r="H9662" s="711"/>
      <c r="I9662" s="711"/>
      <c r="J9662" s="711"/>
      <c r="K9662" s="711"/>
      <c r="L9662" s="711"/>
      <c r="Q9662" s="11"/>
      <c r="R9662" s="11"/>
      <c r="S9662" s="11"/>
      <c r="T9662" s="11"/>
    </row>
    <row r="9663" spans="8:20" x14ac:dyDescent="0.35">
      <c r="H9663" s="711"/>
      <c r="I9663" s="711"/>
      <c r="J9663" s="711"/>
      <c r="K9663" s="711"/>
      <c r="L9663" s="711"/>
      <c r="Q9663" s="11"/>
      <c r="R9663" s="11"/>
      <c r="S9663" s="11"/>
      <c r="T9663" s="11"/>
    </row>
    <row r="9664" spans="8:20" x14ac:dyDescent="0.35">
      <c r="H9664" s="711"/>
      <c r="I9664" s="711"/>
      <c r="J9664" s="711"/>
      <c r="K9664" s="711"/>
      <c r="L9664" s="711"/>
      <c r="Q9664" s="11"/>
      <c r="R9664" s="11"/>
      <c r="S9664" s="11"/>
      <c r="T9664" s="11"/>
    </row>
    <row r="9665" spans="8:20" x14ac:dyDescent="0.35">
      <c r="H9665" s="711"/>
      <c r="I9665" s="711"/>
      <c r="J9665" s="711"/>
      <c r="K9665" s="711"/>
      <c r="L9665" s="711"/>
      <c r="Q9665" s="11"/>
      <c r="R9665" s="11"/>
      <c r="S9665" s="11"/>
      <c r="T9665" s="11"/>
    </row>
    <row r="9666" spans="8:20" x14ac:dyDescent="0.35">
      <c r="H9666" s="711"/>
      <c r="I9666" s="711"/>
      <c r="J9666" s="711"/>
      <c r="K9666" s="711"/>
      <c r="L9666" s="711"/>
      <c r="Q9666" s="11"/>
      <c r="R9666" s="11"/>
      <c r="S9666" s="11"/>
      <c r="T9666" s="11"/>
    </row>
    <row r="9667" spans="8:20" x14ac:dyDescent="0.35">
      <c r="H9667" s="711"/>
      <c r="I9667" s="711"/>
      <c r="J9667" s="711"/>
      <c r="K9667" s="711"/>
      <c r="L9667" s="711"/>
      <c r="Q9667" s="11"/>
      <c r="R9667" s="11"/>
      <c r="S9667" s="11"/>
      <c r="T9667" s="11"/>
    </row>
    <row r="9668" spans="8:20" x14ac:dyDescent="0.35">
      <c r="H9668" s="711"/>
      <c r="I9668" s="711"/>
      <c r="J9668" s="711"/>
      <c r="K9668" s="711"/>
      <c r="L9668" s="711"/>
      <c r="Q9668" s="11"/>
      <c r="R9668" s="11"/>
      <c r="S9668" s="11"/>
      <c r="T9668" s="11"/>
    </row>
    <row r="9669" spans="8:20" x14ac:dyDescent="0.35">
      <c r="H9669" s="711"/>
      <c r="I9669" s="711"/>
      <c r="J9669" s="711"/>
      <c r="K9669" s="711"/>
      <c r="L9669" s="711"/>
      <c r="Q9669" s="11"/>
      <c r="R9669" s="11"/>
      <c r="S9669" s="11"/>
      <c r="T9669" s="11"/>
    </row>
    <row r="9670" spans="8:20" x14ac:dyDescent="0.35">
      <c r="H9670" s="711"/>
      <c r="I9670" s="711"/>
      <c r="J9670" s="711"/>
      <c r="K9670" s="711"/>
      <c r="L9670" s="711"/>
      <c r="Q9670" s="11"/>
      <c r="R9670" s="11"/>
      <c r="S9670" s="11"/>
      <c r="T9670" s="11"/>
    </row>
    <row r="9671" spans="8:20" x14ac:dyDescent="0.35">
      <c r="H9671" s="711"/>
      <c r="I9671" s="711"/>
      <c r="J9671" s="711"/>
      <c r="K9671" s="711"/>
      <c r="L9671" s="711"/>
      <c r="Q9671" s="11"/>
      <c r="R9671" s="11"/>
      <c r="S9671" s="11"/>
      <c r="T9671" s="11"/>
    </row>
    <row r="9672" spans="8:20" x14ac:dyDescent="0.35">
      <c r="H9672" s="711"/>
      <c r="I9672" s="711"/>
      <c r="J9672" s="711"/>
      <c r="K9672" s="711"/>
      <c r="L9672" s="711"/>
      <c r="Q9672" s="11"/>
      <c r="R9672" s="11"/>
      <c r="S9672" s="11"/>
      <c r="T9672" s="11"/>
    </row>
    <row r="9673" spans="8:20" x14ac:dyDescent="0.35">
      <c r="H9673" s="711"/>
      <c r="I9673" s="711"/>
      <c r="J9673" s="711"/>
      <c r="K9673" s="711"/>
      <c r="L9673" s="711"/>
      <c r="Q9673" s="11"/>
      <c r="R9673" s="11"/>
      <c r="S9673" s="11"/>
      <c r="T9673" s="11"/>
    </row>
    <row r="9674" spans="8:20" x14ac:dyDescent="0.35">
      <c r="H9674" s="711"/>
      <c r="I9674" s="711"/>
      <c r="J9674" s="711"/>
      <c r="K9674" s="711"/>
      <c r="L9674" s="711"/>
      <c r="Q9674" s="11"/>
      <c r="R9674" s="11"/>
      <c r="S9674" s="11"/>
      <c r="T9674" s="11"/>
    </row>
    <row r="9675" spans="8:20" x14ac:dyDescent="0.35">
      <c r="H9675" s="711"/>
      <c r="I9675" s="711"/>
      <c r="J9675" s="711"/>
      <c r="K9675" s="711"/>
      <c r="L9675" s="711"/>
      <c r="Q9675" s="11"/>
      <c r="R9675" s="11"/>
      <c r="S9675" s="11"/>
      <c r="T9675" s="11"/>
    </row>
    <row r="9676" spans="8:20" x14ac:dyDescent="0.35">
      <c r="H9676" s="711"/>
      <c r="I9676" s="711"/>
      <c r="J9676" s="711"/>
      <c r="K9676" s="711"/>
      <c r="L9676" s="711"/>
      <c r="Q9676" s="11"/>
      <c r="R9676" s="11"/>
      <c r="S9676" s="11"/>
      <c r="T9676" s="11"/>
    </row>
    <row r="9677" spans="8:20" x14ac:dyDescent="0.35">
      <c r="H9677" s="711"/>
      <c r="I9677" s="711"/>
      <c r="J9677" s="711"/>
      <c r="K9677" s="711"/>
      <c r="L9677" s="711"/>
      <c r="Q9677" s="11"/>
      <c r="R9677" s="11"/>
      <c r="S9677" s="11"/>
      <c r="T9677" s="11"/>
    </row>
    <row r="9678" spans="8:20" x14ac:dyDescent="0.35">
      <c r="H9678" s="711"/>
      <c r="I9678" s="711"/>
      <c r="J9678" s="711"/>
      <c r="K9678" s="711"/>
      <c r="L9678" s="711"/>
      <c r="Q9678" s="11"/>
      <c r="R9678" s="11"/>
      <c r="S9678" s="11"/>
      <c r="T9678" s="11"/>
    </row>
    <row r="9679" spans="8:20" x14ac:dyDescent="0.35">
      <c r="H9679" s="711"/>
      <c r="I9679" s="711"/>
      <c r="J9679" s="711"/>
      <c r="K9679" s="711"/>
      <c r="L9679" s="711"/>
      <c r="Q9679" s="11"/>
      <c r="R9679" s="11"/>
      <c r="S9679" s="11"/>
      <c r="T9679" s="11"/>
    </row>
    <row r="9680" spans="8:20" x14ac:dyDescent="0.35">
      <c r="H9680" s="711"/>
      <c r="I9680" s="711"/>
      <c r="J9680" s="711"/>
      <c r="K9680" s="711"/>
      <c r="L9680" s="711"/>
      <c r="Q9680" s="11"/>
      <c r="R9680" s="11"/>
      <c r="S9680" s="11"/>
      <c r="T9680" s="11"/>
    </row>
    <row r="9681" spans="8:20" x14ac:dyDescent="0.35">
      <c r="H9681" s="711"/>
      <c r="I9681" s="711"/>
      <c r="J9681" s="711"/>
      <c r="K9681" s="711"/>
      <c r="L9681" s="711"/>
      <c r="Q9681" s="11"/>
      <c r="R9681" s="11"/>
      <c r="S9681" s="11"/>
      <c r="T9681" s="11"/>
    </row>
    <row r="9682" spans="8:20" x14ac:dyDescent="0.35">
      <c r="H9682" s="711"/>
      <c r="I9682" s="711"/>
      <c r="J9682" s="711"/>
      <c r="K9682" s="711"/>
      <c r="L9682" s="711"/>
      <c r="Q9682" s="11"/>
      <c r="R9682" s="11"/>
      <c r="S9682" s="11"/>
      <c r="T9682" s="11"/>
    </row>
    <row r="9683" spans="8:20" x14ac:dyDescent="0.35">
      <c r="H9683" s="711"/>
      <c r="I9683" s="711"/>
      <c r="J9683" s="711"/>
      <c r="K9683" s="711"/>
      <c r="L9683" s="711"/>
      <c r="Q9683" s="11"/>
      <c r="R9683" s="11"/>
      <c r="S9683" s="11"/>
      <c r="T9683" s="11"/>
    </row>
    <row r="9684" spans="8:20" x14ac:dyDescent="0.35">
      <c r="H9684" s="711"/>
      <c r="I9684" s="711"/>
      <c r="J9684" s="711"/>
      <c r="K9684" s="711"/>
      <c r="L9684" s="711"/>
      <c r="Q9684" s="11"/>
      <c r="R9684" s="11"/>
      <c r="S9684" s="11"/>
      <c r="T9684" s="11"/>
    </row>
    <row r="9685" spans="8:20" x14ac:dyDescent="0.35">
      <c r="H9685" s="711"/>
      <c r="I9685" s="711"/>
      <c r="J9685" s="711"/>
      <c r="K9685" s="711"/>
      <c r="L9685" s="711"/>
      <c r="Q9685" s="11"/>
      <c r="R9685" s="11"/>
      <c r="S9685" s="11"/>
      <c r="T9685" s="11"/>
    </row>
    <row r="9686" spans="8:20" x14ac:dyDescent="0.35">
      <c r="H9686" s="711"/>
      <c r="I9686" s="711"/>
      <c r="J9686" s="711"/>
      <c r="K9686" s="711"/>
      <c r="L9686" s="711"/>
      <c r="Q9686" s="11"/>
      <c r="R9686" s="11"/>
      <c r="S9686" s="11"/>
      <c r="T9686" s="11"/>
    </row>
    <row r="9687" spans="8:20" x14ac:dyDescent="0.35">
      <c r="H9687" s="711"/>
      <c r="I9687" s="711"/>
      <c r="J9687" s="711"/>
      <c r="K9687" s="711"/>
      <c r="L9687" s="711"/>
      <c r="Q9687" s="11"/>
      <c r="R9687" s="11"/>
      <c r="S9687" s="11"/>
      <c r="T9687" s="11"/>
    </row>
    <row r="9688" spans="8:20" x14ac:dyDescent="0.35">
      <c r="H9688" s="711"/>
      <c r="I9688" s="711"/>
      <c r="J9688" s="711"/>
      <c r="K9688" s="711"/>
      <c r="L9688" s="711"/>
      <c r="Q9688" s="11"/>
      <c r="R9688" s="11"/>
      <c r="S9688" s="11"/>
      <c r="T9688" s="11"/>
    </row>
    <row r="9689" spans="8:20" x14ac:dyDescent="0.35">
      <c r="H9689" s="711"/>
      <c r="I9689" s="711"/>
      <c r="J9689" s="711"/>
      <c r="K9689" s="711"/>
      <c r="L9689" s="711"/>
      <c r="Q9689" s="11"/>
      <c r="R9689" s="11"/>
      <c r="S9689" s="11"/>
      <c r="T9689" s="11"/>
    </row>
    <row r="9690" spans="8:20" x14ac:dyDescent="0.35">
      <c r="H9690" s="711"/>
      <c r="I9690" s="711"/>
      <c r="J9690" s="711"/>
      <c r="K9690" s="711"/>
      <c r="L9690" s="711"/>
      <c r="Q9690" s="11"/>
      <c r="R9690" s="11"/>
      <c r="S9690" s="11"/>
      <c r="T9690" s="11"/>
    </row>
    <row r="9691" spans="8:20" x14ac:dyDescent="0.35">
      <c r="H9691" s="711"/>
      <c r="I9691" s="711"/>
      <c r="J9691" s="711"/>
      <c r="K9691" s="711"/>
      <c r="L9691" s="711"/>
      <c r="Q9691" s="11"/>
      <c r="R9691" s="11"/>
      <c r="S9691" s="11"/>
      <c r="T9691" s="11"/>
    </row>
    <row r="9692" spans="8:20" x14ac:dyDescent="0.35">
      <c r="H9692" s="711"/>
      <c r="I9692" s="711"/>
      <c r="J9692" s="711"/>
      <c r="K9692" s="711"/>
      <c r="L9692" s="711"/>
      <c r="Q9692" s="11"/>
      <c r="R9692" s="11"/>
      <c r="S9692" s="11"/>
      <c r="T9692" s="11"/>
    </row>
    <row r="9693" spans="8:20" x14ac:dyDescent="0.35">
      <c r="H9693" s="711"/>
      <c r="I9693" s="711"/>
      <c r="J9693" s="711"/>
      <c r="K9693" s="711"/>
      <c r="L9693" s="711"/>
      <c r="Q9693" s="11"/>
      <c r="R9693" s="11"/>
      <c r="S9693" s="11"/>
      <c r="T9693" s="11"/>
    </row>
    <row r="9694" spans="8:20" x14ac:dyDescent="0.35">
      <c r="H9694" s="711"/>
      <c r="I9694" s="711"/>
      <c r="J9694" s="711"/>
      <c r="K9694" s="711"/>
      <c r="L9694" s="711"/>
      <c r="Q9694" s="11"/>
      <c r="R9694" s="11"/>
      <c r="S9694" s="11"/>
      <c r="T9694" s="11"/>
    </row>
    <row r="9695" spans="8:20" x14ac:dyDescent="0.35">
      <c r="H9695" s="711"/>
      <c r="I9695" s="711"/>
      <c r="J9695" s="711"/>
      <c r="K9695" s="711"/>
      <c r="L9695" s="711"/>
      <c r="Q9695" s="11"/>
      <c r="R9695" s="11"/>
      <c r="S9695" s="11"/>
      <c r="T9695" s="11"/>
    </row>
    <row r="9696" spans="8:20" x14ac:dyDescent="0.35">
      <c r="H9696" s="711"/>
      <c r="I9696" s="711"/>
      <c r="J9696" s="711"/>
      <c r="K9696" s="711"/>
      <c r="L9696" s="711"/>
      <c r="Q9696" s="11"/>
      <c r="R9696" s="11"/>
      <c r="S9696" s="11"/>
      <c r="T9696" s="11"/>
    </row>
    <row r="9697" spans="8:20" x14ac:dyDescent="0.35">
      <c r="H9697" s="711"/>
      <c r="I9697" s="711"/>
      <c r="J9697" s="711"/>
      <c r="K9697" s="711"/>
      <c r="L9697" s="711"/>
      <c r="Q9697" s="11"/>
      <c r="R9697" s="11"/>
      <c r="S9697" s="11"/>
      <c r="T9697" s="11"/>
    </row>
    <row r="9698" spans="8:20" x14ac:dyDescent="0.35">
      <c r="H9698" s="711"/>
      <c r="I9698" s="711"/>
      <c r="J9698" s="711"/>
      <c r="K9698" s="711"/>
      <c r="L9698" s="711"/>
      <c r="Q9698" s="11"/>
      <c r="R9698" s="11"/>
      <c r="S9698" s="11"/>
      <c r="T9698" s="11"/>
    </row>
    <row r="9699" spans="8:20" x14ac:dyDescent="0.35">
      <c r="H9699" s="711"/>
      <c r="I9699" s="711"/>
      <c r="J9699" s="711"/>
      <c r="K9699" s="711"/>
      <c r="L9699" s="711"/>
      <c r="Q9699" s="11"/>
      <c r="R9699" s="11"/>
      <c r="S9699" s="11"/>
      <c r="T9699" s="11"/>
    </row>
    <row r="9700" spans="8:20" x14ac:dyDescent="0.35">
      <c r="H9700" s="711"/>
      <c r="I9700" s="711"/>
      <c r="J9700" s="711"/>
      <c r="K9700" s="711"/>
      <c r="L9700" s="711"/>
      <c r="Q9700" s="11"/>
      <c r="R9700" s="11"/>
      <c r="S9700" s="11"/>
      <c r="T9700" s="11"/>
    </row>
    <row r="9701" spans="8:20" x14ac:dyDescent="0.35">
      <c r="H9701" s="711"/>
      <c r="I9701" s="711"/>
      <c r="J9701" s="711"/>
      <c r="K9701" s="711"/>
      <c r="L9701" s="711"/>
      <c r="Q9701" s="11"/>
      <c r="R9701" s="11"/>
      <c r="S9701" s="11"/>
      <c r="T9701" s="11"/>
    </row>
    <row r="9702" spans="8:20" x14ac:dyDescent="0.35">
      <c r="H9702" s="711"/>
      <c r="I9702" s="711"/>
      <c r="J9702" s="711"/>
      <c r="K9702" s="711"/>
      <c r="L9702" s="711"/>
      <c r="Q9702" s="11"/>
      <c r="R9702" s="11"/>
      <c r="S9702" s="11"/>
      <c r="T9702" s="11"/>
    </row>
    <row r="9703" spans="8:20" x14ac:dyDescent="0.35">
      <c r="H9703" s="711"/>
      <c r="I9703" s="711"/>
      <c r="J9703" s="711"/>
      <c r="K9703" s="711"/>
      <c r="L9703" s="711"/>
      <c r="Q9703" s="11"/>
      <c r="R9703" s="11"/>
      <c r="S9703" s="11"/>
      <c r="T9703" s="11"/>
    </row>
    <row r="9704" spans="8:20" x14ac:dyDescent="0.35">
      <c r="H9704" s="711"/>
      <c r="I9704" s="711"/>
      <c r="J9704" s="711"/>
      <c r="K9704" s="711"/>
      <c r="L9704" s="711"/>
      <c r="Q9704" s="11"/>
      <c r="R9704" s="11"/>
      <c r="S9704" s="11"/>
      <c r="T9704" s="11"/>
    </row>
    <row r="9705" spans="8:20" x14ac:dyDescent="0.35">
      <c r="H9705" s="711"/>
      <c r="I9705" s="711"/>
      <c r="J9705" s="711"/>
      <c r="K9705" s="711"/>
      <c r="L9705" s="711"/>
      <c r="Q9705" s="11"/>
      <c r="R9705" s="11"/>
      <c r="S9705" s="11"/>
      <c r="T9705" s="11"/>
    </row>
    <row r="9706" spans="8:20" x14ac:dyDescent="0.35">
      <c r="H9706" s="711"/>
      <c r="I9706" s="711"/>
      <c r="J9706" s="711"/>
      <c r="K9706" s="711"/>
      <c r="L9706" s="711"/>
      <c r="Q9706" s="11"/>
      <c r="R9706" s="11"/>
      <c r="S9706" s="11"/>
      <c r="T9706" s="11"/>
    </row>
    <row r="9707" spans="8:20" x14ac:dyDescent="0.35">
      <c r="H9707" s="711"/>
      <c r="I9707" s="711"/>
      <c r="J9707" s="711"/>
      <c r="K9707" s="711"/>
      <c r="L9707" s="711"/>
      <c r="Q9707" s="11"/>
      <c r="R9707" s="11"/>
      <c r="S9707" s="11"/>
      <c r="T9707" s="11"/>
    </row>
    <row r="9708" spans="8:20" x14ac:dyDescent="0.35">
      <c r="H9708" s="711"/>
      <c r="I9708" s="711"/>
      <c r="J9708" s="711"/>
      <c r="K9708" s="711"/>
      <c r="L9708" s="711"/>
      <c r="Q9708" s="11"/>
      <c r="R9708" s="11"/>
      <c r="S9708" s="11"/>
      <c r="T9708" s="11"/>
    </row>
    <row r="9709" spans="8:20" x14ac:dyDescent="0.35">
      <c r="H9709" s="711"/>
      <c r="I9709" s="711"/>
      <c r="J9709" s="711"/>
      <c r="K9709" s="711"/>
      <c r="L9709" s="711"/>
      <c r="Q9709" s="11"/>
      <c r="R9709" s="11"/>
      <c r="S9709" s="11"/>
      <c r="T9709" s="11"/>
    </row>
    <row r="9710" spans="8:20" x14ac:dyDescent="0.35">
      <c r="H9710" s="711"/>
      <c r="I9710" s="711"/>
      <c r="J9710" s="711"/>
      <c r="K9710" s="711"/>
      <c r="L9710" s="711"/>
      <c r="Q9710" s="11"/>
      <c r="R9710" s="11"/>
      <c r="S9710" s="11"/>
      <c r="T9710" s="11"/>
    </row>
    <row r="9711" spans="8:20" x14ac:dyDescent="0.35">
      <c r="H9711" s="711"/>
      <c r="I9711" s="711"/>
      <c r="J9711" s="711"/>
      <c r="K9711" s="711"/>
      <c r="L9711" s="711"/>
      <c r="Q9711" s="11"/>
      <c r="R9711" s="11"/>
      <c r="S9711" s="11"/>
      <c r="T9711" s="11"/>
    </row>
    <row r="9712" spans="8:20" x14ac:dyDescent="0.35">
      <c r="H9712" s="711"/>
      <c r="I9712" s="711"/>
      <c r="J9712" s="711"/>
      <c r="K9712" s="711"/>
      <c r="L9712" s="711"/>
      <c r="Q9712" s="11"/>
      <c r="R9712" s="11"/>
      <c r="S9712" s="11"/>
      <c r="T9712" s="11"/>
    </row>
    <row r="9713" spans="8:20" x14ac:dyDescent="0.35">
      <c r="H9713" s="711"/>
      <c r="I9713" s="711"/>
      <c r="J9713" s="711"/>
      <c r="K9713" s="711"/>
      <c r="L9713" s="711"/>
      <c r="Q9713" s="11"/>
      <c r="R9713" s="11"/>
      <c r="S9713" s="11"/>
      <c r="T9713" s="11"/>
    </row>
    <row r="9714" spans="8:20" x14ac:dyDescent="0.35">
      <c r="H9714" s="711"/>
      <c r="I9714" s="711"/>
      <c r="J9714" s="711"/>
      <c r="K9714" s="711"/>
      <c r="L9714" s="711"/>
      <c r="Q9714" s="11"/>
      <c r="R9714" s="11"/>
      <c r="S9714" s="11"/>
      <c r="T9714" s="11"/>
    </row>
    <row r="9715" spans="8:20" x14ac:dyDescent="0.35">
      <c r="H9715" s="711"/>
      <c r="I9715" s="711"/>
      <c r="J9715" s="711"/>
      <c r="K9715" s="711"/>
      <c r="L9715" s="711"/>
      <c r="Q9715" s="11"/>
      <c r="R9715" s="11"/>
      <c r="S9715" s="11"/>
      <c r="T9715" s="11"/>
    </row>
    <row r="9716" spans="8:20" x14ac:dyDescent="0.35">
      <c r="H9716" s="711"/>
      <c r="I9716" s="711"/>
      <c r="J9716" s="711"/>
      <c r="K9716" s="711"/>
      <c r="L9716" s="711"/>
      <c r="Q9716" s="11"/>
      <c r="R9716" s="11"/>
      <c r="S9716" s="11"/>
      <c r="T9716" s="11"/>
    </row>
    <row r="9717" spans="8:20" x14ac:dyDescent="0.35">
      <c r="H9717" s="711"/>
      <c r="I9717" s="711"/>
      <c r="J9717" s="711"/>
      <c r="K9717" s="711"/>
      <c r="L9717" s="711"/>
      <c r="Q9717" s="11"/>
      <c r="R9717" s="11"/>
      <c r="S9717" s="11"/>
      <c r="T9717" s="11"/>
    </row>
    <row r="9718" spans="8:20" x14ac:dyDescent="0.35">
      <c r="H9718" s="711"/>
      <c r="I9718" s="711"/>
      <c r="J9718" s="711"/>
      <c r="K9718" s="711"/>
      <c r="L9718" s="711"/>
      <c r="Q9718" s="11"/>
      <c r="R9718" s="11"/>
      <c r="S9718" s="11"/>
      <c r="T9718" s="11"/>
    </row>
    <row r="9719" spans="8:20" x14ac:dyDescent="0.35">
      <c r="H9719" s="711"/>
      <c r="I9719" s="711"/>
      <c r="J9719" s="711"/>
      <c r="K9719" s="711"/>
      <c r="L9719" s="711"/>
      <c r="Q9719" s="11"/>
      <c r="R9719" s="11"/>
      <c r="S9719" s="11"/>
      <c r="T9719" s="11"/>
    </row>
    <row r="9720" spans="8:20" x14ac:dyDescent="0.35">
      <c r="H9720" s="711"/>
      <c r="I9720" s="711"/>
      <c r="J9720" s="711"/>
      <c r="K9720" s="711"/>
      <c r="L9720" s="711"/>
      <c r="Q9720" s="11"/>
      <c r="R9720" s="11"/>
      <c r="S9720" s="11"/>
      <c r="T9720" s="11"/>
    </row>
    <row r="9721" spans="8:20" x14ac:dyDescent="0.35">
      <c r="H9721" s="711"/>
      <c r="I9721" s="711"/>
      <c r="J9721" s="711"/>
      <c r="K9721" s="711"/>
      <c r="L9721" s="711"/>
      <c r="Q9721" s="11"/>
      <c r="R9721" s="11"/>
      <c r="S9721" s="11"/>
      <c r="T9721" s="11"/>
    </row>
    <row r="9722" spans="8:20" x14ac:dyDescent="0.35">
      <c r="H9722" s="711"/>
      <c r="I9722" s="711"/>
      <c r="J9722" s="711"/>
      <c r="K9722" s="711"/>
      <c r="L9722" s="711"/>
      <c r="Q9722" s="11"/>
      <c r="R9722" s="11"/>
      <c r="S9722" s="11"/>
      <c r="T9722" s="11"/>
    </row>
    <row r="9723" spans="8:20" x14ac:dyDescent="0.35">
      <c r="H9723" s="711"/>
      <c r="I9723" s="711"/>
      <c r="J9723" s="711"/>
      <c r="K9723" s="711"/>
      <c r="L9723" s="711"/>
      <c r="Q9723" s="11"/>
      <c r="R9723" s="11"/>
      <c r="S9723" s="11"/>
      <c r="T9723" s="11"/>
    </row>
    <row r="9724" spans="8:20" x14ac:dyDescent="0.35">
      <c r="H9724" s="711"/>
      <c r="I9724" s="711"/>
      <c r="J9724" s="711"/>
      <c r="K9724" s="711"/>
      <c r="L9724" s="711"/>
      <c r="Q9724" s="11"/>
      <c r="R9724" s="11"/>
      <c r="S9724" s="11"/>
      <c r="T9724" s="11"/>
    </row>
    <row r="9725" spans="8:20" x14ac:dyDescent="0.35">
      <c r="H9725" s="711"/>
      <c r="I9725" s="711"/>
      <c r="J9725" s="711"/>
      <c r="K9725" s="711"/>
      <c r="L9725" s="711"/>
      <c r="Q9725" s="11"/>
      <c r="R9725" s="11"/>
      <c r="S9725" s="11"/>
      <c r="T9725" s="11"/>
    </row>
    <row r="9726" spans="8:20" x14ac:dyDescent="0.35">
      <c r="H9726" s="711"/>
      <c r="I9726" s="711"/>
      <c r="J9726" s="711"/>
      <c r="K9726" s="711"/>
      <c r="L9726" s="711"/>
      <c r="Q9726" s="11"/>
      <c r="R9726" s="11"/>
      <c r="S9726" s="11"/>
      <c r="T9726" s="11"/>
    </row>
    <row r="9727" spans="8:20" x14ac:dyDescent="0.35">
      <c r="H9727" s="711"/>
      <c r="I9727" s="711"/>
      <c r="J9727" s="711"/>
      <c r="K9727" s="711"/>
      <c r="L9727" s="711"/>
      <c r="Q9727" s="11"/>
      <c r="R9727" s="11"/>
      <c r="S9727" s="11"/>
      <c r="T9727" s="11"/>
    </row>
    <row r="9728" spans="8:20" x14ac:dyDescent="0.35">
      <c r="H9728" s="711"/>
      <c r="I9728" s="711"/>
      <c r="J9728" s="711"/>
      <c r="K9728" s="711"/>
      <c r="L9728" s="711"/>
      <c r="Q9728" s="11"/>
      <c r="R9728" s="11"/>
      <c r="S9728" s="11"/>
      <c r="T9728" s="11"/>
    </row>
    <row r="9729" spans="8:20" x14ac:dyDescent="0.35">
      <c r="H9729" s="711"/>
      <c r="I9729" s="711"/>
      <c r="J9729" s="711"/>
      <c r="K9729" s="711"/>
      <c r="L9729" s="711"/>
      <c r="Q9729" s="11"/>
      <c r="R9729" s="11"/>
      <c r="S9729" s="11"/>
      <c r="T9729" s="11"/>
    </row>
    <row r="9730" spans="8:20" x14ac:dyDescent="0.35">
      <c r="H9730" s="711"/>
      <c r="I9730" s="711"/>
      <c r="J9730" s="711"/>
      <c r="K9730" s="711"/>
      <c r="L9730" s="711"/>
      <c r="Q9730" s="11"/>
      <c r="R9730" s="11"/>
      <c r="S9730" s="11"/>
      <c r="T9730" s="11"/>
    </row>
    <row r="9731" spans="8:20" x14ac:dyDescent="0.35">
      <c r="H9731" s="711"/>
      <c r="I9731" s="711"/>
      <c r="J9731" s="711"/>
      <c r="K9731" s="711"/>
      <c r="L9731" s="711"/>
      <c r="Q9731" s="11"/>
      <c r="R9731" s="11"/>
      <c r="S9731" s="11"/>
      <c r="T9731" s="11"/>
    </row>
    <row r="9732" spans="8:20" x14ac:dyDescent="0.35">
      <c r="H9732" s="711"/>
      <c r="I9732" s="711"/>
      <c r="J9732" s="711"/>
      <c r="K9732" s="711"/>
      <c r="L9732" s="711"/>
      <c r="Q9732" s="11"/>
      <c r="R9732" s="11"/>
      <c r="S9732" s="11"/>
      <c r="T9732" s="11"/>
    </row>
    <row r="9733" spans="8:20" x14ac:dyDescent="0.35">
      <c r="H9733" s="711"/>
      <c r="I9733" s="711"/>
      <c r="J9733" s="711"/>
      <c r="K9733" s="711"/>
      <c r="L9733" s="711"/>
      <c r="Q9733" s="11"/>
      <c r="R9733" s="11"/>
      <c r="S9733" s="11"/>
      <c r="T9733" s="11"/>
    </row>
    <row r="9734" spans="8:20" x14ac:dyDescent="0.35">
      <c r="H9734" s="711"/>
      <c r="I9734" s="711"/>
      <c r="J9734" s="711"/>
      <c r="K9734" s="711"/>
      <c r="L9734" s="711"/>
      <c r="Q9734" s="11"/>
      <c r="R9734" s="11"/>
      <c r="S9734" s="11"/>
      <c r="T9734" s="11"/>
    </row>
    <row r="9735" spans="8:20" x14ac:dyDescent="0.35">
      <c r="H9735" s="711"/>
      <c r="I9735" s="711"/>
      <c r="J9735" s="711"/>
      <c r="K9735" s="711"/>
      <c r="L9735" s="711"/>
      <c r="Q9735" s="11"/>
      <c r="R9735" s="11"/>
      <c r="S9735" s="11"/>
      <c r="T9735" s="11"/>
    </row>
    <row r="9736" spans="8:20" x14ac:dyDescent="0.35">
      <c r="H9736" s="711"/>
      <c r="I9736" s="711"/>
      <c r="J9736" s="711"/>
      <c r="K9736" s="711"/>
      <c r="L9736" s="711"/>
      <c r="Q9736" s="11"/>
      <c r="R9736" s="11"/>
      <c r="S9736" s="11"/>
      <c r="T9736" s="11"/>
    </row>
    <row r="9737" spans="8:20" x14ac:dyDescent="0.35">
      <c r="H9737" s="711"/>
      <c r="I9737" s="711"/>
      <c r="J9737" s="711"/>
      <c r="K9737" s="711"/>
      <c r="L9737" s="711"/>
      <c r="Q9737" s="11"/>
      <c r="R9737" s="11"/>
      <c r="S9737" s="11"/>
      <c r="T9737" s="11"/>
    </row>
    <row r="9738" spans="8:20" x14ac:dyDescent="0.35">
      <c r="H9738" s="711"/>
      <c r="I9738" s="711"/>
      <c r="J9738" s="711"/>
      <c r="K9738" s="711"/>
      <c r="L9738" s="711"/>
      <c r="Q9738" s="11"/>
      <c r="R9738" s="11"/>
      <c r="S9738" s="11"/>
      <c r="T9738" s="11"/>
    </row>
    <row r="9739" spans="8:20" x14ac:dyDescent="0.35">
      <c r="H9739" s="711"/>
      <c r="I9739" s="711"/>
      <c r="J9739" s="711"/>
      <c r="K9739" s="711"/>
      <c r="L9739" s="711"/>
      <c r="Q9739" s="11"/>
      <c r="R9739" s="11"/>
      <c r="S9739" s="11"/>
      <c r="T9739" s="11"/>
    </row>
    <row r="9740" spans="8:20" x14ac:dyDescent="0.35">
      <c r="H9740" s="711"/>
      <c r="I9740" s="711"/>
      <c r="J9740" s="711"/>
      <c r="K9740" s="711"/>
      <c r="L9740" s="711"/>
      <c r="Q9740" s="11"/>
      <c r="R9740" s="11"/>
      <c r="S9740" s="11"/>
      <c r="T9740" s="11"/>
    </row>
    <row r="9741" spans="8:20" x14ac:dyDescent="0.35">
      <c r="H9741" s="711"/>
      <c r="I9741" s="711"/>
      <c r="J9741" s="711"/>
      <c r="K9741" s="711"/>
      <c r="L9741" s="711"/>
      <c r="Q9741" s="11"/>
      <c r="R9741" s="11"/>
      <c r="S9741" s="11"/>
      <c r="T9741" s="11"/>
    </row>
    <row r="9742" spans="8:20" x14ac:dyDescent="0.35">
      <c r="H9742" s="711"/>
      <c r="I9742" s="711"/>
      <c r="J9742" s="711"/>
      <c r="K9742" s="711"/>
      <c r="L9742" s="711"/>
      <c r="Q9742" s="11"/>
      <c r="R9742" s="11"/>
      <c r="S9742" s="11"/>
      <c r="T9742" s="11"/>
    </row>
    <row r="9743" spans="8:20" x14ac:dyDescent="0.35">
      <c r="H9743" s="711"/>
      <c r="I9743" s="711"/>
      <c r="J9743" s="711"/>
      <c r="K9743" s="711"/>
      <c r="L9743" s="711"/>
      <c r="Q9743" s="11"/>
      <c r="R9743" s="11"/>
      <c r="S9743" s="11"/>
      <c r="T9743" s="11"/>
    </row>
    <row r="9744" spans="8:20" x14ac:dyDescent="0.35">
      <c r="H9744" s="711"/>
      <c r="I9744" s="711"/>
      <c r="J9744" s="711"/>
      <c r="K9744" s="711"/>
      <c r="L9744" s="711"/>
      <c r="Q9744" s="11"/>
      <c r="R9744" s="11"/>
      <c r="S9744" s="11"/>
      <c r="T9744" s="11"/>
    </row>
    <row r="9745" spans="8:20" x14ac:dyDescent="0.35">
      <c r="H9745" s="711"/>
      <c r="I9745" s="711"/>
      <c r="J9745" s="711"/>
      <c r="K9745" s="711"/>
      <c r="L9745" s="711"/>
      <c r="Q9745" s="11"/>
      <c r="R9745" s="11"/>
      <c r="S9745" s="11"/>
      <c r="T9745" s="11"/>
    </row>
    <row r="9746" spans="8:20" x14ac:dyDescent="0.35">
      <c r="H9746" s="711"/>
      <c r="I9746" s="711"/>
      <c r="J9746" s="711"/>
      <c r="K9746" s="711"/>
      <c r="L9746" s="711"/>
      <c r="Q9746" s="11"/>
      <c r="R9746" s="11"/>
      <c r="S9746" s="11"/>
      <c r="T9746" s="11"/>
    </row>
    <row r="9747" spans="8:20" x14ac:dyDescent="0.35">
      <c r="H9747" s="711"/>
      <c r="I9747" s="711"/>
      <c r="J9747" s="711"/>
      <c r="K9747" s="711"/>
      <c r="L9747" s="711"/>
      <c r="Q9747" s="11"/>
      <c r="R9747" s="11"/>
      <c r="S9747" s="11"/>
      <c r="T9747" s="11"/>
    </row>
    <row r="9748" spans="8:20" x14ac:dyDescent="0.35">
      <c r="H9748" s="711"/>
      <c r="I9748" s="711"/>
      <c r="J9748" s="711"/>
      <c r="K9748" s="711"/>
      <c r="L9748" s="711"/>
      <c r="Q9748" s="11"/>
      <c r="R9748" s="11"/>
      <c r="S9748" s="11"/>
      <c r="T9748" s="11"/>
    </row>
    <row r="9749" spans="8:20" x14ac:dyDescent="0.35">
      <c r="H9749" s="711"/>
      <c r="I9749" s="711"/>
      <c r="J9749" s="711"/>
      <c r="K9749" s="711"/>
      <c r="L9749" s="711"/>
      <c r="Q9749" s="11"/>
      <c r="R9749" s="11"/>
      <c r="S9749" s="11"/>
      <c r="T9749" s="11"/>
    </row>
    <row r="9750" spans="8:20" x14ac:dyDescent="0.35">
      <c r="H9750" s="711"/>
      <c r="I9750" s="711"/>
      <c r="J9750" s="711"/>
      <c r="K9750" s="711"/>
      <c r="L9750" s="711"/>
      <c r="Q9750" s="11"/>
      <c r="R9750" s="11"/>
      <c r="S9750" s="11"/>
      <c r="T9750" s="11"/>
    </row>
    <row r="9751" spans="8:20" x14ac:dyDescent="0.35">
      <c r="H9751" s="711"/>
      <c r="I9751" s="711"/>
      <c r="J9751" s="711"/>
      <c r="K9751" s="711"/>
      <c r="L9751" s="711"/>
      <c r="Q9751" s="11"/>
      <c r="R9751" s="11"/>
      <c r="S9751" s="11"/>
      <c r="T9751" s="11"/>
    </row>
    <row r="9752" spans="8:20" x14ac:dyDescent="0.35">
      <c r="H9752" s="711"/>
      <c r="I9752" s="711"/>
      <c r="J9752" s="711"/>
      <c r="K9752" s="711"/>
      <c r="L9752" s="711"/>
      <c r="Q9752" s="11"/>
      <c r="R9752" s="11"/>
      <c r="S9752" s="11"/>
      <c r="T9752" s="11"/>
    </row>
    <row r="9753" spans="8:20" x14ac:dyDescent="0.35">
      <c r="H9753" s="711"/>
      <c r="I9753" s="711"/>
      <c r="J9753" s="711"/>
      <c r="K9753" s="711"/>
      <c r="L9753" s="711"/>
      <c r="Q9753" s="11"/>
      <c r="R9753" s="11"/>
      <c r="S9753" s="11"/>
      <c r="T9753" s="11"/>
    </row>
    <row r="9754" spans="8:20" x14ac:dyDescent="0.35">
      <c r="H9754" s="711"/>
      <c r="I9754" s="711"/>
      <c r="J9754" s="711"/>
      <c r="K9754" s="711"/>
      <c r="L9754" s="711"/>
      <c r="Q9754" s="11"/>
      <c r="R9754" s="11"/>
      <c r="S9754" s="11"/>
      <c r="T9754" s="11"/>
    </row>
    <row r="9755" spans="8:20" x14ac:dyDescent="0.35">
      <c r="H9755" s="711"/>
      <c r="I9755" s="711"/>
      <c r="J9755" s="711"/>
      <c r="K9755" s="711"/>
      <c r="L9755" s="711"/>
      <c r="Q9755" s="11"/>
      <c r="R9755" s="11"/>
      <c r="S9755" s="11"/>
      <c r="T9755" s="11"/>
    </row>
    <row r="9756" spans="8:20" x14ac:dyDescent="0.35">
      <c r="H9756" s="711"/>
      <c r="I9756" s="711"/>
      <c r="J9756" s="711"/>
      <c r="K9756" s="711"/>
      <c r="L9756" s="711"/>
      <c r="Q9756" s="11"/>
      <c r="R9756" s="11"/>
      <c r="S9756" s="11"/>
      <c r="T9756" s="11"/>
    </row>
    <row r="9757" spans="8:20" x14ac:dyDescent="0.35">
      <c r="H9757" s="711"/>
      <c r="I9757" s="711"/>
      <c r="J9757" s="711"/>
      <c r="K9757" s="711"/>
      <c r="L9757" s="711"/>
      <c r="Q9757" s="11"/>
      <c r="R9757" s="11"/>
      <c r="S9757" s="11"/>
      <c r="T9757" s="11"/>
    </row>
    <row r="9758" spans="8:20" x14ac:dyDescent="0.35">
      <c r="H9758" s="711"/>
      <c r="I9758" s="711"/>
      <c r="J9758" s="711"/>
      <c r="K9758" s="711"/>
      <c r="L9758" s="711"/>
      <c r="Q9758" s="11"/>
      <c r="R9758" s="11"/>
      <c r="S9758" s="11"/>
      <c r="T9758" s="11"/>
    </row>
    <row r="9759" spans="8:20" x14ac:dyDescent="0.35">
      <c r="H9759" s="711"/>
      <c r="I9759" s="711"/>
      <c r="J9759" s="711"/>
      <c r="K9759" s="711"/>
      <c r="L9759" s="711"/>
      <c r="Q9759" s="11"/>
      <c r="R9759" s="11"/>
      <c r="S9759" s="11"/>
      <c r="T9759" s="11"/>
    </row>
    <row r="9760" spans="8:20" x14ac:dyDescent="0.35">
      <c r="H9760" s="711"/>
      <c r="I9760" s="711"/>
      <c r="J9760" s="711"/>
      <c r="K9760" s="711"/>
      <c r="L9760" s="711"/>
      <c r="Q9760" s="11"/>
      <c r="R9760" s="11"/>
      <c r="S9760" s="11"/>
      <c r="T9760" s="11"/>
    </row>
    <row r="9761" spans="8:20" x14ac:dyDescent="0.35">
      <c r="H9761" s="711"/>
      <c r="I9761" s="711"/>
      <c r="J9761" s="711"/>
      <c r="K9761" s="711"/>
      <c r="L9761" s="711"/>
      <c r="Q9761" s="11"/>
      <c r="R9761" s="11"/>
      <c r="S9761" s="11"/>
      <c r="T9761" s="11"/>
    </row>
    <row r="9762" spans="8:20" x14ac:dyDescent="0.35">
      <c r="H9762" s="711"/>
      <c r="I9762" s="711"/>
      <c r="J9762" s="711"/>
      <c r="K9762" s="711"/>
      <c r="L9762" s="711"/>
      <c r="Q9762" s="11"/>
      <c r="R9762" s="11"/>
      <c r="S9762" s="11"/>
      <c r="T9762" s="11"/>
    </row>
    <row r="9763" spans="8:20" x14ac:dyDescent="0.35">
      <c r="H9763" s="711"/>
      <c r="I9763" s="711"/>
      <c r="J9763" s="711"/>
      <c r="K9763" s="711"/>
      <c r="L9763" s="711"/>
      <c r="Q9763" s="11"/>
      <c r="R9763" s="11"/>
      <c r="S9763" s="11"/>
      <c r="T9763" s="11"/>
    </row>
    <row r="9764" spans="8:20" x14ac:dyDescent="0.35">
      <c r="H9764" s="711"/>
      <c r="I9764" s="711"/>
      <c r="J9764" s="711"/>
      <c r="K9764" s="711"/>
      <c r="L9764" s="711"/>
      <c r="Q9764" s="11"/>
      <c r="R9764" s="11"/>
      <c r="S9764" s="11"/>
      <c r="T9764" s="11"/>
    </row>
    <row r="9765" spans="8:20" x14ac:dyDescent="0.35">
      <c r="H9765" s="711"/>
      <c r="I9765" s="711"/>
      <c r="J9765" s="711"/>
      <c r="K9765" s="711"/>
      <c r="L9765" s="711"/>
      <c r="Q9765" s="11"/>
      <c r="R9765" s="11"/>
      <c r="S9765" s="11"/>
      <c r="T9765" s="11"/>
    </row>
    <row r="9766" spans="8:20" x14ac:dyDescent="0.35">
      <c r="H9766" s="711"/>
      <c r="I9766" s="711"/>
      <c r="J9766" s="711"/>
      <c r="K9766" s="711"/>
      <c r="L9766" s="711"/>
      <c r="Q9766" s="11"/>
      <c r="R9766" s="11"/>
      <c r="S9766" s="11"/>
      <c r="T9766" s="11"/>
    </row>
    <row r="9767" spans="8:20" x14ac:dyDescent="0.35">
      <c r="H9767" s="711"/>
      <c r="I9767" s="711"/>
      <c r="J9767" s="711"/>
      <c r="K9767" s="711"/>
      <c r="L9767" s="711"/>
      <c r="Q9767" s="11"/>
      <c r="R9767" s="11"/>
      <c r="S9767" s="11"/>
      <c r="T9767" s="11"/>
    </row>
    <row r="9768" spans="8:20" x14ac:dyDescent="0.35">
      <c r="H9768" s="711"/>
      <c r="I9768" s="711"/>
      <c r="J9768" s="711"/>
      <c r="K9768" s="711"/>
      <c r="L9768" s="711"/>
      <c r="Q9768" s="11"/>
      <c r="R9768" s="11"/>
      <c r="S9768" s="11"/>
      <c r="T9768" s="11"/>
    </row>
    <row r="9769" spans="8:20" x14ac:dyDescent="0.35">
      <c r="H9769" s="711"/>
      <c r="I9769" s="711"/>
      <c r="J9769" s="711"/>
      <c r="K9769" s="711"/>
      <c r="L9769" s="711"/>
      <c r="Q9769" s="11"/>
      <c r="R9769" s="11"/>
      <c r="S9769" s="11"/>
      <c r="T9769" s="11"/>
    </row>
    <row r="9770" spans="8:20" x14ac:dyDescent="0.35">
      <c r="H9770" s="711"/>
      <c r="I9770" s="711"/>
      <c r="J9770" s="711"/>
      <c r="K9770" s="711"/>
      <c r="L9770" s="711"/>
      <c r="Q9770" s="11"/>
      <c r="R9770" s="11"/>
      <c r="S9770" s="11"/>
      <c r="T9770" s="11"/>
    </row>
    <row r="9771" spans="8:20" x14ac:dyDescent="0.35">
      <c r="H9771" s="711"/>
      <c r="I9771" s="711"/>
      <c r="J9771" s="711"/>
      <c r="K9771" s="711"/>
      <c r="L9771" s="711"/>
      <c r="Q9771" s="11"/>
      <c r="R9771" s="11"/>
      <c r="S9771" s="11"/>
      <c r="T9771" s="11"/>
    </row>
    <row r="9772" spans="8:20" x14ac:dyDescent="0.35">
      <c r="H9772" s="711"/>
      <c r="I9772" s="711"/>
      <c r="J9772" s="711"/>
      <c r="K9772" s="711"/>
      <c r="L9772" s="711"/>
      <c r="Q9772" s="11"/>
      <c r="R9772" s="11"/>
      <c r="S9772" s="11"/>
      <c r="T9772" s="11"/>
    </row>
    <row r="9773" spans="8:20" x14ac:dyDescent="0.35">
      <c r="H9773" s="711"/>
      <c r="I9773" s="711"/>
      <c r="J9773" s="711"/>
      <c r="K9773" s="711"/>
      <c r="L9773" s="711"/>
      <c r="Q9773" s="11"/>
      <c r="R9773" s="11"/>
      <c r="S9773" s="11"/>
      <c r="T9773" s="11"/>
    </row>
    <row r="9774" spans="8:20" x14ac:dyDescent="0.35">
      <c r="H9774" s="711"/>
      <c r="I9774" s="711"/>
      <c r="J9774" s="711"/>
      <c r="K9774" s="711"/>
      <c r="L9774" s="711"/>
      <c r="Q9774" s="11"/>
      <c r="R9774" s="11"/>
      <c r="S9774" s="11"/>
      <c r="T9774" s="11"/>
    </row>
    <row r="9775" spans="8:20" x14ac:dyDescent="0.35">
      <c r="H9775" s="711"/>
      <c r="I9775" s="711"/>
      <c r="J9775" s="711"/>
      <c r="K9775" s="711"/>
      <c r="L9775" s="711"/>
      <c r="Q9775" s="11"/>
      <c r="R9775" s="11"/>
      <c r="S9775" s="11"/>
      <c r="T9775" s="11"/>
    </row>
    <row r="9776" spans="8:20" x14ac:dyDescent="0.35">
      <c r="H9776" s="711"/>
      <c r="I9776" s="711"/>
      <c r="J9776" s="711"/>
      <c r="K9776" s="711"/>
      <c r="L9776" s="711"/>
      <c r="Q9776" s="11"/>
      <c r="R9776" s="11"/>
      <c r="S9776" s="11"/>
      <c r="T9776" s="11"/>
    </row>
    <row r="9777" spans="8:20" x14ac:dyDescent="0.35">
      <c r="H9777" s="711"/>
      <c r="I9777" s="711"/>
      <c r="J9777" s="711"/>
      <c r="K9777" s="711"/>
      <c r="L9777" s="711"/>
      <c r="Q9777" s="11"/>
      <c r="R9777" s="11"/>
      <c r="S9777" s="11"/>
      <c r="T9777" s="11"/>
    </row>
    <row r="9778" spans="8:20" x14ac:dyDescent="0.35">
      <c r="H9778" s="711"/>
      <c r="I9778" s="711"/>
      <c r="J9778" s="711"/>
      <c r="K9778" s="711"/>
      <c r="L9778" s="711"/>
      <c r="Q9778" s="11"/>
      <c r="R9778" s="11"/>
      <c r="S9778" s="11"/>
      <c r="T9778" s="11"/>
    </row>
    <row r="9779" spans="8:20" x14ac:dyDescent="0.35">
      <c r="H9779" s="711"/>
      <c r="I9779" s="711"/>
      <c r="J9779" s="711"/>
      <c r="K9779" s="711"/>
      <c r="L9779" s="711"/>
      <c r="Q9779" s="11"/>
      <c r="R9779" s="11"/>
      <c r="S9779" s="11"/>
      <c r="T9779" s="11"/>
    </row>
    <row r="9780" spans="8:20" x14ac:dyDescent="0.35">
      <c r="H9780" s="711"/>
      <c r="I9780" s="711"/>
      <c r="J9780" s="711"/>
      <c r="K9780" s="711"/>
      <c r="L9780" s="711"/>
      <c r="Q9780" s="11"/>
      <c r="R9780" s="11"/>
      <c r="S9780" s="11"/>
      <c r="T9780" s="11"/>
    </row>
    <row r="9781" spans="8:20" x14ac:dyDescent="0.35">
      <c r="H9781" s="711"/>
      <c r="I9781" s="711"/>
      <c r="J9781" s="711"/>
      <c r="K9781" s="711"/>
      <c r="L9781" s="711"/>
      <c r="Q9781" s="11"/>
      <c r="R9781" s="11"/>
      <c r="S9781" s="11"/>
      <c r="T9781" s="11"/>
    </row>
    <row r="9782" spans="8:20" x14ac:dyDescent="0.35">
      <c r="H9782" s="711"/>
      <c r="I9782" s="711"/>
      <c r="J9782" s="711"/>
      <c r="K9782" s="711"/>
      <c r="L9782" s="711"/>
      <c r="Q9782" s="11"/>
      <c r="R9782" s="11"/>
      <c r="S9782" s="11"/>
      <c r="T9782" s="11"/>
    </row>
    <row r="9783" spans="8:20" x14ac:dyDescent="0.35">
      <c r="H9783" s="711"/>
      <c r="I9783" s="711"/>
      <c r="J9783" s="711"/>
      <c r="K9783" s="711"/>
      <c r="L9783" s="711"/>
      <c r="Q9783" s="11"/>
      <c r="R9783" s="11"/>
      <c r="S9783" s="11"/>
      <c r="T9783" s="11"/>
    </row>
    <row r="9784" spans="8:20" x14ac:dyDescent="0.35">
      <c r="H9784" s="711"/>
      <c r="I9784" s="711"/>
      <c r="J9784" s="711"/>
      <c r="K9784" s="711"/>
      <c r="L9784" s="711"/>
      <c r="Q9784" s="11"/>
      <c r="R9784" s="11"/>
      <c r="S9784" s="11"/>
      <c r="T9784" s="11"/>
    </row>
    <row r="9785" spans="8:20" x14ac:dyDescent="0.35">
      <c r="H9785" s="711"/>
      <c r="I9785" s="711"/>
      <c r="J9785" s="711"/>
      <c r="K9785" s="711"/>
      <c r="L9785" s="711"/>
      <c r="Q9785" s="11"/>
      <c r="R9785" s="11"/>
      <c r="S9785" s="11"/>
      <c r="T9785" s="11"/>
    </row>
    <row r="9786" spans="8:20" x14ac:dyDescent="0.35">
      <c r="H9786" s="711"/>
      <c r="I9786" s="711"/>
      <c r="J9786" s="711"/>
      <c r="K9786" s="711"/>
      <c r="L9786" s="711"/>
      <c r="Q9786" s="11"/>
      <c r="R9786" s="11"/>
      <c r="S9786" s="11"/>
      <c r="T9786" s="11"/>
    </row>
    <row r="9787" spans="8:20" x14ac:dyDescent="0.35">
      <c r="H9787" s="711"/>
      <c r="I9787" s="711"/>
      <c r="J9787" s="711"/>
      <c r="K9787" s="711"/>
      <c r="L9787" s="711"/>
      <c r="Q9787" s="11"/>
      <c r="R9787" s="11"/>
      <c r="S9787" s="11"/>
      <c r="T9787" s="11"/>
    </row>
    <row r="9788" spans="8:20" x14ac:dyDescent="0.35">
      <c r="H9788" s="711"/>
      <c r="I9788" s="711"/>
      <c r="J9788" s="711"/>
      <c r="K9788" s="711"/>
      <c r="L9788" s="711"/>
      <c r="Q9788" s="11"/>
      <c r="R9788" s="11"/>
      <c r="S9788" s="11"/>
      <c r="T9788" s="11"/>
    </row>
    <row r="9789" spans="8:20" x14ac:dyDescent="0.35">
      <c r="H9789" s="711"/>
      <c r="I9789" s="711"/>
      <c r="J9789" s="711"/>
      <c r="K9789" s="711"/>
      <c r="L9789" s="711"/>
      <c r="Q9789" s="11"/>
      <c r="R9789" s="11"/>
      <c r="S9789" s="11"/>
      <c r="T9789" s="11"/>
    </row>
    <row r="9790" spans="8:20" x14ac:dyDescent="0.35">
      <c r="H9790" s="711"/>
      <c r="I9790" s="711"/>
      <c r="J9790" s="711"/>
      <c r="K9790" s="711"/>
      <c r="L9790" s="711"/>
      <c r="Q9790" s="11"/>
      <c r="R9790" s="11"/>
      <c r="S9790" s="11"/>
      <c r="T9790" s="11"/>
    </row>
    <row r="9791" spans="8:20" x14ac:dyDescent="0.35">
      <c r="H9791" s="711"/>
      <c r="I9791" s="711"/>
      <c r="J9791" s="711"/>
      <c r="K9791" s="711"/>
      <c r="L9791" s="711"/>
      <c r="Q9791" s="11"/>
      <c r="R9791" s="11"/>
      <c r="S9791" s="11"/>
      <c r="T9791" s="11"/>
    </row>
    <row r="9792" spans="8:20" x14ac:dyDescent="0.35">
      <c r="H9792" s="711"/>
      <c r="I9792" s="711"/>
      <c r="J9792" s="711"/>
      <c r="K9792" s="711"/>
      <c r="L9792" s="711"/>
      <c r="Q9792" s="11"/>
      <c r="R9792" s="11"/>
      <c r="S9792" s="11"/>
      <c r="T9792" s="11"/>
    </row>
    <row r="9793" spans="8:20" x14ac:dyDescent="0.35">
      <c r="H9793" s="711"/>
      <c r="I9793" s="711"/>
      <c r="J9793" s="711"/>
      <c r="K9793" s="711"/>
      <c r="L9793" s="711"/>
      <c r="Q9793" s="11"/>
      <c r="R9793" s="11"/>
      <c r="S9793" s="11"/>
      <c r="T9793" s="11"/>
    </row>
    <row r="9794" spans="8:20" x14ac:dyDescent="0.35">
      <c r="H9794" s="711"/>
      <c r="I9794" s="711"/>
      <c r="J9794" s="711"/>
      <c r="K9794" s="711"/>
      <c r="L9794" s="711"/>
      <c r="Q9794" s="11"/>
      <c r="R9794" s="11"/>
      <c r="S9794" s="11"/>
      <c r="T9794" s="11"/>
    </row>
    <row r="9795" spans="8:20" x14ac:dyDescent="0.35">
      <c r="H9795" s="711"/>
      <c r="I9795" s="711"/>
      <c r="J9795" s="711"/>
      <c r="K9795" s="711"/>
      <c r="L9795" s="711"/>
      <c r="Q9795" s="11"/>
      <c r="R9795" s="11"/>
      <c r="S9795" s="11"/>
      <c r="T9795" s="11"/>
    </row>
    <row r="9796" spans="8:20" x14ac:dyDescent="0.35">
      <c r="H9796" s="711"/>
      <c r="I9796" s="711"/>
      <c r="J9796" s="711"/>
      <c r="K9796" s="711"/>
      <c r="L9796" s="711"/>
      <c r="Q9796" s="11"/>
      <c r="R9796" s="11"/>
      <c r="S9796" s="11"/>
      <c r="T9796" s="11"/>
    </row>
    <row r="9797" spans="8:20" x14ac:dyDescent="0.35">
      <c r="H9797" s="711"/>
      <c r="I9797" s="711"/>
      <c r="J9797" s="711"/>
      <c r="K9797" s="711"/>
      <c r="L9797" s="711"/>
      <c r="Q9797" s="11"/>
      <c r="R9797" s="11"/>
      <c r="S9797" s="11"/>
      <c r="T9797" s="11"/>
    </row>
    <row r="9798" spans="8:20" x14ac:dyDescent="0.35">
      <c r="H9798" s="711"/>
      <c r="I9798" s="711"/>
      <c r="J9798" s="711"/>
      <c r="K9798" s="711"/>
      <c r="L9798" s="711"/>
      <c r="Q9798" s="11"/>
      <c r="R9798" s="11"/>
      <c r="S9798" s="11"/>
      <c r="T9798" s="11"/>
    </row>
    <row r="9799" spans="8:20" x14ac:dyDescent="0.35">
      <c r="H9799" s="711"/>
      <c r="I9799" s="711"/>
      <c r="J9799" s="711"/>
      <c r="K9799" s="711"/>
      <c r="L9799" s="711"/>
      <c r="Q9799" s="11"/>
      <c r="R9799" s="11"/>
      <c r="S9799" s="11"/>
      <c r="T9799" s="11"/>
    </row>
    <row r="9800" spans="8:20" x14ac:dyDescent="0.35">
      <c r="H9800" s="711"/>
      <c r="I9800" s="711"/>
      <c r="J9800" s="711"/>
      <c r="K9800" s="711"/>
      <c r="L9800" s="711"/>
      <c r="Q9800" s="11"/>
      <c r="R9800" s="11"/>
      <c r="S9800" s="11"/>
      <c r="T9800" s="11"/>
    </row>
    <row r="9801" spans="8:20" x14ac:dyDescent="0.35">
      <c r="H9801" s="711"/>
      <c r="I9801" s="711"/>
      <c r="J9801" s="711"/>
      <c r="K9801" s="711"/>
      <c r="L9801" s="711"/>
      <c r="Q9801" s="11"/>
      <c r="R9801" s="11"/>
      <c r="S9801" s="11"/>
      <c r="T9801" s="11"/>
    </row>
    <row r="9802" spans="8:20" x14ac:dyDescent="0.35">
      <c r="H9802" s="711"/>
      <c r="I9802" s="711"/>
      <c r="J9802" s="711"/>
      <c r="K9802" s="711"/>
      <c r="L9802" s="711"/>
      <c r="Q9802" s="11"/>
      <c r="R9802" s="11"/>
      <c r="S9802" s="11"/>
      <c r="T9802" s="11"/>
    </row>
    <row r="9803" spans="8:20" x14ac:dyDescent="0.35">
      <c r="H9803" s="711"/>
      <c r="I9803" s="711"/>
      <c r="J9803" s="711"/>
      <c r="K9803" s="711"/>
      <c r="L9803" s="711"/>
      <c r="Q9803" s="11"/>
      <c r="R9803" s="11"/>
      <c r="S9803" s="11"/>
      <c r="T9803" s="11"/>
    </row>
    <row r="9804" spans="8:20" x14ac:dyDescent="0.35">
      <c r="H9804" s="711"/>
      <c r="I9804" s="711"/>
      <c r="J9804" s="711"/>
      <c r="K9804" s="711"/>
      <c r="L9804" s="711"/>
      <c r="Q9804" s="11"/>
      <c r="R9804" s="11"/>
      <c r="S9804" s="11"/>
      <c r="T9804" s="11"/>
    </row>
    <row r="9805" spans="8:20" x14ac:dyDescent="0.35">
      <c r="H9805" s="711"/>
      <c r="I9805" s="711"/>
      <c r="J9805" s="711"/>
      <c r="K9805" s="711"/>
      <c r="L9805" s="711"/>
      <c r="Q9805" s="11"/>
      <c r="R9805" s="11"/>
      <c r="S9805" s="11"/>
      <c r="T9805" s="11"/>
    </row>
    <row r="9806" spans="8:20" x14ac:dyDescent="0.35">
      <c r="H9806" s="711"/>
      <c r="I9806" s="711"/>
      <c r="J9806" s="711"/>
      <c r="K9806" s="711"/>
      <c r="L9806" s="711"/>
      <c r="Q9806" s="11"/>
      <c r="R9806" s="11"/>
      <c r="S9806" s="11"/>
      <c r="T9806" s="11"/>
    </row>
    <row r="9807" spans="8:20" x14ac:dyDescent="0.35">
      <c r="H9807" s="711"/>
      <c r="I9807" s="711"/>
      <c r="J9807" s="711"/>
      <c r="K9807" s="711"/>
      <c r="L9807" s="711"/>
      <c r="Q9807" s="11"/>
      <c r="R9807" s="11"/>
      <c r="S9807" s="11"/>
      <c r="T9807" s="11"/>
    </row>
    <row r="9808" spans="8:20" x14ac:dyDescent="0.35">
      <c r="H9808" s="711"/>
      <c r="I9808" s="711"/>
      <c r="J9808" s="711"/>
      <c r="K9808" s="711"/>
      <c r="L9808" s="711"/>
      <c r="Q9808" s="11"/>
      <c r="R9808" s="11"/>
      <c r="S9808" s="11"/>
      <c r="T9808" s="11"/>
    </row>
    <row r="9809" spans="8:20" x14ac:dyDescent="0.35">
      <c r="H9809" s="711"/>
      <c r="I9809" s="711"/>
      <c r="J9809" s="711"/>
      <c r="K9809" s="711"/>
      <c r="L9809" s="711"/>
      <c r="Q9809" s="11"/>
      <c r="R9809" s="11"/>
      <c r="S9809" s="11"/>
      <c r="T9809" s="11"/>
    </row>
    <row r="9810" spans="8:20" x14ac:dyDescent="0.35">
      <c r="H9810" s="711"/>
      <c r="I9810" s="711"/>
      <c r="J9810" s="711"/>
      <c r="K9810" s="711"/>
      <c r="L9810" s="711"/>
      <c r="Q9810" s="11"/>
      <c r="R9810" s="11"/>
      <c r="S9810" s="11"/>
      <c r="T9810" s="11"/>
    </row>
    <row r="9811" spans="8:20" x14ac:dyDescent="0.35">
      <c r="H9811" s="711"/>
      <c r="I9811" s="711"/>
      <c r="J9811" s="711"/>
      <c r="K9811" s="711"/>
      <c r="L9811" s="711"/>
      <c r="Q9811" s="11"/>
      <c r="R9811" s="11"/>
      <c r="S9811" s="11"/>
      <c r="T9811" s="11"/>
    </row>
    <row r="9812" spans="8:20" x14ac:dyDescent="0.35">
      <c r="H9812" s="711"/>
      <c r="I9812" s="711"/>
      <c r="J9812" s="711"/>
      <c r="K9812" s="711"/>
      <c r="L9812" s="711"/>
      <c r="Q9812" s="11"/>
      <c r="R9812" s="11"/>
      <c r="S9812" s="11"/>
      <c r="T9812" s="11"/>
    </row>
    <row r="9813" spans="8:20" x14ac:dyDescent="0.35">
      <c r="H9813" s="711"/>
      <c r="I9813" s="711"/>
      <c r="J9813" s="711"/>
      <c r="K9813" s="711"/>
      <c r="L9813" s="711"/>
      <c r="Q9813" s="11"/>
      <c r="R9813" s="11"/>
      <c r="S9813" s="11"/>
      <c r="T9813" s="11"/>
    </row>
    <row r="9814" spans="8:20" x14ac:dyDescent="0.35">
      <c r="H9814" s="711"/>
      <c r="I9814" s="711"/>
      <c r="J9814" s="711"/>
      <c r="K9814" s="711"/>
      <c r="L9814" s="711"/>
      <c r="Q9814" s="11"/>
      <c r="R9814" s="11"/>
      <c r="S9814" s="11"/>
      <c r="T9814" s="11"/>
    </row>
    <row r="9815" spans="8:20" x14ac:dyDescent="0.35">
      <c r="H9815" s="711"/>
      <c r="I9815" s="711"/>
      <c r="J9815" s="711"/>
      <c r="K9815" s="711"/>
      <c r="L9815" s="711"/>
      <c r="Q9815" s="11"/>
      <c r="R9815" s="11"/>
      <c r="S9815" s="11"/>
      <c r="T9815" s="11"/>
    </row>
    <row r="9816" spans="8:20" x14ac:dyDescent="0.35">
      <c r="H9816" s="711"/>
      <c r="I9816" s="711"/>
      <c r="J9816" s="711"/>
      <c r="K9816" s="711"/>
      <c r="L9816" s="711"/>
      <c r="Q9816" s="11"/>
      <c r="R9816" s="11"/>
      <c r="S9816" s="11"/>
      <c r="T9816" s="11"/>
    </row>
    <row r="9817" spans="8:20" x14ac:dyDescent="0.35">
      <c r="H9817" s="711"/>
      <c r="I9817" s="711"/>
      <c r="J9817" s="711"/>
      <c r="K9817" s="711"/>
      <c r="L9817" s="711"/>
      <c r="Q9817" s="11"/>
      <c r="R9817" s="11"/>
      <c r="S9817" s="11"/>
      <c r="T9817" s="11"/>
    </row>
    <row r="9818" spans="8:20" x14ac:dyDescent="0.35">
      <c r="H9818" s="711"/>
      <c r="I9818" s="711"/>
      <c r="J9818" s="711"/>
      <c r="K9818" s="711"/>
      <c r="L9818" s="711"/>
      <c r="Q9818" s="11"/>
      <c r="R9818" s="11"/>
      <c r="S9818" s="11"/>
      <c r="T9818" s="11"/>
    </row>
    <row r="9819" spans="8:20" x14ac:dyDescent="0.35">
      <c r="H9819" s="711"/>
      <c r="I9819" s="711"/>
      <c r="J9819" s="711"/>
      <c r="K9819" s="711"/>
      <c r="L9819" s="711"/>
      <c r="Q9819" s="11"/>
      <c r="R9819" s="11"/>
      <c r="S9819" s="11"/>
      <c r="T9819" s="11"/>
    </row>
    <row r="9820" spans="8:20" x14ac:dyDescent="0.35">
      <c r="H9820" s="711"/>
      <c r="I9820" s="711"/>
      <c r="J9820" s="711"/>
      <c r="K9820" s="711"/>
      <c r="L9820" s="711"/>
      <c r="Q9820" s="11"/>
      <c r="R9820" s="11"/>
      <c r="S9820" s="11"/>
      <c r="T9820" s="11"/>
    </row>
    <row r="9821" spans="8:20" x14ac:dyDescent="0.35">
      <c r="H9821" s="711"/>
      <c r="I9821" s="711"/>
      <c r="J9821" s="711"/>
      <c r="K9821" s="711"/>
      <c r="L9821" s="711"/>
      <c r="Q9821" s="11"/>
      <c r="R9821" s="11"/>
      <c r="S9821" s="11"/>
      <c r="T9821" s="11"/>
    </row>
    <row r="9822" spans="8:20" x14ac:dyDescent="0.35">
      <c r="H9822" s="711"/>
      <c r="I9822" s="711"/>
      <c r="J9822" s="711"/>
      <c r="K9822" s="711"/>
      <c r="L9822" s="711"/>
      <c r="Q9822" s="11"/>
      <c r="R9822" s="11"/>
      <c r="S9822" s="11"/>
      <c r="T9822" s="11"/>
    </row>
    <row r="9823" spans="8:20" x14ac:dyDescent="0.35">
      <c r="H9823" s="711"/>
      <c r="I9823" s="711"/>
      <c r="J9823" s="711"/>
      <c r="K9823" s="711"/>
      <c r="L9823" s="711"/>
      <c r="Q9823" s="11"/>
      <c r="R9823" s="11"/>
      <c r="S9823" s="11"/>
      <c r="T9823" s="11"/>
    </row>
    <row r="9824" spans="8:20" x14ac:dyDescent="0.35">
      <c r="H9824" s="711"/>
      <c r="I9824" s="711"/>
      <c r="J9824" s="711"/>
      <c r="K9824" s="711"/>
      <c r="L9824" s="711"/>
      <c r="Q9824" s="11"/>
      <c r="R9824" s="11"/>
      <c r="S9824" s="11"/>
      <c r="T9824" s="11"/>
    </row>
    <row r="9825" spans="8:20" x14ac:dyDescent="0.35">
      <c r="H9825" s="711"/>
      <c r="I9825" s="711"/>
      <c r="J9825" s="711"/>
      <c r="K9825" s="711"/>
      <c r="L9825" s="711"/>
      <c r="Q9825" s="11"/>
      <c r="R9825" s="11"/>
      <c r="S9825" s="11"/>
      <c r="T9825" s="11"/>
    </row>
    <row r="9826" spans="8:20" x14ac:dyDescent="0.35">
      <c r="H9826" s="711"/>
      <c r="I9826" s="711"/>
      <c r="J9826" s="711"/>
      <c r="K9826" s="711"/>
      <c r="L9826" s="711"/>
      <c r="Q9826" s="11"/>
      <c r="R9826" s="11"/>
      <c r="S9826" s="11"/>
      <c r="T9826" s="11"/>
    </row>
    <row r="9827" spans="8:20" x14ac:dyDescent="0.35">
      <c r="H9827" s="711"/>
      <c r="I9827" s="711"/>
      <c r="J9827" s="711"/>
      <c r="K9827" s="711"/>
      <c r="L9827" s="711"/>
      <c r="Q9827" s="11"/>
      <c r="R9827" s="11"/>
      <c r="S9827" s="11"/>
      <c r="T9827" s="11"/>
    </row>
    <row r="9828" spans="8:20" x14ac:dyDescent="0.35">
      <c r="H9828" s="711"/>
      <c r="I9828" s="711"/>
      <c r="J9828" s="711"/>
      <c r="K9828" s="711"/>
      <c r="L9828" s="711"/>
      <c r="Q9828" s="11"/>
      <c r="R9828" s="11"/>
      <c r="S9828" s="11"/>
      <c r="T9828" s="11"/>
    </row>
    <row r="9829" spans="8:20" x14ac:dyDescent="0.35">
      <c r="H9829" s="711"/>
      <c r="I9829" s="711"/>
      <c r="J9829" s="711"/>
      <c r="K9829" s="711"/>
      <c r="L9829" s="711"/>
      <c r="Q9829" s="11"/>
      <c r="R9829" s="11"/>
      <c r="S9829" s="11"/>
      <c r="T9829" s="11"/>
    </row>
    <row r="9830" spans="8:20" x14ac:dyDescent="0.35">
      <c r="H9830" s="711"/>
      <c r="I9830" s="711"/>
      <c r="J9830" s="711"/>
      <c r="K9830" s="711"/>
      <c r="L9830" s="711"/>
      <c r="Q9830" s="11"/>
      <c r="R9830" s="11"/>
      <c r="S9830" s="11"/>
      <c r="T9830" s="11"/>
    </row>
    <row r="9831" spans="8:20" x14ac:dyDescent="0.35">
      <c r="H9831" s="711"/>
      <c r="I9831" s="711"/>
      <c r="J9831" s="711"/>
      <c r="K9831" s="711"/>
      <c r="L9831" s="711"/>
      <c r="Q9831" s="11"/>
      <c r="R9831" s="11"/>
      <c r="S9831" s="11"/>
      <c r="T9831" s="11"/>
    </row>
    <row r="9832" spans="8:20" x14ac:dyDescent="0.35">
      <c r="H9832" s="711"/>
      <c r="I9832" s="711"/>
      <c r="J9832" s="711"/>
      <c r="K9832" s="711"/>
      <c r="L9832" s="711"/>
      <c r="Q9832" s="11"/>
      <c r="R9832" s="11"/>
      <c r="S9832" s="11"/>
      <c r="T9832" s="11"/>
    </row>
    <row r="9833" spans="8:20" x14ac:dyDescent="0.35">
      <c r="H9833" s="711"/>
      <c r="I9833" s="711"/>
      <c r="J9833" s="711"/>
      <c r="K9833" s="711"/>
      <c r="L9833" s="711"/>
      <c r="Q9833" s="11"/>
      <c r="R9833" s="11"/>
      <c r="S9833" s="11"/>
      <c r="T9833" s="11"/>
    </row>
    <row r="9834" spans="8:20" x14ac:dyDescent="0.35">
      <c r="H9834" s="711"/>
      <c r="I9834" s="711"/>
      <c r="J9834" s="711"/>
      <c r="K9834" s="711"/>
      <c r="L9834" s="711"/>
      <c r="Q9834" s="11"/>
      <c r="R9834" s="11"/>
      <c r="S9834" s="11"/>
      <c r="T9834" s="11"/>
    </row>
    <row r="9835" spans="8:20" x14ac:dyDescent="0.35">
      <c r="H9835" s="711"/>
      <c r="I9835" s="711"/>
      <c r="J9835" s="711"/>
      <c r="K9835" s="711"/>
      <c r="L9835" s="711"/>
      <c r="Q9835" s="11"/>
      <c r="R9835" s="11"/>
      <c r="S9835" s="11"/>
      <c r="T9835" s="11"/>
    </row>
    <row r="9836" spans="8:20" x14ac:dyDescent="0.35">
      <c r="H9836" s="711"/>
      <c r="I9836" s="711"/>
      <c r="J9836" s="711"/>
      <c r="K9836" s="711"/>
      <c r="L9836" s="711"/>
      <c r="Q9836" s="11"/>
      <c r="R9836" s="11"/>
      <c r="S9836" s="11"/>
      <c r="T9836" s="11"/>
    </row>
    <row r="9837" spans="8:20" x14ac:dyDescent="0.35">
      <c r="H9837" s="711"/>
      <c r="I9837" s="711"/>
      <c r="J9837" s="711"/>
      <c r="K9837" s="711"/>
      <c r="L9837" s="711"/>
      <c r="Q9837" s="11"/>
      <c r="R9837" s="11"/>
      <c r="S9837" s="11"/>
      <c r="T9837" s="11"/>
    </row>
    <row r="9838" spans="8:20" x14ac:dyDescent="0.35">
      <c r="H9838" s="711"/>
      <c r="I9838" s="711"/>
      <c r="J9838" s="711"/>
      <c r="K9838" s="711"/>
      <c r="L9838" s="711"/>
      <c r="Q9838" s="11"/>
      <c r="R9838" s="11"/>
      <c r="S9838" s="11"/>
      <c r="T9838" s="11"/>
    </row>
    <row r="9839" spans="8:20" x14ac:dyDescent="0.35">
      <c r="H9839" s="711"/>
      <c r="I9839" s="711"/>
      <c r="J9839" s="711"/>
      <c r="K9839" s="711"/>
      <c r="L9839" s="711"/>
      <c r="Q9839" s="11"/>
      <c r="R9839" s="11"/>
      <c r="S9839" s="11"/>
      <c r="T9839" s="11"/>
    </row>
    <row r="9840" spans="8:20" x14ac:dyDescent="0.35">
      <c r="H9840" s="711"/>
      <c r="I9840" s="711"/>
      <c r="J9840" s="711"/>
      <c r="K9840" s="711"/>
      <c r="L9840" s="711"/>
      <c r="Q9840" s="11"/>
      <c r="R9840" s="11"/>
      <c r="S9840" s="11"/>
      <c r="T9840" s="11"/>
    </row>
    <row r="9841" spans="8:20" x14ac:dyDescent="0.35">
      <c r="H9841" s="711"/>
      <c r="I9841" s="711"/>
      <c r="J9841" s="711"/>
      <c r="K9841" s="711"/>
      <c r="L9841" s="711"/>
      <c r="Q9841" s="11"/>
      <c r="R9841" s="11"/>
      <c r="S9841" s="11"/>
      <c r="T9841" s="11"/>
    </row>
    <row r="9842" spans="8:20" x14ac:dyDescent="0.35">
      <c r="H9842" s="711"/>
      <c r="I9842" s="711"/>
      <c r="J9842" s="711"/>
      <c r="K9842" s="711"/>
      <c r="L9842" s="711"/>
      <c r="Q9842" s="11"/>
      <c r="R9842" s="11"/>
      <c r="S9842" s="11"/>
      <c r="T9842" s="11"/>
    </row>
    <row r="9843" spans="8:20" x14ac:dyDescent="0.35">
      <c r="H9843" s="711"/>
      <c r="I9843" s="711"/>
      <c r="J9843" s="711"/>
      <c r="K9843" s="711"/>
      <c r="L9843" s="711"/>
      <c r="Q9843" s="11"/>
      <c r="R9843" s="11"/>
      <c r="S9843" s="11"/>
      <c r="T9843" s="11"/>
    </row>
    <row r="9844" spans="8:20" x14ac:dyDescent="0.35">
      <c r="H9844" s="711"/>
      <c r="I9844" s="711"/>
      <c r="J9844" s="711"/>
      <c r="K9844" s="711"/>
      <c r="L9844" s="711"/>
      <c r="Q9844" s="11"/>
      <c r="R9844" s="11"/>
      <c r="S9844" s="11"/>
      <c r="T9844" s="11"/>
    </row>
    <row r="9845" spans="8:20" x14ac:dyDescent="0.35">
      <c r="H9845" s="711"/>
      <c r="I9845" s="711"/>
      <c r="J9845" s="711"/>
      <c r="K9845" s="711"/>
      <c r="L9845" s="711"/>
      <c r="Q9845" s="11"/>
      <c r="R9845" s="11"/>
      <c r="S9845" s="11"/>
      <c r="T9845" s="11"/>
    </row>
    <row r="9846" spans="8:20" x14ac:dyDescent="0.35">
      <c r="H9846" s="711"/>
      <c r="I9846" s="711"/>
      <c r="J9846" s="711"/>
      <c r="K9846" s="711"/>
      <c r="L9846" s="711"/>
      <c r="Q9846" s="11"/>
      <c r="R9846" s="11"/>
      <c r="S9846" s="11"/>
      <c r="T9846" s="11"/>
    </row>
    <row r="9847" spans="8:20" x14ac:dyDescent="0.35">
      <c r="H9847" s="711"/>
      <c r="I9847" s="711"/>
      <c r="J9847" s="711"/>
      <c r="K9847" s="711"/>
      <c r="L9847" s="711"/>
      <c r="Q9847" s="11"/>
      <c r="R9847" s="11"/>
      <c r="S9847" s="11"/>
      <c r="T9847" s="11"/>
    </row>
    <row r="9848" spans="8:20" x14ac:dyDescent="0.35">
      <c r="H9848" s="711"/>
      <c r="I9848" s="711"/>
      <c r="J9848" s="711"/>
      <c r="K9848" s="711"/>
      <c r="L9848" s="711"/>
      <c r="Q9848" s="11"/>
      <c r="R9848" s="11"/>
      <c r="S9848" s="11"/>
      <c r="T9848" s="11"/>
    </row>
    <row r="9849" spans="8:20" x14ac:dyDescent="0.35">
      <c r="H9849" s="711"/>
      <c r="I9849" s="711"/>
      <c r="J9849" s="711"/>
      <c r="K9849" s="711"/>
      <c r="L9849" s="711"/>
      <c r="Q9849" s="11"/>
      <c r="R9849" s="11"/>
      <c r="S9849" s="11"/>
      <c r="T9849" s="11"/>
    </row>
    <row r="9850" spans="8:20" x14ac:dyDescent="0.35">
      <c r="H9850" s="711"/>
      <c r="I9850" s="711"/>
      <c r="J9850" s="711"/>
      <c r="K9850" s="711"/>
      <c r="L9850" s="711"/>
      <c r="Q9850" s="11"/>
      <c r="R9850" s="11"/>
      <c r="S9850" s="11"/>
      <c r="T9850" s="11"/>
    </row>
    <row r="9851" spans="8:20" x14ac:dyDescent="0.35">
      <c r="H9851" s="711"/>
      <c r="I9851" s="711"/>
      <c r="J9851" s="711"/>
      <c r="K9851" s="711"/>
      <c r="L9851" s="711"/>
      <c r="Q9851" s="11"/>
      <c r="R9851" s="11"/>
      <c r="S9851" s="11"/>
      <c r="T9851" s="11"/>
    </row>
    <row r="9852" spans="8:20" x14ac:dyDescent="0.35">
      <c r="H9852" s="711"/>
      <c r="I9852" s="711"/>
      <c r="J9852" s="711"/>
      <c r="K9852" s="711"/>
      <c r="L9852" s="711"/>
      <c r="Q9852" s="11"/>
      <c r="R9852" s="11"/>
      <c r="S9852" s="11"/>
      <c r="T9852" s="11"/>
    </row>
    <row r="9853" spans="8:20" x14ac:dyDescent="0.35">
      <c r="H9853" s="711"/>
      <c r="I9853" s="711"/>
      <c r="J9853" s="711"/>
      <c r="K9853" s="711"/>
      <c r="L9853" s="711"/>
      <c r="Q9853" s="11"/>
      <c r="R9853" s="11"/>
      <c r="S9853" s="11"/>
      <c r="T9853" s="11"/>
    </row>
    <row r="9854" spans="8:20" x14ac:dyDescent="0.35">
      <c r="H9854" s="711"/>
      <c r="I9854" s="711"/>
      <c r="J9854" s="711"/>
      <c r="K9854" s="711"/>
      <c r="L9854" s="711"/>
      <c r="Q9854" s="11"/>
      <c r="R9854" s="11"/>
      <c r="S9854" s="11"/>
      <c r="T9854" s="11"/>
    </row>
    <row r="9855" spans="8:20" x14ac:dyDescent="0.35">
      <c r="H9855" s="711"/>
      <c r="I9855" s="711"/>
      <c r="J9855" s="711"/>
      <c r="K9855" s="711"/>
      <c r="L9855" s="711"/>
      <c r="Q9855" s="11"/>
      <c r="R9855" s="11"/>
      <c r="S9855" s="11"/>
      <c r="T9855" s="11"/>
    </row>
    <row r="9856" spans="8:20" x14ac:dyDescent="0.35">
      <c r="H9856" s="711"/>
      <c r="I9856" s="711"/>
      <c r="J9856" s="711"/>
      <c r="K9856" s="711"/>
      <c r="L9856" s="711"/>
      <c r="Q9856" s="11"/>
      <c r="R9856" s="11"/>
      <c r="S9856" s="11"/>
      <c r="T9856" s="11"/>
    </row>
    <row r="9857" spans="8:20" x14ac:dyDescent="0.35">
      <c r="H9857" s="711"/>
      <c r="I9857" s="711"/>
      <c r="J9857" s="711"/>
      <c r="K9857" s="711"/>
      <c r="L9857" s="711"/>
      <c r="Q9857" s="11"/>
      <c r="R9857" s="11"/>
      <c r="S9857" s="11"/>
      <c r="T9857" s="11"/>
    </row>
    <row r="9858" spans="8:20" x14ac:dyDescent="0.35">
      <c r="H9858" s="711"/>
      <c r="I9858" s="711"/>
      <c r="J9858" s="711"/>
      <c r="K9858" s="711"/>
      <c r="L9858" s="711"/>
      <c r="Q9858" s="11"/>
      <c r="R9858" s="11"/>
      <c r="S9858" s="11"/>
      <c r="T9858" s="11"/>
    </row>
    <row r="9859" spans="8:20" x14ac:dyDescent="0.35">
      <c r="H9859" s="711"/>
      <c r="I9859" s="711"/>
      <c r="J9859" s="711"/>
      <c r="K9859" s="711"/>
      <c r="L9859" s="711"/>
      <c r="Q9859" s="11"/>
      <c r="R9859" s="11"/>
      <c r="S9859" s="11"/>
      <c r="T9859" s="11"/>
    </row>
    <row r="9860" spans="8:20" x14ac:dyDescent="0.35">
      <c r="H9860" s="711"/>
      <c r="I9860" s="711"/>
      <c r="J9860" s="711"/>
      <c r="K9860" s="711"/>
      <c r="L9860" s="711"/>
      <c r="Q9860" s="11"/>
      <c r="R9860" s="11"/>
      <c r="S9860" s="11"/>
      <c r="T9860" s="11"/>
    </row>
    <row r="9861" spans="8:20" x14ac:dyDescent="0.35">
      <c r="H9861" s="711"/>
      <c r="I9861" s="711"/>
      <c r="J9861" s="711"/>
      <c r="K9861" s="711"/>
      <c r="L9861" s="711"/>
      <c r="Q9861" s="11"/>
      <c r="R9861" s="11"/>
      <c r="S9861" s="11"/>
      <c r="T9861" s="11"/>
    </row>
    <row r="9862" spans="8:20" x14ac:dyDescent="0.35">
      <c r="H9862" s="711"/>
      <c r="I9862" s="711"/>
      <c r="J9862" s="711"/>
      <c r="K9862" s="711"/>
      <c r="L9862" s="711"/>
      <c r="Q9862" s="11"/>
      <c r="R9862" s="11"/>
      <c r="S9862" s="11"/>
      <c r="T9862" s="11"/>
    </row>
    <row r="9863" spans="8:20" x14ac:dyDescent="0.35">
      <c r="H9863" s="711"/>
      <c r="I9863" s="711"/>
      <c r="J9863" s="711"/>
      <c r="K9863" s="711"/>
      <c r="L9863" s="711"/>
      <c r="Q9863" s="11"/>
      <c r="R9863" s="11"/>
      <c r="S9863" s="11"/>
      <c r="T9863" s="11"/>
    </row>
    <row r="9864" spans="8:20" x14ac:dyDescent="0.35">
      <c r="H9864" s="711"/>
      <c r="I9864" s="711"/>
      <c r="J9864" s="711"/>
      <c r="K9864" s="711"/>
      <c r="L9864" s="711"/>
      <c r="Q9864" s="11"/>
      <c r="R9864" s="11"/>
      <c r="S9864" s="11"/>
      <c r="T9864" s="11"/>
    </row>
    <row r="9865" spans="8:20" x14ac:dyDescent="0.35">
      <c r="H9865" s="711"/>
      <c r="I9865" s="711"/>
      <c r="J9865" s="711"/>
      <c r="K9865" s="711"/>
      <c r="L9865" s="711"/>
      <c r="Q9865" s="11"/>
      <c r="R9865" s="11"/>
      <c r="S9865" s="11"/>
      <c r="T9865" s="11"/>
    </row>
    <row r="9866" spans="8:20" x14ac:dyDescent="0.35">
      <c r="H9866" s="711"/>
      <c r="I9866" s="711"/>
      <c r="J9866" s="711"/>
      <c r="K9866" s="711"/>
      <c r="L9866" s="711"/>
      <c r="Q9866" s="11"/>
      <c r="R9866" s="11"/>
      <c r="S9866" s="11"/>
      <c r="T9866" s="11"/>
    </row>
    <row r="9867" spans="8:20" x14ac:dyDescent="0.35">
      <c r="H9867" s="711"/>
      <c r="I9867" s="711"/>
      <c r="J9867" s="711"/>
      <c r="K9867" s="711"/>
      <c r="L9867" s="711"/>
      <c r="Q9867" s="11"/>
      <c r="R9867" s="11"/>
      <c r="S9867" s="11"/>
      <c r="T9867" s="11"/>
    </row>
    <row r="9868" spans="8:20" x14ac:dyDescent="0.35">
      <c r="H9868" s="711"/>
      <c r="I9868" s="711"/>
      <c r="J9868" s="711"/>
      <c r="K9868" s="711"/>
      <c r="L9868" s="711"/>
      <c r="Q9868" s="11"/>
      <c r="R9868" s="11"/>
      <c r="S9868" s="11"/>
      <c r="T9868" s="11"/>
    </row>
    <row r="9869" spans="8:20" x14ac:dyDescent="0.35">
      <c r="H9869" s="711"/>
      <c r="I9869" s="711"/>
      <c r="J9869" s="711"/>
      <c r="K9869" s="711"/>
      <c r="L9869" s="711"/>
      <c r="Q9869" s="11"/>
      <c r="R9869" s="11"/>
      <c r="S9869" s="11"/>
      <c r="T9869" s="11"/>
    </row>
    <row r="9870" spans="8:20" x14ac:dyDescent="0.35">
      <c r="H9870" s="711"/>
      <c r="I9870" s="711"/>
      <c r="J9870" s="711"/>
      <c r="K9870" s="711"/>
      <c r="L9870" s="711"/>
      <c r="Q9870" s="11"/>
      <c r="R9870" s="11"/>
      <c r="S9870" s="11"/>
      <c r="T9870" s="11"/>
    </row>
    <row r="9871" spans="8:20" x14ac:dyDescent="0.35">
      <c r="H9871" s="711"/>
      <c r="I9871" s="711"/>
      <c r="J9871" s="711"/>
      <c r="K9871" s="711"/>
      <c r="L9871" s="711"/>
      <c r="Q9871" s="11"/>
      <c r="R9871" s="11"/>
      <c r="S9871" s="11"/>
      <c r="T9871" s="11"/>
    </row>
    <row r="9872" spans="8:20" x14ac:dyDescent="0.35">
      <c r="H9872" s="711"/>
      <c r="I9872" s="711"/>
      <c r="J9872" s="711"/>
      <c r="K9872" s="711"/>
      <c r="L9872" s="711"/>
      <c r="Q9872" s="11"/>
      <c r="R9872" s="11"/>
      <c r="S9872" s="11"/>
      <c r="T9872" s="11"/>
    </row>
    <row r="9873" spans="8:20" x14ac:dyDescent="0.35">
      <c r="H9873" s="711"/>
      <c r="I9873" s="711"/>
      <c r="J9873" s="711"/>
      <c r="K9873" s="711"/>
      <c r="L9873" s="711"/>
      <c r="Q9873" s="11"/>
      <c r="R9873" s="11"/>
      <c r="S9873" s="11"/>
      <c r="T9873" s="11"/>
    </row>
    <row r="9874" spans="8:20" x14ac:dyDescent="0.35">
      <c r="H9874" s="711"/>
      <c r="I9874" s="711"/>
      <c r="J9874" s="711"/>
      <c r="K9874" s="711"/>
      <c r="L9874" s="711"/>
      <c r="Q9874" s="11"/>
      <c r="R9874" s="11"/>
      <c r="S9874" s="11"/>
      <c r="T9874" s="11"/>
    </row>
    <row r="9875" spans="8:20" x14ac:dyDescent="0.35">
      <c r="H9875" s="711"/>
      <c r="I9875" s="711"/>
      <c r="J9875" s="711"/>
      <c r="K9875" s="711"/>
      <c r="L9875" s="711"/>
      <c r="Q9875" s="11"/>
      <c r="R9875" s="11"/>
      <c r="S9875" s="11"/>
      <c r="T9875" s="11"/>
    </row>
    <row r="9876" spans="8:20" x14ac:dyDescent="0.35">
      <c r="H9876" s="711"/>
      <c r="I9876" s="711"/>
      <c r="J9876" s="711"/>
      <c r="K9876" s="711"/>
      <c r="L9876" s="711"/>
      <c r="Q9876" s="11"/>
      <c r="R9876" s="11"/>
      <c r="S9876" s="11"/>
      <c r="T9876" s="11"/>
    </row>
    <row r="9877" spans="8:20" x14ac:dyDescent="0.35">
      <c r="H9877" s="711"/>
      <c r="I9877" s="711"/>
      <c r="J9877" s="711"/>
      <c r="K9877" s="711"/>
      <c r="L9877" s="711"/>
      <c r="Q9877" s="11"/>
      <c r="R9877" s="11"/>
      <c r="S9877" s="11"/>
      <c r="T9877" s="11"/>
    </row>
    <row r="9878" spans="8:20" x14ac:dyDescent="0.35">
      <c r="H9878" s="711"/>
      <c r="I9878" s="711"/>
      <c r="J9878" s="711"/>
      <c r="K9878" s="711"/>
      <c r="L9878" s="711"/>
      <c r="Q9878" s="11"/>
      <c r="R9878" s="11"/>
      <c r="S9878" s="11"/>
      <c r="T9878" s="11"/>
    </row>
    <row r="9879" spans="8:20" x14ac:dyDescent="0.35">
      <c r="H9879" s="711"/>
      <c r="I9879" s="711"/>
      <c r="J9879" s="711"/>
      <c r="K9879" s="711"/>
      <c r="L9879" s="711"/>
      <c r="Q9879" s="11"/>
      <c r="R9879" s="11"/>
      <c r="S9879" s="11"/>
      <c r="T9879" s="11"/>
    </row>
    <row r="9880" spans="8:20" x14ac:dyDescent="0.35">
      <c r="H9880" s="711"/>
      <c r="I9880" s="711"/>
      <c r="J9880" s="711"/>
      <c r="K9880" s="711"/>
      <c r="L9880" s="711"/>
      <c r="Q9880" s="11"/>
      <c r="R9880" s="11"/>
      <c r="S9880" s="11"/>
      <c r="T9880" s="11"/>
    </row>
    <row r="9881" spans="8:20" x14ac:dyDescent="0.35">
      <c r="H9881" s="711"/>
      <c r="I9881" s="711"/>
      <c r="J9881" s="711"/>
      <c r="K9881" s="711"/>
      <c r="L9881" s="711"/>
      <c r="Q9881" s="11"/>
      <c r="R9881" s="11"/>
      <c r="S9881" s="11"/>
      <c r="T9881" s="11"/>
    </row>
    <row r="9882" spans="8:20" x14ac:dyDescent="0.35">
      <c r="H9882" s="711"/>
      <c r="I9882" s="711"/>
      <c r="J9882" s="711"/>
      <c r="K9882" s="711"/>
      <c r="L9882" s="711"/>
      <c r="Q9882" s="11"/>
      <c r="R9882" s="11"/>
      <c r="S9882" s="11"/>
      <c r="T9882" s="11"/>
    </row>
    <row r="9883" spans="8:20" x14ac:dyDescent="0.35">
      <c r="H9883" s="711"/>
      <c r="I9883" s="711"/>
      <c r="J9883" s="711"/>
      <c r="K9883" s="711"/>
      <c r="L9883" s="711"/>
      <c r="Q9883" s="11"/>
      <c r="R9883" s="11"/>
      <c r="S9883" s="11"/>
      <c r="T9883" s="11"/>
    </row>
    <row r="9884" spans="8:20" x14ac:dyDescent="0.35">
      <c r="H9884" s="711"/>
      <c r="I9884" s="711"/>
      <c r="J9884" s="711"/>
      <c r="K9884" s="711"/>
      <c r="L9884" s="711"/>
      <c r="Q9884" s="11"/>
      <c r="R9884" s="11"/>
      <c r="S9884" s="11"/>
      <c r="T9884" s="11"/>
    </row>
    <row r="9885" spans="8:20" x14ac:dyDescent="0.35">
      <c r="H9885" s="711"/>
      <c r="I9885" s="711"/>
      <c r="J9885" s="711"/>
      <c r="K9885" s="711"/>
      <c r="L9885" s="711"/>
      <c r="Q9885" s="11"/>
      <c r="R9885" s="11"/>
      <c r="S9885" s="11"/>
      <c r="T9885" s="11"/>
    </row>
    <row r="9886" spans="8:20" x14ac:dyDescent="0.35">
      <c r="H9886" s="711"/>
      <c r="I9886" s="711"/>
      <c r="J9886" s="711"/>
      <c r="K9886" s="711"/>
      <c r="L9886" s="711"/>
      <c r="Q9886" s="11"/>
      <c r="R9886" s="11"/>
      <c r="S9886" s="11"/>
      <c r="T9886" s="11"/>
    </row>
    <row r="9887" spans="8:20" x14ac:dyDescent="0.35">
      <c r="H9887" s="711"/>
      <c r="I9887" s="711"/>
      <c r="J9887" s="711"/>
      <c r="K9887" s="711"/>
      <c r="L9887" s="711"/>
      <c r="Q9887" s="11"/>
      <c r="R9887" s="11"/>
      <c r="S9887" s="11"/>
      <c r="T9887" s="11"/>
    </row>
    <row r="9888" spans="8:20" x14ac:dyDescent="0.35">
      <c r="H9888" s="711"/>
      <c r="I9888" s="711"/>
      <c r="J9888" s="711"/>
      <c r="K9888" s="711"/>
      <c r="L9888" s="711"/>
      <c r="Q9888" s="11"/>
      <c r="R9888" s="11"/>
      <c r="S9888" s="11"/>
      <c r="T9888" s="11"/>
    </row>
    <row r="9889" spans="8:20" x14ac:dyDescent="0.35">
      <c r="H9889" s="711"/>
      <c r="I9889" s="711"/>
      <c r="J9889" s="711"/>
      <c r="K9889" s="711"/>
      <c r="L9889" s="711"/>
      <c r="Q9889" s="11"/>
      <c r="R9889" s="11"/>
      <c r="S9889" s="11"/>
      <c r="T9889" s="11"/>
    </row>
    <row r="9890" spans="8:20" x14ac:dyDescent="0.35">
      <c r="H9890" s="711"/>
      <c r="I9890" s="711"/>
      <c r="J9890" s="711"/>
      <c r="K9890" s="711"/>
      <c r="L9890" s="711"/>
      <c r="Q9890" s="11"/>
      <c r="R9890" s="11"/>
      <c r="S9890" s="11"/>
      <c r="T9890" s="11"/>
    </row>
    <row r="9891" spans="8:20" x14ac:dyDescent="0.35">
      <c r="H9891" s="711"/>
      <c r="I9891" s="711"/>
      <c r="J9891" s="711"/>
      <c r="K9891" s="711"/>
      <c r="L9891" s="711"/>
      <c r="Q9891" s="11"/>
      <c r="R9891" s="11"/>
      <c r="S9891" s="11"/>
      <c r="T9891" s="11"/>
    </row>
    <row r="9892" spans="8:20" x14ac:dyDescent="0.35">
      <c r="H9892" s="711"/>
      <c r="I9892" s="711"/>
      <c r="J9892" s="711"/>
      <c r="K9892" s="711"/>
      <c r="L9892" s="711"/>
      <c r="Q9892" s="11"/>
      <c r="R9892" s="11"/>
      <c r="S9892" s="11"/>
      <c r="T9892" s="11"/>
    </row>
    <row r="9893" spans="8:20" x14ac:dyDescent="0.35">
      <c r="H9893" s="711"/>
      <c r="I9893" s="711"/>
      <c r="J9893" s="711"/>
      <c r="K9893" s="711"/>
      <c r="L9893" s="711"/>
      <c r="Q9893" s="11"/>
      <c r="R9893" s="11"/>
      <c r="S9893" s="11"/>
      <c r="T9893" s="11"/>
    </row>
    <row r="9894" spans="8:20" x14ac:dyDescent="0.35">
      <c r="H9894" s="711"/>
      <c r="I9894" s="711"/>
      <c r="J9894" s="711"/>
      <c r="K9894" s="711"/>
      <c r="L9894" s="711"/>
      <c r="Q9894" s="11"/>
      <c r="R9894" s="11"/>
      <c r="S9894" s="11"/>
      <c r="T9894" s="11"/>
    </row>
    <row r="9895" spans="8:20" x14ac:dyDescent="0.35">
      <c r="H9895" s="711"/>
      <c r="I9895" s="711"/>
      <c r="J9895" s="711"/>
      <c r="K9895" s="711"/>
      <c r="L9895" s="711"/>
      <c r="Q9895" s="11"/>
      <c r="R9895" s="11"/>
      <c r="S9895" s="11"/>
      <c r="T9895" s="11"/>
    </row>
    <row r="9896" spans="8:20" x14ac:dyDescent="0.35">
      <c r="H9896" s="711"/>
      <c r="I9896" s="711"/>
      <c r="J9896" s="711"/>
      <c r="K9896" s="711"/>
      <c r="L9896" s="711"/>
      <c r="Q9896" s="11"/>
      <c r="R9896" s="11"/>
      <c r="S9896" s="11"/>
      <c r="T9896" s="11"/>
    </row>
    <row r="9897" spans="8:20" x14ac:dyDescent="0.35">
      <c r="H9897" s="711"/>
      <c r="I9897" s="711"/>
      <c r="J9897" s="711"/>
      <c r="K9897" s="711"/>
      <c r="L9897" s="711"/>
      <c r="Q9897" s="11"/>
      <c r="R9897" s="11"/>
      <c r="S9897" s="11"/>
      <c r="T9897" s="11"/>
    </row>
    <row r="9898" spans="8:20" x14ac:dyDescent="0.35">
      <c r="H9898" s="711"/>
      <c r="I9898" s="711"/>
      <c r="J9898" s="711"/>
      <c r="K9898" s="711"/>
      <c r="L9898" s="711"/>
      <c r="Q9898" s="11"/>
      <c r="R9898" s="11"/>
      <c r="S9898" s="11"/>
      <c r="T9898" s="11"/>
    </row>
    <row r="9899" spans="8:20" x14ac:dyDescent="0.35">
      <c r="H9899" s="711"/>
      <c r="I9899" s="711"/>
      <c r="J9899" s="711"/>
      <c r="K9899" s="711"/>
      <c r="L9899" s="711"/>
      <c r="Q9899" s="11"/>
      <c r="R9899" s="11"/>
      <c r="S9899" s="11"/>
      <c r="T9899" s="11"/>
    </row>
    <row r="9900" spans="8:20" x14ac:dyDescent="0.35">
      <c r="H9900" s="711"/>
      <c r="I9900" s="711"/>
      <c r="J9900" s="711"/>
      <c r="K9900" s="711"/>
      <c r="L9900" s="711"/>
      <c r="Q9900" s="11"/>
      <c r="R9900" s="11"/>
      <c r="S9900" s="11"/>
      <c r="T9900" s="11"/>
    </row>
    <row r="9901" spans="8:20" x14ac:dyDescent="0.35">
      <c r="H9901" s="711"/>
      <c r="I9901" s="711"/>
      <c r="J9901" s="711"/>
      <c r="K9901" s="711"/>
      <c r="L9901" s="711"/>
      <c r="Q9901" s="11"/>
      <c r="R9901" s="11"/>
      <c r="S9901" s="11"/>
      <c r="T9901" s="11"/>
    </row>
    <row r="9902" spans="8:20" x14ac:dyDescent="0.35">
      <c r="H9902" s="711"/>
      <c r="I9902" s="711"/>
      <c r="J9902" s="711"/>
      <c r="K9902" s="711"/>
      <c r="L9902" s="711"/>
      <c r="Q9902" s="11"/>
      <c r="R9902" s="11"/>
      <c r="S9902" s="11"/>
      <c r="T9902" s="11"/>
    </row>
    <row r="9903" spans="8:20" x14ac:dyDescent="0.35">
      <c r="H9903" s="711"/>
      <c r="I9903" s="711"/>
      <c r="J9903" s="711"/>
      <c r="K9903" s="711"/>
      <c r="L9903" s="711"/>
      <c r="Q9903" s="11"/>
      <c r="R9903" s="11"/>
      <c r="S9903" s="11"/>
      <c r="T9903" s="11"/>
    </row>
    <row r="9904" spans="8:20" x14ac:dyDescent="0.35">
      <c r="H9904" s="711"/>
      <c r="I9904" s="711"/>
      <c r="J9904" s="711"/>
      <c r="K9904" s="711"/>
      <c r="L9904" s="711"/>
      <c r="Q9904" s="11"/>
      <c r="R9904" s="11"/>
      <c r="S9904" s="11"/>
      <c r="T9904" s="11"/>
    </row>
    <row r="9905" spans="8:20" x14ac:dyDescent="0.35">
      <c r="H9905" s="711"/>
      <c r="I9905" s="711"/>
      <c r="J9905" s="711"/>
      <c r="K9905" s="711"/>
      <c r="L9905" s="711"/>
      <c r="Q9905" s="11"/>
      <c r="R9905" s="11"/>
      <c r="S9905" s="11"/>
      <c r="T9905" s="11"/>
    </row>
    <row r="9906" spans="8:20" x14ac:dyDescent="0.35">
      <c r="H9906" s="711"/>
      <c r="I9906" s="711"/>
      <c r="J9906" s="711"/>
      <c r="K9906" s="711"/>
      <c r="L9906" s="711"/>
      <c r="Q9906" s="11"/>
      <c r="R9906" s="11"/>
      <c r="S9906" s="11"/>
      <c r="T9906" s="11"/>
    </row>
    <row r="9907" spans="8:20" x14ac:dyDescent="0.35">
      <c r="H9907" s="711"/>
      <c r="I9907" s="711"/>
      <c r="J9907" s="711"/>
      <c r="K9907" s="711"/>
      <c r="L9907" s="711"/>
      <c r="Q9907" s="11"/>
      <c r="R9907" s="11"/>
      <c r="S9907" s="11"/>
      <c r="T9907" s="11"/>
    </row>
    <row r="9908" spans="8:20" x14ac:dyDescent="0.35">
      <c r="H9908" s="711"/>
      <c r="I9908" s="711"/>
      <c r="J9908" s="711"/>
      <c r="K9908" s="711"/>
      <c r="L9908" s="711"/>
      <c r="Q9908" s="11"/>
      <c r="R9908" s="11"/>
      <c r="S9908" s="11"/>
      <c r="T9908" s="11"/>
    </row>
    <row r="9909" spans="8:20" x14ac:dyDescent="0.35">
      <c r="H9909" s="711"/>
      <c r="I9909" s="711"/>
      <c r="J9909" s="711"/>
      <c r="K9909" s="711"/>
      <c r="L9909" s="711"/>
      <c r="Q9909" s="11"/>
      <c r="R9909" s="11"/>
      <c r="S9909" s="11"/>
      <c r="T9909" s="11"/>
    </row>
    <row r="9910" spans="8:20" x14ac:dyDescent="0.35">
      <c r="H9910" s="711"/>
      <c r="I9910" s="711"/>
      <c r="J9910" s="711"/>
      <c r="K9910" s="711"/>
      <c r="L9910" s="711"/>
      <c r="Q9910" s="11"/>
      <c r="R9910" s="11"/>
      <c r="S9910" s="11"/>
      <c r="T9910" s="11"/>
    </row>
    <row r="9911" spans="8:20" x14ac:dyDescent="0.35">
      <c r="H9911" s="711"/>
      <c r="I9911" s="711"/>
      <c r="J9911" s="711"/>
      <c r="K9911" s="711"/>
      <c r="L9911" s="711"/>
      <c r="Q9911" s="11"/>
      <c r="R9911" s="11"/>
      <c r="S9911" s="11"/>
      <c r="T9911" s="11"/>
    </row>
    <row r="9912" spans="8:20" x14ac:dyDescent="0.35">
      <c r="H9912" s="711"/>
      <c r="I9912" s="711"/>
      <c r="J9912" s="711"/>
      <c r="K9912" s="711"/>
      <c r="L9912" s="711"/>
      <c r="Q9912" s="11"/>
      <c r="R9912" s="11"/>
      <c r="S9912" s="11"/>
      <c r="T9912" s="11"/>
    </row>
    <row r="9913" spans="8:20" x14ac:dyDescent="0.35">
      <c r="H9913" s="711"/>
      <c r="I9913" s="711"/>
      <c r="J9913" s="711"/>
      <c r="K9913" s="711"/>
      <c r="L9913" s="711"/>
      <c r="Q9913" s="11"/>
      <c r="R9913" s="11"/>
      <c r="S9913" s="11"/>
      <c r="T9913" s="11"/>
    </row>
    <row r="9914" spans="8:20" x14ac:dyDescent="0.35">
      <c r="H9914" s="711"/>
      <c r="I9914" s="711"/>
      <c r="J9914" s="711"/>
      <c r="K9914" s="711"/>
      <c r="L9914" s="711"/>
      <c r="Q9914" s="11"/>
      <c r="R9914" s="11"/>
      <c r="S9914" s="11"/>
      <c r="T9914" s="11"/>
    </row>
    <row r="9915" spans="8:20" x14ac:dyDescent="0.35">
      <c r="H9915" s="711"/>
      <c r="I9915" s="711"/>
      <c r="J9915" s="711"/>
      <c r="K9915" s="711"/>
      <c r="L9915" s="711"/>
      <c r="Q9915" s="11"/>
      <c r="R9915" s="11"/>
      <c r="S9915" s="11"/>
      <c r="T9915" s="11"/>
    </row>
    <row r="9916" spans="8:20" x14ac:dyDescent="0.35">
      <c r="H9916" s="711"/>
      <c r="I9916" s="711"/>
      <c r="J9916" s="711"/>
      <c r="K9916" s="711"/>
      <c r="L9916" s="711"/>
      <c r="Q9916" s="11"/>
      <c r="R9916" s="11"/>
      <c r="S9916" s="11"/>
      <c r="T9916" s="11"/>
    </row>
    <row r="9917" spans="8:20" x14ac:dyDescent="0.35">
      <c r="H9917" s="711"/>
      <c r="I9917" s="711"/>
      <c r="J9917" s="711"/>
      <c r="K9917" s="711"/>
      <c r="L9917" s="711"/>
      <c r="Q9917" s="11"/>
      <c r="R9917" s="11"/>
      <c r="S9917" s="11"/>
      <c r="T9917" s="11"/>
    </row>
    <row r="9918" spans="8:20" x14ac:dyDescent="0.35">
      <c r="H9918" s="711"/>
      <c r="I9918" s="711"/>
      <c r="J9918" s="711"/>
      <c r="K9918" s="711"/>
      <c r="L9918" s="711"/>
      <c r="Q9918" s="11"/>
      <c r="R9918" s="11"/>
      <c r="S9918" s="11"/>
      <c r="T9918" s="11"/>
    </row>
    <row r="9919" spans="8:20" x14ac:dyDescent="0.35">
      <c r="H9919" s="711"/>
      <c r="I9919" s="711"/>
      <c r="J9919" s="711"/>
      <c r="K9919" s="711"/>
      <c r="L9919" s="711"/>
      <c r="Q9919" s="11"/>
      <c r="R9919" s="11"/>
      <c r="S9919" s="11"/>
      <c r="T9919" s="11"/>
    </row>
    <row r="9920" spans="8:20" x14ac:dyDescent="0.35">
      <c r="H9920" s="711"/>
      <c r="I9920" s="711"/>
      <c r="J9920" s="711"/>
      <c r="K9920" s="711"/>
      <c r="L9920" s="711"/>
      <c r="Q9920" s="11"/>
      <c r="R9920" s="11"/>
      <c r="S9920" s="11"/>
      <c r="T9920" s="11"/>
    </row>
    <row r="9921" spans="8:20" x14ac:dyDescent="0.35">
      <c r="H9921" s="711"/>
      <c r="I9921" s="711"/>
      <c r="J9921" s="711"/>
      <c r="K9921" s="711"/>
      <c r="L9921" s="711"/>
      <c r="Q9921" s="11"/>
      <c r="R9921" s="11"/>
      <c r="S9921" s="11"/>
      <c r="T9921" s="11"/>
    </row>
    <row r="9922" spans="8:20" x14ac:dyDescent="0.35">
      <c r="H9922" s="711"/>
      <c r="I9922" s="711"/>
      <c r="J9922" s="711"/>
      <c r="K9922" s="711"/>
      <c r="L9922" s="711"/>
      <c r="Q9922" s="11"/>
      <c r="R9922" s="11"/>
      <c r="S9922" s="11"/>
      <c r="T9922" s="11"/>
    </row>
    <row r="9923" spans="8:20" x14ac:dyDescent="0.35">
      <c r="H9923" s="711"/>
      <c r="I9923" s="711"/>
      <c r="J9923" s="711"/>
      <c r="K9923" s="711"/>
      <c r="L9923" s="711"/>
      <c r="Q9923" s="11"/>
      <c r="R9923" s="11"/>
      <c r="S9923" s="11"/>
      <c r="T9923" s="11"/>
    </row>
    <row r="9924" spans="8:20" x14ac:dyDescent="0.35">
      <c r="H9924" s="711"/>
      <c r="I9924" s="711"/>
      <c r="J9924" s="711"/>
      <c r="K9924" s="711"/>
      <c r="L9924" s="711"/>
      <c r="Q9924" s="11"/>
      <c r="R9924" s="11"/>
      <c r="S9924" s="11"/>
      <c r="T9924" s="11"/>
    </row>
    <row r="9925" spans="8:20" x14ac:dyDescent="0.35">
      <c r="H9925" s="711"/>
      <c r="I9925" s="711"/>
      <c r="J9925" s="711"/>
      <c r="K9925" s="711"/>
      <c r="L9925" s="711"/>
      <c r="Q9925" s="11"/>
      <c r="R9925" s="11"/>
      <c r="S9925" s="11"/>
      <c r="T9925" s="11"/>
    </row>
    <row r="9926" spans="8:20" x14ac:dyDescent="0.35">
      <c r="H9926" s="711"/>
      <c r="I9926" s="711"/>
      <c r="J9926" s="711"/>
      <c r="K9926" s="711"/>
      <c r="L9926" s="711"/>
      <c r="Q9926" s="11"/>
      <c r="R9926" s="11"/>
      <c r="S9926" s="11"/>
      <c r="T9926" s="11"/>
    </row>
    <row r="9927" spans="8:20" x14ac:dyDescent="0.35">
      <c r="H9927" s="711"/>
      <c r="I9927" s="711"/>
      <c r="J9927" s="711"/>
      <c r="K9927" s="711"/>
      <c r="L9927" s="711"/>
      <c r="Q9927" s="11"/>
      <c r="R9927" s="11"/>
      <c r="S9927" s="11"/>
      <c r="T9927" s="11"/>
    </row>
    <row r="9928" spans="8:20" x14ac:dyDescent="0.35">
      <c r="H9928" s="711"/>
      <c r="I9928" s="711"/>
      <c r="J9928" s="711"/>
      <c r="K9928" s="711"/>
      <c r="L9928" s="711"/>
      <c r="Q9928" s="11"/>
      <c r="R9928" s="11"/>
      <c r="S9928" s="11"/>
      <c r="T9928" s="11"/>
    </row>
    <row r="9929" spans="8:20" x14ac:dyDescent="0.35">
      <c r="H9929" s="711"/>
      <c r="I9929" s="711"/>
      <c r="J9929" s="711"/>
      <c r="K9929" s="711"/>
      <c r="L9929" s="711"/>
      <c r="Q9929" s="11"/>
      <c r="R9929" s="11"/>
      <c r="S9929" s="11"/>
      <c r="T9929" s="11"/>
    </row>
    <row r="9930" spans="8:20" x14ac:dyDescent="0.35">
      <c r="H9930" s="711"/>
      <c r="I9930" s="711"/>
      <c r="J9930" s="711"/>
      <c r="K9930" s="711"/>
      <c r="L9930" s="711"/>
      <c r="Q9930" s="11"/>
      <c r="R9930" s="11"/>
      <c r="S9930" s="11"/>
      <c r="T9930" s="11"/>
    </row>
    <row r="9931" spans="8:20" x14ac:dyDescent="0.35">
      <c r="H9931" s="711"/>
      <c r="I9931" s="711"/>
      <c r="J9931" s="711"/>
      <c r="K9931" s="711"/>
      <c r="L9931" s="711"/>
      <c r="Q9931" s="11"/>
      <c r="R9931" s="11"/>
      <c r="S9931" s="11"/>
      <c r="T9931" s="11"/>
    </row>
    <row r="9932" spans="8:20" x14ac:dyDescent="0.35">
      <c r="H9932" s="711"/>
      <c r="I9932" s="711"/>
      <c r="J9932" s="711"/>
      <c r="K9932" s="711"/>
      <c r="L9932" s="711"/>
      <c r="Q9932" s="11"/>
      <c r="R9932" s="11"/>
      <c r="S9932" s="11"/>
      <c r="T9932" s="11"/>
    </row>
    <row r="9933" spans="8:20" x14ac:dyDescent="0.35">
      <c r="H9933" s="711"/>
      <c r="I9933" s="711"/>
      <c r="J9933" s="711"/>
      <c r="K9933" s="711"/>
      <c r="L9933" s="711"/>
      <c r="Q9933" s="11"/>
      <c r="R9933" s="11"/>
      <c r="S9933" s="11"/>
      <c r="T9933" s="11"/>
    </row>
    <row r="9934" spans="8:20" x14ac:dyDescent="0.35">
      <c r="H9934" s="711"/>
      <c r="I9934" s="711"/>
      <c r="J9934" s="711"/>
      <c r="K9934" s="711"/>
      <c r="L9934" s="711"/>
      <c r="Q9934" s="11"/>
      <c r="R9934" s="11"/>
      <c r="S9934" s="11"/>
      <c r="T9934" s="11"/>
    </row>
    <row r="9935" spans="8:20" x14ac:dyDescent="0.35">
      <c r="H9935" s="711"/>
      <c r="I9935" s="711"/>
      <c r="J9935" s="711"/>
      <c r="K9935" s="711"/>
      <c r="L9935" s="711"/>
      <c r="Q9935" s="11"/>
      <c r="R9935" s="11"/>
      <c r="S9935" s="11"/>
      <c r="T9935" s="11"/>
    </row>
    <row r="9936" spans="8:20" x14ac:dyDescent="0.35">
      <c r="H9936" s="711"/>
      <c r="I9936" s="711"/>
      <c r="J9936" s="711"/>
      <c r="K9936" s="711"/>
      <c r="L9936" s="711"/>
      <c r="Q9936" s="11"/>
      <c r="R9936" s="11"/>
      <c r="S9936" s="11"/>
      <c r="T9936" s="11"/>
    </row>
    <row r="9937" spans="8:20" x14ac:dyDescent="0.35">
      <c r="H9937" s="711"/>
      <c r="I9937" s="711"/>
      <c r="J9937" s="711"/>
      <c r="K9937" s="711"/>
      <c r="L9937" s="711"/>
      <c r="Q9937" s="11"/>
      <c r="R9937" s="11"/>
      <c r="S9937" s="11"/>
      <c r="T9937" s="11"/>
    </row>
    <row r="9938" spans="8:20" x14ac:dyDescent="0.35">
      <c r="H9938" s="711"/>
      <c r="I9938" s="711"/>
      <c r="J9938" s="711"/>
      <c r="K9938" s="711"/>
      <c r="L9938" s="711"/>
      <c r="Q9938" s="11"/>
      <c r="R9938" s="11"/>
      <c r="S9938" s="11"/>
      <c r="T9938" s="11"/>
    </row>
    <row r="9939" spans="8:20" x14ac:dyDescent="0.35">
      <c r="H9939" s="711"/>
      <c r="I9939" s="711"/>
      <c r="J9939" s="711"/>
      <c r="K9939" s="711"/>
      <c r="L9939" s="711"/>
      <c r="Q9939" s="11"/>
      <c r="R9939" s="11"/>
      <c r="S9939" s="11"/>
      <c r="T9939" s="11"/>
    </row>
    <row r="9940" spans="8:20" x14ac:dyDescent="0.35">
      <c r="H9940" s="711"/>
      <c r="I9940" s="711"/>
      <c r="J9940" s="711"/>
      <c r="K9940" s="711"/>
      <c r="L9940" s="711"/>
      <c r="Q9940" s="11"/>
      <c r="R9940" s="11"/>
      <c r="S9940" s="11"/>
      <c r="T9940" s="11"/>
    </row>
    <row r="9941" spans="8:20" x14ac:dyDescent="0.35">
      <c r="H9941" s="711"/>
      <c r="I9941" s="711"/>
      <c r="J9941" s="711"/>
      <c r="K9941" s="711"/>
      <c r="L9941" s="711"/>
      <c r="Q9941" s="11"/>
      <c r="R9941" s="11"/>
      <c r="S9941" s="11"/>
      <c r="T9941" s="11"/>
    </row>
    <row r="9942" spans="8:20" x14ac:dyDescent="0.35">
      <c r="H9942" s="711"/>
      <c r="I9942" s="711"/>
      <c r="J9942" s="711"/>
      <c r="K9942" s="711"/>
      <c r="L9942" s="711"/>
      <c r="Q9942" s="11"/>
      <c r="R9942" s="11"/>
      <c r="S9942" s="11"/>
      <c r="T9942" s="11"/>
    </row>
    <row r="9943" spans="8:20" x14ac:dyDescent="0.35">
      <c r="H9943" s="711"/>
      <c r="I9943" s="711"/>
      <c r="J9943" s="711"/>
      <c r="K9943" s="711"/>
      <c r="L9943" s="711"/>
      <c r="Q9943" s="11"/>
      <c r="R9943" s="11"/>
      <c r="S9943" s="11"/>
      <c r="T9943" s="11"/>
    </row>
    <row r="9944" spans="8:20" x14ac:dyDescent="0.35">
      <c r="H9944" s="711"/>
      <c r="I9944" s="711"/>
      <c r="J9944" s="711"/>
      <c r="K9944" s="711"/>
      <c r="L9944" s="711"/>
      <c r="Q9944" s="11"/>
      <c r="R9944" s="11"/>
      <c r="S9944" s="11"/>
      <c r="T9944" s="11"/>
    </row>
    <row r="9945" spans="8:20" x14ac:dyDescent="0.35">
      <c r="H9945" s="711"/>
      <c r="I9945" s="711"/>
      <c r="J9945" s="711"/>
      <c r="K9945" s="711"/>
      <c r="L9945" s="711"/>
      <c r="Q9945" s="11"/>
      <c r="R9945" s="11"/>
      <c r="S9945" s="11"/>
      <c r="T9945" s="11"/>
    </row>
    <row r="9946" spans="8:20" x14ac:dyDescent="0.35">
      <c r="H9946" s="711"/>
      <c r="I9946" s="711"/>
      <c r="J9946" s="711"/>
      <c r="K9946" s="711"/>
      <c r="L9946" s="711"/>
      <c r="Q9946" s="11"/>
      <c r="R9946" s="11"/>
      <c r="S9946" s="11"/>
      <c r="T9946" s="11"/>
    </row>
    <row r="9947" spans="8:20" x14ac:dyDescent="0.35">
      <c r="H9947" s="711"/>
      <c r="I9947" s="711"/>
      <c r="J9947" s="711"/>
      <c r="K9947" s="711"/>
      <c r="L9947" s="711"/>
      <c r="Q9947" s="11"/>
      <c r="R9947" s="11"/>
      <c r="S9947" s="11"/>
      <c r="T9947" s="11"/>
    </row>
    <row r="9948" spans="8:20" x14ac:dyDescent="0.35">
      <c r="H9948" s="711"/>
      <c r="I9948" s="711"/>
      <c r="J9948" s="711"/>
      <c r="K9948" s="711"/>
      <c r="L9948" s="711"/>
      <c r="Q9948" s="11"/>
      <c r="R9948" s="11"/>
      <c r="S9948" s="11"/>
      <c r="T9948" s="11"/>
    </row>
    <row r="9949" spans="8:20" x14ac:dyDescent="0.35">
      <c r="H9949" s="711"/>
      <c r="I9949" s="711"/>
      <c r="J9949" s="711"/>
      <c r="K9949" s="711"/>
      <c r="L9949" s="711"/>
      <c r="Q9949" s="11"/>
      <c r="R9949" s="11"/>
      <c r="S9949" s="11"/>
      <c r="T9949" s="11"/>
    </row>
    <row r="9950" spans="8:20" x14ac:dyDescent="0.35">
      <c r="H9950" s="711"/>
      <c r="I9950" s="711"/>
      <c r="J9950" s="711"/>
      <c r="K9950" s="711"/>
      <c r="L9950" s="711"/>
      <c r="Q9950" s="11"/>
      <c r="R9950" s="11"/>
      <c r="S9950" s="11"/>
      <c r="T9950" s="11"/>
    </row>
    <row r="9951" spans="8:20" x14ac:dyDescent="0.35">
      <c r="H9951" s="711"/>
      <c r="I9951" s="711"/>
      <c r="J9951" s="711"/>
      <c r="K9951" s="711"/>
      <c r="L9951" s="711"/>
      <c r="Q9951" s="11"/>
      <c r="R9951" s="11"/>
      <c r="S9951" s="11"/>
      <c r="T9951" s="11"/>
    </row>
    <row r="9952" spans="8:20" x14ac:dyDescent="0.35">
      <c r="H9952" s="711"/>
      <c r="I9952" s="711"/>
      <c r="J9952" s="711"/>
      <c r="K9952" s="711"/>
      <c r="L9952" s="711"/>
      <c r="Q9952" s="11"/>
      <c r="R9952" s="11"/>
      <c r="S9952" s="11"/>
      <c r="T9952" s="11"/>
    </row>
    <row r="9953" spans="8:20" x14ac:dyDescent="0.35">
      <c r="H9953" s="711"/>
      <c r="I9953" s="711"/>
      <c r="J9953" s="711"/>
      <c r="K9953" s="711"/>
      <c r="L9953" s="711"/>
      <c r="Q9953" s="11"/>
      <c r="R9953" s="11"/>
      <c r="S9953" s="11"/>
      <c r="T9953" s="11"/>
    </row>
    <row r="9954" spans="8:20" x14ac:dyDescent="0.35">
      <c r="H9954" s="711"/>
      <c r="I9954" s="711"/>
      <c r="J9954" s="711"/>
      <c r="K9954" s="711"/>
      <c r="L9954" s="711"/>
      <c r="Q9954" s="11"/>
      <c r="R9954" s="11"/>
      <c r="S9954" s="11"/>
      <c r="T9954" s="11"/>
    </row>
    <row r="9955" spans="8:20" x14ac:dyDescent="0.35">
      <c r="H9955" s="711"/>
      <c r="I9955" s="711"/>
      <c r="J9955" s="711"/>
      <c r="K9955" s="711"/>
      <c r="L9955" s="711"/>
      <c r="Q9955" s="11"/>
      <c r="R9955" s="11"/>
      <c r="S9955" s="11"/>
      <c r="T9955" s="11"/>
    </row>
    <row r="9956" spans="8:20" x14ac:dyDescent="0.35">
      <c r="H9956" s="711"/>
      <c r="I9956" s="711"/>
      <c r="J9956" s="711"/>
      <c r="K9956" s="711"/>
      <c r="L9956" s="711"/>
      <c r="Q9956" s="11"/>
      <c r="R9956" s="11"/>
      <c r="S9956" s="11"/>
      <c r="T9956" s="11"/>
    </row>
    <row r="9957" spans="8:20" x14ac:dyDescent="0.35">
      <c r="H9957" s="711"/>
      <c r="I9957" s="711"/>
      <c r="J9957" s="711"/>
      <c r="K9957" s="711"/>
      <c r="L9957" s="711"/>
      <c r="Q9957" s="11"/>
      <c r="R9957" s="11"/>
      <c r="S9957" s="11"/>
      <c r="T9957" s="11"/>
    </row>
    <row r="9958" spans="8:20" x14ac:dyDescent="0.35">
      <c r="H9958" s="711"/>
      <c r="I9958" s="711"/>
      <c r="J9958" s="711"/>
      <c r="K9958" s="711"/>
      <c r="L9958" s="711"/>
      <c r="Q9958" s="11"/>
      <c r="R9958" s="11"/>
      <c r="S9958" s="11"/>
      <c r="T9958" s="11"/>
    </row>
    <row r="9959" spans="8:20" x14ac:dyDescent="0.35">
      <c r="H9959" s="711"/>
      <c r="I9959" s="711"/>
      <c r="J9959" s="711"/>
      <c r="K9959" s="711"/>
      <c r="L9959" s="711"/>
      <c r="Q9959" s="11"/>
      <c r="R9959" s="11"/>
      <c r="S9959" s="11"/>
      <c r="T9959" s="11"/>
    </row>
    <row r="9960" spans="8:20" x14ac:dyDescent="0.35">
      <c r="H9960" s="711"/>
      <c r="I9960" s="711"/>
      <c r="J9960" s="711"/>
      <c r="K9960" s="711"/>
      <c r="L9960" s="711"/>
      <c r="Q9960" s="11"/>
      <c r="R9960" s="11"/>
      <c r="S9960" s="11"/>
      <c r="T9960" s="11"/>
    </row>
    <row r="9961" spans="8:20" x14ac:dyDescent="0.35">
      <c r="H9961" s="711"/>
      <c r="I9961" s="711"/>
      <c r="J9961" s="711"/>
      <c r="K9961" s="711"/>
      <c r="L9961" s="711"/>
      <c r="Q9961" s="11"/>
      <c r="R9961" s="11"/>
      <c r="S9961" s="11"/>
      <c r="T9961" s="11"/>
    </row>
    <row r="9962" spans="8:20" x14ac:dyDescent="0.35">
      <c r="H9962" s="711"/>
      <c r="I9962" s="711"/>
      <c r="J9962" s="711"/>
      <c r="K9962" s="711"/>
      <c r="L9962" s="711"/>
      <c r="Q9962" s="11"/>
      <c r="R9962" s="11"/>
      <c r="S9962" s="11"/>
      <c r="T9962" s="11"/>
    </row>
    <row r="9963" spans="8:20" x14ac:dyDescent="0.35">
      <c r="H9963" s="711"/>
      <c r="I9963" s="711"/>
      <c r="J9963" s="711"/>
      <c r="K9963" s="711"/>
      <c r="L9963" s="711"/>
      <c r="Q9963" s="11"/>
      <c r="R9963" s="11"/>
      <c r="S9963" s="11"/>
      <c r="T9963" s="11"/>
    </row>
    <row r="9964" spans="8:20" x14ac:dyDescent="0.35">
      <c r="H9964" s="711"/>
      <c r="I9964" s="711"/>
      <c r="J9964" s="711"/>
      <c r="K9964" s="711"/>
      <c r="L9964" s="711"/>
      <c r="Q9964" s="11"/>
      <c r="R9964" s="11"/>
      <c r="S9964" s="11"/>
      <c r="T9964" s="11"/>
    </row>
    <row r="9965" spans="8:20" x14ac:dyDescent="0.35">
      <c r="H9965" s="711"/>
      <c r="I9965" s="711"/>
      <c r="J9965" s="711"/>
      <c r="K9965" s="711"/>
      <c r="L9965" s="711"/>
      <c r="Q9965" s="11"/>
      <c r="R9965" s="11"/>
      <c r="S9965" s="11"/>
      <c r="T9965" s="11"/>
    </row>
    <row r="9966" spans="8:20" x14ac:dyDescent="0.35">
      <c r="H9966" s="711"/>
      <c r="I9966" s="711"/>
      <c r="J9966" s="711"/>
      <c r="K9966" s="711"/>
      <c r="L9966" s="711"/>
      <c r="Q9966" s="11"/>
      <c r="R9966" s="11"/>
      <c r="S9966" s="11"/>
      <c r="T9966" s="11"/>
    </row>
    <row r="9967" spans="8:20" x14ac:dyDescent="0.35">
      <c r="H9967" s="711"/>
      <c r="I9967" s="711"/>
      <c r="J9967" s="711"/>
      <c r="K9967" s="711"/>
      <c r="L9967" s="711"/>
      <c r="Q9967" s="11"/>
      <c r="R9967" s="11"/>
      <c r="S9967" s="11"/>
      <c r="T9967" s="11"/>
    </row>
    <row r="9968" spans="8:20" x14ac:dyDescent="0.35">
      <c r="H9968" s="711"/>
      <c r="I9968" s="711"/>
      <c r="J9968" s="711"/>
      <c r="K9968" s="711"/>
      <c r="L9968" s="711"/>
      <c r="Q9968" s="11"/>
      <c r="R9968" s="11"/>
      <c r="S9968" s="11"/>
      <c r="T9968" s="11"/>
    </row>
    <row r="9969" spans="8:20" x14ac:dyDescent="0.35">
      <c r="H9969" s="711"/>
      <c r="I9969" s="711"/>
      <c r="J9969" s="711"/>
      <c r="K9969" s="711"/>
      <c r="L9969" s="711"/>
      <c r="Q9969" s="11"/>
      <c r="R9969" s="11"/>
      <c r="S9969" s="11"/>
      <c r="T9969" s="11"/>
    </row>
    <row r="9970" spans="8:20" x14ac:dyDescent="0.35">
      <c r="H9970" s="711"/>
      <c r="I9970" s="711"/>
      <c r="J9970" s="711"/>
      <c r="K9970" s="711"/>
      <c r="L9970" s="711"/>
      <c r="Q9970" s="11"/>
      <c r="R9970" s="11"/>
      <c r="S9970" s="11"/>
      <c r="T9970" s="11"/>
    </row>
    <row r="9971" spans="8:20" x14ac:dyDescent="0.35">
      <c r="H9971" s="711"/>
      <c r="I9971" s="711"/>
      <c r="J9971" s="711"/>
      <c r="K9971" s="711"/>
      <c r="L9971" s="711"/>
      <c r="Q9971" s="11"/>
      <c r="R9971" s="11"/>
      <c r="S9971" s="11"/>
      <c r="T9971" s="11"/>
    </row>
    <row r="9972" spans="8:20" x14ac:dyDescent="0.35">
      <c r="H9972" s="711"/>
      <c r="I9972" s="711"/>
      <c r="J9972" s="711"/>
      <c r="K9972" s="711"/>
      <c r="L9972" s="711"/>
      <c r="Q9972" s="11"/>
      <c r="R9972" s="11"/>
      <c r="S9972" s="11"/>
      <c r="T9972" s="11"/>
    </row>
    <row r="9973" spans="8:20" x14ac:dyDescent="0.35">
      <c r="H9973" s="711"/>
      <c r="I9973" s="711"/>
      <c r="J9973" s="711"/>
      <c r="K9973" s="711"/>
      <c r="L9973" s="711"/>
      <c r="Q9973" s="11"/>
      <c r="R9973" s="11"/>
      <c r="S9973" s="11"/>
      <c r="T9973" s="11"/>
    </row>
    <row r="9974" spans="8:20" x14ac:dyDescent="0.35">
      <c r="H9974" s="711"/>
      <c r="I9974" s="711"/>
      <c r="J9974" s="711"/>
      <c r="K9974" s="711"/>
      <c r="L9974" s="711"/>
      <c r="Q9974" s="11"/>
      <c r="R9974" s="11"/>
      <c r="S9974" s="11"/>
      <c r="T9974" s="11"/>
    </row>
    <row r="9975" spans="8:20" x14ac:dyDescent="0.35">
      <c r="H9975" s="711"/>
      <c r="I9975" s="711"/>
      <c r="J9975" s="711"/>
      <c r="K9975" s="711"/>
      <c r="L9975" s="711"/>
      <c r="Q9975" s="11"/>
      <c r="R9975" s="11"/>
      <c r="S9975" s="11"/>
      <c r="T9975" s="11"/>
    </row>
    <row r="9976" spans="8:20" x14ac:dyDescent="0.35">
      <c r="H9976" s="711"/>
      <c r="I9976" s="711"/>
      <c r="J9976" s="711"/>
      <c r="K9976" s="711"/>
      <c r="L9976" s="711"/>
      <c r="Q9976" s="11"/>
      <c r="R9976" s="11"/>
      <c r="S9976" s="11"/>
      <c r="T9976" s="11"/>
    </row>
    <row r="9977" spans="8:20" x14ac:dyDescent="0.35">
      <c r="H9977" s="711"/>
      <c r="I9977" s="711"/>
      <c r="J9977" s="711"/>
      <c r="K9977" s="711"/>
      <c r="L9977" s="711"/>
      <c r="Q9977" s="11"/>
      <c r="R9977" s="11"/>
      <c r="S9977" s="11"/>
      <c r="T9977" s="11"/>
    </row>
    <row r="9978" spans="8:20" x14ac:dyDescent="0.35">
      <c r="H9978" s="711"/>
      <c r="I9978" s="711"/>
      <c r="J9978" s="711"/>
      <c r="K9978" s="711"/>
      <c r="L9978" s="711"/>
      <c r="Q9978" s="11"/>
      <c r="R9978" s="11"/>
      <c r="S9978" s="11"/>
      <c r="T9978" s="11"/>
    </row>
    <row r="9979" spans="8:20" x14ac:dyDescent="0.35">
      <c r="H9979" s="711"/>
      <c r="I9979" s="711"/>
      <c r="J9979" s="711"/>
      <c r="K9979" s="711"/>
      <c r="L9979" s="711"/>
      <c r="Q9979" s="11"/>
      <c r="R9979" s="11"/>
      <c r="S9979" s="11"/>
      <c r="T9979" s="11"/>
    </row>
    <row r="9980" spans="8:20" x14ac:dyDescent="0.35">
      <c r="H9980" s="711"/>
      <c r="I9980" s="711"/>
      <c r="J9980" s="711"/>
      <c r="K9980" s="711"/>
      <c r="L9980" s="711"/>
      <c r="Q9980" s="11"/>
      <c r="R9980" s="11"/>
      <c r="S9980" s="11"/>
      <c r="T9980" s="11"/>
    </row>
    <row r="9981" spans="8:20" x14ac:dyDescent="0.35">
      <c r="H9981" s="711"/>
      <c r="I9981" s="711"/>
      <c r="J9981" s="711"/>
      <c r="K9981" s="711"/>
      <c r="L9981" s="711"/>
      <c r="Q9981" s="11"/>
      <c r="R9981" s="11"/>
      <c r="S9981" s="11"/>
      <c r="T9981" s="11"/>
    </row>
    <row r="9982" spans="8:20" x14ac:dyDescent="0.35">
      <c r="H9982" s="711"/>
      <c r="I9982" s="711"/>
      <c r="J9982" s="711"/>
      <c r="K9982" s="711"/>
      <c r="L9982" s="711"/>
      <c r="Q9982" s="11"/>
      <c r="R9982" s="11"/>
      <c r="S9982" s="11"/>
      <c r="T9982" s="11"/>
    </row>
    <row r="9983" spans="8:20" x14ac:dyDescent="0.35">
      <c r="H9983" s="711"/>
      <c r="I9983" s="711"/>
      <c r="J9983" s="711"/>
      <c r="K9983" s="711"/>
      <c r="L9983" s="711"/>
      <c r="Q9983" s="11"/>
      <c r="R9983" s="11"/>
      <c r="S9983" s="11"/>
      <c r="T9983" s="11"/>
    </row>
    <row r="9984" spans="8:20" x14ac:dyDescent="0.35">
      <c r="H9984" s="711"/>
      <c r="I9984" s="711"/>
      <c r="J9984" s="711"/>
      <c r="K9984" s="711"/>
      <c r="L9984" s="711"/>
      <c r="Q9984" s="11"/>
      <c r="R9984" s="11"/>
      <c r="S9984" s="11"/>
      <c r="T9984" s="11"/>
    </row>
    <row r="9985" spans="8:20" x14ac:dyDescent="0.35">
      <c r="H9985" s="711"/>
      <c r="I9985" s="711"/>
      <c r="J9985" s="711"/>
      <c r="K9985" s="711"/>
      <c r="L9985" s="711"/>
      <c r="Q9985" s="11"/>
      <c r="R9985" s="11"/>
      <c r="S9985" s="11"/>
      <c r="T9985" s="11"/>
    </row>
    <row r="9986" spans="8:20" x14ac:dyDescent="0.35">
      <c r="H9986" s="711"/>
      <c r="I9986" s="711"/>
      <c r="J9986" s="711"/>
      <c r="K9986" s="711"/>
      <c r="L9986" s="711"/>
      <c r="Q9986" s="11"/>
      <c r="R9986" s="11"/>
      <c r="S9986" s="11"/>
      <c r="T9986" s="11"/>
    </row>
    <row r="9987" spans="8:20" x14ac:dyDescent="0.35">
      <c r="H9987" s="711"/>
      <c r="I9987" s="711"/>
      <c r="J9987" s="711"/>
      <c r="K9987" s="711"/>
      <c r="L9987" s="711"/>
      <c r="Q9987" s="11"/>
      <c r="R9987" s="11"/>
      <c r="S9987" s="11"/>
      <c r="T9987" s="11"/>
    </row>
    <row r="9988" spans="8:20" x14ac:dyDescent="0.35">
      <c r="H9988" s="711"/>
      <c r="I9988" s="711"/>
      <c r="J9988" s="711"/>
      <c r="K9988" s="711"/>
      <c r="L9988" s="711"/>
      <c r="Q9988" s="11"/>
      <c r="R9988" s="11"/>
      <c r="S9988" s="11"/>
      <c r="T9988" s="11"/>
    </row>
    <row r="9989" spans="8:20" x14ac:dyDescent="0.35">
      <c r="H9989" s="711"/>
      <c r="I9989" s="711"/>
      <c r="J9989" s="711"/>
      <c r="K9989" s="711"/>
      <c r="L9989" s="711"/>
      <c r="Q9989" s="11"/>
      <c r="R9989" s="11"/>
      <c r="S9989" s="11"/>
      <c r="T9989" s="11"/>
    </row>
    <row r="9990" spans="8:20" x14ac:dyDescent="0.35">
      <c r="H9990" s="711"/>
      <c r="I9990" s="711"/>
      <c r="J9990" s="711"/>
      <c r="K9990" s="711"/>
      <c r="L9990" s="711"/>
      <c r="Q9990" s="11"/>
      <c r="R9990" s="11"/>
      <c r="S9990" s="11"/>
      <c r="T9990" s="11"/>
    </row>
    <row r="9991" spans="8:20" x14ac:dyDescent="0.35">
      <c r="H9991" s="711"/>
      <c r="I9991" s="711"/>
      <c r="J9991" s="711"/>
      <c r="K9991" s="711"/>
      <c r="L9991" s="711"/>
      <c r="Q9991" s="11"/>
      <c r="R9991" s="11"/>
      <c r="S9991" s="11"/>
      <c r="T9991" s="11"/>
    </row>
    <row r="9992" spans="8:20" x14ac:dyDescent="0.35">
      <c r="H9992" s="711"/>
      <c r="I9992" s="711"/>
      <c r="J9992" s="711"/>
      <c r="K9992" s="711"/>
      <c r="L9992" s="711"/>
      <c r="Q9992" s="11"/>
      <c r="R9992" s="11"/>
      <c r="S9992" s="11"/>
      <c r="T9992" s="11"/>
    </row>
    <row r="9993" spans="8:20" x14ac:dyDescent="0.35">
      <c r="H9993" s="711"/>
      <c r="I9993" s="711"/>
      <c r="J9993" s="711"/>
      <c r="K9993" s="711"/>
      <c r="L9993" s="711"/>
      <c r="Q9993" s="11"/>
      <c r="R9993" s="11"/>
      <c r="S9993" s="11"/>
      <c r="T9993" s="11"/>
    </row>
    <row r="9994" spans="8:20" x14ac:dyDescent="0.35">
      <c r="H9994" s="711"/>
      <c r="I9994" s="711"/>
      <c r="J9994" s="711"/>
      <c r="K9994" s="711"/>
      <c r="L9994" s="711"/>
      <c r="Q9994" s="11"/>
      <c r="R9994" s="11"/>
      <c r="S9994" s="11"/>
      <c r="T9994" s="11"/>
    </row>
    <row r="9995" spans="8:20" x14ac:dyDescent="0.35">
      <c r="H9995" s="711"/>
      <c r="I9995" s="711"/>
      <c r="J9995" s="711"/>
      <c r="K9995" s="711"/>
      <c r="L9995" s="711"/>
      <c r="Q9995" s="11"/>
      <c r="R9995" s="11"/>
      <c r="S9995" s="11"/>
      <c r="T9995" s="11"/>
    </row>
    <row r="9996" spans="8:20" x14ac:dyDescent="0.35">
      <c r="H9996" s="711"/>
      <c r="I9996" s="711"/>
      <c r="J9996" s="711"/>
      <c r="K9996" s="711"/>
      <c r="L9996" s="711"/>
      <c r="Q9996" s="11"/>
      <c r="R9996" s="11"/>
      <c r="S9996" s="11"/>
      <c r="T9996" s="11"/>
    </row>
    <row r="9997" spans="8:20" x14ac:dyDescent="0.35">
      <c r="H9997" s="711"/>
      <c r="I9997" s="711"/>
      <c r="J9997" s="711"/>
      <c r="K9997" s="711"/>
      <c r="L9997" s="711"/>
      <c r="Q9997" s="11"/>
      <c r="R9997" s="11"/>
      <c r="S9997" s="11"/>
      <c r="T9997" s="11"/>
    </row>
    <row r="9998" spans="8:20" x14ac:dyDescent="0.35">
      <c r="H9998" s="711"/>
      <c r="I9998" s="711"/>
      <c r="J9998" s="711"/>
      <c r="K9998" s="711"/>
      <c r="L9998" s="711"/>
      <c r="Q9998" s="11"/>
      <c r="R9998" s="11"/>
      <c r="S9998" s="11"/>
      <c r="T9998" s="11"/>
    </row>
    <row r="9999" spans="8:20" x14ac:dyDescent="0.35">
      <c r="H9999" s="711"/>
      <c r="I9999" s="711"/>
      <c r="J9999" s="711"/>
      <c r="K9999" s="711"/>
      <c r="L9999" s="711"/>
      <c r="Q9999" s="11"/>
      <c r="R9999" s="11"/>
      <c r="S9999" s="11"/>
      <c r="T9999" s="11"/>
    </row>
    <row r="10000" spans="8:20" x14ac:dyDescent="0.35">
      <c r="H10000" s="711"/>
      <c r="I10000" s="711"/>
      <c r="J10000" s="711"/>
      <c r="K10000" s="711"/>
      <c r="L10000" s="711"/>
      <c r="Q10000" s="11"/>
      <c r="R10000" s="11"/>
      <c r="S10000" s="11"/>
      <c r="T10000" s="11"/>
    </row>
    <row r="10001" spans="8:20" x14ac:dyDescent="0.35">
      <c r="H10001" s="711"/>
      <c r="I10001" s="711"/>
      <c r="J10001" s="711"/>
      <c r="K10001" s="711"/>
      <c r="L10001" s="711"/>
      <c r="Q10001" s="11"/>
      <c r="R10001" s="11"/>
      <c r="S10001" s="11"/>
      <c r="T10001" s="11"/>
    </row>
    <row r="10002" spans="8:20" x14ac:dyDescent="0.35">
      <c r="H10002" s="711"/>
      <c r="I10002" s="711"/>
      <c r="J10002" s="711"/>
      <c r="K10002" s="711"/>
      <c r="L10002" s="711"/>
      <c r="Q10002" s="11"/>
      <c r="R10002" s="11"/>
      <c r="S10002" s="11"/>
      <c r="T10002" s="11"/>
    </row>
    <row r="10003" spans="8:20" x14ac:dyDescent="0.35">
      <c r="H10003" s="711"/>
      <c r="I10003" s="711"/>
      <c r="J10003" s="711"/>
      <c r="K10003" s="711"/>
      <c r="L10003" s="711"/>
      <c r="Q10003" s="11"/>
      <c r="R10003" s="11"/>
      <c r="S10003" s="11"/>
      <c r="T10003" s="11"/>
    </row>
    <row r="10004" spans="8:20" x14ac:dyDescent="0.35">
      <c r="H10004" s="711"/>
      <c r="I10004" s="711"/>
      <c r="J10004" s="711"/>
      <c r="K10004" s="711"/>
      <c r="L10004" s="711"/>
      <c r="Q10004" s="11"/>
      <c r="R10004" s="11"/>
      <c r="S10004" s="11"/>
      <c r="T10004" s="11"/>
    </row>
    <row r="10005" spans="8:20" x14ac:dyDescent="0.35">
      <c r="H10005" s="711"/>
      <c r="I10005" s="711"/>
      <c r="J10005" s="711"/>
      <c r="K10005" s="711"/>
      <c r="L10005" s="711"/>
      <c r="Q10005" s="11"/>
      <c r="R10005" s="11"/>
      <c r="S10005" s="11"/>
      <c r="T10005" s="11"/>
    </row>
    <row r="10006" spans="8:20" x14ac:dyDescent="0.35">
      <c r="H10006" s="711"/>
      <c r="I10006" s="711"/>
      <c r="J10006" s="711"/>
      <c r="K10006" s="711"/>
      <c r="L10006" s="711"/>
      <c r="Q10006" s="11"/>
      <c r="R10006" s="11"/>
      <c r="S10006" s="11"/>
      <c r="T10006" s="11"/>
    </row>
    <row r="10007" spans="8:20" x14ac:dyDescent="0.35">
      <c r="H10007" s="711"/>
      <c r="I10007" s="711"/>
      <c r="J10007" s="711"/>
      <c r="K10007" s="711"/>
      <c r="L10007" s="711"/>
      <c r="Q10007" s="11"/>
      <c r="R10007" s="11"/>
      <c r="S10007" s="11"/>
      <c r="T10007" s="11"/>
    </row>
    <row r="10008" spans="8:20" x14ac:dyDescent="0.35">
      <c r="H10008" s="711"/>
      <c r="I10008" s="711"/>
      <c r="J10008" s="711"/>
      <c r="K10008" s="711"/>
      <c r="L10008" s="711"/>
      <c r="Q10008" s="11"/>
      <c r="R10008" s="11"/>
      <c r="S10008" s="11"/>
      <c r="T10008" s="11"/>
    </row>
    <row r="10009" spans="8:20" x14ac:dyDescent="0.35">
      <c r="H10009" s="711"/>
      <c r="I10009" s="711"/>
      <c r="J10009" s="711"/>
      <c r="K10009" s="711"/>
      <c r="L10009" s="711"/>
      <c r="Q10009" s="11"/>
      <c r="R10009" s="11"/>
      <c r="S10009" s="11"/>
      <c r="T10009" s="11"/>
    </row>
    <row r="10010" spans="8:20" x14ac:dyDescent="0.35">
      <c r="H10010" s="711"/>
      <c r="I10010" s="711"/>
      <c r="J10010" s="711"/>
      <c r="K10010" s="711"/>
      <c r="L10010" s="711"/>
      <c r="Q10010" s="11"/>
      <c r="R10010" s="11"/>
      <c r="S10010" s="11"/>
      <c r="T10010" s="11"/>
    </row>
    <row r="10011" spans="8:20" x14ac:dyDescent="0.35">
      <c r="H10011" s="711"/>
      <c r="I10011" s="711"/>
      <c r="J10011" s="711"/>
      <c r="K10011" s="711"/>
      <c r="L10011" s="711"/>
      <c r="Q10011" s="11"/>
      <c r="R10011" s="11"/>
      <c r="S10011" s="11"/>
      <c r="T10011" s="11"/>
    </row>
    <row r="10012" spans="8:20" x14ac:dyDescent="0.35">
      <c r="H10012" s="711"/>
      <c r="I10012" s="711"/>
      <c r="J10012" s="711"/>
      <c r="K10012" s="711"/>
      <c r="L10012" s="711"/>
      <c r="Q10012" s="11"/>
      <c r="R10012" s="11"/>
      <c r="S10012" s="11"/>
      <c r="T10012" s="11"/>
    </row>
    <row r="10013" spans="8:20" x14ac:dyDescent="0.35">
      <c r="H10013" s="711"/>
      <c r="I10013" s="711"/>
      <c r="J10013" s="711"/>
      <c r="K10013" s="711"/>
      <c r="L10013" s="711"/>
      <c r="Q10013" s="11"/>
      <c r="R10013" s="11"/>
      <c r="S10013" s="11"/>
      <c r="T10013" s="11"/>
    </row>
    <row r="10014" spans="8:20" x14ac:dyDescent="0.35">
      <c r="H10014" s="711"/>
      <c r="I10014" s="711"/>
      <c r="J10014" s="711"/>
      <c r="K10014" s="711"/>
      <c r="L10014" s="711"/>
      <c r="Q10014" s="11"/>
      <c r="R10014" s="11"/>
      <c r="S10014" s="11"/>
      <c r="T10014" s="11"/>
    </row>
    <row r="10015" spans="8:20" x14ac:dyDescent="0.35">
      <c r="H10015" s="711"/>
      <c r="I10015" s="711"/>
      <c r="J10015" s="711"/>
      <c r="K10015" s="711"/>
      <c r="L10015" s="711"/>
      <c r="Q10015" s="11"/>
      <c r="R10015" s="11"/>
      <c r="S10015" s="11"/>
      <c r="T10015" s="11"/>
    </row>
    <row r="10016" spans="8:20" x14ac:dyDescent="0.35">
      <c r="H10016" s="711"/>
      <c r="I10016" s="711"/>
      <c r="J10016" s="711"/>
      <c r="K10016" s="711"/>
      <c r="L10016" s="711"/>
      <c r="Q10016" s="11"/>
      <c r="R10016" s="11"/>
      <c r="S10016" s="11"/>
      <c r="T10016" s="11"/>
    </row>
    <row r="10017" spans="8:20" x14ac:dyDescent="0.35">
      <c r="H10017" s="711"/>
      <c r="I10017" s="711"/>
      <c r="J10017" s="711"/>
      <c r="K10017" s="711"/>
      <c r="L10017" s="711"/>
      <c r="Q10017" s="11"/>
      <c r="R10017" s="11"/>
      <c r="S10017" s="11"/>
      <c r="T10017" s="11"/>
    </row>
    <row r="10018" spans="8:20" x14ac:dyDescent="0.35">
      <c r="H10018" s="711"/>
      <c r="I10018" s="711"/>
      <c r="J10018" s="711"/>
      <c r="K10018" s="711"/>
      <c r="L10018" s="711"/>
      <c r="Q10018" s="11"/>
      <c r="R10018" s="11"/>
      <c r="S10018" s="11"/>
      <c r="T10018" s="11"/>
    </row>
    <row r="10019" spans="8:20" x14ac:dyDescent="0.35">
      <c r="H10019" s="711"/>
      <c r="I10019" s="711"/>
      <c r="J10019" s="711"/>
      <c r="K10019" s="711"/>
      <c r="L10019" s="711"/>
      <c r="Q10019" s="11"/>
      <c r="R10019" s="11"/>
      <c r="S10019" s="11"/>
      <c r="T10019" s="11"/>
    </row>
    <row r="10020" spans="8:20" x14ac:dyDescent="0.35">
      <c r="H10020" s="711"/>
      <c r="I10020" s="711"/>
      <c r="J10020" s="711"/>
      <c r="K10020" s="711"/>
      <c r="L10020" s="711"/>
      <c r="Q10020" s="11"/>
      <c r="R10020" s="11"/>
      <c r="S10020" s="11"/>
      <c r="T10020" s="11"/>
    </row>
    <row r="10021" spans="8:20" x14ac:dyDescent="0.35">
      <c r="H10021" s="711"/>
      <c r="I10021" s="711"/>
      <c r="J10021" s="711"/>
      <c r="K10021" s="711"/>
      <c r="L10021" s="711"/>
      <c r="Q10021" s="11"/>
      <c r="R10021" s="11"/>
      <c r="S10021" s="11"/>
      <c r="T10021" s="11"/>
    </row>
    <row r="10022" spans="8:20" x14ac:dyDescent="0.35">
      <c r="H10022" s="711"/>
      <c r="I10022" s="711"/>
      <c r="J10022" s="711"/>
      <c r="K10022" s="711"/>
      <c r="L10022" s="711"/>
      <c r="Q10022" s="11"/>
      <c r="R10022" s="11"/>
      <c r="S10022" s="11"/>
      <c r="T10022" s="11"/>
    </row>
    <row r="10023" spans="8:20" x14ac:dyDescent="0.35">
      <c r="H10023" s="711"/>
      <c r="I10023" s="711"/>
      <c r="J10023" s="711"/>
      <c r="K10023" s="711"/>
      <c r="L10023" s="711"/>
      <c r="Q10023" s="11"/>
      <c r="R10023" s="11"/>
      <c r="S10023" s="11"/>
      <c r="T10023" s="11"/>
    </row>
    <row r="10024" spans="8:20" x14ac:dyDescent="0.35">
      <c r="H10024" s="711"/>
      <c r="I10024" s="711"/>
      <c r="J10024" s="711"/>
      <c r="K10024" s="711"/>
      <c r="L10024" s="711"/>
      <c r="Q10024" s="11"/>
      <c r="R10024" s="11"/>
      <c r="S10024" s="11"/>
      <c r="T10024" s="11"/>
    </row>
    <row r="10025" spans="8:20" x14ac:dyDescent="0.35">
      <c r="H10025" s="711"/>
      <c r="I10025" s="711"/>
      <c r="J10025" s="711"/>
      <c r="K10025" s="711"/>
      <c r="L10025" s="711"/>
      <c r="Q10025" s="11"/>
      <c r="R10025" s="11"/>
      <c r="S10025" s="11"/>
      <c r="T10025" s="11"/>
    </row>
    <row r="10026" spans="8:20" x14ac:dyDescent="0.35">
      <c r="H10026" s="711"/>
      <c r="I10026" s="711"/>
      <c r="J10026" s="711"/>
      <c r="K10026" s="711"/>
      <c r="L10026" s="711"/>
      <c r="Q10026" s="11"/>
      <c r="R10026" s="11"/>
      <c r="S10026" s="11"/>
      <c r="T10026" s="11"/>
    </row>
    <row r="10027" spans="8:20" x14ac:dyDescent="0.35">
      <c r="H10027" s="711"/>
      <c r="I10027" s="711"/>
      <c r="J10027" s="711"/>
      <c r="K10027" s="711"/>
      <c r="L10027" s="711"/>
      <c r="Q10027" s="11"/>
      <c r="R10027" s="11"/>
      <c r="S10027" s="11"/>
      <c r="T10027" s="11"/>
    </row>
    <row r="10028" spans="8:20" x14ac:dyDescent="0.35">
      <c r="H10028" s="711"/>
      <c r="I10028" s="711"/>
      <c r="J10028" s="711"/>
      <c r="K10028" s="711"/>
      <c r="L10028" s="711"/>
      <c r="Q10028" s="11"/>
      <c r="R10028" s="11"/>
      <c r="S10028" s="11"/>
      <c r="T10028" s="11"/>
    </row>
    <row r="10029" spans="8:20" x14ac:dyDescent="0.35">
      <c r="H10029" s="711"/>
      <c r="I10029" s="711"/>
      <c r="J10029" s="711"/>
      <c r="K10029" s="711"/>
      <c r="L10029" s="711"/>
      <c r="Q10029" s="11"/>
      <c r="R10029" s="11"/>
      <c r="S10029" s="11"/>
      <c r="T10029" s="11"/>
    </row>
    <row r="10030" spans="8:20" x14ac:dyDescent="0.35">
      <c r="H10030" s="711"/>
      <c r="I10030" s="711"/>
      <c r="J10030" s="711"/>
      <c r="K10030" s="711"/>
      <c r="L10030" s="711"/>
      <c r="Q10030" s="11"/>
      <c r="R10030" s="11"/>
      <c r="S10030" s="11"/>
      <c r="T10030" s="11"/>
    </row>
    <row r="10031" spans="8:20" x14ac:dyDescent="0.35">
      <c r="H10031" s="711"/>
      <c r="I10031" s="711"/>
      <c r="J10031" s="711"/>
      <c r="K10031" s="711"/>
      <c r="L10031" s="711"/>
      <c r="Q10031" s="11"/>
      <c r="R10031" s="11"/>
      <c r="S10031" s="11"/>
      <c r="T10031" s="11"/>
    </row>
    <row r="10032" spans="8:20" x14ac:dyDescent="0.35">
      <c r="H10032" s="711"/>
      <c r="I10032" s="711"/>
      <c r="J10032" s="711"/>
      <c r="K10032" s="711"/>
      <c r="L10032" s="711"/>
      <c r="Q10032" s="11"/>
      <c r="R10032" s="11"/>
      <c r="S10032" s="11"/>
      <c r="T10032" s="11"/>
    </row>
    <row r="10033" spans="8:20" x14ac:dyDescent="0.35">
      <c r="H10033" s="711"/>
      <c r="I10033" s="711"/>
      <c r="J10033" s="711"/>
      <c r="K10033" s="711"/>
      <c r="L10033" s="711"/>
      <c r="Q10033" s="11"/>
      <c r="R10033" s="11"/>
      <c r="S10033" s="11"/>
      <c r="T10033" s="11"/>
    </row>
    <row r="10034" spans="8:20" x14ac:dyDescent="0.35">
      <c r="H10034" s="711"/>
      <c r="I10034" s="711"/>
      <c r="J10034" s="711"/>
      <c r="K10034" s="711"/>
      <c r="L10034" s="711"/>
      <c r="Q10034" s="11"/>
      <c r="R10034" s="11"/>
      <c r="S10034" s="11"/>
      <c r="T10034" s="11"/>
    </row>
    <row r="10035" spans="8:20" x14ac:dyDescent="0.35">
      <c r="H10035" s="711"/>
      <c r="I10035" s="711"/>
      <c r="J10035" s="711"/>
      <c r="K10035" s="711"/>
      <c r="L10035" s="711"/>
      <c r="Q10035" s="11"/>
      <c r="R10035" s="11"/>
      <c r="S10035" s="11"/>
      <c r="T10035" s="11"/>
    </row>
    <row r="10036" spans="8:20" x14ac:dyDescent="0.35">
      <c r="H10036" s="711"/>
      <c r="I10036" s="711"/>
      <c r="J10036" s="711"/>
      <c r="K10036" s="711"/>
      <c r="L10036" s="711"/>
      <c r="Q10036" s="11"/>
      <c r="R10036" s="11"/>
      <c r="S10036" s="11"/>
      <c r="T10036" s="11"/>
    </row>
    <row r="10037" spans="8:20" x14ac:dyDescent="0.35">
      <c r="H10037" s="711"/>
      <c r="I10037" s="711"/>
      <c r="J10037" s="711"/>
      <c r="K10037" s="711"/>
      <c r="L10037" s="711"/>
      <c r="Q10037" s="11"/>
      <c r="R10037" s="11"/>
      <c r="S10037" s="11"/>
      <c r="T10037" s="11"/>
    </row>
    <row r="10038" spans="8:20" x14ac:dyDescent="0.35">
      <c r="H10038" s="711"/>
      <c r="I10038" s="711"/>
      <c r="J10038" s="711"/>
      <c r="K10038" s="711"/>
      <c r="L10038" s="711"/>
      <c r="Q10038" s="11"/>
      <c r="R10038" s="11"/>
      <c r="S10038" s="11"/>
      <c r="T10038" s="11"/>
    </row>
    <row r="10039" spans="8:20" x14ac:dyDescent="0.35">
      <c r="H10039" s="711"/>
      <c r="I10039" s="711"/>
      <c r="J10039" s="711"/>
      <c r="K10039" s="711"/>
      <c r="L10039" s="711"/>
      <c r="Q10039" s="11"/>
      <c r="R10039" s="11"/>
      <c r="S10039" s="11"/>
      <c r="T10039" s="11"/>
    </row>
    <row r="10040" spans="8:20" x14ac:dyDescent="0.35">
      <c r="H10040" s="711"/>
      <c r="I10040" s="711"/>
      <c r="J10040" s="711"/>
      <c r="K10040" s="711"/>
      <c r="L10040" s="711"/>
      <c r="Q10040" s="11"/>
      <c r="R10040" s="11"/>
      <c r="S10040" s="11"/>
      <c r="T10040" s="11"/>
    </row>
    <row r="10041" spans="8:20" x14ac:dyDescent="0.35">
      <c r="H10041" s="711"/>
      <c r="I10041" s="711"/>
      <c r="J10041" s="711"/>
      <c r="K10041" s="711"/>
      <c r="L10041" s="711"/>
      <c r="Q10041" s="11"/>
      <c r="R10041" s="11"/>
      <c r="S10041" s="11"/>
      <c r="T10041" s="11"/>
    </row>
    <row r="10042" spans="8:20" x14ac:dyDescent="0.35">
      <c r="H10042" s="711"/>
      <c r="I10042" s="711"/>
      <c r="J10042" s="711"/>
      <c r="K10042" s="711"/>
      <c r="L10042" s="711"/>
      <c r="Q10042" s="11"/>
      <c r="R10042" s="11"/>
      <c r="S10042" s="11"/>
      <c r="T10042" s="11"/>
    </row>
    <row r="10043" spans="8:20" x14ac:dyDescent="0.35">
      <c r="H10043" s="711"/>
      <c r="I10043" s="711"/>
      <c r="J10043" s="711"/>
      <c r="K10043" s="711"/>
      <c r="L10043" s="711"/>
      <c r="Q10043" s="11"/>
      <c r="R10043" s="11"/>
      <c r="S10043" s="11"/>
      <c r="T10043" s="11"/>
    </row>
    <row r="10044" spans="8:20" x14ac:dyDescent="0.35">
      <c r="H10044" s="711"/>
      <c r="I10044" s="711"/>
      <c r="J10044" s="711"/>
      <c r="K10044" s="711"/>
      <c r="L10044" s="711"/>
      <c r="Q10044" s="11"/>
      <c r="R10044" s="11"/>
      <c r="S10044" s="11"/>
      <c r="T10044" s="11"/>
    </row>
    <row r="10045" spans="8:20" x14ac:dyDescent="0.35">
      <c r="H10045" s="711"/>
      <c r="I10045" s="711"/>
      <c r="J10045" s="711"/>
      <c r="K10045" s="711"/>
      <c r="L10045" s="711"/>
      <c r="Q10045" s="11"/>
      <c r="R10045" s="11"/>
      <c r="S10045" s="11"/>
      <c r="T10045" s="11"/>
    </row>
    <row r="10046" spans="8:20" x14ac:dyDescent="0.35">
      <c r="H10046" s="711"/>
      <c r="I10046" s="711"/>
      <c r="J10046" s="711"/>
      <c r="K10046" s="711"/>
      <c r="L10046" s="711"/>
      <c r="Q10046" s="11"/>
      <c r="R10046" s="11"/>
      <c r="S10046" s="11"/>
      <c r="T10046" s="11"/>
    </row>
    <row r="10047" spans="8:20" x14ac:dyDescent="0.35">
      <c r="H10047" s="711"/>
      <c r="I10047" s="711"/>
      <c r="J10047" s="711"/>
      <c r="K10047" s="711"/>
      <c r="L10047" s="711"/>
      <c r="Q10047" s="11"/>
      <c r="R10047" s="11"/>
      <c r="S10047" s="11"/>
      <c r="T10047" s="11"/>
    </row>
    <row r="10048" spans="8:20" x14ac:dyDescent="0.35">
      <c r="H10048" s="711"/>
      <c r="I10048" s="711"/>
      <c r="J10048" s="711"/>
      <c r="K10048" s="711"/>
      <c r="L10048" s="711"/>
      <c r="Q10048" s="11"/>
      <c r="R10048" s="11"/>
      <c r="S10048" s="11"/>
      <c r="T10048" s="11"/>
    </row>
    <row r="10049" spans="8:20" x14ac:dyDescent="0.35">
      <c r="H10049" s="711"/>
      <c r="I10049" s="711"/>
      <c r="J10049" s="711"/>
      <c r="K10049" s="711"/>
      <c r="L10049" s="711"/>
      <c r="Q10049" s="11"/>
      <c r="R10049" s="11"/>
      <c r="S10049" s="11"/>
      <c r="T10049" s="11"/>
    </row>
    <row r="10050" spans="8:20" x14ac:dyDescent="0.35">
      <c r="H10050" s="711"/>
      <c r="I10050" s="711"/>
      <c r="J10050" s="711"/>
      <c r="K10050" s="711"/>
      <c r="L10050" s="711"/>
      <c r="Q10050" s="11"/>
      <c r="R10050" s="11"/>
      <c r="S10050" s="11"/>
      <c r="T10050" s="11"/>
    </row>
    <row r="10051" spans="8:20" x14ac:dyDescent="0.35">
      <c r="H10051" s="711"/>
      <c r="I10051" s="711"/>
      <c r="J10051" s="711"/>
      <c r="K10051" s="711"/>
      <c r="L10051" s="711"/>
      <c r="Q10051" s="11"/>
      <c r="R10051" s="11"/>
      <c r="S10051" s="11"/>
      <c r="T10051" s="11"/>
    </row>
    <row r="10052" spans="8:20" x14ac:dyDescent="0.35">
      <c r="H10052" s="711"/>
      <c r="I10052" s="711"/>
      <c r="J10052" s="711"/>
      <c r="K10052" s="711"/>
      <c r="L10052" s="711"/>
      <c r="Q10052" s="11"/>
      <c r="R10052" s="11"/>
      <c r="S10052" s="11"/>
      <c r="T10052" s="11"/>
    </row>
    <row r="10053" spans="8:20" x14ac:dyDescent="0.35">
      <c r="H10053" s="711"/>
      <c r="I10053" s="711"/>
      <c r="J10053" s="711"/>
      <c r="K10053" s="711"/>
      <c r="L10053" s="711"/>
      <c r="Q10053" s="11"/>
      <c r="R10053" s="11"/>
      <c r="S10053" s="11"/>
      <c r="T10053" s="11"/>
    </row>
    <row r="10054" spans="8:20" x14ac:dyDescent="0.35">
      <c r="H10054" s="711"/>
      <c r="I10054" s="711"/>
      <c r="J10054" s="711"/>
      <c r="K10054" s="711"/>
      <c r="L10054" s="711"/>
      <c r="Q10054" s="11"/>
      <c r="R10054" s="11"/>
      <c r="S10054" s="11"/>
      <c r="T10054" s="11"/>
    </row>
    <row r="10055" spans="8:20" x14ac:dyDescent="0.35">
      <c r="H10055" s="711"/>
      <c r="I10055" s="711"/>
      <c r="J10055" s="711"/>
      <c r="K10055" s="711"/>
      <c r="L10055" s="711"/>
      <c r="Q10055" s="11"/>
      <c r="R10055" s="11"/>
      <c r="S10055" s="11"/>
      <c r="T10055" s="11"/>
    </row>
    <row r="10056" spans="8:20" x14ac:dyDescent="0.35">
      <c r="H10056" s="711"/>
      <c r="I10056" s="711"/>
      <c r="J10056" s="711"/>
      <c r="K10056" s="711"/>
      <c r="L10056" s="711"/>
      <c r="Q10056" s="11"/>
      <c r="R10056" s="11"/>
      <c r="S10056" s="11"/>
      <c r="T10056" s="11"/>
    </row>
    <row r="10057" spans="8:20" x14ac:dyDescent="0.35">
      <c r="H10057" s="711"/>
      <c r="I10057" s="711"/>
      <c r="J10057" s="711"/>
      <c r="K10057" s="711"/>
      <c r="L10057" s="711"/>
      <c r="Q10057" s="11"/>
      <c r="R10057" s="11"/>
      <c r="S10057" s="11"/>
      <c r="T10057" s="11"/>
    </row>
    <row r="10058" spans="8:20" x14ac:dyDescent="0.35">
      <c r="H10058" s="711"/>
      <c r="I10058" s="711"/>
      <c r="J10058" s="711"/>
      <c r="K10058" s="711"/>
      <c r="L10058" s="711"/>
      <c r="Q10058" s="11"/>
      <c r="R10058" s="11"/>
      <c r="S10058" s="11"/>
      <c r="T10058" s="11"/>
    </row>
    <row r="10059" spans="8:20" x14ac:dyDescent="0.35">
      <c r="H10059" s="711"/>
      <c r="I10059" s="711"/>
      <c r="J10059" s="711"/>
      <c r="K10059" s="711"/>
      <c r="L10059" s="711"/>
      <c r="Q10059" s="11"/>
      <c r="R10059" s="11"/>
      <c r="S10059" s="11"/>
      <c r="T10059" s="11"/>
    </row>
    <row r="10060" spans="8:20" x14ac:dyDescent="0.35">
      <c r="H10060" s="711"/>
      <c r="I10060" s="711"/>
      <c r="J10060" s="711"/>
      <c r="K10060" s="711"/>
      <c r="L10060" s="711"/>
      <c r="Q10060" s="11"/>
      <c r="R10060" s="11"/>
      <c r="S10060" s="11"/>
      <c r="T10060" s="11"/>
    </row>
    <row r="10061" spans="8:20" x14ac:dyDescent="0.35">
      <c r="H10061" s="711"/>
      <c r="I10061" s="711"/>
      <c r="J10061" s="711"/>
      <c r="K10061" s="711"/>
      <c r="L10061" s="711"/>
      <c r="Q10061" s="11"/>
      <c r="R10061" s="11"/>
      <c r="S10061" s="11"/>
      <c r="T10061" s="11"/>
    </row>
    <row r="10062" spans="8:20" x14ac:dyDescent="0.35">
      <c r="H10062" s="711"/>
      <c r="I10062" s="711"/>
      <c r="J10062" s="711"/>
      <c r="K10062" s="711"/>
      <c r="L10062" s="711"/>
      <c r="Q10062" s="11"/>
      <c r="R10062" s="11"/>
      <c r="S10062" s="11"/>
      <c r="T10062" s="11"/>
    </row>
    <row r="10063" spans="8:20" x14ac:dyDescent="0.35">
      <c r="H10063" s="711"/>
      <c r="I10063" s="711"/>
      <c r="J10063" s="711"/>
      <c r="K10063" s="711"/>
      <c r="L10063" s="711"/>
      <c r="Q10063" s="11"/>
      <c r="R10063" s="11"/>
      <c r="S10063" s="11"/>
      <c r="T10063" s="11"/>
    </row>
    <row r="10064" spans="8:20" x14ac:dyDescent="0.35">
      <c r="H10064" s="711"/>
      <c r="I10064" s="711"/>
      <c r="J10064" s="711"/>
      <c r="K10064" s="711"/>
      <c r="L10064" s="711"/>
      <c r="Q10064" s="11"/>
      <c r="R10064" s="11"/>
      <c r="S10064" s="11"/>
      <c r="T10064" s="11"/>
    </row>
    <row r="10065" spans="8:20" x14ac:dyDescent="0.35">
      <c r="H10065" s="711"/>
      <c r="I10065" s="711"/>
      <c r="J10065" s="711"/>
      <c r="K10065" s="711"/>
      <c r="L10065" s="711"/>
      <c r="Q10065" s="11"/>
      <c r="R10065" s="11"/>
      <c r="S10065" s="11"/>
      <c r="T10065" s="11"/>
    </row>
    <row r="10066" spans="8:20" x14ac:dyDescent="0.35">
      <c r="H10066" s="711"/>
      <c r="I10066" s="711"/>
      <c r="J10066" s="711"/>
      <c r="K10066" s="711"/>
      <c r="L10066" s="711"/>
      <c r="Q10066" s="11"/>
      <c r="R10066" s="11"/>
      <c r="S10066" s="11"/>
      <c r="T10066" s="11"/>
    </row>
    <row r="10067" spans="8:20" x14ac:dyDescent="0.35">
      <c r="H10067" s="711"/>
      <c r="I10067" s="711"/>
      <c r="J10067" s="711"/>
      <c r="K10067" s="711"/>
      <c r="L10067" s="711"/>
      <c r="Q10067" s="11"/>
      <c r="R10067" s="11"/>
      <c r="S10067" s="11"/>
      <c r="T10067" s="11"/>
    </row>
    <row r="10068" spans="8:20" x14ac:dyDescent="0.35">
      <c r="H10068" s="711"/>
      <c r="I10068" s="711"/>
      <c r="J10068" s="711"/>
      <c r="K10068" s="711"/>
      <c r="L10068" s="711"/>
      <c r="Q10068" s="11"/>
      <c r="R10068" s="11"/>
      <c r="S10068" s="11"/>
      <c r="T10068" s="11"/>
    </row>
    <row r="10069" spans="8:20" x14ac:dyDescent="0.35">
      <c r="H10069" s="711"/>
      <c r="I10069" s="711"/>
      <c r="J10069" s="711"/>
      <c r="K10069" s="711"/>
      <c r="L10069" s="711"/>
      <c r="Q10069" s="11"/>
      <c r="R10069" s="11"/>
      <c r="S10069" s="11"/>
      <c r="T10069" s="11"/>
    </row>
    <row r="10070" spans="8:20" x14ac:dyDescent="0.35">
      <c r="H10070" s="711"/>
      <c r="I10070" s="711"/>
      <c r="J10070" s="711"/>
      <c r="K10070" s="711"/>
      <c r="L10070" s="711"/>
      <c r="Q10070" s="11"/>
      <c r="R10070" s="11"/>
      <c r="S10070" s="11"/>
      <c r="T10070" s="11"/>
    </row>
    <row r="10071" spans="8:20" x14ac:dyDescent="0.35">
      <c r="H10071" s="711"/>
      <c r="I10071" s="711"/>
      <c r="J10071" s="711"/>
      <c r="K10071" s="711"/>
      <c r="L10071" s="711"/>
      <c r="Q10071" s="11"/>
      <c r="R10071" s="11"/>
      <c r="S10071" s="11"/>
      <c r="T10071" s="11"/>
    </row>
    <row r="10072" spans="8:20" x14ac:dyDescent="0.35">
      <c r="H10072" s="711"/>
      <c r="I10072" s="711"/>
      <c r="J10072" s="711"/>
      <c r="K10072" s="711"/>
      <c r="L10072" s="711"/>
      <c r="Q10072" s="11"/>
      <c r="R10072" s="11"/>
      <c r="S10072" s="11"/>
      <c r="T10072" s="11"/>
    </row>
    <row r="10073" spans="8:20" x14ac:dyDescent="0.35">
      <c r="H10073" s="711"/>
      <c r="I10073" s="711"/>
      <c r="J10073" s="711"/>
      <c r="K10073" s="711"/>
      <c r="L10073" s="711"/>
      <c r="Q10073" s="11"/>
      <c r="R10073" s="11"/>
      <c r="S10073" s="11"/>
      <c r="T10073" s="11"/>
    </row>
    <row r="10074" spans="8:20" x14ac:dyDescent="0.35">
      <c r="H10074" s="711"/>
      <c r="I10074" s="711"/>
      <c r="J10074" s="711"/>
      <c r="K10074" s="711"/>
      <c r="L10074" s="711"/>
      <c r="Q10074" s="11"/>
      <c r="R10074" s="11"/>
      <c r="S10074" s="11"/>
      <c r="T10074" s="11"/>
    </row>
    <row r="10075" spans="8:20" x14ac:dyDescent="0.35">
      <c r="H10075" s="711"/>
      <c r="I10075" s="711"/>
      <c r="J10075" s="711"/>
      <c r="K10075" s="711"/>
      <c r="L10075" s="711"/>
      <c r="Q10075" s="11"/>
      <c r="R10075" s="11"/>
      <c r="S10075" s="11"/>
      <c r="T10075" s="11"/>
    </row>
    <row r="10076" spans="8:20" x14ac:dyDescent="0.35">
      <c r="H10076" s="711"/>
      <c r="I10076" s="711"/>
      <c r="J10076" s="711"/>
      <c r="K10076" s="711"/>
      <c r="L10076" s="711"/>
      <c r="Q10076" s="11"/>
      <c r="R10076" s="11"/>
      <c r="S10076" s="11"/>
      <c r="T10076" s="11"/>
    </row>
    <row r="10077" spans="8:20" x14ac:dyDescent="0.35">
      <c r="H10077" s="711"/>
      <c r="I10077" s="711"/>
      <c r="J10077" s="711"/>
      <c r="K10077" s="711"/>
      <c r="L10077" s="711"/>
      <c r="Q10077" s="11"/>
      <c r="R10077" s="11"/>
      <c r="S10077" s="11"/>
      <c r="T10077" s="11"/>
    </row>
    <row r="10078" spans="8:20" x14ac:dyDescent="0.35">
      <c r="H10078" s="711"/>
      <c r="I10078" s="711"/>
      <c r="J10078" s="711"/>
      <c r="K10078" s="711"/>
      <c r="L10078" s="711"/>
      <c r="Q10078" s="11"/>
      <c r="R10078" s="11"/>
      <c r="S10078" s="11"/>
      <c r="T10078" s="11"/>
    </row>
    <row r="10079" spans="8:20" x14ac:dyDescent="0.35">
      <c r="H10079" s="711"/>
      <c r="I10079" s="711"/>
      <c r="J10079" s="711"/>
      <c r="K10079" s="711"/>
      <c r="L10079" s="711"/>
      <c r="Q10079" s="11"/>
      <c r="R10079" s="11"/>
      <c r="S10079" s="11"/>
      <c r="T10079" s="11"/>
    </row>
    <row r="10080" spans="8:20" x14ac:dyDescent="0.35">
      <c r="H10080" s="711"/>
      <c r="I10080" s="711"/>
      <c r="J10080" s="711"/>
      <c r="K10080" s="711"/>
      <c r="L10080" s="711"/>
      <c r="Q10080" s="11"/>
      <c r="R10080" s="11"/>
      <c r="S10080" s="11"/>
      <c r="T10080" s="11"/>
    </row>
    <row r="10081" spans="8:20" x14ac:dyDescent="0.35">
      <c r="H10081" s="711"/>
      <c r="I10081" s="711"/>
      <c r="J10081" s="711"/>
      <c r="K10081" s="711"/>
      <c r="L10081" s="711"/>
      <c r="Q10081" s="11"/>
      <c r="R10081" s="11"/>
      <c r="S10081" s="11"/>
      <c r="T10081" s="11"/>
    </row>
    <row r="10082" spans="8:20" x14ac:dyDescent="0.35">
      <c r="H10082" s="711"/>
      <c r="I10082" s="711"/>
      <c r="J10082" s="711"/>
      <c r="K10082" s="711"/>
      <c r="L10082" s="711"/>
      <c r="Q10082" s="11"/>
      <c r="R10082" s="11"/>
      <c r="S10082" s="11"/>
      <c r="T10082" s="11"/>
    </row>
    <row r="10083" spans="8:20" x14ac:dyDescent="0.35">
      <c r="H10083" s="711"/>
      <c r="I10083" s="711"/>
      <c r="J10083" s="711"/>
      <c r="K10083" s="711"/>
      <c r="L10083" s="711"/>
      <c r="Q10083" s="11"/>
      <c r="R10083" s="11"/>
      <c r="S10083" s="11"/>
      <c r="T10083" s="11"/>
    </row>
    <row r="10084" spans="8:20" x14ac:dyDescent="0.35">
      <c r="H10084" s="711"/>
      <c r="I10084" s="711"/>
      <c r="J10084" s="711"/>
      <c r="K10084" s="711"/>
      <c r="L10084" s="711"/>
      <c r="Q10084" s="11"/>
      <c r="R10084" s="11"/>
      <c r="S10084" s="11"/>
      <c r="T10084" s="11"/>
    </row>
    <row r="10085" spans="8:20" x14ac:dyDescent="0.35">
      <c r="H10085" s="711"/>
      <c r="I10085" s="711"/>
      <c r="J10085" s="711"/>
      <c r="K10085" s="711"/>
      <c r="L10085" s="711"/>
      <c r="Q10085" s="11"/>
      <c r="R10085" s="11"/>
      <c r="S10085" s="11"/>
      <c r="T10085" s="11"/>
    </row>
    <row r="10086" spans="8:20" x14ac:dyDescent="0.35">
      <c r="H10086" s="711"/>
      <c r="I10086" s="711"/>
      <c r="J10086" s="711"/>
      <c r="K10086" s="711"/>
      <c r="L10086" s="711"/>
      <c r="Q10086" s="11"/>
      <c r="R10086" s="11"/>
      <c r="S10086" s="11"/>
      <c r="T10086" s="11"/>
    </row>
    <row r="10087" spans="8:20" x14ac:dyDescent="0.35">
      <c r="H10087" s="711"/>
      <c r="I10087" s="711"/>
      <c r="J10087" s="711"/>
      <c r="K10087" s="711"/>
      <c r="L10087" s="711"/>
      <c r="Q10087" s="11"/>
      <c r="R10087" s="11"/>
      <c r="S10087" s="11"/>
      <c r="T10087" s="11"/>
    </row>
    <row r="10088" spans="8:20" x14ac:dyDescent="0.35">
      <c r="H10088" s="711"/>
      <c r="I10088" s="711"/>
      <c r="J10088" s="711"/>
      <c r="K10088" s="711"/>
      <c r="L10088" s="711"/>
      <c r="Q10088" s="11"/>
      <c r="R10088" s="11"/>
      <c r="S10088" s="11"/>
      <c r="T10088" s="11"/>
    </row>
    <row r="10089" spans="8:20" x14ac:dyDescent="0.35">
      <c r="H10089" s="711"/>
      <c r="I10089" s="711"/>
      <c r="J10089" s="711"/>
      <c r="K10089" s="711"/>
      <c r="L10089" s="711"/>
      <c r="Q10089" s="11"/>
      <c r="R10089" s="11"/>
      <c r="S10089" s="11"/>
      <c r="T10089" s="11"/>
    </row>
    <row r="10090" spans="8:20" x14ac:dyDescent="0.35">
      <c r="H10090" s="711"/>
      <c r="I10090" s="711"/>
      <c r="J10090" s="711"/>
      <c r="K10090" s="711"/>
      <c r="L10090" s="711"/>
      <c r="Q10090" s="11"/>
      <c r="R10090" s="11"/>
      <c r="S10090" s="11"/>
      <c r="T10090" s="11"/>
    </row>
    <row r="10091" spans="8:20" x14ac:dyDescent="0.35">
      <c r="H10091" s="711"/>
      <c r="I10091" s="711"/>
      <c r="J10091" s="711"/>
      <c r="K10091" s="711"/>
      <c r="L10091" s="711"/>
      <c r="Q10091" s="11"/>
      <c r="R10091" s="11"/>
      <c r="S10091" s="11"/>
      <c r="T10091" s="11"/>
    </row>
    <row r="10092" spans="8:20" x14ac:dyDescent="0.35">
      <c r="H10092" s="711"/>
      <c r="I10092" s="711"/>
      <c r="J10092" s="711"/>
      <c r="K10092" s="711"/>
      <c r="L10092" s="711"/>
      <c r="Q10092" s="11"/>
      <c r="R10092" s="11"/>
      <c r="S10092" s="11"/>
      <c r="T10092" s="11"/>
    </row>
    <row r="10093" spans="8:20" x14ac:dyDescent="0.35">
      <c r="H10093" s="711"/>
      <c r="I10093" s="711"/>
      <c r="J10093" s="711"/>
      <c r="K10093" s="711"/>
      <c r="L10093" s="711"/>
      <c r="Q10093" s="11"/>
      <c r="R10093" s="11"/>
      <c r="S10093" s="11"/>
      <c r="T10093" s="11"/>
    </row>
    <row r="10094" spans="8:20" x14ac:dyDescent="0.35">
      <c r="H10094" s="711"/>
      <c r="I10094" s="711"/>
      <c r="J10094" s="711"/>
      <c r="K10094" s="711"/>
      <c r="L10094" s="711"/>
      <c r="Q10094" s="11"/>
      <c r="R10094" s="11"/>
      <c r="S10094" s="11"/>
      <c r="T10094" s="11"/>
    </row>
    <row r="10095" spans="8:20" x14ac:dyDescent="0.35">
      <c r="H10095" s="711"/>
      <c r="I10095" s="711"/>
      <c r="J10095" s="711"/>
      <c r="K10095" s="711"/>
      <c r="L10095" s="711"/>
      <c r="Q10095" s="11"/>
      <c r="R10095" s="11"/>
      <c r="S10095" s="11"/>
      <c r="T10095" s="11"/>
    </row>
    <row r="10096" spans="8:20" x14ac:dyDescent="0.35">
      <c r="H10096" s="711"/>
      <c r="I10096" s="711"/>
      <c r="J10096" s="711"/>
      <c r="K10096" s="711"/>
      <c r="L10096" s="711"/>
      <c r="Q10096" s="11"/>
      <c r="R10096" s="11"/>
      <c r="S10096" s="11"/>
      <c r="T10096" s="11"/>
    </row>
    <row r="10097" spans="8:20" x14ac:dyDescent="0.35">
      <c r="H10097" s="711"/>
      <c r="I10097" s="711"/>
      <c r="J10097" s="711"/>
      <c r="K10097" s="711"/>
      <c r="L10097" s="711"/>
      <c r="Q10097" s="11"/>
      <c r="R10097" s="11"/>
      <c r="S10097" s="11"/>
      <c r="T10097" s="11"/>
    </row>
    <row r="10098" spans="8:20" x14ac:dyDescent="0.35">
      <c r="H10098" s="711"/>
      <c r="I10098" s="711"/>
      <c r="J10098" s="711"/>
      <c r="K10098" s="711"/>
      <c r="L10098" s="711"/>
      <c r="Q10098" s="11"/>
      <c r="R10098" s="11"/>
      <c r="S10098" s="11"/>
      <c r="T10098" s="11"/>
    </row>
    <row r="10099" spans="8:20" x14ac:dyDescent="0.35">
      <c r="H10099" s="711"/>
      <c r="I10099" s="711"/>
      <c r="J10099" s="711"/>
      <c r="K10099" s="711"/>
      <c r="L10099" s="711"/>
      <c r="Q10099" s="11"/>
      <c r="R10099" s="11"/>
      <c r="S10099" s="11"/>
      <c r="T10099" s="11"/>
    </row>
    <row r="10100" spans="8:20" x14ac:dyDescent="0.35">
      <c r="H10100" s="711"/>
      <c r="I10100" s="711"/>
      <c r="J10100" s="711"/>
      <c r="K10100" s="711"/>
      <c r="L10100" s="711"/>
      <c r="Q10100" s="11"/>
      <c r="R10100" s="11"/>
      <c r="S10100" s="11"/>
      <c r="T10100" s="11"/>
    </row>
    <row r="10101" spans="8:20" x14ac:dyDescent="0.35">
      <c r="H10101" s="711"/>
      <c r="I10101" s="711"/>
      <c r="J10101" s="711"/>
      <c r="K10101" s="711"/>
      <c r="L10101" s="711"/>
      <c r="Q10101" s="11"/>
      <c r="R10101" s="11"/>
      <c r="S10101" s="11"/>
      <c r="T10101" s="11"/>
    </row>
    <row r="10102" spans="8:20" x14ac:dyDescent="0.35">
      <c r="H10102" s="711"/>
      <c r="I10102" s="711"/>
      <c r="J10102" s="711"/>
      <c r="K10102" s="711"/>
      <c r="L10102" s="711"/>
      <c r="Q10102" s="11"/>
      <c r="R10102" s="11"/>
      <c r="S10102" s="11"/>
      <c r="T10102" s="11"/>
    </row>
    <row r="10103" spans="8:20" x14ac:dyDescent="0.35">
      <c r="H10103" s="711"/>
      <c r="I10103" s="711"/>
      <c r="J10103" s="711"/>
      <c r="K10103" s="711"/>
      <c r="L10103" s="711"/>
      <c r="Q10103" s="11"/>
      <c r="R10103" s="11"/>
      <c r="S10103" s="11"/>
      <c r="T10103" s="11"/>
    </row>
    <row r="10104" spans="8:20" x14ac:dyDescent="0.35">
      <c r="H10104" s="711"/>
      <c r="I10104" s="711"/>
      <c r="J10104" s="711"/>
      <c r="K10104" s="711"/>
      <c r="L10104" s="711"/>
      <c r="Q10104" s="11"/>
      <c r="R10104" s="11"/>
      <c r="S10104" s="11"/>
      <c r="T10104" s="11"/>
    </row>
    <row r="10105" spans="8:20" x14ac:dyDescent="0.35">
      <c r="H10105" s="711"/>
      <c r="I10105" s="711"/>
      <c r="J10105" s="711"/>
      <c r="K10105" s="711"/>
      <c r="L10105" s="711"/>
      <c r="Q10105" s="11"/>
      <c r="R10105" s="11"/>
      <c r="S10105" s="11"/>
      <c r="T10105" s="11"/>
    </row>
    <row r="10106" spans="8:20" x14ac:dyDescent="0.35">
      <c r="H10106" s="711"/>
      <c r="I10106" s="711"/>
      <c r="J10106" s="711"/>
      <c r="K10106" s="711"/>
      <c r="L10106" s="711"/>
      <c r="Q10106" s="11"/>
      <c r="R10106" s="11"/>
      <c r="S10106" s="11"/>
      <c r="T10106" s="11"/>
    </row>
    <row r="10107" spans="8:20" x14ac:dyDescent="0.35">
      <c r="H10107" s="711"/>
      <c r="I10107" s="711"/>
      <c r="J10107" s="711"/>
      <c r="K10107" s="711"/>
      <c r="L10107" s="711"/>
      <c r="Q10107" s="11"/>
      <c r="R10107" s="11"/>
      <c r="S10107" s="11"/>
      <c r="T10107" s="11"/>
    </row>
    <row r="10108" spans="8:20" x14ac:dyDescent="0.35">
      <c r="H10108" s="711"/>
      <c r="I10108" s="711"/>
      <c r="J10108" s="711"/>
      <c r="K10108" s="711"/>
      <c r="L10108" s="711"/>
      <c r="Q10108" s="11"/>
      <c r="R10108" s="11"/>
      <c r="S10108" s="11"/>
      <c r="T10108" s="11"/>
    </row>
    <row r="10109" spans="8:20" x14ac:dyDescent="0.35">
      <c r="H10109" s="711"/>
      <c r="I10109" s="711"/>
      <c r="J10109" s="711"/>
      <c r="K10109" s="711"/>
      <c r="L10109" s="711"/>
      <c r="Q10109" s="11"/>
      <c r="R10109" s="11"/>
      <c r="S10109" s="11"/>
      <c r="T10109" s="11"/>
    </row>
    <row r="10110" spans="8:20" x14ac:dyDescent="0.35">
      <c r="H10110" s="711"/>
      <c r="I10110" s="711"/>
      <c r="J10110" s="711"/>
      <c r="K10110" s="711"/>
      <c r="L10110" s="711"/>
      <c r="Q10110" s="11"/>
      <c r="R10110" s="11"/>
      <c r="S10110" s="11"/>
      <c r="T10110" s="11"/>
    </row>
    <row r="10111" spans="8:20" x14ac:dyDescent="0.35">
      <c r="H10111" s="711"/>
      <c r="I10111" s="711"/>
      <c r="J10111" s="711"/>
      <c r="K10111" s="711"/>
      <c r="L10111" s="711"/>
      <c r="Q10111" s="11"/>
      <c r="R10111" s="11"/>
      <c r="S10111" s="11"/>
      <c r="T10111" s="11"/>
    </row>
    <row r="10112" spans="8:20" x14ac:dyDescent="0.35">
      <c r="H10112" s="711"/>
      <c r="I10112" s="711"/>
      <c r="J10112" s="711"/>
      <c r="K10112" s="711"/>
      <c r="L10112" s="711"/>
      <c r="Q10112" s="11"/>
      <c r="R10112" s="11"/>
      <c r="S10112" s="11"/>
      <c r="T10112" s="11"/>
    </row>
    <row r="10113" spans="8:20" x14ac:dyDescent="0.35">
      <c r="H10113" s="711"/>
      <c r="I10113" s="711"/>
      <c r="J10113" s="711"/>
      <c r="K10113" s="711"/>
      <c r="L10113" s="711"/>
      <c r="Q10113" s="11"/>
      <c r="R10113" s="11"/>
      <c r="S10113" s="11"/>
      <c r="T10113" s="11"/>
    </row>
    <row r="10114" spans="8:20" x14ac:dyDescent="0.35">
      <c r="H10114" s="711"/>
      <c r="I10114" s="711"/>
      <c r="J10114" s="711"/>
      <c r="K10114" s="711"/>
      <c r="L10114" s="711"/>
      <c r="Q10114" s="11"/>
      <c r="R10114" s="11"/>
      <c r="S10114" s="11"/>
      <c r="T10114" s="11"/>
    </row>
    <row r="10115" spans="8:20" x14ac:dyDescent="0.35">
      <c r="H10115" s="711"/>
      <c r="I10115" s="711"/>
      <c r="J10115" s="711"/>
      <c r="K10115" s="711"/>
      <c r="L10115" s="711"/>
      <c r="Q10115" s="11"/>
      <c r="R10115" s="11"/>
      <c r="S10115" s="11"/>
      <c r="T10115" s="11"/>
    </row>
    <row r="10116" spans="8:20" x14ac:dyDescent="0.35">
      <c r="H10116" s="711"/>
      <c r="I10116" s="711"/>
      <c r="J10116" s="711"/>
      <c r="K10116" s="711"/>
      <c r="L10116" s="711"/>
      <c r="Q10116" s="11"/>
      <c r="R10116" s="11"/>
      <c r="S10116" s="11"/>
      <c r="T10116" s="11"/>
    </row>
    <row r="10117" spans="8:20" x14ac:dyDescent="0.35">
      <c r="H10117" s="711"/>
      <c r="I10117" s="711"/>
      <c r="J10117" s="711"/>
      <c r="K10117" s="711"/>
      <c r="L10117" s="711"/>
      <c r="Q10117" s="11"/>
      <c r="R10117" s="11"/>
      <c r="S10117" s="11"/>
      <c r="T10117" s="11"/>
    </row>
    <row r="10118" spans="8:20" x14ac:dyDescent="0.35">
      <c r="H10118" s="711"/>
      <c r="I10118" s="711"/>
      <c r="J10118" s="711"/>
      <c r="K10118" s="711"/>
      <c r="L10118" s="711"/>
      <c r="Q10118" s="11"/>
      <c r="R10118" s="11"/>
      <c r="S10118" s="11"/>
      <c r="T10118" s="11"/>
    </row>
    <row r="10119" spans="8:20" x14ac:dyDescent="0.35">
      <c r="H10119" s="711"/>
      <c r="I10119" s="711"/>
      <c r="J10119" s="711"/>
      <c r="K10119" s="711"/>
      <c r="L10119" s="711"/>
      <c r="Q10119" s="11"/>
      <c r="R10119" s="11"/>
      <c r="S10119" s="11"/>
      <c r="T10119" s="11"/>
    </row>
    <row r="10120" spans="8:20" x14ac:dyDescent="0.35">
      <c r="H10120" s="711"/>
      <c r="I10120" s="711"/>
      <c r="J10120" s="711"/>
      <c r="K10120" s="711"/>
      <c r="L10120" s="711"/>
      <c r="Q10120" s="11"/>
      <c r="R10120" s="11"/>
      <c r="S10120" s="11"/>
      <c r="T10120" s="11"/>
    </row>
    <row r="10121" spans="8:20" x14ac:dyDescent="0.35">
      <c r="H10121" s="711"/>
      <c r="I10121" s="711"/>
      <c r="J10121" s="711"/>
      <c r="K10121" s="711"/>
      <c r="L10121" s="711"/>
      <c r="Q10121" s="11"/>
      <c r="R10121" s="11"/>
      <c r="S10121" s="11"/>
      <c r="T10121" s="11"/>
    </row>
    <row r="10122" spans="8:20" x14ac:dyDescent="0.35">
      <c r="H10122" s="711"/>
      <c r="I10122" s="711"/>
      <c r="J10122" s="711"/>
      <c r="K10122" s="711"/>
      <c r="L10122" s="711"/>
      <c r="Q10122" s="11"/>
      <c r="R10122" s="11"/>
      <c r="S10122" s="11"/>
      <c r="T10122" s="11"/>
    </row>
    <row r="10123" spans="8:20" x14ac:dyDescent="0.35">
      <c r="H10123" s="711"/>
      <c r="I10123" s="711"/>
      <c r="J10123" s="711"/>
      <c r="K10123" s="711"/>
      <c r="L10123" s="711"/>
      <c r="Q10123" s="11"/>
      <c r="R10123" s="11"/>
      <c r="S10123" s="11"/>
      <c r="T10123" s="11"/>
    </row>
    <row r="10124" spans="8:20" x14ac:dyDescent="0.35">
      <c r="H10124" s="711"/>
      <c r="I10124" s="711"/>
      <c r="J10124" s="711"/>
      <c r="K10124" s="711"/>
      <c r="L10124" s="711"/>
      <c r="Q10124" s="11"/>
      <c r="R10124" s="11"/>
      <c r="S10124" s="11"/>
      <c r="T10124" s="11"/>
    </row>
    <row r="10125" spans="8:20" x14ac:dyDescent="0.35">
      <c r="H10125" s="711"/>
      <c r="I10125" s="711"/>
      <c r="J10125" s="711"/>
      <c r="K10125" s="711"/>
      <c r="L10125" s="711"/>
      <c r="Q10125" s="11"/>
      <c r="R10125" s="11"/>
      <c r="S10125" s="11"/>
      <c r="T10125" s="11"/>
    </row>
    <row r="10126" spans="8:20" x14ac:dyDescent="0.35">
      <c r="H10126" s="711"/>
      <c r="I10126" s="711"/>
      <c r="J10126" s="711"/>
      <c r="K10126" s="711"/>
      <c r="L10126" s="711"/>
      <c r="Q10126" s="11"/>
      <c r="R10126" s="11"/>
      <c r="S10126" s="11"/>
      <c r="T10126" s="11"/>
    </row>
    <row r="10127" spans="8:20" x14ac:dyDescent="0.35">
      <c r="H10127" s="711"/>
      <c r="I10127" s="711"/>
      <c r="J10127" s="711"/>
      <c r="K10127" s="711"/>
      <c r="L10127" s="711"/>
      <c r="Q10127" s="11"/>
      <c r="R10127" s="11"/>
      <c r="S10127" s="11"/>
      <c r="T10127" s="11"/>
    </row>
    <row r="10128" spans="8:20" x14ac:dyDescent="0.35">
      <c r="H10128" s="711"/>
      <c r="I10128" s="711"/>
      <c r="J10128" s="711"/>
      <c r="K10128" s="711"/>
      <c r="L10128" s="711"/>
      <c r="Q10128" s="11"/>
      <c r="R10128" s="11"/>
      <c r="S10128" s="11"/>
      <c r="T10128" s="11"/>
    </row>
    <row r="10129" spans="8:20" x14ac:dyDescent="0.35">
      <c r="H10129" s="711"/>
      <c r="I10129" s="711"/>
      <c r="J10129" s="711"/>
      <c r="K10129" s="711"/>
      <c r="L10129" s="711"/>
      <c r="Q10129" s="11"/>
      <c r="R10129" s="11"/>
      <c r="S10129" s="11"/>
      <c r="T10129" s="11"/>
    </row>
    <row r="10130" spans="8:20" x14ac:dyDescent="0.35">
      <c r="H10130" s="711"/>
      <c r="I10130" s="711"/>
      <c r="J10130" s="711"/>
      <c r="K10130" s="711"/>
      <c r="L10130" s="711"/>
      <c r="Q10130" s="11"/>
      <c r="R10130" s="11"/>
      <c r="S10130" s="11"/>
      <c r="T10130" s="11"/>
    </row>
    <row r="10131" spans="8:20" x14ac:dyDescent="0.35">
      <c r="H10131" s="711"/>
      <c r="I10131" s="711"/>
      <c r="J10131" s="711"/>
      <c r="K10131" s="711"/>
      <c r="L10131" s="711"/>
      <c r="Q10131" s="11"/>
      <c r="R10131" s="11"/>
      <c r="S10131" s="11"/>
      <c r="T10131" s="11"/>
    </row>
    <row r="10132" spans="8:20" x14ac:dyDescent="0.35">
      <c r="H10132" s="711"/>
      <c r="I10132" s="711"/>
      <c r="J10132" s="711"/>
      <c r="K10132" s="711"/>
      <c r="L10132" s="711"/>
      <c r="Q10132" s="11"/>
      <c r="R10132" s="11"/>
      <c r="S10132" s="11"/>
      <c r="T10132" s="11"/>
    </row>
    <row r="10133" spans="8:20" x14ac:dyDescent="0.35">
      <c r="H10133" s="711"/>
      <c r="I10133" s="711"/>
      <c r="J10133" s="711"/>
      <c r="K10133" s="711"/>
      <c r="L10133" s="711"/>
      <c r="Q10133" s="11"/>
      <c r="R10133" s="11"/>
      <c r="S10133" s="11"/>
      <c r="T10133" s="11"/>
    </row>
    <row r="10134" spans="8:20" x14ac:dyDescent="0.35">
      <c r="H10134" s="711"/>
      <c r="I10134" s="711"/>
      <c r="J10134" s="711"/>
      <c r="K10134" s="711"/>
      <c r="L10134" s="711"/>
      <c r="Q10134" s="11"/>
      <c r="R10134" s="11"/>
      <c r="S10134" s="11"/>
      <c r="T10134" s="11"/>
    </row>
    <row r="10135" spans="8:20" x14ac:dyDescent="0.35">
      <c r="H10135" s="711"/>
      <c r="I10135" s="711"/>
      <c r="J10135" s="711"/>
      <c r="K10135" s="711"/>
      <c r="L10135" s="711"/>
      <c r="Q10135" s="11"/>
      <c r="R10135" s="11"/>
      <c r="S10135" s="11"/>
      <c r="T10135" s="11"/>
    </row>
    <row r="10136" spans="8:20" x14ac:dyDescent="0.35">
      <c r="H10136" s="711"/>
      <c r="I10136" s="711"/>
      <c r="J10136" s="711"/>
      <c r="K10136" s="711"/>
      <c r="L10136" s="711"/>
      <c r="Q10136" s="11"/>
      <c r="R10136" s="11"/>
      <c r="S10136" s="11"/>
      <c r="T10136" s="11"/>
    </row>
    <row r="10137" spans="8:20" x14ac:dyDescent="0.35">
      <c r="H10137" s="711"/>
      <c r="I10137" s="711"/>
      <c r="J10137" s="711"/>
      <c r="K10137" s="711"/>
      <c r="L10137" s="711"/>
      <c r="Q10137" s="11"/>
      <c r="R10137" s="11"/>
      <c r="S10137" s="11"/>
      <c r="T10137" s="11"/>
    </row>
    <row r="10138" spans="8:20" x14ac:dyDescent="0.35">
      <c r="H10138" s="711"/>
      <c r="I10138" s="711"/>
      <c r="J10138" s="711"/>
      <c r="K10138" s="711"/>
      <c r="L10138" s="711"/>
      <c r="Q10138" s="11"/>
      <c r="R10138" s="11"/>
      <c r="S10138" s="11"/>
      <c r="T10138" s="11"/>
    </row>
    <row r="10139" spans="8:20" x14ac:dyDescent="0.35">
      <c r="H10139" s="711"/>
      <c r="I10139" s="711"/>
      <c r="J10139" s="711"/>
      <c r="K10139" s="711"/>
      <c r="L10139" s="711"/>
      <c r="Q10139" s="11"/>
      <c r="R10139" s="11"/>
      <c r="S10139" s="11"/>
      <c r="T10139" s="11"/>
    </row>
    <row r="10140" spans="8:20" x14ac:dyDescent="0.35">
      <c r="H10140" s="711"/>
      <c r="I10140" s="711"/>
      <c r="J10140" s="711"/>
      <c r="K10140" s="711"/>
      <c r="L10140" s="711"/>
      <c r="Q10140" s="11"/>
      <c r="R10140" s="11"/>
      <c r="S10140" s="11"/>
      <c r="T10140" s="11"/>
    </row>
    <row r="10141" spans="8:20" x14ac:dyDescent="0.35">
      <c r="H10141" s="711"/>
      <c r="I10141" s="711"/>
      <c r="J10141" s="711"/>
      <c r="K10141" s="711"/>
      <c r="L10141" s="711"/>
      <c r="Q10141" s="11"/>
      <c r="R10141" s="11"/>
      <c r="S10141" s="11"/>
      <c r="T10141" s="11"/>
    </row>
    <row r="10142" spans="8:20" x14ac:dyDescent="0.35">
      <c r="H10142" s="711"/>
      <c r="I10142" s="711"/>
      <c r="J10142" s="711"/>
      <c r="K10142" s="711"/>
      <c r="L10142" s="711"/>
      <c r="Q10142" s="11"/>
      <c r="R10142" s="11"/>
      <c r="S10142" s="11"/>
      <c r="T10142" s="11"/>
    </row>
    <row r="10143" spans="8:20" x14ac:dyDescent="0.35">
      <c r="H10143" s="711"/>
      <c r="I10143" s="711"/>
      <c r="J10143" s="711"/>
      <c r="K10143" s="711"/>
      <c r="L10143" s="711"/>
      <c r="Q10143" s="11"/>
      <c r="R10143" s="11"/>
      <c r="S10143" s="11"/>
      <c r="T10143" s="11"/>
    </row>
    <row r="10144" spans="8:20" x14ac:dyDescent="0.35">
      <c r="H10144" s="711"/>
      <c r="I10144" s="711"/>
      <c r="J10144" s="711"/>
      <c r="K10144" s="711"/>
      <c r="L10144" s="711"/>
      <c r="Q10144" s="11"/>
      <c r="R10144" s="11"/>
      <c r="S10144" s="11"/>
      <c r="T10144" s="11"/>
    </row>
    <row r="10145" spans="8:20" x14ac:dyDescent="0.35">
      <c r="H10145" s="711"/>
      <c r="I10145" s="711"/>
      <c r="J10145" s="711"/>
      <c r="K10145" s="711"/>
      <c r="L10145" s="711"/>
      <c r="Q10145" s="11"/>
      <c r="R10145" s="11"/>
      <c r="S10145" s="11"/>
      <c r="T10145" s="11"/>
    </row>
    <row r="10146" spans="8:20" x14ac:dyDescent="0.35">
      <c r="H10146" s="711"/>
      <c r="I10146" s="711"/>
      <c r="J10146" s="711"/>
      <c r="K10146" s="711"/>
      <c r="L10146" s="711"/>
      <c r="Q10146" s="11"/>
      <c r="R10146" s="11"/>
      <c r="S10146" s="11"/>
      <c r="T10146" s="11"/>
    </row>
    <row r="10147" spans="8:20" x14ac:dyDescent="0.35">
      <c r="H10147" s="711"/>
      <c r="I10147" s="711"/>
      <c r="J10147" s="711"/>
      <c r="K10147" s="711"/>
      <c r="L10147" s="711"/>
      <c r="Q10147" s="11"/>
      <c r="R10147" s="11"/>
      <c r="S10147" s="11"/>
      <c r="T10147" s="11"/>
    </row>
    <row r="10148" spans="8:20" x14ac:dyDescent="0.35">
      <c r="H10148" s="711"/>
      <c r="I10148" s="711"/>
      <c r="J10148" s="711"/>
      <c r="K10148" s="711"/>
      <c r="L10148" s="711"/>
      <c r="Q10148" s="11"/>
      <c r="R10148" s="11"/>
      <c r="S10148" s="11"/>
      <c r="T10148" s="11"/>
    </row>
    <row r="10149" spans="8:20" x14ac:dyDescent="0.35">
      <c r="H10149" s="711"/>
      <c r="I10149" s="711"/>
      <c r="J10149" s="711"/>
      <c r="K10149" s="711"/>
      <c r="L10149" s="711"/>
      <c r="Q10149" s="11"/>
      <c r="R10149" s="11"/>
      <c r="S10149" s="11"/>
      <c r="T10149" s="11"/>
    </row>
    <row r="10150" spans="8:20" x14ac:dyDescent="0.35">
      <c r="H10150" s="711"/>
      <c r="I10150" s="711"/>
      <c r="J10150" s="711"/>
      <c r="K10150" s="711"/>
      <c r="L10150" s="711"/>
      <c r="Q10150" s="11"/>
      <c r="R10150" s="11"/>
      <c r="S10150" s="11"/>
      <c r="T10150" s="11"/>
    </row>
    <row r="10151" spans="8:20" x14ac:dyDescent="0.35">
      <c r="H10151" s="711"/>
      <c r="I10151" s="711"/>
      <c r="J10151" s="711"/>
      <c r="K10151" s="711"/>
      <c r="L10151" s="711"/>
      <c r="Q10151" s="11"/>
      <c r="R10151" s="11"/>
      <c r="S10151" s="11"/>
      <c r="T10151" s="11"/>
    </row>
    <row r="10152" spans="8:20" x14ac:dyDescent="0.35">
      <c r="H10152" s="711"/>
      <c r="I10152" s="711"/>
      <c r="J10152" s="711"/>
      <c r="K10152" s="711"/>
      <c r="L10152" s="711"/>
      <c r="Q10152" s="11"/>
      <c r="R10152" s="11"/>
      <c r="S10152" s="11"/>
      <c r="T10152" s="11"/>
    </row>
    <row r="10153" spans="8:20" x14ac:dyDescent="0.35">
      <c r="H10153" s="711"/>
      <c r="I10153" s="711"/>
      <c r="J10153" s="711"/>
      <c r="K10153" s="711"/>
      <c r="L10153" s="711"/>
      <c r="Q10153" s="11"/>
      <c r="R10153" s="11"/>
      <c r="S10153" s="11"/>
      <c r="T10153" s="11"/>
    </row>
    <row r="10154" spans="8:20" x14ac:dyDescent="0.35">
      <c r="H10154" s="711"/>
      <c r="I10154" s="711"/>
      <c r="J10154" s="711"/>
      <c r="K10154" s="711"/>
      <c r="L10154" s="711"/>
      <c r="Q10154" s="11"/>
      <c r="R10154" s="11"/>
      <c r="S10154" s="11"/>
      <c r="T10154" s="11"/>
    </row>
    <row r="10155" spans="8:20" x14ac:dyDescent="0.35">
      <c r="H10155" s="711"/>
      <c r="I10155" s="711"/>
      <c r="J10155" s="711"/>
      <c r="K10155" s="711"/>
      <c r="L10155" s="711"/>
      <c r="Q10155" s="11"/>
      <c r="R10155" s="11"/>
      <c r="S10155" s="11"/>
      <c r="T10155" s="11"/>
    </row>
    <row r="10156" spans="8:20" x14ac:dyDescent="0.35">
      <c r="H10156" s="711"/>
      <c r="I10156" s="711"/>
      <c r="J10156" s="711"/>
      <c r="K10156" s="711"/>
      <c r="L10156" s="711"/>
      <c r="Q10156" s="11"/>
      <c r="R10156" s="11"/>
      <c r="S10156" s="11"/>
      <c r="T10156" s="11"/>
    </row>
    <row r="10157" spans="8:20" x14ac:dyDescent="0.35">
      <c r="H10157" s="711"/>
      <c r="I10157" s="711"/>
      <c r="J10157" s="711"/>
      <c r="K10157" s="711"/>
      <c r="L10157" s="711"/>
      <c r="Q10157" s="11"/>
      <c r="R10157" s="11"/>
      <c r="S10157" s="11"/>
      <c r="T10157" s="11"/>
    </row>
    <row r="10158" spans="8:20" x14ac:dyDescent="0.35">
      <c r="H10158" s="711"/>
      <c r="I10158" s="711"/>
      <c r="J10158" s="711"/>
      <c r="K10158" s="711"/>
      <c r="L10158" s="711"/>
      <c r="Q10158" s="11"/>
      <c r="R10158" s="11"/>
      <c r="S10158" s="11"/>
      <c r="T10158" s="11"/>
    </row>
    <row r="10159" spans="8:20" x14ac:dyDescent="0.35">
      <c r="H10159" s="711"/>
      <c r="I10159" s="711"/>
      <c r="J10159" s="711"/>
      <c r="K10159" s="711"/>
      <c r="L10159" s="711"/>
      <c r="Q10159" s="11"/>
      <c r="R10159" s="11"/>
      <c r="S10159" s="11"/>
      <c r="T10159" s="11"/>
    </row>
    <row r="10160" spans="8:20" x14ac:dyDescent="0.35">
      <c r="H10160" s="711"/>
      <c r="I10160" s="711"/>
      <c r="J10160" s="711"/>
      <c r="K10160" s="711"/>
      <c r="L10160" s="711"/>
      <c r="Q10160" s="11"/>
      <c r="R10160" s="11"/>
      <c r="S10160" s="11"/>
      <c r="T10160" s="11"/>
    </row>
    <row r="10161" spans="8:20" x14ac:dyDescent="0.35">
      <c r="H10161" s="711"/>
      <c r="I10161" s="711"/>
      <c r="J10161" s="711"/>
      <c r="K10161" s="711"/>
      <c r="L10161" s="711"/>
      <c r="Q10161" s="11"/>
      <c r="R10161" s="11"/>
      <c r="S10161" s="11"/>
      <c r="T10161" s="11"/>
    </row>
    <row r="10162" spans="8:20" x14ac:dyDescent="0.35">
      <c r="H10162" s="711"/>
      <c r="I10162" s="711"/>
      <c r="J10162" s="711"/>
      <c r="K10162" s="711"/>
      <c r="L10162" s="711"/>
      <c r="Q10162" s="11"/>
      <c r="R10162" s="11"/>
      <c r="S10162" s="11"/>
      <c r="T10162" s="11"/>
    </row>
    <row r="10163" spans="8:20" x14ac:dyDescent="0.35">
      <c r="H10163" s="711"/>
      <c r="I10163" s="711"/>
      <c r="J10163" s="711"/>
      <c r="K10163" s="711"/>
      <c r="L10163" s="711"/>
      <c r="Q10163" s="11"/>
      <c r="R10163" s="11"/>
      <c r="S10163" s="11"/>
      <c r="T10163" s="11"/>
    </row>
    <row r="10164" spans="8:20" x14ac:dyDescent="0.35">
      <c r="H10164" s="711"/>
      <c r="I10164" s="711"/>
      <c r="J10164" s="711"/>
      <c r="K10164" s="711"/>
      <c r="L10164" s="711"/>
      <c r="Q10164" s="11"/>
      <c r="R10164" s="11"/>
      <c r="S10164" s="11"/>
      <c r="T10164" s="11"/>
    </row>
    <row r="10165" spans="8:20" x14ac:dyDescent="0.35">
      <c r="H10165" s="711"/>
      <c r="I10165" s="711"/>
      <c r="J10165" s="711"/>
      <c r="K10165" s="711"/>
      <c r="L10165" s="711"/>
      <c r="Q10165" s="11"/>
      <c r="R10165" s="11"/>
      <c r="S10165" s="11"/>
      <c r="T10165" s="11"/>
    </row>
    <row r="10166" spans="8:20" x14ac:dyDescent="0.35">
      <c r="H10166" s="711"/>
      <c r="I10166" s="711"/>
      <c r="J10166" s="711"/>
      <c r="K10166" s="711"/>
      <c r="L10166" s="711"/>
      <c r="Q10166" s="11"/>
      <c r="R10166" s="11"/>
      <c r="S10166" s="11"/>
      <c r="T10166" s="11"/>
    </row>
    <row r="10167" spans="8:20" x14ac:dyDescent="0.35">
      <c r="H10167" s="711"/>
      <c r="I10167" s="711"/>
      <c r="J10167" s="711"/>
      <c r="K10167" s="711"/>
      <c r="L10167" s="711"/>
      <c r="Q10167" s="11"/>
      <c r="R10167" s="11"/>
      <c r="S10167" s="11"/>
      <c r="T10167" s="11"/>
    </row>
    <row r="10168" spans="8:20" x14ac:dyDescent="0.35">
      <c r="H10168" s="711"/>
      <c r="I10168" s="711"/>
      <c r="J10168" s="711"/>
      <c r="K10168" s="711"/>
      <c r="L10168" s="711"/>
      <c r="Q10168" s="11"/>
      <c r="R10168" s="11"/>
      <c r="S10168" s="11"/>
      <c r="T10168" s="11"/>
    </row>
    <row r="10169" spans="8:20" x14ac:dyDescent="0.35">
      <c r="H10169" s="711"/>
      <c r="I10169" s="711"/>
      <c r="J10169" s="711"/>
      <c r="K10169" s="711"/>
      <c r="L10169" s="711"/>
      <c r="Q10169" s="11"/>
      <c r="R10169" s="11"/>
      <c r="S10169" s="11"/>
      <c r="T10169" s="11"/>
    </row>
    <row r="10170" spans="8:20" x14ac:dyDescent="0.35">
      <c r="H10170" s="711"/>
      <c r="I10170" s="711"/>
      <c r="J10170" s="711"/>
      <c r="K10170" s="711"/>
      <c r="L10170" s="711"/>
      <c r="Q10170" s="11"/>
      <c r="R10170" s="11"/>
      <c r="S10170" s="11"/>
      <c r="T10170" s="11"/>
    </row>
    <row r="10171" spans="8:20" x14ac:dyDescent="0.35">
      <c r="H10171" s="711"/>
      <c r="I10171" s="711"/>
      <c r="J10171" s="711"/>
      <c r="K10171" s="711"/>
      <c r="L10171" s="711"/>
      <c r="Q10171" s="11"/>
      <c r="R10171" s="11"/>
      <c r="S10171" s="11"/>
      <c r="T10171" s="11"/>
    </row>
    <row r="10172" spans="8:20" x14ac:dyDescent="0.35">
      <c r="H10172" s="711"/>
      <c r="I10172" s="711"/>
      <c r="J10172" s="711"/>
      <c r="K10172" s="711"/>
      <c r="L10172" s="711"/>
      <c r="Q10172" s="11"/>
      <c r="R10172" s="11"/>
      <c r="S10172" s="11"/>
      <c r="T10172" s="11"/>
    </row>
    <row r="10173" spans="8:20" x14ac:dyDescent="0.35">
      <c r="H10173" s="711"/>
      <c r="I10173" s="711"/>
      <c r="J10173" s="711"/>
      <c r="K10173" s="711"/>
      <c r="L10173" s="711"/>
      <c r="Q10173" s="11"/>
      <c r="R10173" s="11"/>
      <c r="S10173" s="11"/>
      <c r="T10173" s="11"/>
    </row>
    <row r="10174" spans="8:20" x14ac:dyDescent="0.35">
      <c r="H10174" s="711"/>
      <c r="I10174" s="711"/>
      <c r="J10174" s="711"/>
      <c r="K10174" s="711"/>
      <c r="L10174" s="711"/>
      <c r="Q10174" s="11"/>
      <c r="R10174" s="11"/>
      <c r="S10174" s="11"/>
      <c r="T10174" s="11"/>
    </row>
    <row r="10175" spans="8:20" x14ac:dyDescent="0.35">
      <c r="H10175" s="711"/>
      <c r="I10175" s="711"/>
      <c r="J10175" s="711"/>
      <c r="K10175" s="711"/>
      <c r="L10175" s="711"/>
      <c r="Q10175" s="11"/>
      <c r="R10175" s="11"/>
      <c r="S10175" s="11"/>
      <c r="T10175" s="11"/>
    </row>
    <row r="10176" spans="8:20" x14ac:dyDescent="0.35">
      <c r="H10176" s="711"/>
      <c r="I10176" s="711"/>
      <c r="J10176" s="711"/>
      <c r="K10176" s="711"/>
      <c r="L10176" s="711"/>
      <c r="Q10176" s="11"/>
      <c r="R10176" s="11"/>
      <c r="S10176" s="11"/>
      <c r="T10176" s="11"/>
    </row>
    <row r="10177" spans="8:20" x14ac:dyDescent="0.35">
      <c r="H10177" s="711"/>
      <c r="I10177" s="711"/>
      <c r="J10177" s="711"/>
      <c r="K10177" s="711"/>
      <c r="L10177" s="711"/>
      <c r="Q10177" s="11"/>
      <c r="R10177" s="11"/>
      <c r="S10177" s="11"/>
      <c r="T10177" s="11"/>
    </row>
    <row r="10178" spans="8:20" x14ac:dyDescent="0.35">
      <c r="H10178" s="711"/>
      <c r="I10178" s="711"/>
      <c r="J10178" s="711"/>
      <c r="K10178" s="711"/>
      <c r="L10178" s="711"/>
      <c r="Q10178" s="11"/>
      <c r="R10178" s="11"/>
      <c r="S10178" s="11"/>
      <c r="T10178" s="11"/>
    </row>
    <row r="10179" spans="8:20" x14ac:dyDescent="0.35">
      <c r="H10179" s="711"/>
      <c r="I10179" s="711"/>
      <c r="J10179" s="711"/>
      <c r="K10179" s="711"/>
      <c r="L10179" s="711"/>
      <c r="Q10179" s="11"/>
      <c r="R10179" s="11"/>
      <c r="S10179" s="11"/>
      <c r="T10179" s="11"/>
    </row>
    <row r="10180" spans="8:20" x14ac:dyDescent="0.35">
      <c r="H10180" s="711"/>
      <c r="I10180" s="711"/>
      <c r="J10180" s="711"/>
      <c r="K10180" s="711"/>
      <c r="L10180" s="711"/>
      <c r="Q10180" s="11"/>
      <c r="R10180" s="11"/>
      <c r="S10180" s="11"/>
      <c r="T10180" s="11"/>
    </row>
    <row r="10181" spans="8:20" x14ac:dyDescent="0.35">
      <c r="H10181" s="711"/>
      <c r="I10181" s="711"/>
      <c r="J10181" s="711"/>
      <c r="K10181" s="711"/>
      <c r="L10181" s="711"/>
      <c r="Q10181" s="11"/>
      <c r="R10181" s="11"/>
      <c r="S10181" s="11"/>
      <c r="T10181" s="11"/>
    </row>
    <row r="10182" spans="8:20" x14ac:dyDescent="0.35">
      <c r="H10182" s="711"/>
      <c r="I10182" s="711"/>
      <c r="J10182" s="711"/>
      <c r="K10182" s="711"/>
      <c r="L10182" s="711"/>
      <c r="Q10182" s="11"/>
      <c r="R10182" s="11"/>
      <c r="S10182" s="11"/>
      <c r="T10182" s="11"/>
    </row>
    <row r="10183" spans="8:20" x14ac:dyDescent="0.35">
      <c r="H10183" s="711"/>
      <c r="I10183" s="711"/>
      <c r="J10183" s="711"/>
      <c r="K10183" s="711"/>
      <c r="L10183" s="711"/>
      <c r="Q10183" s="11"/>
      <c r="R10183" s="11"/>
      <c r="S10183" s="11"/>
      <c r="T10183" s="11"/>
    </row>
    <row r="10184" spans="8:20" x14ac:dyDescent="0.35">
      <c r="H10184" s="711"/>
      <c r="I10184" s="711"/>
      <c r="J10184" s="711"/>
      <c r="K10184" s="711"/>
      <c r="L10184" s="711"/>
      <c r="Q10184" s="11"/>
      <c r="R10184" s="11"/>
      <c r="S10184" s="11"/>
      <c r="T10184" s="11"/>
    </row>
    <row r="10185" spans="8:20" x14ac:dyDescent="0.35">
      <c r="H10185" s="711"/>
      <c r="I10185" s="711"/>
      <c r="J10185" s="711"/>
      <c r="K10185" s="711"/>
      <c r="L10185" s="711"/>
      <c r="Q10185" s="11"/>
      <c r="R10185" s="11"/>
      <c r="S10185" s="11"/>
      <c r="T10185" s="11"/>
    </row>
    <row r="10186" spans="8:20" x14ac:dyDescent="0.35">
      <c r="H10186" s="711"/>
      <c r="I10186" s="711"/>
      <c r="J10186" s="711"/>
      <c r="K10186" s="711"/>
      <c r="L10186" s="711"/>
      <c r="Q10186" s="11"/>
      <c r="R10186" s="11"/>
      <c r="S10186" s="11"/>
      <c r="T10186" s="11"/>
    </row>
    <row r="10187" spans="8:20" x14ac:dyDescent="0.35">
      <c r="H10187" s="711"/>
      <c r="I10187" s="711"/>
      <c r="J10187" s="711"/>
      <c r="K10187" s="711"/>
      <c r="L10187" s="711"/>
      <c r="Q10187" s="11"/>
      <c r="R10187" s="11"/>
      <c r="S10187" s="11"/>
      <c r="T10187" s="11"/>
    </row>
    <row r="10188" spans="8:20" x14ac:dyDescent="0.35">
      <c r="H10188" s="711"/>
      <c r="I10188" s="711"/>
      <c r="J10188" s="711"/>
      <c r="K10188" s="711"/>
      <c r="L10188" s="711"/>
      <c r="Q10188" s="11"/>
      <c r="R10188" s="11"/>
      <c r="S10188" s="11"/>
      <c r="T10188" s="11"/>
    </row>
    <row r="10189" spans="8:20" x14ac:dyDescent="0.35">
      <c r="H10189" s="711"/>
      <c r="I10189" s="711"/>
      <c r="J10189" s="711"/>
      <c r="K10189" s="711"/>
      <c r="L10189" s="711"/>
      <c r="Q10189" s="11"/>
      <c r="R10189" s="11"/>
      <c r="S10189" s="11"/>
      <c r="T10189" s="11"/>
    </row>
    <row r="10190" spans="8:20" x14ac:dyDescent="0.35">
      <c r="H10190" s="711"/>
      <c r="I10190" s="711"/>
      <c r="J10190" s="711"/>
      <c r="K10190" s="711"/>
      <c r="L10190" s="711"/>
      <c r="Q10190" s="11"/>
      <c r="R10190" s="11"/>
      <c r="S10190" s="11"/>
      <c r="T10190" s="11"/>
    </row>
    <row r="10191" spans="8:20" x14ac:dyDescent="0.35">
      <c r="H10191" s="711"/>
      <c r="I10191" s="711"/>
      <c r="J10191" s="711"/>
      <c r="K10191" s="711"/>
      <c r="L10191" s="711"/>
      <c r="Q10191" s="11"/>
      <c r="R10191" s="11"/>
      <c r="S10191" s="11"/>
      <c r="T10191" s="11"/>
    </row>
    <row r="10192" spans="8:20" x14ac:dyDescent="0.35">
      <c r="H10192" s="711"/>
      <c r="I10192" s="711"/>
      <c r="J10192" s="711"/>
      <c r="K10192" s="711"/>
      <c r="L10192" s="711"/>
      <c r="Q10192" s="11"/>
      <c r="R10192" s="11"/>
      <c r="S10192" s="11"/>
      <c r="T10192" s="11"/>
    </row>
    <row r="10193" spans="8:20" x14ac:dyDescent="0.35">
      <c r="H10193" s="711"/>
      <c r="I10193" s="711"/>
      <c r="J10193" s="711"/>
      <c r="K10193" s="711"/>
      <c r="L10193" s="711"/>
      <c r="Q10193" s="11"/>
      <c r="R10193" s="11"/>
      <c r="S10193" s="11"/>
      <c r="T10193" s="11"/>
    </row>
    <row r="10194" spans="8:20" x14ac:dyDescent="0.35">
      <c r="H10194" s="711"/>
      <c r="I10194" s="711"/>
      <c r="J10194" s="711"/>
      <c r="K10194" s="711"/>
      <c r="L10194" s="711"/>
      <c r="Q10194" s="11"/>
      <c r="R10194" s="11"/>
      <c r="S10194" s="11"/>
      <c r="T10194" s="11"/>
    </row>
    <row r="10195" spans="8:20" x14ac:dyDescent="0.35">
      <c r="H10195" s="711"/>
      <c r="I10195" s="711"/>
      <c r="J10195" s="711"/>
      <c r="K10195" s="711"/>
      <c r="L10195" s="711"/>
      <c r="Q10195" s="11"/>
      <c r="R10195" s="11"/>
      <c r="S10195" s="11"/>
      <c r="T10195" s="11"/>
    </row>
    <row r="10196" spans="8:20" x14ac:dyDescent="0.35">
      <c r="H10196" s="711"/>
      <c r="I10196" s="711"/>
      <c r="J10196" s="711"/>
      <c r="K10196" s="711"/>
      <c r="L10196" s="711"/>
      <c r="Q10196" s="11"/>
      <c r="R10196" s="11"/>
      <c r="S10196" s="11"/>
      <c r="T10196" s="11"/>
    </row>
    <row r="10197" spans="8:20" x14ac:dyDescent="0.35">
      <c r="H10197" s="711"/>
      <c r="I10197" s="711"/>
      <c r="J10197" s="711"/>
      <c r="K10197" s="711"/>
      <c r="L10197" s="711"/>
      <c r="Q10197" s="11"/>
      <c r="R10197" s="11"/>
      <c r="S10197" s="11"/>
      <c r="T10197" s="11"/>
    </row>
    <row r="10198" spans="8:20" x14ac:dyDescent="0.35">
      <c r="H10198" s="711"/>
      <c r="I10198" s="711"/>
      <c r="J10198" s="711"/>
      <c r="K10198" s="711"/>
      <c r="L10198" s="711"/>
      <c r="Q10198" s="11"/>
      <c r="R10198" s="11"/>
      <c r="S10198" s="11"/>
      <c r="T10198" s="11"/>
    </row>
    <row r="10199" spans="8:20" x14ac:dyDescent="0.35">
      <c r="H10199" s="711"/>
      <c r="I10199" s="711"/>
      <c r="J10199" s="711"/>
      <c r="K10199" s="711"/>
      <c r="L10199" s="711"/>
      <c r="Q10199" s="11"/>
      <c r="R10199" s="11"/>
      <c r="S10199" s="11"/>
      <c r="T10199" s="11"/>
    </row>
    <row r="10200" spans="8:20" x14ac:dyDescent="0.35">
      <c r="H10200" s="711"/>
      <c r="I10200" s="711"/>
      <c r="J10200" s="711"/>
      <c r="K10200" s="711"/>
      <c r="L10200" s="711"/>
      <c r="Q10200" s="11"/>
      <c r="R10200" s="11"/>
      <c r="S10200" s="11"/>
      <c r="T10200" s="11"/>
    </row>
    <row r="10201" spans="8:20" x14ac:dyDescent="0.35">
      <c r="H10201" s="711"/>
      <c r="I10201" s="711"/>
      <c r="J10201" s="711"/>
      <c r="K10201" s="711"/>
      <c r="L10201" s="711"/>
      <c r="Q10201" s="11"/>
      <c r="R10201" s="11"/>
      <c r="S10201" s="11"/>
      <c r="T10201" s="11"/>
    </row>
    <row r="10202" spans="8:20" x14ac:dyDescent="0.35">
      <c r="H10202" s="711"/>
      <c r="I10202" s="711"/>
      <c r="J10202" s="711"/>
      <c r="K10202" s="711"/>
      <c r="L10202" s="711"/>
      <c r="Q10202" s="11"/>
      <c r="R10202" s="11"/>
      <c r="S10202" s="11"/>
      <c r="T10202" s="11"/>
    </row>
    <row r="10203" spans="8:20" x14ac:dyDescent="0.35">
      <c r="H10203" s="711"/>
      <c r="I10203" s="711"/>
      <c r="J10203" s="711"/>
      <c r="K10203" s="711"/>
      <c r="L10203" s="711"/>
      <c r="Q10203" s="11"/>
      <c r="R10203" s="11"/>
      <c r="S10203" s="11"/>
      <c r="T10203" s="11"/>
    </row>
    <row r="10204" spans="8:20" x14ac:dyDescent="0.35">
      <c r="H10204" s="711"/>
      <c r="I10204" s="711"/>
      <c r="J10204" s="711"/>
      <c r="K10204" s="711"/>
      <c r="L10204" s="711"/>
      <c r="Q10204" s="11"/>
      <c r="R10204" s="11"/>
      <c r="S10204" s="11"/>
      <c r="T10204" s="11"/>
    </row>
    <row r="10205" spans="8:20" x14ac:dyDescent="0.35">
      <c r="H10205" s="711"/>
      <c r="I10205" s="711"/>
      <c r="J10205" s="711"/>
      <c r="K10205" s="711"/>
      <c r="L10205" s="711"/>
      <c r="Q10205" s="11"/>
      <c r="R10205" s="11"/>
      <c r="S10205" s="11"/>
      <c r="T10205" s="11"/>
    </row>
    <row r="10206" spans="8:20" x14ac:dyDescent="0.35">
      <c r="H10206" s="711"/>
      <c r="I10206" s="711"/>
      <c r="J10206" s="711"/>
      <c r="K10206" s="711"/>
      <c r="L10206" s="711"/>
      <c r="Q10206" s="11"/>
      <c r="R10206" s="11"/>
      <c r="S10206" s="11"/>
      <c r="T10206" s="11"/>
    </row>
    <row r="10207" spans="8:20" x14ac:dyDescent="0.35">
      <c r="H10207" s="711"/>
      <c r="I10207" s="711"/>
      <c r="J10207" s="711"/>
      <c r="K10207" s="711"/>
      <c r="L10207" s="711"/>
      <c r="Q10207" s="11"/>
      <c r="R10207" s="11"/>
      <c r="S10207" s="11"/>
      <c r="T10207" s="11"/>
    </row>
    <row r="10208" spans="8:20" x14ac:dyDescent="0.35">
      <c r="H10208" s="711"/>
      <c r="I10208" s="711"/>
      <c r="J10208" s="711"/>
      <c r="K10208" s="711"/>
      <c r="L10208" s="711"/>
      <c r="Q10208" s="11"/>
      <c r="R10208" s="11"/>
      <c r="S10208" s="11"/>
      <c r="T10208" s="11"/>
    </row>
    <row r="10209" spans="8:20" x14ac:dyDescent="0.35">
      <c r="H10209" s="711"/>
      <c r="I10209" s="711"/>
      <c r="J10209" s="711"/>
      <c r="K10209" s="711"/>
      <c r="L10209" s="711"/>
      <c r="Q10209" s="11"/>
      <c r="R10209" s="11"/>
      <c r="S10209" s="11"/>
      <c r="T10209" s="11"/>
    </row>
    <row r="10210" spans="8:20" x14ac:dyDescent="0.35">
      <c r="H10210" s="711"/>
      <c r="I10210" s="711"/>
      <c r="J10210" s="711"/>
      <c r="K10210" s="711"/>
      <c r="L10210" s="711"/>
      <c r="Q10210" s="11"/>
      <c r="R10210" s="11"/>
      <c r="S10210" s="11"/>
      <c r="T10210" s="11"/>
    </row>
    <row r="10211" spans="8:20" x14ac:dyDescent="0.35">
      <c r="H10211" s="711"/>
      <c r="I10211" s="711"/>
      <c r="J10211" s="711"/>
      <c r="K10211" s="711"/>
      <c r="L10211" s="711"/>
      <c r="Q10211" s="11"/>
      <c r="R10211" s="11"/>
      <c r="S10211" s="11"/>
      <c r="T10211" s="11"/>
    </row>
    <row r="10212" spans="8:20" x14ac:dyDescent="0.35">
      <c r="H10212" s="711"/>
      <c r="I10212" s="711"/>
      <c r="J10212" s="711"/>
      <c r="K10212" s="711"/>
      <c r="L10212" s="711"/>
      <c r="Q10212" s="11"/>
      <c r="R10212" s="11"/>
      <c r="S10212" s="11"/>
      <c r="T10212" s="11"/>
    </row>
    <row r="10213" spans="8:20" x14ac:dyDescent="0.35">
      <c r="H10213" s="711"/>
      <c r="I10213" s="711"/>
      <c r="J10213" s="711"/>
      <c r="K10213" s="711"/>
      <c r="L10213" s="711"/>
      <c r="Q10213" s="11"/>
      <c r="R10213" s="11"/>
      <c r="S10213" s="11"/>
      <c r="T10213" s="11"/>
    </row>
    <row r="10214" spans="8:20" x14ac:dyDescent="0.35">
      <c r="H10214" s="711"/>
      <c r="I10214" s="711"/>
      <c r="J10214" s="711"/>
      <c r="K10214" s="711"/>
      <c r="L10214" s="711"/>
      <c r="Q10214" s="11"/>
      <c r="R10214" s="11"/>
      <c r="S10214" s="11"/>
      <c r="T10214" s="11"/>
    </row>
    <row r="10215" spans="8:20" x14ac:dyDescent="0.35">
      <c r="H10215" s="711"/>
      <c r="I10215" s="711"/>
      <c r="J10215" s="711"/>
      <c r="K10215" s="711"/>
      <c r="L10215" s="711"/>
      <c r="Q10215" s="11"/>
      <c r="R10215" s="11"/>
      <c r="S10215" s="11"/>
      <c r="T10215" s="11"/>
    </row>
    <row r="10216" spans="8:20" x14ac:dyDescent="0.35">
      <c r="H10216" s="711"/>
      <c r="I10216" s="711"/>
      <c r="J10216" s="711"/>
      <c r="K10216" s="711"/>
      <c r="L10216" s="711"/>
      <c r="Q10216" s="11"/>
      <c r="R10216" s="11"/>
      <c r="S10216" s="11"/>
      <c r="T10216" s="11"/>
    </row>
    <row r="10217" spans="8:20" x14ac:dyDescent="0.35">
      <c r="H10217" s="711"/>
      <c r="I10217" s="711"/>
      <c r="J10217" s="711"/>
      <c r="K10217" s="711"/>
      <c r="L10217" s="711"/>
      <c r="Q10217" s="11"/>
      <c r="R10217" s="11"/>
      <c r="S10217" s="11"/>
      <c r="T10217" s="11"/>
    </row>
    <row r="10218" spans="8:20" x14ac:dyDescent="0.35">
      <c r="H10218" s="711"/>
      <c r="I10218" s="711"/>
      <c r="J10218" s="711"/>
      <c r="K10218" s="711"/>
      <c r="L10218" s="711"/>
      <c r="Q10218" s="11"/>
      <c r="R10218" s="11"/>
      <c r="S10218" s="11"/>
      <c r="T10218" s="11"/>
    </row>
    <row r="10219" spans="8:20" x14ac:dyDescent="0.35">
      <c r="H10219" s="711"/>
      <c r="I10219" s="711"/>
      <c r="J10219" s="711"/>
      <c r="K10219" s="711"/>
      <c r="L10219" s="711"/>
      <c r="Q10219" s="11"/>
      <c r="R10219" s="11"/>
      <c r="S10219" s="11"/>
      <c r="T10219" s="11"/>
    </row>
    <row r="10220" spans="8:20" x14ac:dyDescent="0.35">
      <c r="H10220" s="711"/>
      <c r="I10220" s="711"/>
      <c r="J10220" s="711"/>
      <c r="K10220" s="711"/>
      <c r="L10220" s="711"/>
      <c r="Q10220" s="11"/>
      <c r="R10220" s="11"/>
      <c r="S10220" s="11"/>
      <c r="T10220" s="11"/>
    </row>
    <row r="10221" spans="8:20" x14ac:dyDescent="0.35">
      <c r="H10221" s="711"/>
      <c r="I10221" s="711"/>
      <c r="J10221" s="711"/>
      <c r="K10221" s="711"/>
      <c r="L10221" s="711"/>
      <c r="Q10221" s="11"/>
      <c r="R10221" s="11"/>
      <c r="S10221" s="11"/>
      <c r="T10221" s="11"/>
    </row>
    <row r="10222" spans="8:20" x14ac:dyDescent="0.35">
      <c r="H10222" s="711"/>
      <c r="I10222" s="711"/>
      <c r="J10222" s="711"/>
      <c r="K10222" s="711"/>
      <c r="L10222" s="711"/>
      <c r="Q10222" s="11"/>
      <c r="R10222" s="11"/>
      <c r="S10222" s="11"/>
      <c r="T10222" s="11"/>
    </row>
    <row r="10223" spans="8:20" x14ac:dyDescent="0.35">
      <c r="H10223" s="711"/>
      <c r="I10223" s="711"/>
      <c r="J10223" s="711"/>
      <c r="K10223" s="711"/>
      <c r="L10223" s="711"/>
      <c r="Q10223" s="11"/>
      <c r="R10223" s="11"/>
      <c r="S10223" s="11"/>
      <c r="T10223" s="11"/>
    </row>
    <row r="10224" spans="8:20" x14ac:dyDescent="0.35">
      <c r="H10224" s="711"/>
      <c r="I10224" s="711"/>
      <c r="J10224" s="711"/>
      <c r="K10224" s="711"/>
      <c r="L10224" s="711"/>
      <c r="Q10224" s="11"/>
      <c r="R10224" s="11"/>
      <c r="S10224" s="11"/>
      <c r="T10224" s="11"/>
    </row>
    <row r="10225" spans="8:20" x14ac:dyDescent="0.35">
      <c r="H10225" s="711"/>
      <c r="I10225" s="711"/>
      <c r="J10225" s="711"/>
      <c r="K10225" s="711"/>
      <c r="L10225" s="711"/>
      <c r="Q10225" s="11"/>
      <c r="R10225" s="11"/>
      <c r="S10225" s="11"/>
      <c r="T10225" s="11"/>
    </row>
    <row r="10226" spans="8:20" x14ac:dyDescent="0.35">
      <c r="H10226" s="711"/>
      <c r="I10226" s="711"/>
      <c r="J10226" s="711"/>
      <c r="K10226" s="711"/>
      <c r="L10226" s="711"/>
      <c r="Q10226" s="11"/>
      <c r="R10226" s="11"/>
      <c r="S10226" s="11"/>
      <c r="T10226" s="11"/>
    </row>
    <row r="10227" spans="8:20" x14ac:dyDescent="0.35">
      <c r="H10227" s="711"/>
      <c r="I10227" s="711"/>
      <c r="J10227" s="711"/>
      <c r="K10227" s="711"/>
      <c r="L10227" s="711"/>
      <c r="Q10227" s="11"/>
      <c r="R10227" s="11"/>
      <c r="S10227" s="11"/>
      <c r="T10227" s="11"/>
    </row>
    <row r="10228" spans="8:20" x14ac:dyDescent="0.35">
      <c r="H10228" s="711"/>
      <c r="I10228" s="711"/>
      <c r="J10228" s="711"/>
      <c r="K10228" s="711"/>
      <c r="L10228" s="711"/>
      <c r="Q10228" s="11"/>
      <c r="R10228" s="11"/>
      <c r="S10228" s="11"/>
      <c r="T10228" s="11"/>
    </row>
    <row r="10229" spans="8:20" x14ac:dyDescent="0.35">
      <c r="H10229" s="711"/>
      <c r="I10229" s="711"/>
      <c r="J10229" s="711"/>
      <c r="K10229" s="711"/>
      <c r="L10229" s="711"/>
      <c r="Q10229" s="11"/>
      <c r="R10229" s="11"/>
      <c r="S10229" s="11"/>
      <c r="T10229" s="11"/>
    </row>
    <row r="10230" spans="8:20" x14ac:dyDescent="0.35">
      <c r="H10230" s="711"/>
      <c r="I10230" s="711"/>
      <c r="J10230" s="711"/>
      <c r="K10230" s="711"/>
      <c r="L10230" s="711"/>
      <c r="Q10230" s="11"/>
      <c r="R10230" s="11"/>
      <c r="S10230" s="11"/>
      <c r="T10230" s="11"/>
    </row>
    <row r="10231" spans="8:20" x14ac:dyDescent="0.35">
      <c r="H10231" s="711"/>
      <c r="I10231" s="711"/>
      <c r="J10231" s="711"/>
      <c r="K10231" s="711"/>
      <c r="L10231" s="711"/>
      <c r="Q10231" s="11"/>
      <c r="R10231" s="11"/>
      <c r="S10231" s="11"/>
      <c r="T10231" s="11"/>
    </row>
    <row r="10232" spans="8:20" x14ac:dyDescent="0.35">
      <c r="H10232" s="711"/>
      <c r="I10232" s="711"/>
      <c r="J10232" s="711"/>
      <c r="K10232" s="711"/>
      <c r="L10232" s="711"/>
      <c r="Q10232" s="11"/>
      <c r="R10232" s="11"/>
      <c r="S10232" s="11"/>
      <c r="T10232" s="11"/>
    </row>
    <row r="10233" spans="8:20" x14ac:dyDescent="0.35">
      <c r="H10233" s="711"/>
      <c r="I10233" s="711"/>
      <c r="J10233" s="711"/>
      <c r="K10233" s="711"/>
      <c r="L10233" s="711"/>
      <c r="Q10233" s="11"/>
      <c r="R10233" s="11"/>
      <c r="S10233" s="11"/>
      <c r="T10233" s="11"/>
    </row>
    <row r="10234" spans="8:20" x14ac:dyDescent="0.35">
      <c r="H10234" s="711"/>
      <c r="I10234" s="711"/>
      <c r="J10234" s="711"/>
      <c r="K10234" s="711"/>
      <c r="L10234" s="711"/>
      <c r="Q10234" s="11"/>
      <c r="R10234" s="11"/>
      <c r="S10234" s="11"/>
      <c r="T10234" s="11"/>
    </row>
    <row r="10235" spans="8:20" x14ac:dyDescent="0.35">
      <c r="H10235" s="711"/>
      <c r="I10235" s="711"/>
      <c r="J10235" s="711"/>
      <c r="K10235" s="711"/>
      <c r="L10235" s="711"/>
      <c r="Q10235" s="11"/>
      <c r="R10235" s="11"/>
      <c r="S10235" s="11"/>
      <c r="T10235" s="11"/>
    </row>
    <row r="10236" spans="8:20" x14ac:dyDescent="0.35">
      <c r="H10236" s="711"/>
      <c r="I10236" s="711"/>
      <c r="J10236" s="711"/>
      <c r="K10236" s="711"/>
      <c r="L10236" s="711"/>
      <c r="Q10236" s="11"/>
      <c r="R10236" s="11"/>
      <c r="S10236" s="11"/>
      <c r="T10236" s="11"/>
    </row>
    <row r="10237" spans="8:20" x14ac:dyDescent="0.35">
      <c r="H10237" s="711"/>
      <c r="I10237" s="711"/>
      <c r="J10237" s="711"/>
      <c r="K10237" s="711"/>
      <c r="L10237" s="711"/>
      <c r="Q10237" s="11"/>
      <c r="R10237" s="11"/>
      <c r="S10237" s="11"/>
      <c r="T10237" s="11"/>
    </row>
    <row r="10238" spans="8:20" x14ac:dyDescent="0.35">
      <c r="H10238" s="711"/>
      <c r="I10238" s="711"/>
      <c r="J10238" s="711"/>
      <c r="K10238" s="711"/>
      <c r="L10238" s="711"/>
      <c r="Q10238" s="11"/>
      <c r="R10238" s="11"/>
      <c r="S10238" s="11"/>
      <c r="T10238" s="11"/>
    </row>
    <row r="10239" spans="8:20" x14ac:dyDescent="0.35">
      <c r="H10239" s="711"/>
      <c r="I10239" s="711"/>
      <c r="J10239" s="711"/>
      <c r="K10239" s="711"/>
      <c r="L10239" s="711"/>
      <c r="Q10239" s="11"/>
      <c r="R10239" s="11"/>
      <c r="S10239" s="11"/>
      <c r="T10239" s="11"/>
    </row>
    <row r="10240" spans="8:20" x14ac:dyDescent="0.35">
      <c r="H10240" s="711"/>
      <c r="I10240" s="711"/>
      <c r="J10240" s="711"/>
      <c r="K10240" s="711"/>
      <c r="L10240" s="711"/>
      <c r="Q10240" s="11"/>
      <c r="R10240" s="11"/>
      <c r="S10240" s="11"/>
      <c r="T10240" s="11"/>
    </row>
    <row r="10241" spans="8:20" x14ac:dyDescent="0.35">
      <c r="H10241" s="711"/>
      <c r="I10241" s="711"/>
      <c r="J10241" s="711"/>
      <c r="K10241" s="711"/>
      <c r="L10241" s="711"/>
      <c r="Q10241" s="11"/>
      <c r="R10241" s="11"/>
      <c r="S10241" s="11"/>
      <c r="T10241" s="11"/>
    </row>
    <row r="10242" spans="8:20" x14ac:dyDescent="0.35">
      <c r="H10242" s="711"/>
      <c r="I10242" s="711"/>
      <c r="J10242" s="711"/>
      <c r="K10242" s="711"/>
      <c r="L10242" s="711"/>
      <c r="Q10242" s="11"/>
      <c r="R10242" s="11"/>
      <c r="S10242" s="11"/>
      <c r="T10242" s="11"/>
    </row>
    <row r="10243" spans="8:20" x14ac:dyDescent="0.35">
      <c r="H10243" s="711"/>
      <c r="I10243" s="711"/>
      <c r="J10243" s="711"/>
      <c r="K10243" s="711"/>
      <c r="L10243" s="711"/>
      <c r="Q10243" s="11"/>
      <c r="R10243" s="11"/>
      <c r="S10243" s="11"/>
      <c r="T10243" s="11"/>
    </row>
    <row r="10244" spans="8:20" x14ac:dyDescent="0.35">
      <c r="H10244" s="711"/>
      <c r="I10244" s="711"/>
      <c r="J10244" s="711"/>
      <c r="K10244" s="711"/>
      <c r="L10244" s="711"/>
      <c r="Q10244" s="11"/>
      <c r="R10244" s="11"/>
      <c r="S10244" s="11"/>
      <c r="T10244" s="11"/>
    </row>
    <row r="10245" spans="8:20" x14ac:dyDescent="0.35">
      <c r="H10245" s="711"/>
      <c r="I10245" s="711"/>
      <c r="J10245" s="711"/>
      <c r="K10245" s="711"/>
      <c r="L10245" s="711"/>
      <c r="Q10245" s="11"/>
      <c r="R10245" s="11"/>
      <c r="S10245" s="11"/>
      <c r="T10245" s="11"/>
    </row>
    <row r="10246" spans="8:20" x14ac:dyDescent="0.35">
      <c r="H10246" s="711"/>
      <c r="I10246" s="711"/>
      <c r="J10246" s="711"/>
      <c r="K10246" s="711"/>
      <c r="L10246" s="711"/>
      <c r="Q10246" s="11"/>
      <c r="R10246" s="11"/>
      <c r="S10246" s="11"/>
      <c r="T10246" s="11"/>
    </row>
    <row r="10247" spans="8:20" x14ac:dyDescent="0.35">
      <c r="H10247" s="711"/>
      <c r="I10247" s="711"/>
      <c r="J10247" s="711"/>
      <c r="K10247" s="711"/>
      <c r="L10247" s="711"/>
      <c r="Q10247" s="11"/>
      <c r="R10247" s="11"/>
      <c r="S10247" s="11"/>
      <c r="T10247" s="11"/>
    </row>
    <row r="10248" spans="8:20" x14ac:dyDescent="0.35">
      <c r="H10248" s="711"/>
      <c r="I10248" s="711"/>
      <c r="J10248" s="711"/>
      <c r="K10248" s="711"/>
      <c r="L10248" s="711"/>
      <c r="Q10248" s="11"/>
      <c r="R10248" s="11"/>
      <c r="S10248" s="11"/>
      <c r="T10248" s="11"/>
    </row>
    <row r="10249" spans="8:20" x14ac:dyDescent="0.35">
      <c r="H10249" s="711"/>
      <c r="I10249" s="711"/>
      <c r="J10249" s="711"/>
      <c r="K10249" s="711"/>
      <c r="L10249" s="711"/>
      <c r="Q10249" s="11"/>
      <c r="R10249" s="11"/>
      <c r="S10249" s="11"/>
      <c r="T10249" s="11"/>
    </row>
    <row r="10250" spans="8:20" x14ac:dyDescent="0.35">
      <c r="H10250" s="711"/>
      <c r="I10250" s="711"/>
      <c r="J10250" s="711"/>
      <c r="K10250" s="711"/>
      <c r="L10250" s="711"/>
      <c r="Q10250" s="11"/>
      <c r="R10250" s="11"/>
      <c r="S10250" s="11"/>
      <c r="T10250" s="11"/>
    </row>
    <row r="10251" spans="8:20" x14ac:dyDescent="0.35">
      <c r="H10251" s="711"/>
      <c r="I10251" s="711"/>
      <c r="J10251" s="711"/>
      <c r="K10251" s="711"/>
      <c r="L10251" s="711"/>
      <c r="Q10251" s="11"/>
      <c r="R10251" s="11"/>
      <c r="S10251" s="11"/>
      <c r="T10251" s="11"/>
    </row>
    <row r="10252" spans="8:20" x14ac:dyDescent="0.35">
      <c r="H10252" s="711"/>
      <c r="I10252" s="711"/>
      <c r="J10252" s="711"/>
      <c r="K10252" s="711"/>
      <c r="L10252" s="711"/>
      <c r="Q10252" s="11"/>
      <c r="R10252" s="11"/>
      <c r="S10252" s="11"/>
      <c r="T10252" s="11"/>
    </row>
    <row r="10253" spans="8:20" x14ac:dyDescent="0.35">
      <c r="H10253" s="711"/>
      <c r="I10253" s="711"/>
      <c r="J10253" s="711"/>
      <c r="K10253" s="711"/>
      <c r="L10253" s="711"/>
      <c r="Q10253" s="11"/>
      <c r="R10253" s="11"/>
      <c r="S10253" s="11"/>
      <c r="T10253" s="11"/>
    </row>
    <row r="10254" spans="8:20" x14ac:dyDescent="0.35">
      <c r="H10254" s="711"/>
      <c r="I10254" s="711"/>
      <c r="J10254" s="711"/>
      <c r="K10254" s="711"/>
      <c r="L10254" s="711"/>
      <c r="Q10254" s="11"/>
      <c r="R10254" s="11"/>
      <c r="S10254" s="11"/>
      <c r="T10254" s="11"/>
    </row>
    <row r="10255" spans="8:20" x14ac:dyDescent="0.35">
      <c r="H10255" s="711"/>
      <c r="I10255" s="711"/>
      <c r="J10255" s="711"/>
      <c r="K10255" s="711"/>
      <c r="L10255" s="711"/>
      <c r="Q10255" s="11"/>
      <c r="R10255" s="11"/>
      <c r="S10255" s="11"/>
      <c r="T10255" s="11"/>
    </row>
    <row r="10256" spans="8:20" x14ac:dyDescent="0.35">
      <c r="H10256" s="711"/>
      <c r="I10256" s="711"/>
      <c r="J10256" s="711"/>
      <c r="K10256" s="711"/>
      <c r="L10256" s="711"/>
      <c r="Q10256" s="11"/>
      <c r="R10256" s="11"/>
      <c r="S10256" s="11"/>
      <c r="T10256" s="11"/>
    </row>
    <row r="10257" spans="8:20" x14ac:dyDescent="0.35">
      <c r="H10257" s="711"/>
      <c r="I10257" s="711"/>
      <c r="J10257" s="711"/>
      <c r="K10257" s="711"/>
      <c r="L10257" s="711"/>
      <c r="Q10257" s="11"/>
      <c r="R10257" s="11"/>
      <c r="S10257" s="11"/>
      <c r="T10257" s="11"/>
    </row>
    <row r="10258" spans="8:20" x14ac:dyDescent="0.35">
      <c r="H10258" s="711"/>
      <c r="I10258" s="711"/>
      <c r="J10258" s="711"/>
      <c r="K10258" s="711"/>
      <c r="L10258" s="711"/>
      <c r="Q10258" s="11"/>
      <c r="R10258" s="11"/>
      <c r="S10258" s="11"/>
      <c r="T10258" s="11"/>
    </row>
    <row r="10259" spans="8:20" x14ac:dyDescent="0.35">
      <c r="H10259" s="711"/>
      <c r="I10259" s="711"/>
      <c r="J10259" s="711"/>
      <c r="K10259" s="711"/>
      <c r="L10259" s="711"/>
      <c r="Q10259" s="11"/>
      <c r="R10259" s="11"/>
      <c r="S10259" s="11"/>
      <c r="T10259" s="11"/>
    </row>
    <row r="10260" spans="8:20" x14ac:dyDescent="0.35">
      <c r="H10260" s="711"/>
      <c r="I10260" s="711"/>
      <c r="J10260" s="711"/>
      <c r="K10260" s="711"/>
      <c r="L10260" s="711"/>
      <c r="Q10260" s="11"/>
      <c r="R10260" s="11"/>
      <c r="S10260" s="11"/>
      <c r="T10260" s="11"/>
    </row>
    <row r="10261" spans="8:20" x14ac:dyDescent="0.35">
      <c r="H10261" s="711"/>
      <c r="I10261" s="711"/>
      <c r="J10261" s="711"/>
      <c r="K10261" s="711"/>
      <c r="L10261" s="711"/>
      <c r="Q10261" s="11"/>
      <c r="R10261" s="11"/>
      <c r="S10261" s="11"/>
      <c r="T10261" s="11"/>
    </row>
    <row r="10262" spans="8:20" x14ac:dyDescent="0.35">
      <c r="H10262" s="711"/>
      <c r="I10262" s="711"/>
      <c r="J10262" s="711"/>
      <c r="K10262" s="711"/>
      <c r="L10262" s="711"/>
      <c r="Q10262" s="11"/>
      <c r="R10262" s="11"/>
      <c r="S10262" s="11"/>
      <c r="T10262" s="11"/>
    </row>
    <row r="10263" spans="8:20" x14ac:dyDescent="0.35">
      <c r="H10263" s="711"/>
      <c r="I10263" s="711"/>
      <c r="J10263" s="711"/>
      <c r="K10263" s="711"/>
      <c r="L10263" s="711"/>
      <c r="Q10263" s="11"/>
      <c r="R10263" s="11"/>
      <c r="S10263" s="11"/>
      <c r="T10263" s="11"/>
    </row>
    <row r="10264" spans="8:20" x14ac:dyDescent="0.35">
      <c r="H10264" s="711"/>
      <c r="I10264" s="711"/>
      <c r="J10264" s="711"/>
      <c r="K10264" s="711"/>
      <c r="L10264" s="711"/>
      <c r="Q10264" s="11"/>
      <c r="R10264" s="11"/>
      <c r="S10264" s="11"/>
      <c r="T10264" s="11"/>
    </row>
    <row r="10265" spans="8:20" x14ac:dyDescent="0.35">
      <c r="H10265" s="711"/>
      <c r="I10265" s="711"/>
      <c r="J10265" s="711"/>
      <c r="K10265" s="711"/>
      <c r="L10265" s="711"/>
      <c r="Q10265" s="11"/>
      <c r="R10265" s="11"/>
      <c r="S10265" s="11"/>
      <c r="T10265" s="11"/>
    </row>
    <row r="10266" spans="8:20" x14ac:dyDescent="0.35">
      <c r="H10266" s="711"/>
      <c r="I10266" s="711"/>
      <c r="J10266" s="711"/>
      <c r="K10266" s="711"/>
      <c r="L10266" s="711"/>
      <c r="Q10266" s="11"/>
      <c r="R10266" s="11"/>
      <c r="S10266" s="11"/>
      <c r="T10266" s="11"/>
    </row>
    <row r="10267" spans="8:20" x14ac:dyDescent="0.35">
      <c r="H10267" s="711"/>
      <c r="I10267" s="711"/>
      <c r="J10267" s="711"/>
      <c r="K10267" s="711"/>
      <c r="L10267" s="711"/>
      <c r="Q10267" s="11"/>
      <c r="R10267" s="11"/>
      <c r="S10267" s="11"/>
      <c r="T10267" s="11"/>
    </row>
    <row r="10268" spans="8:20" x14ac:dyDescent="0.35">
      <c r="H10268" s="711"/>
      <c r="I10268" s="711"/>
      <c r="J10268" s="711"/>
      <c r="K10268" s="711"/>
      <c r="L10268" s="711"/>
      <c r="Q10268" s="11"/>
      <c r="R10268" s="11"/>
      <c r="S10268" s="11"/>
      <c r="T10268" s="11"/>
    </row>
    <row r="10269" spans="8:20" x14ac:dyDescent="0.35">
      <c r="H10269" s="711"/>
      <c r="I10269" s="711"/>
      <c r="J10269" s="711"/>
      <c r="K10269" s="711"/>
      <c r="L10269" s="711"/>
      <c r="Q10269" s="11"/>
      <c r="R10269" s="11"/>
      <c r="S10269" s="11"/>
      <c r="T10269" s="11"/>
    </row>
    <row r="10270" spans="8:20" x14ac:dyDescent="0.35">
      <c r="H10270" s="711"/>
      <c r="I10270" s="711"/>
      <c r="J10270" s="711"/>
      <c r="K10270" s="711"/>
      <c r="L10270" s="711"/>
      <c r="Q10270" s="11"/>
      <c r="R10270" s="11"/>
      <c r="S10270" s="11"/>
      <c r="T10270" s="11"/>
    </row>
    <row r="10271" spans="8:20" x14ac:dyDescent="0.35">
      <c r="H10271" s="711"/>
      <c r="I10271" s="711"/>
      <c r="J10271" s="711"/>
      <c r="K10271" s="711"/>
      <c r="L10271" s="711"/>
      <c r="Q10271" s="11"/>
      <c r="R10271" s="11"/>
      <c r="S10271" s="11"/>
      <c r="T10271" s="11"/>
    </row>
    <row r="10272" spans="8:20" x14ac:dyDescent="0.35">
      <c r="H10272" s="711"/>
      <c r="I10272" s="711"/>
      <c r="J10272" s="711"/>
      <c r="K10272" s="711"/>
      <c r="L10272" s="711"/>
      <c r="Q10272" s="11"/>
      <c r="R10272" s="11"/>
      <c r="S10272" s="11"/>
      <c r="T10272" s="11"/>
    </row>
    <row r="10273" spans="8:20" x14ac:dyDescent="0.35">
      <c r="H10273" s="711"/>
      <c r="I10273" s="711"/>
      <c r="J10273" s="711"/>
      <c r="K10273" s="711"/>
      <c r="L10273" s="711"/>
      <c r="Q10273" s="11"/>
      <c r="R10273" s="11"/>
      <c r="S10273" s="11"/>
      <c r="T10273" s="11"/>
    </row>
    <row r="10274" spans="8:20" x14ac:dyDescent="0.35">
      <c r="H10274" s="711"/>
      <c r="I10274" s="711"/>
      <c r="J10274" s="711"/>
      <c r="K10274" s="711"/>
      <c r="L10274" s="711"/>
      <c r="Q10274" s="11"/>
      <c r="R10274" s="11"/>
      <c r="S10274" s="11"/>
      <c r="T10274" s="11"/>
    </row>
    <row r="10275" spans="8:20" x14ac:dyDescent="0.35">
      <c r="H10275" s="711"/>
      <c r="I10275" s="711"/>
      <c r="J10275" s="711"/>
      <c r="K10275" s="711"/>
      <c r="L10275" s="711"/>
      <c r="Q10275" s="11"/>
      <c r="R10275" s="11"/>
      <c r="S10275" s="11"/>
      <c r="T10275" s="11"/>
    </row>
    <row r="10276" spans="8:20" x14ac:dyDescent="0.35">
      <c r="H10276" s="711"/>
      <c r="I10276" s="711"/>
      <c r="J10276" s="711"/>
      <c r="K10276" s="711"/>
      <c r="L10276" s="711"/>
      <c r="Q10276" s="11"/>
      <c r="R10276" s="11"/>
      <c r="S10276" s="11"/>
      <c r="T10276" s="11"/>
    </row>
    <row r="10277" spans="8:20" x14ac:dyDescent="0.35">
      <c r="H10277" s="711"/>
      <c r="I10277" s="711"/>
      <c r="J10277" s="711"/>
      <c r="K10277" s="711"/>
      <c r="L10277" s="711"/>
      <c r="Q10277" s="11"/>
      <c r="R10277" s="11"/>
      <c r="S10277" s="11"/>
      <c r="T10277" s="11"/>
    </row>
    <row r="10278" spans="8:20" x14ac:dyDescent="0.35">
      <c r="H10278" s="711"/>
      <c r="I10278" s="711"/>
      <c r="J10278" s="711"/>
      <c r="K10278" s="711"/>
      <c r="L10278" s="711"/>
      <c r="Q10278" s="11"/>
      <c r="R10278" s="11"/>
      <c r="S10278" s="11"/>
      <c r="T10278" s="11"/>
    </row>
    <row r="10279" spans="8:20" x14ac:dyDescent="0.35">
      <c r="H10279" s="711"/>
      <c r="I10279" s="711"/>
      <c r="J10279" s="711"/>
      <c r="K10279" s="711"/>
      <c r="L10279" s="711"/>
      <c r="Q10279" s="11"/>
      <c r="R10279" s="11"/>
      <c r="S10279" s="11"/>
      <c r="T10279" s="11"/>
    </row>
    <row r="10280" spans="8:20" x14ac:dyDescent="0.35">
      <c r="H10280" s="711"/>
      <c r="I10280" s="711"/>
      <c r="J10280" s="711"/>
      <c r="K10280" s="711"/>
      <c r="L10280" s="711"/>
      <c r="Q10280" s="11"/>
      <c r="R10280" s="11"/>
      <c r="S10280" s="11"/>
      <c r="T10280" s="11"/>
    </row>
    <row r="10281" spans="8:20" x14ac:dyDescent="0.35">
      <c r="H10281" s="711"/>
      <c r="I10281" s="711"/>
      <c r="J10281" s="711"/>
      <c r="K10281" s="711"/>
      <c r="L10281" s="711"/>
      <c r="Q10281" s="11"/>
      <c r="R10281" s="11"/>
      <c r="S10281" s="11"/>
      <c r="T10281" s="11"/>
    </row>
    <row r="10282" spans="8:20" x14ac:dyDescent="0.35">
      <c r="H10282" s="711"/>
      <c r="I10282" s="711"/>
      <c r="J10282" s="711"/>
      <c r="K10282" s="711"/>
      <c r="L10282" s="711"/>
      <c r="Q10282" s="11"/>
      <c r="R10282" s="11"/>
      <c r="S10282" s="11"/>
      <c r="T10282" s="11"/>
    </row>
    <row r="10283" spans="8:20" x14ac:dyDescent="0.35">
      <c r="H10283" s="711"/>
      <c r="I10283" s="711"/>
      <c r="J10283" s="711"/>
      <c r="K10283" s="711"/>
      <c r="L10283" s="711"/>
      <c r="Q10283" s="11"/>
      <c r="R10283" s="11"/>
      <c r="S10283" s="11"/>
      <c r="T10283" s="11"/>
    </row>
    <row r="10284" spans="8:20" x14ac:dyDescent="0.35">
      <c r="H10284" s="711"/>
      <c r="I10284" s="711"/>
      <c r="J10284" s="711"/>
      <c r="K10284" s="711"/>
      <c r="L10284" s="711"/>
      <c r="Q10284" s="11"/>
      <c r="R10284" s="11"/>
      <c r="S10284" s="11"/>
      <c r="T10284" s="11"/>
    </row>
    <row r="10285" spans="8:20" x14ac:dyDescent="0.35">
      <c r="H10285" s="711"/>
      <c r="I10285" s="711"/>
      <c r="J10285" s="711"/>
      <c r="K10285" s="711"/>
      <c r="L10285" s="711"/>
      <c r="Q10285" s="11"/>
      <c r="R10285" s="11"/>
      <c r="S10285" s="11"/>
      <c r="T10285" s="11"/>
    </row>
    <row r="10286" spans="8:20" x14ac:dyDescent="0.35">
      <c r="H10286" s="711"/>
      <c r="I10286" s="711"/>
      <c r="J10286" s="711"/>
      <c r="K10286" s="711"/>
      <c r="L10286" s="711"/>
      <c r="Q10286" s="11"/>
      <c r="R10286" s="11"/>
      <c r="S10286" s="11"/>
      <c r="T10286" s="11"/>
    </row>
    <row r="10287" spans="8:20" x14ac:dyDescent="0.35">
      <c r="H10287" s="711"/>
      <c r="I10287" s="711"/>
      <c r="J10287" s="711"/>
      <c r="K10287" s="711"/>
      <c r="L10287" s="711"/>
      <c r="Q10287" s="11"/>
      <c r="R10287" s="11"/>
      <c r="S10287" s="11"/>
      <c r="T10287" s="11"/>
    </row>
    <row r="10288" spans="8:20" x14ac:dyDescent="0.35">
      <c r="H10288" s="711"/>
      <c r="I10288" s="711"/>
      <c r="J10288" s="711"/>
      <c r="K10288" s="711"/>
      <c r="L10288" s="711"/>
      <c r="Q10288" s="11"/>
      <c r="R10288" s="11"/>
      <c r="S10288" s="11"/>
      <c r="T10288" s="11"/>
    </row>
    <row r="10289" spans="8:20" x14ac:dyDescent="0.35">
      <c r="H10289" s="711"/>
      <c r="I10289" s="711"/>
      <c r="J10289" s="711"/>
      <c r="K10289" s="711"/>
      <c r="L10289" s="711"/>
      <c r="Q10289" s="11"/>
      <c r="R10289" s="11"/>
      <c r="S10289" s="11"/>
      <c r="T10289" s="11"/>
    </row>
    <row r="10290" spans="8:20" x14ac:dyDescent="0.35">
      <c r="H10290" s="711"/>
      <c r="I10290" s="711"/>
      <c r="J10290" s="711"/>
      <c r="K10290" s="711"/>
      <c r="L10290" s="711"/>
      <c r="Q10290" s="11"/>
      <c r="R10290" s="11"/>
      <c r="S10290" s="11"/>
      <c r="T10290" s="11"/>
    </row>
    <row r="10291" spans="8:20" x14ac:dyDescent="0.35">
      <c r="H10291" s="711"/>
      <c r="I10291" s="711"/>
      <c r="J10291" s="711"/>
      <c r="K10291" s="711"/>
      <c r="L10291" s="711"/>
      <c r="Q10291" s="11"/>
      <c r="R10291" s="11"/>
      <c r="S10291" s="11"/>
      <c r="T10291" s="11"/>
    </row>
    <row r="10292" spans="8:20" x14ac:dyDescent="0.35">
      <c r="H10292" s="711"/>
      <c r="I10292" s="711"/>
      <c r="J10292" s="711"/>
      <c r="K10292" s="711"/>
      <c r="L10292" s="711"/>
      <c r="Q10292" s="11"/>
      <c r="R10292" s="11"/>
      <c r="S10292" s="11"/>
      <c r="T10292" s="11"/>
    </row>
    <row r="10293" spans="8:20" x14ac:dyDescent="0.35">
      <c r="H10293" s="711"/>
      <c r="I10293" s="711"/>
      <c r="J10293" s="711"/>
      <c r="K10293" s="711"/>
      <c r="L10293" s="711"/>
      <c r="Q10293" s="11"/>
      <c r="R10293" s="11"/>
      <c r="S10293" s="11"/>
      <c r="T10293" s="11"/>
    </row>
    <row r="10294" spans="8:20" x14ac:dyDescent="0.35">
      <c r="H10294" s="711"/>
      <c r="I10294" s="711"/>
      <c r="J10294" s="711"/>
      <c r="K10294" s="711"/>
      <c r="L10294" s="711"/>
      <c r="Q10294" s="11"/>
      <c r="R10294" s="11"/>
      <c r="S10294" s="11"/>
      <c r="T10294" s="11"/>
    </row>
    <row r="10295" spans="8:20" x14ac:dyDescent="0.35">
      <c r="H10295" s="711"/>
      <c r="I10295" s="711"/>
      <c r="J10295" s="711"/>
      <c r="K10295" s="711"/>
      <c r="L10295" s="711"/>
      <c r="Q10295" s="11"/>
      <c r="R10295" s="11"/>
      <c r="S10295" s="11"/>
      <c r="T10295" s="11"/>
    </row>
    <row r="10296" spans="8:20" x14ac:dyDescent="0.35">
      <c r="H10296" s="711"/>
      <c r="I10296" s="711"/>
      <c r="J10296" s="711"/>
      <c r="K10296" s="711"/>
      <c r="L10296" s="711"/>
      <c r="Q10296" s="11"/>
      <c r="R10296" s="11"/>
      <c r="S10296" s="11"/>
      <c r="T10296" s="11"/>
    </row>
    <row r="10297" spans="8:20" x14ac:dyDescent="0.35">
      <c r="H10297" s="711"/>
      <c r="I10297" s="711"/>
      <c r="J10297" s="711"/>
      <c r="K10297" s="711"/>
      <c r="L10297" s="711"/>
      <c r="Q10297" s="11"/>
      <c r="R10297" s="11"/>
      <c r="S10297" s="11"/>
      <c r="T10297" s="11"/>
    </row>
    <row r="10298" spans="8:20" x14ac:dyDescent="0.35">
      <c r="H10298" s="711"/>
      <c r="I10298" s="711"/>
      <c r="J10298" s="711"/>
      <c r="K10298" s="711"/>
      <c r="L10298" s="711"/>
      <c r="Q10298" s="11"/>
      <c r="R10298" s="11"/>
      <c r="S10298" s="11"/>
      <c r="T10298" s="11"/>
    </row>
    <row r="10299" spans="8:20" x14ac:dyDescent="0.35">
      <c r="H10299" s="711"/>
      <c r="I10299" s="711"/>
      <c r="J10299" s="711"/>
      <c r="K10299" s="711"/>
      <c r="L10299" s="711"/>
      <c r="Q10299" s="11"/>
      <c r="R10299" s="11"/>
      <c r="S10299" s="11"/>
      <c r="T10299" s="11"/>
    </row>
    <row r="10300" spans="8:20" x14ac:dyDescent="0.35">
      <c r="H10300" s="711"/>
      <c r="I10300" s="711"/>
      <c r="J10300" s="711"/>
      <c r="K10300" s="711"/>
      <c r="L10300" s="711"/>
      <c r="Q10300" s="11"/>
      <c r="R10300" s="11"/>
      <c r="S10300" s="11"/>
      <c r="T10300" s="11"/>
    </row>
    <row r="10301" spans="8:20" x14ac:dyDescent="0.35">
      <c r="H10301" s="711"/>
      <c r="I10301" s="711"/>
      <c r="J10301" s="711"/>
      <c r="K10301" s="711"/>
      <c r="L10301" s="711"/>
      <c r="Q10301" s="11"/>
      <c r="R10301" s="11"/>
      <c r="S10301" s="11"/>
      <c r="T10301" s="11"/>
    </row>
    <row r="10302" spans="8:20" x14ac:dyDescent="0.35">
      <c r="H10302" s="711"/>
      <c r="I10302" s="711"/>
      <c r="J10302" s="711"/>
      <c r="K10302" s="711"/>
      <c r="L10302" s="711"/>
      <c r="Q10302" s="11"/>
      <c r="R10302" s="11"/>
      <c r="S10302" s="11"/>
      <c r="T10302" s="11"/>
    </row>
    <row r="10303" spans="8:20" x14ac:dyDescent="0.35">
      <c r="H10303" s="711"/>
      <c r="I10303" s="711"/>
      <c r="J10303" s="711"/>
      <c r="K10303" s="711"/>
      <c r="L10303" s="711"/>
      <c r="Q10303" s="11"/>
      <c r="R10303" s="11"/>
      <c r="S10303" s="11"/>
      <c r="T10303" s="11"/>
    </row>
    <row r="10304" spans="8:20" x14ac:dyDescent="0.35">
      <c r="H10304" s="711"/>
      <c r="I10304" s="711"/>
      <c r="J10304" s="711"/>
      <c r="K10304" s="711"/>
      <c r="L10304" s="711"/>
      <c r="Q10304" s="11"/>
      <c r="R10304" s="11"/>
      <c r="S10304" s="11"/>
      <c r="T10304" s="11"/>
    </row>
    <row r="10305" spans="8:20" x14ac:dyDescent="0.35">
      <c r="H10305" s="711"/>
      <c r="I10305" s="711"/>
      <c r="J10305" s="711"/>
      <c r="K10305" s="711"/>
      <c r="L10305" s="711"/>
      <c r="Q10305" s="11"/>
      <c r="R10305" s="11"/>
      <c r="S10305" s="11"/>
      <c r="T10305" s="11"/>
    </row>
    <row r="10306" spans="8:20" x14ac:dyDescent="0.35">
      <c r="H10306" s="711"/>
      <c r="I10306" s="711"/>
      <c r="J10306" s="711"/>
      <c r="K10306" s="711"/>
      <c r="L10306" s="711"/>
      <c r="Q10306" s="11"/>
      <c r="R10306" s="11"/>
      <c r="S10306" s="11"/>
      <c r="T10306" s="11"/>
    </row>
    <row r="10307" spans="8:20" x14ac:dyDescent="0.35">
      <c r="H10307" s="711"/>
      <c r="I10307" s="711"/>
      <c r="J10307" s="711"/>
      <c r="K10307" s="711"/>
      <c r="L10307" s="711"/>
      <c r="Q10307" s="11"/>
      <c r="R10307" s="11"/>
      <c r="S10307" s="11"/>
      <c r="T10307" s="11"/>
    </row>
    <row r="10308" spans="8:20" x14ac:dyDescent="0.35">
      <c r="H10308" s="711"/>
      <c r="I10308" s="711"/>
      <c r="J10308" s="711"/>
      <c r="K10308" s="711"/>
      <c r="L10308" s="711"/>
      <c r="Q10308" s="11"/>
      <c r="R10308" s="11"/>
      <c r="S10308" s="11"/>
      <c r="T10308" s="11"/>
    </row>
    <row r="10309" spans="8:20" x14ac:dyDescent="0.35">
      <c r="H10309" s="711"/>
      <c r="I10309" s="711"/>
      <c r="J10309" s="711"/>
      <c r="K10309" s="711"/>
      <c r="L10309" s="711"/>
      <c r="Q10309" s="11"/>
      <c r="R10309" s="11"/>
      <c r="S10309" s="11"/>
      <c r="T10309" s="11"/>
    </row>
    <row r="10310" spans="8:20" x14ac:dyDescent="0.35">
      <c r="H10310" s="711"/>
      <c r="I10310" s="711"/>
      <c r="J10310" s="711"/>
      <c r="K10310" s="711"/>
      <c r="L10310" s="711"/>
      <c r="Q10310" s="11"/>
      <c r="R10310" s="11"/>
      <c r="S10310" s="11"/>
      <c r="T10310" s="11"/>
    </row>
    <row r="10311" spans="8:20" x14ac:dyDescent="0.35">
      <c r="H10311" s="711"/>
      <c r="I10311" s="711"/>
      <c r="J10311" s="711"/>
      <c r="K10311" s="711"/>
      <c r="L10311" s="711"/>
      <c r="Q10311" s="11"/>
      <c r="R10311" s="11"/>
      <c r="S10311" s="11"/>
      <c r="T10311" s="11"/>
    </row>
    <row r="10312" spans="8:20" x14ac:dyDescent="0.35">
      <c r="H10312" s="711"/>
      <c r="I10312" s="711"/>
      <c r="J10312" s="711"/>
      <c r="K10312" s="711"/>
      <c r="L10312" s="711"/>
      <c r="Q10312" s="11"/>
      <c r="R10312" s="11"/>
      <c r="S10312" s="11"/>
      <c r="T10312" s="11"/>
    </row>
    <row r="10313" spans="8:20" x14ac:dyDescent="0.35">
      <c r="H10313" s="711"/>
      <c r="I10313" s="711"/>
      <c r="J10313" s="711"/>
      <c r="K10313" s="711"/>
      <c r="L10313" s="711"/>
      <c r="Q10313" s="11"/>
      <c r="R10313" s="11"/>
      <c r="S10313" s="11"/>
      <c r="T10313" s="11"/>
    </row>
    <row r="10314" spans="8:20" x14ac:dyDescent="0.35">
      <c r="H10314" s="711"/>
      <c r="I10314" s="711"/>
      <c r="J10314" s="711"/>
      <c r="K10314" s="711"/>
      <c r="L10314" s="711"/>
      <c r="Q10314" s="11"/>
      <c r="R10314" s="11"/>
      <c r="S10314" s="11"/>
      <c r="T10314" s="11"/>
    </row>
    <row r="10315" spans="8:20" x14ac:dyDescent="0.35">
      <c r="H10315" s="711"/>
      <c r="I10315" s="711"/>
      <c r="J10315" s="711"/>
      <c r="K10315" s="711"/>
      <c r="L10315" s="711"/>
      <c r="Q10315" s="11"/>
      <c r="R10315" s="11"/>
      <c r="S10315" s="11"/>
      <c r="T10315" s="11"/>
    </row>
    <row r="10316" spans="8:20" x14ac:dyDescent="0.35">
      <c r="H10316" s="711"/>
      <c r="I10316" s="711"/>
      <c r="J10316" s="711"/>
      <c r="K10316" s="711"/>
      <c r="L10316" s="711"/>
      <c r="Q10316" s="11"/>
      <c r="R10316" s="11"/>
      <c r="S10316" s="11"/>
      <c r="T10316" s="11"/>
    </row>
    <row r="10317" spans="8:20" x14ac:dyDescent="0.35">
      <c r="H10317" s="711"/>
      <c r="I10317" s="711"/>
      <c r="J10317" s="711"/>
      <c r="K10317" s="711"/>
      <c r="L10317" s="711"/>
      <c r="Q10317" s="11"/>
      <c r="R10317" s="11"/>
      <c r="S10317" s="11"/>
      <c r="T10317" s="11"/>
    </row>
    <row r="10318" spans="8:20" x14ac:dyDescent="0.35">
      <c r="H10318" s="711"/>
      <c r="I10318" s="711"/>
      <c r="J10318" s="711"/>
      <c r="K10318" s="711"/>
      <c r="L10318" s="711"/>
      <c r="Q10318" s="11"/>
      <c r="R10318" s="11"/>
      <c r="S10318" s="11"/>
      <c r="T10318" s="11"/>
    </row>
    <row r="10319" spans="8:20" x14ac:dyDescent="0.35">
      <c r="H10319" s="711"/>
      <c r="I10319" s="711"/>
      <c r="J10319" s="711"/>
      <c r="K10319" s="711"/>
      <c r="L10319" s="711"/>
      <c r="Q10319" s="11"/>
      <c r="R10319" s="11"/>
      <c r="S10319" s="11"/>
      <c r="T10319" s="11"/>
    </row>
    <row r="10320" spans="8:20" x14ac:dyDescent="0.35">
      <c r="H10320" s="711"/>
      <c r="I10320" s="711"/>
      <c r="J10320" s="711"/>
      <c r="K10320" s="711"/>
      <c r="L10320" s="711"/>
      <c r="Q10320" s="11"/>
      <c r="R10320" s="11"/>
      <c r="S10320" s="11"/>
      <c r="T10320" s="11"/>
    </row>
    <row r="10321" spans="8:20" x14ac:dyDescent="0.35">
      <c r="H10321" s="711"/>
      <c r="I10321" s="711"/>
      <c r="J10321" s="711"/>
      <c r="K10321" s="711"/>
      <c r="L10321" s="711"/>
      <c r="Q10321" s="11"/>
      <c r="R10321" s="11"/>
      <c r="S10321" s="11"/>
      <c r="T10321" s="11"/>
    </row>
    <row r="10322" spans="8:20" x14ac:dyDescent="0.35">
      <c r="H10322" s="711"/>
      <c r="I10322" s="711"/>
      <c r="J10322" s="711"/>
      <c r="K10322" s="711"/>
      <c r="L10322" s="711"/>
      <c r="Q10322" s="11"/>
      <c r="R10322" s="11"/>
      <c r="S10322" s="11"/>
      <c r="T10322" s="11"/>
    </row>
    <row r="10323" spans="8:20" x14ac:dyDescent="0.35">
      <c r="H10323" s="711"/>
      <c r="I10323" s="711"/>
      <c r="J10323" s="711"/>
      <c r="K10323" s="711"/>
      <c r="L10323" s="711"/>
      <c r="Q10323" s="11"/>
      <c r="R10323" s="11"/>
      <c r="S10323" s="11"/>
      <c r="T10323" s="11"/>
    </row>
    <row r="10324" spans="8:20" x14ac:dyDescent="0.35">
      <c r="H10324" s="711"/>
      <c r="I10324" s="711"/>
      <c r="J10324" s="711"/>
      <c r="K10324" s="711"/>
      <c r="L10324" s="711"/>
      <c r="Q10324" s="11"/>
      <c r="R10324" s="11"/>
      <c r="S10324" s="11"/>
      <c r="T10324" s="11"/>
    </row>
    <row r="10325" spans="8:20" x14ac:dyDescent="0.35">
      <c r="H10325" s="711"/>
      <c r="I10325" s="711"/>
      <c r="J10325" s="711"/>
      <c r="K10325" s="711"/>
      <c r="L10325" s="711"/>
      <c r="Q10325" s="11"/>
      <c r="R10325" s="11"/>
      <c r="S10325" s="11"/>
      <c r="T10325" s="11"/>
    </row>
    <row r="10326" spans="8:20" x14ac:dyDescent="0.35">
      <c r="H10326" s="711"/>
      <c r="I10326" s="711"/>
      <c r="J10326" s="711"/>
      <c r="K10326" s="711"/>
      <c r="L10326" s="711"/>
      <c r="Q10326" s="11"/>
      <c r="R10326" s="11"/>
      <c r="S10326" s="11"/>
      <c r="T10326" s="11"/>
    </row>
    <row r="10327" spans="8:20" x14ac:dyDescent="0.35">
      <c r="H10327" s="711"/>
      <c r="I10327" s="711"/>
      <c r="J10327" s="711"/>
      <c r="K10327" s="711"/>
      <c r="L10327" s="711"/>
      <c r="Q10327" s="11"/>
      <c r="R10327" s="11"/>
      <c r="S10327" s="11"/>
      <c r="T10327" s="11"/>
    </row>
    <row r="10328" spans="8:20" x14ac:dyDescent="0.35">
      <c r="H10328" s="711"/>
      <c r="I10328" s="711"/>
      <c r="J10328" s="711"/>
      <c r="K10328" s="711"/>
      <c r="L10328" s="711"/>
      <c r="Q10328" s="11"/>
      <c r="R10328" s="11"/>
      <c r="S10328" s="11"/>
      <c r="T10328" s="11"/>
    </row>
    <row r="10329" spans="8:20" x14ac:dyDescent="0.35">
      <c r="H10329" s="711"/>
      <c r="I10329" s="711"/>
      <c r="J10329" s="711"/>
      <c r="K10329" s="711"/>
      <c r="L10329" s="711"/>
      <c r="Q10329" s="11"/>
      <c r="R10329" s="11"/>
      <c r="S10329" s="11"/>
      <c r="T10329" s="11"/>
    </row>
    <row r="10330" spans="8:20" x14ac:dyDescent="0.35">
      <c r="H10330" s="711"/>
      <c r="I10330" s="711"/>
      <c r="J10330" s="711"/>
      <c r="K10330" s="711"/>
      <c r="L10330" s="711"/>
      <c r="Q10330" s="11"/>
      <c r="R10330" s="11"/>
      <c r="S10330" s="11"/>
      <c r="T10330" s="11"/>
    </row>
    <row r="10331" spans="8:20" x14ac:dyDescent="0.35">
      <c r="H10331" s="711"/>
      <c r="I10331" s="711"/>
      <c r="J10331" s="711"/>
      <c r="K10331" s="711"/>
      <c r="L10331" s="711"/>
      <c r="Q10331" s="11"/>
      <c r="R10331" s="11"/>
      <c r="S10331" s="11"/>
      <c r="T10331" s="11"/>
    </row>
    <row r="10332" spans="8:20" x14ac:dyDescent="0.35">
      <c r="H10332" s="711"/>
      <c r="I10332" s="711"/>
      <c r="J10332" s="711"/>
      <c r="K10332" s="711"/>
      <c r="L10332" s="711"/>
      <c r="Q10332" s="11"/>
      <c r="R10332" s="11"/>
      <c r="S10332" s="11"/>
      <c r="T10332" s="11"/>
    </row>
    <row r="10333" spans="8:20" x14ac:dyDescent="0.35">
      <c r="H10333" s="711"/>
      <c r="I10333" s="711"/>
      <c r="J10333" s="711"/>
      <c r="K10333" s="711"/>
      <c r="L10333" s="711"/>
      <c r="Q10333" s="11"/>
      <c r="R10333" s="11"/>
      <c r="S10333" s="11"/>
      <c r="T10333" s="11"/>
    </row>
    <row r="10334" spans="8:20" x14ac:dyDescent="0.35">
      <c r="H10334" s="711"/>
      <c r="I10334" s="711"/>
      <c r="J10334" s="711"/>
      <c r="K10334" s="711"/>
      <c r="L10334" s="711"/>
      <c r="Q10334" s="11"/>
      <c r="R10334" s="11"/>
      <c r="S10334" s="11"/>
      <c r="T10334" s="11"/>
    </row>
    <row r="10335" spans="8:20" x14ac:dyDescent="0.35">
      <c r="H10335" s="711"/>
      <c r="I10335" s="711"/>
      <c r="J10335" s="711"/>
      <c r="K10335" s="711"/>
      <c r="L10335" s="711"/>
      <c r="Q10335" s="11"/>
      <c r="R10335" s="11"/>
      <c r="S10335" s="11"/>
      <c r="T10335" s="11"/>
    </row>
    <row r="10336" spans="8:20" x14ac:dyDescent="0.35">
      <c r="H10336" s="711"/>
      <c r="I10336" s="711"/>
      <c r="J10336" s="711"/>
      <c r="K10336" s="711"/>
      <c r="L10336" s="711"/>
      <c r="Q10336" s="11"/>
      <c r="R10336" s="11"/>
      <c r="S10336" s="11"/>
      <c r="T10336" s="11"/>
    </row>
    <row r="10337" spans="8:20" x14ac:dyDescent="0.35">
      <c r="H10337" s="711"/>
      <c r="I10337" s="711"/>
      <c r="J10337" s="711"/>
      <c r="K10337" s="711"/>
      <c r="L10337" s="711"/>
      <c r="Q10337" s="11"/>
      <c r="R10337" s="11"/>
      <c r="S10337" s="11"/>
      <c r="T10337" s="11"/>
    </row>
    <row r="10338" spans="8:20" x14ac:dyDescent="0.35">
      <c r="H10338" s="711"/>
      <c r="I10338" s="711"/>
      <c r="J10338" s="711"/>
      <c r="K10338" s="711"/>
      <c r="L10338" s="711"/>
      <c r="Q10338" s="11"/>
      <c r="R10338" s="11"/>
      <c r="S10338" s="11"/>
      <c r="T10338" s="11"/>
    </row>
    <row r="10339" spans="8:20" x14ac:dyDescent="0.35">
      <c r="H10339" s="711"/>
      <c r="I10339" s="711"/>
      <c r="J10339" s="711"/>
      <c r="K10339" s="711"/>
      <c r="L10339" s="711"/>
      <c r="Q10339" s="11"/>
      <c r="R10339" s="11"/>
      <c r="S10339" s="11"/>
      <c r="T10339" s="11"/>
    </row>
    <row r="10340" spans="8:20" x14ac:dyDescent="0.35">
      <c r="H10340" s="711"/>
      <c r="I10340" s="711"/>
      <c r="J10340" s="711"/>
      <c r="K10340" s="711"/>
      <c r="L10340" s="711"/>
      <c r="Q10340" s="11"/>
      <c r="R10340" s="11"/>
      <c r="S10340" s="11"/>
      <c r="T10340" s="11"/>
    </row>
    <row r="10341" spans="8:20" x14ac:dyDescent="0.35">
      <c r="H10341" s="711"/>
      <c r="I10341" s="711"/>
      <c r="J10341" s="711"/>
      <c r="K10341" s="711"/>
      <c r="L10341" s="711"/>
      <c r="Q10341" s="11"/>
      <c r="R10341" s="11"/>
      <c r="S10341" s="11"/>
      <c r="T10341" s="11"/>
    </row>
    <row r="10342" spans="8:20" x14ac:dyDescent="0.35">
      <c r="H10342" s="711"/>
      <c r="I10342" s="711"/>
      <c r="J10342" s="711"/>
      <c r="K10342" s="711"/>
      <c r="L10342" s="711"/>
      <c r="Q10342" s="11"/>
      <c r="R10342" s="11"/>
      <c r="S10342" s="11"/>
      <c r="T10342" s="11"/>
    </row>
    <row r="10343" spans="8:20" x14ac:dyDescent="0.35">
      <c r="H10343" s="711"/>
      <c r="I10343" s="711"/>
      <c r="J10343" s="711"/>
      <c r="K10343" s="711"/>
      <c r="L10343" s="711"/>
      <c r="Q10343" s="11"/>
      <c r="R10343" s="11"/>
      <c r="S10343" s="11"/>
      <c r="T10343" s="11"/>
    </row>
    <row r="10344" spans="8:20" x14ac:dyDescent="0.35">
      <c r="H10344" s="711"/>
      <c r="I10344" s="711"/>
      <c r="J10344" s="711"/>
      <c r="K10344" s="711"/>
      <c r="L10344" s="711"/>
      <c r="Q10344" s="11"/>
      <c r="R10344" s="11"/>
      <c r="S10344" s="11"/>
      <c r="T10344" s="11"/>
    </row>
    <row r="10345" spans="8:20" x14ac:dyDescent="0.35">
      <c r="H10345" s="711"/>
      <c r="I10345" s="711"/>
      <c r="J10345" s="711"/>
      <c r="K10345" s="711"/>
      <c r="L10345" s="711"/>
      <c r="Q10345" s="11"/>
      <c r="R10345" s="11"/>
      <c r="S10345" s="11"/>
      <c r="T10345" s="11"/>
    </row>
    <row r="10346" spans="8:20" x14ac:dyDescent="0.35">
      <c r="H10346" s="711"/>
      <c r="I10346" s="711"/>
      <c r="J10346" s="711"/>
      <c r="K10346" s="711"/>
      <c r="L10346" s="711"/>
      <c r="Q10346" s="11"/>
      <c r="R10346" s="11"/>
      <c r="S10346" s="11"/>
      <c r="T10346" s="11"/>
    </row>
    <row r="10347" spans="8:20" x14ac:dyDescent="0.35">
      <c r="H10347" s="711"/>
      <c r="I10347" s="711"/>
      <c r="J10347" s="711"/>
      <c r="K10347" s="711"/>
      <c r="L10347" s="711"/>
      <c r="Q10347" s="11"/>
      <c r="R10347" s="11"/>
      <c r="S10347" s="11"/>
      <c r="T10347" s="11"/>
    </row>
    <row r="10348" spans="8:20" x14ac:dyDescent="0.35">
      <c r="H10348" s="711"/>
      <c r="I10348" s="711"/>
      <c r="J10348" s="711"/>
      <c r="K10348" s="711"/>
      <c r="L10348" s="711"/>
      <c r="Q10348" s="11"/>
      <c r="R10348" s="11"/>
      <c r="S10348" s="11"/>
      <c r="T10348" s="11"/>
    </row>
    <row r="10349" spans="8:20" x14ac:dyDescent="0.35">
      <c r="H10349" s="711"/>
      <c r="I10349" s="711"/>
      <c r="J10349" s="711"/>
      <c r="K10349" s="711"/>
      <c r="L10349" s="711"/>
      <c r="Q10349" s="11"/>
      <c r="R10349" s="11"/>
      <c r="S10349" s="11"/>
      <c r="T10349" s="11"/>
    </row>
    <row r="10350" spans="8:20" x14ac:dyDescent="0.35">
      <c r="H10350" s="711"/>
      <c r="I10350" s="711"/>
      <c r="J10350" s="711"/>
      <c r="K10350" s="711"/>
      <c r="L10350" s="711"/>
      <c r="Q10350" s="11"/>
      <c r="R10350" s="11"/>
      <c r="S10350" s="11"/>
      <c r="T10350" s="11"/>
    </row>
    <row r="10351" spans="8:20" x14ac:dyDescent="0.35">
      <c r="H10351" s="711"/>
      <c r="I10351" s="711"/>
      <c r="J10351" s="711"/>
      <c r="K10351" s="711"/>
      <c r="L10351" s="711"/>
      <c r="Q10351" s="11"/>
      <c r="R10351" s="11"/>
      <c r="S10351" s="11"/>
      <c r="T10351" s="11"/>
    </row>
    <row r="10352" spans="8:20" x14ac:dyDescent="0.35">
      <c r="H10352" s="711"/>
      <c r="I10352" s="711"/>
      <c r="J10352" s="711"/>
      <c r="K10352" s="711"/>
      <c r="L10352" s="711"/>
      <c r="Q10352" s="11"/>
      <c r="R10352" s="11"/>
      <c r="S10352" s="11"/>
      <c r="T10352" s="11"/>
    </row>
    <row r="10353" spans="8:20" x14ac:dyDescent="0.35">
      <c r="H10353" s="711"/>
      <c r="I10353" s="711"/>
      <c r="J10353" s="711"/>
      <c r="K10353" s="711"/>
      <c r="L10353" s="711"/>
      <c r="Q10353" s="11"/>
      <c r="R10353" s="11"/>
      <c r="S10353" s="11"/>
      <c r="T10353" s="11"/>
    </row>
    <row r="10354" spans="8:20" x14ac:dyDescent="0.35">
      <c r="H10354" s="711"/>
      <c r="I10354" s="711"/>
      <c r="J10354" s="711"/>
      <c r="K10354" s="711"/>
      <c r="L10354" s="711"/>
      <c r="Q10354" s="11"/>
      <c r="R10354" s="11"/>
      <c r="S10354" s="11"/>
      <c r="T10354" s="11"/>
    </row>
    <row r="10355" spans="8:20" x14ac:dyDescent="0.35">
      <c r="H10355" s="711"/>
      <c r="I10355" s="711"/>
      <c r="J10355" s="711"/>
      <c r="K10355" s="711"/>
      <c r="L10355" s="711"/>
      <c r="Q10355" s="11"/>
      <c r="R10355" s="11"/>
      <c r="S10355" s="11"/>
      <c r="T10355" s="11"/>
    </row>
    <row r="10356" spans="8:20" x14ac:dyDescent="0.35">
      <c r="H10356" s="711"/>
      <c r="I10356" s="711"/>
      <c r="J10356" s="711"/>
      <c r="K10356" s="711"/>
      <c r="L10356" s="711"/>
      <c r="Q10356" s="11"/>
      <c r="R10356" s="11"/>
      <c r="S10356" s="11"/>
      <c r="T10356" s="11"/>
    </row>
    <row r="10357" spans="8:20" x14ac:dyDescent="0.35">
      <c r="H10357" s="711"/>
      <c r="I10357" s="711"/>
      <c r="J10357" s="711"/>
      <c r="K10357" s="711"/>
      <c r="L10357" s="711"/>
      <c r="Q10357" s="11"/>
      <c r="R10357" s="11"/>
      <c r="S10357" s="11"/>
      <c r="T10357" s="11"/>
    </row>
    <row r="10358" spans="8:20" x14ac:dyDescent="0.35">
      <c r="H10358" s="711"/>
      <c r="I10358" s="711"/>
      <c r="J10358" s="711"/>
      <c r="K10358" s="711"/>
      <c r="L10358" s="711"/>
      <c r="Q10358" s="11"/>
      <c r="R10358" s="11"/>
      <c r="S10358" s="11"/>
      <c r="T10358" s="11"/>
    </row>
    <row r="10359" spans="8:20" x14ac:dyDescent="0.35">
      <c r="H10359" s="711"/>
      <c r="I10359" s="711"/>
      <c r="J10359" s="711"/>
      <c r="K10359" s="711"/>
      <c r="L10359" s="711"/>
      <c r="Q10359" s="11"/>
      <c r="R10359" s="11"/>
      <c r="S10359" s="11"/>
      <c r="T10359" s="11"/>
    </row>
    <row r="10360" spans="8:20" x14ac:dyDescent="0.35">
      <c r="H10360" s="711"/>
      <c r="I10360" s="711"/>
      <c r="J10360" s="711"/>
      <c r="K10360" s="711"/>
      <c r="L10360" s="711"/>
      <c r="Q10360" s="11"/>
      <c r="R10360" s="11"/>
      <c r="S10360" s="11"/>
      <c r="T10360" s="11"/>
    </row>
    <row r="10361" spans="8:20" x14ac:dyDescent="0.35">
      <c r="H10361" s="711"/>
      <c r="I10361" s="711"/>
      <c r="J10361" s="711"/>
      <c r="K10361" s="711"/>
      <c r="L10361" s="711"/>
      <c r="Q10361" s="11"/>
      <c r="R10361" s="11"/>
      <c r="S10361" s="11"/>
      <c r="T10361" s="11"/>
    </row>
    <row r="10362" spans="8:20" x14ac:dyDescent="0.35">
      <c r="H10362" s="711"/>
      <c r="I10362" s="711"/>
      <c r="J10362" s="711"/>
      <c r="K10362" s="711"/>
      <c r="L10362" s="711"/>
      <c r="Q10362" s="11"/>
      <c r="R10362" s="11"/>
      <c r="S10362" s="11"/>
      <c r="T10362" s="11"/>
    </row>
    <row r="10363" spans="8:20" x14ac:dyDescent="0.35">
      <c r="H10363" s="711"/>
      <c r="I10363" s="711"/>
      <c r="J10363" s="711"/>
      <c r="K10363" s="711"/>
      <c r="L10363" s="711"/>
      <c r="Q10363" s="11"/>
      <c r="R10363" s="11"/>
      <c r="S10363" s="11"/>
      <c r="T10363" s="11"/>
    </row>
    <row r="10364" spans="8:20" x14ac:dyDescent="0.35">
      <c r="H10364" s="711"/>
      <c r="I10364" s="711"/>
      <c r="J10364" s="711"/>
      <c r="K10364" s="711"/>
      <c r="L10364" s="711"/>
      <c r="Q10364" s="11"/>
      <c r="R10364" s="11"/>
      <c r="S10364" s="11"/>
      <c r="T10364" s="11"/>
    </row>
    <row r="10365" spans="8:20" x14ac:dyDescent="0.35">
      <c r="H10365" s="711"/>
      <c r="I10365" s="711"/>
      <c r="J10365" s="711"/>
      <c r="K10365" s="711"/>
      <c r="L10365" s="711"/>
      <c r="Q10365" s="11"/>
      <c r="R10365" s="11"/>
      <c r="S10365" s="11"/>
      <c r="T10365" s="11"/>
    </row>
    <row r="10366" spans="8:20" x14ac:dyDescent="0.35">
      <c r="H10366" s="711"/>
      <c r="I10366" s="711"/>
      <c r="J10366" s="711"/>
      <c r="K10366" s="711"/>
      <c r="L10366" s="711"/>
      <c r="Q10366" s="11"/>
      <c r="R10366" s="11"/>
      <c r="S10366" s="11"/>
      <c r="T10366" s="11"/>
    </row>
    <row r="10367" spans="8:20" x14ac:dyDescent="0.35">
      <c r="H10367" s="711"/>
      <c r="I10367" s="711"/>
      <c r="J10367" s="711"/>
      <c r="K10367" s="711"/>
      <c r="L10367" s="711"/>
      <c r="Q10367" s="11"/>
      <c r="R10367" s="11"/>
      <c r="S10367" s="11"/>
      <c r="T10367" s="11"/>
    </row>
    <row r="10368" spans="8:20" x14ac:dyDescent="0.35">
      <c r="H10368" s="711"/>
      <c r="I10368" s="711"/>
      <c r="J10368" s="711"/>
      <c r="K10368" s="711"/>
      <c r="L10368" s="711"/>
      <c r="Q10368" s="11"/>
      <c r="R10368" s="11"/>
      <c r="S10368" s="11"/>
      <c r="T10368" s="11"/>
    </row>
    <row r="10369" spans="8:20" x14ac:dyDescent="0.35">
      <c r="H10369" s="711"/>
      <c r="I10369" s="711"/>
      <c r="J10369" s="711"/>
      <c r="K10369" s="711"/>
      <c r="L10369" s="711"/>
      <c r="Q10369" s="11"/>
      <c r="R10369" s="11"/>
      <c r="S10369" s="11"/>
      <c r="T10369" s="11"/>
    </row>
    <row r="10370" spans="8:20" x14ac:dyDescent="0.35">
      <c r="H10370" s="711"/>
      <c r="I10370" s="711"/>
      <c r="J10370" s="711"/>
      <c r="K10370" s="711"/>
      <c r="L10370" s="711"/>
      <c r="Q10370" s="11"/>
      <c r="R10370" s="11"/>
      <c r="S10370" s="11"/>
      <c r="T10370" s="11"/>
    </row>
    <row r="10371" spans="8:20" x14ac:dyDescent="0.35">
      <c r="H10371" s="711"/>
      <c r="I10371" s="711"/>
      <c r="J10371" s="711"/>
      <c r="K10371" s="711"/>
      <c r="L10371" s="711"/>
      <c r="Q10371" s="11"/>
      <c r="R10371" s="11"/>
      <c r="S10371" s="11"/>
      <c r="T10371" s="11"/>
    </row>
    <row r="10372" spans="8:20" x14ac:dyDescent="0.35">
      <c r="H10372" s="711"/>
      <c r="I10372" s="711"/>
      <c r="J10372" s="711"/>
      <c r="K10372" s="711"/>
      <c r="L10372" s="711"/>
      <c r="Q10372" s="11"/>
      <c r="R10372" s="11"/>
      <c r="S10372" s="11"/>
      <c r="T10372" s="11"/>
    </row>
    <row r="10373" spans="8:20" x14ac:dyDescent="0.35">
      <c r="H10373" s="711"/>
      <c r="I10373" s="711"/>
      <c r="J10373" s="711"/>
      <c r="K10373" s="711"/>
      <c r="L10373" s="711"/>
      <c r="Q10373" s="11"/>
      <c r="R10373" s="11"/>
      <c r="S10373" s="11"/>
      <c r="T10373" s="11"/>
    </row>
    <row r="10374" spans="8:20" x14ac:dyDescent="0.35">
      <c r="H10374" s="711"/>
      <c r="I10374" s="711"/>
      <c r="J10374" s="711"/>
      <c r="K10374" s="711"/>
      <c r="L10374" s="711"/>
      <c r="Q10374" s="11"/>
      <c r="R10374" s="11"/>
      <c r="S10374" s="11"/>
      <c r="T10374" s="11"/>
    </row>
    <row r="10375" spans="8:20" x14ac:dyDescent="0.35">
      <c r="H10375" s="711"/>
      <c r="I10375" s="711"/>
      <c r="J10375" s="711"/>
      <c r="K10375" s="711"/>
      <c r="L10375" s="711"/>
      <c r="Q10375" s="11"/>
      <c r="R10375" s="11"/>
      <c r="S10375" s="11"/>
      <c r="T10375" s="11"/>
    </row>
    <row r="10376" spans="8:20" x14ac:dyDescent="0.35">
      <c r="H10376" s="711"/>
      <c r="I10376" s="711"/>
      <c r="J10376" s="711"/>
      <c r="K10376" s="711"/>
      <c r="L10376" s="711"/>
      <c r="Q10376" s="11"/>
      <c r="R10376" s="11"/>
      <c r="S10376" s="11"/>
      <c r="T10376" s="11"/>
    </row>
    <row r="10377" spans="8:20" x14ac:dyDescent="0.35">
      <c r="H10377" s="711"/>
      <c r="I10377" s="711"/>
      <c r="J10377" s="711"/>
      <c r="K10377" s="711"/>
      <c r="L10377" s="711"/>
      <c r="Q10377" s="11"/>
      <c r="R10377" s="11"/>
      <c r="S10377" s="11"/>
      <c r="T10377" s="11"/>
    </row>
    <row r="10378" spans="8:20" x14ac:dyDescent="0.35">
      <c r="H10378" s="711"/>
      <c r="I10378" s="711"/>
      <c r="J10378" s="711"/>
      <c r="K10378" s="711"/>
      <c r="L10378" s="711"/>
      <c r="Q10378" s="11"/>
      <c r="R10378" s="11"/>
      <c r="S10378" s="11"/>
      <c r="T10378" s="11"/>
    </row>
    <row r="10379" spans="8:20" x14ac:dyDescent="0.35">
      <c r="H10379" s="711"/>
      <c r="I10379" s="711"/>
      <c r="J10379" s="711"/>
      <c r="K10379" s="711"/>
      <c r="L10379" s="711"/>
      <c r="Q10379" s="11"/>
      <c r="R10379" s="11"/>
      <c r="S10379" s="11"/>
      <c r="T10379" s="11"/>
    </row>
    <row r="10380" spans="8:20" x14ac:dyDescent="0.35">
      <c r="H10380" s="711"/>
      <c r="I10380" s="711"/>
      <c r="J10380" s="711"/>
      <c r="K10380" s="711"/>
      <c r="L10380" s="711"/>
      <c r="Q10380" s="11"/>
      <c r="R10380" s="11"/>
      <c r="S10380" s="11"/>
      <c r="T10380" s="11"/>
    </row>
    <row r="10381" spans="8:20" x14ac:dyDescent="0.35">
      <c r="H10381" s="711"/>
      <c r="I10381" s="711"/>
      <c r="J10381" s="711"/>
      <c r="K10381" s="711"/>
      <c r="L10381" s="711"/>
      <c r="Q10381" s="11"/>
      <c r="R10381" s="11"/>
      <c r="S10381" s="11"/>
      <c r="T10381" s="11"/>
    </row>
    <row r="10382" spans="8:20" x14ac:dyDescent="0.35">
      <c r="H10382" s="711"/>
      <c r="I10382" s="711"/>
      <c r="J10382" s="711"/>
      <c r="K10382" s="711"/>
      <c r="L10382" s="711"/>
      <c r="Q10382" s="11"/>
      <c r="R10382" s="11"/>
      <c r="S10382" s="11"/>
      <c r="T10382" s="11"/>
    </row>
    <row r="10383" spans="8:20" x14ac:dyDescent="0.35">
      <c r="H10383" s="711"/>
      <c r="I10383" s="711"/>
      <c r="J10383" s="711"/>
      <c r="K10383" s="711"/>
      <c r="L10383" s="711"/>
      <c r="Q10383" s="11"/>
      <c r="R10383" s="11"/>
      <c r="S10383" s="11"/>
      <c r="T10383" s="11"/>
    </row>
    <row r="10384" spans="8:20" x14ac:dyDescent="0.35">
      <c r="H10384" s="711"/>
      <c r="I10384" s="711"/>
      <c r="J10384" s="711"/>
      <c r="K10384" s="711"/>
      <c r="L10384" s="711"/>
      <c r="Q10384" s="11"/>
      <c r="R10384" s="11"/>
      <c r="S10384" s="11"/>
      <c r="T10384" s="11"/>
    </row>
    <row r="10385" spans="8:20" x14ac:dyDescent="0.35">
      <c r="H10385" s="711"/>
      <c r="I10385" s="711"/>
      <c r="J10385" s="711"/>
      <c r="K10385" s="711"/>
      <c r="L10385" s="711"/>
      <c r="Q10385" s="11"/>
      <c r="R10385" s="11"/>
      <c r="S10385" s="11"/>
      <c r="T10385" s="11"/>
    </row>
    <row r="10386" spans="8:20" x14ac:dyDescent="0.35">
      <c r="H10386" s="711"/>
      <c r="I10386" s="711"/>
      <c r="J10386" s="711"/>
      <c r="K10386" s="711"/>
      <c r="L10386" s="711"/>
      <c r="Q10386" s="11"/>
      <c r="R10386" s="11"/>
      <c r="S10386" s="11"/>
      <c r="T10386" s="11"/>
    </row>
    <row r="10387" spans="8:20" x14ac:dyDescent="0.35">
      <c r="H10387" s="711"/>
      <c r="I10387" s="711"/>
      <c r="J10387" s="711"/>
      <c r="K10387" s="711"/>
      <c r="L10387" s="711"/>
      <c r="Q10387" s="11"/>
      <c r="R10387" s="11"/>
      <c r="S10387" s="11"/>
      <c r="T10387" s="11"/>
    </row>
    <row r="10388" spans="8:20" x14ac:dyDescent="0.35">
      <c r="H10388" s="711"/>
      <c r="I10388" s="711"/>
      <c r="J10388" s="711"/>
      <c r="K10388" s="711"/>
      <c r="L10388" s="711"/>
      <c r="Q10388" s="11"/>
      <c r="R10388" s="11"/>
      <c r="S10388" s="11"/>
      <c r="T10388" s="11"/>
    </row>
    <row r="10389" spans="8:20" x14ac:dyDescent="0.35">
      <c r="H10389" s="711"/>
      <c r="I10389" s="711"/>
      <c r="J10389" s="711"/>
      <c r="K10389" s="711"/>
      <c r="L10389" s="711"/>
      <c r="Q10389" s="11"/>
      <c r="R10389" s="11"/>
      <c r="S10389" s="11"/>
      <c r="T10389" s="11"/>
    </row>
    <row r="10390" spans="8:20" x14ac:dyDescent="0.35">
      <c r="H10390" s="711"/>
      <c r="I10390" s="711"/>
      <c r="J10390" s="711"/>
      <c r="K10390" s="711"/>
      <c r="L10390" s="711"/>
      <c r="Q10390" s="11"/>
      <c r="R10390" s="11"/>
      <c r="S10390" s="11"/>
      <c r="T10390" s="11"/>
    </row>
    <row r="10391" spans="8:20" x14ac:dyDescent="0.35">
      <c r="H10391" s="711"/>
      <c r="I10391" s="711"/>
      <c r="J10391" s="711"/>
      <c r="K10391" s="711"/>
      <c r="L10391" s="711"/>
      <c r="Q10391" s="11"/>
      <c r="R10391" s="11"/>
      <c r="S10391" s="11"/>
      <c r="T10391" s="11"/>
    </row>
    <row r="10392" spans="8:20" x14ac:dyDescent="0.35">
      <c r="H10392" s="711"/>
      <c r="I10392" s="711"/>
      <c r="J10392" s="711"/>
      <c r="K10392" s="711"/>
      <c r="L10392" s="711"/>
      <c r="Q10392" s="11"/>
      <c r="R10392" s="11"/>
      <c r="S10392" s="11"/>
      <c r="T10392" s="11"/>
    </row>
    <row r="10393" spans="8:20" x14ac:dyDescent="0.35">
      <c r="H10393" s="711"/>
      <c r="I10393" s="711"/>
      <c r="J10393" s="711"/>
      <c r="K10393" s="711"/>
      <c r="L10393" s="711"/>
      <c r="Q10393" s="11"/>
      <c r="R10393" s="11"/>
      <c r="S10393" s="11"/>
      <c r="T10393" s="11"/>
    </row>
    <row r="10394" spans="8:20" x14ac:dyDescent="0.35">
      <c r="H10394" s="711"/>
      <c r="I10394" s="711"/>
      <c r="J10394" s="711"/>
      <c r="K10394" s="711"/>
      <c r="L10394" s="711"/>
      <c r="Q10394" s="11"/>
      <c r="R10394" s="11"/>
      <c r="S10394" s="11"/>
      <c r="T10394" s="11"/>
    </row>
    <row r="10395" spans="8:20" x14ac:dyDescent="0.35">
      <c r="H10395" s="711"/>
      <c r="I10395" s="711"/>
      <c r="J10395" s="711"/>
      <c r="K10395" s="711"/>
      <c r="L10395" s="711"/>
      <c r="Q10395" s="11"/>
      <c r="R10395" s="11"/>
      <c r="S10395" s="11"/>
      <c r="T10395" s="11"/>
    </row>
    <row r="10396" spans="8:20" x14ac:dyDescent="0.35">
      <c r="H10396" s="711"/>
      <c r="I10396" s="711"/>
      <c r="J10396" s="711"/>
      <c r="K10396" s="711"/>
      <c r="L10396" s="711"/>
      <c r="Q10396" s="11"/>
      <c r="R10396" s="11"/>
      <c r="S10396" s="11"/>
      <c r="T10396" s="11"/>
    </row>
    <row r="10397" spans="8:20" x14ac:dyDescent="0.35">
      <c r="H10397" s="711"/>
      <c r="I10397" s="711"/>
      <c r="J10397" s="711"/>
      <c r="K10397" s="711"/>
      <c r="L10397" s="711"/>
      <c r="Q10397" s="11"/>
      <c r="R10397" s="11"/>
      <c r="S10397" s="11"/>
      <c r="T10397" s="11"/>
    </row>
    <row r="10398" spans="8:20" x14ac:dyDescent="0.35">
      <c r="H10398" s="711"/>
      <c r="I10398" s="711"/>
      <c r="J10398" s="711"/>
      <c r="K10398" s="711"/>
      <c r="L10398" s="711"/>
      <c r="Q10398" s="11"/>
      <c r="R10398" s="11"/>
      <c r="S10398" s="11"/>
      <c r="T10398" s="11"/>
    </row>
    <row r="10399" spans="8:20" x14ac:dyDescent="0.35">
      <c r="H10399" s="711"/>
      <c r="I10399" s="711"/>
      <c r="J10399" s="711"/>
      <c r="K10399" s="711"/>
      <c r="L10399" s="711"/>
      <c r="Q10399" s="11"/>
      <c r="R10399" s="11"/>
      <c r="S10399" s="11"/>
      <c r="T10399" s="11"/>
    </row>
    <row r="10400" spans="8:20" x14ac:dyDescent="0.35">
      <c r="H10400" s="711"/>
      <c r="I10400" s="711"/>
      <c r="J10400" s="711"/>
      <c r="K10400" s="711"/>
      <c r="L10400" s="711"/>
      <c r="Q10400" s="11"/>
      <c r="R10400" s="11"/>
      <c r="S10400" s="11"/>
      <c r="T10400" s="11"/>
    </row>
    <row r="10401" spans="8:20" x14ac:dyDescent="0.35">
      <c r="H10401" s="711"/>
      <c r="I10401" s="711"/>
      <c r="J10401" s="711"/>
      <c r="K10401" s="711"/>
      <c r="L10401" s="711"/>
      <c r="Q10401" s="11"/>
      <c r="R10401" s="11"/>
      <c r="S10401" s="11"/>
      <c r="T10401" s="11"/>
    </row>
    <row r="10402" spans="8:20" x14ac:dyDescent="0.35">
      <c r="H10402" s="711"/>
      <c r="I10402" s="711"/>
      <c r="J10402" s="711"/>
      <c r="K10402" s="711"/>
      <c r="L10402" s="711"/>
      <c r="Q10402" s="11"/>
      <c r="R10402" s="11"/>
      <c r="S10402" s="11"/>
      <c r="T10402" s="11"/>
    </row>
    <row r="10403" spans="8:20" x14ac:dyDescent="0.35">
      <c r="H10403" s="711"/>
      <c r="I10403" s="711"/>
      <c r="J10403" s="711"/>
      <c r="K10403" s="711"/>
      <c r="L10403" s="711"/>
      <c r="Q10403" s="11"/>
      <c r="R10403" s="11"/>
      <c r="S10403" s="11"/>
      <c r="T10403" s="11"/>
    </row>
    <row r="10404" spans="8:20" x14ac:dyDescent="0.35">
      <c r="H10404" s="711"/>
      <c r="I10404" s="711"/>
      <c r="J10404" s="711"/>
      <c r="K10404" s="711"/>
      <c r="L10404" s="711"/>
      <c r="Q10404" s="11"/>
      <c r="R10404" s="11"/>
      <c r="S10404" s="11"/>
      <c r="T10404" s="11"/>
    </row>
    <row r="10405" spans="8:20" x14ac:dyDescent="0.35">
      <c r="H10405" s="711"/>
      <c r="I10405" s="711"/>
      <c r="J10405" s="711"/>
      <c r="K10405" s="711"/>
      <c r="L10405" s="711"/>
      <c r="Q10405" s="11"/>
      <c r="R10405" s="11"/>
      <c r="S10405" s="11"/>
      <c r="T10405" s="11"/>
    </row>
    <row r="10406" spans="8:20" x14ac:dyDescent="0.35">
      <c r="H10406" s="711"/>
      <c r="I10406" s="711"/>
      <c r="J10406" s="711"/>
      <c r="K10406" s="711"/>
      <c r="L10406" s="711"/>
      <c r="Q10406" s="11"/>
      <c r="R10406" s="11"/>
      <c r="S10406" s="11"/>
      <c r="T10406" s="11"/>
    </row>
    <row r="10407" spans="8:20" x14ac:dyDescent="0.35">
      <c r="H10407" s="711"/>
      <c r="I10407" s="711"/>
      <c r="J10407" s="711"/>
      <c r="K10407" s="711"/>
      <c r="L10407" s="711"/>
      <c r="Q10407" s="11"/>
      <c r="R10407" s="11"/>
      <c r="S10407" s="11"/>
      <c r="T10407" s="11"/>
    </row>
    <row r="10408" spans="8:20" x14ac:dyDescent="0.35">
      <c r="H10408" s="711"/>
      <c r="I10408" s="711"/>
      <c r="J10408" s="711"/>
      <c r="K10408" s="711"/>
      <c r="L10408" s="711"/>
      <c r="Q10408" s="11"/>
      <c r="R10408" s="11"/>
      <c r="S10408" s="11"/>
      <c r="T10408" s="11"/>
    </row>
    <row r="10409" spans="8:20" x14ac:dyDescent="0.35">
      <c r="H10409" s="711"/>
      <c r="I10409" s="711"/>
      <c r="J10409" s="711"/>
      <c r="K10409" s="711"/>
      <c r="L10409" s="711"/>
      <c r="Q10409" s="11"/>
      <c r="R10409" s="11"/>
      <c r="S10409" s="11"/>
      <c r="T10409" s="11"/>
    </row>
    <row r="10410" spans="8:20" x14ac:dyDescent="0.35">
      <c r="H10410" s="711"/>
      <c r="I10410" s="711"/>
      <c r="J10410" s="711"/>
      <c r="K10410" s="711"/>
      <c r="L10410" s="711"/>
      <c r="Q10410" s="11"/>
      <c r="R10410" s="11"/>
      <c r="S10410" s="11"/>
      <c r="T10410" s="11"/>
    </row>
    <row r="10411" spans="8:20" x14ac:dyDescent="0.35">
      <c r="H10411" s="711"/>
      <c r="I10411" s="711"/>
      <c r="J10411" s="711"/>
      <c r="K10411" s="711"/>
      <c r="L10411" s="711"/>
      <c r="Q10411" s="11"/>
      <c r="R10411" s="11"/>
      <c r="S10411" s="11"/>
      <c r="T10411" s="11"/>
    </row>
    <row r="10412" spans="8:20" x14ac:dyDescent="0.35">
      <c r="H10412" s="711"/>
      <c r="I10412" s="711"/>
      <c r="J10412" s="711"/>
      <c r="K10412" s="711"/>
      <c r="L10412" s="711"/>
      <c r="Q10412" s="11"/>
      <c r="R10412" s="11"/>
      <c r="S10412" s="11"/>
      <c r="T10412" s="11"/>
    </row>
    <row r="10413" spans="8:20" x14ac:dyDescent="0.35">
      <c r="H10413" s="711"/>
      <c r="I10413" s="711"/>
      <c r="J10413" s="711"/>
      <c r="K10413" s="711"/>
      <c r="L10413" s="711"/>
      <c r="Q10413" s="11"/>
      <c r="R10413" s="11"/>
      <c r="S10413" s="11"/>
      <c r="T10413" s="11"/>
    </row>
    <row r="10414" spans="8:20" x14ac:dyDescent="0.35">
      <c r="H10414" s="711"/>
      <c r="I10414" s="711"/>
      <c r="J10414" s="711"/>
      <c r="K10414" s="711"/>
      <c r="L10414" s="711"/>
      <c r="Q10414" s="11"/>
      <c r="R10414" s="11"/>
      <c r="S10414" s="11"/>
      <c r="T10414" s="11"/>
    </row>
    <row r="10415" spans="8:20" x14ac:dyDescent="0.35">
      <c r="H10415" s="711"/>
      <c r="I10415" s="711"/>
      <c r="J10415" s="711"/>
      <c r="K10415" s="711"/>
      <c r="L10415" s="711"/>
      <c r="Q10415" s="11"/>
      <c r="R10415" s="11"/>
      <c r="S10415" s="11"/>
      <c r="T10415" s="11"/>
    </row>
    <row r="10416" spans="8:20" x14ac:dyDescent="0.35">
      <c r="H10416" s="711"/>
      <c r="I10416" s="711"/>
      <c r="J10416" s="711"/>
      <c r="K10416" s="711"/>
      <c r="L10416" s="711"/>
      <c r="Q10416" s="11"/>
      <c r="R10416" s="11"/>
      <c r="S10416" s="11"/>
      <c r="T10416" s="11"/>
    </row>
    <row r="10417" spans="8:20" x14ac:dyDescent="0.35">
      <c r="H10417" s="711"/>
      <c r="I10417" s="711"/>
      <c r="J10417" s="711"/>
      <c r="K10417" s="711"/>
      <c r="L10417" s="711"/>
      <c r="Q10417" s="11"/>
      <c r="R10417" s="11"/>
      <c r="S10417" s="11"/>
      <c r="T10417" s="11"/>
    </row>
    <row r="10418" spans="8:20" x14ac:dyDescent="0.35">
      <c r="H10418" s="711"/>
      <c r="I10418" s="711"/>
      <c r="J10418" s="711"/>
      <c r="K10418" s="711"/>
      <c r="L10418" s="711"/>
      <c r="Q10418" s="11"/>
      <c r="R10418" s="11"/>
      <c r="S10418" s="11"/>
      <c r="T10418" s="11"/>
    </row>
    <row r="10419" spans="8:20" x14ac:dyDescent="0.35">
      <c r="H10419" s="711"/>
      <c r="I10419" s="711"/>
      <c r="J10419" s="711"/>
      <c r="K10419" s="711"/>
      <c r="L10419" s="711"/>
      <c r="Q10419" s="11"/>
      <c r="R10419" s="11"/>
      <c r="S10419" s="11"/>
      <c r="T10419" s="11"/>
    </row>
    <row r="10420" spans="8:20" x14ac:dyDescent="0.35">
      <c r="H10420" s="711"/>
      <c r="I10420" s="711"/>
      <c r="J10420" s="711"/>
      <c r="K10420" s="711"/>
      <c r="L10420" s="711"/>
      <c r="Q10420" s="11"/>
      <c r="R10420" s="11"/>
      <c r="S10420" s="11"/>
      <c r="T10420" s="11"/>
    </row>
    <row r="10421" spans="8:20" x14ac:dyDescent="0.35">
      <c r="H10421" s="711"/>
      <c r="I10421" s="711"/>
      <c r="J10421" s="711"/>
      <c r="K10421" s="711"/>
      <c r="L10421" s="711"/>
      <c r="Q10421" s="11"/>
      <c r="R10421" s="11"/>
      <c r="S10421" s="11"/>
      <c r="T10421" s="11"/>
    </row>
    <row r="10422" spans="8:20" x14ac:dyDescent="0.35">
      <c r="H10422" s="711"/>
      <c r="I10422" s="711"/>
      <c r="J10422" s="711"/>
      <c r="K10422" s="711"/>
      <c r="L10422" s="711"/>
      <c r="Q10422" s="11"/>
      <c r="R10422" s="11"/>
      <c r="S10422" s="11"/>
      <c r="T10422" s="11"/>
    </row>
    <row r="10423" spans="8:20" x14ac:dyDescent="0.35">
      <c r="H10423" s="711"/>
      <c r="I10423" s="711"/>
      <c r="J10423" s="711"/>
      <c r="K10423" s="711"/>
      <c r="L10423" s="711"/>
      <c r="Q10423" s="11"/>
      <c r="R10423" s="11"/>
      <c r="S10423" s="11"/>
      <c r="T10423" s="11"/>
    </row>
    <row r="10424" spans="8:20" x14ac:dyDescent="0.35">
      <c r="H10424" s="711"/>
      <c r="I10424" s="711"/>
      <c r="J10424" s="711"/>
      <c r="K10424" s="711"/>
      <c r="L10424" s="711"/>
      <c r="Q10424" s="11"/>
      <c r="R10424" s="11"/>
      <c r="S10424" s="11"/>
      <c r="T10424" s="11"/>
    </row>
    <row r="10425" spans="8:20" x14ac:dyDescent="0.35">
      <c r="H10425" s="711"/>
      <c r="I10425" s="711"/>
      <c r="J10425" s="711"/>
      <c r="K10425" s="711"/>
      <c r="L10425" s="711"/>
      <c r="Q10425" s="11"/>
      <c r="R10425" s="11"/>
      <c r="S10425" s="11"/>
      <c r="T10425" s="11"/>
    </row>
    <row r="10426" spans="8:20" x14ac:dyDescent="0.35">
      <c r="H10426" s="711"/>
      <c r="I10426" s="711"/>
      <c r="J10426" s="711"/>
      <c r="K10426" s="711"/>
      <c r="L10426" s="711"/>
      <c r="Q10426" s="11"/>
      <c r="R10426" s="11"/>
      <c r="S10426" s="11"/>
      <c r="T10426" s="11"/>
    </row>
    <row r="10427" spans="8:20" x14ac:dyDescent="0.35">
      <c r="H10427" s="711"/>
      <c r="I10427" s="711"/>
      <c r="J10427" s="711"/>
      <c r="K10427" s="711"/>
      <c r="L10427" s="711"/>
      <c r="Q10427" s="11"/>
      <c r="R10427" s="11"/>
      <c r="S10427" s="11"/>
      <c r="T10427" s="11"/>
    </row>
    <row r="10428" spans="8:20" x14ac:dyDescent="0.35">
      <c r="H10428" s="711"/>
      <c r="I10428" s="711"/>
      <c r="J10428" s="711"/>
      <c r="K10428" s="711"/>
      <c r="L10428" s="711"/>
      <c r="Q10428" s="11"/>
      <c r="R10428" s="11"/>
      <c r="S10428" s="11"/>
      <c r="T10428" s="11"/>
    </row>
    <row r="10429" spans="8:20" x14ac:dyDescent="0.35">
      <c r="H10429" s="711"/>
      <c r="I10429" s="711"/>
      <c r="J10429" s="711"/>
      <c r="K10429" s="711"/>
      <c r="L10429" s="711"/>
      <c r="Q10429" s="11"/>
      <c r="R10429" s="11"/>
      <c r="S10429" s="11"/>
      <c r="T10429" s="11"/>
    </row>
    <row r="10430" spans="8:20" x14ac:dyDescent="0.35">
      <c r="H10430" s="711"/>
      <c r="I10430" s="711"/>
      <c r="J10430" s="711"/>
      <c r="K10430" s="711"/>
      <c r="L10430" s="711"/>
      <c r="Q10430" s="11"/>
      <c r="R10430" s="11"/>
      <c r="S10430" s="11"/>
      <c r="T10430" s="11"/>
    </row>
    <row r="10431" spans="8:20" x14ac:dyDescent="0.35">
      <c r="H10431" s="711"/>
      <c r="I10431" s="711"/>
      <c r="J10431" s="711"/>
      <c r="K10431" s="711"/>
      <c r="L10431" s="711"/>
      <c r="Q10431" s="11"/>
      <c r="R10431" s="11"/>
      <c r="S10431" s="11"/>
      <c r="T10431" s="11"/>
    </row>
    <row r="10432" spans="8:20" x14ac:dyDescent="0.35">
      <c r="H10432" s="711"/>
      <c r="I10432" s="711"/>
      <c r="J10432" s="711"/>
      <c r="K10432" s="711"/>
      <c r="L10432" s="711"/>
      <c r="Q10432" s="11"/>
      <c r="R10432" s="11"/>
      <c r="S10432" s="11"/>
      <c r="T10432" s="11"/>
    </row>
    <row r="10433" spans="8:20" x14ac:dyDescent="0.35">
      <c r="H10433" s="711"/>
      <c r="I10433" s="711"/>
      <c r="J10433" s="711"/>
      <c r="K10433" s="711"/>
      <c r="L10433" s="711"/>
      <c r="Q10433" s="11"/>
      <c r="R10433" s="11"/>
      <c r="S10433" s="11"/>
      <c r="T10433" s="11"/>
    </row>
    <row r="10434" spans="8:20" x14ac:dyDescent="0.35">
      <c r="H10434" s="711"/>
      <c r="I10434" s="711"/>
      <c r="J10434" s="711"/>
      <c r="K10434" s="711"/>
      <c r="L10434" s="711"/>
      <c r="Q10434" s="11"/>
      <c r="R10434" s="11"/>
      <c r="S10434" s="11"/>
      <c r="T10434" s="11"/>
    </row>
    <row r="10435" spans="8:20" x14ac:dyDescent="0.35">
      <c r="H10435" s="711"/>
      <c r="I10435" s="711"/>
      <c r="J10435" s="711"/>
      <c r="K10435" s="711"/>
      <c r="L10435" s="711"/>
      <c r="Q10435" s="11"/>
      <c r="R10435" s="11"/>
      <c r="S10435" s="11"/>
      <c r="T10435" s="11"/>
    </row>
    <row r="10436" spans="8:20" x14ac:dyDescent="0.35">
      <c r="H10436" s="711"/>
      <c r="I10436" s="711"/>
      <c r="J10436" s="711"/>
      <c r="K10436" s="711"/>
      <c r="L10436" s="711"/>
      <c r="Q10436" s="11"/>
      <c r="R10436" s="11"/>
      <c r="S10436" s="11"/>
      <c r="T10436" s="11"/>
    </row>
    <row r="10437" spans="8:20" x14ac:dyDescent="0.35">
      <c r="H10437" s="711"/>
      <c r="I10437" s="711"/>
      <c r="J10437" s="711"/>
      <c r="K10437" s="711"/>
      <c r="L10437" s="711"/>
      <c r="Q10437" s="11"/>
      <c r="R10437" s="11"/>
      <c r="S10437" s="11"/>
      <c r="T10437" s="11"/>
    </row>
    <row r="10438" spans="8:20" x14ac:dyDescent="0.35">
      <c r="H10438" s="711"/>
      <c r="I10438" s="711"/>
      <c r="J10438" s="711"/>
      <c r="K10438" s="711"/>
      <c r="L10438" s="711"/>
      <c r="Q10438" s="11"/>
      <c r="R10438" s="11"/>
      <c r="S10438" s="11"/>
      <c r="T10438" s="11"/>
    </row>
    <row r="10439" spans="8:20" x14ac:dyDescent="0.35">
      <c r="H10439" s="711"/>
      <c r="I10439" s="711"/>
      <c r="J10439" s="711"/>
      <c r="K10439" s="711"/>
      <c r="L10439" s="711"/>
      <c r="Q10439" s="11"/>
      <c r="R10439" s="11"/>
      <c r="S10439" s="11"/>
      <c r="T10439" s="11"/>
    </row>
    <row r="10440" spans="8:20" x14ac:dyDescent="0.35">
      <c r="H10440" s="711"/>
      <c r="I10440" s="711"/>
      <c r="J10440" s="711"/>
      <c r="K10440" s="711"/>
      <c r="L10440" s="711"/>
      <c r="Q10440" s="11"/>
      <c r="R10440" s="11"/>
      <c r="S10440" s="11"/>
      <c r="T10440" s="11"/>
    </row>
    <row r="10441" spans="8:20" x14ac:dyDescent="0.35">
      <c r="H10441" s="711"/>
      <c r="I10441" s="711"/>
      <c r="J10441" s="711"/>
      <c r="K10441" s="711"/>
      <c r="L10441" s="711"/>
      <c r="Q10441" s="11"/>
      <c r="R10441" s="11"/>
      <c r="S10441" s="11"/>
      <c r="T10441" s="11"/>
    </row>
    <row r="10442" spans="8:20" x14ac:dyDescent="0.35">
      <c r="H10442" s="711"/>
      <c r="I10442" s="711"/>
      <c r="J10442" s="711"/>
      <c r="K10442" s="711"/>
      <c r="L10442" s="711"/>
      <c r="Q10442" s="11"/>
      <c r="R10442" s="11"/>
      <c r="S10442" s="11"/>
      <c r="T10442" s="11"/>
    </row>
    <row r="10443" spans="8:20" x14ac:dyDescent="0.35">
      <c r="H10443" s="711"/>
      <c r="I10443" s="711"/>
      <c r="J10443" s="711"/>
      <c r="K10443" s="711"/>
      <c r="L10443" s="711"/>
      <c r="Q10443" s="11"/>
      <c r="R10443" s="11"/>
      <c r="S10443" s="11"/>
      <c r="T10443" s="11"/>
    </row>
    <row r="10444" spans="8:20" x14ac:dyDescent="0.35">
      <c r="H10444" s="711"/>
      <c r="I10444" s="711"/>
      <c r="J10444" s="711"/>
      <c r="K10444" s="711"/>
      <c r="L10444" s="711"/>
      <c r="Q10444" s="11"/>
      <c r="R10444" s="11"/>
      <c r="S10444" s="11"/>
      <c r="T10444" s="11"/>
    </row>
    <row r="10445" spans="8:20" x14ac:dyDescent="0.35">
      <c r="H10445" s="711"/>
      <c r="I10445" s="711"/>
      <c r="J10445" s="711"/>
      <c r="K10445" s="711"/>
      <c r="L10445" s="711"/>
      <c r="Q10445" s="11"/>
      <c r="R10445" s="11"/>
      <c r="S10445" s="11"/>
      <c r="T10445" s="11"/>
    </row>
    <row r="10446" spans="8:20" x14ac:dyDescent="0.35">
      <c r="H10446" s="711"/>
      <c r="I10446" s="711"/>
      <c r="J10446" s="711"/>
      <c r="K10446" s="711"/>
      <c r="L10446" s="711"/>
      <c r="Q10446" s="11"/>
      <c r="R10446" s="11"/>
      <c r="S10446" s="11"/>
      <c r="T10446" s="11"/>
    </row>
    <row r="10447" spans="8:20" x14ac:dyDescent="0.35">
      <c r="H10447" s="711"/>
      <c r="I10447" s="711"/>
      <c r="J10447" s="711"/>
      <c r="K10447" s="711"/>
      <c r="L10447" s="711"/>
      <c r="Q10447" s="11"/>
      <c r="R10447" s="11"/>
      <c r="S10447" s="11"/>
      <c r="T10447" s="11"/>
    </row>
    <row r="10448" spans="8:20" x14ac:dyDescent="0.35">
      <c r="H10448" s="711"/>
      <c r="I10448" s="711"/>
      <c r="J10448" s="711"/>
      <c r="K10448" s="711"/>
      <c r="L10448" s="711"/>
      <c r="Q10448" s="11"/>
      <c r="R10448" s="11"/>
      <c r="S10448" s="11"/>
      <c r="T10448" s="11"/>
    </row>
    <row r="10449" spans="8:20" x14ac:dyDescent="0.35">
      <c r="H10449" s="711"/>
      <c r="I10449" s="711"/>
      <c r="J10449" s="711"/>
      <c r="K10449" s="711"/>
      <c r="L10449" s="711"/>
      <c r="Q10449" s="11"/>
      <c r="R10449" s="11"/>
      <c r="S10449" s="11"/>
      <c r="T10449" s="11"/>
    </row>
    <row r="10450" spans="8:20" x14ac:dyDescent="0.35">
      <c r="H10450" s="711"/>
      <c r="I10450" s="711"/>
      <c r="J10450" s="711"/>
      <c r="K10450" s="711"/>
      <c r="L10450" s="711"/>
      <c r="Q10450" s="11"/>
      <c r="R10450" s="11"/>
      <c r="S10450" s="11"/>
      <c r="T10450" s="11"/>
    </row>
    <row r="10451" spans="8:20" x14ac:dyDescent="0.35">
      <c r="H10451" s="711"/>
      <c r="I10451" s="711"/>
      <c r="J10451" s="711"/>
      <c r="K10451" s="711"/>
      <c r="L10451" s="711"/>
      <c r="Q10451" s="11"/>
      <c r="R10451" s="11"/>
      <c r="S10451" s="11"/>
      <c r="T10451" s="11"/>
    </row>
    <row r="10452" spans="8:20" x14ac:dyDescent="0.35">
      <c r="H10452" s="711"/>
      <c r="I10452" s="711"/>
      <c r="J10452" s="711"/>
      <c r="K10452" s="711"/>
      <c r="L10452" s="711"/>
      <c r="Q10452" s="11"/>
      <c r="R10452" s="11"/>
      <c r="S10452" s="11"/>
      <c r="T10452" s="11"/>
    </row>
    <row r="10453" spans="8:20" x14ac:dyDescent="0.35">
      <c r="H10453" s="711"/>
      <c r="I10453" s="711"/>
      <c r="J10453" s="711"/>
      <c r="K10453" s="711"/>
      <c r="L10453" s="711"/>
      <c r="Q10453" s="11"/>
      <c r="R10453" s="11"/>
      <c r="S10453" s="11"/>
      <c r="T10453" s="11"/>
    </row>
    <row r="10454" spans="8:20" x14ac:dyDescent="0.35">
      <c r="H10454" s="711"/>
      <c r="I10454" s="711"/>
      <c r="J10454" s="711"/>
      <c r="K10454" s="711"/>
      <c r="L10454" s="711"/>
      <c r="Q10454" s="11"/>
      <c r="R10454" s="11"/>
      <c r="S10454" s="11"/>
      <c r="T10454" s="11"/>
    </row>
    <row r="10455" spans="8:20" x14ac:dyDescent="0.35">
      <c r="H10455" s="711"/>
      <c r="I10455" s="711"/>
      <c r="J10455" s="711"/>
      <c r="K10455" s="711"/>
      <c r="L10455" s="711"/>
      <c r="Q10455" s="11"/>
      <c r="R10455" s="11"/>
      <c r="S10455" s="11"/>
      <c r="T10455" s="11"/>
    </row>
    <row r="10456" spans="8:20" x14ac:dyDescent="0.35">
      <c r="H10456" s="711"/>
      <c r="I10456" s="711"/>
      <c r="J10456" s="711"/>
      <c r="K10456" s="711"/>
      <c r="L10456" s="711"/>
      <c r="Q10456" s="11"/>
      <c r="R10456" s="11"/>
      <c r="S10456" s="11"/>
      <c r="T10456" s="11"/>
    </row>
    <row r="10457" spans="8:20" x14ac:dyDescent="0.35">
      <c r="H10457" s="711"/>
      <c r="I10457" s="711"/>
      <c r="J10457" s="711"/>
      <c r="K10457" s="711"/>
      <c r="L10457" s="711"/>
      <c r="Q10457" s="11"/>
      <c r="R10457" s="11"/>
      <c r="S10457" s="11"/>
      <c r="T10457" s="11"/>
    </row>
    <row r="10458" spans="8:20" x14ac:dyDescent="0.35">
      <c r="H10458" s="711"/>
      <c r="I10458" s="711"/>
      <c r="J10458" s="711"/>
      <c r="K10458" s="711"/>
      <c r="L10458" s="711"/>
      <c r="Q10458" s="11"/>
      <c r="R10458" s="11"/>
      <c r="S10458" s="11"/>
      <c r="T10458" s="11"/>
    </row>
    <row r="10459" spans="8:20" x14ac:dyDescent="0.35">
      <c r="H10459" s="711"/>
      <c r="I10459" s="711"/>
      <c r="J10459" s="711"/>
      <c r="K10459" s="711"/>
      <c r="L10459" s="711"/>
      <c r="Q10459" s="11"/>
      <c r="R10459" s="11"/>
      <c r="S10459" s="11"/>
      <c r="T10459" s="11"/>
    </row>
    <row r="10460" spans="8:20" x14ac:dyDescent="0.35">
      <c r="H10460" s="711"/>
      <c r="I10460" s="711"/>
      <c r="J10460" s="711"/>
      <c r="K10460" s="711"/>
      <c r="L10460" s="711"/>
      <c r="Q10460" s="11"/>
      <c r="R10460" s="11"/>
      <c r="S10460" s="11"/>
      <c r="T10460" s="11"/>
    </row>
    <row r="10461" spans="8:20" x14ac:dyDescent="0.35">
      <c r="H10461" s="711"/>
      <c r="I10461" s="711"/>
      <c r="J10461" s="711"/>
      <c r="K10461" s="711"/>
      <c r="L10461" s="711"/>
      <c r="Q10461" s="11"/>
      <c r="R10461" s="11"/>
      <c r="S10461" s="11"/>
      <c r="T10461" s="11"/>
    </row>
    <row r="10462" spans="8:20" x14ac:dyDescent="0.35">
      <c r="H10462" s="711"/>
      <c r="I10462" s="711"/>
      <c r="J10462" s="711"/>
      <c r="K10462" s="711"/>
      <c r="L10462" s="711"/>
      <c r="Q10462" s="11"/>
      <c r="R10462" s="11"/>
      <c r="S10462" s="11"/>
      <c r="T10462" s="11"/>
    </row>
    <row r="10463" spans="8:20" x14ac:dyDescent="0.35">
      <c r="H10463" s="711"/>
      <c r="I10463" s="711"/>
      <c r="J10463" s="711"/>
      <c r="K10463" s="711"/>
      <c r="L10463" s="711"/>
      <c r="Q10463" s="11"/>
      <c r="R10463" s="11"/>
      <c r="S10463" s="11"/>
      <c r="T10463" s="11"/>
    </row>
    <row r="10464" spans="8:20" x14ac:dyDescent="0.35">
      <c r="H10464" s="711"/>
      <c r="I10464" s="711"/>
      <c r="J10464" s="711"/>
      <c r="K10464" s="711"/>
      <c r="L10464" s="711"/>
      <c r="Q10464" s="11"/>
      <c r="R10464" s="11"/>
      <c r="S10464" s="11"/>
      <c r="T10464" s="11"/>
    </row>
    <row r="10465" spans="8:20" x14ac:dyDescent="0.35">
      <c r="H10465" s="711"/>
      <c r="I10465" s="711"/>
      <c r="J10465" s="711"/>
      <c r="K10465" s="711"/>
      <c r="L10465" s="711"/>
      <c r="Q10465" s="11"/>
      <c r="R10465" s="11"/>
      <c r="S10465" s="11"/>
      <c r="T10465" s="11"/>
    </row>
    <row r="10466" spans="8:20" x14ac:dyDescent="0.35">
      <c r="H10466" s="711"/>
      <c r="I10466" s="711"/>
      <c r="J10466" s="711"/>
      <c r="K10466" s="711"/>
      <c r="L10466" s="711"/>
      <c r="Q10466" s="11"/>
      <c r="R10466" s="11"/>
      <c r="S10466" s="11"/>
      <c r="T10466" s="11"/>
    </row>
    <row r="10467" spans="8:20" x14ac:dyDescent="0.35">
      <c r="H10467" s="711"/>
      <c r="I10467" s="711"/>
      <c r="J10467" s="711"/>
      <c r="K10467" s="711"/>
      <c r="L10467" s="711"/>
      <c r="Q10467" s="11"/>
      <c r="R10467" s="11"/>
      <c r="S10467" s="11"/>
      <c r="T10467" s="11"/>
    </row>
    <row r="10468" spans="8:20" x14ac:dyDescent="0.35">
      <c r="H10468" s="711"/>
      <c r="I10468" s="711"/>
      <c r="J10468" s="711"/>
      <c r="K10468" s="711"/>
      <c r="L10468" s="711"/>
      <c r="Q10468" s="11"/>
      <c r="R10468" s="11"/>
      <c r="S10468" s="11"/>
      <c r="T10468" s="11"/>
    </row>
    <row r="10469" spans="8:20" x14ac:dyDescent="0.35">
      <c r="H10469" s="711"/>
      <c r="I10469" s="711"/>
      <c r="J10469" s="711"/>
      <c r="K10469" s="711"/>
      <c r="L10469" s="711"/>
      <c r="Q10469" s="11"/>
      <c r="R10469" s="11"/>
      <c r="S10469" s="11"/>
      <c r="T10469" s="11"/>
    </row>
    <row r="10470" spans="8:20" x14ac:dyDescent="0.35">
      <c r="H10470" s="711"/>
      <c r="I10470" s="711"/>
      <c r="J10470" s="711"/>
      <c r="K10470" s="711"/>
      <c r="L10470" s="711"/>
      <c r="Q10470" s="11"/>
      <c r="R10470" s="11"/>
      <c r="S10470" s="11"/>
      <c r="T10470" s="11"/>
    </row>
    <row r="10471" spans="8:20" x14ac:dyDescent="0.35">
      <c r="H10471" s="711"/>
      <c r="I10471" s="711"/>
      <c r="J10471" s="711"/>
      <c r="K10471" s="711"/>
      <c r="L10471" s="711"/>
      <c r="Q10471" s="11"/>
      <c r="R10471" s="11"/>
      <c r="S10471" s="11"/>
      <c r="T10471" s="11"/>
    </row>
    <row r="10472" spans="8:20" x14ac:dyDescent="0.35">
      <c r="H10472" s="711"/>
      <c r="I10472" s="711"/>
      <c r="J10472" s="711"/>
      <c r="K10472" s="711"/>
      <c r="L10472" s="711"/>
      <c r="Q10472" s="11"/>
      <c r="R10472" s="11"/>
      <c r="S10472" s="11"/>
      <c r="T10472" s="11"/>
    </row>
    <row r="10473" spans="8:20" x14ac:dyDescent="0.35">
      <c r="H10473" s="711"/>
      <c r="I10473" s="711"/>
      <c r="J10473" s="711"/>
      <c r="K10473" s="711"/>
      <c r="L10473" s="711"/>
      <c r="Q10473" s="11"/>
      <c r="R10473" s="11"/>
      <c r="S10473" s="11"/>
      <c r="T10473" s="11"/>
    </row>
    <row r="10474" spans="8:20" x14ac:dyDescent="0.35">
      <c r="H10474" s="711"/>
      <c r="I10474" s="711"/>
      <c r="J10474" s="711"/>
      <c r="K10474" s="711"/>
      <c r="L10474" s="711"/>
      <c r="Q10474" s="11"/>
      <c r="R10474" s="11"/>
      <c r="S10474" s="11"/>
      <c r="T10474" s="11"/>
    </row>
    <row r="10475" spans="8:20" x14ac:dyDescent="0.35">
      <c r="H10475" s="711"/>
      <c r="I10475" s="711"/>
      <c r="J10475" s="711"/>
      <c r="K10475" s="711"/>
      <c r="L10475" s="711"/>
      <c r="Q10475" s="11"/>
      <c r="R10475" s="11"/>
      <c r="S10475" s="11"/>
      <c r="T10475" s="11"/>
    </row>
    <row r="10476" spans="8:20" x14ac:dyDescent="0.35">
      <c r="H10476" s="711"/>
      <c r="I10476" s="711"/>
      <c r="J10476" s="711"/>
      <c r="K10476" s="711"/>
      <c r="L10476" s="711"/>
      <c r="Q10476" s="11"/>
      <c r="R10476" s="11"/>
      <c r="S10476" s="11"/>
      <c r="T10476" s="11"/>
    </row>
    <row r="10477" spans="8:20" x14ac:dyDescent="0.35">
      <c r="H10477" s="711"/>
      <c r="I10477" s="711"/>
      <c r="J10477" s="711"/>
      <c r="K10477" s="711"/>
      <c r="L10477" s="711"/>
      <c r="Q10477" s="11"/>
      <c r="R10477" s="11"/>
      <c r="S10477" s="11"/>
      <c r="T10477" s="11"/>
    </row>
    <row r="10478" spans="8:20" x14ac:dyDescent="0.35">
      <c r="H10478" s="711"/>
      <c r="I10478" s="711"/>
      <c r="J10478" s="711"/>
      <c r="K10478" s="711"/>
      <c r="L10478" s="711"/>
      <c r="Q10478" s="11"/>
      <c r="R10478" s="11"/>
      <c r="S10478" s="11"/>
      <c r="T10478" s="11"/>
    </row>
    <row r="10479" spans="8:20" x14ac:dyDescent="0.35">
      <c r="H10479" s="711"/>
      <c r="I10479" s="711"/>
      <c r="J10479" s="711"/>
      <c r="K10479" s="711"/>
      <c r="L10479" s="711"/>
      <c r="Q10479" s="11"/>
      <c r="R10479" s="11"/>
      <c r="S10479" s="11"/>
      <c r="T10479" s="11"/>
    </row>
    <row r="10480" spans="8:20" x14ac:dyDescent="0.35">
      <c r="H10480" s="711"/>
      <c r="I10480" s="711"/>
      <c r="J10480" s="711"/>
      <c r="K10480" s="711"/>
      <c r="L10480" s="711"/>
      <c r="Q10480" s="11"/>
      <c r="R10480" s="11"/>
      <c r="S10480" s="11"/>
      <c r="T10480" s="11"/>
    </row>
    <row r="10481" spans="8:20" x14ac:dyDescent="0.35">
      <c r="H10481" s="711"/>
      <c r="I10481" s="711"/>
      <c r="J10481" s="711"/>
      <c r="K10481" s="711"/>
      <c r="L10481" s="711"/>
      <c r="Q10481" s="11"/>
      <c r="R10481" s="11"/>
      <c r="S10481" s="11"/>
      <c r="T10481" s="11"/>
    </row>
    <row r="10482" spans="8:20" x14ac:dyDescent="0.35">
      <c r="H10482" s="711"/>
      <c r="I10482" s="711"/>
      <c r="J10482" s="711"/>
      <c r="K10482" s="711"/>
      <c r="L10482" s="711"/>
      <c r="Q10482" s="11"/>
      <c r="R10482" s="11"/>
      <c r="S10482" s="11"/>
      <c r="T10482" s="11"/>
    </row>
    <row r="10483" spans="8:20" x14ac:dyDescent="0.35">
      <c r="H10483" s="711"/>
      <c r="I10483" s="711"/>
      <c r="J10483" s="711"/>
      <c r="K10483" s="711"/>
      <c r="L10483" s="711"/>
      <c r="Q10483" s="11"/>
      <c r="R10483" s="11"/>
      <c r="S10483" s="11"/>
      <c r="T10483" s="11"/>
    </row>
    <row r="10484" spans="8:20" x14ac:dyDescent="0.35">
      <c r="H10484" s="711"/>
      <c r="I10484" s="711"/>
      <c r="J10484" s="711"/>
      <c r="K10484" s="711"/>
      <c r="L10484" s="711"/>
      <c r="Q10484" s="11"/>
      <c r="R10484" s="11"/>
      <c r="S10484" s="11"/>
      <c r="T10484" s="11"/>
    </row>
    <row r="10485" spans="8:20" x14ac:dyDescent="0.35">
      <c r="H10485" s="711"/>
      <c r="I10485" s="711"/>
      <c r="J10485" s="711"/>
      <c r="K10485" s="711"/>
      <c r="L10485" s="711"/>
      <c r="Q10485" s="11"/>
      <c r="R10485" s="11"/>
      <c r="S10485" s="11"/>
      <c r="T10485" s="11"/>
    </row>
    <row r="10486" spans="8:20" x14ac:dyDescent="0.35">
      <c r="H10486" s="711"/>
      <c r="I10486" s="711"/>
      <c r="J10486" s="711"/>
      <c r="K10486" s="711"/>
      <c r="L10486" s="711"/>
      <c r="Q10486" s="11"/>
      <c r="R10486" s="11"/>
      <c r="S10486" s="11"/>
      <c r="T10486" s="11"/>
    </row>
    <row r="10487" spans="8:20" x14ac:dyDescent="0.35">
      <c r="H10487" s="711"/>
      <c r="I10487" s="711"/>
      <c r="J10487" s="711"/>
      <c r="K10487" s="711"/>
      <c r="L10487" s="711"/>
      <c r="Q10487" s="11"/>
      <c r="R10487" s="11"/>
      <c r="S10487" s="11"/>
      <c r="T10487" s="11"/>
    </row>
    <row r="10488" spans="8:20" x14ac:dyDescent="0.35">
      <c r="H10488" s="711"/>
      <c r="I10488" s="711"/>
      <c r="J10488" s="711"/>
      <c r="K10488" s="711"/>
      <c r="L10488" s="711"/>
      <c r="Q10488" s="11"/>
      <c r="R10488" s="11"/>
      <c r="S10488" s="11"/>
      <c r="T10488" s="11"/>
    </row>
    <row r="10489" spans="8:20" x14ac:dyDescent="0.35">
      <c r="H10489" s="711"/>
      <c r="I10489" s="711"/>
      <c r="J10489" s="711"/>
      <c r="K10489" s="711"/>
      <c r="L10489" s="711"/>
      <c r="Q10489" s="11"/>
      <c r="R10489" s="11"/>
      <c r="S10489" s="11"/>
      <c r="T10489" s="11"/>
    </row>
    <row r="10490" spans="8:20" x14ac:dyDescent="0.35">
      <c r="H10490" s="711"/>
      <c r="I10490" s="711"/>
      <c r="J10490" s="711"/>
      <c r="K10490" s="711"/>
      <c r="L10490" s="711"/>
      <c r="Q10490" s="11"/>
      <c r="R10490" s="11"/>
      <c r="S10490" s="11"/>
      <c r="T10490" s="11"/>
    </row>
    <row r="10491" spans="8:20" x14ac:dyDescent="0.35">
      <c r="H10491" s="711"/>
      <c r="I10491" s="711"/>
      <c r="J10491" s="711"/>
      <c r="K10491" s="711"/>
      <c r="L10491" s="711"/>
      <c r="Q10491" s="11"/>
      <c r="R10491" s="11"/>
      <c r="S10491" s="11"/>
      <c r="T10491" s="11"/>
    </row>
    <row r="10492" spans="8:20" x14ac:dyDescent="0.35">
      <c r="H10492" s="711"/>
      <c r="I10492" s="711"/>
      <c r="J10492" s="711"/>
      <c r="K10492" s="711"/>
      <c r="L10492" s="711"/>
      <c r="Q10492" s="11"/>
      <c r="R10492" s="11"/>
      <c r="S10492" s="11"/>
      <c r="T10492" s="11"/>
    </row>
    <row r="10493" spans="8:20" x14ac:dyDescent="0.35">
      <c r="H10493" s="711"/>
      <c r="I10493" s="711"/>
      <c r="J10493" s="711"/>
      <c r="K10493" s="711"/>
      <c r="L10493" s="711"/>
      <c r="Q10493" s="11"/>
      <c r="R10493" s="11"/>
      <c r="S10493" s="11"/>
      <c r="T10493" s="11"/>
    </row>
    <row r="10494" spans="8:20" x14ac:dyDescent="0.35">
      <c r="H10494" s="711"/>
      <c r="I10494" s="711"/>
      <c r="J10494" s="711"/>
      <c r="K10494" s="711"/>
      <c r="L10494" s="711"/>
      <c r="Q10494" s="11"/>
      <c r="R10494" s="11"/>
      <c r="S10494" s="11"/>
      <c r="T10494" s="11"/>
    </row>
    <row r="10495" spans="8:20" x14ac:dyDescent="0.35">
      <c r="H10495" s="711"/>
      <c r="I10495" s="711"/>
      <c r="J10495" s="711"/>
      <c r="K10495" s="711"/>
      <c r="L10495" s="711"/>
      <c r="Q10495" s="11"/>
      <c r="R10495" s="11"/>
      <c r="S10495" s="11"/>
      <c r="T10495" s="11"/>
    </row>
    <row r="10496" spans="8:20" x14ac:dyDescent="0.35">
      <c r="H10496" s="711"/>
      <c r="I10496" s="711"/>
      <c r="J10496" s="711"/>
      <c r="K10496" s="711"/>
      <c r="L10496" s="711"/>
      <c r="Q10496" s="11"/>
      <c r="R10496" s="11"/>
      <c r="S10496" s="11"/>
      <c r="T10496" s="11"/>
    </row>
    <row r="10497" spans="8:20" x14ac:dyDescent="0.35">
      <c r="H10497" s="711"/>
      <c r="I10497" s="711"/>
      <c r="J10497" s="711"/>
      <c r="K10497" s="711"/>
      <c r="L10497" s="711"/>
      <c r="Q10497" s="11"/>
      <c r="R10497" s="11"/>
      <c r="S10497" s="11"/>
      <c r="T10497" s="11"/>
    </row>
    <row r="10498" spans="8:20" x14ac:dyDescent="0.35">
      <c r="H10498" s="711"/>
      <c r="I10498" s="711"/>
      <c r="J10498" s="711"/>
      <c r="K10498" s="711"/>
      <c r="L10498" s="711"/>
      <c r="Q10498" s="11"/>
      <c r="R10498" s="11"/>
      <c r="S10498" s="11"/>
      <c r="T10498" s="11"/>
    </row>
    <row r="10499" spans="8:20" x14ac:dyDescent="0.35">
      <c r="H10499" s="711"/>
      <c r="I10499" s="711"/>
      <c r="J10499" s="711"/>
      <c r="K10499" s="711"/>
      <c r="L10499" s="711"/>
      <c r="Q10499" s="11"/>
      <c r="R10499" s="11"/>
      <c r="S10499" s="11"/>
      <c r="T10499" s="11"/>
    </row>
    <row r="10500" spans="8:20" x14ac:dyDescent="0.35">
      <c r="H10500" s="711"/>
      <c r="I10500" s="711"/>
      <c r="J10500" s="711"/>
      <c r="K10500" s="711"/>
      <c r="L10500" s="711"/>
      <c r="Q10500" s="11"/>
      <c r="R10500" s="11"/>
      <c r="S10500" s="11"/>
      <c r="T10500" s="11"/>
    </row>
    <row r="10501" spans="8:20" x14ac:dyDescent="0.35">
      <c r="H10501" s="711"/>
      <c r="I10501" s="711"/>
      <c r="J10501" s="711"/>
      <c r="K10501" s="711"/>
      <c r="L10501" s="711"/>
      <c r="Q10501" s="11"/>
      <c r="R10501" s="11"/>
      <c r="S10501" s="11"/>
      <c r="T10501" s="11"/>
    </row>
    <row r="10502" spans="8:20" x14ac:dyDescent="0.35">
      <c r="H10502" s="711"/>
      <c r="I10502" s="711"/>
      <c r="J10502" s="711"/>
      <c r="K10502" s="711"/>
      <c r="L10502" s="711"/>
      <c r="Q10502" s="11"/>
      <c r="R10502" s="11"/>
      <c r="S10502" s="11"/>
      <c r="T10502" s="11"/>
    </row>
    <row r="10503" spans="8:20" x14ac:dyDescent="0.35">
      <c r="H10503" s="711"/>
      <c r="I10503" s="711"/>
      <c r="J10503" s="711"/>
      <c r="K10503" s="711"/>
      <c r="L10503" s="711"/>
      <c r="Q10503" s="11"/>
      <c r="R10503" s="11"/>
      <c r="S10503" s="11"/>
      <c r="T10503" s="11"/>
    </row>
    <row r="10504" spans="8:20" x14ac:dyDescent="0.35">
      <c r="H10504" s="711"/>
      <c r="I10504" s="711"/>
      <c r="J10504" s="711"/>
      <c r="K10504" s="711"/>
      <c r="L10504" s="711"/>
      <c r="Q10504" s="11"/>
      <c r="R10504" s="11"/>
      <c r="S10504" s="11"/>
      <c r="T10504" s="11"/>
    </row>
    <row r="10505" spans="8:20" x14ac:dyDescent="0.35">
      <c r="H10505" s="711"/>
      <c r="I10505" s="711"/>
      <c r="J10505" s="711"/>
      <c r="K10505" s="711"/>
      <c r="L10505" s="711"/>
      <c r="Q10505" s="11"/>
      <c r="R10505" s="11"/>
      <c r="S10505" s="11"/>
      <c r="T10505" s="11"/>
    </row>
    <row r="10506" spans="8:20" x14ac:dyDescent="0.35">
      <c r="H10506" s="711"/>
      <c r="I10506" s="711"/>
      <c r="J10506" s="711"/>
      <c r="K10506" s="711"/>
      <c r="L10506" s="711"/>
      <c r="Q10506" s="11"/>
      <c r="R10506" s="11"/>
      <c r="S10506" s="11"/>
      <c r="T10506" s="11"/>
    </row>
    <row r="10507" spans="8:20" x14ac:dyDescent="0.35">
      <c r="H10507" s="711"/>
      <c r="I10507" s="711"/>
      <c r="J10507" s="711"/>
      <c r="K10507" s="711"/>
      <c r="L10507" s="711"/>
      <c r="Q10507" s="11"/>
      <c r="R10507" s="11"/>
      <c r="S10507" s="11"/>
      <c r="T10507" s="11"/>
    </row>
    <row r="10508" spans="8:20" x14ac:dyDescent="0.35">
      <c r="H10508" s="711"/>
      <c r="I10508" s="711"/>
      <c r="J10508" s="711"/>
      <c r="K10508" s="711"/>
      <c r="L10508" s="711"/>
      <c r="Q10508" s="11"/>
      <c r="R10508" s="11"/>
      <c r="S10508" s="11"/>
      <c r="T10508" s="11"/>
    </row>
    <row r="10509" spans="8:20" x14ac:dyDescent="0.35">
      <c r="H10509" s="711"/>
      <c r="I10509" s="711"/>
      <c r="J10509" s="711"/>
      <c r="K10509" s="711"/>
      <c r="L10509" s="711"/>
      <c r="Q10509" s="11"/>
      <c r="R10509" s="11"/>
      <c r="S10509" s="11"/>
      <c r="T10509" s="11"/>
    </row>
    <row r="10510" spans="8:20" x14ac:dyDescent="0.35">
      <c r="H10510" s="711"/>
      <c r="I10510" s="711"/>
      <c r="J10510" s="711"/>
      <c r="K10510" s="711"/>
      <c r="L10510" s="711"/>
      <c r="Q10510" s="11"/>
      <c r="R10510" s="11"/>
      <c r="S10510" s="11"/>
      <c r="T10510" s="11"/>
    </row>
    <row r="10511" spans="8:20" x14ac:dyDescent="0.35">
      <c r="H10511" s="711"/>
      <c r="I10511" s="711"/>
      <c r="J10511" s="711"/>
      <c r="K10511" s="711"/>
      <c r="L10511" s="711"/>
      <c r="Q10511" s="11"/>
      <c r="R10511" s="11"/>
      <c r="S10511" s="11"/>
      <c r="T10511" s="11"/>
    </row>
    <row r="10512" spans="8:20" x14ac:dyDescent="0.35">
      <c r="H10512" s="711"/>
      <c r="I10512" s="711"/>
      <c r="J10512" s="711"/>
      <c r="K10512" s="711"/>
      <c r="L10512" s="711"/>
      <c r="Q10512" s="11"/>
      <c r="R10512" s="11"/>
      <c r="S10512" s="11"/>
      <c r="T10512" s="11"/>
    </row>
    <row r="10513" spans="8:20" x14ac:dyDescent="0.35">
      <c r="H10513" s="711"/>
      <c r="I10513" s="711"/>
      <c r="J10513" s="711"/>
      <c r="K10513" s="711"/>
      <c r="L10513" s="711"/>
      <c r="Q10513" s="11"/>
      <c r="R10513" s="11"/>
      <c r="S10513" s="11"/>
      <c r="T10513" s="11"/>
    </row>
    <row r="10514" spans="8:20" x14ac:dyDescent="0.35">
      <c r="H10514" s="711"/>
      <c r="I10514" s="711"/>
      <c r="J10514" s="711"/>
      <c r="K10514" s="711"/>
      <c r="L10514" s="711"/>
      <c r="Q10514" s="11"/>
      <c r="R10514" s="11"/>
      <c r="S10514" s="11"/>
      <c r="T10514" s="11"/>
    </row>
    <row r="10515" spans="8:20" x14ac:dyDescent="0.35">
      <c r="H10515" s="711"/>
      <c r="I10515" s="711"/>
      <c r="J10515" s="711"/>
      <c r="K10515" s="711"/>
      <c r="L10515" s="711"/>
      <c r="Q10515" s="11"/>
      <c r="R10515" s="11"/>
      <c r="S10515" s="11"/>
      <c r="T10515" s="11"/>
    </row>
    <row r="10516" spans="8:20" x14ac:dyDescent="0.35">
      <c r="H10516" s="711"/>
      <c r="I10516" s="711"/>
      <c r="J10516" s="711"/>
      <c r="K10516" s="711"/>
      <c r="L10516" s="711"/>
      <c r="Q10516" s="11"/>
      <c r="R10516" s="11"/>
      <c r="S10516" s="11"/>
      <c r="T10516" s="11"/>
    </row>
    <row r="10517" spans="8:20" x14ac:dyDescent="0.35">
      <c r="H10517" s="711"/>
      <c r="I10517" s="711"/>
      <c r="J10517" s="711"/>
      <c r="K10517" s="711"/>
      <c r="L10517" s="711"/>
      <c r="Q10517" s="11"/>
      <c r="R10517" s="11"/>
      <c r="S10517" s="11"/>
      <c r="T10517" s="11"/>
    </row>
    <row r="10518" spans="8:20" x14ac:dyDescent="0.35">
      <c r="H10518" s="711"/>
      <c r="I10518" s="711"/>
      <c r="J10518" s="711"/>
      <c r="K10518" s="711"/>
      <c r="L10518" s="711"/>
      <c r="Q10518" s="11"/>
      <c r="R10518" s="11"/>
      <c r="S10518" s="11"/>
      <c r="T10518" s="11"/>
    </row>
    <row r="10519" spans="8:20" x14ac:dyDescent="0.35">
      <c r="H10519" s="711"/>
      <c r="I10519" s="711"/>
      <c r="J10519" s="711"/>
      <c r="K10519" s="711"/>
      <c r="L10519" s="711"/>
      <c r="Q10519" s="11"/>
      <c r="R10519" s="11"/>
      <c r="S10519" s="11"/>
      <c r="T10519" s="11"/>
    </row>
    <row r="10520" spans="8:20" x14ac:dyDescent="0.35">
      <c r="H10520" s="711"/>
      <c r="I10520" s="711"/>
      <c r="J10520" s="711"/>
      <c r="K10520" s="711"/>
      <c r="L10520" s="711"/>
      <c r="Q10520" s="11"/>
      <c r="R10520" s="11"/>
      <c r="S10520" s="11"/>
      <c r="T10520" s="11"/>
    </row>
    <row r="10521" spans="8:20" x14ac:dyDescent="0.35">
      <c r="H10521" s="711"/>
      <c r="I10521" s="711"/>
      <c r="J10521" s="711"/>
      <c r="K10521" s="711"/>
      <c r="L10521" s="711"/>
      <c r="Q10521" s="11"/>
      <c r="R10521" s="11"/>
      <c r="S10521" s="11"/>
      <c r="T10521" s="11"/>
    </row>
    <row r="10522" spans="8:20" x14ac:dyDescent="0.35">
      <c r="H10522" s="711"/>
      <c r="I10522" s="711"/>
      <c r="J10522" s="711"/>
      <c r="K10522" s="711"/>
      <c r="L10522" s="711"/>
      <c r="Q10522" s="11"/>
      <c r="R10522" s="11"/>
      <c r="S10522" s="11"/>
      <c r="T10522" s="11"/>
    </row>
    <row r="10523" spans="8:20" x14ac:dyDescent="0.35">
      <c r="H10523" s="711"/>
      <c r="I10523" s="711"/>
      <c r="J10523" s="711"/>
      <c r="K10523" s="711"/>
      <c r="L10523" s="711"/>
      <c r="Q10523" s="11"/>
      <c r="R10523" s="11"/>
      <c r="S10523" s="11"/>
      <c r="T10523" s="11"/>
    </row>
    <row r="10524" spans="8:20" x14ac:dyDescent="0.35">
      <c r="H10524" s="711"/>
      <c r="I10524" s="711"/>
      <c r="J10524" s="711"/>
      <c r="K10524" s="711"/>
      <c r="L10524" s="711"/>
      <c r="Q10524" s="11"/>
      <c r="R10524" s="11"/>
      <c r="S10524" s="11"/>
      <c r="T10524" s="11"/>
    </row>
    <row r="10525" spans="8:20" x14ac:dyDescent="0.35">
      <c r="H10525" s="711"/>
      <c r="I10525" s="711"/>
      <c r="J10525" s="711"/>
      <c r="K10525" s="711"/>
      <c r="L10525" s="711"/>
      <c r="Q10525" s="11"/>
      <c r="R10525" s="11"/>
      <c r="S10525" s="11"/>
      <c r="T10525" s="11"/>
    </row>
    <row r="10526" spans="8:20" x14ac:dyDescent="0.35">
      <c r="H10526" s="711"/>
      <c r="I10526" s="711"/>
      <c r="J10526" s="711"/>
      <c r="K10526" s="711"/>
      <c r="L10526" s="711"/>
      <c r="Q10526" s="11"/>
      <c r="R10526" s="11"/>
      <c r="S10526" s="11"/>
      <c r="T10526" s="11"/>
    </row>
    <row r="10527" spans="8:20" x14ac:dyDescent="0.35">
      <c r="H10527" s="711"/>
      <c r="I10527" s="711"/>
      <c r="J10527" s="711"/>
      <c r="K10527" s="711"/>
      <c r="L10527" s="711"/>
      <c r="Q10527" s="11"/>
      <c r="R10527" s="11"/>
      <c r="S10527" s="11"/>
      <c r="T10527" s="11"/>
    </row>
    <row r="10528" spans="8:20" x14ac:dyDescent="0.35">
      <c r="H10528" s="711"/>
      <c r="I10528" s="711"/>
      <c r="J10528" s="711"/>
      <c r="K10528" s="711"/>
      <c r="L10528" s="711"/>
      <c r="Q10528" s="11"/>
      <c r="R10528" s="11"/>
      <c r="S10528" s="11"/>
      <c r="T10528" s="11"/>
    </row>
    <row r="10529" spans="8:20" x14ac:dyDescent="0.35">
      <c r="H10529" s="711"/>
      <c r="I10529" s="711"/>
      <c r="J10529" s="711"/>
      <c r="K10529" s="711"/>
      <c r="L10529" s="711"/>
      <c r="Q10529" s="11"/>
      <c r="R10529" s="11"/>
      <c r="S10529" s="11"/>
      <c r="T10529" s="11"/>
    </row>
    <row r="10530" spans="8:20" x14ac:dyDescent="0.35">
      <c r="H10530" s="711"/>
      <c r="I10530" s="711"/>
      <c r="J10530" s="711"/>
      <c r="K10530" s="711"/>
      <c r="L10530" s="711"/>
      <c r="Q10530" s="11"/>
      <c r="R10530" s="11"/>
      <c r="S10530" s="11"/>
      <c r="T10530" s="11"/>
    </row>
    <row r="10531" spans="8:20" x14ac:dyDescent="0.35">
      <c r="H10531" s="711"/>
      <c r="I10531" s="711"/>
      <c r="J10531" s="711"/>
      <c r="K10531" s="711"/>
      <c r="L10531" s="711"/>
      <c r="Q10531" s="11"/>
      <c r="R10531" s="11"/>
      <c r="S10531" s="11"/>
      <c r="T10531" s="11"/>
    </row>
    <row r="10532" spans="8:20" x14ac:dyDescent="0.35">
      <c r="H10532" s="711"/>
      <c r="I10532" s="711"/>
      <c r="J10532" s="711"/>
      <c r="K10532" s="711"/>
      <c r="L10532" s="711"/>
      <c r="Q10532" s="11"/>
      <c r="R10532" s="11"/>
      <c r="S10532" s="11"/>
      <c r="T10532" s="11"/>
    </row>
    <row r="10533" spans="8:20" x14ac:dyDescent="0.35">
      <c r="H10533" s="711"/>
      <c r="I10533" s="711"/>
      <c r="J10533" s="711"/>
      <c r="K10533" s="711"/>
      <c r="L10533" s="711"/>
      <c r="Q10533" s="11"/>
      <c r="R10533" s="11"/>
      <c r="S10533" s="11"/>
      <c r="T10533" s="11"/>
    </row>
    <row r="10534" spans="8:20" x14ac:dyDescent="0.35">
      <c r="H10534" s="711"/>
      <c r="I10534" s="711"/>
      <c r="J10534" s="711"/>
      <c r="K10534" s="711"/>
      <c r="L10534" s="711"/>
      <c r="Q10534" s="11"/>
      <c r="R10534" s="11"/>
      <c r="S10534" s="11"/>
      <c r="T10534" s="11"/>
    </row>
    <row r="10535" spans="8:20" x14ac:dyDescent="0.35">
      <c r="H10535" s="711"/>
      <c r="I10535" s="711"/>
      <c r="J10535" s="711"/>
      <c r="K10535" s="711"/>
      <c r="L10535" s="711"/>
      <c r="Q10535" s="11"/>
      <c r="R10535" s="11"/>
      <c r="S10535" s="11"/>
      <c r="T10535" s="11"/>
    </row>
    <row r="10536" spans="8:20" x14ac:dyDescent="0.35">
      <c r="H10536" s="711"/>
      <c r="I10536" s="711"/>
      <c r="J10536" s="711"/>
      <c r="K10536" s="711"/>
      <c r="L10536" s="711"/>
      <c r="Q10536" s="11"/>
      <c r="R10536" s="11"/>
      <c r="S10536" s="11"/>
      <c r="T10536" s="11"/>
    </row>
    <row r="10537" spans="8:20" x14ac:dyDescent="0.35">
      <c r="H10537" s="711"/>
      <c r="I10537" s="711"/>
      <c r="J10537" s="711"/>
      <c r="K10537" s="711"/>
      <c r="L10537" s="711"/>
      <c r="Q10537" s="11"/>
      <c r="R10537" s="11"/>
      <c r="S10537" s="11"/>
      <c r="T10537" s="11"/>
    </row>
    <row r="10538" spans="8:20" x14ac:dyDescent="0.35">
      <c r="H10538" s="711"/>
      <c r="I10538" s="711"/>
      <c r="J10538" s="711"/>
      <c r="K10538" s="711"/>
      <c r="L10538" s="711"/>
      <c r="Q10538" s="11"/>
      <c r="R10538" s="11"/>
      <c r="S10538" s="11"/>
      <c r="T10538" s="11"/>
    </row>
    <row r="10539" spans="8:20" x14ac:dyDescent="0.35">
      <c r="H10539" s="711"/>
      <c r="I10539" s="711"/>
      <c r="J10539" s="711"/>
      <c r="K10539" s="711"/>
      <c r="L10539" s="711"/>
      <c r="Q10539" s="11"/>
      <c r="R10539" s="11"/>
      <c r="S10539" s="11"/>
      <c r="T10539" s="11"/>
    </row>
    <row r="10540" spans="8:20" x14ac:dyDescent="0.35">
      <c r="H10540" s="711"/>
      <c r="I10540" s="711"/>
      <c r="J10540" s="711"/>
      <c r="K10540" s="711"/>
      <c r="L10540" s="711"/>
      <c r="Q10540" s="11"/>
      <c r="R10540" s="11"/>
      <c r="S10540" s="11"/>
      <c r="T10540" s="11"/>
    </row>
    <row r="10541" spans="8:20" x14ac:dyDescent="0.35">
      <c r="H10541" s="711"/>
      <c r="I10541" s="711"/>
      <c r="J10541" s="711"/>
      <c r="K10541" s="711"/>
      <c r="L10541" s="711"/>
      <c r="Q10541" s="11"/>
      <c r="R10541" s="11"/>
      <c r="S10541" s="11"/>
      <c r="T10541" s="11"/>
    </row>
    <row r="10542" spans="8:20" x14ac:dyDescent="0.35">
      <c r="H10542" s="711"/>
      <c r="I10542" s="711"/>
      <c r="J10542" s="711"/>
      <c r="K10542" s="711"/>
      <c r="L10542" s="711"/>
      <c r="Q10542" s="11"/>
      <c r="R10542" s="11"/>
      <c r="S10542" s="11"/>
      <c r="T10542" s="11"/>
    </row>
    <row r="10543" spans="8:20" x14ac:dyDescent="0.35">
      <c r="H10543" s="711"/>
      <c r="I10543" s="711"/>
      <c r="J10543" s="711"/>
      <c r="K10543" s="711"/>
      <c r="L10543" s="711"/>
      <c r="Q10543" s="11"/>
      <c r="R10543" s="11"/>
      <c r="S10543" s="11"/>
      <c r="T10543" s="11"/>
    </row>
    <row r="10544" spans="8:20" x14ac:dyDescent="0.35">
      <c r="H10544" s="711"/>
      <c r="I10544" s="711"/>
      <c r="J10544" s="711"/>
      <c r="K10544" s="711"/>
      <c r="L10544" s="711"/>
      <c r="Q10544" s="11"/>
      <c r="R10544" s="11"/>
      <c r="S10544" s="11"/>
      <c r="T10544" s="11"/>
    </row>
    <row r="10545" spans="8:20" x14ac:dyDescent="0.35">
      <c r="H10545" s="711"/>
      <c r="I10545" s="711"/>
      <c r="J10545" s="711"/>
      <c r="K10545" s="711"/>
      <c r="L10545" s="711"/>
      <c r="Q10545" s="11"/>
      <c r="R10545" s="11"/>
      <c r="S10545" s="11"/>
      <c r="T10545" s="11"/>
    </row>
    <row r="10546" spans="8:20" x14ac:dyDescent="0.35">
      <c r="H10546" s="711"/>
      <c r="I10546" s="711"/>
      <c r="J10546" s="711"/>
      <c r="K10546" s="711"/>
      <c r="L10546" s="711"/>
      <c r="Q10546" s="11"/>
      <c r="R10546" s="11"/>
      <c r="S10546" s="11"/>
      <c r="T10546" s="11"/>
    </row>
    <row r="10547" spans="8:20" x14ac:dyDescent="0.35">
      <c r="H10547" s="711"/>
      <c r="I10547" s="711"/>
      <c r="J10547" s="711"/>
      <c r="K10547" s="711"/>
      <c r="L10547" s="711"/>
      <c r="Q10547" s="11"/>
      <c r="R10547" s="11"/>
      <c r="S10547" s="11"/>
      <c r="T10547" s="11"/>
    </row>
    <row r="10548" spans="8:20" x14ac:dyDescent="0.35">
      <c r="H10548" s="711"/>
      <c r="I10548" s="711"/>
      <c r="J10548" s="711"/>
      <c r="K10548" s="711"/>
      <c r="L10548" s="711"/>
      <c r="Q10548" s="11"/>
      <c r="R10548" s="11"/>
      <c r="S10548" s="11"/>
      <c r="T10548" s="11"/>
    </row>
    <row r="10549" spans="8:20" x14ac:dyDescent="0.35">
      <c r="H10549" s="711"/>
      <c r="I10549" s="711"/>
      <c r="J10549" s="711"/>
      <c r="K10549" s="711"/>
      <c r="L10549" s="711"/>
      <c r="Q10549" s="11"/>
      <c r="R10549" s="11"/>
      <c r="S10549" s="11"/>
      <c r="T10549" s="11"/>
    </row>
    <row r="10550" spans="8:20" x14ac:dyDescent="0.35">
      <c r="H10550" s="711"/>
      <c r="I10550" s="711"/>
      <c r="J10550" s="711"/>
      <c r="K10550" s="711"/>
      <c r="L10550" s="711"/>
      <c r="Q10550" s="11"/>
      <c r="R10550" s="11"/>
      <c r="S10550" s="11"/>
      <c r="T10550" s="11"/>
    </row>
    <row r="10551" spans="8:20" x14ac:dyDescent="0.35">
      <c r="H10551" s="711"/>
      <c r="I10551" s="711"/>
      <c r="J10551" s="711"/>
      <c r="K10551" s="711"/>
      <c r="L10551" s="711"/>
      <c r="Q10551" s="11"/>
      <c r="R10551" s="11"/>
      <c r="S10551" s="11"/>
      <c r="T10551" s="11"/>
    </row>
    <row r="10552" spans="8:20" x14ac:dyDescent="0.35">
      <c r="H10552" s="711"/>
      <c r="I10552" s="711"/>
      <c r="J10552" s="711"/>
      <c r="K10552" s="711"/>
      <c r="L10552" s="711"/>
      <c r="Q10552" s="11"/>
      <c r="R10552" s="11"/>
      <c r="S10552" s="11"/>
      <c r="T10552" s="11"/>
    </row>
    <row r="10553" spans="8:20" x14ac:dyDescent="0.35">
      <c r="H10553" s="711"/>
      <c r="I10553" s="711"/>
      <c r="J10553" s="711"/>
      <c r="K10553" s="711"/>
      <c r="L10553" s="711"/>
      <c r="Q10553" s="11"/>
      <c r="R10553" s="11"/>
      <c r="S10553" s="11"/>
      <c r="T10553" s="11"/>
    </row>
    <row r="10554" spans="8:20" x14ac:dyDescent="0.35">
      <c r="H10554" s="711"/>
      <c r="I10554" s="711"/>
      <c r="J10554" s="711"/>
      <c r="K10554" s="711"/>
      <c r="L10554" s="711"/>
      <c r="Q10554" s="11"/>
      <c r="R10554" s="11"/>
      <c r="S10554" s="11"/>
      <c r="T10554" s="11"/>
    </row>
    <row r="10555" spans="8:20" x14ac:dyDescent="0.35">
      <c r="H10555" s="711"/>
      <c r="I10555" s="711"/>
      <c r="J10555" s="711"/>
      <c r="K10555" s="711"/>
      <c r="L10555" s="711"/>
      <c r="Q10555" s="11"/>
      <c r="R10555" s="11"/>
      <c r="S10555" s="11"/>
      <c r="T10555" s="11"/>
    </row>
    <row r="10556" spans="8:20" x14ac:dyDescent="0.35">
      <c r="H10556" s="711"/>
      <c r="I10556" s="711"/>
      <c r="J10556" s="711"/>
      <c r="K10556" s="711"/>
      <c r="L10556" s="711"/>
      <c r="Q10556" s="11"/>
      <c r="R10556" s="11"/>
      <c r="S10556" s="11"/>
      <c r="T10556" s="11"/>
    </row>
    <row r="10557" spans="8:20" x14ac:dyDescent="0.35">
      <c r="H10557" s="711"/>
      <c r="I10557" s="711"/>
      <c r="J10557" s="711"/>
      <c r="K10557" s="711"/>
      <c r="L10557" s="711"/>
      <c r="Q10557" s="11"/>
      <c r="R10557" s="11"/>
      <c r="S10557" s="11"/>
      <c r="T10557" s="11"/>
    </row>
    <row r="10558" spans="8:20" x14ac:dyDescent="0.35">
      <c r="H10558" s="711"/>
      <c r="I10558" s="711"/>
      <c r="J10558" s="711"/>
      <c r="K10558" s="711"/>
      <c r="L10558" s="711"/>
      <c r="Q10558" s="11"/>
      <c r="R10558" s="11"/>
      <c r="S10558" s="11"/>
      <c r="T10558" s="11"/>
    </row>
    <row r="10559" spans="8:20" x14ac:dyDescent="0.35">
      <c r="H10559" s="711"/>
      <c r="I10559" s="711"/>
      <c r="J10559" s="711"/>
      <c r="K10559" s="711"/>
      <c r="L10559" s="711"/>
      <c r="Q10559" s="11"/>
      <c r="R10559" s="11"/>
      <c r="S10559" s="11"/>
      <c r="T10559" s="11"/>
    </row>
    <row r="10560" spans="8:20" x14ac:dyDescent="0.35">
      <c r="H10560" s="711"/>
      <c r="I10560" s="711"/>
      <c r="J10560" s="711"/>
      <c r="K10560" s="711"/>
      <c r="L10560" s="711"/>
      <c r="Q10560" s="11"/>
      <c r="R10560" s="11"/>
      <c r="S10560" s="11"/>
      <c r="T10560" s="11"/>
    </row>
    <row r="10561" spans="8:20" x14ac:dyDescent="0.35">
      <c r="H10561" s="711"/>
      <c r="I10561" s="711"/>
      <c r="J10561" s="711"/>
      <c r="K10561" s="711"/>
      <c r="L10561" s="711"/>
      <c r="Q10561" s="11"/>
      <c r="R10561" s="11"/>
      <c r="S10561" s="11"/>
      <c r="T10561" s="11"/>
    </row>
    <row r="10562" spans="8:20" x14ac:dyDescent="0.35">
      <c r="H10562" s="711"/>
      <c r="I10562" s="711"/>
      <c r="J10562" s="711"/>
      <c r="K10562" s="711"/>
      <c r="L10562" s="711"/>
      <c r="Q10562" s="11"/>
      <c r="R10562" s="11"/>
      <c r="S10562" s="11"/>
      <c r="T10562" s="11"/>
    </row>
    <row r="10563" spans="8:20" x14ac:dyDescent="0.35">
      <c r="H10563" s="711"/>
      <c r="I10563" s="711"/>
      <c r="J10563" s="711"/>
      <c r="K10563" s="711"/>
      <c r="L10563" s="711"/>
      <c r="Q10563" s="11"/>
      <c r="R10563" s="11"/>
      <c r="S10563" s="11"/>
      <c r="T10563" s="11"/>
    </row>
    <row r="10564" spans="8:20" x14ac:dyDescent="0.35">
      <c r="H10564" s="711"/>
      <c r="I10564" s="711"/>
      <c r="J10564" s="711"/>
      <c r="K10564" s="711"/>
      <c r="L10564" s="711"/>
      <c r="Q10564" s="11"/>
      <c r="R10564" s="11"/>
      <c r="S10564" s="11"/>
      <c r="T10564" s="11"/>
    </row>
    <row r="10565" spans="8:20" x14ac:dyDescent="0.35">
      <c r="H10565" s="711"/>
      <c r="I10565" s="711"/>
      <c r="J10565" s="711"/>
      <c r="K10565" s="711"/>
      <c r="L10565" s="711"/>
      <c r="Q10565" s="11"/>
      <c r="R10565" s="11"/>
      <c r="S10565" s="11"/>
      <c r="T10565" s="11"/>
    </row>
    <row r="10566" spans="8:20" x14ac:dyDescent="0.35">
      <c r="H10566" s="711"/>
      <c r="I10566" s="711"/>
      <c r="J10566" s="711"/>
      <c r="K10566" s="711"/>
      <c r="L10566" s="711"/>
      <c r="Q10566" s="11"/>
      <c r="R10566" s="11"/>
      <c r="S10566" s="11"/>
      <c r="T10566" s="11"/>
    </row>
    <row r="10567" spans="8:20" x14ac:dyDescent="0.35">
      <c r="H10567" s="711"/>
      <c r="I10567" s="711"/>
      <c r="J10567" s="711"/>
      <c r="K10567" s="711"/>
      <c r="L10567" s="711"/>
      <c r="Q10567" s="11"/>
      <c r="R10567" s="11"/>
      <c r="S10567" s="11"/>
      <c r="T10567" s="11"/>
    </row>
    <row r="10568" spans="8:20" x14ac:dyDescent="0.35">
      <c r="H10568" s="711"/>
      <c r="I10568" s="711"/>
      <c r="J10568" s="711"/>
      <c r="K10568" s="711"/>
      <c r="L10568" s="711"/>
      <c r="Q10568" s="11"/>
      <c r="R10568" s="11"/>
      <c r="S10568" s="11"/>
      <c r="T10568" s="11"/>
    </row>
    <row r="10569" spans="8:20" x14ac:dyDescent="0.35">
      <c r="H10569" s="711"/>
      <c r="I10569" s="711"/>
      <c r="J10569" s="711"/>
      <c r="K10569" s="711"/>
      <c r="L10569" s="711"/>
      <c r="Q10569" s="11"/>
      <c r="R10569" s="11"/>
      <c r="S10569" s="11"/>
      <c r="T10569" s="11"/>
    </row>
    <row r="10570" spans="8:20" x14ac:dyDescent="0.35">
      <c r="H10570" s="711"/>
      <c r="I10570" s="711"/>
      <c r="J10570" s="711"/>
      <c r="K10570" s="711"/>
      <c r="L10570" s="711"/>
      <c r="Q10570" s="11"/>
      <c r="R10570" s="11"/>
      <c r="S10570" s="11"/>
      <c r="T10570" s="11"/>
    </row>
    <row r="10571" spans="8:20" x14ac:dyDescent="0.35">
      <c r="H10571" s="711"/>
      <c r="I10571" s="711"/>
      <c r="J10571" s="711"/>
      <c r="K10571" s="711"/>
      <c r="L10571" s="711"/>
      <c r="Q10571" s="11"/>
      <c r="R10571" s="11"/>
      <c r="S10571" s="11"/>
      <c r="T10571" s="11"/>
    </row>
    <row r="10572" spans="8:20" x14ac:dyDescent="0.35">
      <c r="H10572" s="711"/>
      <c r="I10572" s="711"/>
      <c r="J10572" s="711"/>
      <c r="K10572" s="711"/>
      <c r="L10572" s="711"/>
      <c r="Q10572" s="11"/>
      <c r="R10572" s="11"/>
      <c r="S10572" s="11"/>
      <c r="T10572" s="11"/>
    </row>
    <row r="10573" spans="8:20" x14ac:dyDescent="0.35">
      <c r="H10573" s="711"/>
      <c r="I10573" s="711"/>
      <c r="J10573" s="711"/>
      <c r="K10573" s="711"/>
      <c r="L10573" s="711"/>
      <c r="Q10573" s="11"/>
      <c r="R10573" s="11"/>
      <c r="S10573" s="11"/>
      <c r="T10573" s="11"/>
    </row>
    <row r="10574" spans="8:20" x14ac:dyDescent="0.35">
      <c r="H10574" s="711"/>
      <c r="I10574" s="711"/>
      <c r="J10574" s="711"/>
      <c r="K10574" s="711"/>
      <c r="L10574" s="711"/>
      <c r="Q10574" s="11"/>
      <c r="R10574" s="11"/>
      <c r="S10574" s="11"/>
      <c r="T10574" s="11"/>
    </row>
    <row r="10575" spans="8:20" x14ac:dyDescent="0.35">
      <c r="H10575" s="711"/>
      <c r="I10575" s="711"/>
      <c r="J10575" s="711"/>
      <c r="K10575" s="711"/>
      <c r="L10575" s="711"/>
      <c r="Q10575" s="11"/>
      <c r="R10575" s="11"/>
      <c r="S10575" s="11"/>
      <c r="T10575" s="11"/>
    </row>
    <row r="10576" spans="8:20" x14ac:dyDescent="0.35">
      <c r="H10576" s="711"/>
      <c r="I10576" s="711"/>
      <c r="J10576" s="711"/>
      <c r="K10576" s="711"/>
      <c r="L10576" s="711"/>
      <c r="Q10576" s="11"/>
      <c r="R10576" s="11"/>
      <c r="S10576" s="11"/>
      <c r="T10576" s="11"/>
    </row>
    <row r="10577" spans="8:20" x14ac:dyDescent="0.35">
      <c r="H10577" s="711"/>
      <c r="I10577" s="711"/>
      <c r="J10577" s="711"/>
      <c r="K10577" s="711"/>
      <c r="L10577" s="711"/>
      <c r="Q10577" s="11"/>
      <c r="R10577" s="11"/>
      <c r="S10577" s="11"/>
      <c r="T10577" s="11"/>
    </row>
    <row r="10578" spans="8:20" x14ac:dyDescent="0.35">
      <c r="H10578" s="711"/>
      <c r="I10578" s="711"/>
      <c r="J10578" s="711"/>
      <c r="K10578" s="711"/>
      <c r="L10578" s="711"/>
      <c r="Q10578" s="11"/>
      <c r="R10578" s="11"/>
      <c r="S10578" s="11"/>
      <c r="T10578" s="11"/>
    </row>
    <row r="10579" spans="8:20" x14ac:dyDescent="0.35">
      <c r="H10579" s="711"/>
      <c r="I10579" s="711"/>
      <c r="J10579" s="711"/>
      <c r="K10579" s="711"/>
      <c r="L10579" s="711"/>
      <c r="Q10579" s="11"/>
      <c r="R10579" s="11"/>
      <c r="S10579" s="11"/>
      <c r="T10579" s="11"/>
    </row>
    <row r="10580" spans="8:20" x14ac:dyDescent="0.35">
      <c r="H10580" s="711"/>
      <c r="I10580" s="711"/>
      <c r="J10580" s="711"/>
      <c r="K10580" s="711"/>
      <c r="L10580" s="711"/>
      <c r="Q10580" s="11"/>
      <c r="R10580" s="11"/>
      <c r="S10580" s="11"/>
      <c r="T10580" s="11"/>
    </row>
    <row r="10581" spans="8:20" x14ac:dyDescent="0.35">
      <c r="H10581" s="711"/>
      <c r="I10581" s="711"/>
      <c r="J10581" s="711"/>
      <c r="K10581" s="711"/>
      <c r="L10581" s="711"/>
      <c r="Q10581" s="11"/>
      <c r="R10581" s="11"/>
      <c r="S10581" s="11"/>
      <c r="T10581" s="11"/>
    </row>
    <row r="10582" spans="8:20" x14ac:dyDescent="0.35">
      <c r="H10582" s="711"/>
      <c r="I10582" s="711"/>
      <c r="J10582" s="711"/>
      <c r="K10582" s="711"/>
      <c r="L10582" s="711"/>
      <c r="Q10582" s="11"/>
      <c r="R10582" s="11"/>
      <c r="S10582" s="11"/>
      <c r="T10582" s="11"/>
    </row>
    <row r="10583" spans="8:20" x14ac:dyDescent="0.35">
      <c r="H10583" s="711"/>
      <c r="I10583" s="711"/>
      <c r="J10583" s="711"/>
      <c r="K10583" s="711"/>
      <c r="L10583" s="711"/>
      <c r="Q10583" s="11"/>
      <c r="R10583" s="11"/>
      <c r="S10583" s="11"/>
      <c r="T10583" s="11"/>
    </row>
    <row r="10584" spans="8:20" x14ac:dyDescent="0.35">
      <c r="H10584" s="711"/>
      <c r="I10584" s="711"/>
      <c r="J10584" s="711"/>
      <c r="K10584" s="711"/>
      <c r="L10584" s="711"/>
      <c r="Q10584" s="11"/>
      <c r="R10584" s="11"/>
      <c r="S10584" s="11"/>
      <c r="T10584" s="11"/>
    </row>
    <row r="10585" spans="8:20" x14ac:dyDescent="0.35">
      <c r="H10585" s="711"/>
      <c r="I10585" s="711"/>
      <c r="J10585" s="711"/>
      <c r="K10585" s="711"/>
      <c r="L10585" s="711"/>
      <c r="Q10585" s="11"/>
      <c r="R10585" s="11"/>
      <c r="S10585" s="11"/>
      <c r="T10585" s="11"/>
    </row>
    <row r="10586" spans="8:20" x14ac:dyDescent="0.35">
      <c r="H10586" s="711"/>
      <c r="I10586" s="711"/>
      <c r="J10586" s="711"/>
      <c r="K10586" s="711"/>
      <c r="L10586" s="711"/>
      <c r="Q10586" s="11"/>
      <c r="R10586" s="11"/>
      <c r="S10586" s="11"/>
      <c r="T10586" s="11"/>
    </row>
    <row r="10587" spans="8:20" x14ac:dyDescent="0.35">
      <c r="H10587" s="711"/>
      <c r="I10587" s="711"/>
      <c r="J10587" s="711"/>
      <c r="K10587" s="711"/>
      <c r="L10587" s="711"/>
      <c r="Q10587" s="11"/>
      <c r="R10587" s="11"/>
      <c r="S10587" s="11"/>
      <c r="T10587" s="11"/>
    </row>
    <row r="10588" spans="8:20" x14ac:dyDescent="0.35">
      <c r="H10588" s="711"/>
      <c r="I10588" s="711"/>
      <c r="J10588" s="711"/>
      <c r="K10588" s="711"/>
      <c r="L10588" s="711"/>
      <c r="Q10588" s="11"/>
      <c r="R10588" s="11"/>
      <c r="S10588" s="11"/>
      <c r="T10588" s="11"/>
    </row>
    <row r="10589" spans="8:20" x14ac:dyDescent="0.35">
      <c r="H10589" s="711"/>
      <c r="I10589" s="711"/>
      <c r="J10589" s="711"/>
      <c r="K10589" s="711"/>
      <c r="L10589" s="711"/>
      <c r="Q10589" s="11"/>
      <c r="R10589" s="11"/>
      <c r="S10589" s="11"/>
      <c r="T10589" s="11"/>
    </row>
    <row r="10590" spans="8:20" x14ac:dyDescent="0.35">
      <c r="H10590" s="711"/>
      <c r="I10590" s="711"/>
      <c r="J10590" s="711"/>
      <c r="K10590" s="711"/>
      <c r="L10590" s="711"/>
      <c r="Q10590" s="11"/>
      <c r="R10590" s="11"/>
      <c r="S10590" s="11"/>
      <c r="T10590" s="11"/>
    </row>
    <row r="10591" spans="8:20" x14ac:dyDescent="0.35">
      <c r="H10591" s="711"/>
      <c r="I10591" s="711"/>
      <c r="J10591" s="711"/>
      <c r="K10591" s="711"/>
      <c r="L10591" s="711"/>
      <c r="Q10591" s="11"/>
      <c r="R10591" s="11"/>
      <c r="S10591" s="11"/>
      <c r="T10591" s="11"/>
    </row>
    <row r="10592" spans="8:20" x14ac:dyDescent="0.35">
      <c r="H10592" s="711"/>
      <c r="I10592" s="711"/>
      <c r="J10592" s="711"/>
      <c r="K10592" s="711"/>
      <c r="L10592" s="711"/>
      <c r="Q10592" s="11"/>
      <c r="R10592" s="11"/>
      <c r="S10592" s="11"/>
      <c r="T10592" s="11"/>
    </row>
    <row r="10593" spans="8:20" x14ac:dyDescent="0.35">
      <c r="H10593" s="711"/>
      <c r="I10593" s="711"/>
      <c r="J10593" s="711"/>
      <c r="K10593" s="711"/>
      <c r="L10593" s="711"/>
      <c r="Q10593" s="11"/>
      <c r="R10593" s="11"/>
      <c r="S10593" s="11"/>
      <c r="T10593" s="11"/>
    </row>
    <row r="10594" spans="8:20" x14ac:dyDescent="0.35">
      <c r="H10594" s="711"/>
      <c r="I10594" s="711"/>
      <c r="J10594" s="711"/>
      <c r="K10594" s="711"/>
      <c r="L10594" s="711"/>
      <c r="Q10594" s="11"/>
      <c r="R10594" s="11"/>
      <c r="S10594" s="11"/>
      <c r="T10594" s="11"/>
    </row>
    <row r="10595" spans="8:20" x14ac:dyDescent="0.35">
      <c r="H10595" s="711"/>
      <c r="I10595" s="711"/>
      <c r="J10595" s="711"/>
      <c r="K10595" s="711"/>
      <c r="L10595" s="711"/>
      <c r="Q10595" s="11"/>
      <c r="R10595" s="11"/>
      <c r="S10595" s="11"/>
      <c r="T10595" s="11"/>
    </row>
    <row r="10596" spans="8:20" x14ac:dyDescent="0.35">
      <c r="H10596" s="711"/>
      <c r="I10596" s="711"/>
      <c r="J10596" s="711"/>
      <c r="K10596" s="711"/>
      <c r="L10596" s="711"/>
      <c r="Q10596" s="11"/>
      <c r="R10596" s="11"/>
      <c r="S10596" s="11"/>
      <c r="T10596" s="11"/>
    </row>
    <row r="10597" spans="8:20" x14ac:dyDescent="0.35">
      <c r="H10597" s="711"/>
      <c r="I10597" s="711"/>
      <c r="J10597" s="711"/>
      <c r="K10597" s="711"/>
      <c r="L10597" s="711"/>
      <c r="Q10597" s="11"/>
      <c r="R10597" s="11"/>
      <c r="S10597" s="11"/>
      <c r="T10597" s="11"/>
    </row>
    <row r="10598" spans="8:20" x14ac:dyDescent="0.35">
      <c r="H10598" s="711"/>
      <c r="I10598" s="711"/>
      <c r="J10598" s="711"/>
      <c r="K10598" s="711"/>
      <c r="L10598" s="711"/>
      <c r="Q10598" s="11"/>
      <c r="R10598" s="11"/>
      <c r="S10598" s="11"/>
      <c r="T10598" s="11"/>
    </row>
    <row r="10599" spans="8:20" x14ac:dyDescent="0.35">
      <c r="H10599" s="711"/>
      <c r="I10599" s="711"/>
      <c r="J10599" s="711"/>
      <c r="K10599" s="711"/>
      <c r="L10599" s="711"/>
      <c r="Q10599" s="11"/>
      <c r="R10599" s="11"/>
      <c r="S10599" s="11"/>
      <c r="T10599" s="11"/>
    </row>
    <row r="10600" spans="8:20" x14ac:dyDescent="0.35">
      <c r="H10600" s="711"/>
      <c r="I10600" s="711"/>
      <c r="J10600" s="711"/>
      <c r="K10600" s="711"/>
      <c r="L10600" s="711"/>
      <c r="Q10600" s="11"/>
      <c r="R10600" s="11"/>
      <c r="S10600" s="11"/>
      <c r="T10600" s="11"/>
    </row>
    <row r="10601" spans="8:20" x14ac:dyDescent="0.35">
      <c r="H10601" s="711"/>
      <c r="I10601" s="711"/>
      <c r="J10601" s="711"/>
      <c r="K10601" s="711"/>
      <c r="L10601" s="711"/>
      <c r="Q10601" s="11"/>
      <c r="R10601" s="11"/>
      <c r="S10601" s="11"/>
      <c r="T10601" s="11"/>
    </row>
    <row r="10602" spans="8:20" x14ac:dyDescent="0.35">
      <c r="H10602" s="711"/>
      <c r="I10602" s="711"/>
      <c r="J10602" s="711"/>
      <c r="K10602" s="711"/>
      <c r="L10602" s="711"/>
      <c r="Q10602" s="11"/>
      <c r="R10602" s="11"/>
      <c r="S10602" s="11"/>
      <c r="T10602" s="11"/>
    </row>
    <row r="10603" spans="8:20" x14ac:dyDescent="0.35">
      <c r="H10603" s="711"/>
      <c r="I10603" s="711"/>
      <c r="J10603" s="711"/>
      <c r="K10603" s="711"/>
      <c r="L10603" s="711"/>
      <c r="Q10603" s="11"/>
      <c r="R10603" s="11"/>
      <c r="S10603" s="11"/>
      <c r="T10603" s="11"/>
    </row>
    <row r="10604" spans="8:20" x14ac:dyDescent="0.35">
      <c r="H10604" s="711"/>
      <c r="I10604" s="711"/>
      <c r="J10604" s="711"/>
      <c r="K10604" s="711"/>
      <c r="L10604" s="711"/>
      <c r="Q10604" s="11"/>
      <c r="R10604" s="11"/>
      <c r="S10604" s="11"/>
      <c r="T10604" s="11"/>
    </row>
    <row r="10605" spans="8:20" x14ac:dyDescent="0.35">
      <c r="H10605" s="711"/>
      <c r="I10605" s="711"/>
      <c r="J10605" s="711"/>
      <c r="K10605" s="711"/>
      <c r="L10605" s="711"/>
      <c r="Q10605" s="11"/>
      <c r="R10605" s="11"/>
      <c r="S10605" s="11"/>
      <c r="T10605" s="11"/>
    </row>
    <row r="10606" spans="8:20" x14ac:dyDescent="0.35">
      <c r="H10606" s="711"/>
      <c r="I10606" s="711"/>
      <c r="J10606" s="711"/>
      <c r="K10606" s="711"/>
      <c r="L10606" s="711"/>
      <c r="Q10606" s="11"/>
      <c r="R10606" s="11"/>
      <c r="S10606" s="11"/>
      <c r="T10606" s="11"/>
    </row>
    <row r="10607" spans="8:20" x14ac:dyDescent="0.35">
      <c r="H10607" s="711"/>
      <c r="I10607" s="711"/>
      <c r="J10607" s="711"/>
      <c r="K10607" s="711"/>
      <c r="L10607" s="711"/>
      <c r="Q10607" s="11"/>
      <c r="R10607" s="11"/>
      <c r="S10607" s="11"/>
      <c r="T10607" s="11"/>
    </row>
    <row r="10608" spans="8:20" x14ac:dyDescent="0.35">
      <c r="H10608" s="711"/>
      <c r="I10608" s="711"/>
      <c r="J10608" s="711"/>
      <c r="K10608" s="711"/>
      <c r="L10608" s="711"/>
      <c r="Q10608" s="11"/>
      <c r="R10608" s="11"/>
      <c r="S10608" s="11"/>
      <c r="T10608" s="11"/>
    </row>
    <row r="10609" spans="8:20" x14ac:dyDescent="0.35">
      <c r="H10609" s="711"/>
      <c r="I10609" s="711"/>
      <c r="J10609" s="711"/>
      <c r="K10609" s="711"/>
      <c r="L10609" s="711"/>
      <c r="Q10609" s="11"/>
      <c r="R10609" s="11"/>
      <c r="S10609" s="11"/>
      <c r="T10609" s="11"/>
    </row>
    <row r="10610" spans="8:20" x14ac:dyDescent="0.35">
      <c r="H10610" s="711"/>
      <c r="I10610" s="711"/>
      <c r="J10610" s="711"/>
      <c r="K10610" s="711"/>
      <c r="L10610" s="711"/>
      <c r="Q10610" s="11"/>
      <c r="R10610" s="11"/>
      <c r="S10610" s="11"/>
      <c r="T10610" s="11"/>
    </row>
    <row r="10611" spans="8:20" x14ac:dyDescent="0.35">
      <c r="H10611" s="711"/>
      <c r="I10611" s="711"/>
      <c r="J10611" s="711"/>
      <c r="K10611" s="711"/>
      <c r="L10611" s="711"/>
      <c r="Q10611" s="11"/>
      <c r="R10611" s="11"/>
      <c r="S10611" s="11"/>
      <c r="T10611" s="11"/>
    </row>
    <row r="10612" spans="8:20" x14ac:dyDescent="0.35">
      <c r="H10612" s="711"/>
      <c r="I10612" s="711"/>
      <c r="J10612" s="711"/>
      <c r="K10612" s="711"/>
      <c r="L10612" s="711"/>
      <c r="Q10612" s="11"/>
      <c r="R10612" s="11"/>
      <c r="S10612" s="11"/>
      <c r="T10612" s="11"/>
    </row>
    <row r="10613" spans="8:20" x14ac:dyDescent="0.35">
      <c r="H10613" s="711"/>
      <c r="I10613" s="711"/>
      <c r="J10613" s="711"/>
      <c r="K10613" s="711"/>
      <c r="L10613" s="711"/>
      <c r="Q10613" s="11"/>
      <c r="R10613" s="11"/>
      <c r="S10613" s="11"/>
      <c r="T10613" s="11"/>
    </row>
    <row r="10614" spans="8:20" x14ac:dyDescent="0.35">
      <c r="H10614" s="711"/>
      <c r="I10614" s="711"/>
      <c r="J10614" s="711"/>
      <c r="K10614" s="711"/>
      <c r="L10614" s="711"/>
      <c r="Q10614" s="11"/>
      <c r="R10614" s="11"/>
      <c r="S10614" s="11"/>
      <c r="T10614" s="11"/>
    </row>
    <row r="10615" spans="8:20" x14ac:dyDescent="0.35">
      <c r="H10615" s="711"/>
      <c r="I10615" s="711"/>
      <c r="J10615" s="711"/>
      <c r="K10615" s="711"/>
      <c r="L10615" s="711"/>
      <c r="Q10615" s="11"/>
      <c r="R10615" s="11"/>
      <c r="S10615" s="11"/>
      <c r="T10615" s="11"/>
    </row>
    <row r="10616" spans="8:20" x14ac:dyDescent="0.35">
      <c r="H10616" s="711"/>
      <c r="I10616" s="711"/>
      <c r="J10616" s="711"/>
      <c r="K10616" s="711"/>
      <c r="L10616" s="711"/>
      <c r="Q10616" s="11"/>
      <c r="R10616" s="11"/>
      <c r="S10616" s="11"/>
      <c r="T10616" s="11"/>
    </row>
    <row r="10617" spans="8:20" x14ac:dyDescent="0.35">
      <c r="H10617" s="711"/>
      <c r="I10617" s="711"/>
      <c r="J10617" s="711"/>
      <c r="K10617" s="711"/>
      <c r="L10617" s="711"/>
      <c r="Q10617" s="11"/>
      <c r="R10617" s="11"/>
      <c r="S10617" s="11"/>
      <c r="T10617" s="11"/>
    </row>
    <row r="10618" spans="8:20" x14ac:dyDescent="0.35">
      <c r="H10618" s="711"/>
      <c r="I10618" s="711"/>
      <c r="J10618" s="711"/>
      <c r="K10618" s="711"/>
      <c r="L10618" s="711"/>
      <c r="Q10618" s="11"/>
      <c r="R10618" s="11"/>
      <c r="S10618" s="11"/>
      <c r="T10618" s="11"/>
    </row>
    <row r="10619" spans="8:20" x14ac:dyDescent="0.35">
      <c r="H10619" s="711"/>
      <c r="I10619" s="711"/>
      <c r="J10619" s="711"/>
      <c r="K10619" s="711"/>
      <c r="L10619" s="711"/>
      <c r="Q10619" s="11"/>
      <c r="R10619" s="11"/>
      <c r="S10619" s="11"/>
      <c r="T10619" s="11"/>
    </row>
    <row r="10620" spans="8:20" x14ac:dyDescent="0.35">
      <c r="H10620" s="711"/>
      <c r="I10620" s="711"/>
      <c r="J10620" s="711"/>
      <c r="K10620" s="711"/>
      <c r="L10620" s="711"/>
      <c r="Q10620" s="11"/>
      <c r="R10620" s="11"/>
      <c r="S10620" s="11"/>
      <c r="T10620" s="11"/>
    </row>
    <row r="10621" spans="8:20" x14ac:dyDescent="0.35">
      <c r="H10621" s="711"/>
      <c r="I10621" s="711"/>
      <c r="J10621" s="711"/>
      <c r="K10621" s="711"/>
      <c r="L10621" s="711"/>
      <c r="Q10621" s="11"/>
      <c r="R10621" s="11"/>
      <c r="S10621" s="11"/>
      <c r="T10621" s="11"/>
    </row>
    <row r="10622" spans="8:20" x14ac:dyDescent="0.35">
      <c r="H10622" s="711"/>
      <c r="I10622" s="711"/>
      <c r="J10622" s="711"/>
      <c r="K10622" s="711"/>
      <c r="L10622" s="711"/>
      <c r="Q10622" s="11"/>
      <c r="R10622" s="11"/>
      <c r="S10622" s="11"/>
      <c r="T10622" s="11"/>
    </row>
    <row r="10623" spans="8:20" x14ac:dyDescent="0.35">
      <c r="H10623" s="711"/>
      <c r="I10623" s="711"/>
      <c r="J10623" s="711"/>
      <c r="K10623" s="711"/>
      <c r="L10623" s="711"/>
      <c r="Q10623" s="11"/>
      <c r="R10623" s="11"/>
      <c r="S10623" s="11"/>
      <c r="T10623" s="11"/>
    </row>
    <row r="10624" spans="8:20" x14ac:dyDescent="0.35">
      <c r="H10624" s="711"/>
      <c r="I10624" s="711"/>
      <c r="J10624" s="711"/>
      <c r="K10624" s="711"/>
      <c r="L10624" s="711"/>
      <c r="Q10624" s="11"/>
      <c r="R10624" s="11"/>
      <c r="S10624" s="11"/>
      <c r="T10624" s="11"/>
    </row>
    <row r="10625" spans="8:20" x14ac:dyDescent="0.35">
      <c r="H10625" s="711"/>
      <c r="I10625" s="711"/>
      <c r="J10625" s="711"/>
      <c r="K10625" s="711"/>
      <c r="L10625" s="711"/>
      <c r="Q10625" s="11"/>
      <c r="R10625" s="11"/>
      <c r="S10625" s="11"/>
      <c r="T10625" s="11"/>
    </row>
    <row r="10626" spans="8:20" x14ac:dyDescent="0.35">
      <c r="H10626" s="711"/>
      <c r="I10626" s="711"/>
      <c r="J10626" s="711"/>
      <c r="K10626" s="711"/>
      <c r="L10626" s="711"/>
      <c r="Q10626" s="11"/>
      <c r="R10626" s="11"/>
      <c r="S10626" s="11"/>
      <c r="T10626" s="11"/>
    </row>
    <row r="10627" spans="8:20" x14ac:dyDescent="0.35">
      <c r="H10627" s="711"/>
      <c r="I10627" s="711"/>
      <c r="J10627" s="711"/>
      <c r="K10627" s="711"/>
      <c r="L10627" s="711"/>
      <c r="Q10627" s="11"/>
      <c r="R10627" s="11"/>
      <c r="S10627" s="11"/>
      <c r="T10627" s="11"/>
    </row>
    <row r="10628" spans="8:20" x14ac:dyDescent="0.35">
      <c r="H10628" s="711"/>
      <c r="I10628" s="711"/>
      <c r="J10628" s="711"/>
      <c r="K10628" s="711"/>
      <c r="L10628" s="711"/>
      <c r="Q10628" s="11"/>
      <c r="R10628" s="11"/>
      <c r="S10628" s="11"/>
      <c r="T10628" s="11"/>
    </row>
    <row r="10629" spans="8:20" x14ac:dyDescent="0.35">
      <c r="H10629" s="711"/>
      <c r="I10629" s="711"/>
      <c r="J10629" s="711"/>
      <c r="K10629" s="711"/>
      <c r="L10629" s="711"/>
      <c r="Q10629" s="11"/>
      <c r="R10629" s="11"/>
      <c r="S10629" s="11"/>
      <c r="T10629" s="11"/>
    </row>
    <row r="10630" spans="8:20" x14ac:dyDescent="0.35">
      <c r="H10630" s="711"/>
      <c r="I10630" s="711"/>
      <c r="J10630" s="711"/>
      <c r="K10630" s="711"/>
      <c r="L10630" s="711"/>
      <c r="Q10630" s="11"/>
      <c r="R10630" s="11"/>
      <c r="S10630" s="11"/>
      <c r="T10630" s="11"/>
    </row>
    <row r="10631" spans="8:20" x14ac:dyDescent="0.35">
      <c r="H10631" s="711"/>
      <c r="I10631" s="711"/>
      <c r="J10631" s="711"/>
      <c r="K10631" s="711"/>
      <c r="L10631" s="711"/>
      <c r="Q10631" s="11"/>
      <c r="R10631" s="11"/>
      <c r="S10631" s="11"/>
      <c r="T10631" s="11"/>
    </row>
    <row r="10632" spans="8:20" x14ac:dyDescent="0.35">
      <c r="H10632" s="711"/>
      <c r="I10632" s="711"/>
      <c r="J10632" s="711"/>
      <c r="K10632" s="711"/>
      <c r="L10632" s="711"/>
      <c r="Q10632" s="11"/>
      <c r="R10632" s="11"/>
      <c r="S10632" s="11"/>
      <c r="T10632" s="11"/>
    </row>
    <row r="10633" spans="8:20" x14ac:dyDescent="0.35">
      <c r="H10633" s="711"/>
      <c r="I10633" s="711"/>
      <c r="J10633" s="711"/>
      <c r="K10633" s="711"/>
      <c r="L10633" s="711"/>
      <c r="Q10633" s="11"/>
      <c r="R10633" s="11"/>
      <c r="S10633" s="11"/>
      <c r="T10633" s="11"/>
    </row>
    <row r="10634" spans="8:20" x14ac:dyDescent="0.35">
      <c r="H10634" s="711"/>
      <c r="I10634" s="711"/>
      <c r="J10634" s="711"/>
      <c r="K10634" s="711"/>
      <c r="L10634" s="711"/>
      <c r="Q10634" s="11"/>
      <c r="R10634" s="11"/>
      <c r="S10634" s="11"/>
      <c r="T10634" s="11"/>
    </row>
    <row r="10635" spans="8:20" x14ac:dyDescent="0.35">
      <c r="H10635" s="711"/>
      <c r="I10635" s="711"/>
      <c r="J10635" s="711"/>
      <c r="K10635" s="711"/>
      <c r="L10635" s="711"/>
      <c r="Q10635" s="11"/>
      <c r="R10635" s="11"/>
      <c r="S10635" s="11"/>
      <c r="T10635" s="11"/>
    </row>
    <row r="10636" spans="8:20" x14ac:dyDescent="0.35">
      <c r="H10636" s="711"/>
      <c r="I10636" s="711"/>
      <c r="J10636" s="711"/>
      <c r="K10636" s="711"/>
      <c r="L10636" s="711"/>
      <c r="Q10636" s="11"/>
      <c r="R10636" s="11"/>
      <c r="S10636" s="11"/>
      <c r="T10636" s="11"/>
    </row>
    <row r="10637" spans="8:20" x14ac:dyDescent="0.35">
      <c r="H10637" s="711"/>
      <c r="I10637" s="711"/>
      <c r="J10637" s="711"/>
      <c r="K10637" s="711"/>
      <c r="L10637" s="711"/>
      <c r="Q10637" s="11"/>
      <c r="R10637" s="11"/>
      <c r="S10637" s="11"/>
      <c r="T10637" s="11"/>
    </row>
    <row r="10638" spans="8:20" x14ac:dyDescent="0.35">
      <c r="H10638" s="711"/>
      <c r="I10638" s="711"/>
      <c r="J10638" s="711"/>
      <c r="K10638" s="711"/>
      <c r="L10638" s="711"/>
      <c r="Q10638" s="11"/>
      <c r="R10638" s="11"/>
      <c r="S10638" s="11"/>
      <c r="T10638" s="11"/>
    </row>
    <row r="10639" spans="8:20" x14ac:dyDescent="0.35">
      <c r="H10639" s="711"/>
      <c r="I10639" s="711"/>
      <c r="J10639" s="711"/>
      <c r="K10639" s="711"/>
      <c r="L10639" s="711"/>
      <c r="Q10639" s="11"/>
      <c r="R10639" s="11"/>
      <c r="S10639" s="11"/>
      <c r="T10639" s="11"/>
    </row>
    <row r="10640" spans="8:20" x14ac:dyDescent="0.35">
      <c r="H10640" s="711"/>
      <c r="I10640" s="711"/>
      <c r="J10640" s="711"/>
      <c r="K10640" s="711"/>
      <c r="L10640" s="711"/>
      <c r="Q10640" s="11"/>
      <c r="R10640" s="11"/>
      <c r="S10640" s="11"/>
      <c r="T10640" s="11"/>
    </row>
    <row r="10641" spans="8:20" x14ac:dyDescent="0.35">
      <c r="H10641" s="711"/>
      <c r="I10641" s="711"/>
      <c r="J10641" s="711"/>
      <c r="K10641" s="711"/>
      <c r="L10641" s="711"/>
      <c r="Q10641" s="11"/>
      <c r="R10641" s="11"/>
      <c r="S10641" s="11"/>
      <c r="T10641" s="11"/>
    </row>
    <row r="10642" spans="8:20" x14ac:dyDescent="0.35">
      <c r="H10642" s="711"/>
      <c r="I10642" s="711"/>
      <c r="J10642" s="711"/>
      <c r="K10642" s="711"/>
      <c r="L10642" s="711"/>
      <c r="Q10642" s="11"/>
      <c r="R10642" s="11"/>
      <c r="S10642" s="11"/>
      <c r="T10642" s="11"/>
    </row>
    <row r="10643" spans="8:20" x14ac:dyDescent="0.35">
      <c r="H10643" s="711"/>
      <c r="I10643" s="711"/>
      <c r="J10643" s="711"/>
      <c r="K10643" s="711"/>
      <c r="L10643" s="711"/>
      <c r="Q10643" s="11"/>
      <c r="R10643" s="11"/>
      <c r="S10643" s="11"/>
      <c r="T10643" s="11"/>
    </row>
    <row r="10644" spans="8:20" x14ac:dyDescent="0.35">
      <c r="H10644" s="711"/>
      <c r="I10644" s="711"/>
      <c r="J10644" s="711"/>
      <c r="K10644" s="711"/>
      <c r="L10644" s="711"/>
      <c r="Q10644" s="11"/>
      <c r="R10644" s="11"/>
      <c r="S10644" s="11"/>
      <c r="T10644" s="11"/>
    </row>
    <row r="10645" spans="8:20" x14ac:dyDescent="0.35">
      <c r="H10645" s="711"/>
      <c r="I10645" s="711"/>
      <c r="J10645" s="711"/>
      <c r="K10645" s="711"/>
      <c r="L10645" s="711"/>
      <c r="Q10645" s="11"/>
      <c r="R10645" s="11"/>
      <c r="S10645" s="11"/>
      <c r="T10645" s="11"/>
    </row>
    <row r="10646" spans="8:20" x14ac:dyDescent="0.35">
      <c r="H10646" s="711"/>
      <c r="I10646" s="711"/>
      <c r="J10646" s="711"/>
      <c r="K10646" s="711"/>
      <c r="L10646" s="711"/>
      <c r="Q10646" s="11"/>
      <c r="R10646" s="11"/>
      <c r="S10646" s="11"/>
      <c r="T10646" s="11"/>
    </row>
    <row r="10647" spans="8:20" x14ac:dyDescent="0.35">
      <c r="H10647" s="711"/>
      <c r="I10647" s="711"/>
      <c r="J10647" s="711"/>
      <c r="K10647" s="711"/>
      <c r="L10647" s="711"/>
      <c r="Q10647" s="11"/>
      <c r="R10647" s="11"/>
      <c r="S10647" s="11"/>
      <c r="T10647" s="11"/>
    </row>
    <row r="10648" spans="8:20" x14ac:dyDescent="0.35">
      <c r="H10648" s="711"/>
      <c r="I10648" s="711"/>
      <c r="J10648" s="711"/>
      <c r="K10648" s="711"/>
      <c r="L10648" s="711"/>
      <c r="Q10648" s="11"/>
      <c r="R10648" s="11"/>
      <c r="S10648" s="11"/>
      <c r="T10648" s="11"/>
    </row>
    <row r="10649" spans="8:20" x14ac:dyDescent="0.35">
      <c r="H10649" s="711"/>
      <c r="I10649" s="711"/>
      <c r="J10649" s="711"/>
      <c r="K10649" s="711"/>
      <c r="L10649" s="711"/>
      <c r="Q10649" s="11"/>
      <c r="R10649" s="11"/>
      <c r="S10649" s="11"/>
      <c r="T10649" s="11"/>
    </row>
    <row r="10650" spans="8:20" x14ac:dyDescent="0.35">
      <c r="H10650" s="711"/>
      <c r="I10650" s="711"/>
      <c r="J10650" s="711"/>
      <c r="K10650" s="711"/>
      <c r="L10650" s="711"/>
      <c r="Q10650" s="11"/>
      <c r="R10650" s="11"/>
      <c r="S10650" s="11"/>
      <c r="T10650" s="11"/>
    </row>
    <row r="10651" spans="8:20" x14ac:dyDescent="0.35">
      <c r="H10651" s="711"/>
      <c r="I10651" s="711"/>
      <c r="J10651" s="711"/>
      <c r="K10651" s="711"/>
      <c r="L10651" s="711"/>
      <c r="Q10651" s="11"/>
      <c r="R10651" s="11"/>
      <c r="S10651" s="11"/>
      <c r="T10651" s="11"/>
    </row>
    <row r="10652" spans="8:20" x14ac:dyDescent="0.35">
      <c r="H10652" s="711"/>
      <c r="I10652" s="711"/>
      <c r="J10652" s="711"/>
      <c r="K10652" s="711"/>
      <c r="L10652" s="711"/>
      <c r="Q10652" s="11"/>
      <c r="R10652" s="11"/>
      <c r="S10652" s="11"/>
      <c r="T10652" s="11"/>
    </row>
    <row r="10653" spans="8:20" x14ac:dyDescent="0.35">
      <c r="H10653" s="711"/>
      <c r="I10653" s="711"/>
      <c r="J10653" s="711"/>
      <c r="K10653" s="711"/>
      <c r="L10653" s="711"/>
      <c r="Q10653" s="11"/>
      <c r="R10653" s="11"/>
      <c r="S10653" s="11"/>
      <c r="T10653" s="11"/>
    </row>
    <row r="10654" spans="8:20" x14ac:dyDescent="0.35">
      <c r="H10654" s="711"/>
      <c r="I10654" s="711"/>
      <c r="J10654" s="711"/>
      <c r="K10654" s="711"/>
      <c r="L10654" s="711"/>
      <c r="Q10654" s="11"/>
      <c r="R10654" s="11"/>
      <c r="S10654" s="11"/>
      <c r="T10654" s="11"/>
    </row>
    <row r="10655" spans="8:20" x14ac:dyDescent="0.35">
      <c r="H10655" s="711"/>
      <c r="I10655" s="711"/>
      <c r="J10655" s="711"/>
      <c r="K10655" s="711"/>
      <c r="L10655" s="711"/>
      <c r="Q10655" s="11"/>
      <c r="R10655" s="11"/>
      <c r="S10655" s="11"/>
      <c r="T10655" s="11"/>
    </row>
    <row r="10656" spans="8:20" x14ac:dyDescent="0.35">
      <c r="H10656" s="711"/>
      <c r="I10656" s="711"/>
      <c r="J10656" s="711"/>
      <c r="K10656" s="711"/>
      <c r="L10656" s="711"/>
      <c r="Q10656" s="11"/>
      <c r="R10656" s="11"/>
      <c r="S10656" s="11"/>
      <c r="T10656" s="11"/>
    </row>
    <row r="10657" spans="8:20" x14ac:dyDescent="0.35">
      <c r="H10657" s="711"/>
      <c r="I10657" s="711"/>
      <c r="J10657" s="711"/>
      <c r="K10657" s="711"/>
      <c r="L10657" s="711"/>
      <c r="Q10657" s="11"/>
      <c r="R10657" s="11"/>
      <c r="S10657" s="11"/>
      <c r="T10657" s="11"/>
    </row>
    <row r="10658" spans="8:20" x14ac:dyDescent="0.35">
      <c r="H10658" s="711"/>
      <c r="I10658" s="711"/>
      <c r="J10658" s="711"/>
      <c r="K10658" s="711"/>
      <c r="L10658" s="711"/>
      <c r="Q10658" s="11"/>
      <c r="R10658" s="11"/>
      <c r="S10658" s="11"/>
      <c r="T10658" s="11"/>
    </row>
    <row r="10659" spans="8:20" x14ac:dyDescent="0.35">
      <c r="H10659" s="711"/>
      <c r="I10659" s="711"/>
      <c r="J10659" s="711"/>
      <c r="K10659" s="711"/>
      <c r="L10659" s="711"/>
      <c r="Q10659" s="11"/>
      <c r="R10659" s="11"/>
      <c r="S10659" s="11"/>
      <c r="T10659" s="11"/>
    </row>
    <row r="10660" spans="8:20" x14ac:dyDescent="0.35">
      <c r="H10660" s="711"/>
      <c r="I10660" s="711"/>
      <c r="J10660" s="711"/>
      <c r="K10660" s="711"/>
      <c r="L10660" s="711"/>
      <c r="Q10660" s="11"/>
      <c r="R10660" s="11"/>
      <c r="S10660" s="11"/>
      <c r="T10660" s="11"/>
    </row>
    <row r="10661" spans="8:20" x14ac:dyDescent="0.35">
      <c r="H10661" s="711"/>
      <c r="I10661" s="711"/>
      <c r="J10661" s="711"/>
      <c r="K10661" s="711"/>
      <c r="L10661" s="711"/>
      <c r="Q10661" s="11"/>
      <c r="R10661" s="11"/>
      <c r="S10661" s="11"/>
      <c r="T10661" s="11"/>
    </row>
    <row r="10662" spans="8:20" x14ac:dyDescent="0.35">
      <c r="H10662" s="711"/>
      <c r="I10662" s="711"/>
      <c r="J10662" s="711"/>
      <c r="K10662" s="711"/>
      <c r="L10662" s="711"/>
      <c r="Q10662" s="11"/>
      <c r="R10662" s="11"/>
      <c r="S10662" s="11"/>
      <c r="T10662" s="11"/>
    </row>
    <row r="10663" spans="8:20" x14ac:dyDescent="0.35">
      <c r="H10663" s="711"/>
      <c r="I10663" s="711"/>
      <c r="J10663" s="711"/>
      <c r="K10663" s="711"/>
      <c r="L10663" s="711"/>
      <c r="Q10663" s="11"/>
      <c r="R10663" s="11"/>
      <c r="S10663" s="11"/>
      <c r="T10663" s="11"/>
    </row>
    <row r="10664" spans="8:20" x14ac:dyDescent="0.35">
      <c r="H10664" s="711"/>
      <c r="I10664" s="711"/>
      <c r="J10664" s="711"/>
      <c r="K10664" s="711"/>
      <c r="L10664" s="711"/>
      <c r="Q10664" s="11"/>
      <c r="R10664" s="11"/>
      <c r="S10664" s="11"/>
      <c r="T10664" s="11"/>
    </row>
    <row r="10665" spans="8:20" x14ac:dyDescent="0.35">
      <c r="H10665" s="711"/>
      <c r="I10665" s="711"/>
      <c r="J10665" s="711"/>
      <c r="K10665" s="711"/>
      <c r="L10665" s="711"/>
      <c r="Q10665" s="11"/>
      <c r="R10665" s="11"/>
      <c r="S10665" s="11"/>
      <c r="T10665" s="11"/>
    </row>
    <row r="10666" spans="8:20" x14ac:dyDescent="0.35">
      <c r="H10666" s="711"/>
      <c r="I10666" s="711"/>
      <c r="J10666" s="711"/>
      <c r="K10666" s="711"/>
      <c r="L10666" s="711"/>
      <c r="Q10666" s="11"/>
      <c r="R10666" s="11"/>
      <c r="S10666" s="11"/>
      <c r="T10666" s="11"/>
    </row>
    <row r="10667" spans="8:20" x14ac:dyDescent="0.35">
      <c r="H10667" s="711"/>
      <c r="I10667" s="711"/>
      <c r="J10667" s="711"/>
      <c r="K10667" s="711"/>
      <c r="L10667" s="711"/>
      <c r="Q10667" s="11"/>
      <c r="R10667" s="11"/>
      <c r="S10667" s="11"/>
      <c r="T10667" s="11"/>
    </row>
    <row r="10668" spans="8:20" x14ac:dyDescent="0.35">
      <c r="H10668" s="711"/>
      <c r="I10668" s="711"/>
      <c r="J10668" s="711"/>
      <c r="K10668" s="711"/>
      <c r="L10668" s="711"/>
      <c r="Q10668" s="11"/>
      <c r="R10668" s="11"/>
      <c r="S10668" s="11"/>
      <c r="T10668" s="11"/>
    </row>
    <row r="10669" spans="8:20" x14ac:dyDescent="0.35">
      <c r="H10669" s="711"/>
      <c r="I10669" s="711"/>
      <c r="J10669" s="711"/>
      <c r="K10669" s="711"/>
      <c r="L10669" s="711"/>
      <c r="Q10669" s="11"/>
      <c r="R10669" s="11"/>
      <c r="S10669" s="11"/>
      <c r="T10669" s="11"/>
    </row>
    <row r="10670" spans="8:20" x14ac:dyDescent="0.35">
      <c r="H10670" s="711"/>
      <c r="I10670" s="711"/>
      <c r="J10670" s="711"/>
      <c r="K10670" s="711"/>
      <c r="L10670" s="711"/>
      <c r="Q10670" s="11"/>
      <c r="R10670" s="11"/>
      <c r="S10670" s="11"/>
      <c r="T10670" s="11"/>
    </row>
    <row r="10671" spans="8:20" x14ac:dyDescent="0.35">
      <c r="H10671" s="711"/>
      <c r="I10671" s="711"/>
      <c r="J10671" s="711"/>
      <c r="K10671" s="711"/>
      <c r="L10671" s="711"/>
      <c r="Q10671" s="11"/>
      <c r="R10671" s="11"/>
      <c r="S10671" s="11"/>
      <c r="T10671" s="11"/>
    </row>
    <row r="10672" spans="8:20" x14ac:dyDescent="0.35">
      <c r="H10672" s="711"/>
      <c r="I10672" s="711"/>
      <c r="J10672" s="711"/>
      <c r="K10672" s="711"/>
      <c r="L10672" s="711"/>
      <c r="Q10672" s="11"/>
      <c r="R10672" s="11"/>
      <c r="S10672" s="11"/>
      <c r="T10672" s="11"/>
    </row>
    <row r="10673" spans="8:20" x14ac:dyDescent="0.35">
      <c r="H10673" s="711"/>
      <c r="I10673" s="711"/>
      <c r="J10673" s="711"/>
      <c r="K10673" s="711"/>
      <c r="L10673" s="711"/>
      <c r="Q10673" s="11"/>
      <c r="R10673" s="11"/>
      <c r="S10673" s="11"/>
      <c r="T10673" s="11"/>
    </row>
    <row r="10674" spans="8:20" x14ac:dyDescent="0.35">
      <c r="H10674" s="711"/>
      <c r="I10674" s="711"/>
      <c r="J10674" s="711"/>
      <c r="K10674" s="711"/>
      <c r="L10674" s="711"/>
      <c r="Q10674" s="11"/>
      <c r="R10674" s="11"/>
      <c r="S10674" s="11"/>
      <c r="T10674" s="11"/>
    </row>
    <row r="10675" spans="8:20" x14ac:dyDescent="0.35">
      <c r="H10675" s="711"/>
      <c r="I10675" s="711"/>
      <c r="J10675" s="711"/>
      <c r="K10675" s="711"/>
      <c r="L10675" s="711"/>
      <c r="Q10675" s="11"/>
      <c r="R10675" s="11"/>
      <c r="S10675" s="11"/>
      <c r="T10675" s="11"/>
    </row>
    <row r="10676" spans="8:20" x14ac:dyDescent="0.35">
      <c r="H10676" s="711"/>
      <c r="I10676" s="711"/>
      <c r="J10676" s="711"/>
      <c r="K10676" s="711"/>
      <c r="L10676" s="711"/>
      <c r="Q10676" s="11"/>
      <c r="R10676" s="11"/>
      <c r="S10676" s="11"/>
      <c r="T10676" s="11"/>
    </row>
    <row r="10677" spans="8:20" x14ac:dyDescent="0.35">
      <c r="H10677" s="711"/>
      <c r="I10677" s="711"/>
      <c r="J10677" s="711"/>
      <c r="K10677" s="711"/>
      <c r="L10677" s="711"/>
      <c r="Q10677" s="11"/>
      <c r="R10677" s="11"/>
      <c r="S10677" s="11"/>
      <c r="T10677" s="11"/>
    </row>
    <row r="10678" spans="8:20" x14ac:dyDescent="0.35">
      <c r="H10678" s="711"/>
      <c r="I10678" s="711"/>
      <c r="J10678" s="711"/>
      <c r="K10678" s="711"/>
      <c r="L10678" s="711"/>
      <c r="Q10678" s="11"/>
      <c r="R10678" s="11"/>
      <c r="S10678" s="11"/>
      <c r="T10678" s="11"/>
    </row>
    <row r="10679" spans="8:20" x14ac:dyDescent="0.35">
      <c r="H10679" s="711"/>
      <c r="I10679" s="711"/>
      <c r="J10679" s="711"/>
      <c r="K10679" s="711"/>
      <c r="L10679" s="711"/>
      <c r="Q10679" s="11"/>
      <c r="R10679" s="11"/>
      <c r="S10679" s="11"/>
      <c r="T10679" s="11"/>
    </row>
    <row r="10680" spans="8:20" x14ac:dyDescent="0.35">
      <c r="H10680" s="711"/>
      <c r="I10680" s="711"/>
      <c r="J10680" s="711"/>
      <c r="K10680" s="711"/>
      <c r="L10680" s="711"/>
      <c r="Q10680" s="11"/>
      <c r="R10680" s="11"/>
      <c r="S10680" s="11"/>
      <c r="T10680" s="11"/>
    </row>
    <row r="10681" spans="8:20" x14ac:dyDescent="0.35">
      <c r="H10681" s="711"/>
      <c r="I10681" s="711"/>
      <c r="J10681" s="711"/>
      <c r="K10681" s="711"/>
      <c r="L10681" s="711"/>
      <c r="Q10681" s="11"/>
      <c r="R10681" s="11"/>
      <c r="S10681" s="11"/>
      <c r="T10681" s="11"/>
    </row>
    <row r="10682" spans="8:20" x14ac:dyDescent="0.35">
      <c r="H10682" s="711"/>
      <c r="I10682" s="711"/>
      <c r="J10682" s="711"/>
      <c r="K10682" s="711"/>
      <c r="L10682" s="711"/>
      <c r="Q10682" s="11"/>
      <c r="R10682" s="11"/>
      <c r="S10682" s="11"/>
      <c r="T10682" s="11"/>
    </row>
    <row r="10683" spans="8:20" x14ac:dyDescent="0.35">
      <c r="H10683" s="711"/>
      <c r="I10683" s="711"/>
      <c r="J10683" s="711"/>
      <c r="K10683" s="711"/>
      <c r="L10683" s="711"/>
      <c r="Q10683" s="11"/>
      <c r="R10683" s="11"/>
      <c r="S10683" s="11"/>
      <c r="T10683" s="11"/>
    </row>
    <row r="10684" spans="8:20" x14ac:dyDescent="0.35">
      <c r="H10684" s="711"/>
      <c r="I10684" s="711"/>
      <c r="J10684" s="711"/>
      <c r="K10684" s="711"/>
      <c r="L10684" s="711"/>
      <c r="Q10684" s="11"/>
      <c r="R10684" s="11"/>
      <c r="S10684" s="11"/>
      <c r="T10684" s="11"/>
    </row>
    <row r="10685" spans="8:20" x14ac:dyDescent="0.35">
      <c r="H10685" s="711"/>
      <c r="I10685" s="711"/>
      <c r="J10685" s="711"/>
      <c r="K10685" s="711"/>
      <c r="L10685" s="711"/>
      <c r="Q10685" s="11"/>
      <c r="R10685" s="11"/>
      <c r="S10685" s="11"/>
      <c r="T10685" s="11"/>
    </row>
    <row r="10686" spans="8:20" x14ac:dyDescent="0.35">
      <c r="H10686" s="711"/>
      <c r="I10686" s="711"/>
      <c r="J10686" s="711"/>
      <c r="K10686" s="711"/>
      <c r="L10686" s="711"/>
      <c r="Q10686" s="11"/>
      <c r="R10686" s="11"/>
      <c r="S10686" s="11"/>
      <c r="T10686" s="11"/>
    </row>
    <row r="10687" spans="8:20" x14ac:dyDescent="0.35">
      <c r="H10687" s="711"/>
      <c r="I10687" s="711"/>
      <c r="J10687" s="711"/>
      <c r="K10687" s="711"/>
      <c r="L10687" s="711"/>
      <c r="Q10687" s="11"/>
      <c r="R10687" s="11"/>
      <c r="S10687" s="11"/>
      <c r="T10687" s="11"/>
    </row>
    <row r="10688" spans="8:20" x14ac:dyDescent="0.35">
      <c r="H10688" s="711"/>
      <c r="I10688" s="711"/>
      <c r="J10688" s="711"/>
      <c r="K10688" s="711"/>
      <c r="L10688" s="711"/>
      <c r="Q10688" s="11"/>
      <c r="R10688" s="11"/>
      <c r="S10688" s="11"/>
      <c r="T10688" s="11"/>
    </row>
    <row r="10689" spans="8:20" x14ac:dyDescent="0.35">
      <c r="H10689" s="711"/>
      <c r="I10689" s="711"/>
      <c r="J10689" s="711"/>
      <c r="K10689" s="711"/>
      <c r="L10689" s="711"/>
      <c r="Q10689" s="11"/>
      <c r="R10689" s="11"/>
      <c r="S10689" s="11"/>
      <c r="T10689" s="11"/>
    </row>
    <row r="10690" spans="8:20" x14ac:dyDescent="0.35">
      <c r="H10690" s="711"/>
      <c r="I10690" s="711"/>
      <c r="J10690" s="711"/>
      <c r="K10690" s="711"/>
      <c r="L10690" s="711"/>
      <c r="Q10690" s="11"/>
      <c r="R10690" s="11"/>
      <c r="S10690" s="11"/>
      <c r="T10690" s="11"/>
    </row>
    <row r="10691" spans="8:20" x14ac:dyDescent="0.35">
      <c r="H10691" s="711"/>
      <c r="I10691" s="711"/>
      <c r="J10691" s="711"/>
      <c r="K10691" s="711"/>
      <c r="L10691" s="711"/>
      <c r="Q10691" s="11"/>
      <c r="R10691" s="11"/>
      <c r="S10691" s="11"/>
      <c r="T10691" s="11"/>
    </row>
    <row r="10692" spans="8:20" x14ac:dyDescent="0.35">
      <c r="H10692" s="711"/>
      <c r="I10692" s="711"/>
      <c r="J10692" s="711"/>
      <c r="K10692" s="711"/>
      <c r="L10692" s="711"/>
      <c r="Q10692" s="11"/>
      <c r="R10692" s="11"/>
      <c r="S10692" s="11"/>
      <c r="T10692" s="11"/>
    </row>
    <row r="10693" spans="8:20" x14ac:dyDescent="0.35">
      <c r="H10693" s="711"/>
      <c r="I10693" s="711"/>
      <c r="J10693" s="711"/>
      <c r="K10693" s="711"/>
      <c r="L10693" s="711"/>
      <c r="Q10693" s="11"/>
      <c r="R10693" s="11"/>
      <c r="S10693" s="11"/>
      <c r="T10693" s="11"/>
    </row>
    <row r="10694" spans="8:20" x14ac:dyDescent="0.35">
      <c r="H10694" s="711"/>
      <c r="I10694" s="711"/>
      <c r="J10694" s="711"/>
      <c r="K10694" s="711"/>
      <c r="L10694" s="711"/>
      <c r="Q10694" s="11"/>
      <c r="R10694" s="11"/>
      <c r="S10694" s="11"/>
      <c r="T10694" s="11"/>
    </row>
    <row r="10695" spans="8:20" x14ac:dyDescent="0.35">
      <c r="H10695" s="711"/>
      <c r="I10695" s="711"/>
      <c r="J10695" s="711"/>
      <c r="K10695" s="711"/>
      <c r="L10695" s="711"/>
      <c r="Q10695" s="11"/>
      <c r="R10695" s="11"/>
      <c r="S10695" s="11"/>
      <c r="T10695" s="11"/>
    </row>
    <row r="10696" spans="8:20" x14ac:dyDescent="0.35">
      <c r="H10696" s="711"/>
      <c r="I10696" s="711"/>
      <c r="J10696" s="711"/>
      <c r="K10696" s="711"/>
      <c r="L10696" s="711"/>
      <c r="Q10696" s="11"/>
      <c r="R10696" s="11"/>
      <c r="S10696" s="11"/>
      <c r="T10696" s="11"/>
    </row>
    <row r="10697" spans="8:20" x14ac:dyDescent="0.35">
      <c r="H10697" s="711"/>
      <c r="I10697" s="711"/>
      <c r="J10697" s="711"/>
      <c r="K10697" s="711"/>
      <c r="L10697" s="711"/>
      <c r="Q10697" s="11"/>
      <c r="R10697" s="11"/>
      <c r="S10697" s="11"/>
      <c r="T10697" s="11"/>
    </row>
    <row r="10698" spans="8:20" x14ac:dyDescent="0.35">
      <c r="H10698" s="711"/>
      <c r="I10698" s="711"/>
      <c r="J10698" s="711"/>
      <c r="K10698" s="711"/>
      <c r="L10698" s="711"/>
      <c r="Q10698" s="11"/>
      <c r="R10698" s="11"/>
      <c r="S10698" s="11"/>
      <c r="T10698" s="11"/>
    </row>
    <row r="10699" spans="8:20" x14ac:dyDescent="0.35">
      <c r="H10699" s="711"/>
      <c r="I10699" s="711"/>
      <c r="J10699" s="711"/>
      <c r="K10699" s="711"/>
      <c r="L10699" s="711"/>
      <c r="Q10699" s="11"/>
      <c r="R10699" s="11"/>
      <c r="S10699" s="11"/>
      <c r="T10699" s="11"/>
    </row>
    <row r="10700" spans="8:20" x14ac:dyDescent="0.35">
      <c r="H10700" s="711"/>
      <c r="I10700" s="711"/>
      <c r="J10700" s="711"/>
      <c r="K10700" s="711"/>
      <c r="L10700" s="711"/>
      <c r="Q10700" s="11"/>
      <c r="R10700" s="11"/>
      <c r="S10700" s="11"/>
      <c r="T10700" s="11"/>
    </row>
    <row r="10701" spans="8:20" x14ac:dyDescent="0.35">
      <c r="H10701" s="711"/>
      <c r="I10701" s="711"/>
      <c r="J10701" s="711"/>
      <c r="K10701" s="711"/>
      <c r="L10701" s="711"/>
      <c r="Q10701" s="11"/>
      <c r="R10701" s="11"/>
      <c r="S10701" s="11"/>
      <c r="T10701" s="11"/>
    </row>
    <row r="10702" spans="8:20" x14ac:dyDescent="0.35">
      <c r="H10702" s="711"/>
      <c r="I10702" s="711"/>
      <c r="J10702" s="711"/>
      <c r="K10702" s="711"/>
      <c r="L10702" s="711"/>
      <c r="Q10702" s="11"/>
      <c r="R10702" s="11"/>
      <c r="S10702" s="11"/>
      <c r="T10702" s="11"/>
    </row>
    <row r="10703" spans="8:20" x14ac:dyDescent="0.35">
      <c r="H10703" s="711"/>
      <c r="I10703" s="711"/>
      <c r="J10703" s="711"/>
      <c r="K10703" s="711"/>
      <c r="L10703" s="711"/>
      <c r="Q10703" s="11"/>
      <c r="R10703" s="11"/>
      <c r="S10703" s="11"/>
      <c r="T10703" s="11"/>
    </row>
    <row r="10704" spans="8:20" x14ac:dyDescent="0.35">
      <c r="H10704" s="711"/>
      <c r="I10704" s="711"/>
      <c r="J10704" s="711"/>
      <c r="K10704" s="711"/>
      <c r="L10704" s="711"/>
      <c r="Q10704" s="11"/>
      <c r="R10704" s="11"/>
      <c r="S10704" s="11"/>
      <c r="T10704" s="11"/>
    </row>
    <row r="10705" spans="8:20" x14ac:dyDescent="0.35">
      <c r="H10705" s="711"/>
      <c r="I10705" s="711"/>
      <c r="J10705" s="711"/>
      <c r="K10705" s="711"/>
      <c r="L10705" s="711"/>
      <c r="Q10705" s="11"/>
      <c r="R10705" s="11"/>
      <c r="S10705" s="11"/>
      <c r="T10705" s="11"/>
    </row>
    <row r="10706" spans="8:20" x14ac:dyDescent="0.35">
      <c r="H10706" s="711"/>
      <c r="I10706" s="711"/>
      <c r="J10706" s="711"/>
      <c r="K10706" s="711"/>
      <c r="L10706" s="711"/>
      <c r="Q10706" s="11"/>
      <c r="R10706" s="11"/>
      <c r="S10706" s="11"/>
      <c r="T10706" s="11"/>
    </row>
    <row r="10707" spans="8:20" x14ac:dyDescent="0.35">
      <c r="H10707" s="711"/>
      <c r="I10707" s="711"/>
      <c r="J10707" s="711"/>
      <c r="K10707" s="711"/>
      <c r="L10707" s="711"/>
      <c r="Q10707" s="11"/>
      <c r="R10707" s="11"/>
      <c r="S10707" s="11"/>
      <c r="T10707" s="11"/>
    </row>
    <row r="10708" spans="8:20" x14ac:dyDescent="0.35">
      <c r="H10708" s="711"/>
      <c r="I10708" s="711"/>
      <c r="J10708" s="711"/>
      <c r="K10708" s="711"/>
      <c r="L10708" s="711"/>
      <c r="Q10708" s="11"/>
      <c r="R10708" s="11"/>
      <c r="S10708" s="11"/>
      <c r="T10708" s="11"/>
    </row>
    <row r="10709" spans="8:20" x14ac:dyDescent="0.35">
      <c r="H10709" s="711"/>
      <c r="I10709" s="711"/>
      <c r="J10709" s="711"/>
      <c r="K10709" s="711"/>
      <c r="L10709" s="711"/>
      <c r="Q10709" s="11"/>
      <c r="R10709" s="11"/>
      <c r="S10709" s="11"/>
      <c r="T10709" s="11"/>
    </row>
    <row r="10710" spans="8:20" x14ac:dyDescent="0.35">
      <c r="H10710" s="711"/>
      <c r="I10710" s="711"/>
      <c r="J10710" s="711"/>
      <c r="K10710" s="711"/>
      <c r="L10710" s="711"/>
      <c r="Q10710" s="11"/>
      <c r="R10710" s="11"/>
      <c r="S10710" s="11"/>
      <c r="T10710" s="11"/>
    </row>
    <row r="10711" spans="8:20" x14ac:dyDescent="0.35">
      <c r="H10711" s="711"/>
      <c r="I10711" s="711"/>
      <c r="J10711" s="711"/>
      <c r="K10711" s="711"/>
      <c r="L10711" s="711"/>
      <c r="Q10711" s="11"/>
      <c r="R10711" s="11"/>
      <c r="S10711" s="11"/>
      <c r="T10711" s="11"/>
    </row>
    <row r="10712" spans="8:20" x14ac:dyDescent="0.35">
      <c r="H10712" s="711"/>
      <c r="I10712" s="711"/>
      <c r="J10712" s="711"/>
      <c r="K10712" s="711"/>
      <c r="L10712" s="711"/>
      <c r="Q10712" s="11"/>
      <c r="R10712" s="11"/>
      <c r="S10712" s="11"/>
      <c r="T10712" s="11"/>
    </row>
    <row r="10713" spans="8:20" x14ac:dyDescent="0.35">
      <c r="H10713" s="711"/>
      <c r="I10713" s="711"/>
      <c r="J10713" s="711"/>
      <c r="K10713" s="711"/>
      <c r="L10713" s="711"/>
      <c r="Q10713" s="11"/>
      <c r="R10713" s="11"/>
      <c r="S10713" s="11"/>
      <c r="T10713" s="11"/>
    </row>
    <row r="10714" spans="8:20" x14ac:dyDescent="0.35">
      <c r="H10714" s="711"/>
      <c r="I10714" s="711"/>
      <c r="J10714" s="711"/>
      <c r="K10714" s="711"/>
      <c r="L10714" s="711"/>
      <c r="Q10714" s="11"/>
      <c r="R10714" s="11"/>
      <c r="S10714" s="11"/>
      <c r="T10714" s="11"/>
    </row>
    <row r="10715" spans="8:20" x14ac:dyDescent="0.35">
      <c r="H10715" s="711"/>
      <c r="I10715" s="711"/>
      <c r="J10715" s="711"/>
      <c r="K10715" s="711"/>
      <c r="L10715" s="711"/>
      <c r="Q10715" s="11"/>
      <c r="R10715" s="11"/>
      <c r="S10715" s="11"/>
      <c r="T10715" s="11"/>
    </row>
    <row r="10716" spans="8:20" x14ac:dyDescent="0.35">
      <c r="H10716" s="711"/>
      <c r="I10716" s="711"/>
      <c r="J10716" s="711"/>
      <c r="K10716" s="711"/>
      <c r="L10716" s="711"/>
      <c r="Q10716" s="11"/>
      <c r="R10716" s="11"/>
      <c r="S10716" s="11"/>
      <c r="T10716" s="11"/>
    </row>
    <row r="10717" spans="8:20" x14ac:dyDescent="0.35">
      <c r="H10717" s="711"/>
      <c r="I10717" s="711"/>
      <c r="J10717" s="711"/>
      <c r="K10717" s="711"/>
      <c r="L10717" s="711"/>
      <c r="Q10717" s="11"/>
      <c r="R10717" s="11"/>
      <c r="S10717" s="11"/>
      <c r="T10717" s="11"/>
    </row>
    <row r="10718" spans="8:20" x14ac:dyDescent="0.35">
      <c r="H10718" s="711"/>
      <c r="I10718" s="711"/>
      <c r="J10718" s="711"/>
      <c r="K10718" s="711"/>
      <c r="L10718" s="711"/>
      <c r="Q10718" s="11"/>
      <c r="R10718" s="11"/>
      <c r="S10718" s="11"/>
      <c r="T10718" s="11"/>
    </row>
    <row r="10719" spans="8:20" x14ac:dyDescent="0.35">
      <c r="H10719" s="711"/>
      <c r="I10719" s="711"/>
      <c r="J10719" s="711"/>
      <c r="K10719" s="711"/>
      <c r="L10719" s="711"/>
      <c r="Q10719" s="11"/>
      <c r="R10719" s="11"/>
      <c r="S10719" s="11"/>
      <c r="T10719" s="11"/>
    </row>
    <row r="10720" spans="8:20" x14ac:dyDescent="0.35">
      <c r="H10720" s="711"/>
      <c r="I10720" s="711"/>
      <c r="J10720" s="711"/>
      <c r="K10720" s="711"/>
      <c r="L10720" s="711"/>
      <c r="Q10720" s="11"/>
      <c r="R10720" s="11"/>
      <c r="S10720" s="11"/>
      <c r="T10720" s="11"/>
    </row>
    <row r="10721" spans="8:20" x14ac:dyDescent="0.35">
      <c r="H10721" s="711"/>
      <c r="I10721" s="711"/>
      <c r="J10721" s="711"/>
      <c r="K10721" s="711"/>
      <c r="L10721" s="711"/>
      <c r="Q10721" s="11"/>
      <c r="R10721" s="11"/>
      <c r="S10721" s="11"/>
      <c r="T10721" s="11"/>
    </row>
    <row r="10722" spans="8:20" x14ac:dyDescent="0.35">
      <c r="H10722" s="711"/>
      <c r="I10722" s="711"/>
      <c r="J10722" s="711"/>
      <c r="K10722" s="711"/>
      <c r="L10722" s="711"/>
      <c r="Q10722" s="11"/>
      <c r="R10722" s="11"/>
      <c r="S10722" s="11"/>
      <c r="T10722" s="11"/>
    </row>
    <row r="10723" spans="8:20" x14ac:dyDescent="0.35">
      <c r="H10723" s="711"/>
      <c r="I10723" s="711"/>
      <c r="J10723" s="711"/>
      <c r="K10723" s="711"/>
      <c r="L10723" s="711"/>
      <c r="Q10723" s="11"/>
      <c r="R10723" s="11"/>
      <c r="S10723" s="11"/>
      <c r="T10723" s="11"/>
    </row>
    <row r="10724" spans="8:20" x14ac:dyDescent="0.35">
      <c r="H10724" s="711"/>
      <c r="I10724" s="711"/>
      <c r="J10724" s="711"/>
      <c r="K10724" s="711"/>
      <c r="L10724" s="711"/>
      <c r="Q10724" s="11"/>
      <c r="R10724" s="11"/>
      <c r="S10724" s="11"/>
      <c r="T10724" s="11"/>
    </row>
    <row r="10725" spans="8:20" x14ac:dyDescent="0.35">
      <c r="H10725" s="711"/>
      <c r="I10725" s="711"/>
      <c r="J10725" s="711"/>
      <c r="K10725" s="711"/>
      <c r="L10725" s="711"/>
      <c r="Q10725" s="11"/>
      <c r="R10725" s="11"/>
      <c r="S10725" s="11"/>
      <c r="T10725" s="11"/>
    </row>
    <row r="10726" spans="8:20" x14ac:dyDescent="0.35">
      <c r="H10726" s="711"/>
      <c r="I10726" s="711"/>
      <c r="J10726" s="711"/>
      <c r="K10726" s="711"/>
      <c r="L10726" s="711"/>
      <c r="Q10726" s="11"/>
      <c r="R10726" s="11"/>
      <c r="S10726" s="11"/>
      <c r="T10726" s="11"/>
    </row>
    <row r="10727" spans="8:20" x14ac:dyDescent="0.35">
      <c r="H10727" s="711"/>
      <c r="I10727" s="711"/>
      <c r="J10727" s="711"/>
      <c r="K10727" s="711"/>
      <c r="L10727" s="711"/>
      <c r="Q10727" s="11"/>
      <c r="R10727" s="11"/>
      <c r="S10727" s="11"/>
      <c r="T10727" s="11"/>
    </row>
    <row r="10728" spans="8:20" x14ac:dyDescent="0.35">
      <c r="H10728" s="711"/>
      <c r="I10728" s="711"/>
      <c r="J10728" s="711"/>
      <c r="K10728" s="711"/>
      <c r="L10728" s="711"/>
      <c r="Q10728" s="11"/>
      <c r="R10728" s="11"/>
      <c r="S10728" s="11"/>
      <c r="T10728" s="11"/>
    </row>
    <row r="10729" spans="8:20" x14ac:dyDescent="0.35">
      <c r="H10729" s="711"/>
      <c r="I10729" s="711"/>
      <c r="J10729" s="711"/>
      <c r="K10729" s="711"/>
      <c r="L10729" s="711"/>
      <c r="Q10729" s="11"/>
      <c r="R10729" s="11"/>
      <c r="S10729" s="11"/>
      <c r="T10729" s="11"/>
    </row>
    <row r="10730" spans="8:20" x14ac:dyDescent="0.35">
      <c r="H10730" s="711"/>
      <c r="I10730" s="711"/>
      <c r="J10730" s="711"/>
      <c r="K10730" s="711"/>
      <c r="L10730" s="711"/>
      <c r="Q10730" s="11"/>
      <c r="R10730" s="11"/>
      <c r="S10730" s="11"/>
      <c r="T10730" s="11"/>
    </row>
    <row r="10731" spans="8:20" x14ac:dyDescent="0.35">
      <c r="H10731" s="711"/>
      <c r="I10731" s="711"/>
      <c r="J10731" s="711"/>
      <c r="K10731" s="711"/>
      <c r="L10731" s="711"/>
      <c r="Q10731" s="11"/>
      <c r="R10731" s="11"/>
      <c r="S10731" s="11"/>
      <c r="T10731" s="11"/>
    </row>
    <row r="10732" spans="8:20" x14ac:dyDescent="0.35">
      <c r="H10732" s="711"/>
      <c r="I10732" s="711"/>
      <c r="J10732" s="711"/>
      <c r="K10732" s="711"/>
      <c r="L10732" s="711"/>
      <c r="Q10732" s="11"/>
      <c r="R10732" s="11"/>
      <c r="S10732" s="11"/>
      <c r="T10732" s="11"/>
    </row>
    <row r="10733" spans="8:20" x14ac:dyDescent="0.35">
      <c r="H10733" s="711"/>
      <c r="I10733" s="711"/>
      <c r="J10733" s="711"/>
      <c r="K10733" s="711"/>
      <c r="L10733" s="711"/>
      <c r="Q10733" s="11"/>
      <c r="R10733" s="11"/>
      <c r="S10733" s="11"/>
      <c r="T10733" s="11"/>
    </row>
    <row r="10734" spans="8:20" x14ac:dyDescent="0.35">
      <c r="H10734" s="711"/>
      <c r="I10734" s="711"/>
      <c r="J10734" s="711"/>
      <c r="K10734" s="711"/>
      <c r="L10734" s="711"/>
      <c r="Q10734" s="11"/>
      <c r="R10734" s="11"/>
      <c r="S10734" s="11"/>
      <c r="T10734" s="11"/>
    </row>
    <row r="10735" spans="8:20" x14ac:dyDescent="0.35">
      <c r="H10735" s="711"/>
      <c r="I10735" s="711"/>
      <c r="J10735" s="711"/>
      <c r="K10735" s="711"/>
      <c r="L10735" s="711"/>
      <c r="Q10735" s="11"/>
      <c r="R10735" s="11"/>
      <c r="S10735" s="11"/>
      <c r="T10735" s="11"/>
    </row>
    <row r="10736" spans="8:20" x14ac:dyDescent="0.35">
      <c r="H10736" s="711"/>
      <c r="I10736" s="711"/>
      <c r="J10736" s="711"/>
      <c r="K10736" s="711"/>
      <c r="L10736" s="711"/>
      <c r="Q10736" s="11"/>
      <c r="R10736" s="11"/>
      <c r="S10736" s="11"/>
      <c r="T10736" s="11"/>
    </row>
    <row r="10737" spans="8:20" x14ac:dyDescent="0.35">
      <c r="H10737" s="711"/>
      <c r="I10737" s="711"/>
      <c r="J10737" s="711"/>
      <c r="K10737" s="711"/>
      <c r="L10737" s="711"/>
      <c r="Q10737" s="11"/>
      <c r="R10737" s="11"/>
      <c r="S10737" s="11"/>
      <c r="T10737" s="11"/>
    </row>
    <row r="10738" spans="8:20" x14ac:dyDescent="0.35">
      <c r="H10738" s="711"/>
      <c r="I10738" s="711"/>
      <c r="J10738" s="711"/>
      <c r="K10738" s="711"/>
      <c r="L10738" s="711"/>
      <c r="Q10738" s="11"/>
      <c r="R10738" s="11"/>
      <c r="S10738" s="11"/>
      <c r="T10738" s="11"/>
    </row>
    <row r="10739" spans="8:20" x14ac:dyDescent="0.35">
      <c r="H10739" s="711"/>
      <c r="I10739" s="711"/>
      <c r="J10739" s="711"/>
      <c r="K10739" s="711"/>
      <c r="L10739" s="711"/>
      <c r="Q10739" s="11"/>
      <c r="R10739" s="11"/>
      <c r="S10739" s="11"/>
      <c r="T10739" s="11"/>
    </row>
    <row r="10740" spans="8:20" x14ac:dyDescent="0.35">
      <c r="H10740" s="711"/>
      <c r="I10740" s="711"/>
      <c r="J10740" s="711"/>
      <c r="K10740" s="711"/>
      <c r="L10740" s="711"/>
      <c r="Q10740" s="11"/>
      <c r="R10740" s="11"/>
      <c r="S10740" s="11"/>
      <c r="T10740" s="11"/>
    </row>
    <row r="10741" spans="8:20" x14ac:dyDescent="0.35">
      <c r="H10741" s="711"/>
      <c r="I10741" s="711"/>
      <c r="J10741" s="711"/>
      <c r="K10741" s="711"/>
      <c r="L10741" s="711"/>
      <c r="Q10741" s="11"/>
      <c r="R10741" s="11"/>
      <c r="S10741" s="11"/>
      <c r="T10741" s="11"/>
    </row>
    <row r="10742" spans="8:20" x14ac:dyDescent="0.35">
      <c r="H10742" s="711"/>
      <c r="I10742" s="711"/>
      <c r="J10742" s="711"/>
      <c r="K10742" s="711"/>
      <c r="L10742" s="711"/>
      <c r="Q10742" s="11"/>
      <c r="R10742" s="11"/>
      <c r="S10742" s="11"/>
      <c r="T10742" s="11"/>
    </row>
    <row r="10743" spans="8:20" x14ac:dyDescent="0.35">
      <c r="H10743" s="711"/>
      <c r="I10743" s="711"/>
      <c r="J10743" s="711"/>
      <c r="K10743" s="711"/>
      <c r="L10743" s="711"/>
      <c r="Q10743" s="11"/>
      <c r="R10743" s="11"/>
      <c r="S10743" s="11"/>
      <c r="T10743" s="11"/>
    </row>
    <row r="10744" spans="8:20" x14ac:dyDescent="0.35">
      <c r="H10744" s="711"/>
      <c r="I10744" s="711"/>
      <c r="J10744" s="711"/>
      <c r="K10744" s="711"/>
      <c r="L10744" s="711"/>
      <c r="Q10744" s="11"/>
      <c r="R10744" s="11"/>
      <c r="S10744" s="11"/>
      <c r="T10744" s="11"/>
    </row>
    <row r="10745" spans="8:20" x14ac:dyDescent="0.35">
      <c r="H10745" s="711"/>
      <c r="I10745" s="711"/>
      <c r="J10745" s="711"/>
      <c r="K10745" s="711"/>
      <c r="L10745" s="711"/>
      <c r="Q10745" s="11"/>
      <c r="R10745" s="11"/>
      <c r="S10745" s="11"/>
      <c r="T10745" s="11"/>
    </row>
    <row r="10746" spans="8:20" x14ac:dyDescent="0.35">
      <c r="H10746" s="711"/>
      <c r="I10746" s="711"/>
      <c r="J10746" s="711"/>
      <c r="K10746" s="711"/>
      <c r="L10746" s="711"/>
      <c r="Q10746" s="11"/>
      <c r="R10746" s="11"/>
      <c r="S10746" s="11"/>
      <c r="T10746" s="11"/>
    </row>
    <row r="10747" spans="8:20" x14ac:dyDescent="0.35">
      <c r="H10747" s="711"/>
      <c r="I10747" s="711"/>
      <c r="J10747" s="711"/>
      <c r="K10747" s="711"/>
      <c r="L10747" s="711"/>
      <c r="Q10747" s="11"/>
      <c r="R10747" s="11"/>
      <c r="S10747" s="11"/>
      <c r="T10747" s="11"/>
    </row>
    <row r="10748" spans="8:20" x14ac:dyDescent="0.35">
      <c r="H10748" s="711"/>
      <c r="I10748" s="711"/>
      <c r="J10748" s="711"/>
      <c r="K10748" s="711"/>
      <c r="L10748" s="711"/>
      <c r="Q10748" s="11"/>
      <c r="R10748" s="11"/>
      <c r="S10748" s="11"/>
      <c r="T10748" s="11"/>
    </row>
    <row r="10749" spans="8:20" x14ac:dyDescent="0.35">
      <c r="H10749" s="711"/>
      <c r="I10749" s="711"/>
      <c r="J10749" s="711"/>
      <c r="K10749" s="711"/>
      <c r="L10749" s="711"/>
      <c r="Q10749" s="11"/>
      <c r="R10749" s="11"/>
      <c r="S10749" s="11"/>
      <c r="T10749" s="11"/>
    </row>
    <row r="10750" spans="8:20" x14ac:dyDescent="0.35">
      <c r="H10750" s="711"/>
      <c r="I10750" s="711"/>
      <c r="J10750" s="711"/>
      <c r="K10750" s="711"/>
      <c r="L10750" s="711"/>
      <c r="Q10750" s="11"/>
      <c r="R10750" s="11"/>
      <c r="S10750" s="11"/>
      <c r="T10750" s="11"/>
    </row>
    <row r="10751" spans="8:20" x14ac:dyDescent="0.35">
      <c r="H10751" s="711"/>
      <c r="I10751" s="711"/>
      <c r="J10751" s="711"/>
      <c r="K10751" s="711"/>
      <c r="L10751" s="711"/>
      <c r="Q10751" s="11"/>
      <c r="R10751" s="11"/>
      <c r="S10751" s="11"/>
      <c r="T10751" s="11"/>
    </row>
    <row r="10752" spans="8:20" x14ac:dyDescent="0.35">
      <c r="H10752" s="711"/>
      <c r="I10752" s="711"/>
      <c r="J10752" s="711"/>
      <c r="K10752" s="711"/>
      <c r="L10752" s="711"/>
      <c r="Q10752" s="11"/>
      <c r="R10752" s="11"/>
      <c r="S10752" s="11"/>
      <c r="T10752" s="11"/>
    </row>
    <row r="10753" spans="8:20" x14ac:dyDescent="0.35">
      <c r="H10753" s="711"/>
      <c r="I10753" s="711"/>
      <c r="J10753" s="711"/>
      <c r="K10753" s="711"/>
      <c r="L10753" s="711"/>
      <c r="Q10753" s="11"/>
      <c r="R10753" s="11"/>
      <c r="S10753" s="11"/>
      <c r="T10753" s="11"/>
    </row>
    <row r="10754" spans="8:20" x14ac:dyDescent="0.35">
      <c r="H10754" s="711"/>
      <c r="I10754" s="711"/>
      <c r="J10754" s="711"/>
      <c r="K10754" s="711"/>
      <c r="L10754" s="711"/>
      <c r="Q10754" s="11"/>
      <c r="R10754" s="11"/>
      <c r="S10754" s="11"/>
      <c r="T10754" s="11"/>
    </row>
    <row r="10755" spans="8:20" x14ac:dyDescent="0.35">
      <c r="H10755" s="711"/>
      <c r="I10755" s="711"/>
      <c r="J10755" s="711"/>
      <c r="K10755" s="711"/>
      <c r="L10755" s="711"/>
      <c r="Q10755" s="11"/>
      <c r="R10755" s="11"/>
      <c r="S10755" s="11"/>
      <c r="T10755" s="11"/>
    </row>
    <row r="10756" spans="8:20" x14ac:dyDescent="0.35">
      <c r="H10756" s="711"/>
      <c r="I10756" s="711"/>
      <c r="J10756" s="711"/>
      <c r="K10756" s="711"/>
      <c r="L10756" s="711"/>
      <c r="Q10756" s="11"/>
      <c r="R10756" s="11"/>
      <c r="S10756" s="11"/>
      <c r="T10756" s="11"/>
    </row>
    <row r="10757" spans="8:20" x14ac:dyDescent="0.35">
      <c r="H10757" s="711"/>
      <c r="I10757" s="711"/>
      <c r="J10757" s="711"/>
      <c r="K10757" s="711"/>
      <c r="L10757" s="711"/>
      <c r="Q10757" s="11"/>
      <c r="R10757" s="11"/>
      <c r="S10757" s="11"/>
      <c r="T10757" s="11"/>
    </row>
    <row r="10758" spans="8:20" x14ac:dyDescent="0.35">
      <c r="H10758" s="711"/>
      <c r="I10758" s="711"/>
      <c r="J10758" s="711"/>
      <c r="K10758" s="711"/>
      <c r="L10758" s="711"/>
      <c r="Q10758" s="11"/>
      <c r="R10758" s="11"/>
      <c r="S10758" s="11"/>
      <c r="T10758" s="11"/>
    </row>
    <row r="10759" spans="8:20" x14ac:dyDescent="0.35">
      <c r="H10759" s="711"/>
      <c r="I10759" s="711"/>
      <c r="J10759" s="711"/>
      <c r="K10759" s="711"/>
      <c r="L10759" s="711"/>
      <c r="Q10759" s="11"/>
      <c r="R10759" s="11"/>
      <c r="S10759" s="11"/>
      <c r="T10759" s="11"/>
    </row>
    <row r="10760" spans="8:20" x14ac:dyDescent="0.35">
      <c r="H10760" s="711"/>
      <c r="I10760" s="711"/>
      <c r="J10760" s="711"/>
      <c r="K10760" s="711"/>
      <c r="L10760" s="711"/>
      <c r="Q10760" s="11"/>
      <c r="R10760" s="11"/>
      <c r="S10760" s="11"/>
      <c r="T10760" s="11"/>
    </row>
    <row r="10761" spans="8:20" x14ac:dyDescent="0.35">
      <c r="H10761" s="711"/>
      <c r="I10761" s="711"/>
      <c r="J10761" s="711"/>
      <c r="K10761" s="711"/>
      <c r="L10761" s="711"/>
      <c r="Q10761" s="11"/>
      <c r="R10761" s="11"/>
      <c r="S10761" s="11"/>
      <c r="T10761" s="11"/>
    </row>
    <row r="10762" spans="8:20" x14ac:dyDescent="0.35">
      <c r="H10762" s="711"/>
      <c r="I10762" s="711"/>
      <c r="J10762" s="711"/>
      <c r="K10762" s="711"/>
      <c r="L10762" s="711"/>
      <c r="Q10762" s="11"/>
      <c r="R10762" s="11"/>
      <c r="S10762" s="11"/>
      <c r="T10762" s="11"/>
    </row>
    <row r="10763" spans="8:20" x14ac:dyDescent="0.35">
      <c r="H10763" s="711"/>
      <c r="I10763" s="711"/>
      <c r="J10763" s="711"/>
      <c r="K10763" s="711"/>
      <c r="L10763" s="711"/>
      <c r="Q10763" s="11"/>
      <c r="R10763" s="11"/>
      <c r="S10763" s="11"/>
      <c r="T10763" s="11"/>
    </row>
    <row r="10764" spans="8:20" x14ac:dyDescent="0.35">
      <c r="H10764" s="711"/>
      <c r="I10764" s="711"/>
      <c r="J10764" s="711"/>
      <c r="K10764" s="711"/>
      <c r="L10764" s="711"/>
      <c r="Q10764" s="11"/>
      <c r="R10764" s="11"/>
      <c r="S10764" s="11"/>
      <c r="T10764" s="11"/>
    </row>
    <row r="10765" spans="8:20" x14ac:dyDescent="0.35">
      <c r="H10765" s="711"/>
      <c r="I10765" s="711"/>
      <c r="J10765" s="711"/>
      <c r="K10765" s="711"/>
      <c r="L10765" s="711"/>
      <c r="Q10765" s="11"/>
      <c r="R10765" s="11"/>
      <c r="S10765" s="11"/>
      <c r="T10765" s="11"/>
    </row>
    <row r="10766" spans="8:20" x14ac:dyDescent="0.35">
      <c r="H10766" s="711"/>
      <c r="I10766" s="711"/>
      <c r="J10766" s="711"/>
      <c r="K10766" s="711"/>
      <c r="L10766" s="711"/>
      <c r="Q10766" s="11"/>
      <c r="R10766" s="11"/>
      <c r="S10766" s="11"/>
      <c r="T10766" s="11"/>
    </row>
    <row r="10767" spans="8:20" x14ac:dyDescent="0.35">
      <c r="H10767" s="711"/>
      <c r="I10767" s="711"/>
      <c r="J10767" s="711"/>
      <c r="K10767" s="711"/>
      <c r="L10767" s="711"/>
      <c r="Q10767" s="11"/>
      <c r="R10767" s="11"/>
      <c r="S10767" s="11"/>
      <c r="T10767" s="11"/>
    </row>
    <row r="10768" spans="8:20" x14ac:dyDescent="0.35">
      <c r="H10768" s="711"/>
      <c r="I10768" s="711"/>
      <c r="J10768" s="711"/>
      <c r="K10768" s="711"/>
      <c r="L10768" s="711"/>
      <c r="Q10768" s="11"/>
      <c r="R10768" s="11"/>
      <c r="S10768" s="11"/>
      <c r="T10768" s="11"/>
    </row>
    <row r="10769" spans="8:20" x14ac:dyDescent="0.35">
      <c r="H10769" s="711"/>
      <c r="I10769" s="711"/>
      <c r="J10769" s="711"/>
      <c r="K10769" s="711"/>
      <c r="L10769" s="711"/>
      <c r="Q10769" s="11"/>
      <c r="R10769" s="11"/>
      <c r="S10769" s="11"/>
      <c r="T10769" s="11"/>
    </row>
    <row r="10770" spans="8:20" x14ac:dyDescent="0.35">
      <c r="H10770" s="711"/>
      <c r="I10770" s="711"/>
      <c r="J10770" s="711"/>
      <c r="K10770" s="711"/>
      <c r="L10770" s="711"/>
      <c r="Q10770" s="11"/>
      <c r="R10770" s="11"/>
      <c r="S10770" s="11"/>
      <c r="T10770" s="11"/>
    </row>
    <row r="10771" spans="8:20" x14ac:dyDescent="0.35">
      <c r="H10771" s="711"/>
      <c r="I10771" s="711"/>
      <c r="J10771" s="711"/>
      <c r="K10771" s="711"/>
      <c r="L10771" s="711"/>
      <c r="Q10771" s="11"/>
      <c r="R10771" s="11"/>
      <c r="S10771" s="11"/>
      <c r="T10771" s="11"/>
    </row>
    <row r="10772" spans="8:20" x14ac:dyDescent="0.35">
      <c r="H10772" s="711"/>
      <c r="I10772" s="711"/>
      <c r="J10772" s="711"/>
      <c r="K10772" s="711"/>
      <c r="L10772" s="711"/>
      <c r="Q10772" s="11"/>
      <c r="R10772" s="11"/>
      <c r="S10772" s="11"/>
      <c r="T10772" s="11"/>
    </row>
    <row r="10773" spans="8:20" x14ac:dyDescent="0.35">
      <c r="H10773" s="711"/>
      <c r="I10773" s="711"/>
      <c r="J10773" s="711"/>
      <c r="K10773" s="711"/>
      <c r="L10773" s="711"/>
      <c r="Q10773" s="11"/>
      <c r="R10773" s="11"/>
      <c r="S10773" s="11"/>
      <c r="T10773" s="11"/>
    </row>
    <row r="10774" spans="8:20" x14ac:dyDescent="0.35">
      <c r="H10774" s="711"/>
      <c r="I10774" s="711"/>
      <c r="J10774" s="711"/>
      <c r="K10774" s="711"/>
      <c r="L10774" s="711"/>
      <c r="Q10774" s="11"/>
      <c r="R10774" s="11"/>
      <c r="S10774" s="11"/>
      <c r="T10774" s="11"/>
    </row>
    <row r="10775" spans="8:20" x14ac:dyDescent="0.35">
      <c r="H10775" s="711"/>
      <c r="I10775" s="711"/>
      <c r="J10775" s="711"/>
      <c r="K10775" s="711"/>
      <c r="L10775" s="711"/>
      <c r="Q10775" s="11"/>
      <c r="R10775" s="11"/>
      <c r="S10775" s="11"/>
      <c r="T10775" s="11"/>
    </row>
    <row r="10776" spans="8:20" x14ac:dyDescent="0.35">
      <c r="H10776" s="711"/>
      <c r="I10776" s="711"/>
      <c r="J10776" s="711"/>
      <c r="K10776" s="711"/>
      <c r="L10776" s="711"/>
      <c r="Q10776" s="11"/>
      <c r="R10776" s="11"/>
      <c r="S10776" s="11"/>
      <c r="T10776" s="11"/>
    </row>
    <row r="10777" spans="8:20" x14ac:dyDescent="0.35">
      <c r="H10777" s="711"/>
      <c r="I10777" s="711"/>
      <c r="J10777" s="711"/>
      <c r="K10777" s="711"/>
      <c r="L10777" s="711"/>
      <c r="Q10777" s="11"/>
      <c r="R10777" s="11"/>
      <c r="S10777" s="11"/>
      <c r="T10777" s="11"/>
    </row>
    <row r="10778" spans="8:20" x14ac:dyDescent="0.35">
      <c r="H10778" s="711"/>
      <c r="I10778" s="711"/>
      <c r="J10778" s="711"/>
      <c r="K10778" s="711"/>
      <c r="L10778" s="711"/>
      <c r="Q10778" s="11"/>
      <c r="R10778" s="11"/>
      <c r="S10778" s="11"/>
      <c r="T10778" s="11"/>
    </row>
    <row r="10779" spans="8:20" x14ac:dyDescent="0.35">
      <c r="H10779" s="711"/>
      <c r="I10779" s="711"/>
      <c r="J10779" s="711"/>
      <c r="K10779" s="711"/>
      <c r="L10779" s="711"/>
      <c r="Q10779" s="11"/>
      <c r="R10779" s="11"/>
      <c r="S10779" s="11"/>
      <c r="T10779" s="11"/>
    </row>
    <row r="10780" spans="8:20" x14ac:dyDescent="0.35">
      <c r="H10780" s="711"/>
      <c r="I10780" s="711"/>
      <c r="J10780" s="711"/>
      <c r="K10780" s="711"/>
      <c r="L10780" s="711"/>
      <c r="Q10780" s="11"/>
      <c r="R10780" s="11"/>
      <c r="S10780" s="11"/>
      <c r="T10780" s="11"/>
    </row>
    <row r="10781" spans="8:20" x14ac:dyDescent="0.35">
      <c r="H10781" s="711"/>
      <c r="I10781" s="711"/>
      <c r="J10781" s="711"/>
      <c r="K10781" s="711"/>
      <c r="L10781" s="711"/>
      <c r="Q10781" s="11"/>
      <c r="R10781" s="11"/>
      <c r="S10781" s="11"/>
      <c r="T10781" s="11"/>
    </row>
    <row r="10782" spans="8:20" x14ac:dyDescent="0.35">
      <c r="H10782" s="711"/>
      <c r="I10782" s="711"/>
      <c r="J10782" s="711"/>
      <c r="K10782" s="711"/>
      <c r="L10782" s="711"/>
      <c r="Q10782" s="11"/>
      <c r="R10782" s="11"/>
      <c r="S10782" s="11"/>
      <c r="T10782" s="11"/>
    </row>
    <row r="10783" spans="8:20" x14ac:dyDescent="0.35">
      <c r="H10783" s="711"/>
      <c r="I10783" s="711"/>
      <c r="J10783" s="711"/>
      <c r="K10783" s="711"/>
      <c r="L10783" s="711"/>
      <c r="Q10783" s="11"/>
      <c r="R10783" s="11"/>
      <c r="S10783" s="11"/>
      <c r="T10783" s="11"/>
    </row>
    <row r="10784" spans="8:20" x14ac:dyDescent="0.35">
      <c r="H10784" s="711"/>
      <c r="I10784" s="711"/>
      <c r="J10784" s="711"/>
      <c r="K10784" s="711"/>
      <c r="L10784" s="711"/>
      <c r="Q10784" s="11"/>
      <c r="R10784" s="11"/>
      <c r="S10784" s="11"/>
      <c r="T10784" s="11"/>
    </row>
    <row r="10785" spans="8:20" x14ac:dyDescent="0.35">
      <c r="H10785" s="711"/>
      <c r="I10785" s="711"/>
      <c r="J10785" s="711"/>
      <c r="K10785" s="711"/>
      <c r="L10785" s="711"/>
      <c r="Q10785" s="11"/>
      <c r="R10785" s="11"/>
      <c r="S10785" s="11"/>
      <c r="T10785" s="11"/>
    </row>
    <row r="10786" spans="8:20" x14ac:dyDescent="0.35">
      <c r="H10786" s="711"/>
      <c r="I10786" s="711"/>
      <c r="J10786" s="711"/>
      <c r="K10786" s="711"/>
      <c r="L10786" s="711"/>
      <c r="Q10786" s="11"/>
      <c r="R10786" s="11"/>
      <c r="S10786" s="11"/>
      <c r="T10786" s="11"/>
    </row>
    <row r="10787" spans="8:20" x14ac:dyDescent="0.35">
      <c r="H10787" s="711"/>
      <c r="I10787" s="711"/>
      <c r="J10787" s="711"/>
      <c r="K10787" s="711"/>
      <c r="L10787" s="711"/>
      <c r="Q10787" s="11"/>
      <c r="R10787" s="11"/>
      <c r="S10787" s="11"/>
      <c r="T10787" s="11"/>
    </row>
    <row r="10788" spans="8:20" x14ac:dyDescent="0.35">
      <c r="H10788" s="711"/>
      <c r="I10788" s="711"/>
      <c r="J10788" s="711"/>
      <c r="K10788" s="711"/>
      <c r="L10788" s="711"/>
      <c r="Q10788" s="11"/>
      <c r="R10788" s="11"/>
      <c r="S10788" s="11"/>
      <c r="T10788" s="11"/>
    </row>
    <row r="10789" spans="8:20" x14ac:dyDescent="0.35">
      <c r="H10789" s="711"/>
      <c r="I10789" s="711"/>
      <c r="J10789" s="711"/>
      <c r="K10789" s="711"/>
      <c r="L10789" s="711"/>
      <c r="Q10789" s="11"/>
      <c r="R10789" s="11"/>
      <c r="S10789" s="11"/>
      <c r="T10789" s="11"/>
    </row>
    <row r="10790" spans="8:20" x14ac:dyDescent="0.35">
      <c r="H10790" s="711"/>
      <c r="I10790" s="711"/>
      <c r="J10790" s="711"/>
      <c r="K10790" s="711"/>
      <c r="L10790" s="711"/>
      <c r="Q10790" s="11"/>
      <c r="R10790" s="11"/>
      <c r="S10790" s="11"/>
      <c r="T10790" s="11"/>
    </row>
    <row r="10791" spans="8:20" x14ac:dyDescent="0.35">
      <c r="H10791" s="711"/>
      <c r="I10791" s="711"/>
      <c r="J10791" s="711"/>
      <c r="K10791" s="711"/>
      <c r="L10791" s="711"/>
      <c r="Q10791" s="11"/>
      <c r="R10791" s="11"/>
      <c r="S10791" s="11"/>
      <c r="T10791" s="11"/>
    </row>
    <row r="10792" spans="8:20" x14ac:dyDescent="0.35">
      <c r="H10792" s="711"/>
      <c r="I10792" s="711"/>
      <c r="J10792" s="711"/>
      <c r="K10792" s="711"/>
      <c r="L10792" s="711"/>
      <c r="Q10792" s="11"/>
      <c r="R10792" s="11"/>
      <c r="S10792" s="11"/>
      <c r="T10792" s="11"/>
    </row>
    <row r="10793" spans="8:20" x14ac:dyDescent="0.35">
      <c r="H10793" s="711"/>
      <c r="I10793" s="711"/>
      <c r="J10793" s="711"/>
      <c r="K10793" s="711"/>
      <c r="L10793" s="711"/>
      <c r="Q10793" s="11"/>
      <c r="R10793" s="11"/>
      <c r="S10793" s="11"/>
      <c r="T10793" s="11"/>
    </row>
    <row r="10794" spans="8:20" x14ac:dyDescent="0.35">
      <c r="H10794" s="711"/>
      <c r="I10794" s="711"/>
      <c r="J10794" s="711"/>
      <c r="K10794" s="711"/>
      <c r="L10794" s="711"/>
      <c r="Q10794" s="11"/>
      <c r="R10794" s="11"/>
      <c r="S10794" s="11"/>
      <c r="T10794" s="11"/>
    </row>
    <row r="10795" spans="8:20" x14ac:dyDescent="0.35">
      <c r="H10795" s="711"/>
      <c r="I10795" s="711"/>
      <c r="J10795" s="711"/>
      <c r="K10795" s="711"/>
      <c r="L10795" s="711"/>
      <c r="Q10795" s="11"/>
      <c r="R10795" s="11"/>
      <c r="S10795" s="11"/>
      <c r="T10795" s="11"/>
    </row>
    <row r="10796" spans="8:20" x14ac:dyDescent="0.35">
      <c r="H10796" s="711"/>
      <c r="I10796" s="711"/>
      <c r="J10796" s="711"/>
      <c r="K10796" s="711"/>
      <c r="L10796" s="711"/>
      <c r="Q10796" s="11"/>
      <c r="R10796" s="11"/>
      <c r="S10796" s="11"/>
      <c r="T10796" s="11"/>
    </row>
    <row r="10797" spans="8:20" x14ac:dyDescent="0.35">
      <c r="H10797" s="711"/>
      <c r="I10797" s="711"/>
      <c r="J10797" s="711"/>
      <c r="K10797" s="711"/>
      <c r="L10797" s="711"/>
      <c r="Q10797" s="11"/>
      <c r="R10797" s="11"/>
      <c r="S10797" s="11"/>
      <c r="T10797" s="11"/>
    </row>
    <row r="10798" spans="8:20" x14ac:dyDescent="0.35">
      <c r="H10798" s="711"/>
      <c r="I10798" s="711"/>
      <c r="J10798" s="711"/>
      <c r="K10798" s="711"/>
      <c r="L10798" s="711"/>
      <c r="Q10798" s="11"/>
      <c r="R10798" s="11"/>
      <c r="S10798" s="11"/>
      <c r="T10798" s="11"/>
    </row>
    <row r="10799" spans="8:20" x14ac:dyDescent="0.35">
      <c r="H10799" s="711"/>
      <c r="I10799" s="711"/>
      <c r="J10799" s="711"/>
      <c r="K10799" s="711"/>
      <c r="L10799" s="711"/>
      <c r="Q10799" s="11"/>
      <c r="R10799" s="11"/>
      <c r="S10799" s="11"/>
      <c r="T10799" s="11"/>
    </row>
    <row r="10800" spans="8:20" x14ac:dyDescent="0.35">
      <c r="H10800" s="711"/>
      <c r="I10800" s="711"/>
      <c r="J10800" s="711"/>
      <c r="K10800" s="711"/>
      <c r="L10800" s="711"/>
      <c r="Q10800" s="11"/>
      <c r="R10800" s="11"/>
      <c r="S10800" s="11"/>
      <c r="T10800" s="11"/>
    </row>
    <row r="10801" spans="8:20" x14ac:dyDescent="0.35">
      <c r="H10801" s="711"/>
      <c r="I10801" s="711"/>
      <c r="J10801" s="711"/>
      <c r="K10801" s="711"/>
      <c r="L10801" s="711"/>
      <c r="Q10801" s="11"/>
      <c r="R10801" s="11"/>
      <c r="S10801" s="11"/>
      <c r="T10801" s="11"/>
    </row>
    <row r="10802" spans="8:20" x14ac:dyDescent="0.35">
      <c r="H10802" s="711"/>
      <c r="I10802" s="711"/>
      <c r="J10802" s="711"/>
      <c r="K10802" s="711"/>
      <c r="L10802" s="711"/>
      <c r="Q10802" s="11"/>
      <c r="R10802" s="11"/>
      <c r="S10802" s="11"/>
      <c r="T10802" s="11"/>
    </row>
    <row r="10803" spans="8:20" x14ac:dyDescent="0.35">
      <c r="H10803" s="711"/>
      <c r="I10803" s="711"/>
      <c r="J10803" s="711"/>
      <c r="K10803" s="711"/>
      <c r="L10803" s="711"/>
      <c r="Q10803" s="11"/>
      <c r="R10803" s="11"/>
      <c r="S10803" s="11"/>
      <c r="T10803" s="11"/>
    </row>
    <row r="10804" spans="8:20" x14ac:dyDescent="0.35">
      <c r="H10804" s="711"/>
      <c r="I10804" s="711"/>
      <c r="J10804" s="711"/>
      <c r="K10804" s="711"/>
      <c r="L10804" s="711"/>
      <c r="Q10804" s="11"/>
      <c r="R10804" s="11"/>
      <c r="S10804" s="11"/>
      <c r="T10804" s="11"/>
    </row>
    <row r="10805" spans="8:20" x14ac:dyDescent="0.35">
      <c r="H10805" s="711"/>
      <c r="I10805" s="711"/>
      <c r="J10805" s="711"/>
      <c r="K10805" s="711"/>
      <c r="L10805" s="711"/>
      <c r="Q10805" s="11"/>
      <c r="R10805" s="11"/>
      <c r="S10805" s="11"/>
      <c r="T10805" s="11"/>
    </row>
    <row r="10806" spans="8:20" x14ac:dyDescent="0.35">
      <c r="H10806" s="711"/>
      <c r="I10806" s="711"/>
      <c r="J10806" s="711"/>
      <c r="K10806" s="711"/>
      <c r="L10806" s="711"/>
      <c r="Q10806" s="11"/>
      <c r="R10806" s="11"/>
      <c r="S10806" s="11"/>
      <c r="T10806" s="11"/>
    </row>
    <row r="10807" spans="8:20" x14ac:dyDescent="0.35">
      <c r="H10807" s="711"/>
      <c r="I10807" s="711"/>
      <c r="J10807" s="711"/>
      <c r="K10807" s="711"/>
      <c r="L10807" s="711"/>
      <c r="Q10807" s="11"/>
      <c r="R10807" s="11"/>
      <c r="S10807" s="11"/>
      <c r="T10807" s="11"/>
    </row>
    <row r="10808" spans="8:20" x14ac:dyDescent="0.35">
      <c r="H10808" s="711"/>
      <c r="I10808" s="711"/>
      <c r="J10808" s="711"/>
      <c r="K10808" s="711"/>
      <c r="L10808" s="711"/>
      <c r="Q10808" s="11"/>
      <c r="R10808" s="11"/>
      <c r="S10808" s="11"/>
      <c r="T10808" s="11"/>
    </row>
    <row r="10809" spans="8:20" x14ac:dyDescent="0.35">
      <c r="H10809" s="711"/>
      <c r="I10809" s="711"/>
      <c r="J10809" s="711"/>
      <c r="K10809" s="711"/>
      <c r="L10809" s="711"/>
      <c r="Q10809" s="11"/>
      <c r="R10809" s="11"/>
      <c r="S10809" s="11"/>
      <c r="T10809" s="11"/>
    </row>
    <row r="10810" spans="8:20" x14ac:dyDescent="0.35">
      <c r="H10810" s="711"/>
      <c r="I10810" s="711"/>
      <c r="J10810" s="711"/>
      <c r="K10810" s="711"/>
      <c r="L10810" s="711"/>
      <c r="Q10810" s="11"/>
      <c r="R10810" s="11"/>
      <c r="S10810" s="11"/>
      <c r="T10810" s="11"/>
    </row>
    <row r="10811" spans="8:20" x14ac:dyDescent="0.35">
      <c r="H10811" s="711"/>
      <c r="I10811" s="711"/>
      <c r="J10811" s="711"/>
      <c r="K10811" s="711"/>
      <c r="L10811" s="711"/>
      <c r="Q10811" s="11"/>
      <c r="R10811" s="11"/>
      <c r="S10811" s="11"/>
      <c r="T10811" s="11"/>
    </row>
    <row r="10812" spans="8:20" x14ac:dyDescent="0.35">
      <c r="H10812" s="711"/>
      <c r="I10812" s="711"/>
      <c r="J10812" s="711"/>
      <c r="K10812" s="711"/>
      <c r="L10812" s="711"/>
      <c r="Q10812" s="11"/>
      <c r="R10812" s="11"/>
      <c r="S10812" s="11"/>
      <c r="T10812" s="11"/>
    </row>
    <row r="10813" spans="8:20" x14ac:dyDescent="0.35">
      <c r="H10813" s="711"/>
      <c r="I10813" s="711"/>
      <c r="J10813" s="711"/>
      <c r="K10813" s="711"/>
      <c r="L10813" s="711"/>
      <c r="Q10813" s="11"/>
      <c r="R10813" s="11"/>
      <c r="S10813" s="11"/>
      <c r="T10813" s="11"/>
    </row>
    <row r="10814" spans="8:20" x14ac:dyDescent="0.35">
      <c r="H10814" s="711"/>
      <c r="I10814" s="711"/>
      <c r="J10814" s="711"/>
      <c r="K10814" s="711"/>
      <c r="L10814" s="711"/>
      <c r="Q10814" s="11"/>
      <c r="R10814" s="11"/>
      <c r="S10814" s="11"/>
      <c r="T10814" s="11"/>
    </row>
    <row r="10815" spans="8:20" x14ac:dyDescent="0.35">
      <c r="H10815" s="711"/>
      <c r="I10815" s="711"/>
      <c r="J10815" s="711"/>
      <c r="K10815" s="711"/>
      <c r="L10815" s="711"/>
      <c r="Q10815" s="11"/>
      <c r="R10815" s="11"/>
      <c r="S10815" s="11"/>
      <c r="T10815" s="11"/>
    </row>
    <row r="10816" spans="8:20" x14ac:dyDescent="0.35">
      <c r="H10816" s="711"/>
      <c r="I10816" s="711"/>
      <c r="J10816" s="711"/>
      <c r="K10816" s="711"/>
      <c r="L10816" s="711"/>
      <c r="Q10816" s="11"/>
      <c r="R10816" s="11"/>
      <c r="S10816" s="11"/>
      <c r="T10816" s="11"/>
    </row>
    <row r="10817" spans="8:20" x14ac:dyDescent="0.35">
      <c r="H10817" s="711"/>
      <c r="I10817" s="711"/>
      <c r="J10817" s="711"/>
      <c r="K10817" s="711"/>
      <c r="L10817" s="711"/>
      <c r="Q10817" s="11"/>
      <c r="R10817" s="11"/>
      <c r="S10817" s="11"/>
      <c r="T10817" s="11"/>
    </row>
    <row r="10818" spans="8:20" x14ac:dyDescent="0.35">
      <c r="H10818" s="711"/>
      <c r="I10818" s="711"/>
      <c r="J10818" s="711"/>
      <c r="K10818" s="711"/>
      <c r="L10818" s="711"/>
      <c r="Q10818" s="11"/>
      <c r="R10818" s="11"/>
      <c r="S10818" s="11"/>
      <c r="T10818" s="11"/>
    </row>
    <row r="10819" spans="8:20" x14ac:dyDescent="0.35">
      <c r="H10819" s="711"/>
      <c r="I10819" s="711"/>
      <c r="J10819" s="711"/>
      <c r="K10819" s="711"/>
      <c r="L10819" s="711"/>
      <c r="Q10819" s="11"/>
      <c r="R10819" s="11"/>
      <c r="S10819" s="11"/>
      <c r="T10819" s="11"/>
    </row>
    <row r="10820" spans="8:20" x14ac:dyDescent="0.35">
      <c r="H10820" s="711"/>
      <c r="I10820" s="711"/>
      <c r="J10820" s="711"/>
      <c r="K10820" s="711"/>
      <c r="L10820" s="711"/>
      <c r="Q10820" s="11"/>
      <c r="R10820" s="11"/>
      <c r="S10820" s="11"/>
      <c r="T10820" s="11"/>
    </row>
    <row r="10821" spans="8:20" x14ac:dyDescent="0.35">
      <c r="H10821" s="711"/>
      <c r="I10821" s="711"/>
      <c r="J10821" s="711"/>
      <c r="K10821" s="711"/>
      <c r="L10821" s="711"/>
      <c r="Q10821" s="11"/>
      <c r="R10821" s="11"/>
      <c r="S10821" s="11"/>
      <c r="T10821" s="11"/>
    </row>
    <row r="10822" spans="8:20" x14ac:dyDescent="0.35">
      <c r="H10822" s="711"/>
      <c r="I10822" s="711"/>
      <c r="J10822" s="711"/>
      <c r="K10822" s="711"/>
      <c r="L10822" s="711"/>
      <c r="Q10822" s="11"/>
      <c r="R10822" s="11"/>
      <c r="S10822" s="11"/>
      <c r="T10822" s="11"/>
    </row>
    <row r="10823" spans="8:20" x14ac:dyDescent="0.35">
      <c r="H10823" s="711"/>
      <c r="I10823" s="711"/>
      <c r="J10823" s="711"/>
      <c r="K10823" s="711"/>
      <c r="L10823" s="711"/>
      <c r="Q10823" s="11"/>
      <c r="R10823" s="11"/>
      <c r="S10823" s="11"/>
      <c r="T10823" s="11"/>
    </row>
    <row r="10824" spans="8:20" x14ac:dyDescent="0.35">
      <c r="H10824" s="711"/>
      <c r="I10824" s="711"/>
      <c r="J10824" s="711"/>
      <c r="K10824" s="711"/>
      <c r="L10824" s="711"/>
      <c r="Q10824" s="11"/>
      <c r="R10824" s="11"/>
      <c r="S10824" s="11"/>
      <c r="T10824" s="11"/>
    </row>
    <row r="10825" spans="8:20" x14ac:dyDescent="0.35">
      <c r="H10825" s="711"/>
      <c r="I10825" s="711"/>
      <c r="J10825" s="711"/>
      <c r="K10825" s="711"/>
      <c r="L10825" s="711"/>
      <c r="Q10825" s="11"/>
      <c r="R10825" s="11"/>
      <c r="S10825" s="11"/>
      <c r="T10825" s="11"/>
    </row>
    <row r="10826" spans="8:20" x14ac:dyDescent="0.35">
      <c r="H10826" s="711"/>
      <c r="I10826" s="711"/>
      <c r="J10826" s="711"/>
      <c r="K10826" s="711"/>
      <c r="L10826" s="711"/>
      <c r="Q10826" s="11"/>
      <c r="R10826" s="11"/>
      <c r="S10826" s="11"/>
      <c r="T10826" s="11"/>
    </row>
    <row r="10827" spans="8:20" x14ac:dyDescent="0.35">
      <c r="H10827" s="711"/>
      <c r="I10827" s="711"/>
      <c r="J10827" s="711"/>
      <c r="K10827" s="711"/>
      <c r="L10827" s="711"/>
      <c r="Q10827" s="11"/>
      <c r="R10827" s="11"/>
      <c r="S10827" s="11"/>
      <c r="T10827" s="11"/>
    </row>
    <row r="10828" spans="8:20" x14ac:dyDescent="0.35">
      <c r="H10828" s="711"/>
      <c r="I10828" s="711"/>
      <c r="J10828" s="711"/>
      <c r="K10828" s="711"/>
      <c r="L10828" s="711"/>
      <c r="Q10828" s="11"/>
      <c r="R10828" s="11"/>
      <c r="S10828" s="11"/>
      <c r="T10828" s="11"/>
    </row>
    <row r="10829" spans="8:20" x14ac:dyDescent="0.35">
      <c r="H10829" s="711"/>
      <c r="I10829" s="711"/>
      <c r="J10829" s="711"/>
      <c r="K10829" s="711"/>
      <c r="L10829" s="711"/>
      <c r="Q10829" s="11"/>
      <c r="R10829" s="11"/>
      <c r="S10829" s="11"/>
      <c r="T10829" s="11"/>
    </row>
    <row r="10830" spans="8:20" x14ac:dyDescent="0.35">
      <c r="H10830" s="711"/>
      <c r="I10830" s="711"/>
      <c r="J10830" s="711"/>
      <c r="K10830" s="711"/>
      <c r="L10830" s="711"/>
      <c r="Q10830" s="11"/>
      <c r="R10830" s="11"/>
      <c r="S10830" s="11"/>
      <c r="T10830" s="11"/>
    </row>
    <row r="10831" spans="8:20" x14ac:dyDescent="0.35">
      <c r="H10831" s="711"/>
      <c r="I10831" s="711"/>
      <c r="J10831" s="711"/>
      <c r="K10831" s="711"/>
      <c r="L10831" s="711"/>
      <c r="Q10831" s="11"/>
      <c r="R10831" s="11"/>
      <c r="S10831" s="11"/>
      <c r="T10831" s="11"/>
    </row>
    <row r="10832" spans="8:20" x14ac:dyDescent="0.35">
      <c r="H10832" s="711"/>
      <c r="I10832" s="711"/>
      <c r="J10832" s="711"/>
      <c r="K10832" s="711"/>
      <c r="L10832" s="711"/>
      <c r="Q10832" s="11"/>
      <c r="R10832" s="11"/>
      <c r="S10832" s="11"/>
      <c r="T10832" s="11"/>
    </row>
    <row r="10833" spans="8:20" x14ac:dyDescent="0.35">
      <c r="H10833" s="711"/>
      <c r="I10833" s="711"/>
      <c r="J10833" s="711"/>
      <c r="K10833" s="711"/>
      <c r="L10833" s="711"/>
      <c r="Q10833" s="11"/>
      <c r="R10833" s="11"/>
      <c r="S10833" s="11"/>
      <c r="T10833" s="11"/>
    </row>
    <row r="10834" spans="8:20" x14ac:dyDescent="0.35">
      <c r="H10834" s="711"/>
      <c r="I10834" s="711"/>
      <c r="J10834" s="711"/>
      <c r="K10834" s="711"/>
      <c r="L10834" s="711"/>
      <c r="Q10834" s="11"/>
      <c r="R10834" s="11"/>
      <c r="S10834" s="11"/>
      <c r="T10834" s="11"/>
    </row>
    <row r="10835" spans="8:20" x14ac:dyDescent="0.35">
      <c r="H10835" s="711"/>
      <c r="I10835" s="711"/>
      <c r="J10835" s="711"/>
      <c r="K10835" s="711"/>
      <c r="L10835" s="711"/>
      <c r="Q10835" s="11"/>
      <c r="R10835" s="11"/>
      <c r="S10835" s="11"/>
      <c r="T10835" s="11"/>
    </row>
    <row r="10836" spans="8:20" x14ac:dyDescent="0.35">
      <c r="H10836" s="711"/>
      <c r="I10836" s="711"/>
      <c r="J10836" s="711"/>
      <c r="K10836" s="711"/>
      <c r="L10836" s="711"/>
      <c r="Q10836" s="11"/>
      <c r="R10836" s="11"/>
      <c r="S10836" s="11"/>
      <c r="T10836" s="11"/>
    </row>
    <row r="10837" spans="8:20" x14ac:dyDescent="0.35">
      <c r="H10837" s="711"/>
      <c r="I10837" s="711"/>
      <c r="J10837" s="711"/>
      <c r="K10837" s="711"/>
      <c r="L10837" s="711"/>
      <c r="Q10837" s="11"/>
      <c r="R10837" s="11"/>
      <c r="S10837" s="11"/>
      <c r="T10837" s="11"/>
    </row>
    <row r="10838" spans="8:20" x14ac:dyDescent="0.35">
      <c r="H10838" s="711"/>
      <c r="I10838" s="711"/>
      <c r="J10838" s="711"/>
      <c r="K10838" s="711"/>
      <c r="L10838" s="711"/>
      <c r="Q10838" s="11"/>
      <c r="R10838" s="11"/>
      <c r="S10838" s="11"/>
      <c r="T10838" s="11"/>
    </row>
    <row r="10839" spans="8:20" x14ac:dyDescent="0.35">
      <c r="H10839" s="711"/>
      <c r="I10839" s="711"/>
      <c r="J10839" s="711"/>
      <c r="K10839" s="711"/>
      <c r="L10839" s="711"/>
      <c r="Q10839" s="11"/>
      <c r="R10839" s="11"/>
      <c r="S10839" s="11"/>
      <c r="T10839" s="11"/>
    </row>
    <row r="10840" spans="8:20" x14ac:dyDescent="0.35">
      <c r="H10840" s="711"/>
      <c r="I10840" s="711"/>
      <c r="J10840" s="711"/>
      <c r="K10840" s="711"/>
      <c r="L10840" s="711"/>
      <c r="Q10840" s="11"/>
      <c r="R10840" s="11"/>
      <c r="S10840" s="11"/>
      <c r="T10840" s="11"/>
    </row>
    <row r="10841" spans="8:20" x14ac:dyDescent="0.35">
      <c r="H10841" s="711"/>
      <c r="I10841" s="711"/>
      <c r="J10841" s="711"/>
      <c r="K10841" s="711"/>
      <c r="L10841" s="711"/>
      <c r="Q10841" s="11"/>
      <c r="R10841" s="11"/>
      <c r="S10841" s="11"/>
      <c r="T10841" s="11"/>
    </row>
    <row r="10842" spans="8:20" x14ac:dyDescent="0.35">
      <c r="H10842" s="711"/>
      <c r="I10842" s="711"/>
      <c r="J10842" s="711"/>
      <c r="K10842" s="711"/>
      <c r="L10842" s="711"/>
      <c r="Q10842" s="11"/>
      <c r="R10842" s="11"/>
      <c r="S10842" s="11"/>
      <c r="T10842" s="11"/>
    </row>
    <row r="10843" spans="8:20" x14ac:dyDescent="0.35">
      <c r="H10843" s="711"/>
      <c r="I10843" s="711"/>
      <c r="J10843" s="711"/>
      <c r="K10843" s="711"/>
      <c r="L10843" s="711"/>
      <c r="Q10843" s="11"/>
      <c r="R10843" s="11"/>
      <c r="S10843" s="11"/>
      <c r="T10843" s="11"/>
    </row>
    <row r="10844" spans="8:20" x14ac:dyDescent="0.35">
      <c r="H10844" s="711"/>
      <c r="I10844" s="711"/>
      <c r="J10844" s="711"/>
      <c r="K10844" s="711"/>
      <c r="L10844" s="711"/>
      <c r="Q10844" s="11"/>
      <c r="R10844" s="11"/>
      <c r="S10844" s="11"/>
      <c r="T10844" s="11"/>
    </row>
    <row r="10845" spans="8:20" x14ac:dyDescent="0.35">
      <c r="H10845" s="711"/>
      <c r="I10845" s="711"/>
      <c r="J10845" s="711"/>
      <c r="K10845" s="711"/>
      <c r="L10845" s="711"/>
      <c r="Q10845" s="11"/>
      <c r="R10845" s="11"/>
      <c r="S10845" s="11"/>
      <c r="T10845" s="11"/>
    </row>
    <row r="10846" spans="8:20" x14ac:dyDescent="0.35">
      <c r="H10846" s="711"/>
      <c r="I10846" s="711"/>
      <c r="J10846" s="711"/>
      <c r="K10846" s="711"/>
      <c r="L10846" s="711"/>
      <c r="Q10846" s="11"/>
      <c r="R10846" s="11"/>
      <c r="S10846" s="11"/>
      <c r="T10846" s="11"/>
    </row>
    <row r="10847" spans="8:20" x14ac:dyDescent="0.35">
      <c r="H10847" s="711"/>
      <c r="I10847" s="711"/>
      <c r="J10847" s="711"/>
      <c r="K10847" s="711"/>
      <c r="L10847" s="711"/>
      <c r="Q10847" s="11"/>
      <c r="R10847" s="11"/>
      <c r="S10847" s="11"/>
      <c r="T10847" s="11"/>
    </row>
    <row r="10848" spans="8:20" x14ac:dyDescent="0.35">
      <c r="H10848" s="711"/>
      <c r="I10848" s="711"/>
      <c r="J10848" s="711"/>
      <c r="K10848" s="711"/>
      <c r="L10848" s="711"/>
      <c r="Q10848" s="11"/>
      <c r="R10848" s="11"/>
      <c r="S10848" s="11"/>
      <c r="T10848" s="11"/>
    </row>
    <row r="10849" spans="8:20" x14ac:dyDescent="0.35">
      <c r="H10849" s="711"/>
      <c r="I10849" s="711"/>
      <c r="J10849" s="711"/>
      <c r="K10849" s="711"/>
      <c r="L10849" s="711"/>
      <c r="Q10849" s="11"/>
      <c r="R10849" s="11"/>
      <c r="S10849" s="11"/>
      <c r="T10849" s="11"/>
    </row>
    <row r="10850" spans="8:20" x14ac:dyDescent="0.35">
      <c r="H10850" s="711"/>
      <c r="I10850" s="711"/>
      <c r="J10850" s="711"/>
      <c r="K10850" s="711"/>
      <c r="L10850" s="711"/>
      <c r="Q10850" s="11"/>
      <c r="R10850" s="11"/>
      <c r="S10850" s="11"/>
      <c r="T10850" s="11"/>
    </row>
    <row r="10851" spans="8:20" x14ac:dyDescent="0.35">
      <c r="H10851" s="711"/>
      <c r="I10851" s="711"/>
      <c r="J10851" s="711"/>
      <c r="K10851" s="711"/>
      <c r="L10851" s="711"/>
      <c r="Q10851" s="11"/>
      <c r="R10851" s="11"/>
      <c r="S10851" s="11"/>
      <c r="T10851" s="11"/>
    </row>
    <row r="10852" spans="8:20" x14ac:dyDescent="0.35">
      <c r="H10852" s="711"/>
      <c r="I10852" s="711"/>
      <c r="J10852" s="711"/>
      <c r="K10852" s="711"/>
      <c r="L10852" s="711"/>
      <c r="Q10852" s="11"/>
      <c r="R10852" s="11"/>
      <c r="S10852" s="11"/>
      <c r="T10852" s="11"/>
    </row>
    <row r="10853" spans="8:20" x14ac:dyDescent="0.35">
      <c r="H10853" s="711"/>
      <c r="I10853" s="711"/>
      <c r="J10853" s="711"/>
      <c r="K10853" s="711"/>
      <c r="L10853" s="711"/>
      <c r="Q10853" s="11"/>
      <c r="R10853" s="11"/>
      <c r="S10853" s="11"/>
      <c r="T10853" s="11"/>
    </row>
    <row r="10854" spans="8:20" x14ac:dyDescent="0.35">
      <c r="H10854" s="711"/>
      <c r="I10854" s="711"/>
      <c r="J10854" s="711"/>
      <c r="K10854" s="711"/>
      <c r="L10854" s="711"/>
      <c r="Q10854" s="11"/>
      <c r="R10854" s="11"/>
      <c r="S10854" s="11"/>
      <c r="T10854" s="11"/>
    </row>
    <row r="10855" spans="8:20" x14ac:dyDescent="0.35">
      <c r="H10855" s="711"/>
      <c r="I10855" s="711"/>
      <c r="J10855" s="711"/>
      <c r="K10855" s="711"/>
      <c r="L10855" s="711"/>
      <c r="Q10855" s="11"/>
      <c r="R10855" s="11"/>
      <c r="S10855" s="11"/>
      <c r="T10855" s="11"/>
    </row>
    <row r="10856" spans="8:20" x14ac:dyDescent="0.35">
      <c r="H10856" s="711"/>
      <c r="I10856" s="711"/>
      <c r="J10856" s="711"/>
      <c r="K10856" s="711"/>
      <c r="L10856" s="711"/>
      <c r="Q10856" s="11"/>
      <c r="R10856" s="11"/>
      <c r="S10856" s="11"/>
      <c r="T10856" s="11"/>
    </row>
    <row r="10857" spans="8:20" x14ac:dyDescent="0.35">
      <c r="H10857" s="711"/>
      <c r="I10857" s="711"/>
      <c r="J10857" s="711"/>
      <c r="K10857" s="711"/>
      <c r="L10857" s="711"/>
      <c r="Q10857" s="11"/>
      <c r="R10857" s="11"/>
      <c r="S10857" s="11"/>
      <c r="T10857" s="11"/>
    </row>
    <row r="10858" spans="8:20" x14ac:dyDescent="0.35">
      <c r="H10858" s="711"/>
      <c r="I10858" s="711"/>
      <c r="J10858" s="711"/>
      <c r="K10858" s="711"/>
      <c r="L10858" s="711"/>
      <c r="Q10858" s="11"/>
      <c r="R10858" s="11"/>
      <c r="S10858" s="11"/>
      <c r="T10858" s="11"/>
    </row>
    <row r="10859" spans="8:20" x14ac:dyDescent="0.35">
      <c r="H10859" s="711"/>
      <c r="I10859" s="711"/>
      <c r="J10859" s="711"/>
      <c r="K10859" s="711"/>
      <c r="L10859" s="711"/>
      <c r="Q10859" s="11"/>
      <c r="R10859" s="11"/>
      <c r="S10859" s="11"/>
      <c r="T10859" s="11"/>
    </row>
    <row r="10860" spans="8:20" x14ac:dyDescent="0.35">
      <c r="H10860" s="711"/>
      <c r="I10860" s="711"/>
      <c r="J10860" s="711"/>
      <c r="K10860" s="711"/>
      <c r="L10860" s="711"/>
      <c r="Q10860" s="11"/>
      <c r="R10860" s="11"/>
      <c r="S10860" s="11"/>
      <c r="T10860" s="11"/>
    </row>
    <row r="10861" spans="8:20" x14ac:dyDescent="0.35">
      <c r="H10861" s="711"/>
      <c r="I10861" s="711"/>
      <c r="J10861" s="711"/>
      <c r="K10861" s="711"/>
      <c r="L10861" s="711"/>
      <c r="Q10861" s="11"/>
      <c r="R10861" s="11"/>
      <c r="S10861" s="11"/>
      <c r="T10861" s="11"/>
    </row>
    <row r="10862" spans="8:20" x14ac:dyDescent="0.35">
      <c r="H10862" s="711"/>
      <c r="I10862" s="711"/>
      <c r="J10862" s="711"/>
      <c r="K10862" s="711"/>
      <c r="L10862" s="711"/>
      <c r="Q10862" s="11"/>
      <c r="R10862" s="11"/>
      <c r="S10862" s="11"/>
      <c r="T10862" s="11"/>
    </row>
    <row r="10863" spans="8:20" x14ac:dyDescent="0.35">
      <c r="H10863" s="711"/>
      <c r="I10863" s="711"/>
      <c r="J10863" s="711"/>
      <c r="K10863" s="711"/>
      <c r="L10863" s="711"/>
      <c r="Q10863" s="11"/>
      <c r="R10863" s="11"/>
      <c r="S10863" s="11"/>
      <c r="T10863" s="11"/>
    </row>
    <row r="10864" spans="8:20" x14ac:dyDescent="0.35">
      <c r="H10864" s="711"/>
      <c r="I10864" s="711"/>
      <c r="J10864" s="711"/>
      <c r="K10864" s="711"/>
      <c r="L10864" s="711"/>
      <c r="Q10864" s="11"/>
      <c r="R10864" s="11"/>
      <c r="S10864" s="11"/>
      <c r="T10864" s="11"/>
    </row>
    <row r="10865" spans="8:20" x14ac:dyDescent="0.35">
      <c r="H10865" s="711"/>
      <c r="I10865" s="711"/>
      <c r="J10865" s="711"/>
      <c r="K10865" s="711"/>
      <c r="L10865" s="711"/>
      <c r="Q10865" s="11"/>
      <c r="R10865" s="11"/>
      <c r="S10865" s="11"/>
      <c r="T10865" s="11"/>
    </row>
    <row r="10866" spans="8:20" x14ac:dyDescent="0.35">
      <c r="H10866" s="711"/>
      <c r="I10866" s="711"/>
      <c r="J10866" s="711"/>
      <c r="K10866" s="711"/>
      <c r="L10866" s="711"/>
      <c r="Q10866" s="11"/>
      <c r="R10866" s="11"/>
      <c r="S10866" s="11"/>
      <c r="T10866" s="11"/>
    </row>
    <row r="10867" spans="8:20" x14ac:dyDescent="0.35">
      <c r="H10867" s="711"/>
      <c r="I10867" s="711"/>
      <c r="J10867" s="711"/>
      <c r="K10867" s="711"/>
      <c r="L10867" s="711"/>
      <c r="Q10867" s="11"/>
      <c r="R10867" s="11"/>
      <c r="S10867" s="11"/>
      <c r="T10867" s="11"/>
    </row>
    <row r="10868" spans="8:20" x14ac:dyDescent="0.35">
      <c r="H10868" s="711"/>
      <c r="I10868" s="711"/>
      <c r="J10868" s="711"/>
      <c r="K10868" s="711"/>
      <c r="L10868" s="711"/>
      <c r="Q10868" s="11"/>
      <c r="R10868" s="11"/>
      <c r="S10868" s="11"/>
      <c r="T10868" s="11"/>
    </row>
    <row r="10869" spans="8:20" x14ac:dyDescent="0.35">
      <c r="H10869" s="711"/>
      <c r="I10869" s="711"/>
      <c r="J10869" s="711"/>
      <c r="K10869" s="711"/>
      <c r="L10869" s="711"/>
      <c r="Q10869" s="11"/>
      <c r="R10869" s="11"/>
      <c r="S10869" s="11"/>
      <c r="T10869" s="11"/>
    </row>
    <row r="10870" spans="8:20" x14ac:dyDescent="0.35">
      <c r="H10870" s="711"/>
      <c r="I10870" s="711"/>
      <c r="J10870" s="711"/>
      <c r="K10870" s="711"/>
      <c r="L10870" s="711"/>
      <c r="Q10870" s="11"/>
      <c r="R10870" s="11"/>
      <c r="S10870" s="11"/>
      <c r="T10870" s="11"/>
    </row>
    <row r="10871" spans="8:20" x14ac:dyDescent="0.35">
      <c r="H10871" s="711"/>
      <c r="I10871" s="711"/>
      <c r="J10871" s="711"/>
      <c r="K10871" s="711"/>
      <c r="L10871" s="711"/>
      <c r="Q10871" s="11"/>
      <c r="R10871" s="11"/>
      <c r="S10871" s="11"/>
      <c r="T10871" s="11"/>
    </row>
    <row r="10872" spans="8:20" x14ac:dyDescent="0.35">
      <c r="H10872" s="711"/>
      <c r="I10872" s="711"/>
      <c r="J10872" s="711"/>
      <c r="K10872" s="711"/>
      <c r="L10872" s="711"/>
      <c r="Q10872" s="11"/>
      <c r="R10872" s="11"/>
      <c r="S10872" s="11"/>
      <c r="T10872" s="11"/>
    </row>
    <row r="10873" spans="8:20" x14ac:dyDescent="0.35">
      <c r="H10873" s="711"/>
      <c r="I10873" s="711"/>
      <c r="J10873" s="711"/>
      <c r="K10873" s="711"/>
      <c r="L10873" s="711"/>
      <c r="Q10873" s="11"/>
      <c r="R10873" s="11"/>
      <c r="S10873" s="11"/>
      <c r="T10873" s="11"/>
    </row>
    <row r="10874" spans="8:20" x14ac:dyDescent="0.35">
      <c r="H10874" s="711"/>
      <c r="I10874" s="711"/>
      <c r="J10874" s="711"/>
      <c r="K10874" s="711"/>
      <c r="L10874" s="711"/>
      <c r="Q10874" s="11"/>
      <c r="R10874" s="11"/>
      <c r="S10874" s="11"/>
      <c r="T10874" s="11"/>
    </row>
    <row r="10875" spans="8:20" x14ac:dyDescent="0.35">
      <c r="H10875" s="711"/>
      <c r="I10875" s="711"/>
      <c r="J10875" s="711"/>
      <c r="K10875" s="711"/>
      <c r="L10875" s="711"/>
      <c r="Q10875" s="11"/>
      <c r="R10875" s="11"/>
      <c r="S10875" s="11"/>
      <c r="T10875" s="11"/>
    </row>
    <row r="10876" spans="8:20" x14ac:dyDescent="0.35">
      <c r="H10876" s="711"/>
      <c r="I10876" s="711"/>
      <c r="J10876" s="711"/>
      <c r="K10876" s="711"/>
      <c r="L10876" s="711"/>
      <c r="Q10876" s="11"/>
      <c r="R10876" s="11"/>
      <c r="S10876" s="11"/>
      <c r="T10876" s="11"/>
    </row>
    <row r="10877" spans="8:20" x14ac:dyDescent="0.35">
      <c r="H10877" s="711"/>
      <c r="I10877" s="711"/>
      <c r="J10877" s="711"/>
      <c r="K10877" s="711"/>
      <c r="L10877" s="711"/>
      <c r="Q10877" s="11"/>
      <c r="R10877" s="11"/>
      <c r="S10877" s="11"/>
      <c r="T10877" s="11"/>
    </row>
    <row r="10878" spans="8:20" x14ac:dyDescent="0.35">
      <c r="H10878" s="711"/>
      <c r="I10878" s="711"/>
      <c r="J10878" s="711"/>
      <c r="K10878" s="711"/>
      <c r="L10878" s="711"/>
      <c r="Q10878" s="11"/>
      <c r="R10878" s="11"/>
      <c r="S10878" s="11"/>
      <c r="T10878" s="11"/>
    </row>
    <row r="10879" spans="8:20" x14ac:dyDescent="0.35">
      <c r="H10879" s="711"/>
      <c r="I10879" s="711"/>
      <c r="J10879" s="711"/>
      <c r="K10879" s="711"/>
      <c r="L10879" s="711"/>
      <c r="Q10879" s="11"/>
      <c r="R10879" s="11"/>
      <c r="S10879" s="11"/>
      <c r="T10879" s="11"/>
    </row>
    <row r="10880" spans="8:20" x14ac:dyDescent="0.35">
      <c r="H10880" s="711"/>
      <c r="I10880" s="711"/>
      <c r="J10880" s="711"/>
      <c r="K10880" s="711"/>
      <c r="L10880" s="711"/>
      <c r="Q10880" s="11"/>
      <c r="R10880" s="11"/>
      <c r="S10880" s="11"/>
      <c r="T10880" s="11"/>
    </row>
    <row r="10881" spans="8:20" x14ac:dyDescent="0.35">
      <c r="H10881" s="711"/>
      <c r="I10881" s="711"/>
      <c r="J10881" s="711"/>
      <c r="K10881" s="711"/>
      <c r="L10881" s="711"/>
      <c r="Q10881" s="11"/>
      <c r="R10881" s="11"/>
      <c r="S10881" s="11"/>
      <c r="T10881" s="11"/>
    </row>
    <row r="10882" spans="8:20" x14ac:dyDescent="0.35">
      <c r="H10882" s="711"/>
      <c r="I10882" s="711"/>
      <c r="J10882" s="711"/>
      <c r="K10882" s="711"/>
      <c r="L10882" s="711"/>
      <c r="Q10882" s="11"/>
      <c r="R10882" s="11"/>
      <c r="S10882" s="11"/>
      <c r="T10882" s="11"/>
    </row>
    <row r="10883" spans="8:20" x14ac:dyDescent="0.35">
      <c r="H10883" s="711"/>
      <c r="I10883" s="711"/>
      <c r="J10883" s="711"/>
      <c r="K10883" s="711"/>
      <c r="L10883" s="711"/>
      <c r="Q10883" s="11"/>
      <c r="R10883" s="11"/>
      <c r="S10883" s="11"/>
      <c r="T10883" s="11"/>
    </row>
    <row r="10884" spans="8:20" x14ac:dyDescent="0.35">
      <c r="H10884" s="711"/>
      <c r="I10884" s="711"/>
      <c r="J10884" s="711"/>
      <c r="K10884" s="711"/>
      <c r="L10884" s="711"/>
      <c r="Q10884" s="11"/>
      <c r="R10884" s="11"/>
      <c r="S10884" s="11"/>
      <c r="T10884" s="11"/>
    </row>
    <row r="10885" spans="8:20" x14ac:dyDescent="0.35">
      <c r="H10885" s="711"/>
      <c r="I10885" s="711"/>
      <c r="J10885" s="711"/>
      <c r="K10885" s="711"/>
      <c r="L10885" s="711"/>
      <c r="Q10885" s="11"/>
      <c r="R10885" s="11"/>
      <c r="S10885" s="11"/>
      <c r="T10885" s="11"/>
    </row>
    <row r="10886" spans="8:20" x14ac:dyDescent="0.35">
      <c r="H10886" s="711"/>
      <c r="I10886" s="711"/>
      <c r="J10886" s="711"/>
      <c r="K10886" s="711"/>
      <c r="L10886" s="711"/>
      <c r="Q10886" s="11"/>
      <c r="R10886" s="11"/>
      <c r="S10886" s="11"/>
      <c r="T10886" s="11"/>
    </row>
    <row r="10887" spans="8:20" x14ac:dyDescent="0.35">
      <c r="H10887" s="711"/>
      <c r="I10887" s="711"/>
      <c r="J10887" s="711"/>
      <c r="K10887" s="711"/>
      <c r="L10887" s="711"/>
      <c r="Q10887" s="11"/>
      <c r="R10887" s="11"/>
      <c r="S10887" s="11"/>
      <c r="T10887" s="11"/>
    </row>
    <row r="10888" spans="8:20" x14ac:dyDescent="0.35">
      <c r="H10888" s="711"/>
      <c r="I10888" s="711"/>
      <c r="J10888" s="711"/>
      <c r="K10888" s="711"/>
      <c r="L10888" s="711"/>
      <c r="Q10888" s="11"/>
      <c r="R10888" s="11"/>
      <c r="S10888" s="11"/>
      <c r="T10888" s="11"/>
    </row>
    <row r="10889" spans="8:20" x14ac:dyDescent="0.35">
      <c r="H10889" s="711"/>
      <c r="I10889" s="711"/>
      <c r="J10889" s="711"/>
      <c r="K10889" s="711"/>
      <c r="L10889" s="711"/>
      <c r="Q10889" s="11"/>
      <c r="R10889" s="11"/>
      <c r="S10889" s="11"/>
      <c r="T10889" s="11"/>
    </row>
    <row r="10890" spans="8:20" x14ac:dyDescent="0.35">
      <c r="H10890" s="711"/>
      <c r="I10890" s="711"/>
      <c r="J10890" s="711"/>
      <c r="K10890" s="711"/>
      <c r="L10890" s="711"/>
      <c r="Q10890" s="11"/>
      <c r="R10890" s="11"/>
      <c r="S10890" s="11"/>
      <c r="T10890" s="11"/>
    </row>
    <row r="10891" spans="8:20" x14ac:dyDescent="0.35">
      <c r="H10891" s="711"/>
      <c r="I10891" s="711"/>
      <c r="J10891" s="711"/>
      <c r="K10891" s="711"/>
      <c r="L10891" s="711"/>
      <c r="Q10891" s="11"/>
      <c r="R10891" s="11"/>
      <c r="S10891" s="11"/>
      <c r="T10891" s="11"/>
    </row>
    <row r="10892" spans="8:20" x14ac:dyDescent="0.35">
      <c r="H10892" s="711"/>
      <c r="I10892" s="711"/>
      <c r="J10892" s="711"/>
      <c r="K10892" s="711"/>
      <c r="L10892" s="711"/>
      <c r="Q10892" s="11"/>
      <c r="R10892" s="11"/>
      <c r="S10892" s="11"/>
      <c r="T10892" s="11"/>
    </row>
    <row r="10893" spans="8:20" x14ac:dyDescent="0.35">
      <c r="H10893" s="711"/>
      <c r="I10893" s="711"/>
      <c r="J10893" s="711"/>
      <c r="K10893" s="711"/>
      <c r="L10893" s="711"/>
      <c r="Q10893" s="11"/>
      <c r="R10893" s="11"/>
      <c r="S10893" s="11"/>
      <c r="T10893" s="11"/>
    </row>
    <row r="10894" spans="8:20" x14ac:dyDescent="0.35">
      <c r="H10894" s="711"/>
      <c r="I10894" s="711"/>
      <c r="J10894" s="711"/>
      <c r="K10894" s="711"/>
      <c r="L10894" s="711"/>
      <c r="Q10894" s="11"/>
      <c r="R10894" s="11"/>
      <c r="S10894" s="11"/>
      <c r="T10894" s="11"/>
    </row>
    <row r="10895" spans="8:20" x14ac:dyDescent="0.35">
      <c r="H10895" s="711"/>
      <c r="I10895" s="711"/>
      <c r="J10895" s="711"/>
      <c r="K10895" s="711"/>
      <c r="L10895" s="711"/>
      <c r="Q10895" s="11"/>
      <c r="R10895" s="11"/>
      <c r="S10895" s="11"/>
      <c r="T10895" s="11"/>
    </row>
    <row r="10896" spans="8:20" x14ac:dyDescent="0.35">
      <c r="H10896" s="711"/>
      <c r="I10896" s="711"/>
      <c r="J10896" s="711"/>
      <c r="K10896" s="711"/>
      <c r="L10896" s="711"/>
      <c r="Q10896" s="11"/>
      <c r="R10896" s="11"/>
      <c r="S10896" s="11"/>
      <c r="T10896" s="11"/>
    </row>
    <row r="10897" spans="8:20" x14ac:dyDescent="0.35">
      <c r="H10897" s="711"/>
      <c r="I10897" s="711"/>
      <c r="J10897" s="711"/>
      <c r="K10897" s="711"/>
      <c r="L10897" s="711"/>
      <c r="Q10897" s="11"/>
      <c r="R10897" s="11"/>
      <c r="S10897" s="11"/>
      <c r="T10897" s="11"/>
    </row>
    <row r="10898" spans="8:20" x14ac:dyDescent="0.35">
      <c r="H10898" s="711"/>
      <c r="I10898" s="711"/>
      <c r="J10898" s="711"/>
      <c r="K10898" s="711"/>
      <c r="L10898" s="711"/>
      <c r="Q10898" s="11"/>
      <c r="R10898" s="11"/>
      <c r="S10898" s="11"/>
      <c r="T10898" s="11"/>
    </row>
    <row r="10899" spans="8:20" x14ac:dyDescent="0.35">
      <c r="H10899" s="711"/>
      <c r="I10899" s="711"/>
      <c r="J10899" s="711"/>
      <c r="K10899" s="711"/>
      <c r="L10899" s="711"/>
      <c r="Q10899" s="11"/>
      <c r="R10899" s="11"/>
      <c r="S10899" s="11"/>
      <c r="T10899" s="11"/>
    </row>
    <row r="10900" spans="8:20" x14ac:dyDescent="0.35">
      <c r="H10900" s="711"/>
      <c r="I10900" s="711"/>
      <c r="J10900" s="711"/>
      <c r="K10900" s="711"/>
      <c r="L10900" s="711"/>
      <c r="Q10900" s="11"/>
      <c r="R10900" s="11"/>
      <c r="S10900" s="11"/>
      <c r="T10900" s="11"/>
    </row>
    <row r="10901" spans="8:20" x14ac:dyDescent="0.35">
      <c r="H10901" s="711"/>
      <c r="I10901" s="711"/>
      <c r="J10901" s="711"/>
      <c r="K10901" s="711"/>
      <c r="L10901" s="711"/>
      <c r="Q10901" s="11"/>
      <c r="R10901" s="11"/>
      <c r="S10901" s="11"/>
      <c r="T10901" s="11"/>
    </row>
    <row r="10902" spans="8:20" x14ac:dyDescent="0.35">
      <c r="H10902" s="711"/>
      <c r="I10902" s="711"/>
      <c r="J10902" s="711"/>
      <c r="K10902" s="711"/>
      <c r="L10902" s="711"/>
      <c r="Q10902" s="11"/>
      <c r="R10902" s="11"/>
      <c r="S10902" s="11"/>
      <c r="T10902" s="11"/>
    </row>
    <row r="10903" spans="8:20" x14ac:dyDescent="0.35">
      <c r="H10903" s="711"/>
      <c r="I10903" s="711"/>
      <c r="J10903" s="711"/>
      <c r="K10903" s="711"/>
      <c r="L10903" s="711"/>
      <c r="Q10903" s="11"/>
      <c r="R10903" s="11"/>
      <c r="S10903" s="11"/>
      <c r="T10903" s="11"/>
    </row>
    <row r="10904" spans="8:20" x14ac:dyDescent="0.35">
      <c r="H10904" s="711"/>
      <c r="I10904" s="711"/>
      <c r="J10904" s="711"/>
      <c r="K10904" s="711"/>
      <c r="L10904" s="711"/>
      <c r="Q10904" s="11"/>
      <c r="R10904" s="11"/>
      <c r="S10904" s="11"/>
      <c r="T10904" s="11"/>
    </row>
    <row r="10905" spans="8:20" x14ac:dyDescent="0.35">
      <c r="H10905" s="711"/>
      <c r="I10905" s="711"/>
      <c r="J10905" s="711"/>
      <c r="K10905" s="711"/>
      <c r="L10905" s="711"/>
      <c r="Q10905" s="11"/>
      <c r="R10905" s="11"/>
      <c r="S10905" s="11"/>
      <c r="T10905" s="11"/>
    </row>
    <row r="10906" spans="8:20" x14ac:dyDescent="0.35">
      <c r="H10906" s="711"/>
      <c r="I10906" s="711"/>
      <c r="J10906" s="711"/>
      <c r="K10906" s="711"/>
      <c r="L10906" s="711"/>
      <c r="Q10906" s="11"/>
      <c r="R10906" s="11"/>
      <c r="S10906" s="11"/>
      <c r="T10906" s="11"/>
    </row>
    <row r="10907" spans="8:20" x14ac:dyDescent="0.35">
      <c r="H10907" s="711"/>
      <c r="I10907" s="711"/>
      <c r="J10907" s="711"/>
      <c r="K10907" s="711"/>
      <c r="L10907" s="711"/>
      <c r="Q10907" s="11"/>
      <c r="R10907" s="11"/>
      <c r="S10907" s="11"/>
      <c r="T10907" s="11"/>
    </row>
    <row r="10908" spans="8:20" x14ac:dyDescent="0.35">
      <c r="H10908" s="711"/>
      <c r="I10908" s="711"/>
      <c r="J10908" s="711"/>
      <c r="K10908" s="711"/>
      <c r="L10908" s="711"/>
      <c r="Q10908" s="11"/>
      <c r="R10908" s="11"/>
      <c r="S10908" s="11"/>
      <c r="T10908" s="11"/>
    </row>
    <row r="10909" spans="8:20" x14ac:dyDescent="0.35">
      <c r="H10909" s="711"/>
      <c r="I10909" s="711"/>
      <c r="J10909" s="711"/>
      <c r="K10909" s="711"/>
      <c r="L10909" s="711"/>
      <c r="Q10909" s="11"/>
      <c r="R10909" s="11"/>
      <c r="S10909" s="11"/>
      <c r="T10909" s="11"/>
    </row>
    <row r="10910" spans="8:20" x14ac:dyDescent="0.35">
      <c r="H10910" s="711"/>
      <c r="I10910" s="711"/>
      <c r="J10910" s="711"/>
      <c r="K10910" s="711"/>
      <c r="L10910" s="711"/>
      <c r="Q10910" s="11"/>
      <c r="R10910" s="11"/>
      <c r="S10910" s="11"/>
      <c r="T10910" s="11"/>
    </row>
    <row r="10911" spans="8:20" x14ac:dyDescent="0.35">
      <c r="H10911" s="711"/>
      <c r="I10911" s="711"/>
      <c r="J10911" s="711"/>
      <c r="K10911" s="711"/>
      <c r="L10911" s="711"/>
      <c r="Q10911" s="11"/>
      <c r="R10911" s="11"/>
      <c r="S10911" s="11"/>
      <c r="T10911" s="11"/>
    </row>
    <row r="10912" spans="8:20" x14ac:dyDescent="0.35">
      <c r="H10912" s="711"/>
      <c r="I10912" s="711"/>
      <c r="J10912" s="711"/>
      <c r="K10912" s="711"/>
      <c r="L10912" s="711"/>
      <c r="Q10912" s="11"/>
      <c r="R10912" s="11"/>
      <c r="S10912" s="11"/>
      <c r="T10912" s="11"/>
    </row>
    <row r="10913" spans="8:20" x14ac:dyDescent="0.35">
      <c r="H10913" s="711"/>
      <c r="I10913" s="711"/>
      <c r="J10913" s="711"/>
      <c r="K10913" s="711"/>
      <c r="L10913" s="711"/>
      <c r="Q10913" s="11"/>
      <c r="R10913" s="11"/>
      <c r="S10913" s="11"/>
      <c r="T10913" s="11"/>
    </row>
    <row r="10914" spans="8:20" x14ac:dyDescent="0.35">
      <c r="H10914" s="711"/>
      <c r="I10914" s="711"/>
      <c r="J10914" s="711"/>
      <c r="K10914" s="711"/>
      <c r="L10914" s="711"/>
      <c r="Q10914" s="11"/>
      <c r="R10914" s="11"/>
      <c r="S10914" s="11"/>
      <c r="T10914" s="11"/>
    </row>
    <row r="10915" spans="8:20" x14ac:dyDescent="0.35">
      <c r="H10915" s="711"/>
      <c r="I10915" s="711"/>
      <c r="J10915" s="711"/>
      <c r="K10915" s="711"/>
      <c r="L10915" s="711"/>
      <c r="Q10915" s="11"/>
      <c r="R10915" s="11"/>
      <c r="S10915" s="11"/>
      <c r="T10915" s="11"/>
    </row>
    <row r="10916" spans="8:20" x14ac:dyDescent="0.35">
      <c r="H10916" s="711"/>
      <c r="I10916" s="711"/>
      <c r="J10916" s="711"/>
      <c r="K10916" s="711"/>
      <c r="L10916" s="711"/>
      <c r="Q10916" s="11"/>
      <c r="R10916" s="11"/>
      <c r="S10916" s="11"/>
      <c r="T10916" s="11"/>
    </row>
    <row r="10917" spans="8:20" x14ac:dyDescent="0.35">
      <c r="H10917" s="711"/>
      <c r="I10917" s="711"/>
      <c r="J10917" s="711"/>
      <c r="K10917" s="711"/>
      <c r="L10917" s="711"/>
      <c r="Q10917" s="11"/>
      <c r="R10917" s="11"/>
      <c r="S10917" s="11"/>
      <c r="T10917" s="11"/>
    </row>
    <row r="10918" spans="8:20" x14ac:dyDescent="0.35">
      <c r="H10918" s="711"/>
      <c r="I10918" s="711"/>
      <c r="J10918" s="711"/>
      <c r="K10918" s="711"/>
      <c r="L10918" s="711"/>
      <c r="Q10918" s="11"/>
      <c r="R10918" s="11"/>
      <c r="S10918" s="11"/>
      <c r="T10918" s="11"/>
    </row>
    <row r="10919" spans="8:20" x14ac:dyDescent="0.35">
      <c r="H10919" s="711"/>
      <c r="I10919" s="711"/>
      <c r="J10919" s="711"/>
      <c r="K10919" s="711"/>
      <c r="L10919" s="711"/>
      <c r="Q10919" s="11"/>
      <c r="R10919" s="11"/>
      <c r="S10919" s="11"/>
      <c r="T10919" s="11"/>
    </row>
    <row r="10920" spans="8:20" x14ac:dyDescent="0.35">
      <c r="H10920" s="711"/>
      <c r="I10920" s="711"/>
      <c r="J10920" s="711"/>
      <c r="K10920" s="711"/>
      <c r="L10920" s="711"/>
      <c r="Q10920" s="11"/>
      <c r="R10920" s="11"/>
      <c r="S10920" s="11"/>
      <c r="T10920" s="11"/>
    </row>
    <row r="10921" spans="8:20" x14ac:dyDescent="0.35">
      <c r="H10921" s="711"/>
      <c r="I10921" s="711"/>
      <c r="J10921" s="711"/>
      <c r="K10921" s="711"/>
      <c r="L10921" s="711"/>
      <c r="Q10921" s="11"/>
      <c r="R10921" s="11"/>
      <c r="S10921" s="11"/>
      <c r="T10921" s="11"/>
    </row>
    <row r="10922" spans="8:20" x14ac:dyDescent="0.35">
      <c r="H10922" s="711"/>
      <c r="I10922" s="711"/>
      <c r="J10922" s="711"/>
      <c r="K10922" s="711"/>
      <c r="L10922" s="711"/>
      <c r="Q10922" s="11"/>
      <c r="R10922" s="11"/>
      <c r="S10922" s="11"/>
      <c r="T10922" s="11"/>
    </row>
    <row r="10923" spans="8:20" x14ac:dyDescent="0.35">
      <c r="H10923" s="711"/>
      <c r="I10923" s="711"/>
      <c r="J10923" s="711"/>
      <c r="K10923" s="711"/>
      <c r="L10923" s="711"/>
      <c r="Q10923" s="11"/>
      <c r="R10923" s="11"/>
      <c r="S10923" s="11"/>
      <c r="T10923" s="11"/>
    </row>
    <row r="10924" spans="8:20" x14ac:dyDescent="0.35">
      <c r="H10924" s="711"/>
      <c r="I10924" s="711"/>
      <c r="J10924" s="711"/>
      <c r="K10924" s="711"/>
      <c r="L10924" s="711"/>
      <c r="Q10924" s="11"/>
      <c r="R10924" s="11"/>
      <c r="S10924" s="11"/>
      <c r="T10924" s="11"/>
    </row>
    <row r="10925" spans="8:20" x14ac:dyDescent="0.35">
      <c r="H10925" s="711"/>
      <c r="I10925" s="711"/>
      <c r="J10925" s="711"/>
      <c r="K10925" s="711"/>
      <c r="L10925" s="711"/>
      <c r="Q10925" s="11"/>
      <c r="R10925" s="11"/>
      <c r="S10925" s="11"/>
      <c r="T10925" s="11"/>
    </row>
    <row r="10926" spans="8:20" x14ac:dyDescent="0.35">
      <c r="H10926" s="711"/>
      <c r="I10926" s="711"/>
      <c r="J10926" s="711"/>
      <c r="K10926" s="711"/>
      <c r="L10926" s="711"/>
      <c r="Q10926" s="11"/>
      <c r="R10926" s="11"/>
      <c r="S10926" s="11"/>
      <c r="T10926" s="11"/>
    </row>
    <row r="10927" spans="8:20" x14ac:dyDescent="0.35">
      <c r="H10927" s="711"/>
      <c r="I10927" s="711"/>
      <c r="J10927" s="711"/>
      <c r="K10927" s="711"/>
      <c r="L10927" s="711"/>
      <c r="Q10927" s="11"/>
      <c r="R10927" s="11"/>
      <c r="S10927" s="11"/>
      <c r="T10927" s="11"/>
    </row>
    <row r="10928" spans="8:20" x14ac:dyDescent="0.35">
      <c r="H10928" s="711"/>
      <c r="I10928" s="711"/>
      <c r="J10928" s="711"/>
      <c r="K10928" s="711"/>
      <c r="L10928" s="711"/>
      <c r="Q10928" s="11"/>
      <c r="R10928" s="11"/>
      <c r="S10928" s="11"/>
      <c r="T10928" s="11"/>
    </row>
    <row r="10929" spans="8:20" x14ac:dyDescent="0.35">
      <c r="H10929" s="711"/>
      <c r="I10929" s="711"/>
      <c r="J10929" s="711"/>
      <c r="K10929" s="711"/>
      <c r="L10929" s="711"/>
      <c r="Q10929" s="11"/>
      <c r="R10929" s="11"/>
      <c r="S10929" s="11"/>
      <c r="T10929" s="11"/>
    </row>
    <row r="10930" spans="8:20" x14ac:dyDescent="0.35">
      <c r="H10930" s="711"/>
      <c r="I10930" s="711"/>
      <c r="J10930" s="711"/>
      <c r="K10930" s="711"/>
      <c r="L10930" s="711"/>
      <c r="Q10930" s="11"/>
      <c r="R10930" s="11"/>
      <c r="S10930" s="11"/>
      <c r="T10930" s="11"/>
    </row>
    <row r="10931" spans="8:20" x14ac:dyDescent="0.35">
      <c r="H10931" s="711"/>
      <c r="I10931" s="711"/>
      <c r="J10931" s="711"/>
      <c r="K10931" s="711"/>
      <c r="L10931" s="711"/>
      <c r="Q10931" s="11"/>
      <c r="R10931" s="11"/>
      <c r="S10931" s="11"/>
      <c r="T10931" s="11"/>
    </row>
    <row r="10932" spans="8:20" x14ac:dyDescent="0.35">
      <c r="H10932" s="711"/>
      <c r="I10932" s="711"/>
      <c r="J10932" s="711"/>
      <c r="K10932" s="711"/>
      <c r="L10932" s="711"/>
      <c r="Q10932" s="11"/>
      <c r="R10932" s="11"/>
      <c r="S10932" s="11"/>
      <c r="T10932" s="11"/>
    </row>
    <row r="10933" spans="8:20" x14ac:dyDescent="0.35">
      <c r="H10933" s="711"/>
      <c r="I10933" s="711"/>
      <c r="J10933" s="711"/>
      <c r="K10933" s="711"/>
      <c r="L10933" s="711"/>
      <c r="Q10933" s="11"/>
      <c r="R10933" s="11"/>
      <c r="S10933" s="11"/>
      <c r="T10933" s="11"/>
    </row>
    <row r="10934" spans="8:20" x14ac:dyDescent="0.35">
      <c r="H10934" s="711"/>
      <c r="I10934" s="711"/>
      <c r="J10934" s="711"/>
      <c r="K10934" s="711"/>
      <c r="L10934" s="711"/>
      <c r="Q10934" s="11"/>
      <c r="R10934" s="11"/>
      <c r="S10934" s="11"/>
      <c r="T10934" s="11"/>
    </row>
    <row r="10935" spans="8:20" x14ac:dyDescent="0.35">
      <c r="H10935" s="711"/>
      <c r="I10935" s="711"/>
      <c r="J10935" s="711"/>
      <c r="K10935" s="711"/>
      <c r="L10935" s="711"/>
      <c r="Q10935" s="11"/>
      <c r="R10935" s="11"/>
      <c r="S10935" s="11"/>
      <c r="T10935" s="11"/>
    </row>
    <row r="10936" spans="8:20" x14ac:dyDescent="0.35">
      <c r="H10936" s="711"/>
      <c r="I10936" s="711"/>
      <c r="J10936" s="711"/>
      <c r="K10936" s="711"/>
      <c r="L10936" s="711"/>
      <c r="Q10936" s="11"/>
      <c r="R10936" s="11"/>
      <c r="S10936" s="11"/>
      <c r="T10936" s="11"/>
    </row>
    <row r="10937" spans="8:20" x14ac:dyDescent="0.35">
      <c r="H10937" s="711"/>
      <c r="I10937" s="711"/>
      <c r="J10937" s="711"/>
      <c r="K10937" s="711"/>
      <c r="L10937" s="711"/>
      <c r="Q10937" s="11"/>
      <c r="R10937" s="11"/>
      <c r="S10937" s="11"/>
      <c r="T10937" s="11"/>
    </row>
    <row r="10938" spans="8:20" x14ac:dyDescent="0.35">
      <c r="H10938" s="711"/>
      <c r="I10938" s="711"/>
      <c r="J10938" s="711"/>
      <c r="K10938" s="711"/>
      <c r="L10938" s="711"/>
      <c r="Q10938" s="11"/>
      <c r="R10938" s="11"/>
      <c r="S10938" s="11"/>
      <c r="T10938" s="11"/>
    </row>
    <row r="10939" spans="8:20" x14ac:dyDescent="0.35">
      <c r="H10939" s="711"/>
      <c r="I10939" s="711"/>
      <c r="J10939" s="711"/>
      <c r="K10939" s="711"/>
      <c r="L10939" s="711"/>
      <c r="Q10939" s="11"/>
      <c r="R10939" s="11"/>
      <c r="S10939" s="11"/>
      <c r="T10939" s="11"/>
    </row>
    <row r="10940" spans="8:20" x14ac:dyDescent="0.35">
      <c r="H10940" s="711"/>
      <c r="I10940" s="711"/>
      <c r="J10940" s="711"/>
      <c r="K10940" s="711"/>
      <c r="L10940" s="711"/>
      <c r="Q10940" s="11"/>
      <c r="R10940" s="11"/>
      <c r="S10940" s="11"/>
      <c r="T10940" s="11"/>
    </row>
    <row r="10941" spans="8:20" x14ac:dyDescent="0.35">
      <c r="H10941" s="711"/>
      <c r="I10941" s="711"/>
      <c r="J10941" s="711"/>
      <c r="K10941" s="711"/>
      <c r="L10941" s="711"/>
      <c r="Q10941" s="11"/>
      <c r="R10941" s="11"/>
      <c r="S10941" s="11"/>
      <c r="T10941" s="11"/>
    </row>
    <row r="10942" spans="8:20" x14ac:dyDescent="0.35">
      <c r="H10942" s="711"/>
      <c r="I10942" s="711"/>
      <c r="J10942" s="711"/>
      <c r="K10942" s="711"/>
      <c r="L10942" s="711"/>
      <c r="Q10942" s="11"/>
      <c r="R10942" s="11"/>
      <c r="S10942" s="11"/>
      <c r="T10942" s="11"/>
    </row>
    <row r="10943" spans="8:20" x14ac:dyDescent="0.35">
      <c r="H10943" s="711"/>
      <c r="I10943" s="711"/>
      <c r="J10943" s="711"/>
      <c r="K10943" s="711"/>
      <c r="L10943" s="711"/>
      <c r="Q10943" s="11"/>
      <c r="R10943" s="11"/>
      <c r="S10943" s="11"/>
      <c r="T10943" s="11"/>
    </row>
    <row r="10944" spans="8:20" x14ac:dyDescent="0.35">
      <c r="H10944" s="711"/>
      <c r="I10944" s="711"/>
      <c r="J10944" s="711"/>
      <c r="K10944" s="711"/>
      <c r="L10944" s="711"/>
      <c r="Q10944" s="11"/>
      <c r="R10944" s="11"/>
      <c r="S10944" s="11"/>
      <c r="T10944" s="11"/>
    </row>
    <row r="10945" spans="8:20" x14ac:dyDescent="0.35">
      <c r="H10945" s="711"/>
      <c r="I10945" s="711"/>
      <c r="J10945" s="711"/>
      <c r="K10945" s="711"/>
      <c r="L10945" s="711"/>
      <c r="Q10945" s="11"/>
      <c r="R10945" s="11"/>
      <c r="S10945" s="11"/>
      <c r="T10945" s="11"/>
    </row>
    <row r="10946" spans="8:20" x14ac:dyDescent="0.35">
      <c r="H10946" s="711"/>
      <c r="I10946" s="711"/>
      <c r="J10946" s="711"/>
      <c r="K10946" s="711"/>
      <c r="L10946" s="711"/>
      <c r="Q10946" s="11"/>
      <c r="R10946" s="11"/>
      <c r="S10946" s="11"/>
      <c r="T10946" s="11"/>
    </row>
    <row r="10947" spans="8:20" x14ac:dyDescent="0.35">
      <c r="H10947" s="711"/>
      <c r="I10947" s="711"/>
      <c r="J10947" s="711"/>
      <c r="K10947" s="711"/>
      <c r="L10947" s="711"/>
      <c r="Q10947" s="11"/>
      <c r="R10947" s="11"/>
      <c r="S10947" s="11"/>
      <c r="T10947" s="11"/>
    </row>
    <row r="10948" spans="8:20" x14ac:dyDescent="0.35">
      <c r="H10948" s="711"/>
      <c r="I10948" s="711"/>
      <c r="J10948" s="711"/>
      <c r="K10948" s="711"/>
      <c r="L10948" s="711"/>
      <c r="Q10948" s="11"/>
      <c r="R10948" s="11"/>
      <c r="S10948" s="11"/>
      <c r="T10948" s="11"/>
    </row>
    <row r="10949" spans="8:20" x14ac:dyDescent="0.35">
      <c r="H10949" s="711"/>
      <c r="I10949" s="711"/>
      <c r="J10949" s="711"/>
      <c r="K10949" s="711"/>
      <c r="L10949" s="711"/>
      <c r="Q10949" s="11"/>
      <c r="R10949" s="11"/>
      <c r="S10949" s="11"/>
      <c r="T10949" s="11"/>
    </row>
    <row r="10950" spans="8:20" x14ac:dyDescent="0.35">
      <c r="H10950" s="711"/>
      <c r="I10950" s="711"/>
      <c r="J10950" s="711"/>
      <c r="K10950" s="711"/>
      <c r="L10950" s="711"/>
      <c r="Q10950" s="11"/>
      <c r="R10950" s="11"/>
      <c r="S10950" s="11"/>
      <c r="T10950" s="11"/>
    </row>
    <row r="10951" spans="8:20" x14ac:dyDescent="0.35">
      <c r="H10951" s="711"/>
      <c r="I10951" s="711"/>
      <c r="J10951" s="711"/>
      <c r="K10951" s="711"/>
      <c r="L10951" s="711"/>
      <c r="Q10951" s="11"/>
      <c r="R10951" s="11"/>
      <c r="S10951" s="11"/>
      <c r="T10951" s="11"/>
    </row>
    <row r="10952" spans="8:20" x14ac:dyDescent="0.35">
      <c r="H10952" s="711"/>
      <c r="I10952" s="711"/>
      <c r="J10952" s="711"/>
      <c r="K10952" s="711"/>
      <c r="L10952" s="711"/>
      <c r="Q10952" s="11"/>
      <c r="R10952" s="11"/>
      <c r="S10952" s="11"/>
      <c r="T10952" s="11"/>
    </row>
    <row r="10953" spans="8:20" x14ac:dyDescent="0.35">
      <c r="H10953" s="711"/>
      <c r="I10953" s="711"/>
      <c r="J10953" s="711"/>
      <c r="K10953" s="711"/>
      <c r="L10953" s="711"/>
      <c r="Q10953" s="11"/>
      <c r="R10953" s="11"/>
      <c r="S10953" s="11"/>
      <c r="T10953" s="11"/>
    </row>
    <row r="10954" spans="8:20" x14ac:dyDescent="0.35">
      <c r="H10954" s="711"/>
      <c r="I10954" s="711"/>
      <c r="J10954" s="711"/>
      <c r="K10954" s="711"/>
      <c r="L10954" s="711"/>
      <c r="Q10954" s="11"/>
      <c r="R10954" s="11"/>
      <c r="S10954" s="11"/>
      <c r="T10954" s="11"/>
    </row>
    <row r="10955" spans="8:20" x14ac:dyDescent="0.35">
      <c r="H10955" s="711"/>
      <c r="I10955" s="711"/>
      <c r="J10955" s="711"/>
      <c r="K10955" s="711"/>
      <c r="L10955" s="711"/>
      <c r="Q10955" s="11"/>
      <c r="R10955" s="11"/>
      <c r="S10955" s="11"/>
      <c r="T10955" s="11"/>
    </row>
    <row r="10956" spans="8:20" x14ac:dyDescent="0.35">
      <c r="H10956" s="711"/>
      <c r="I10956" s="711"/>
      <c r="J10956" s="711"/>
      <c r="K10956" s="711"/>
      <c r="L10956" s="711"/>
      <c r="Q10956" s="11"/>
      <c r="R10956" s="11"/>
      <c r="S10956" s="11"/>
      <c r="T10956" s="11"/>
    </row>
    <row r="10957" spans="8:20" x14ac:dyDescent="0.35">
      <c r="H10957" s="711"/>
      <c r="I10957" s="711"/>
      <c r="J10957" s="711"/>
      <c r="K10957" s="711"/>
      <c r="L10957" s="711"/>
      <c r="Q10957" s="11"/>
      <c r="R10957" s="11"/>
      <c r="S10957" s="11"/>
      <c r="T10957" s="11"/>
    </row>
    <row r="10958" spans="8:20" x14ac:dyDescent="0.35">
      <c r="H10958" s="711"/>
      <c r="I10958" s="711"/>
      <c r="J10958" s="711"/>
      <c r="K10958" s="711"/>
      <c r="L10958" s="711"/>
      <c r="Q10958" s="11"/>
      <c r="R10958" s="11"/>
      <c r="S10958" s="11"/>
      <c r="T10958" s="11"/>
    </row>
    <row r="10959" spans="8:20" x14ac:dyDescent="0.35">
      <c r="H10959" s="711"/>
      <c r="I10959" s="711"/>
      <c r="J10959" s="711"/>
      <c r="K10959" s="711"/>
      <c r="L10959" s="711"/>
      <c r="Q10959" s="11"/>
      <c r="R10959" s="11"/>
      <c r="S10959" s="11"/>
      <c r="T10959" s="11"/>
    </row>
    <row r="10960" spans="8:20" x14ac:dyDescent="0.35">
      <c r="H10960" s="711"/>
      <c r="I10960" s="711"/>
      <c r="J10960" s="711"/>
      <c r="K10960" s="711"/>
      <c r="L10960" s="711"/>
      <c r="Q10960" s="11"/>
      <c r="R10960" s="11"/>
      <c r="S10960" s="11"/>
      <c r="T10960" s="11"/>
    </row>
    <row r="10961" spans="8:20" x14ac:dyDescent="0.35">
      <c r="H10961" s="711"/>
      <c r="I10961" s="711"/>
      <c r="J10961" s="711"/>
      <c r="K10961" s="711"/>
      <c r="L10961" s="711"/>
      <c r="Q10961" s="11"/>
      <c r="R10961" s="11"/>
      <c r="S10961" s="11"/>
      <c r="T10961" s="11"/>
    </row>
    <row r="10962" spans="8:20" x14ac:dyDescent="0.35">
      <c r="H10962" s="711"/>
      <c r="I10962" s="711"/>
      <c r="J10962" s="711"/>
      <c r="K10962" s="711"/>
      <c r="L10962" s="711"/>
      <c r="Q10962" s="11"/>
      <c r="R10962" s="11"/>
      <c r="S10962" s="11"/>
      <c r="T10962" s="11"/>
    </row>
    <row r="10963" spans="8:20" x14ac:dyDescent="0.35">
      <c r="H10963" s="711"/>
      <c r="I10963" s="711"/>
      <c r="J10963" s="711"/>
      <c r="K10963" s="711"/>
      <c r="L10963" s="711"/>
      <c r="Q10963" s="11"/>
      <c r="R10963" s="11"/>
      <c r="S10963" s="11"/>
      <c r="T10963" s="11"/>
    </row>
    <row r="10964" spans="8:20" x14ac:dyDescent="0.35">
      <c r="H10964" s="711"/>
      <c r="I10964" s="711"/>
      <c r="J10964" s="711"/>
      <c r="K10964" s="711"/>
      <c r="L10964" s="711"/>
      <c r="Q10964" s="11"/>
      <c r="R10964" s="11"/>
      <c r="S10964" s="11"/>
      <c r="T10964" s="11"/>
    </row>
    <row r="10965" spans="8:20" x14ac:dyDescent="0.35">
      <c r="H10965" s="711"/>
      <c r="I10965" s="711"/>
      <c r="J10965" s="711"/>
      <c r="K10965" s="711"/>
      <c r="L10965" s="711"/>
      <c r="Q10965" s="11"/>
      <c r="R10965" s="11"/>
      <c r="S10965" s="11"/>
      <c r="T10965" s="11"/>
    </row>
    <row r="10966" spans="8:20" x14ac:dyDescent="0.35">
      <c r="H10966" s="711"/>
      <c r="I10966" s="711"/>
      <c r="J10966" s="711"/>
      <c r="K10966" s="711"/>
      <c r="L10966" s="711"/>
      <c r="Q10966" s="11"/>
      <c r="R10966" s="11"/>
      <c r="S10966" s="11"/>
      <c r="T10966" s="11"/>
    </row>
    <row r="10967" spans="8:20" x14ac:dyDescent="0.35">
      <c r="H10967" s="711"/>
      <c r="I10967" s="711"/>
      <c r="J10967" s="711"/>
      <c r="K10967" s="711"/>
      <c r="L10967" s="711"/>
      <c r="Q10967" s="11"/>
      <c r="R10967" s="11"/>
      <c r="S10967" s="11"/>
      <c r="T10967" s="11"/>
    </row>
    <row r="10968" spans="8:20" x14ac:dyDescent="0.35">
      <c r="H10968" s="711"/>
      <c r="I10968" s="711"/>
      <c r="J10968" s="711"/>
      <c r="K10968" s="711"/>
      <c r="L10968" s="711"/>
      <c r="Q10968" s="11"/>
      <c r="R10968" s="11"/>
      <c r="S10968" s="11"/>
      <c r="T10968" s="11"/>
    </row>
    <row r="10969" spans="8:20" x14ac:dyDescent="0.35">
      <c r="H10969" s="711"/>
      <c r="I10969" s="711"/>
      <c r="J10969" s="711"/>
      <c r="K10969" s="711"/>
      <c r="L10969" s="711"/>
      <c r="Q10969" s="11"/>
      <c r="R10969" s="11"/>
      <c r="S10969" s="11"/>
      <c r="T10969" s="11"/>
    </row>
    <row r="10970" spans="8:20" x14ac:dyDescent="0.35">
      <c r="H10970" s="711"/>
      <c r="I10970" s="711"/>
      <c r="J10970" s="711"/>
      <c r="K10970" s="711"/>
      <c r="L10970" s="711"/>
      <c r="Q10970" s="11"/>
      <c r="R10970" s="11"/>
      <c r="S10970" s="11"/>
      <c r="T10970" s="11"/>
    </row>
    <row r="10971" spans="8:20" x14ac:dyDescent="0.35">
      <c r="H10971" s="711"/>
      <c r="I10971" s="711"/>
      <c r="J10971" s="711"/>
      <c r="K10971" s="711"/>
      <c r="L10971" s="711"/>
      <c r="Q10971" s="11"/>
      <c r="R10971" s="11"/>
      <c r="S10971" s="11"/>
      <c r="T10971" s="11"/>
    </row>
    <row r="10972" spans="8:20" x14ac:dyDescent="0.35">
      <c r="H10972" s="711"/>
      <c r="I10972" s="711"/>
      <c r="J10972" s="711"/>
      <c r="K10972" s="711"/>
      <c r="L10972" s="711"/>
      <c r="Q10972" s="11"/>
      <c r="R10972" s="11"/>
      <c r="S10972" s="11"/>
      <c r="T10972" s="11"/>
    </row>
    <row r="10973" spans="8:20" x14ac:dyDescent="0.35">
      <c r="H10973" s="711"/>
      <c r="I10973" s="711"/>
      <c r="J10973" s="711"/>
      <c r="K10973" s="711"/>
      <c r="L10973" s="711"/>
      <c r="Q10973" s="11"/>
      <c r="R10973" s="11"/>
      <c r="S10973" s="11"/>
      <c r="T10973" s="11"/>
    </row>
    <row r="10974" spans="8:20" x14ac:dyDescent="0.35">
      <c r="H10974" s="711"/>
      <c r="I10974" s="711"/>
      <c r="J10974" s="711"/>
      <c r="K10974" s="711"/>
      <c r="L10974" s="711"/>
      <c r="Q10974" s="11"/>
      <c r="R10974" s="11"/>
      <c r="S10974" s="11"/>
      <c r="T10974" s="11"/>
    </row>
    <row r="10975" spans="8:20" x14ac:dyDescent="0.35">
      <c r="H10975" s="711"/>
      <c r="I10975" s="711"/>
      <c r="J10975" s="711"/>
      <c r="K10975" s="711"/>
      <c r="L10975" s="711"/>
      <c r="Q10975" s="11"/>
      <c r="R10975" s="11"/>
      <c r="S10975" s="11"/>
      <c r="T10975" s="11"/>
    </row>
    <row r="10976" spans="8:20" x14ac:dyDescent="0.35">
      <c r="H10976" s="711"/>
      <c r="I10976" s="711"/>
      <c r="J10976" s="711"/>
      <c r="K10976" s="711"/>
      <c r="L10976" s="711"/>
      <c r="Q10976" s="11"/>
      <c r="R10976" s="11"/>
      <c r="S10976" s="11"/>
      <c r="T10976" s="11"/>
    </row>
    <row r="10977" spans="8:20" x14ac:dyDescent="0.35">
      <c r="H10977" s="711"/>
      <c r="I10977" s="711"/>
      <c r="J10977" s="711"/>
      <c r="K10977" s="711"/>
      <c r="L10977" s="711"/>
      <c r="Q10977" s="11"/>
      <c r="R10977" s="11"/>
      <c r="S10977" s="11"/>
      <c r="T10977" s="11"/>
    </row>
    <row r="10978" spans="8:20" x14ac:dyDescent="0.35">
      <c r="H10978" s="711"/>
      <c r="I10978" s="711"/>
      <c r="J10978" s="711"/>
      <c r="K10978" s="711"/>
      <c r="L10978" s="711"/>
      <c r="Q10978" s="11"/>
      <c r="R10978" s="11"/>
      <c r="S10978" s="11"/>
      <c r="T10978" s="11"/>
    </row>
    <row r="10979" spans="8:20" x14ac:dyDescent="0.35">
      <c r="H10979" s="711"/>
      <c r="I10979" s="711"/>
      <c r="J10979" s="711"/>
      <c r="K10979" s="711"/>
      <c r="L10979" s="711"/>
      <c r="Q10979" s="11"/>
      <c r="R10979" s="11"/>
      <c r="S10979" s="11"/>
      <c r="T10979" s="11"/>
    </row>
    <row r="10980" spans="8:20" x14ac:dyDescent="0.35">
      <c r="H10980" s="711"/>
      <c r="I10980" s="711"/>
      <c r="J10980" s="711"/>
      <c r="K10980" s="711"/>
      <c r="L10980" s="711"/>
      <c r="Q10980" s="11"/>
      <c r="R10980" s="11"/>
      <c r="S10980" s="11"/>
      <c r="T10980" s="11"/>
    </row>
    <row r="10981" spans="8:20" x14ac:dyDescent="0.35">
      <c r="H10981" s="711"/>
      <c r="I10981" s="711"/>
      <c r="J10981" s="711"/>
      <c r="K10981" s="711"/>
      <c r="L10981" s="711"/>
      <c r="Q10981" s="11"/>
      <c r="R10981" s="11"/>
      <c r="S10981" s="11"/>
      <c r="T10981" s="11"/>
    </row>
    <row r="10982" spans="8:20" x14ac:dyDescent="0.35">
      <c r="H10982" s="711"/>
      <c r="I10982" s="711"/>
      <c r="J10982" s="711"/>
      <c r="K10982" s="711"/>
      <c r="L10982" s="711"/>
      <c r="Q10982" s="11"/>
      <c r="R10982" s="11"/>
      <c r="S10982" s="11"/>
      <c r="T10982" s="11"/>
    </row>
    <row r="10983" spans="8:20" x14ac:dyDescent="0.35">
      <c r="H10983" s="711"/>
      <c r="I10983" s="711"/>
      <c r="J10983" s="711"/>
      <c r="K10983" s="711"/>
      <c r="L10983" s="711"/>
      <c r="Q10983" s="11"/>
      <c r="R10983" s="11"/>
      <c r="S10983" s="11"/>
      <c r="T10983" s="11"/>
    </row>
    <row r="10984" spans="8:20" x14ac:dyDescent="0.35">
      <c r="H10984" s="711"/>
      <c r="I10984" s="711"/>
      <c r="J10984" s="711"/>
      <c r="K10984" s="711"/>
      <c r="L10984" s="711"/>
      <c r="Q10984" s="11"/>
      <c r="R10984" s="11"/>
      <c r="S10984" s="11"/>
      <c r="T10984" s="11"/>
    </row>
    <row r="10985" spans="8:20" x14ac:dyDescent="0.35">
      <c r="H10985" s="711"/>
      <c r="I10985" s="711"/>
      <c r="J10985" s="711"/>
      <c r="K10985" s="711"/>
      <c r="L10985" s="711"/>
      <c r="Q10985" s="11"/>
      <c r="R10985" s="11"/>
      <c r="S10985" s="11"/>
      <c r="T10985" s="11"/>
    </row>
    <row r="10986" spans="8:20" x14ac:dyDescent="0.35">
      <c r="H10986" s="711"/>
      <c r="I10986" s="711"/>
      <c r="J10986" s="711"/>
      <c r="K10986" s="711"/>
      <c r="L10986" s="711"/>
      <c r="Q10986" s="11"/>
      <c r="R10986" s="11"/>
      <c r="S10986" s="11"/>
      <c r="T10986" s="11"/>
    </row>
    <row r="10987" spans="8:20" x14ac:dyDescent="0.35">
      <c r="H10987" s="711"/>
      <c r="I10987" s="711"/>
      <c r="J10987" s="711"/>
      <c r="K10987" s="711"/>
      <c r="L10987" s="711"/>
      <c r="Q10987" s="11"/>
      <c r="R10987" s="11"/>
      <c r="S10987" s="11"/>
      <c r="T10987" s="11"/>
    </row>
    <row r="10988" spans="8:20" x14ac:dyDescent="0.35">
      <c r="H10988" s="711"/>
      <c r="I10988" s="711"/>
      <c r="J10988" s="711"/>
      <c r="K10988" s="711"/>
      <c r="L10988" s="711"/>
      <c r="Q10988" s="11"/>
      <c r="R10988" s="11"/>
      <c r="S10988" s="11"/>
      <c r="T10988" s="11"/>
    </row>
    <row r="10989" spans="8:20" x14ac:dyDescent="0.35">
      <c r="H10989" s="711"/>
      <c r="I10989" s="711"/>
      <c r="J10989" s="711"/>
      <c r="K10989" s="711"/>
      <c r="L10989" s="711"/>
      <c r="Q10989" s="11"/>
      <c r="R10989" s="11"/>
      <c r="S10989" s="11"/>
      <c r="T10989" s="11"/>
    </row>
    <row r="10990" spans="8:20" x14ac:dyDescent="0.35">
      <c r="H10990" s="711"/>
      <c r="I10990" s="711"/>
      <c r="J10990" s="711"/>
      <c r="K10990" s="711"/>
      <c r="L10990" s="711"/>
      <c r="Q10990" s="11"/>
      <c r="R10990" s="11"/>
      <c r="S10990" s="11"/>
      <c r="T10990" s="11"/>
    </row>
    <row r="10991" spans="8:20" x14ac:dyDescent="0.35">
      <c r="H10991" s="711"/>
      <c r="I10991" s="711"/>
      <c r="J10991" s="711"/>
      <c r="K10991" s="711"/>
      <c r="L10991" s="711"/>
      <c r="Q10991" s="11"/>
      <c r="R10991" s="11"/>
      <c r="S10991" s="11"/>
      <c r="T10991" s="11"/>
    </row>
    <row r="10992" spans="8:20" x14ac:dyDescent="0.35">
      <c r="H10992" s="711"/>
      <c r="I10992" s="711"/>
      <c r="J10992" s="711"/>
      <c r="K10992" s="711"/>
      <c r="L10992" s="711"/>
      <c r="Q10992" s="11"/>
      <c r="R10992" s="11"/>
      <c r="S10992" s="11"/>
      <c r="T10992" s="11"/>
    </row>
    <row r="10993" spans="8:20" x14ac:dyDescent="0.35">
      <c r="H10993" s="711"/>
      <c r="I10993" s="711"/>
      <c r="J10993" s="711"/>
      <c r="K10993" s="711"/>
      <c r="L10993" s="711"/>
      <c r="Q10993" s="11"/>
      <c r="R10993" s="11"/>
      <c r="S10993" s="11"/>
      <c r="T10993" s="11"/>
    </row>
    <row r="10994" spans="8:20" x14ac:dyDescent="0.35">
      <c r="H10994" s="711"/>
      <c r="I10994" s="711"/>
      <c r="J10994" s="711"/>
      <c r="K10994" s="711"/>
      <c r="L10994" s="711"/>
      <c r="Q10994" s="11"/>
      <c r="R10994" s="11"/>
      <c r="S10994" s="11"/>
      <c r="T10994" s="11"/>
    </row>
    <row r="10995" spans="8:20" x14ac:dyDescent="0.35">
      <c r="H10995" s="711"/>
      <c r="I10995" s="711"/>
      <c r="J10995" s="711"/>
      <c r="K10995" s="711"/>
      <c r="L10995" s="711"/>
      <c r="Q10995" s="11"/>
      <c r="R10995" s="11"/>
      <c r="S10995" s="11"/>
      <c r="T10995" s="11"/>
    </row>
    <row r="10996" spans="8:20" x14ac:dyDescent="0.35">
      <c r="H10996" s="711"/>
      <c r="I10996" s="711"/>
      <c r="J10996" s="711"/>
      <c r="K10996" s="711"/>
      <c r="L10996" s="711"/>
      <c r="Q10996" s="11"/>
      <c r="R10996" s="11"/>
      <c r="S10996" s="11"/>
      <c r="T10996" s="11"/>
    </row>
    <row r="10997" spans="8:20" x14ac:dyDescent="0.35">
      <c r="H10997" s="711"/>
      <c r="I10997" s="711"/>
      <c r="J10997" s="711"/>
      <c r="K10997" s="711"/>
      <c r="L10997" s="711"/>
      <c r="Q10997" s="11"/>
      <c r="R10997" s="11"/>
      <c r="S10997" s="11"/>
      <c r="T10997" s="11"/>
    </row>
    <row r="10998" spans="8:20" x14ac:dyDescent="0.35">
      <c r="H10998" s="711"/>
      <c r="I10998" s="711"/>
      <c r="J10998" s="711"/>
      <c r="K10998" s="711"/>
      <c r="L10998" s="711"/>
      <c r="Q10998" s="11"/>
      <c r="R10998" s="11"/>
      <c r="S10998" s="11"/>
      <c r="T10998" s="11"/>
    </row>
    <row r="10999" spans="8:20" x14ac:dyDescent="0.35">
      <c r="H10999" s="711"/>
      <c r="I10999" s="711"/>
      <c r="J10999" s="711"/>
      <c r="K10999" s="711"/>
      <c r="L10999" s="711"/>
      <c r="Q10999" s="11"/>
      <c r="R10999" s="11"/>
      <c r="S10999" s="11"/>
      <c r="T10999" s="11"/>
    </row>
    <row r="11000" spans="8:20" x14ac:dyDescent="0.35">
      <c r="H11000" s="711"/>
      <c r="I11000" s="711"/>
      <c r="J11000" s="711"/>
      <c r="K11000" s="711"/>
      <c r="L11000" s="711"/>
      <c r="Q11000" s="11"/>
      <c r="R11000" s="11"/>
      <c r="S11000" s="11"/>
      <c r="T11000" s="11"/>
    </row>
    <row r="11001" spans="8:20" x14ac:dyDescent="0.35">
      <c r="H11001" s="711"/>
      <c r="I11001" s="711"/>
      <c r="J11001" s="711"/>
      <c r="K11001" s="711"/>
      <c r="L11001" s="711"/>
      <c r="Q11001" s="11"/>
      <c r="R11001" s="11"/>
      <c r="S11001" s="11"/>
      <c r="T11001" s="11"/>
    </row>
    <row r="11002" spans="8:20" x14ac:dyDescent="0.35">
      <c r="H11002" s="711"/>
      <c r="I11002" s="711"/>
      <c r="J11002" s="711"/>
      <c r="K11002" s="711"/>
      <c r="L11002" s="711"/>
      <c r="Q11002" s="11"/>
      <c r="R11002" s="11"/>
      <c r="S11002" s="11"/>
      <c r="T11002" s="11"/>
    </row>
    <row r="11003" spans="8:20" x14ac:dyDescent="0.35">
      <c r="H11003" s="711"/>
      <c r="I11003" s="711"/>
      <c r="J11003" s="711"/>
      <c r="K11003" s="711"/>
      <c r="L11003" s="711"/>
      <c r="Q11003" s="11"/>
      <c r="R11003" s="11"/>
      <c r="S11003" s="11"/>
      <c r="T11003" s="11"/>
    </row>
    <row r="11004" spans="8:20" x14ac:dyDescent="0.35">
      <c r="H11004" s="711"/>
      <c r="I11004" s="711"/>
      <c r="J11004" s="711"/>
      <c r="K11004" s="711"/>
      <c r="L11004" s="711"/>
      <c r="Q11004" s="11"/>
      <c r="R11004" s="11"/>
      <c r="S11004" s="11"/>
      <c r="T11004" s="11"/>
    </row>
    <row r="11005" spans="8:20" x14ac:dyDescent="0.35">
      <c r="H11005" s="711"/>
      <c r="I11005" s="711"/>
      <c r="J11005" s="711"/>
      <c r="K11005" s="711"/>
      <c r="L11005" s="711"/>
      <c r="Q11005" s="11"/>
      <c r="R11005" s="11"/>
      <c r="S11005" s="11"/>
      <c r="T11005" s="11"/>
    </row>
    <row r="11006" spans="8:20" x14ac:dyDescent="0.35">
      <c r="H11006" s="711"/>
      <c r="I11006" s="711"/>
      <c r="J11006" s="711"/>
      <c r="K11006" s="711"/>
      <c r="L11006" s="711"/>
      <c r="Q11006" s="11"/>
      <c r="R11006" s="11"/>
      <c r="S11006" s="11"/>
      <c r="T11006" s="11"/>
    </row>
    <row r="11007" spans="8:20" x14ac:dyDescent="0.35">
      <c r="H11007" s="711"/>
      <c r="I11007" s="711"/>
      <c r="J11007" s="711"/>
      <c r="K11007" s="711"/>
      <c r="L11007" s="711"/>
      <c r="Q11007" s="11"/>
      <c r="R11007" s="11"/>
      <c r="S11007" s="11"/>
      <c r="T11007" s="11"/>
    </row>
    <row r="11008" spans="8:20" x14ac:dyDescent="0.35">
      <c r="H11008" s="711"/>
      <c r="I11008" s="711"/>
      <c r="J11008" s="711"/>
      <c r="K11008" s="711"/>
      <c r="L11008" s="711"/>
      <c r="Q11008" s="11"/>
      <c r="R11008" s="11"/>
      <c r="S11008" s="11"/>
      <c r="T11008" s="11"/>
    </row>
    <row r="11009" spans="8:20" x14ac:dyDescent="0.35">
      <c r="H11009" s="711"/>
      <c r="I11009" s="711"/>
      <c r="J11009" s="711"/>
      <c r="K11009" s="711"/>
      <c r="L11009" s="711"/>
      <c r="Q11009" s="11"/>
      <c r="R11009" s="11"/>
      <c r="S11009" s="11"/>
      <c r="T11009" s="11"/>
    </row>
    <row r="11010" spans="8:20" x14ac:dyDescent="0.35">
      <c r="H11010" s="711"/>
      <c r="I11010" s="711"/>
      <c r="J11010" s="711"/>
      <c r="K11010" s="711"/>
      <c r="L11010" s="711"/>
      <c r="Q11010" s="11"/>
      <c r="R11010" s="11"/>
      <c r="S11010" s="11"/>
      <c r="T11010" s="11"/>
    </row>
    <row r="11011" spans="8:20" x14ac:dyDescent="0.35">
      <c r="H11011" s="711"/>
      <c r="I11011" s="711"/>
      <c r="J11011" s="711"/>
      <c r="K11011" s="711"/>
      <c r="L11011" s="711"/>
      <c r="Q11011" s="11"/>
      <c r="R11011" s="11"/>
      <c r="S11011" s="11"/>
      <c r="T11011" s="11"/>
    </row>
    <row r="11012" spans="8:20" x14ac:dyDescent="0.35">
      <c r="H11012" s="711"/>
      <c r="I11012" s="711"/>
      <c r="J11012" s="711"/>
      <c r="K11012" s="711"/>
      <c r="L11012" s="711"/>
      <c r="Q11012" s="11"/>
      <c r="R11012" s="11"/>
      <c r="S11012" s="11"/>
      <c r="T11012" s="11"/>
    </row>
    <row r="11013" spans="8:20" x14ac:dyDescent="0.35">
      <c r="H11013" s="711"/>
      <c r="I11013" s="711"/>
      <c r="J11013" s="711"/>
      <c r="K11013" s="711"/>
      <c r="L11013" s="711"/>
      <c r="Q11013" s="11"/>
      <c r="R11013" s="11"/>
      <c r="S11013" s="11"/>
      <c r="T11013" s="11"/>
    </row>
    <row r="11014" spans="8:20" x14ac:dyDescent="0.35">
      <c r="H11014" s="711"/>
      <c r="I11014" s="711"/>
      <c r="J11014" s="711"/>
      <c r="K11014" s="711"/>
      <c r="L11014" s="711"/>
      <c r="Q11014" s="11"/>
      <c r="R11014" s="11"/>
      <c r="S11014" s="11"/>
      <c r="T11014" s="11"/>
    </row>
    <row r="11015" spans="8:20" x14ac:dyDescent="0.35">
      <c r="H11015" s="711"/>
      <c r="I11015" s="711"/>
      <c r="J11015" s="711"/>
      <c r="K11015" s="711"/>
      <c r="L11015" s="711"/>
      <c r="Q11015" s="11"/>
      <c r="R11015" s="11"/>
      <c r="S11015" s="11"/>
      <c r="T11015" s="11"/>
    </row>
    <row r="11016" spans="8:20" x14ac:dyDescent="0.35">
      <c r="H11016" s="711"/>
      <c r="I11016" s="711"/>
      <c r="J11016" s="711"/>
      <c r="K11016" s="711"/>
      <c r="L11016" s="711"/>
      <c r="Q11016" s="11"/>
      <c r="R11016" s="11"/>
      <c r="S11016" s="11"/>
      <c r="T11016" s="11"/>
    </row>
    <row r="11017" spans="8:20" x14ac:dyDescent="0.35">
      <c r="H11017" s="711"/>
      <c r="I11017" s="711"/>
      <c r="J11017" s="711"/>
      <c r="K11017" s="711"/>
      <c r="L11017" s="711"/>
      <c r="Q11017" s="11"/>
      <c r="R11017" s="11"/>
      <c r="S11017" s="11"/>
      <c r="T11017" s="11"/>
    </row>
    <row r="11018" spans="8:20" x14ac:dyDescent="0.35">
      <c r="H11018" s="711"/>
      <c r="I11018" s="711"/>
      <c r="J11018" s="711"/>
      <c r="K11018" s="711"/>
      <c r="L11018" s="711"/>
      <c r="Q11018" s="11"/>
      <c r="R11018" s="11"/>
      <c r="S11018" s="11"/>
      <c r="T11018" s="11"/>
    </row>
    <row r="11019" spans="8:20" x14ac:dyDescent="0.35">
      <c r="H11019" s="711"/>
      <c r="I11019" s="711"/>
      <c r="J11019" s="711"/>
      <c r="K11019" s="711"/>
      <c r="L11019" s="711"/>
      <c r="Q11019" s="11"/>
      <c r="R11019" s="11"/>
      <c r="S11019" s="11"/>
      <c r="T11019" s="11"/>
    </row>
    <row r="11020" spans="8:20" x14ac:dyDescent="0.35">
      <c r="H11020" s="711"/>
      <c r="I11020" s="711"/>
      <c r="J11020" s="711"/>
      <c r="K11020" s="711"/>
      <c r="L11020" s="711"/>
      <c r="Q11020" s="11"/>
      <c r="R11020" s="11"/>
      <c r="S11020" s="11"/>
      <c r="T11020" s="11"/>
    </row>
    <row r="11021" spans="8:20" x14ac:dyDescent="0.35">
      <c r="H11021" s="711"/>
      <c r="I11021" s="711"/>
      <c r="J11021" s="711"/>
      <c r="K11021" s="711"/>
      <c r="L11021" s="711"/>
      <c r="Q11021" s="11"/>
      <c r="R11021" s="11"/>
      <c r="S11021" s="11"/>
      <c r="T11021" s="11"/>
    </row>
    <row r="11022" spans="8:20" x14ac:dyDescent="0.35">
      <c r="H11022" s="711"/>
      <c r="I11022" s="711"/>
      <c r="J11022" s="711"/>
      <c r="K11022" s="711"/>
      <c r="L11022" s="711"/>
      <c r="Q11022" s="11"/>
      <c r="R11022" s="11"/>
      <c r="S11022" s="11"/>
      <c r="T11022" s="11"/>
    </row>
    <row r="11023" spans="8:20" x14ac:dyDescent="0.35">
      <c r="H11023" s="711"/>
      <c r="I11023" s="711"/>
      <c r="J11023" s="711"/>
      <c r="K11023" s="711"/>
      <c r="L11023" s="711"/>
      <c r="Q11023" s="11"/>
      <c r="R11023" s="11"/>
      <c r="S11023" s="11"/>
      <c r="T11023" s="11"/>
    </row>
    <row r="11024" spans="8:20" x14ac:dyDescent="0.35">
      <c r="H11024" s="711"/>
      <c r="I11024" s="711"/>
      <c r="J11024" s="711"/>
      <c r="K11024" s="711"/>
      <c r="L11024" s="711"/>
      <c r="Q11024" s="11"/>
      <c r="R11024" s="11"/>
      <c r="S11024" s="11"/>
      <c r="T11024" s="11"/>
    </row>
    <row r="11025" spans="8:20" x14ac:dyDescent="0.35">
      <c r="H11025" s="711"/>
      <c r="I11025" s="711"/>
      <c r="J11025" s="711"/>
      <c r="K11025" s="711"/>
      <c r="L11025" s="711"/>
      <c r="Q11025" s="11"/>
      <c r="R11025" s="11"/>
      <c r="S11025" s="11"/>
      <c r="T11025" s="11"/>
    </row>
    <row r="11026" spans="8:20" x14ac:dyDescent="0.35">
      <c r="H11026" s="711"/>
      <c r="I11026" s="711"/>
      <c r="J11026" s="711"/>
      <c r="K11026" s="711"/>
      <c r="L11026" s="711"/>
      <c r="Q11026" s="11"/>
      <c r="R11026" s="11"/>
      <c r="S11026" s="11"/>
      <c r="T11026" s="11"/>
    </row>
    <row r="11027" spans="8:20" x14ac:dyDescent="0.35">
      <c r="H11027" s="711"/>
      <c r="I11027" s="711"/>
      <c r="J11027" s="711"/>
      <c r="K11027" s="711"/>
      <c r="L11027" s="711"/>
      <c r="Q11027" s="11"/>
      <c r="R11027" s="11"/>
      <c r="S11027" s="11"/>
      <c r="T11027" s="11"/>
    </row>
    <row r="11028" spans="8:20" x14ac:dyDescent="0.35">
      <c r="H11028" s="711"/>
      <c r="I11028" s="711"/>
      <c r="J11028" s="711"/>
      <c r="K11028" s="711"/>
      <c r="L11028" s="711"/>
      <c r="Q11028" s="11"/>
      <c r="R11028" s="11"/>
      <c r="S11028" s="11"/>
      <c r="T11028" s="11"/>
    </row>
    <row r="11029" spans="8:20" x14ac:dyDescent="0.35">
      <c r="H11029" s="711"/>
      <c r="I11029" s="711"/>
      <c r="J11029" s="711"/>
      <c r="K11029" s="711"/>
      <c r="L11029" s="711"/>
      <c r="Q11029" s="11"/>
      <c r="R11029" s="11"/>
      <c r="S11029" s="11"/>
      <c r="T11029" s="11"/>
    </row>
    <row r="11030" spans="8:20" x14ac:dyDescent="0.35">
      <c r="H11030" s="711"/>
      <c r="I11030" s="711"/>
      <c r="J11030" s="711"/>
      <c r="K11030" s="711"/>
      <c r="L11030" s="711"/>
      <c r="Q11030" s="11"/>
      <c r="R11030" s="11"/>
      <c r="S11030" s="11"/>
      <c r="T11030" s="11"/>
    </row>
    <row r="11031" spans="8:20" x14ac:dyDescent="0.35">
      <c r="H11031" s="711"/>
      <c r="I11031" s="711"/>
      <c r="J11031" s="711"/>
      <c r="K11031" s="711"/>
      <c r="L11031" s="711"/>
      <c r="Q11031" s="11"/>
      <c r="R11031" s="11"/>
      <c r="S11031" s="11"/>
      <c r="T11031" s="11"/>
    </row>
    <row r="11032" spans="8:20" x14ac:dyDescent="0.35">
      <c r="H11032" s="711"/>
      <c r="I11032" s="711"/>
      <c r="J11032" s="711"/>
      <c r="K11032" s="711"/>
      <c r="L11032" s="711"/>
      <c r="Q11032" s="11"/>
      <c r="R11032" s="11"/>
      <c r="S11032" s="11"/>
      <c r="T11032" s="11"/>
    </row>
    <row r="11033" spans="8:20" x14ac:dyDescent="0.35">
      <c r="H11033" s="711"/>
      <c r="I11033" s="711"/>
      <c r="J11033" s="711"/>
      <c r="K11033" s="711"/>
      <c r="L11033" s="711"/>
      <c r="Q11033" s="11"/>
      <c r="R11033" s="11"/>
      <c r="S11033" s="11"/>
      <c r="T11033" s="11"/>
    </row>
    <row r="11034" spans="8:20" x14ac:dyDescent="0.35">
      <c r="H11034" s="711"/>
      <c r="I11034" s="711"/>
      <c r="J11034" s="711"/>
      <c r="K11034" s="711"/>
      <c r="L11034" s="711"/>
      <c r="Q11034" s="11"/>
      <c r="R11034" s="11"/>
      <c r="S11034" s="11"/>
      <c r="T11034" s="11"/>
    </row>
    <row r="11035" spans="8:20" x14ac:dyDescent="0.35">
      <c r="H11035" s="711"/>
      <c r="I11035" s="711"/>
      <c r="J11035" s="711"/>
      <c r="K11035" s="711"/>
      <c r="L11035" s="711"/>
      <c r="Q11035" s="11"/>
      <c r="R11035" s="11"/>
      <c r="S11035" s="11"/>
      <c r="T11035" s="11"/>
    </row>
    <row r="11036" spans="8:20" x14ac:dyDescent="0.35">
      <c r="H11036" s="711"/>
      <c r="I11036" s="711"/>
      <c r="J11036" s="711"/>
      <c r="K11036" s="711"/>
      <c r="L11036" s="711"/>
      <c r="Q11036" s="11"/>
      <c r="R11036" s="11"/>
      <c r="S11036" s="11"/>
      <c r="T11036" s="11"/>
    </row>
    <row r="11037" spans="8:20" x14ac:dyDescent="0.35">
      <c r="H11037" s="711"/>
      <c r="I11037" s="711"/>
      <c r="J11037" s="711"/>
      <c r="K11037" s="711"/>
      <c r="L11037" s="711"/>
      <c r="Q11037" s="11"/>
      <c r="R11037" s="11"/>
      <c r="S11037" s="11"/>
      <c r="T11037" s="11"/>
    </row>
    <row r="11038" spans="8:20" x14ac:dyDescent="0.35">
      <c r="H11038" s="711"/>
      <c r="I11038" s="711"/>
      <c r="J11038" s="711"/>
      <c r="K11038" s="711"/>
      <c r="L11038" s="711"/>
      <c r="Q11038" s="11"/>
      <c r="R11038" s="11"/>
      <c r="S11038" s="11"/>
      <c r="T11038" s="11"/>
    </row>
    <row r="11039" spans="8:20" x14ac:dyDescent="0.35">
      <c r="H11039" s="711"/>
      <c r="I11039" s="711"/>
      <c r="J11039" s="711"/>
      <c r="K11039" s="711"/>
      <c r="L11039" s="711"/>
      <c r="Q11039" s="11"/>
      <c r="R11039" s="11"/>
      <c r="S11039" s="11"/>
      <c r="T11039" s="11"/>
    </row>
    <row r="11040" spans="8:20" x14ac:dyDescent="0.35">
      <c r="H11040" s="711"/>
      <c r="I11040" s="711"/>
      <c r="J11040" s="711"/>
      <c r="K11040" s="711"/>
      <c r="L11040" s="711"/>
      <c r="Q11040" s="11"/>
      <c r="R11040" s="11"/>
      <c r="S11040" s="11"/>
      <c r="T11040" s="11"/>
    </row>
    <row r="11041" spans="8:20" x14ac:dyDescent="0.35">
      <c r="H11041" s="711"/>
      <c r="I11041" s="711"/>
      <c r="J11041" s="711"/>
      <c r="K11041" s="711"/>
      <c r="L11041" s="711"/>
      <c r="Q11041" s="11"/>
      <c r="R11041" s="11"/>
      <c r="S11041" s="11"/>
      <c r="T11041" s="11"/>
    </row>
    <row r="11042" spans="8:20" x14ac:dyDescent="0.35">
      <c r="H11042" s="711"/>
      <c r="I11042" s="711"/>
      <c r="J11042" s="711"/>
      <c r="K11042" s="711"/>
      <c r="L11042" s="711"/>
      <c r="Q11042" s="11"/>
      <c r="R11042" s="11"/>
      <c r="S11042" s="11"/>
      <c r="T11042" s="11"/>
    </row>
    <row r="11043" spans="8:20" x14ac:dyDescent="0.35">
      <c r="H11043" s="711"/>
      <c r="I11043" s="711"/>
      <c r="J11043" s="711"/>
      <c r="K11043" s="711"/>
      <c r="L11043" s="711"/>
      <c r="Q11043" s="11"/>
      <c r="R11043" s="11"/>
      <c r="S11043" s="11"/>
      <c r="T11043" s="11"/>
    </row>
    <row r="11044" spans="8:20" x14ac:dyDescent="0.35">
      <c r="H11044" s="711"/>
      <c r="I11044" s="711"/>
      <c r="J11044" s="711"/>
      <c r="K11044" s="711"/>
      <c r="L11044" s="711"/>
      <c r="Q11044" s="11"/>
      <c r="R11044" s="11"/>
      <c r="S11044" s="11"/>
      <c r="T11044" s="11"/>
    </row>
    <row r="11045" spans="8:20" x14ac:dyDescent="0.35">
      <c r="H11045" s="711"/>
      <c r="I11045" s="711"/>
      <c r="J11045" s="711"/>
      <c r="K11045" s="711"/>
      <c r="L11045" s="711"/>
      <c r="Q11045" s="11"/>
      <c r="R11045" s="11"/>
      <c r="S11045" s="11"/>
      <c r="T11045" s="11"/>
    </row>
    <row r="11046" spans="8:20" x14ac:dyDescent="0.35">
      <c r="H11046" s="711"/>
      <c r="I11046" s="711"/>
      <c r="J11046" s="711"/>
      <c r="K11046" s="711"/>
      <c r="L11046" s="711"/>
      <c r="Q11046" s="11"/>
      <c r="R11046" s="11"/>
      <c r="S11046" s="11"/>
      <c r="T11046" s="11"/>
    </row>
    <row r="11047" spans="8:20" x14ac:dyDescent="0.35">
      <c r="H11047" s="711"/>
      <c r="I11047" s="711"/>
      <c r="J11047" s="711"/>
      <c r="K11047" s="711"/>
      <c r="L11047" s="711"/>
      <c r="Q11047" s="11"/>
      <c r="R11047" s="11"/>
      <c r="S11047" s="11"/>
      <c r="T11047" s="11"/>
    </row>
    <row r="11048" spans="8:20" x14ac:dyDescent="0.35">
      <c r="H11048" s="711"/>
      <c r="I11048" s="711"/>
      <c r="J11048" s="711"/>
      <c r="K11048" s="711"/>
      <c r="L11048" s="711"/>
      <c r="Q11048" s="11"/>
      <c r="R11048" s="11"/>
      <c r="S11048" s="11"/>
      <c r="T11048" s="11"/>
    </row>
    <row r="11049" spans="8:20" x14ac:dyDescent="0.35">
      <c r="H11049" s="711"/>
      <c r="I11049" s="711"/>
      <c r="J11049" s="711"/>
      <c r="K11049" s="711"/>
      <c r="L11049" s="711"/>
      <c r="Q11049" s="11"/>
      <c r="R11049" s="11"/>
      <c r="S11049" s="11"/>
      <c r="T11049" s="11"/>
    </row>
    <row r="11050" spans="8:20" x14ac:dyDescent="0.35">
      <c r="H11050" s="711"/>
      <c r="I11050" s="711"/>
      <c r="J11050" s="711"/>
      <c r="K11050" s="711"/>
      <c r="L11050" s="711"/>
      <c r="Q11050" s="11"/>
      <c r="R11050" s="11"/>
      <c r="S11050" s="11"/>
      <c r="T11050" s="11"/>
    </row>
    <row r="11051" spans="8:20" x14ac:dyDescent="0.35">
      <c r="H11051" s="711"/>
      <c r="I11051" s="711"/>
      <c r="J11051" s="711"/>
      <c r="K11051" s="711"/>
      <c r="L11051" s="711"/>
      <c r="Q11051" s="11"/>
      <c r="R11051" s="11"/>
      <c r="S11051" s="11"/>
      <c r="T11051" s="11"/>
    </row>
    <row r="11052" spans="8:20" x14ac:dyDescent="0.35">
      <c r="H11052" s="711"/>
      <c r="I11052" s="711"/>
      <c r="J11052" s="711"/>
      <c r="K11052" s="711"/>
      <c r="L11052" s="711"/>
      <c r="Q11052" s="11"/>
      <c r="R11052" s="11"/>
      <c r="S11052" s="11"/>
      <c r="T11052" s="11"/>
    </row>
    <row r="11053" spans="8:20" x14ac:dyDescent="0.35">
      <c r="H11053" s="711"/>
      <c r="I11053" s="711"/>
      <c r="J11053" s="711"/>
      <c r="K11053" s="711"/>
      <c r="L11053" s="711"/>
      <c r="Q11053" s="11"/>
      <c r="R11053" s="11"/>
      <c r="S11053" s="11"/>
      <c r="T11053" s="11"/>
    </row>
    <row r="11054" spans="8:20" x14ac:dyDescent="0.35">
      <c r="H11054" s="711"/>
      <c r="I11054" s="711"/>
      <c r="J11054" s="711"/>
      <c r="K11054" s="711"/>
      <c r="L11054" s="711"/>
      <c r="Q11054" s="11"/>
      <c r="R11054" s="11"/>
      <c r="S11054" s="11"/>
      <c r="T11054" s="11"/>
    </row>
    <row r="11055" spans="8:20" x14ac:dyDescent="0.35">
      <c r="H11055" s="711"/>
      <c r="I11055" s="711"/>
      <c r="J11055" s="711"/>
      <c r="K11055" s="711"/>
      <c r="L11055" s="711"/>
      <c r="Q11055" s="11"/>
      <c r="R11055" s="11"/>
      <c r="S11055" s="11"/>
      <c r="T11055" s="11"/>
    </row>
    <row r="11056" spans="8:20" x14ac:dyDescent="0.35">
      <c r="H11056" s="711"/>
      <c r="I11056" s="711"/>
      <c r="J11056" s="711"/>
      <c r="K11056" s="711"/>
      <c r="L11056" s="711"/>
      <c r="Q11056" s="11"/>
      <c r="R11056" s="11"/>
      <c r="S11056" s="11"/>
      <c r="T11056" s="11"/>
    </row>
    <row r="11057" spans="8:20" x14ac:dyDescent="0.35">
      <c r="H11057" s="711"/>
      <c r="I11057" s="711"/>
      <c r="J11057" s="711"/>
      <c r="K11057" s="711"/>
      <c r="L11057" s="711"/>
      <c r="Q11057" s="11"/>
      <c r="R11057" s="11"/>
      <c r="S11057" s="11"/>
      <c r="T11057" s="11"/>
    </row>
    <row r="11058" spans="8:20" x14ac:dyDescent="0.35">
      <c r="H11058" s="711"/>
      <c r="I11058" s="711"/>
      <c r="J11058" s="711"/>
      <c r="K11058" s="711"/>
      <c r="L11058" s="711"/>
      <c r="Q11058" s="11"/>
      <c r="R11058" s="11"/>
      <c r="S11058" s="11"/>
      <c r="T11058" s="11"/>
    </row>
    <row r="11059" spans="8:20" x14ac:dyDescent="0.35">
      <c r="H11059" s="711"/>
      <c r="I11059" s="711"/>
      <c r="J11059" s="711"/>
      <c r="K11059" s="711"/>
      <c r="L11059" s="711"/>
      <c r="Q11059" s="11"/>
      <c r="R11059" s="11"/>
      <c r="S11059" s="11"/>
      <c r="T11059" s="11"/>
    </row>
    <row r="11060" spans="8:20" x14ac:dyDescent="0.35">
      <c r="H11060" s="711"/>
      <c r="I11060" s="711"/>
      <c r="J11060" s="711"/>
      <c r="K11060" s="711"/>
      <c r="L11060" s="711"/>
      <c r="Q11060" s="11"/>
      <c r="R11060" s="11"/>
      <c r="S11060" s="11"/>
      <c r="T11060" s="11"/>
    </row>
    <row r="11061" spans="8:20" x14ac:dyDescent="0.35">
      <c r="H11061" s="711"/>
      <c r="I11061" s="711"/>
      <c r="J11061" s="711"/>
      <c r="K11061" s="711"/>
      <c r="L11061" s="711"/>
      <c r="Q11061" s="11"/>
      <c r="R11061" s="11"/>
      <c r="S11061" s="11"/>
      <c r="T11061" s="11"/>
    </row>
    <row r="11062" spans="8:20" x14ac:dyDescent="0.35">
      <c r="H11062" s="711"/>
      <c r="I11062" s="711"/>
      <c r="J11062" s="711"/>
      <c r="K11062" s="711"/>
      <c r="L11062" s="711"/>
      <c r="Q11062" s="11"/>
      <c r="R11062" s="11"/>
      <c r="S11062" s="11"/>
      <c r="T11062" s="11"/>
    </row>
    <row r="11063" spans="8:20" x14ac:dyDescent="0.35">
      <c r="H11063" s="711"/>
      <c r="I11063" s="711"/>
      <c r="J11063" s="711"/>
      <c r="K11063" s="711"/>
      <c r="L11063" s="711"/>
      <c r="Q11063" s="11"/>
      <c r="R11063" s="11"/>
      <c r="S11063" s="11"/>
      <c r="T11063" s="11"/>
    </row>
    <row r="11064" spans="8:20" x14ac:dyDescent="0.35">
      <c r="H11064" s="711"/>
      <c r="I11064" s="711"/>
      <c r="J11064" s="711"/>
      <c r="K11064" s="711"/>
      <c r="L11064" s="711"/>
      <c r="Q11064" s="11"/>
      <c r="R11064" s="11"/>
      <c r="S11064" s="11"/>
      <c r="T11064" s="11"/>
    </row>
    <row r="11065" spans="8:20" x14ac:dyDescent="0.35">
      <c r="H11065" s="711"/>
      <c r="I11065" s="711"/>
      <c r="J11065" s="711"/>
      <c r="K11065" s="711"/>
      <c r="L11065" s="711"/>
      <c r="Q11065" s="11"/>
      <c r="R11065" s="11"/>
      <c r="S11065" s="11"/>
      <c r="T11065" s="11"/>
    </row>
    <row r="11066" spans="8:20" x14ac:dyDescent="0.35">
      <c r="H11066" s="711"/>
      <c r="I11066" s="711"/>
      <c r="J11066" s="711"/>
      <c r="K11066" s="711"/>
      <c r="L11066" s="711"/>
      <c r="Q11066" s="11"/>
      <c r="R11066" s="11"/>
      <c r="S11066" s="11"/>
      <c r="T11066" s="11"/>
    </row>
    <row r="11067" spans="8:20" x14ac:dyDescent="0.35">
      <c r="H11067" s="711"/>
      <c r="I11067" s="711"/>
      <c r="J11067" s="711"/>
      <c r="K11067" s="711"/>
      <c r="L11067" s="711"/>
      <c r="Q11067" s="11"/>
      <c r="R11067" s="11"/>
      <c r="S11067" s="11"/>
      <c r="T11067" s="11"/>
    </row>
    <row r="11068" spans="8:20" x14ac:dyDescent="0.35">
      <c r="H11068" s="711"/>
      <c r="I11068" s="711"/>
      <c r="J11068" s="711"/>
      <c r="K11068" s="711"/>
      <c r="L11068" s="711"/>
      <c r="Q11068" s="11"/>
      <c r="R11068" s="11"/>
      <c r="S11068" s="11"/>
      <c r="T11068" s="11"/>
    </row>
    <row r="11069" spans="8:20" x14ac:dyDescent="0.35">
      <c r="H11069" s="711"/>
      <c r="I11069" s="711"/>
      <c r="J11069" s="711"/>
      <c r="K11069" s="711"/>
      <c r="L11069" s="711"/>
      <c r="Q11069" s="11"/>
      <c r="R11069" s="11"/>
      <c r="S11069" s="11"/>
      <c r="T11069" s="11"/>
    </row>
    <row r="11070" spans="8:20" x14ac:dyDescent="0.35">
      <c r="H11070" s="711"/>
      <c r="I11070" s="711"/>
      <c r="J11070" s="711"/>
      <c r="K11070" s="711"/>
      <c r="L11070" s="711"/>
      <c r="Q11070" s="11"/>
      <c r="R11070" s="11"/>
      <c r="S11070" s="11"/>
      <c r="T11070" s="11"/>
    </row>
    <row r="11071" spans="8:20" x14ac:dyDescent="0.35">
      <c r="H11071" s="711"/>
      <c r="I11071" s="711"/>
      <c r="J11071" s="711"/>
      <c r="K11071" s="711"/>
      <c r="L11071" s="711"/>
      <c r="Q11071" s="11"/>
      <c r="R11071" s="11"/>
      <c r="S11071" s="11"/>
      <c r="T11071" s="11"/>
    </row>
    <row r="11072" spans="8:20" x14ac:dyDescent="0.35">
      <c r="H11072" s="711"/>
      <c r="I11072" s="711"/>
      <c r="J11072" s="711"/>
      <c r="K11072" s="711"/>
      <c r="L11072" s="711"/>
      <c r="Q11072" s="11"/>
      <c r="R11072" s="11"/>
      <c r="S11072" s="11"/>
      <c r="T11072" s="11"/>
    </row>
    <row r="11073" spans="8:20" x14ac:dyDescent="0.35">
      <c r="H11073" s="711"/>
      <c r="I11073" s="711"/>
      <c r="J11073" s="711"/>
      <c r="K11073" s="711"/>
      <c r="L11073" s="711"/>
      <c r="Q11073" s="11"/>
      <c r="R11073" s="11"/>
      <c r="S11073" s="11"/>
      <c r="T11073" s="11"/>
    </row>
    <row r="11074" spans="8:20" x14ac:dyDescent="0.35">
      <c r="H11074" s="711"/>
      <c r="I11074" s="711"/>
      <c r="J11074" s="711"/>
      <c r="K11074" s="711"/>
      <c r="L11074" s="711"/>
      <c r="Q11074" s="11"/>
      <c r="R11074" s="11"/>
      <c r="S11074" s="11"/>
      <c r="T11074" s="11"/>
    </row>
    <row r="11075" spans="8:20" x14ac:dyDescent="0.35">
      <c r="H11075" s="711"/>
      <c r="I11075" s="711"/>
      <c r="J11075" s="711"/>
      <c r="K11075" s="711"/>
      <c r="L11075" s="711"/>
      <c r="Q11075" s="11"/>
      <c r="R11075" s="11"/>
      <c r="S11075" s="11"/>
      <c r="T11075" s="11"/>
    </row>
    <row r="11076" spans="8:20" x14ac:dyDescent="0.35">
      <c r="H11076" s="711"/>
      <c r="I11076" s="711"/>
      <c r="J11076" s="711"/>
      <c r="K11076" s="711"/>
      <c r="L11076" s="711"/>
      <c r="Q11076" s="11"/>
      <c r="R11076" s="11"/>
      <c r="S11076" s="11"/>
      <c r="T11076" s="11"/>
    </row>
    <row r="11077" spans="8:20" x14ac:dyDescent="0.35">
      <c r="H11077" s="711"/>
      <c r="I11077" s="711"/>
      <c r="J11077" s="711"/>
      <c r="K11077" s="711"/>
      <c r="L11077" s="711"/>
      <c r="Q11077" s="11"/>
      <c r="R11077" s="11"/>
      <c r="S11077" s="11"/>
      <c r="T11077" s="11"/>
    </row>
    <row r="11078" spans="8:20" x14ac:dyDescent="0.35">
      <c r="H11078" s="711"/>
      <c r="I11078" s="711"/>
      <c r="J11078" s="711"/>
      <c r="K11078" s="711"/>
      <c r="L11078" s="711"/>
      <c r="Q11078" s="11"/>
      <c r="R11078" s="11"/>
      <c r="S11078" s="11"/>
      <c r="T11078" s="11"/>
    </row>
    <row r="11079" spans="8:20" x14ac:dyDescent="0.35">
      <c r="H11079" s="711"/>
      <c r="I11079" s="711"/>
      <c r="J11079" s="711"/>
      <c r="K11079" s="711"/>
      <c r="L11079" s="711"/>
      <c r="Q11079" s="11"/>
      <c r="R11079" s="11"/>
      <c r="S11079" s="11"/>
      <c r="T11079" s="11"/>
    </row>
    <row r="11080" spans="8:20" x14ac:dyDescent="0.35">
      <c r="H11080" s="711"/>
      <c r="I11080" s="711"/>
      <c r="J11080" s="711"/>
      <c r="K11080" s="711"/>
      <c r="L11080" s="711"/>
      <c r="Q11080" s="11"/>
      <c r="R11080" s="11"/>
      <c r="S11080" s="11"/>
      <c r="T11080" s="11"/>
    </row>
    <row r="11081" spans="8:20" x14ac:dyDescent="0.35">
      <c r="H11081" s="711"/>
      <c r="I11081" s="711"/>
      <c r="J11081" s="711"/>
      <c r="K11081" s="711"/>
      <c r="L11081" s="711"/>
      <c r="Q11081" s="11"/>
      <c r="R11081" s="11"/>
      <c r="S11081" s="11"/>
      <c r="T11081" s="11"/>
    </row>
    <row r="11082" spans="8:20" x14ac:dyDescent="0.35">
      <c r="H11082" s="711"/>
      <c r="I11082" s="711"/>
      <c r="J11082" s="711"/>
      <c r="K11082" s="711"/>
      <c r="L11082" s="711"/>
      <c r="Q11082" s="11"/>
      <c r="R11082" s="11"/>
      <c r="S11082" s="11"/>
      <c r="T11082" s="11"/>
    </row>
    <row r="11083" spans="8:20" x14ac:dyDescent="0.35">
      <c r="H11083" s="711"/>
      <c r="I11083" s="711"/>
      <c r="J11083" s="711"/>
      <c r="K11083" s="711"/>
      <c r="L11083" s="711"/>
      <c r="Q11083" s="11"/>
      <c r="R11083" s="11"/>
      <c r="S11083" s="11"/>
      <c r="T11083" s="11"/>
    </row>
    <row r="11084" spans="8:20" x14ac:dyDescent="0.35">
      <c r="H11084" s="711"/>
      <c r="I11084" s="711"/>
      <c r="J11084" s="711"/>
      <c r="K11084" s="711"/>
      <c r="L11084" s="711"/>
      <c r="Q11084" s="11"/>
      <c r="R11084" s="11"/>
      <c r="S11084" s="11"/>
      <c r="T11084" s="11"/>
    </row>
    <row r="11085" spans="8:20" x14ac:dyDescent="0.35">
      <c r="H11085" s="711"/>
      <c r="I11085" s="711"/>
      <c r="J11085" s="711"/>
      <c r="K11085" s="711"/>
      <c r="L11085" s="711"/>
      <c r="Q11085" s="11"/>
      <c r="R11085" s="11"/>
      <c r="S11085" s="11"/>
      <c r="T11085" s="11"/>
    </row>
    <row r="11086" spans="8:20" x14ac:dyDescent="0.35">
      <c r="H11086" s="711"/>
      <c r="I11086" s="711"/>
      <c r="J11086" s="711"/>
      <c r="K11086" s="711"/>
      <c r="L11086" s="711"/>
      <c r="Q11086" s="11"/>
      <c r="R11086" s="11"/>
      <c r="S11086" s="11"/>
      <c r="T11086" s="11"/>
    </row>
    <row r="11087" spans="8:20" x14ac:dyDescent="0.35">
      <c r="H11087" s="711"/>
      <c r="I11087" s="711"/>
      <c r="J11087" s="711"/>
      <c r="K11087" s="711"/>
      <c r="L11087" s="711"/>
      <c r="Q11087" s="11"/>
      <c r="R11087" s="11"/>
      <c r="S11087" s="11"/>
      <c r="T11087" s="11"/>
    </row>
    <row r="11088" spans="8:20" x14ac:dyDescent="0.35">
      <c r="H11088" s="711"/>
      <c r="I11088" s="711"/>
      <c r="J11088" s="711"/>
      <c r="K11088" s="711"/>
      <c r="L11088" s="711"/>
      <c r="Q11088" s="11"/>
      <c r="R11088" s="11"/>
      <c r="S11088" s="11"/>
      <c r="T11088" s="11"/>
    </row>
    <row r="11089" spans="8:20" x14ac:dyDescent="0.35">
      <c r="H11089" s="711"/>
      <c r="I11089" s="711"/>
      <c r="J11089" s="711"/>
      <c r="K11089" s="711"/>
      <c r="L11089" s="711"/>
      <c r="Q11089" s="11"/>
      <c r="R11089" s="11"/>
      <c r="S11089" s="11"/>
      <c r="T11089" s="11"/>
    </row>
    <row r="11090" spans="8:20" x14ac:dyDescent="0.35">
      <c r="H11090" s="711"/>
      <c r="I11090" s="711"/>
      <c r="J11090" s="711"/>
      <c r="K11090" s="711"/>
      <c r="L11090" s="711"/>
      <c r="Q11090" s="11"/>
      <c r="R11090" s="11"/>
      <c r="S11090" s="11"/>
      <c r="T11090" s="11"/>
    </row>
    <row r="11091" spans="8:20" x14ac:dyDescent="0.35">
      <c r="H11091" s="711"/>
      <c r="I11091" s="711"/>
      <c r="J11091" s="711"/>
      <c r="K11091" s="711"/>
      <c r="L11091" s="711"/>
      <c r="Q11091" s="11"/>
      <c r="R11091" s="11"/>
      <c r="S11091" s="11"/>
      <c r="T11091" s="11"/>
    </row>
    <row r="11092" spans="8:20" x14ac:dyDescent="0.35">
      <c r="H11092" s="711"/>
      <c r="I11092" s="711"/>
      <c r="J11092" s="711"/>
      <c r="K11092" s="711"/>
      <c r="L11092" s="711"/>
      <c r="Q11092" s="11"/>
      <c r="R11092" s="11"/>
      <c r="S11092" s="11"/>
      <c r="T11092" s="11"/>
    </row>
    <row r="11093" spans="8:20" x14ac:dyDescent="0.35">
      <c r="H11093" s="711"/>
      <c r="I11093" s="711"/>
      <c r="J11093" s="711"/>
      <c r="K11093" s="711"/>
      <c r="L11093" s="711"/>
      <c r="Q11093" s="11"/>
      <c r="R11093" s="11"/>
      <c r="S11093" s="11"/>
      <c r="T11093" s="11"/>
    </row>
    <row r="11094" spans="8:20" x14ac:dyDescent="0.35">
      <c r="H11094" s="711"/>
      <c r="I11094" s="711"/>
      <c r="J11094" s="711"/>
      <c r="K11094" s="711"/>
      <c r="L11094" s="711"/>
      <c r="Q11094" s="11"/>
      <c r="R11094" s="11"/>
      <c r="S11094" s="11"/>
      <c r="T11094" s="11"/>
    </row>
    <row r="11095" spans="8:20" x14ac:dyDescent="0.35">
      <c r="H11095" s="711"/>
      <c r="I11095" s="711"/>
      <c r="J11095" s="711"/>
      <c r="K11095" s="711"/>
      <c r="L11095" s="711"/>
      <c r="Q11095" s="11"/>
      <c r="R11095" s="11"/>
      <c r="S11095" s="11"/>
      <c r="T11095" s="11"/>
    </row>
    <row r="11096" spans="8:20" x14ac:dyDescent="0.35">
      <c r="H11096" s="711"/>
      <c r="I11096" s="711"/>
      <c r="J11096" s="711"/>
      <c r="K11096" s="711"/>
      <c r="L11096" s="711"/>
      <c r="Q11096" s="11"/>
      <c r="R11096" s="11"/>
      <c r="S11096" s="11"/>
      <c r="T11096" s="11"/>
    </row>
    <row r="11097" spans="8:20" x14ac:dyDescent="0.35">
      <c r="H11097" s="711"/>
      <c r="I11097" s="711"/>
      <c r="J11097" s="711"/>
      <c r="K11097" s="711"/>
      <c r="L11097" s="711"/>
      <c r="Q11097" s="11"/>
      <c r="R11097" s="11"/>
      <c r="S11097" s="11"/>
      <c r="T11097" s="11"/>
    </row>
    <row r="11098" spans="8:20" x14ac:dyDescent="0.35">
      <c r="H11098" s="711"/>
      <c r="I11098" s="711"/>
      <c r="J11098" s="711"/>
      <c r="K11098" s="711"/>
      <c r="L11098" s="711"/>
      <c r="Q11098" s="11"/>
      <c r="R11098" s="11"/>
      <c r="S11098" s="11"/>
      <c r="T11098" s="11"/>
    </row>
    <row r="11099" spans="8:20" x14ac:dyDescent="0.35">
      <c r="H11099" s="711"/>
      <c r="I11099" s="711"/>
      <c r="J11099" s="711"/>
      <c r="K11099" s="711"/>
      <c r="L11099" s="711"/>
      <c r="Q11099" s="11"/>
      <c r="R11099" s="11"/>
      <c r="S11099" s="11"/>
      <c r="T11099" s="11"/>
    </row>
    <row r="11100" spans="8:20" x14ac:dyDescent="0.35">
      <c r="H11100" s="711"/>
      <c r="I11100" s="711"/>
      <c r="J11100" s="711"/>
      <c r="K11100" s="711"/>
      <c r="L11100" s="711"/>
      <c r="Q11100" s="11"/>
      <c r="R11100" s="11"/>
      <c r="S11100" s="11"/>
      <c r="T11100" s="11"/>
    </row>
    <row r="11101" spans="8:20" x14ac:dyDescent="0.35">
      <c r="H11101" s="711"/>
      <c r="I11101" s="711"/>
      <c r="J11101" s="711"/>
      <c r="K11101" s="711"/>
      <c r="L11101" s="711"/>
      <c r="Q11101" s="11"/>
      <c r="R11101" s="11"/>
      <c r="S11101" s="11"/>
      <c r="T11101" s="11"/>
    </row>
    <row r="11102" spans="8:20" x14ac:dyDescent="0.35">
      <c r="H11102" s="711"/>
      <c r="I11102" s="711"/>
      <c r="J11102" s="711"/>
      <c r="K11102" s="711"/>
      <c r="L11102" s="711"/>
      <c r="Q11102" s="11"/>
      <c r="R11102" s="11"/>
      <c r="S11102" s="11"/>
      <c r="T11102" s="11"/>
    </row>
    <row r="11103" spans="8:20" x14ac:dyDescent="0.35">
      <c r="H11103" s="711"/>
      <c r="I11103" s="711"/>
      <c r="J11103" s="711"/>
      <c r="K11103" s="711"/>
      <c r="L11103" s="711"/>
      <c r="Q11103" s="11"/>
      <c r="R11103" s="11"/>
      <c r="S11103" s="11"/>
      <c r="T11103" s="11"/>
    </row>
    <row r="11104" spans="8:20" x14ac:dyDescent="0.35">
      <c r="H11104" s="711"/>
      <c r="I11104" s="711"/>
      <c r="J11104" s="711"/>
      <c r="K11104" s="711"/>
      <c r="L11104" s="711"/>
      <c r="Q11104" s="11"/>
      <c r="R11104" s="11"/>
      <c r="S11104" s="11"/>
      <c r="T11104" s="11"/>
    </row>
    <row r="11105" spans="8:20" x14ac:dyDescent="0.35">
      <c r="H11105" s="711"/>
      <c r="I11105" s="711"/>
      <c r="J11105" s="711"/>
      <c r="K11105" s="711"/>
      <c r="L11105" s="711"/>
      <c r="Q11105" s="11"/>
      <c r="R11105" s="11"/>
      <c r="S11105" s="11"/>
      <c r="T11105" s="11"/>
    </row>
    <row r="11106" spans="8:20" x14ac:dyDescent="0.35">
      <c r="H11106" s="711"/>
      <c r="I11106" s="711"/>
      <c r="J11106" s="711"/>
      <c r="K11106" s="711"/>
      <c r="L11106" s="711"/>
      <c r="Q11106" s="11"/>
      <c r="R11106" s="11"/>
      <c r="S11106" s="11"/>
      <c r="T11106" s="11"/>
    </row>
    <row r="11107" spans="8:20" x14ac:dyDescent="0.35">
      <c r="H11107" s="711"/>
      <c r="I11107" s="711"/>
      <c r="J11107" s="711"/>
      <c r="K11107" s="711"/>
      <c r="L11107" s="711"/>
      <c r="Q11107" s="11"/>
      <c r="R11107" s="11"/>
      <c r="S11107" s="11"/>
      <c r="T11107" s="11"/>
    </row>
    <row r="11108" spans="8:20" x14ac:dyDescent="0.35">
      <c r="H11108" s="711"/>
      <c r="I11108" s="711"/>
      <c r="J11108" s="711"/>
      <c r="K11108" s="711"/>
      <c r="L11108" s="711"/>
      <c r="Q11108" s="11"/>
      <c r="R11108" s="11"/>
      <c r="S11108" s="11"/>
      <c r="T11108" s="11"/>
    </row>
    <row r="11109" spans="8:20" x14ac:dyDescent="0.35">
      <c r="H11109" s="711"/>
      <c r="I11109" s="711"/>
      <c r="J11109" s="711"/>
      <c r="K11109" s="711"/>
      <c r="L11109" s="711"/>
      <c r="Q11109" s="11"/>
      <c r="R11109" s="11"/>
      <c r="S11109" s="11"/>
      <c r="T11109" s="11"/>
    </row>
    <row r="11110" spans="8:20" x14ac:dyDescent="0.35">
      <c r="H11110" s="711"/>
      <c r="I11110" s="711"/>
      <c r="J11110" s="711"/>
      <c r="K11110" s="711"/>
      <c r="L11110" s="711"/>
      <c r="Q11110" s="11"/>
      <c r="R11110" s="11"/>
      <c r="S11110" s="11"/>
      <c r="T11110" s="11"/>
    </row>
    <row r="11111" spans="8:20" x14ac:dyDescent="0.35">
      <c r="H11111" s="711"/>
      <c r="I11111" s="711"/>
      <c r="J11111" s="711"/>
      <c r="K11111" s="711"/>
      <c r="L11111" s="711"/>
      <c r="Q11111" s="11"/>
      <c r="R11111" s="11"/>
      <c r="S11111" s="11"/>
      <c r="T11111" s="11"/>
    </row>
    <row r="11112" spans="8:20" x14ac:dyDescent="0.35">
      <c r="H11112" s="711"/>
      <c r="I11112" s="711"/>
      <c r="J11112" s="711"/>
      <c r="K11112" s="711"/>
      <c r="L11112" s="711"/>
      <c r="Q11112" s="11"/>
      <c r="R11112" s="11"/>
      <c r="S11112" s="11"/>
      <c r="T11112" s="11"/>
    </row>
    <row r="11113" spans="8:20" x14ac:dyDescent="0.35">
      <c r="H11113" s="711"/>
      <c r="I11113" s="711"/>
      <c r="J11113" s="711"/>
      <c r="K11113" s="711"/>
      <c r="L11113" s="711"/>
      <c r="Q11113" s="11"/>
      <c r="R11113" s="11"/>
      <c r="S11113" s="11"/>
      <c r="T11113" s="11"/>
    </row>
    <row r="11114" spans="8:20" x14ac:dyDescent="0.35">
      <c r="H11114" s="711"/>
      <c r="I11114" s="711"/>
      <c r="J11114" s="711"/>
      <c r="K11114" s="711"/>
      <c r="L11114" s="711"/>
      <c r="Q11114" s="11"/>
      <c r="R11114" s="11"/>
      <c r="S11114" s="11"/>
      <c r="T11114" s="11"/>
    </row>
    <row r="11115" spans="8:20" x14ac:dyDescent="0.35">
      <c r="H11115" s="711"/>
      <c r="I11115" s="711"/>
      <c r="J11115" s="711"/>
      <c r="K11115" s="711"/>
      <c r="L11115" s="711"/>
      <c r="Q11115" s="11"/>
      <c r="R11115" s="11"/>
      <c r="S11115" s="11"/>
      <c r="T11115" s="11"/>
    </row>
    <row r="11116" spans="8:20" x14ac:dyDescent="0.35">
      <c r="H11116" s="711"/>
      <c r="I11116" s="711"/>
      <c r="J11116" s="711"/>
      <c r="K11116" s="711"/>
      <c r="L11116" s="711"/>
      <c r="Q11116" s="11"/>
      <c r="R11116" s="11"/>
      <c r="S11116" s="11"/>
      <c r="T11116" s="11"/>
    </row>
    <row r="11117" spans="8:20" x14ac:dyDescent="0.35">
      <c r="H11117" s="711"/>
      <c r="I11117" s="711"/>
      <c r="J11117" s="711"/>
      <c r="K11117" s="711"/>
      <c r="L11117" s="711"/>
      <c r="Q11117" s="11"/>
      <c r="R11117" s="11"/>
      <c r="S11117" s="11"/>
      <c r="T11117" s="11"/>
    </row>
    <row r="11118" spans="8:20" x14ac:dyDescent="0.35">
      <c r="H11118" s="711"/>
      <c r="I11118" s="711"/>
      <c r="J11118" s="711"/>
      <c r="K11118" s="711"/>
      <c r="L11118" s="711"/>
      <c r="Q11118" s="11"/>
      <c r="R11118" s="11"/>
      <c r="S11118" s="11"/>
      <c r="T11118" s="11"/>
    </row>
    <row r="11119" spans="8:20" x14ac:dyDescent="0.35">
      <c r="H11119" s="711"/>
      <c r="I11119" s="711"/>
      <c r="J11119" s="711"/>
      <c r="K11119" s="711"/>
      <c r="L11119" s="711"/>
      <c r="Q11119" s="11"/>
      <c r="R11119" s="11"/>
      <c r="S11119" s="11"/>
      <c r="T11119" s="11"/>
    </row>
    <row r="11120" spans="8:20" x14ac:dyDescent="0.35">
      <c r="H11120" s="711"/>
      <c r="I11120" s="711"/>
      <c r="J11120" s="711"/>
      <c r="K11120" s="711"/>
      <c r="L11120" s="711"/>
      <c r="Q11120" s="11"/>
      <c r="R11120" s="11"/>
      <c r="S11120" s="11"/>
      <c r="T11120" s="11"/>
    </row>
    <row r="11121" spans="8:20" x14ac:dyDescent="0.35">
      <c r="H11121" s="711"/>
      <c r="I11121" s="711"/>
      <c r="J11121" s="711"/>
      <c r="K11121" s="711"/>
      <c r="L11121" s="711"/>
      <c r="Q11121" s="11"/>
      <c r="R11121" s="11"/>
      <c r="S11121" s="11"/>
      <c r="T11121" s="11"/>
    </row>
    <row r="11122" spans="8:20" x14ac:dyDescent="0.35">
      <c r="H11122" s="711"/>
      <c r="I11122" s="711"/>
      <c r="J11122" s="711"/>
      <c r="K11122" s="711"/>
      <c r="L11122" s="711"/>
      <c r="Q11122" s="11"/>
      <c r="R11122" s="11"/>
      <c r="S11122" s="11"/>
      <c r="T11122" s="11"/>
    </row>
    <row r="11123" spans="8:20" x14ac:dyDescent="0.35">
      <c r="H11123" s="711"/>
      <c r="I11123" s="711"/>
      <c r="J11123" s="711"/>
      <c r="K11123" s="711"/>
      <c r="L11123" s="711"/>
      <c r="Q11123" s="11"/>
      <c r="R11123" s="11"/>
      <c r="S11123" s="11"/>
      <c r="T11123" s="11"/>
    </row>
    <row r="11124" spans="8:20" x14ac:dyDescent="0.35">
      <c r="H11124" s="711"/>
      <c r="I11124" s="711"/>
      <c r="J11124" s="711"/>
      <c r="K11124" s="711"/>
      <c r="L11124" s="711"/>
      <c r="Q11124" s="11"/>
      <c r="R11124" s="11"/>
      <c r="S11124" s="11"/>
      <c r="T11124" s="11"/>
    </row>
    <row r="11125" spans="8:20" x14ac:dyDescent="0.35">
      <c r="H11125" s="711"/>
      <c r="I11125" s="711"/>
      <c r="J11125" s="711"/>
      <c r="K11125" s="711"/>
      <c r="L11125" s="711"/>
      <c r="Q11125" s="11"/>
      <c r="R11125" s="11"/>
      <c r="S11125" s="11"/>
      <c r="T11125" s="11"/>
    </row>
    <row r="11126" spans="8:20" x14ac:dyDescent="0.35">
      <c r="H11126" s="711"/>
      <c r="I11126" s="711"/>
      <c r="J11126" s="711"/>
      <c r="K11126" s="711"/>
      <c r="L11126" s="711"/>
      <c r="Q11126" s="11"/>
      <c r="R11126" s="11"/>
      <c r="S11126" s="11"/>
      <c r="T11126" s="11"/>
    </row>
    <row r="11127" spans="8:20" x14ac:dyDescent="0.35">
      <c r="H11127" s="711"/>
      <c r="I11127" s="711"/>
      <c r="J11127" s="711"/>
      <c r="K11127" s="711"/>
      <c r="L11127" s="711"/>
      <c r="Q11127" s="11"/>
      <c r="R11127" s="11"/>
      <c r="S11127" s="11"/>
      <c r="T11127" s="11"/>
    </row>
    <row r="11128" spans="8:20" x14ac:dyDescent="0.35">
      <c r="H11128" s="711"/>
      <c r="I11128" s="711"/>
      <c r="J11128" s="711"/>
      <c r="K11128" s="711"/>
      <c r="L11128" s="711"/>
      <c r="Q11128" s="11"/>
      <c r="R11128" s="11"/>
      <c r="S11128" s="11"/>
      <c r="T11128" s="11"/>
    </row>
    <row r="11129" spans="8:20" x14ac:dyDescent="0.35">
      <c r="H11129" s="711"/>
      <c r="I11129" s="711"/>
      <c r="J11129" s="711"/>
      <c r="K11129" s="711"/>
      <c r="L11129" s="711"/>
      <c r="Q11129" s="11"/>
      <c r="R11129" s="11"/>
      <c r="S11129" s="11"/>
      <c r="T11129" s="11"/>
    </row>
    <row r="11130" spans="8:20" x14ac:dyDescent="0.35">
      <c r="H11130" s="711"/>
      <c r="I11130" s="711"/>
      <c r="J11130" s="711"/>
      <c r="K11130" s="711"/>
      <c r="L11130" s="711"/>
      <c r="Q11130" s="11"/>
      <c r="R11130" s="11"/>
      <c r="S11130" s="11"/>
      <c r="T11130" s="11"/>
    </row>
    <row r="11131" spans="8:20" x14ac:dyDescent="0.35">
      <c r="H11131" s="711"/>
      <c r="I11131" s="711"/>
      <c r="J11131" s="711"/>
      <c r="K11131" s="711"/>
      <c r="L11131" s="711"/>
      <c r="Q11131" s="11"/>
      <c r="R11131" s="11"/>
      <c r="S11131" s="11"/>
      <c r="T11131" s="11"/>
    </row>
    <row r="11132" spans="8:20" x14ac:dyDescent="0.35">
      <c r="H11132" s="711"/>
      <c r="I11132" s="711"/>
      <c r="J11132" s="711"/>
      <c r="K11132" s="711"/>
      <c r="L11132" s="711"/>
      <c r="Q11132" s="11"/>
      <c r="R11132" s="11"/>
      <c r="S11132" s="11"/>
      <c r="T11132" s="11"/>
    </row>
    <row r="11133" spans="8:20" x14ac:dyDescent="0.35">
      <c r="H11133" s="711"/>
      <c r="I11133" s="711"/>
      <c r="J11133" s="711"/>
      <c r="K11133" s="711"/>
      <c r="L11133" s="711"/>
      <c r="Q11133" s="11"/>
      <c r="R11133" s="11"/>
      <c r="S11133" s="11"/>
      <c r="T11133" s="11"/>
    </row>
    <row r="11134" spans="8:20" x14ac:dyDescent="0.35">
      <c r="H11134" s="711"/>
      <c r="I11134" s="711"/>
      <c r="J11134" s="711"/>
      <c r="K11134" s="711"/>
      <c r="L11134" s="711"/>
      <c r="Q11134" s="11"/>
      <c r="R11134" s="11"/>
      <c r="S11134" s="11"/>
      <c r="T11134" s="11"/>
    </row>
    <row r="11135" spans="8:20" x14ac:dyDescent="0.35">
      <c r="H11135" s="711"/>
      <c r="I11135" s="711"/>
      <c r="J11135" s="711"/>
      <c r="K11135" s="711"/>
      <c r="L11135" s="711"/>
      <c r="Q11135" s="11"/>
      <c r="R11135" s="11"/>
      <c r="S11135" s="11"/>
      <c r="T11135" s="11"/>
    </row>
    <row r="11136" spans="8:20" x14ac:dyDescent="0.35">
      <c r="H11136" s="711"/>
      <c r="I11136" s="711"/>
      <c r="J11136" s="711"/>
      <c r="K11136" s="711"/>
      <c r="L11136" s="711"/>
      <c r="Q11136" s="11"/>
      <c r="R11136" s="11"/>
      <c r="S11136" s="11"/>
      <c r="T11136" s="11"/>
    </row>
    <row r="11137" spans="8:20" x14ac:dyDescent="0.35">
      <c r="H11137" s="711"/>
      <c r="I11137" s="711"/>
      <c r="J11137" s="711"/>
      <c r="K11137" s="711"/>
      <c r="L11137" s="711"/>
      <c r="Q11137" s="11"/>
      <c r="R11137" s="11"/>
      <c r="S11137" s="11"/>
      <c r="T11137" s="11"/>
    </row>
    <row r="11138" spans="8:20" x14ac:dyDescent="0.35">
      <c r="H11138" s="711"/>
      <c r="I11138" s="711"/>
      <c r="J11138" s="711"/>
      <c r="K11138" s="711"/>
      <c r="L11138" s="711"/>
      <c r="Q11138" s="11"/>
      <c r="R11138" s="11"/>
      <c r="S11138" s="11"/>
      <c r="T11138" s="11"/>
    </row>
    <row r="11139" spans="8:20" x14ac:dyDescent="0.35">
      <c r="H11139" s="711"/>
      <c r="I11139" s="711"/>
      <c r="J11139" s="711"/>
      <c r="K11139" s="711"/>
      <c r="L11139" s="711"/>
      <c r="Q11139" s="11"/>
      <c r="R11139" s="11"/>
      <c r="S11139" s="11"/>
      <c r="T11139" s="11"/>
    </row>
    <row r="11140" spans="8:20" x14ac:dyDescent="0.35">
      <c r="H11140" s="711"/>
      <c r="I11140" s="711"/>
      <c r="J11140" s="711"/>
      <c r="K11140" s="711"/>
      <c r="L11140" s="711"/>
      <c r="Q11140" s="11"/>
      <c r="R11140" s="11"/>
      <c r="S11140" s="11"/>
      <c r="T11140" s="11"/>
    </row>
    <row r="11141" spans="8:20" x14ac:dyDescent="0.35">
      <c r="H11141" s="711"/>
      <c r="I11141" s="711"/>
      <c r="J11141" s="711"/>
      <c r="K11141" s="711"/>
      <c r="L11141" s="711"/>
      <c r="Q11141" s="11"/>
      <c r="R11141" s="11"/>
      <c r="S11141" s="11"/>
      <c r="T11141" s="11"/>
    </row>
    <row r="11142" spans="8:20" x14ac:dyDescent="0.35">
      <c r="H11142" s="711"/>
      <c r="I11142" s="711"/>
      <c r="J11142" s="711"/>
      <c r="K11142" s="711"/>
      <c r="L11142" s="711"/>
      <c r="Q11142" s="11"/>
      <c r="R11142" s="11"/>
      <c r="S11142" s="11"/>
      <c r="T11142" s="11"/>
    </row>
    <row r="11143" spans="8:20" x14ac:dyDescent="0.35">
      <c r="H11143" s="711"/>
      <c r="I11143" s="711"/>
      <c r="J11143" s="711"/>
      <c r="K11143" s="711"/>
      <c r="L11143" s="711"/>
      <c r="Q11143" s="11"/>
      <c r="R11143" s="11"/>
      <c r="S11143" s="11"/>
      <c r="T11143" s="11"/>
    </row>
    <row r="11144" spans="8:20" x14ac:dyDescent="0.35">
      <c r="H11144" s="711"/>
      <c r="I11144" s="711"/>
      <c r="J11144" s="711"/>
      <c r="K11144" s="711"/>
      <c r="L11144" s="711"/>
      <c r="Q11144" s="11"/>
      <c r="R11144" s="11"/>
      <c r="S11144" s="11"/>
      <c r="T11144" s="11"/>
    </row>
    <row r="11145" spans="8:20" x14ac:dyDescent="0.35">
      <c r="H11145" s="711"/>
      <c r="I11145" s="711"/>
      <c r="J11145" s="711"/>
      <c r="K11145" s="711"/>
      <c r="L11145" s="711"/>
      <c r="Q11145" s="11"/>
      <c r="R11145" s="11"/>
      <c r="S11145" s="11"/>
      <c r="T11145" s="11"/>
    </row>
    <row r="11146" spans="8:20" x14ac:dyDescent="0.35">
      <c r="H11146" s="711"/>
      <c r="I11146" s="711"/>
      <c r="J11146" s="711"/>
      <c r="K11146" s="711"/>
      <c r="L11146" s="711"/>
      <c r="Q11146" s="11"/>
      <c r="R11146" s="11"/>
      <c r="S11146" s="11"/>
      <c r="T11146" s="11"/>
    </row>
    <row r="11147" spans="8:20" x14ac:dyDescent="0.35">
      <c r="H11147" s="711"/>
      <c r="I11147" s="711"/>
      <c r="J11147" s="711"/>
      <c r="K11147" s="711"/>
      <c r="L11147" s="711"/>
      <c r="Q11147" s="11"/>
      <c r="R11147" s="11"/>
      <c r="S11147" s="11"/>
      <c r="T11147" s="11"/>
    </row>
    <row r="11148" spans="8:20" x14ac:dyDescent="0.35">
      <c r="H11148" s="711"/>
      <c r="I11148" s="711"/>
      <c r="J11148" s="711"/>
      <c r="K11148" s="711"/>
      <c r="L11148" s="711"/>
      <c r="Q11148" s="11"/>
      <c r="R11148" s="11"/>
      <c r="S11148" s="11"/>
      <c r="T11148" s="11"/>
    </row>
    <row r="11149" spans="8:20" x14ac:dyDescent="0.35">
      <c r="H11149" s="711"/>
      <c r="I11149" s="711"/>
      <c r="J11149" s="711"/>
      <c r="K11149" s="711"/>
      <c r="L11149" s="711"/>
      <c r="Q11149" s="11"/>
      <c r="R11149" s="11"/>
      <c r="S11149" s="11"/>
      <c r="T11149" s="11"/>
    </row>
    <row r="11150" spans="8:20" x14ac:dyDescent="0.35">
      <c r="H11150" s="711"/>
      <c r="I11150" s="711"/>
      <c r="J11150" s="711"/>
      <c r="K11150" s="711"/>
      <c r="L11150" s="711"/>
      <c r="Q11150" s="11"/>
      <c r="R11150" s="11"/>
      <c r="S11150" s="11"/>
      <c r="T11150" s="11"/>
    </row>
    <row r="11151" spans="8:20" x14ac:dyDescent="0.35">
      <c r="H11151" s="711"/>
      <c r="I11151" s="711"/>
      <c r="J11151" s="711"/>
      <c r="K11151" s="711"/>
      <c r="L11151" s="711"/>
      <c r="Q11151" s="11"/>
      <c r="R11151" s="11"/>
      <c r="S11151" s="11"/>
      <c r="T11151" s="11"/>
    </row>
    <row r="11152" spans="8:20" x14ac:dyDescent="0.35">
      <c r="H11152" s="711"/>
      <c r="I11152" s="711"/>
      <c r="J11152" s="711"/>
      <c r="K11152" s="711"/>
      <c r="L11152" s="711"/>
      <c r="Q11152" s="11"/>
      <c r="R11152" s="11"/>
      <c r="S11152" s="11"/>
      <c r="T11152" s="11"/>
    </row>
    <row r="11153" spans="8:20" x14ac:dyDescent="0.35">
      <c r="H11153" s="711"/>
      <c r="I11153" s="711"/>
      <c r="J11153" s="711"/>
      <c r="K11153" s="711"/>
      <c r="L11153" s="711"/>
      <c r="Q11153" s="11"/>
      <c r="R11153" s="11"/>
      <c r="S11153" s="11"/>
      <c r="T11153" s="11"/>
    </row>
    <row r="11154" spans="8:20" x14ac:dyDescent="0.35">
      <c r="H11154" s="711"/>
      <c r="I11154" s="711"/>
      <c r="J11154" s="711"/>
      <c r="K11154" s="711"/>
      <c r="L11154" s="711"/>
      <c r="Q11154" s="11"/>
      <c r="R11154" s="11"/>
      <c r="S11154" s="11"/>
      <c r="T11154" s="11"/>
    </row>
    <row r="11155" spans="8:20" x14ac:dyDescent="0.35">
      <c r="H11155" s="711"/>
      <c r="I11155" s="711"/>
      <c r="J11155" s="711"/>
      <c r="K11155" s="711"/>
      <c r="L11155" s="711"/>
      <c r="Q11155" s="11"/>
      <c r="R11155" s="11"/>
      <c r="S11155" s="11"/>
      <c r="T11155" s="11"/>
    </row>
    <row r="11156" spans="8:20" x14ac:dyDescent="0.35">
      <c r="H11156" s="711"/>
      <c r="I11156" s="711"/>
      <c r="J11156" s="711"/>
      <c r="K11156" s="711"/>
      <c r="L11156" s="711"/>
      <c r="Q11156" s="11"/>
      <c r="R11156" s="11"/>
      <c r="S11156" s="11"/>
      <c r="T11156" s="11"/>
    </row>
    <row r="11157" spans="8:20" x14ac:dyDescent="0.35">
      <c r="H11157" s="711"/>
      <c r="I11157" s="711"/>
      <c r="J11157" s="711"/>
      <c r="K11157" s="711"/>
      <c r="L11157" s="711"/>
      <c r="Q11157" s="11"/>
      <c r="R11157" s="11"/>
      <c r="S11157" s="11"/>
      <c r="T11157" s="11"/>
    </row>
    <row r="11158" spans="8:20" x14ac:dyDescent="0.35">
      <c r="H11158" s="711"/>
      <c r="I11158" s="711"/>
      <c r="J11158" s="711"/>
      <c r="K11158" s="711"/>
      <c r="L11158" s="711"/>
      <c r="Q11158" s="11"/>
      <c r="R11158" s="11"/>
      <c r="S11158" s="11"/>
      <c r="T11158" s="11"/>
    </row>
    <row r="11159" spans="8:20" x14ac:dyDescent="0.35">
      <c r="H11159" s="711"/>
      <c r="I11159" s="711"/>
      <c r="J11159" s="711"/>
      <c r="K11159" s="711"/>
      <c r="L11159" s="711"/>
      <c r="Q11159" s="11"/>
      <c r="R11159" s="11"/>
      <c r="S11159" s="11"/>
      <c r="T11159" s="11"/>
    </row>
    <row r="11160" spans="8:20" x14ac:dyDescent="0.35">
      <c r="H11160" s="711"/>
      <c r="I11160" s="711"/>
      <c r="J11160" s="711"/>
      <c r="K11160" s="711"/>
      <c r="L11160" s="711"/>
      <c r="Q11160" s="11"/>
      <c r="R11160" s="11"/>
      <c r="S11160" s="11"/>
      <c r="T11160" s="11"/>
    </row>
    <row r="11161" spans="8:20" x14ac:dyDescent="0.35">
      <c r="H11161" s="711"/>
      <c r="I11161" s="711"/>
      <c r="J11161" s="711"/>
      <c r="K11161" s="711"/>
      <c r="L11161" s="711"/>
      <c r="Q11161" s="11"/>
      <c r="R11161" s="11"/>
      <c r="S11161" s="11"/>
      <c r="T11161" s="11"/>
    </row>
    <row r="11162" spans="8:20" x14ac:dyDescent="0.35">
      <c r="H11162" s="711"/>
      <c r="I11162" s="711"/>
      <c r="J11162" s="711"/>
      <c r="K11162" s="711"/>
      <c r="L11162" s="711"/>
      <c r="Q11162" s="11"/>
      <c r="R11162" s="11"/>
      <c r="S11162" s="11"/>
      <c r="T11162" s="11"/>
    </row>
    <row r="11163" spans="8:20" x14ac:dyDescent="0.35">
      <c r="H11163" s="711"/>
      <c r="I11163" s="711"/>
      <c r="J11163" s="711"/>
      <c r="K11163" s="711"/>
      <c r="L11163" s="711"/>
      <c r="Q11163" s="11"/>
      <c r="R11163" s="11"/>
      <c r="S11163" s="11"/>
      <c r="T11163" s="11"/>
    </row>
    <row r="11164" spans="8:20" x14ac:dyDescent="0.35">
      <c r="H11164" s="711"/>
      <c r="I11164" s="711"/>
      <c r="J11164" s="711"/>
      <c r="K11164" s="711"/>
      <c r="L11164" s="711"/>
      <c r="Q11164" s="11"/>
      <c r="R11164" s="11"/>
      <c r="S11164" s="11"/>
      <c r="T11164" s="11"/>
    </row>
    <row r="11165" spans="8:20" x14ac:dyDescent="0.35">
      <c r="H11165" s="711"/>
      <c r="I11165" s="711"/>
      <c r="J11165" s="711"/>
      <c r="K11165" s="711"/>
      <c r="L11165" s="711"/>
      <c r="Q11165" s="11"/>
      <c r="R11165" s="11"/>
      <c r="S11165" s="11"/>
      <c r="T11165" s="11"/>
    </row>
    <row r="11166" spans="8:20" x14ac:dyDescent="0.35">
      <c r="H11166" s="711"/>
      <c r="I11166" s="711"/>
      <c r="J11166" s="711"/>
      <c r="K11166" s="711"/>
      <c r="L11166" s="711"/>
      <c r="Q11166" s="11"/>
      <c r="R11166" s="11"/>
      <c r="S11166" s="11"/>
      <c r="T11166" s="11"/>
    </row>
    <row r="11167" spans="8:20" x14ac:dyDescent="0.35">
      <c r="H11167" s="711"/>
      <c r="I11167" s="711"/>
      <c r="J11167" s="711"/>
      <c r="K11167" s="711"/>
      <c r="L11167" s="711"/>
      <c r="Q11167" s="11"/>
      <c r="R11167" s="11"/>
      <c r="S11167" s="11"/>
      <c r="T11167" s="11"/>
    </row>
    <row r="11168" spans="8:20" x14ac:dyDescent="0.35">
      <c r="H11168" s="711"/>
      <c r="I11168" s="711"/>
      <c r="J11168" s="711"/>
      <c r="K11168" s="711"/>
      <c r="L11168" s="711"/>
      <c r="Q11168" s="11"/>
      <c r="R11168" s="11"/>
      <c r="S11168" s="11"/>
      <c r="T11168" s="11"/>
    </row>
    <row r="11169" spans="8:20" x14ac:dyDescent="0.35">
      <c r="H11169" s="711"/>
      <c r="I11169" s="711"/>
      <c r="J11169" s="711"/>
      <c r="K11169" s="711"/>
      <c r="L11169" s="711"/>
      <c r="Q11169" s="11"/>
      <c r="R11169" s="11"/>
      <c r="S11169" s="11"/>
      <c r="T11169" s="11"/>
    </row>
    <row r="11170" spans="8:20" x14ac:dyDescent="0.35">
      <c r="H11170" s="711"/>
      <c r="I11170" s="711"/>
      <c r="J11170" s="711"/>
      <c r="K11170" s="711"/>
      <c r="L11170" s="711"/>
      <c r="Q11170" s="11"/>
      <c r="R11170" s="11"/>
      <c r="S11170" s="11"/>
      <c r="T11170" s="11"/>
    </row>
    <row r="11171" spans="8:20" x14ac:dyDescent="0.35">
      <c r="H11171" s="711"/>
      <c r="I11171" s="711"/>
      <c r="J11171" s="711"/>
      <c r="K11171" s="711"/>
      <c r="L11171" s="711"/>
      <c r="Q11171" s="11"/>
      <c r="R11171" s="11"/>
      <c r="S11171" s="11"/>
      <c r="T11171" s="11"/>
    </row>
    <row r="11172" spans="8:20" x14ac:dyDescent="0.35">
      <c r="H11172" s="711"/>
      <c r="I11172" s="711"/>
      <c r="J11172" s="711"/>
      <c r="K11172" s="711"/>
      <c r="L11172" s="711"/>
      <c r="Q11172" s="11"/>
      <c r="R11172" s="11"/>
      <c r="S11172" s="11"/>
      <c r="T11172" s="11"/>
    </row>
    <row r="11173" spans="8:20" x14ac:dyDescent="0.35">
      <c r="H11173" s="711"/>
      <c r="I11173" s="711"/>
      <c r="J11173" s="711"/>
      <c r="K11173" s="711"/>
      <c r="L11173" s="711"/>
      <c r="Q11173" s="11"/>
      <c r="R11173" s="11"/>
      <c r="S11173" s="11"/>
      <c r="T11173" s="11"/>
    </row>
    <row r="11174" spans="8:20" x14ac:dyDescent="0.35">
      <c r="H11174" s="711"/>
      <c r="I11174" s="711"/>
      <c r="J11174" s="711"/>
      <c r="K11174" s="711"/>
      <c r="L11174" s="711"/>
      <c r="Q11174" s="11"/>
      <c r="R11174" s="11"/>
      <c r="S11174" s="11"/>
      <c r="T11174" s="11"/>
    </row>
    <row r="11175" spans="8:20" x14ac:dyDescent="0.35">
      <c r="H11175" s="711"/>
      <c r="I11175" s="711"/>
      <c r="J11175" s="711"/>
      <c r="K11175" s="711"/>
      <c r="L11175" s="711"/>
      <c r="Q11175" s="11"/>
      <c r="R11175" s="11"/>
      <c r="S11175" s="11"/>
      <c r="T11175" s="11"/>
    </row>
    <row r="11176" spans="8:20" x14ac:dyDescent="0.35">
      <c r="H11176" s="711"/>
      <c r="I11176" s="711"/>
      <c r="J11176" s="711"/>
      <c r="K11176" s="711"/>
      <c r="L11176" s="711"/>
      <c r="Q11176" s="11"/>
      <c r="R11176" s="11"/>
      <c r="S11176" s="11"/>
      <c r="T11176" s="11"/>
    </row>
    <row r="11177" spans="8:20" x14ac:dyDescent="0.35">
      <c r="H11177" s="711"/>
      <c r="I11177" s="711"/>
      <c r="J11177" s="711"/>
      <c r="K11177" s="711"/>
      <c r="L11177" s="711"/>
      <c r="Q11177" s="11"/>
      <c r="R11177" s="11"/>
      <c r="S11177" s="11"/>
      <c r="T11177" s="11"/>
    </row>
    <row r="11178" spans="8:20" x14ac:dyDescent="0.35">
      <c r="H11178" s="711"/>
      <c r="I11178" s="711"/>
      <c r="J11178" s="711"/>
      <c r="K11178" s="711"/>
      <c r="L11178" s="711"/>
      <c r="Q11178" s="11"/>
      <c r="R11178" s="11"/>
      <c r="S11178" s="11"/>
      <c r="T11178" s="11"/>
    </row>
    <row r="11179" spans="8:20" x14ac:dyDescent="0.35">
      <c r="H11179" s="711"/>
      <c r="I11179" s="711"/>
      <c r="J11179" s="711"/>
      <c r="K11179" s="711"/>
      <c r="L11179" s="711"/>
      <c r="Q11179" s="11"/>
      <c r="R11179" s="11"/>
      <c r="S11179" s="11"/>
      <c r="T11179" s="11"/>
    </row>
    <row r="11180" spans="8:20" x14ac:dyDescent="0.35">
      <c r="H11180" s="711"/>
      <c r="I11180" s="711"/>
      <c r="J11180" s="711"/>
      <c r="K11180" s="711"/>
      <c r="L11180" s="711"/>
      <c r="Q11180" s="11"/>
      <c r="R11180" s="11"/>
      <c r="S11180" s="11"/>
      <c r="T11180" s="11"/>
    </row>
    <row r="11181" spans="8:20" x14ac:dyDescent="0.35">
      <c r="H11181" s="711"/>
      <c r="I11181" s="711"/>
      <c r="J11181" s="711"/>
      <c r="K11181" s="711"/>
      <c r="L11181" s="711"/>
      <c r="Q11181" s="11"/>
      <c r="R11181" s="11"/>
      <c r="S11181" s="11"/>
      <c r="T11181" s="11"/>
    </row>
    <row r="11182" spans="8:20" x14ac:dyDescent="0.35">
      <c r="H11182" s="711"/>
      <c r="I11182" s="711"/>
      <c r="J11182" s="711"/>
      <c r="K11182" s="711"/>
      <c r="L11182" s="711"/>
      <c r="Q11182" s="11"/>
      <c r="R11182" s="11"/>
      <c r="S11182" s="11"/>
      <c r="T11182" s="11"/>
    </row>
    <row r="11183" spans="8:20" x14ac:dyDescent="0.35">
      <c r="H11183" s="711"/>
      <c r="I11183" s="711"/>
      <c r="J11183" s="711"/>
      <c r="K11183" s="711"/>
      <c r="L11183" s="711"/>
      <c r="Q11183" s="11"/>
      <c r="R11183" s="11"/>
      <c r="S11183" s="11"/>
      <c r="T11183" s="11"/>
    </row>
    <row r="11184" spans="8:20" x14ac:dyDescent="0.35">
      <c r="H11184" s="711"/>
      <c r="I11184" s="711"/>
      <c r="J11184" s="711"/>
      <c r="K11184" s="711"/>
      <c r="L11184" s="711"/>
      <c r="Q11184" s="11"/>
      <c r="R11184" s="11"/>
      <c r="S11184" s="11"/>
      <c r="T11184" s="11"/>
    </row>
    <row r="11185" spans="8:20" x14ac:dyDescent="0.35">
      <c r="H11185" s="711"/>
      <c r="I11185" s="711"/>
      <c r="J11185" s="711"/>
      <c r="K11185" s="711"/>
      <c r="L11185" s="711"/>
      <c r="Q11185" s="11"/>
      <c r="R11185" s="11"/>
      <c r="S11185" s="11"/>
      <c r="T11185" s="11"/>
    </row>
    <row r="11186" spans="8:20" x14ac:dyDescent="0.35">
      <c r="H11186" s="711"/>
      <c r="I11186" s="711"/>
      <c r="J11186" s="711"/>
      <c r="K11186" s="711"/>
      <c r="L11186" s="711"/>
      <c r="Q11186" s="11"/>
      <c r="R11186" s="11"/>
      <c r="S11186" s="11"/>
      <c r="T11186" s="11"/>
    </row>
    <row r="11187" spans="8:20" x14ac:dyDescent="0.35">
      <c r="H11187" s="711"/>
      <c r="I11187" s="711"/>
      <c r="J11187" s="711"/>
      <c r="K11187" s="711"/>
      <c r="L11187" s="711"/>
      <c r="Q11187" s="11"/>
      <c r="R11187" s="11"/>
      <c r="S11187" s="11"/>
      <c r="T11187" s="11"/>
    </row>
    <row r="11188" spans="8:20" x14ac:dyDescent="0.35">
      <c r="H11188" s="711"/>
      <c r="I11188" s="711"/>
      <c r="J11188" s="711"/>
      <c r="K11188" s="711"/>
      <c r="L11188" s="711"/>
      <c r="Q11188" s="11"/>
      <c r="R11188" s="11"/>
      <c r="S11188" s="11"/>
      <c r="T11188" s="11"/>
    </row>
    <row r="11189" spans="8:20" x14ac:dyDescent="0.35">
      <c r="H11189" s="711"/>
      <c r="I11189" s="711"/>
      <c r="J11189" s="711"/>
      <c r="K11189" s="711"/>
      <c r="L11189" s="711"/>
      <c r="Q11189" s="11"/>
      <c r="R11189" s="11"/>
      <c r="S11189" s="11"/>
      <c r="T11189" s="11"/>
    </row>
    <row r="11190" spans="8:20" x14ac:dyDescent="0.35">
      <c r="H11190" s="711"/>
      <c r="I11190" s="711"/>
      <c r="J11190" s="711"/>
      <c r="K11190" s="711"/>
      <c r="L11190" s="711"/>
      <c r="Q11190" s="11"/>
      <c r="R11190" s="11"/>
      <c r="S11190" s="11"/>
      <c r="T11190" s="11"/>
    </row>
    <row r="11191" spans="8:20" x14ac:dyDescent="0.35">
      <c r="H11191" s="711"/>
      <c r="I11191" s="711"/>
      <c r="J11191" s="711"/>
      <c r="K11191" s="711"/>
      <c r="L11191" s="711"/>
      <c r="Q11191" s="11"/>
      <c r="R11191" s="11"/>
      <c r="S11191" s="11"/>
      <c r="T11191" s="11"/>
    </row>
    <row r="11192" spans="8:20" x14ac:dyDescent="0.35">
      <c r="H11192" s="711"/>
      <c r="I11192" s="711"/>
      <c r="J11192" s="711"/>
      <c r="K11192" s="711"/>
      <c r="L11192" s="711"/>
      <c r="Q11192" s="11"/>
      <c r="R11192" s="11"/>
      <c r="S11192" s="11"/>
      <c r="T11192" s="11"/>
    </row>
    <row r="11193" spans="8:20" x14ac:dyDescent="0.35">
      <c r="H11193" s="711"/>
      <c r="I11193" s="711"/>
      <c r="J11193" s="711"/>
      <c r="K11193" s="711"/>
      <c r="L11193" s="711"/>
      <c r="Q11193" s="11"/>
      <c r="R11193" s="11"/>
      <c r="S11193" s="11"/>
      <c r="T11193" s="11"/>
    </row>
    <row r="11194" spans="8:20" x14ac:dyDescent="0.35">
      <c r="H11194" s="711"/>
      <c r="I11194" s="711"/>
      <c r="J11194" s="711"/>
      <c r="K11194" s="711"/>
      <c r="L11194" s="711"/>
      <c r="Q11194" s="11"/>
      <c r="R11194" s="11"/>
      <c r="S11194" s="11"/>
      <c r="T11194" s="11"/>
    </row>
    <row r="11195" spans="8:20" x14ac:dyDescent="0.35">
      <c r="H11195" s="711"/>
      <c r="I11195" s="711"/>
      <c r="J11195" s="711"/>
      <c r="K11195" s="711"/>
      <c r="L11195" s="711"/>
      <c r="Q11195" s="11"/>
      <c r="R11195" s="11"/>
      <c r="S11195" s="11"/>
      <c r="T11195" s="11"/>
    </row>
    <row r="11196" spans="8:20" x14ac:dyDescent="0.35">
      <c r="H11196" s="711"/>
      <c r="I11196" s="711"/>
      <c r="J11196" s="711"/>
      <c r="K11196" s="711"/>
      <c r="L11196" s="711"/>
      <c r="Q11196" s="11"/>
      <c r="R11196" s="11"/>
      <c r="S11196" s="11"/>
      <c r="T11196" s="11"/>
    </row>
    <row r="11197" spans="8:20" x14ac:dyDescent="0.35">
      <c r="H11197" s="711"/>
      <c r="I11197" s="711"/>
      <c r="J11197" s="711"/>
      <c r="K11197" s="711"/>
      <c r="L11197" s="711"/>
      <c r="Q11197" s="11"/>
      <c r="R11197" s="11"/>
      <c r="S11197" s="11"/>
      <c r="T11197" s="11"/>
    </row>
    <row r="11198" spans="8:20" x14ac:dyDescent="0.35">
      <c r="H11198" s="711"/>
      <c r="I11198" s="711"/>
      <c r="J11198" s="711"/>
      <c r="K11198" s="711"/>
      <c r="L11198" s="711"/>
      <c r="Q11198" s="11"/>
      <c r="R11198" s="11"/>
      <c r="S11198" s="11"/>
      <c r="T11198" s="11"/>
    </row>
    <row r="11199" spans="8:20" x14ac:dyDescent="0.35">
      <c r="H11199" s="711"/>
      <c r="I11199" s="711"/>
      <c r="J11199" s="711"/>
      <c r="K11199" s="711"/>
      <c r="L11199" s="711"/>
      <c r="Q11199" s="11"/>
      <c r="R11199" s="11"/>
      <c r="S11199" s="11"/>
      <c r="T11199" s="11"/>
    </row>
    <row r="11200" spans="8:20" x14ac:dyDescent="0.35">
      <c r="H11200" s="711"/>
      <c r="I11200" s="711"/>
      <c r="J11200" s="711"/>
      <c r="K11200" s="711"/>
      <c r="L11200" s="711"/>
      <c r="Q11200" s="11"/>
      <c r="R11200" s="11"/>
      <c r="S11200" s="11"/>
      <c r="T11200" s="11"/>
    </row>
    <row r="11201" spans="8:20" x14ac:dyDescent="0.35">
      <c r="H11201" s="711"/>
      <c r="I11201" s="711"/>
      <c r="J11201" s="711"/>
      <c r="K11201" s="711"/>
      <c r="L11201" s="711"/>
      <c r="Q11201" s="11"/>
      <c r="R11201" s="11"/>
      <c r="S11201" s="11"/>
      <c r="T11201" s="11"/>
    </row>
    <row r="11202" spans="8:20" x14ac:dyDescent="0.35">
      <c r="H11202" s="711"/>
      <c r="I11202" s="711"/>
      <c r="J11202" s="711"/>
      <c r="K11202" s="711"/>
      <c r="L11202" s="711"/>
      <c r="Q11202" s="11"/>
      <c r="R11202" s="11"/>
      <c r="S11202" s="11"/>
      <c r="T11202" s="11"/>
    </row>
    <row r="11203" spans="8:20" x14ac:dyDescent="0.35">
      <c r="H11203" s="711"/>
      <c r="I11203" s="711"/>
      <c r="J11203" s="711"/>
      <c r="K11203" s="711"/>
      <c r="L11203" s="711"/>
      <c r="Q11203" s="11"/>
      <c r="R11203" s="11"/>
      <c r="S11203" s="11"/>
      <c r="T11203" s="11"/>
    </row>
    <row r="11204" spans="8:20" x14ac:dyDescent="0.35">
      <c r="H11204" s="711"/>
      <c r="I11204" s="711"/>
      <c r="J11204" s="711"/>
      <c r="K11204" s="711"/>
      <c r="L11204" s="711"/>
      <c r="Q11204" s="11"/>
      <c r="R11204" s="11"/>
      <c r="S11204" s="11"/>
      <c r="T11204" s="11"/>
    </row>
    <row r="11205" spans="8:20" x14ac:dyDescent="0.35">
      <c r="H11205" s="711"/>
      <c r="I11205" s="711"/>
      <c r="J11205" s="711"/>
      <c r="K11205" s="711"/>
      <c r="L11205" s="711"/>
      <c r="Q11205" s="11"/>
      <c r="R11205" s="11"/>
      <c r="S11205" s="11"/>
      <c r="T11205" s="11"/>
    </row>
    <row r="11206" spans="8:20" x14ac:dyDescent="0.35">
      <c r="H11206" s="711"/>
      <c r="I11206" s="711"/>
      <c r="J11206" s="711"/>
      <c r="K11206" s="711"/>
      <c r="L11206" s="711"/>
      <c r="Q11206" s="11"/>
      <c r="R11206" s="11"/>
      <c r="S11206" s="11"/>
      <c r="T11206" s="11"/>
    </row>
    <row r="11207" spans="8:20" x14ac:dyDescent="0.35">
      <c r="H11207" s="711"/>
      <c r="I11207" s="711"/>
      <c r="J11207" s="711"/>
      <c r="K11207" s="711"/>
      <c r="L11207" s="711"/>
      <c r="Q11207" s="11"/>
      <c r="R11207" s="11"/>
      <c r="S11207" s="11"/>
      <c r="T11207" s="11"/>
    </row>
    <row r="11208" spans="8:20" x14ac:dyDescent="0.35">
      <c r="H11208" s="711"/>
      <c r="I11208" s="711"/>
      <c r="J11208" s="711"/>
      <c r="K11208" s="711"/>
      <c r="L11208" s="711"/>
      <c r="Q11208" s="11"/>
      <c r="R11208" s="11"/>
      <c r="S11208" s="11"/>
      <c r="T11208" s="11"/>
    </row>
    <row r="11209" spans="8:20" x14ac:dyDescent="0.35">
      <c r="H11209" s="711"/>
      <c r="I11209" s="711"/>
      <c r="J11209" s="711"/>
      <c r="K11209" s="711"/>
      <c r="L11209" s="711"/>
      <c r="Q11209" s="11"/>
      <c r="R11209" s="11"/>
      <c r="S11209" s="11"/>
      <c r="T11209" s="11"/>
    </row>
    <row r="11210" spans="8:20" x14ac:dyDescent="0.35">
      <c r="H11210" s="711"/>
      <c r="I11210" s="711"/>
      <c r="J11210" s="711"/>
      <c r="K11210" s="711"/>
      <c r="L11210" s="711"/>
      <c r="Q11210" s="11"/>
      <c r="R11210" s="11"/>
      <c r="S11210" s="11"/>
      <c r="T11210" s="11"/>
    </row>
    <row r="11211" spans="8:20" x14ac:dyDescent="0.35">
      <c r="H11211" s="711"/>
      <c r="I11211" s="711"/>
      <c r="J11211" s="711"/>
      <c r="K11211" s="711"/>
      <c r="L11211" s="711"/>
      <c r="Q11211" s="11"/>
      <c r="R11211" s="11"/>
      <c r="S11211" s="11"/>
      <c r="T11211" s="11"/>
    </row>
    <row r="11212" spans="8:20" x14ac:dyDescent="0.35">
      <c r="H11212" s="711"/>
      <c r="I11212" s="711"/>
      <c r="J11212" s="711"/>
      <c r="K11212" s="711"/>
      <c r="L11212" s="711"/>
      <c r="Q11212" s="11"/>
      <c r="R11212" s="11"/>
      <c r="S11212" s="11"/>
      <c r="T11212" s="11"/>
    </row>
    <row r="11213" spans="8:20" x14ac:dyDescent="0.35">
      <c r="H11213" s="711"/>
      <c r="I11213" s="711"/>
      <c r="J11213" s="711"/>
      <c r="K11213" s="711"/>
      <c r="L11213" s="711"/>
      <c r="Q11213" s="11"/>
      <c r="R11213" s="11"/>
      <c r="S11213" s="11"/>
      <c r="T11213" s="11"/>
    </row>
    <row r="11214" spans="8:20" x14ac:dyDescent="0.35">
      <c r="H11214" s="711"/>
      <c r="I11214" s="711"/>
      <c r="J11214" s="711"/>
      <c r="K11214" s="711"/>
      <c r="L11214" s="711"/>
      <c r="Q11214" s="11"/>
      <c r="R11214" s="11"/>
      <c r="S11214" s="11"/>
      <c r="T11214" s="11"/>
    </row>
    <row r="11215" spans="8:20" x14ac:dyDescent="0.35">
      <c r="H11215" s="711"/>
      <c r="I11215" s="711"/>
      <c r="J11215" s="711"/>
      <c r="K11215" s="711"/>
      <c r="L11215" s="711"/>
      <c r="Q11215" s="11"/>
      <c r="R11215" s="11"/>
      <c r="S11215" s="11"/>
      <c r="T11215" s="11"/>
    </row>
    <row r="11216" spans="8:20" x14ac:dyDescent="0.35">
      <c r="H11216" s="711"/>
      <c r="I11216" s="711"/>
      <c r="J11216" s="711"/>
      <c r="K11216" s="711"/>
      <c r="L11216" s="711"/>
      <c r="Q11216" s="11"/>
      <c r="R11216" s="11"/>
      <c r="S11216" s="11"/>
      <c r="T11216" s="11"/>
    </row>
    <row r="11217" spans="8:20" x14ac:dyDescent="0.35">
      <c r="H11217" s="711"/>
      <c r="I11217" s="711"/>
      <c r="J11217" s="711"/>
      <c r="K11217" s="711"/>
      <c r="L11217" s="711"/>
      <c r="Q11217" s="11"/>
      <c r="R11217" s="11"/>
      <c r="S11217" s="11"/>
      <c r="T11217" s="11"/>
    </row>
    <row r="11218" spans="8:20" x14ac:dyDescent="0.35">
      <c r="H11218" s="711"/>
      <c r="I11218" s="711"/>
      <c r="J11218" s="711"/>
      <c r="K11218" s="711"/>
      <c r="L11218" s="711"/>
      <c r="Q11218" s="11"/>
      <c r="R11218" s="11"/>
      <c r="S11218" s="11"/>
      <c r="T11218" s="11"/>
    </row>
    <row r="11219" spans="8:20" x14ac:dyDescent="0.35">
      <c r="H11219" s="711"/>
      <c r="I11219" s="711"/>
      <c r="J11219" s="711"/>
      <c r="K11219" s="711"/>
      <c r="L11219" s="711"/>
      <c r="Q11219" s="11"/>
      <c r="R11219" s="11"/>
      <c r="S11219" s="11"/>
      <c r="T11219" s="11"/>
    </row>
    <row r="11220" spans="8:20" x14ac:dyDescent="0.35">
      <c r="H11220" s="711"/>
      <c r="I11220" s="711"/>
      <c r="J11220" s="711"/>
      <c r="K11220" s="711"/>
      <c r="L11220" s="711"/>
      <c r="Q11220" s="11"/>
      <c r="R11220" s="11"/>
      <c r="S11220" s="11"/>
      <c r="T11220" s="11"/>
    </row>
    <row r="11221" spans="8:20" x14ac:dyDescent="0.35">
      <c r="H11221" s="711"/>
      <c r="I11221" s="711"/>
      <c r="J11221" s="711"/>
      <c r="K11221" s="711"/>
      <c r="L11221" s="711"/>
      <c r="Q11221" s="11"/>
      <c r="R11221" s="11"/>
      <c r="S11221" s="11"/>
      <c r="T11221" s="11"/>
    </row>
    <row r="11222" spans="8:20" x14ac:dyDescent="0.35">
      <c r="H11222" s="711"/>
      <c r="I11222" s="711"/>
      <c r="J11222" s="711"/>
      <c r="K11222" s="711"/>
      <c r="L11222" s="711"/>
      <c r="Q11222" s="11"/>
      <c r="R11222" s="11"/>
      <c r="S11222" s="11"/>
      <c r="T11222" s="11"/>
    </row>
    <row r="11223" spans="8:20" x14ac:dyDescent="0.35">
      <c r="H11223" s="711"/>
      <c r="I11223" s="711"/>
      <c r="J11223" s="711"/>
      <c r="K11223" s="711"/>
      <c r="L11223" s="711"/>
      <c r="Q11223" s="11"/>
      <c r="R11223" s="11"/>
      <c r="S11223" s="11"/>
      <c r="T11223" s="11"/>
    </row>
    <row r="11224" spans="8:20" x14ac:dyDescent="0.35">
      <c r="H11224" s="711"/>
      <c r="I11224" s="711"/>
      <c r="J11224" s="711"/>
      <c r="K11224" s="711"/>
      <c r="L11224" s="711"/>
      <c r="Q11224" s="11"/>
      <c r="R11224" s="11"/>
      <c r="S11224" s="11"/>
      <c r="T11224" s="11"/>
    </row>
    <row r="11225" spans="8:20" x14ac:dyDescent="0.35">
      <c r="H11225" s="711"/>
      <c r="I11225" s="711"/>
      <c r="J11225" s="711"/>
      <c r="K11225" s="711"/>
      <c r="L11225" s="711"/>
      <c r="Q11225" s="11"/>
      <c r="R11225" s="11"/>
      <c r="S11225" s="11"/>
      <c r="T11225" s="11"/>
    </row>
    <row r="11226" spans="8:20" x14ac:dyDescent="0.35">
      <c r="H11226" s="711"/>
      <c r="I11226" s="711"/>
      <c r="J11226" s="711"/>
      <c r="K11226" s="711"/>
      <c r="L11226" s="711"/>
      <c r="Q11226" s="11"/>
      <c r="R11226" s="11"/>
      <c r="S11226" s="11"/>
      <c r="T11226" s="11"/>
    </row>
    <row r="11227" spans="8:20" x14ac:dyDescent="0.35">
      <c r="H11227" s="711"/>
      <c r="I11227" s="711"/>
      <c r="J11227" s="711"/>
      <c r="K11227" s="711"/>
      <c r="L11227" s="711"/>
      <c r="Q11227" s="11"/>
      <c r="R11227" s="11"/>
      <c r="S11227" s="11"/>
      <c r="T11227" s="11"/>
    </row>
    <row r="11228" spans="8:20" x14ac:dyDescent="0.35">
      <c r="H11228" s="711"/>
      <c r="I11228" s="711"/>
      <c r="J11228" s="711"/>
      <c r="K11228" s="711"/>
      <c r="L11228" s="711"/>
      <c r="Q11228" s="11"/>
      <c r="R11228" s="11"/>
      <c r="S11228" s="11"/>
      <c r="T11228" s="11"/>
    </row>
    <row r="11229" spans="8:20" x14ac:dyDescent="0.35">
      <c r="H11229" s="711"/>
      <c r="I11229" s="711"/>
      <c r="J11229" s="711"/>
      <c r="K11229" s="711"/>
      <c r="L11229" s="711"/>
      <c r="Q11229" s="11"/>
      <c r="R11229" s="11"/>
      <c r="S11229" s="11"/>
      <c r="T11229" s="11"/>
    </row>
    <row r="11230" spans="8:20" x14ac:dyDescent="0.35">
      <c r="H11230" s="711"/>
      <c r="I11230" s="711"/>
      <c r="J11230" s="711"/>
      <c r="K11230" s="711"/>
      <c r="L11230" s="711"/>
      <c r="Q11230" s="11"/>
      <c r="R11230" s="11"/>
      <c r="S11230" s="11"/>
      <c r="T11230" s="11"/>
    </row>
    <row r="11231" spans="8:20" x14ac:dyDescent="0.35">
      <c r="H11231" s="711"/>
      <c r="I11231" s="711"/>
      <c r="J11231" s="711"/>
      <c r="K11231" s="711"/>
      <c r="L11231" s="711"/>
      <c r="Q11231" s="11"/>
      <c r="R11231" s="11"/>
      <c r="S11231" s="11"/>
      <c r="T11231" s="11"/>
    </row>
    <row r="11232" spans="8:20" x14ac:dyDescent="0.35">
      <c r="H11232" s="711"/>
      <c r="I11232" s="711"/>
      <c r="J11232" s="711"/>
      <c r="K11232" s="711"/>
      <c r="L11232" s="711"/>
      <c r="Q11232" s="11"/>
      <c r="R11232" s="11"/>
      <c r="S11232" s="11"/>
      <c r="T11232" s="11"/>
    </row>
    <row r="11233" spans="8:20" x14ac:dyDescent="0.35">
      <c r="H11233" s="711"/>
      <c r="I11233" s="711"/>
      <c r="J11233" s="711"/>
      <c r="K11233" s="711"/>
      <c r="L11233" s="711"/>
      <c r="Q11233" s="11"/>
      <c r="R11233" s="11"/>
      <c r="S11233" s="11"/>
      <c r="T11233" s="11"/>
    </row>
    <row r="11234" spans="8:20" x14ac:dyDescent="0.35">
      <c r="H11234" s="711"/>
      <c r="I11234" s="711"/>
      <c r="J11234" s="711"/>
      <c r="K11234" s="711"/>
      <c r="L11234" s="711"/>
      <c r="Q11234" s="11"/>
      <c r="R11234" s="11"/>
      <c r="S11234" s="11"/>
      <c r="T11234" s="11"/>
    </row>
    <row r="11235" spans="8:20" x14ac:dyDescent="0.35">
      <c r="H11235" s="711"/>
      <c r="I11235" s="711"/>
      <c r="J11235" s="711"/>
      <c r="K11235" s="711"/>
      <c r="L11235" s="711"/>
      <c r="Q11235" s="11"/>
      <c r="R11235" s="11"/>
      <c r="S11235" s="11"/>
      <c r="T11235" s="11"/>
    </row>
    <row r="11236" spans="8:20" x14ac:dyDescent="0.35">
      <c r="H11236" s="711"/>
      <c r="I11236" s="711"/>
      <c r="J11236" s="711"/>
      <c r="K11236" s="711"/>
      <c r="L11236" s="711"/>
      <c r="Q11236" s="11"/>
      <c r="R11236" s="11"/>
      <c r="S11236" s="11"/>
      <c r="T11236" s="11"/>
    </row>
    <row r="11237" spans="8:20" x14ac:dyDescent="0.35">
      <c r="H11237" s="711"/>
      <c r="I11237" s="711"/>
      <c r="J11237" s="711"/>
      <c r="K11237" s="711"/>
      <c r="L11237" s="711"/>
      <c r="Q11237" s="11"/>
      <c r="R11237" s="11"/>
      <c r="S11237" s="11"/>
      <c r="T11237" s="11"/>
    </row>
    <row r="11238" spans="8:20" x14ac:dyDescent="0.35">
      <c r="H11238" s="711"/>
      <c r="I11238" s="711"/>
      <c r="J11238" s="711"/>
      <c r="K11238" s="711"/>
      <c r="L11238" s="711"/>
      <c r="Q11238" s="11"/>
      <c r="R11238" s="11"/>
      <c r="S11238" s="11"/>
      <c r="T11238" s="11"/>
    </row>
    <row r="11239" spans="8:20" x14ac:dyDescent="0.35">
      <c r="H11239" s="711"/>
      <c r="I11239" s="711"/>
      <c r="J11239" s="711"/>
      <c r="K11239" s="711"/>
      <c r="L11239" s="711"/>
      <c r="Q11239" s="11"/>
      <c r="R11239" s="11"/>
      <c r="S11239" s="11"/>
      <c r="T11239" s="11"/>
    </row>
    <row r="11240" spans="8:20" x14ac:dyDescent="0.35">
      <c r="H11240" s="711"/>
      <c r="I11240" s="711"/>
      <c r="J11240" s="711"/>
      <c r="K11240" s="711"/>
      <c r="L11240" s="711"/>
      <c r="Q11240" s="11"/>
      <c r="R11240" s="11"/>
      <c r="S11240" s="11"/>
      <c r="T11240" s="11"/>
    </row>
    <row r="11241" spans="8:20" x14ac:dyDescent="0.35">
      <c r="H11241" s="711"/>
      <c r="I11241" s="711"/>
      <c r="J11241" s="711"/>
      <c r="K11241" s="711"/>
      <c r="L11241" s="711"/>
      <c r="Q11241" s="11"/>
      <c r="R11241" s="11"/>
      <c r="S11241" s="11"/>
      <c r="T11241" s="11"/>
    </row>
    <row r="11242" spans="8:20" x14ac:dyDescent="0.35">
      <c r="H11242" s="711"/>
      <c r="I11242" s="711"/>
      <c r="J11242" s="711"/>
      <c r="K11242" s="711"/>
      <c r="L11242" s="711"/>
      <c r="Q11242" s="11"/>
      <c r="R11242" s="11"/>
      <c r="S11242" s="11"/>
      <c r="T11242" s="11"/>
    </row>
    <row r="11243" spans="8:20" x14ac:dyDescent="0.35">
      <c r="H11243" s="711"/>
      <c r="I11243" s="711"/>
      <c r="J11243" s="711"/>
      <c r="K11243" s="711"/>
      <c r="L11243" s="711"/>
      <c r="Q11243" s="11"/>
      <c r="R11243" s="11"/>
      <c r="S11243" s="11"/>
      <c r="T11243" s="11"/>
    </row>
    <row r="11244" spans="8:20" x14ac:dyDescent="0.35">
      <c r="H11244" s="711"/>
      <c r="I11244" s="711"/>
      <c r="J11244" s="711"/>
      <c r="K11244" s="711"/>
      <c r="L11244" s="711"/>
      <c r="Q11244" s="11"/>
      <c r="R11244" s="11"/>
      <c r="S11244" s="11"/>
      <c r="T11244" s="11"/>
    </row>
    <row r="11245" spans="8:20" x14ac:dyDescent="0.35">
      <c r="H11245" s="711"/>
      <c r="I11245" s="711"/>
      <c r="J11245" s="711"/>
      <c r="K11245" s="711"/>
      <c r="L11245" s="711"/>
      <c r="Q11245" s="11"/>
      <c r="R11245" s="11"/>
      <c r="S11245" s="11"/>
      <c r="T11245" s="11"/>
    </row>
    <row r="11246" spans="8:20" x14ac:dyDescent="0.35">
      <c r="H11246" s="711"/>
      <c r="I11246" s="711"/>
      <c r="J11246" s="711"/>
      <c r="K11246" s="711"/>
      <c r="L11246" s="711"/>
      <c r="Q11246" s="11"/>
      <c r="R11246" s="11"/>
      <c r="S11246" s="11"/>
      <c r="T11246" s="11"/>
    </row>
    <row r="11247" spans="8:20" x14ac:dyDescent="0.35">
      <c r="H11247" s="711"/>
      <c r="I11247" s="711"/>
      <c r="J11247" s="711"/>
      <c r="K11247" s="711"/>
      <c r="L11247" s="711"/>
      <c r="Q11247" s="11"/>
      <c r="R11247" s="11"/>
      <c r="S11247" s="11"/>
      <c r="T11247" s="11"/>
    </row>
    <row r="11248" spans="8:20" x14ac:dyDescent="0.35">
      <c r="H11248" s="711"/>
      <c r="I11248" s="711"/>
      <c r="J11248" s="711"/>
      <c r="K11248" s="711"/>
      <c r="L11248" s="711"/>
      <c r="Q11248" s="11"/>
      <c r="R11248" s="11"/>
      <c r="S11248" s="11"/>
      <c r="T11248" s="11"/>
    </row>
    <row r="11249" spans="8:20" x14ac:dyDescent="0.35">
      <c r="H11249" s="711"/>
      <c r="I11249" s="711"/>
      <c r="J11249" s="711"/>
      <c r="K11249" s="711"/>
      <c r="L11249" s="711"/>
      <c r="Q11249" s="11"/>
      <c r="R11249" s="11"/>
      <c r="S11249" s="11"/>
      <c r="T11249" s="11"/>
    </row>
    <row r="11250" spans="8:20" x14ac:dyDescent="0.35">
      <c r="H11250" s="711"/>
      <c r="I11250" s="711"/>
      <c r="J11250" s="711"/>
      <c r="K11250" s="711"/>
      <c r="L11250" s="711"/>
      <c r="Q11250" s="11"/>
      <c r="R11250" s="11"/>
      <c r="S11250" s="11"/>
      <c r="T11250" s="11"/>
    </row>
    <row r="11251" spans="8:20" x14ac:dyDescent="0.35">
      <c r="H11251" s="711"/>
      <c r="I11251" s="711"/>
      <c r="J11251" s="711"/>
      <c r="K11251" s="711"/>
      <c r="L11251" s="711"/>
      <c r="Q11251" s="11"/>
      <c r="R11251" s="11"/>
      <c r="S11251" s="11"/>
      <c r="T11251" s="11"/>
    </row>
    <row r="11252" spans="8:20" x14ac:dyDescent="0.35">
      <c r="H11252" s="711"/>
      <c r="I11252" s="711"/>
      <c r="J11252" s="711"/>
      <c r="K11252" s="711"/>
      <c r="L11252" s="711"/>
      <c r="Q11252" s="11"/>
      <c r="R11252" s="11"/>
      <c r="S11252" s="11"/>
      <c r="T11252" s="11"/>
    </row>
    <row r="11253" spans="8:20" x14ac:dyDescent="0.35">
      <c r="H11253" s="711"/>
      <c r="I11253" s="711"/>
      <c r="J11253" s="711"/>
      <c r="K11253" s="711"/>
      <c r="L11253" s="711"/>
      <c r="Q11253" s="11"/>
      <c r="R11253" s="11"/>
      <c r="S11253" s="11"/>
      <c r="T11253" s="11"/>
    </row>
    <row r="11254" spans="8:20" x14ac:dyDescent="0.35">
      <c r="H11254" s="711"/>
      <c r="I11254" s="711"/>
      <c r="J11254" s="711"/>
      <c r="K11254" s="711"/>
      <c r="L11254" s="711"/>
      <c r="Q11254" s="11"/>
      <c r="R11254" s="11"/>
      <c r="S11254" s="11"/>
      <c r="T11254" s="11"/>
    </row>
    <row r="11255" spans="8:20" x14ac:dyDescent="0.35">
      <c r="H11255" s="711"/>
      <c r="I11255" s="711"/>
      <c r="J11255" s="711"/>
      <c r="K11255" s="711"/>
      <c r="L11255" s="711"/>
      <c r="Q11255" s="11"/>
      <c r="R11255" s="11"/>
      <c r="S11255" s="11"/>
      <c r="T11255" s="11"/>
    </row>
    <row r="11256" spans="8:20" x14ac:dyDescent="0.35">
      <c r="H11256" s="711"/>
      <c r="I11256" s="711"/>
      <c r="J11256" s="711"/>
      <c r="K11256" s="711"/>
      <c r="L11256" s="711"/>
      <c r="Q11256" s="11"/>
      <c r="R11256" s="11"/>
      <c r="S11256" s="11"/>
      <c r="T11256" s="11"/>
    </row>
    <row r="11257" spans="8:20" x14ac:dyDescent="0.35">
      <c r="H11257" s="711"/>
      <c r="I11257" s="711"/>
      <c r="J11257" s="711"/>
      <c r="K11257" s="711"/>
      <c r="L11257" s="711"/>
      <c r="Q11257" s="11"/>
      <c r="R11257" s="11"/>
      <c r="S11257" s="11"/>
      <c r="T11257" s="11"/>
    </row>
    <row r="11258" spans="8:20" x14ac:dyDescent="0.35">
      <c r="H11258" s="711"/>
      <c r="I11258" s="711"/>
      <c r="J11258" s="711"/>
      <c r="K11258" s="711"/>
      <c r="L11258" s="711"/>
      <c r="Q11258" s="11"/>
      <c r="R11258" s="11"/>
      <c r="S11258" s="11"/>
      <c r="T11258" s="11"/>
    </row>
    <row r="11259" spans="8:20" x14ac:dyDescent="0.35">
      <c r="H11259" s="711"/>
      <c r="I11259" s="711"/>
      <c r="J11259" s="711"/>
      <c r="K11259" s="711"/>
      <c r="L11259" s="711"/>
      <c r="Q11259" s="11"/>
      <c r="R11259" s="11"/>
      <c r="S11259" s="11"/>
      <c r="T11259" s="11"/>
    </row>
    <row r="11260" spans="8:20" x14ac:dyDescent="0.35">
      <c r="H11260" s="711"/>
      <c r="I11260" s="711"/>
      <c r="J11260" s="711"/>
      <c r="K11260" s="711"/>
      <c r="L11260" s="711"/>
      <c r="Q11260" s="11"/>
      <c r="R11260" s="11"/>
      <c r="S11260" s="11"/>
      <c r="T11260" s="11"/>
    </row>
    <row r="11261" spans="8:20" x14ac:dyDescent="0.35">
      <c r="H11261" s="711"/>
      <c r="I11261" s="711"/>
      <c r="J11261" s="711"/>
      <c r="K11261" s="711"/>
      <c r="L11261" s="711"/>
      <c r="Q11261" s="11"/>
      <c r="R11261" s="11"/>
      <c r="S11261" s="11"/>
      <c r="T11261" s="11"/>
    </row>
    <row r="11262" spans="8:20" x14ac:dyDescent="0.35">
      <c r="H11262" s="711"/>
      <c r="I11262" s="711"/>
      <c r="J11262" s="711"/>
      <c r="K11262" s="711"/>
      <c r="L11262" s="711"/>
      <c r="Q11262" s="11"/>
      <c r="R11262" s="11"/>
      <c r="S11262" s="11"/>
      <c r="T11262" s="11"/>
    </row>
    <row r="11263" spans="8:20" x14ac:dyDescent="0.35">
      <c r="H11263" s="711"/>
      <c r="I11263" s="711"/>
      <c r="J11263" s="711"/>
      <c r="K11263" s="711"/>
      <c r="L11263" s="711"/>
      <c r="Q11263" s="11"/>
      <c r="R11263" s="11"/>
      <c r="S11263" s="11"/>
      <c r="T11263" s="11"/>
    </row>
    <row r="11264" spans="8:20" x14ac:dyDescent="0.35">
      <c r="H11264" s="711"/>
      <c r="I11264" s="711"/>
      <c r="J11264" s="711"/>
      <c r="K11264" s="711"/>
      <c r="L11264" s="711"/>
      <c r="Q11264" s="11"/>
      <c r="R11264" s="11"/>
      <c r="S11264" s="11"/>
      <c r="T11264" s="11"/>
    </row>
    <row r="11265" spans="8:20" x14ac:dyDescent="0.35">
      <c r="H11265" s="711"/>
      <c r="I11265" s="711"/>
      <c r="J11265" s="711"/>
      <c r="K11265" s="711"/>
      <c r="L11265" s="711"/>
      <c r="Q11265" s="11"/>
      <c r="R11265" s="11"/>
      <c r="S11265" s="11"/>
      <c r="T11265" s="11"/>
    </row>
    <row r="11266" spans="8:20" x14ac:dyDescent="0.35">
      <c r="H11266" s="711"/>
      <c r="I11266" s="711"/>
      <c r="J11266" s="711"/>
      <c r="K11266" s="711"/>
      <c r="L11266" s="711"/>
      <c r="Q11266" s="11"/>
      <c r="R11266" s="11"/>
      <c r="S11266" s="11"/>
      <c r="T11266" s="11"/>
    </row>
    <row r="11267" spans="8:20" x14ac:dyDescent="0.35">
      <c r="H11267" s="711"/>
      <c r="I11267" s="711"/>
      <c r="J11267" s="711"/>
      <c r="K11267" s="711"/>
      <c r="L11267" s="711"/>
      <c r="Q11267" s="11"/>
      <c r="R11267" s="11"/>
      <c r="S11267" s="11"/>
      <c r="T11267" s="11"/>
    </row>
    <row r="11268" spans="8:20" x14ac:dyDescent="0.35">
      <c r="H11268" s="711"/>
      <c r="I11268" s="711"/>
      <c r="J11268" s="711"/>
      <c r="K11268" s="711"/>
      <c r="L11268" s="711"/>
      <c r="Q11268" s="11"/>
      <c r="R11268" s="11"/>
      <c r="S11268" s="11"/>
      <c r="T11268" s="11"/>
    </row>
    <row r="11269" spans="8:20" x14ac:dyDescent="0.35">
      <c r="H11269" s="711"/>
      <c r="I11269" s="711"/>
      <c r="J11269" s="711"/>
      <c r="K11269" s="711"/>
      <c r="L11269" s="711"/>
      <c r="Q11269" s="11"/>
      <c r="R11269" s="11"/>
      <c r="S11269" s="11"/>
      <c r="T11269" s="11"/>
    </row>
    <row r="11270" spans="8:20" x14ac:dyDescent="0.35">
      <c r="H11270" s="711"/>
      <c r="I11270" s="711"/>
      <c r="J11270" s="711"/>
      <c r="K11270" s="711"/>
      <c r="L11270" s="711"/>
      <c r="Q11270" s="11"/>
      <c r="R11270" s="11"/>
      <c r="S11270" s="11"/>
      <c r="T11270" s="11"/>
    </row>
    <row r="11271" spans="8:20" x14ac:dyDescent="0.35">
      <c r="H11271" s="711"/>
      <c r="I11271" s="711"/>
      <c r="J11271" s="711"/>
      <c r="K11271" s="711"/>
      <c r="L11271" s="711"/>
      <c r="Q11271" s="11"/>
      <c r="R11271" s="11"/>
      <c r="S11271" s="11"/>
      <c r="T11271" s="11"/>
    </row>
    <row r="11272" spans="8:20" x14ac:dyDescent="0.35">
      <c r="H11272" s="711"/>
      <c r="I11272" s="711"/>
      <c r="J11272" s="711"/>
      <c r="K11272" s="711"/>
      <c r="L11272" s="711"/>
      <c r="Q11272" s="11"/>
      <c r="R11272" s="11"/>
      <c r="S11272" s="11"/>
      <c r="T11272" s="11"/>
    </row>
    <row r="11273" spans="8:20" x14ac:dyDescent="0.35">
      <c r="H11273" s="711"/>
      <c r="I11273" s="711"/>
      <c r="J11273" s="711"/>
      <c r="K11273" s="711"/>
      <c r="L11273" s="711"/>
      <c r="Q11273" s="11"/>
      <c r="R11273" s="11"/>
      <c r="S11273" s="11"/>
      <c r="T11273" s="11"/>
    </row>
    <row r="11274" spans="8:20" x14ac:dyDescent="0.35">
      <c r="H11274" s="711"/>
      <c r="I11274" s="711"/>
      <c r="J11274" s="711"/>
      <c r="K11274" s="711"/>
      <c r="L11274" s="711"/>
      <c r="Q11274" s="11"/>
      <c r="R11274" s="11"/>
      <c r="S11274" s="11"/>
      <c r="T11274" s="11"/>
    </row>
    <row r="11275" spans="8:20" x14ac:dyDescent="0.35">
      <c r="H11275" s="711"/>
      <c r="I11275" s="711"/>
      <c r="J11275" s="711"/>
      <c r="K11275" s="711"/>
      <c r="L11275" s="711"/>
      <c r="Q11275" s="11"/>
      <c r="R11275" s="11"/>
      <c r="S11275" s="11"/>
      <c r="T11275" s="11"/>
    </row>
    <row r="11276" spans="8:20" x14ac:dyDescent="0.35">
      <c r="H11276" s="711"/>
      <c r="I11276" s="711"/>
      <c r="J11276" s="711"/>
      <c r="K11276" s="711"/>
      <c r="L11276" s="711"/>
      <c r="Q11276" s="11"/>
      <c r="R11276" s="11"/>
      <c r="S11276" s="11"/>
      <c r="T11276" s="11"/>
    </row>
    <row r="11277" spans="8:20" x14ac:dyDescent="0.35">
      <c r="H11277" s="711"/>
      <c r="I11277" s="711"/>
      <c r="J11277" s="711"/>
      <c r="K11277" s="711"/>
      <c r="L11277" s="711"/>
      <c r="Q11277" s="11"/>
      <c r="R11277" s="11"/>
      <c r="S11277" s="11"/>
      <c r="T11277" s="11"/>
    </row>
    <row r="11278" spans="8:20" x14ac:dyDescent="0.35">
      <c r="H11278" s="711"/>
      <c r="I11278" s="711"/>
      <c r="J11278" s="711"/>
      <c r="K11278" s="711"/>
      <c r="L11278" s="711"/>
      <c r="Q11278" s="11"/>
      <c r="R11278" s="11"/>
      <c r="S11278" s="11"/>
      <c r="T11278" s="11"/>
    </row>
    <row r="11279" spans="8:20" x14ac:dyDescent="0.35">
      <c r="H11279" s="711"/>
      <c r="I11279" s="711"/>
      <c r="J11279" s="711"/>
      <c r="K11279" s="711"/>
      <c r="L11279" s="711"/>
      <c r="Q11279" s="11"/>
      <c r="R11279" s="11"/>
      <c r="S11279" s="11"/>
      <c r="T11279" s="11"/>
    </row>
    <row r="11280" spans="8:20" x14ac:dyDescent="0.35">
      <c r="H11280" s="711"/>
      <c r="I11280" s="711"/>
      <c r="J11280" s="711"/>
      <c r="K11280" s="711"/>
      <c r="L11280" s="711"/>
      <c r="Q11280" s="11"/>
      <c r="R11280" s="11"/>
      <c r="S11280" s="11"/>
      <c r="T11280" s="11"/>
    </row>
    <row r="11281" spans="8:20" x14ac:dyDescent="0.35">
      <c r="H11281" s="711"/>
      <c r="I11281" s="711"/>
      <c r="J11281" s="711"/>
      <c r="K11281" s="711"/>
      <c r="L11281" s="711"/>
      <c r="Q11281" s="11"/>
      <c r="R11281" s="11"/>
      <c r="S11281" s="11"/>
      <c r="T11281" s="11"/>
    </row>
    <row r="11282" spans="8:20" x14ac:dyDescent="0.35">
      <c r="H11282" s="711"/>
      <c r="I11282" s="711"/>
      <c r="J11282" s="711"/>
      <c r="K11282" s="711"/>
      <c r="L11282" s="711"/>
      <c r="Q11282" s="11"/>
      <c r="R11282" s="11"/>
      <c r="S11282" s="11"/>
      <c r="T11282" s="11"/>
    </row>
    <row r="11283" spans="8:20" x14ac:dyDescent="0.35">
      <c r="H11283" s="711"/>
      <c r="I11283" s="711"/>
      <c r="J11283" s="711"/>
      <c r="K11283" s="711"/>
      <c r="L11283" s="711"/>
      <c r="Q11283" s="11"/>
      <c r="R11283" s="11"/>
      <c r="S11283" s="11"/>
      <c r="T11283" s="11"/>
    </row>
    <row r="11284" spans="8:20" x14ac:dyDescent="0.35">
      <c r="H11284" s="711"/>
      <c r="I11284" s="711"/>
      <c r="J11284" s="711"/>
      <c r="K11284" s="711"/>
      <c r="L11284" s="711"/>
      <c r="Q11284" s="11"/>
      <c r="R11284" s="11"/>
      <c r="S11284" s="11"/>
      <c r="T11284" s="11"/>
    </row>
    <row r="11285" spans="8:20" x14ac:dyDescent="0.35">
      <c r="H11285" s="711"/>
      <c r="I11285" s="711"/>
      <c r="J11285" s="711"/>
      <c r="K11285" s="711"/>
      <c r="L11285" s="711"/>
      <c r="Q11285" s="11"/>
      <c r="R11285" s="11"/>
      <c r="S11285" s="11"/>
      <c r="T11285" s="11"/>
    </row>
    <row r="11286" spans="8:20" x14ac:dyDescent="0.35">
      <c r="H11286" s="711"/>
      <c r="I11286" s="711"/>
      <c r="J11286" s="711"/>
      <c r="K11286" s="711"/>
      <c r="L11286" s="711"/>
      <c r="Q11286" s="11"/>
      <c r="R11286" s="11"/>
      <c r="S11286" s="11"/>
      <c r="T11286" s="11"/>
    </row>
    <row r="11287" spans="8:20" x14ac:dyDescent="0.35">
      <c r="H11287" s="711"/>
      <c r="I11287" s="711"/>
      <c r="J11287" s="711"/>
      <c r="K11287" s="711"/>
      <c r="L11287" s="711"/>
      <c r="Q11287" s="11"/>
      <c r="R11287" s="11"/>
      <c r="S11287" s="11"/>
      <c r="T11287" s="11"/>
    </row>
    <row r="11288" spans="8:20" x14ac:dyDescent="0.35">
      <c r="H11288" s="711"/>
      <c r="I11288" s="711"/>
      <c r="J11288" s="711"/>
      <c r="K11288" s="711"/>
      <c r="L11288" s="711"/>
      <c r="Q11288" s="11"/>
      <c r="R11288" s="11"/>
      <c r="S11288" s="11"/>
      <c r="T11288" s="11"/>
    </row>
    <row r="11289" spans="8:20" x14ac:dyDescent="0.35">
      <c r="H11289" s="711"/>
      <c r="I11289" s="711"/>
      <c r="J11289" s="711"/>
      <c r="K11289" s="711"/>
      <c r="L11289" s="711"/>
      <c r="Q11289" s="11"/>
      <c r="R11289" s="11"/>
      <c r="S11289" s="11"/>
      <c r="T11289" s="11"/>
    </row>
    <row r="11290" spans="8:20" x14ac:dyDescent="0.35">
      <c r="H11290" s="711"/>
      <c r="I11290" s="711"/>
      <c r="J11290" s="711"/>
      <c r="K11290" s="711"/>
      <c r="L11290" s="711"/>
      <c r="Q11290" s="11"/>
      <c r="R11290" s="11"/>
      <c r="S11290" s="11"/>
      <c r="T11290" s="11"/>
    </row>
    <row r="11291" spans="8:20" x14ac:dyDescent="0.35">
      <c r="H11291" s="711"/>
      <c r="I11291" s="711"/>
      <c r="J11291" s="711"/>
      <c r="K11291" s="711"/>
      <c r="L11291" s="711"/>
      <c r="Q11291" s="11"/>
      <c r="R11291" s="11"/>
      <c r="S11291" s="11"/>
      <c r="T11291" s="11"/>
    </row>
    <row r="11292" spans="8:20" x14ac:dyDescent="0.35">
      <c r="H11292" s="711"/>
      <c r="I11292" s="711"/>
      <c r="J11292" s="711"/>
      <c r="K11292" s="711"/>
      <c r="L11292" s="711"/>
      <c r="Q11292" s="11"/>
      <c r="R11292" s="11"/>
      <c r="S11292" s="11"/>
      <c r="T11292" s="11"/>
    </row>
    <row r="11293" spans="8:20" x14ac:dyDescent="0.35">
      <c r="H11293" s="711"/>
      <c r="I11293" s="711"/>
      <c r="J11293" s="711"/>
      <c r="K11293" s="711"/>
      <c r="L11293" s="711"/>
      <c r="Q11293" s="11"/>
      <c r="R11293" s="11"/>
      <c r="S11293" s="11"/>
      <c r="T11293" s="11"/>
    </row>
    <row r="11294" spans="8:20" x14ac:dyDescent="0.35">
      <c r="H11294" s="711"/>
      <c r="I11294" s="711"/>
      <c r="J11294" s="711"/>
      <c r="K11294" s="711"/>
      <c r="L11294" s="711"/>
      <c r="Q11294" s="11"/>
      <c r="R11294" s="11"/>
      <c r="S11294" s="11"/>
      <c r="T11294" s="11"/>
    </row>
    <row r="11295" spans="8:20" x14ac:dyDescent="0.35">
      <c r="H11295" s="711"/>
      <c r="I11295" s="711"/>
      <c r="J11295" s="711"/>
      <c r="K11295" s="711"/>
      <c r="L11295" s="711"/>
      <c r="Q11295" s="11"/>
      <c r="R11295" s="11"/>
      <c r="S11295" s="11"/>
      <c r="T11295" s="11"/>
    </row>
    <row r="11296" spans="8:20" x14ac:dyDescent="0.35">
      <c r="H11296" s="711"/>
      <c r="I11296" s="711"/>
      <c r="J11296" s="711"/>
      <c r="K11296" s="711"/>
      <c r="L11296" s="711"/>
      <c r="Q11296" s="11"/>
      <c r="R11296" s="11"/>
      <c r="S11296" s="11"/>
      <c r="T11296" s="11"/>
    </row>
    <row r="11297" spans="8:20" x14ac:dyDescent="0.35">
      <c r="H11297" s="711"/>
      <c r="I11297" s="711"/>
      <c r="J11297" s="711"/>
      <c r="K11297" s="711"/>
      <c r="L11297" s="711"/>
      <c r="Q11297" s="11"/>
      <c r="R11297" s="11"/>
      <c r="S11297" s="11"/>
      <c r="T11297" s="11"/>
    </row>
    <row r="11298" spans="8:20" x14ac:dyDescent="0.35">
      <c r="H11298" s="711"/>
      <c r="I11298" s="711"/>
      <c r="J11298" s="711"/>
      <c r="K11298" s="711"/>
      <c r="L11298" s="711"/>
      <c r="Q11298" s="11"/>
      <c r="R11298" s="11"/>
      <c r="S11298" s="11"/>
      <c r="T11298" s="11"/>
    </row>
    <row r="11299" spans="8:20" x14ac:dyDescent="0.35">
      <c r="H11299" s="711"/>
      <c r="I11299" s="711"/>
      <c r="J11299" s="711"/>
      <c r="K11299" s="711"/>
      <c r="L11299" s="711"/>
      <c r="Q11299" s="11"/>
      <c r="R11299" s="11"/>
      <c r="S11299" s="11"/>
      <c r="T11299" s="11"/>
    </row>
    <row r="11300" spans="8:20" x14ac:dyDescent="0.35">
      <c r="H11300" s="711"/>
      <c r="I11300" s="711"/>
      <c r="J11300" s="711"/>
      <c r="K11300" s="711"/>
      <c r="L11300" s="711"/>
      <c r="Q11300" s="11"/>
      <c r="R11300" s="11"/>
      <c r="S11300" s="11"/>
      <c r="T11300" s="11"/>
    </row>
    <row r="11301" spans="8:20" x14ac:dyDescent="0.35">
      <c r="H11301" s="711"/>
      <c r="I11301" s="711"/>
      <c r="J11301" s="711"/>
      <c r="K11301" s="711"/>
      <c r="L11301" s="711"/>
      <c r="Q11301" s="11"/>
      <c r="R11301" s="11"/>
      <c r="S11301" s="11"/>
      <c r="T11301" s="11"/>
    </row>
    <row r="11302" spans="8:20" x14ac:dyDescent="0.35">
      <c r="H11302" s="711"/>
      <c r="I11302" s="711"/>
      <c r="J11302" s="711"/>
      <c r="K11302" s="711"/>
      <c r="L11302" s="711"/>
      <c r="Q11302" s="11"/>
      <c r="R11302" s="11"/>
      <c r="S11302" s="11"/>
      <c r="T11302" s="11"/>
    </row>
    <row r="11303" spans="8:20" x14ac:dyDescent="0.35">
      <c r="H11303" s="711"/>
      <c r="I11303" s="711"/>
      <c r="J11303" s="711"/>
      <c r="K11303" s="711"/>
      <c r="L11303" s="711"/>
      <c r="Q11303" s="11"/>
      <c r="R11303" s="11"/>
      <c r="S11303" s="11"/>
      <c r="T11303" s="11"/>
    </row>
    <row r="11304" spans="8:20" x14ac:dyDescent="0.35">
      <c r="H11304" s="711"/>
      <c r="I11304" s="711"/>
      <c r="J11304" s="711"/>
      <c r="K11304" s="711"/>
      <c r="L11304" s="711"/>
      <c r="Q11304" s="11"/>
      <c r="R11304" s="11"/>
      <c r="S11304" s="11"/>
      <c r="T11304" s="11"/>
    </row>
    <row r="11305" spans="8:20" x14ac:dyDescent="0.35">
      <c r="H11305" s="711"/>
      <c r="I11305" s="711"/>
      <c r="J11305" s="711"/>
      <c r="K11305" s="711"/>
      <c r="L11305" s="711"/>
      <c r="Q11305" s="11"/>
      <c r="R11305" s="11"/>
      <c r="S11305" s="11"/>
      <c r="T11305" s="11"/>
    </row>
    <row r="11306" spans="8:20" x14ac:dyDescent="0.35">
      <c r="H11306" s="711"/>
      <c r="I11306" s="711"/>
      <c r="J11306" s="711"/>
      <c r="K11306" s="711"/>
      <c r="L11306" s="711"/>
      <c r="Q11306" s="11"/>
      <c r="R11306" s="11"/>
      <c r="S11306" s="11"/>
      <c r="T11306" s="11"/>
    </row>
    <row r="11307" spans="8:20" x14ac:dyDescent="0.35">
      <c r="H11307" s="711"/>
      <c r="I11307" s="711"/>
      <c r="J11307" s="711"/>
      <c r="K11307" s="711"/>
      <c r="L11307" s="711"/>
      <c r="Q11307" s="11"/>
      <c r="R11307" s="11"/>
      <c r="S11307" s="11"/>
      <c r="T11307" s="11"/>
    </row>
    <row r="11308" spans="8:20" x14ac:dyDescent="0.35">
      <c r="H11308" s="711"/>
      <c r="I11308" s="711"/>
      <c r="J11308" s="711"/>
      <c r="K11308" s="711"/>
      <c r="L11308" s="711"/>
      <c r="Q11308" s="11"/>
      <c r="R11308" s="11"/>
      <c r="S11308" s="11"/>
      <c r="T11308" s="11"/>
    </row>
    <row r="11309" spans="8:20" x14ac:dyDescent="0.35">
      <c r="H11309" s="711"/>
      <c r="I11309" s="711"/>
      <c r="J11309" s="711"/>
      <c r="K11309" s="711"/>
      <c r="L11309" s="711"/>
      <c r="Q11309" s="11"/>
      <c r="R11309" s="11"/>
      <c r="S11309" s="11"/>
      <c r="T11309" s="11"/>
    </row>
    <row r="11310" spans="8:20" x14ac:dyDescent="0.35">
      <c r="H11310" s="711"/>
      <c r="I11310" s="711"/>
      <c r="J11310" s="711"/>
      <c r="K11310" s="711"/>
      <c r="L11310" s="711"/>
      <c r="Q11310" s="11"/>
      <c r="R11310" s="11"/>
      <c r="S11310" s="11"/>
      <c r="T11310" s="11"/>
    </row>
    <row r="11311" spans="8:20" x14ac:dyDescent="0.35">
      <c r="H11311" s="711"/>
      <c r="I11311" s="711"/>
      <c r="J11311" s="711"/>
      <c r="K11311" s="711"/>
      <c r="L11311" s="711"/>
      <c r="Q11311" s="11"/>
      <c r="R11311" s="11"/>
      <c r="S11311" s="11"/>
      <c r="T11311" s="11"/>
    </row>
    <row r="11312" spans="8:20" x14ac:dyDescent="0.35">
      <c r="H11312" s="711"/>
      <c r="I11312" s="711"/>
      <c r="J11312" s="711"/>
      <c r="K11312" s="711"/>
      <c r="L11312" s="711"/>
      <c r="Q11312" s="11"/>
      <c r="R11312" s="11"/>
      <c r="S11312" s="11"/>
      <c r="T11312" s="11"/>
    </row>
    <row r="11313" spans="8:20" x14ac:dyDescent="0.35">
      <c r="H11313" s="711"/>
      <c r="I11313" s="711"/>
      <c r="J11313" s="711"/>
      <c r="K11313" s="711"/>
      <c r="L11313" s="711"/>
      <c r="Q11313" s="11"/>
      <c r="R11313" s="11"/>
      <c r="S11313" s="11"/>
      <c r="T11313" s="11"/>
    </row>
    <row r="11314" spans="8:20" x14ac:dyDescent="0.35">
      <c r="H11314" s="711"/>
      <c r="I11314" s="711"/>
      <c r="J11314" s="711"/>
      <c r="K11314" s="711"/>
      <c r="L11314" s="711"/>
      <c r="Q11314" s="11"/>
      <c r="R11314" s="11"/>
      <c r="S11314" s="11"/>
      <c r="T11314" s="11"/>
    </row>
    <row r="11315" spans="8:20" x14ac:dyDescent="0.35">
      <c r="H11315" s="711"/>
      <c r="I11315" s="711"/>
      <c r="J11315" s="711"/>
      <c r="K11315" s="711"/>
      <c r="L11315" s="711"/>
      <c r="Q11315" s="11"/>
      <c r="R11315" s="11"/>
      <c r="S11315" s="11"/>
      <c r="T11315" s="11"/>
    </row>
    <row r="11316" spans="8:20" x14ac:dyDescent="0.35">
      <c r="H11316" s="711"/>
      <c r="I11316" s="711"/>
      <c r="J11316" s="711"/>
      <c r="K11316" s="711"/>
      <c r="L11316" s="711"/>
      <c r="Q11316" s="11"/>
      <c r="R11316" s="11"/>
      <c r="S11316" s="11"/>
      <c r="T11316" s="11"/>
    </row>
    <row r="11317" spans="8:20" x14ac:dyDescent="0.35">
      <c r="H11317" s="711"/>
      <c r="I11317" s="711"/>
      <c r="J11317" s="711"/>
      <c r="K11317" s="711"/>
      <c r="L11317" s="711"/>
      <c r="Q11317" s="11"/>
      <c r="R11317" s="11"/>
      <c r="S11317" s="11"/>
      <c r="T11317" s="11"/>
    </row>
    <row r="11318" spans="8:20" x14ac:dyDescent="0.35">
      <c r="H11318" s="711"/>
      <c r="I11318" s="711"/>
      <c r="J11318" s="711"/>
      <c r="K11318" s="711"/>
      <c r="L11318" s="711"/>
      <c r="Q11318" s="11"/>
      <c r="R11318" s="11"/>
      <c r="S11318" s="11"/>
      <c r="T11318" s="11"/>
    </row>
    <row r="11319" spans="8:20" x14ac:dyDescent="0.35">
      <c r="H11319" s="711"/>
      <c r="I11319" s="711"/>
      <c r="J11319" s="711"/>
      <c r="K11319" s="711"/>
      <c r="L11319" s="711"/>
      <c r="Q11319" s="11"/>
      <c r="R11319" s="11"/>
      <c r="S11319" s="11"/>
      <c r="T11319" s="11"/>
    </row>
    <row r="11320" spans="8:20" x14ac:dyDescent="0.35">
      <c r="H11320" s="711"/>
      <c r="I11320" s="711"/>
      <c r="J11320" s="711"/>
      <c r="K11320" s="711"/>
      <c r="L11320" s="711"/>
      <c r="Q11320" s="11"/>
      <c r="R11320" s="11"/>
      <c r="S11320" s="11"/>
      <c r="T11320" s="11"/>
    </row>
    <row r="11321" spans="8:20" x14ac:dyDescent="0.35">
      <c r="H11321" s="711"/>
      <c r="I11321" s="711"/>
      <c r="J11321" s="711"/>
      <c r="K11321" s="711"/>
      <c r="L11321" s="711"/>
      <c r="Q11321" s="11"/>
      <c r="R11321" s="11"/>
      <c r="S11321" s="11"/>
      <c r="T11321" s="11"/>
    </row>
    <row r="11322" spans="8:20" x14ac:dyDescent="0.35">
      <c r="H11322" s="711"/>
      <c r="I11322" s="711"/>
      <c r="J11322" s="711"/>
      <c r="K11322" s="711"/>
      <c r="L11322" s="711"/>
      <c r="Q11322" s="11"/>
      <c r="R11322" s="11"/>
      <c r="S11322" s="11"/>
      <c r="T11322" s="11"/>
    </row>
    <row r="11323" spans="8:20" x14ac:dyDescent="0.35">
      <c r="H11323" s="711"/>
      <c r="I11323" s="711"/>
      <c r="J11323" s="711"/>
      <c r="K11323" s="711"/>
      <c r="L11323" s="711"/>
      <c r="Q11323" s="11"/>
      <c r="R11323" s="11"/>
      <c r="S11323" s="11"/>
      <c r="T11323" s="11"/>
    </row>
    <row r="11324" spans="8:20" x14ac:dyDescent="0.35">
      <c r="H11324" s="711"/>
      <c r="I11324" s="711"/>
      <c r="J11324" s="711"/>
      <c r="K11324" s="711"/>
      <c r="L11324" s="711"/>
      <c r="Q11324" s="11"/>
      <c r="R11324" s="11"/>
      <c r="S11324" s="11"/>
      <c r="T11324" s="11"/>
    </row>
    <row r="11325" spans="8:20" x14ac:dyDescent="0.35">
      <c r="H11325" s="711"/>
      <c r="I11325" s="711"/>
      <c r="J11325" s="711"/>
      <c r="K11325" s="711"/>
      <c r="L11325" s="711"/>
      <c r="Q11325" s="11"/>
      <c r="R11325" s="11"/>
      <c r="S11325" s="11"/>
      <c r="T11325" s="11"/>
    </row>
    <row r="11326" spans="8:20" x14ac:dyDescent="0.35">
      <c r="H11326" s="711"/>
      <c r="I11326" s="711"/>
      <c r="J11326" s="711"/>
      <c r="K11326" s="711"/>
      <c r="L11326" s="711"/>
      <c r="Q11326" s="11"/>
      <c r="R11326" s="11"/>
      <c r="S11326" s="11"/>
      <c r="T11326" s="11"/>
    </row>
    <row r="11327" spans="8:20" x14ac:dyDescent="0.35">
      <c r="H11327" s="711"/>
      <c r="I11327" s="711"/>
      <c r="J11327" s="711"/>
      <c r="K11327" s="711"/>
      <c r="L11327" s="711"/>
      <c r="Q11327" s="11"/>
      <c r="R11327" s="11"/>
      <c r="S11327" s="11"/>
      <c r="T11327" s="11"/>
    </row>
    <row r="11328" spans="8:20" x14ac:dyDescent="0.35">
      <c r="H11328" s="711"/>
      <c r="I11328" s="711"/>
      <c r="J11328" s="711"/>
      <c r="K11328" s="711"/>
      <c r="L11328" s="711"/>
      <c r="Q11328" s="11"/>
      <c r="R11328" s="11"/>
      <c r="S11328" s="11"/>
      <c r="T11328" s="11"/>
    </row>
    <row r="11329" spans="8:20" x14ac:dyDescent="0.35">
      <c r="H11329" s="711"/>
      <c r="I11329" s="711"/>
      <c r="J11329" s="711"/>
      <c r="K11329" s="711"/>
      <c r="L11329" s="711"/>
      <c r="Q11329" s="11"/>
      <c r="R11329" s="11"/>
      <c r="S11329" s="11"/>
      <c r="T11329" s="11"/>
    </row>
    <row r="11330" spans="8:20" x14ac:dyDescent="0.35">
      <c r="H11330" s="711"/>
      <c r="I11330" s="711"/>
      <c r="J11330" s="711"/>
      <c r="K11330" s="711"/>
      <c r="L11330" s="711"/>
      <c r="Q11330" s="11"/>
      <c r="R11330" s="11"/>
      <c r="S11330" s="11"/>
      <c r="T11330" s="11"/>
    </row>
    <row r="11331" spans="8:20" x14ac:dyDescent="0.35">
      <c r="H11331" s="711"/>
      <c r="I11331" s="711"/>
      <c r="J11331" s="711"/>
      <c r="K11331" s="711"/>
      <c r="L11331" s="711"/>
      <c r="Q11331" s="11"/>
      <c r="R11331" s="11"/>
      <c r="S11331" s="11"/>
      <c r="T11331" s="11"/>
    </row>
    <row r="11332" spans="8:20" x14ac:dyDescent="0.35">
      <c r="H11332" s="711"/>
      <c r="I11332" s="711"/>
      <c r="J11332" s="711"/>
      <c r="K11332" s="711"/>
      <c r="L11332" s="711"/>
      <c r="Q11332" s="11"/>
      <c r="R11332" s="11"/>
      <c r="S11332" s="11"/>
      <c r="T11332" s="11"/>
    </row>
    <row r="11333" spans="8:20" x14ac:dyDescent="0.35">
      <c r="H11333" s="711"/>
      <c r="I11333" s="711"/>
      <c r="J11333" s="711"/>
      <c r="K11333" s="711"/>
      <c r="L11333" s="711"/>
      <c r="Q11333" s="11"/>
      <c r="R11333" s="11"/>
      <c r="S11333" s="11"/>
      <c r="T11333" s="11"/>
    </row>
    <row r="11334" spans="8:20" x14ac:dyDescent="0.35">
      <c r="H11334" s="711"/>
      <c r="I11334" s="711"/>
      <c r="J11334" s="711"/>
      <c r="K11334" s="711"/>
      <c r="L11334" s="711"/>
      <c r="Q11334" s="11"/>
      <c r="R11334" s="11"/>
      <c r="S11334" s="11"/>
      <c r="T11334" s="11"/>
    </row>
    <row r="11335" spans="8:20" x14ac:dyDescent="0.35">
      <c r="H11335" s="711"/>
      <c r="I11335" s="711"/>
      <c r="J11335" s="711"/>
      <c r="K11335" s="711"/>
      <c r="L11335" s="711"/>
      <c r="Q11335" s="11"/>
      <c r="R11335" s="11"/>
      <c r="S11335" s="11"/>
      <c r="T11335" s="11"/>
    </row>
    <row r="11336" spans="8:20" x14ac:dyDescent="0.35">
      <c r="H11336" s="711"/>
      <c r="I11336" s="711"/>
      <c r="J11336" s="711"/>
      <c r="K11336" s="711"/>
      <c r="L11336" s="711"/>
      <c r="Q11336" s="11"/>
      <c r="R11336" s="11"/>
      <c r="S11336" s="11"/>
      <c r="T11336" s="11"/>
    </row>
    <row r="11337" spans="8:20" x14ac:dyDescent="0.35">
      <c r="H11337" s="711"/>
      <c r="I11337" s="711"/>
      <c r="J11337" s="711"/>
      <c r="K11337" s="711"/>
      <c r="L11337" s="711"/>
      <c r="Q11337" s="11"/>
      <c r="R11337" s="11"/>
      <c r="S11337" s="11"/>
      <c r="T11337" s="11"/>
    </row>
    <row r="11338" spans="8:20" x14ac:dyDescent="0.35">
      <c r="H11338" s="711"/>
      <c r="I11338" s="711"/>
      <c r="J11338" s="711"/>
      <c r="K11338" s="711"/>
      <c r="L11338" s="711"/>
      <c r="Q11338" s="11"/>
      <c r="R11338" s="11"/>
      <c r="S11338" s="11"/>
      <c r="T11338" s="11"/>
    </row>
    <row r="11339" spans="8:20" x14ac:dyDescent="0.35">
      <c r="H11339" s="711"/>
      <c r="I11339" s="711"/>
      <c r="J11339" s="711"/>
      <c r="K11339" s="711"/>
      <c r="L11339" s="711"/>
      <c r="Q11339" s="11"/>
      <c r="R11339" s="11"/>
      <c r="S11339" s="11"/>
      <c r="T11339" s="11"/>
    </row>
    <row r="11340" spans="8:20" x14ac:dyDescent="0.35">
      <c r="H11340" s="711"/>
      <c r="I11340" s="711"/>
      <c r="J11340" s="711"/>
      <c r="K11340" s="711"/>
      <c r="L11340" s="711"/>
      <c r="Q11340" s="11"/>
      <c r="R11340" s="11"/>
      <c r="S11340" s="11"/>
      <c r="T11340" s="11"/>
    </row>
    <row r="11341" spans="8:20" x14ac:dyDescent="0.35">
      <c r="H11341" s="711"/>
      <c r="I11341" s="711"/>
      <c r="J11341" s="711"/>
      <c r="K11341" s="711"/>
      <c r="L11341" s="711"/>
      <c r="Q11341" s="11"/>
      <c r="R11341" s="11"/>
      <c r="S11341" s="11"/>
      <c r="T11341" s="11"/>
    </row>
    <row r="11342" spans="8:20" x14ac:dyDescent="0.35">
      <c r="H11342" s="711"/>
      <c r="I11342" s="711"/>
      <c r="J11342" s="711"/>
      <c r="K11342" s="711"/>
      <c r="L11342" s="711"/>
      <c r="Q11342" s="11"/>
      <c r="R11342" s="11"/>
      <c r="S11342" s="11"/>
      <c r="T11342" s="11"/>
    </row>
    <row r="11343" spans="8:20" x14ac:dyDescent="0.35">
      <c r="H11343" s="711"/>
      <c r="I11343" s="711"/>
      <c r="J11343" s="711"/>
      <c r="K11343" s="711"/>
      <c r="L11343" s="711"/>
      <c r="Q11343" s="11"/>
      <c r="R11343" s="11"/>
      <c r="S11343" s="11"/>
      <c r="T11343" s="11"/>
    </row>
    <row r="11344" spans="8:20" x14ac:dyDescent="0.35">
      <c r="H11344" s="711"/>
      <c r="I11344" s="711"/>
      <c r="J11344" s="711"/>
      <c r="K11344" s="711"/>
      <c r="L11344" s="711"/>
      <c r="Q11344" s="11"/>
      <c r="R11344" s="11"/>
      <c r="S11344" s="11"/>
      <c r="T11344" s="11"/>
    </row>
    <row r="11345" spans="8:20" x14ac:dyDescent="0.35">
      <c r="H11345" s="711"/>
      <c r="I11345" s="711"/>
      <c r="J11345" s="711"/>
      <c r="K11345" s="711"/>
      <c r="L11345" s="711"/>
      <c r="Q11345" s="11"/>
      <c r="R11345" s="11"/>
      <c r="S11345" s="11"/>
      <c r="T11345" s="11"/>
    </row>
    <row r="11346" spans="8:20" x14ac:dyDescent="0.35">
      <c r="H11346" s="711"/>
      <c r="I11346" s="711"/>
      <c r="J11346" s="711"/>
      <c r="K11346" s="711"/>
      <c r="L11346" s="711"/>
      <c r="Q11346" s="11"/>
      <c r="R11346" s="11"/>
      <c r="S11346" s="11"/>
      <c r="T11346" s="11"/>
    </row>
    <row r="11347" spans="8:20" x14ac:dyDescent="0.35">
      <c r="H11347" s="711"/>
      <c r="I11347" s="711"/>
      <c r="J11347" s="711"/>
      <c r="K11347" s="711"/>
      <c r="L11347" s="711"/>
      <c r="Q11347" s="11"/>
      <c r="R11347" s="11"/>
      <c r="S11347" s="11"/>
      <c r="T11347" s="11"/>
    </row>
    <row r="11348" spans="8:20" x14ac:dyDescent="0.35">
      <c r="H11348" s="711"/>
      <c r="I11348" s="711"/>
      <c r="J11348" s="711"/>
      <c r="K11348" s="711"/>
      <c r="L11348" s="711"/>
      <c r="Q11348" s="11"/>
      <c r="R11348" s="11"/>
      <c r="S11348" s="11"/>
      <c r="T11348" s="11"/>
    </row>
    <row r="11349" spans="8:20" x14ac:dyDescent="0.35">
      <c r="H11349" s="711"/>
      <c r="I11349" s="711"/>
      <c r="J11349" s="711"/>
      <c r="K11349" s="711"/>
      <c r="L11349" s="711"/>
      <c r="Q11349" s="11"/>
      <c r="R11349" s="11"/>
      <c r="S11349" s="11"/>
      <c r="T11349" s="11"/>
    </row>
    <row r="11350" spans="8:20" x14ac:dyDescent="0.35">
      <c r="H11350" s="711"/>
      <c r="I11350" s="711"/>
      <c r="J11350" s="711"/>
      <c r="K11350" s="711"/>
      <c r="L11350" s="711"/>
      <c r="Q11350" s="11"/>
      <c r="R11350" s="11"/>
      <c r="S11350" s="11"/>
      <c r="T11350" s="11"/>
    </row>
    <row r="11351" spans="8:20" x14ac:dyDescent="0.35">
      <c r="H11351" s="711"/>
      <c r="I11351" s="711"/>
      <c r="J11351" s="711"/>
      <c r="K11351" s="711"/>
      <c r="L11351" s="711"/>
      <c r="Q11351" s="11"/>
      <c r="R11351" s="11"/>
      <c r="S11351" s="11"/>
      <c r="T11351" s="11"/>
    </row>
    <row r="11352" spans="8:20" x14ac:dyDescent="0.35">
      <c r="H11352" s="711"/>
      <c r="I11352" s="711"/>
      <c r="J11352" s="711"/>
      <c r="K11352" s="711"/>
      <c r="L11352" s="711"/>
      <c r="Q11352" s="11"/>
      <c r="R11352" s="11"/>
      <c r="S11352" s="11"/>
      <c r="T11352" s="11"/>
    </row>
    <row r="11353" spans="8:20" x14ac:dyDescent="0.35">
      <c r="H11353" s="711"/>
      <c r="I11353" s="711"/>
      <c r="J11353" s="711"/>
      <c r="K11353" s="711"/>
      <c r="L11353" s="711"/>
      <c r="Q11353" s="11"/>
      <c r="R11353" s="11"/>
      <c r="S11353" s="11"/>
      <c r="T11353" s="11"/>
    </row>
    <row r="11354" spans="8:20" x14ac:dyDescent="0.35">
      <c r="H11354" s="711"/>
      <c r="I11354" s="711"/>
      <c r="J11354" s="711"/>
      <c r="K11354" s="711"/>
      <c r="L11354" s="711"/>
      <c r="Q11354" s="11"/>
      <c r="R11354" s="11"/>
      <c r="S11354" s="11"/>
      <c r="T11354" s="11"/>
    </row>
    <row r="11355" spans="8:20" x14ac:dyDescent="0.35">
      <c r="H11355" s="711"/>
      <c r="I11355" s="711"/>
      <c r="J11355" s="711"/>
      <c r="K11355" s="711"/>
      <c r="L11355" s="711"/>
      <c r="Q11355" s="11"/>
      <c r="R11355" s="11"/>
      <c r="S11355" s="11"/>
      <c r="T11355" s="11"/>
    </row>
    <row r="11356" spans="8:20" x14ac:dyDescent="0.35">
      <c r="H11356" s="711"/>
      <c r="I11356" s="711"/>
      <c r="J11356" s="711"/>
      <c r="K11356" s="711"/>
      <c r="L11356" s="711"/>
      <c r="Q11356" s="11"/>
      <c r="R11356" s="11"/>
      <c r="S11356" s="11"/>
      <c r="T11356" s="11"/>
    </row>
    <row r="11357" spans="8:20" x14ac:dyDescent="0.35">
      <c r="H11357" s="711"/>
      <c r="I11357" s="711"/>
      <c r="J11357" s="711"/>
      <c r="K11357" s="711"/>
      <c r="L11357" s="711"/>
      <c r="Q11357" s="11"/>
      <c r="R11357" s="11"/>
      <c r="S11357" s="11"/>
      <c r="T11357" s="11"/>
    </row>
    <row r="11358" spans="8:20" x14ac:dyDescent="0.35">
      <c r="H11358" s="711"/>
      <c r="I11358" s="711"/>
      <c r="J11358" s="711"/>
      <c r="K11358" s="711"/>
      <c r="L11358" s="711"/>
      <c r="Q11358" s="11"/>
      <c r="R11358" s="11"/>
      <c r="S11358" s="11"/>
      <c r="T11358" s="11"/>
    </row>
    <row r="11359" spans="8:20" x14ac:dyDescent="0.35">
      <c r="H11359" s="711"/>
      <c r="I11359" s="711"/>
      <c r="J11359" s="711"/>
      <c r="K11359" s="711"/>
      <c r="L11359" s="711"/>
      <c r="Q11359" s="11"/>
      <c r="R11359" s="11"/>
      <c r="S11359" s="11"/>
      <c r="T11359" s="11"/>
    </row>
    <row r="11360" spans="8:20" x14ac:dyDescent="0.35">
      <c r="H11360" s="711"/>
      <c r="I11360" s="711"/>
      <c r="J11360" s="711"/>
      <c r="K11360" s="711"/>
      <c r="L11360" s="711"/>
      <c r="Q11360" s="11"/>
      <c r="R11360" s="11"/>
      <c r="S11360" s="11"/>
      <c r="T11360" s="11"/>
    </row>
    <row r="11361" spans="8:20" x14ac:dyDescent="0.35">
      <c r="H11361" s="711"/>
      <c r="I11361" s="711"/>
      <c r="J11361" s="711"/>
      <c r="K11361" s="711"/>
      <c r="L11361" s="711"/>
      <c r="Q11361" s="11"/>
      <c r="R11361" s="11"/>
      <c r="S11361" s="11"/>
      <c r="T11361" s="11"/>
    </row>
    <row r="11362" spans="8:20" x14ac:dyDescent="0.35">
      <c r="H11362" s="711"/>
      <c r="I11362" s="711"/>
      <c r="J11362" s="711"/>
      <c r="K11362" s="711"/>
      <c r="L11362" s="711"/>
      <c r="Q11362" s="11"/>
      <c r="R11362" s="11"/>
      <c r="S11362" s="11"/>
      <c r="T11362" s="11"/>
    </row>
    <row r="11363" spans="8:20" x14ac:dyDescent="0.35">
      <c r="H11363" s="711"/>
      <c r="I11363" s="711"/>
      <c r="J11363" s="711"/>
      <c r="K11363" s="711"/>
      <c r="L11363" s="711"/>
      <c r="Q11363" s="11"/>
      <c r="R11363" s="11"/>
      <c r="S11363" s="11"/>
      <c r="T11363" s="11"/>
    </row>
    <row r="11364" spans="8:20" x14ac:dyDescent="0.35">
      <c r="H11364" s="711"/>
      <c r="I11364" s="711"/>
      <c r="J11364" s="711"/>
      <c r="K11364" s="711"/>
      <c r="L11364" s="711"/>
      <c r="Q11364" s="11"/>
      <c r="R11364" s="11"/>
      <c r="S11364" s="11"/>
      <c r="T11364" s="11"/>
    </row>
    <row r="11365" spans="8:20" x14ac:dyDescent="0.35">
      <c r="H11365" s="711"/>
      <c r="I11365" s="711"/>
      <c r="J11365" s="711"/>
      <c r="K11365" s="711"/>
      <c r="L11365" s="711"/>
      <c r="Q11365" s="11"/>
      <c r="R11365" s="11"/>
      <c r="S11365" s="11"/>
      <c r="T11365" s="11"/>
    </row>
    <row r="11366" spans="8:20" x14ac:dyDescent="0.35">
      <c r="H11366" s="711"/>
      <c r="I11366" s="711"/>
      <c r="J11366" s="711"/>
      <c r="K11366" s="711"/>
      <c r="L11366" s="711"/>
      <c r="Q11366" s="11"/>
      <c r="R11366" s="11"/>
      <c r="S11366" s="11"/>
      <c r="T11366" s="11"/>
    </row>
    <row r="11367" spans="8:20" x14ac:dyDescent="0.35">
      <c r="H11367" s="711"/>
      <c r="I11367" s="711"/>
      <c r="J11367" s="711"/>
      <c r="K11367" s="711"/>
      <c r="L11367" s="711"/>
      <c r="Q11367" s="11"/>
      <c r="R11367" s="11"/>
      <c r="S11367" s="11"/>
      <c r="T11367" s="11"/>
    </row>
    <row r="11368" spans="8:20" x14ac:dyDescent="0.35">
      <c r="H11368" s="711"/>
      <c r="I11368" s="711"/>
      <c r="J11368" s="711"/>
      <c r="K11368" s="711"/>
      <c r="L11368" s="711"/>
      <c r="Q11368" s="11"/>
      <c r="R11368" s="11"/>
      <c r="S11368" s="11"/>
      <c r="T11368" s="11"/>
    </row>
    <row r="11369" spans="8:20" x14ac:dyDescent="0.35">
      <c r="H11369" s="711"/>
      <c r="I11369" s="711"/>
      <c r="J11369" s="711"/>
      <c r="K11369" s="711"/>
      <c r="L11369" s="711"/>
      <c r="Q11369" s="11"/>
      <c r="R11369" s="11"/>
      <c r="S11369" s="11"/>
      <c r="T11369" s="11"/>
    </row>
    <row r="11370" spans="8:20" x14ac:dyDescent="0.35">
      <c r="H11370" s="711"/>
      <c r="I11370" s="711"/>
      <c r="J11370" s="711"/>
      <c r="K11370" s="711"/>
      <c r="L11370" s="711"/>
      <c r="Q11370" s="11"/>
      <c r="R11370" s="11"/>
      <c r="S11370" s="11"/>
      <c r="T11370" s="11"/>
    </row>
    <row r="11371" spans="8:20" x14ac:dyDescent="0.35">
      <c r="H11371" s="711"/>
      <c r="I11371" s="711"/>
      <c r="J11371" s="711"/>
      <c r="K11371" s="711"/>
      <c r="L11371" s="711"/>
      <c r="Q11371" s="11"/>
      <c r="R11371" s="11"/>
      <c r="S11371" s="11"/>
      <c r="T11371" s="11"/>
    </row>
    <row r="11372" spans="8:20" x14ac:dyDescent="0.35">
      <c r="H11372" s="711"/>
      <c r="I11372" s="711"/>
      <c r="J11372" s="711"/>
      <c r="K11372" s="711"/>
      <c r="L11372" s="711"/>
      <c r="Q11372" s="11"/>
      <c r="R11372" s="11"/>
      <c r="S11372" s="11"/>
      <c r="T11372" s="11"/>
    </row>
    <row r="11373" spans="8:20" x14ac:dyDescent="0.35">
      <c r="H11373" s="711"/>
      <c r="I11373" s="711"/>
      <c r="J11373" s="711"/>
      <c r="K11373" s="711"/>
      <c r="L11373" s="711"/>
      <c r="Q11373" s="11"/>
      <c r="R11373" s="11"/>
      <c r="S11373" s="11"/>
      <c r="T11373" s="11"/>
    </row>
    <row r="11374" spans="8:20" x14ac:dyDescent="0.35">
      <c r="H11374" s="711"/>
      <c r="I11374" s="711"/>
      <c r="J11374" s="711"/>
      <c r="K11374" s="711"/>
      <c r="L11374" s="711"/>
      <c r="Q11374" s="11"/>
      <c r="R11374" s="11"/>
      <c r="S11374" s="11"/>
      <c r="T11374" s="11"/>
    </row>
    <row r="11375" spans="8:20" x14ac:dyDescent="0.35">
      <c r="H11375" s="711"/>
      <c r="I11375" s="711"/>
      <c r="J11375" s="711"/>
      <c r="K11375" s="711"/>
      <c r="L11375" s="711"/>
      <c r="Q11375" s="11"/>
      <c r="R11375" s="11"/>
      <c r="S11375" s="11"/>
      <c r="T11375" s="11"/>
    </row>
    <row r="11376" spans="8:20" x14ac:dyDescent="0.35">
      <c r="H11376" s="711"/>
      <c r="I11376" s="711"/>
      <c r="J11376" s="711"/>
      <c r="K11376" s="711"/>
      <c r="L11376" s="711"/>
      <c r="Q11376" s="11"/>
      <c r="R11376" s="11"/>
      <c r="S11376" s="11"/>
      <c r="T11376" s="11"/>
    </row>
    <row r="11377" spans="8:20" x14ac:dyDescent="0.35">
      <c r="H11377" s="711"/>
      <c r="I11377" s="711"/>
      <c r="J11377" s="711"/>
      <c r="K11377" s="711"/>
      <c r="L11377" s="711"/>
      <c r="Q11377" s="11"/>
      <c r="R11377" s="11"/>
      <c r="S11377" s="11"/>
      <c r="T11377" s="11"/>
    </row>
    <row r="11378" spans="8:20" x14ac:dyDescent="0.35">
      <c r="H11378" s="711"/>
      <c r="I11378" s="711"/>
      <c r="J11378" s="711"/>
      <c r="K11378" s="711"/>
      <c r="L11378" s="711"/>
      <c r="Q11378" s="11"/>
      <c r="R11378" s="11"/>
      <c r="S11378" s="11"/>
      <c r="T11378" s="11"/>
    </row>
    <row r="11379" spans="8:20" x14ac:dyDescent="0.35">
      <c r="H11379" s="711"/>
      <c r="I11379" s="711"/>
      <c r="J11379" s="711"/>
      <c r="K11379" s="711"/>
      <c r="L11379" s="711"/>
      <c r="Q11379" s="11"/>
      <c r="R11379" s="11"/>
      <c r="S11379" s="11"/>
      <c r="T11379" s="11"/>
    </row>
    <row r="11380" spans="8:20" x14ac:dyDescent="0.35">
      <c r="H11380" s="711"/>
      <c r="I11380" s="711"/>
      <c r="J11380" s="711"/>
      <c r="K11380" s="711"/>
      <c r="L11380" s="711"/>
      <c r="Q11380" s="11"/>
      <c r="R11380" s="11"/>
      <c r="S11380" s="11"/>
      <c r="T11380" s="11"/>
    </row>
    <row r="11381" spans="8:20" x14ac:dyDescent="0.35">
      <c r="H11381" s="711"/>
      <c r="I11381" s="711"/>
      <c r="J11381" s="711"/>
      <c r="K11381" s="711"/>
      <c r="L11381" s="711"/>
      <c r="Q11381" s="11"/>
      <c r="R11381" s="11"/>
      <c r="S11381" s="11"/>
      <c r="T11381" s="11"/>
    </row>
    <row r="11382" spans="8:20" x14ac:dyDescent="0.35">
      <c r="H11382" s="711"/>
      <c r="I11382" s="711"/>
      <c r="J11382" s="711"/>
      <c r="K11382" s="711"/>
      <c r="L11382" s="711"/>
      <c r="Q11382" s="11"/>
      <c r="R11382" s="11"/>
      <c r="S11382" s="11"/>
      <c r="T11382" s="11"/>
    </row>
    <row r="11383" spans="8:20" x14ac:dyDescent="0.35">
      <c r="H11383" s="711"/>
      <c r="I11383" s="711"/>
      <c r="J11383" s="711"/>
      <c r="K11383" s="711"/>
      <c r="L11383" s="711"/>
      <c r="Q11383" s="11"/>
      <c r="R11383" s="11"/>
      <c r="S11383" s="11"/>
      <c r="T11383" s="11"/>
    </row>
    <row r="11384" spans="8:20" x14ac:dyDescent="0.35">
      <c r="H11384" s="711"/>
      <c r="I11384" s="711"/>
      <c r="J11384" s="711"/>
      <c r="K11384" s="711"/>
      <c r="L11384" s="711"/>
      <c r="Q11384" s="11"/>
      <c r="R11384" s="11"/>
      <c r="S11384" s="11"/>
      <c r="T11384" s="11"/>
    </row>
    <row r="11385" spans="8:20" x14ac:dyDescent="0.35">
      <c r="H11385" s="711"/>
      <c r="I11385" s="711"/>
      <c r="J11385" s="711"/>
      <c r="K11385" s="711"/>
      <c r="L11385" s="711"/>
      <c r="Q11385" s="11"/>
      <c r="R11385" s="11"/>
      <c r="S11385" s="11"/>
      <c r="T11385" s="11"/>
    </row>
    <row r="11386" spans="8:20" x14ac:dyDescent="0.35">
      <c r="H11386" s="711"/>
      <c r="I11386" s="711"/>
      <c r="J11386" s="711"/>
      <c r="K11386" s="711"/>
      <c r="L11386" s="711"/>
      <c r="Q11386" s="11"/>
      <c r="R11386" s="11"/>
      <c r="S11386" s="11"/>
      <c r="T11386" s="11"/>
    </row>
    <row r="11387" spans="8:20" x14ac:dyDescent="0.35">
      <c r="H11387" s="711"/>
      <c r="I11387" s="711"/>
      <c r="J11387" s="711"/>
      <c r="K11387" s="711"/>
      <c r="L11387" s="711"/>
      <c r="Q11387" s="11"/>
      <c r="R11387" s="11"/>
      <c r="S11387" s="11"/>
      <c r="T11387" s="11"/>
    </row>
    <row r="11388" spans="8:20" x14ac:dyDescent="0.35">
      <c r="H11388" s="711"/>
      <c r="I11388" s="711"/>
      <c r="J11388" s="711"/>
      <c r="K11388" s="711"/>
      <c r="L11388" s="711"/>
      <c r="Q11388" s="11"/>
      <c r="R11388" s="11"/>
      <c r="S11388" s="11"/>
      <c r="T11388" s="11"/>
    </row>
    <row r="11389" spans="8:20" x14ac:dyDescent="0.35">
      <c r="H11389" s="711"/>
      <c r="I11389" s="711"/>
      <c r="J11389" s="711"/>
      <c r="K11389" s="711"/>
      <c r="L11389" s="711"/>
      <c r="Q11389" s="11"/>
      <c r="R11389" s="11"/>
      <c r="S11389" s="11"/>
      <c r="T11389" s="11"/>
    </row>
    <row r="11390" spans="8:20" x14ac:dyDescent="0.35">
      <c r="H11390" s="711"/>
      <c r="I11390" s="711"/>
      <c r="J11390" s="711"/>
      <c r="K11390" s="711"/>
      <c r="L11390" s="711"/>
      <c r="Q11390" s="11"/>
      <c r="R11390" s="11"/>
      <c r="S11390" s="11"/>
      <c r="T11390" s="11"/>
    </row>
    <row r="11391" spans="8:20" x14ac:dyDescent="0.35">
      <c r="H11391" s="711"/>
      <c r="I11391" s="711"/>
      <c r="J11391" s="711"/>
      <c r="K11391" s="711"/>
      <c r="L11391" s="711"/>
      <c r="Q11391" s="11"/>
      <c r="R11391" s="11"/>
      <c r="S11391" s="11"/>
      <c r="T11391" s="11"/>
    </row>
    <row r="11392" spans="8:20" x14ac:dyDescent="0.35">
      <c r="H11392" s="711"/>
      <c r="I11392" s="711"/>
      <c r="J11392" s="711"/>
      <c r="K11392" s="711"/>
      <c r="L11392" s="711"/>
      <c r="Q11392" s="11"/>
      <c r="R11392" s="11"/>
      <c r="S11392" s="11"/>
      <c r="T11392" s="11"/>
    </row>
    <row r="11393" spans="8:20" x14ac:dyDescent="0.35">
      <c r="H11393" s="711"/>
      <c r="I11393" s="711"/>
      <c r="J11393" s="711"/>
      <c r="K11393" s="711"/>
      <c r="L11393" s="711"/>
      <c r="Q11393" s="11"/>
      <c r="R11393" s="11"/>
      <c r="S11393" s="11"/>
      <c r="T11393" s="11"/>
    </row>
    <row r="11394" spans="8:20" x14ac:dyDescent="0.35">
      <c r="H11394" s="711"/>
      <c r="I11394" s="711"/>
      <c r="J11394" s="711"/>
      <c r="K11394" s="711"/>
      <c r="L11394" s="711"/>
      <c r="Q11394" s="11"/>
      <c r="R11394" s="11"/>
      <c r="S11394" s="11"/>
      <c r="T11394" s="11"/>
    </row>
    <row r="11395" spans="8:20" x14ac:dyDescent="0.35">
      <c r="H11395" s="711"/>
      <c r="I11395" s="711"/>
      <c r="J11395" s="711"/>
      <c r="K11395" s="711"/>
      <c r="L11395" s="711"/>
      <c r="Q11395" s="11"/>
      <c r="R11395" s="11"/>
      <c r="S11395" s="11"/>
      <c r="T11395" s="11"/>
    </row>
    <row r="11396" spans="8:20" x14ac:dyDescent="0.35">
      <c r="H11396" s="711"/>
      <c r="I11396" s="711"/>
      <c r="J11396" s="711"/>
      <c r="K11396" s="711"/>
      <c r="L11396" s="711"/>
      <c r="Q11396" s="11"/>
      <c r="R11396" s="11"/>
      <c r="S11396" s="11"/>
      <c r="T11396" s="11"/>
    </row>
    <row r="11397" spans="8:20" x14ac:dyDescent="0.35">
      <c r="H11397" s="711"/>
      <c r="I11397" s="711"/>
      <c r="J11397" s="711"/>
      <c r="K11397" s="711"/>
      <c r="L11397" s="711"/>
      <c r="Q11397" s="11"/>
      <c r="R11397" s="11"/>
      <c r="S11397" s="11"/>
      <c r="T11397" s="11"/>
    </row>
    <row r="11398" spans="8:20" x14ac:dyDescent="0.35">
      <c r="H11398" s="711"/>
      <c r="I11398" s="711"/>
      <c r="J11398" s="711"/>
      <c r="K11398" s="711"/>
      <c r="L11398" s="711"/>
      <c r="Q11398" s="11"/>
      <c r="R11398" s="11"/>
      <c r="S11398" s="11"/>
      <c r="T11398" s="11"/>
    </row>
    <row r="11399" spans="8:20" x14ac:dyDescent="0.35">
      <c r="H11399" s="711"/>
      <c r="I11399" s="711"/>
      <c r="J11399" s="711"/>
      <c r="K11399" s="711"/>
      <c r="L11399" s="711"/>
      <c r="Q11399" s="11"/>
      <c r="R11399" s="11"/>
      <c r="S11399" s="11"/>
      <c r="T11399" s="11"/>
    </row>
    <row r="11400" spans="8:20" x14ac:dyDescent="0.35">
      <c r="H11400" s="711"/>
      <c r="I11400" s="711"/>
      <c r="J11400" s="711"/>
      <c r="K11400" s="711"/>
      <c r="L11400" s="711"/>
      <c r="Q11400" s="11"/>
      <c r="R11400" s="11"/>
      <c r="S11400" s="11"/>
      <c r="T11400" s="11"/>
    </row>
    <row r="11401" spans="8:20" x14ac:dyDescent="0.35">
      <c r="H11401" s="711"/>
      <c r="I11401" s="711"/>
      <c r="J11401" s="711"/>
      <c r="K11401" s="711"/>
      <c r="L11401" s="711"/>
      <c r="Q11401" s="11"/>
      <c r="R11401" s="11"/>
      <c r="S11401" s="11"/>
      <c r="T11401" s="11"/>
    </row>
    <row r="11402" spans="8:20" x14ac:dyDescent="0.35">
      <c r="H11402" s="711"/>
      <c r="I11402" s="711"/>
      <c r="J11402" s="711"/>
      <c r="K11402" s="711"/>
      <c r="L11402" s="711"/>
      <c r="Q11402" s="11"/>
      <c r="R11402" s="11"/>
      <c r="S11402" s="11"/>
      <c r="T11402" s="11"/>
    </row>
    <row r="11403" spans="8:20" x14ac:dyDescent="0.35">
      <c r="H11403" s="711"/>
      <c r="I11403" s="711"/>
      <c r="J11403" s="711"/>
      <c r="K11403" s="711"/>
      <c r="L11403" s="711"/>
      <c r="Q11403" s="11"/>
      <c r="R11403" s="11"/>
      <c r="S11403" s="11"/>
      <c r="T11403" s="11"/>
    </row>
    <row r="11404" spans="8:20" x14ac:dyDescent="0.35">
      <c r="H11404" s="711"/>
      <c r="I11404" s="711"/>
      <c r="J11404" s="711"/>
      <c r="K11404" s="711"/>
      <c r="L11404" s="711"/>
      <c r="Q11404" s="11"/>
      <c r="R11404" s="11"/>
      <c r="S11404" s="11"/>
      <c r="T11404" s="11"/>
    </row>
    <row r="11405" spans="8:20" x14ac:dyDescent="0.35">
      <c r="H11405" s="711"/>
      <c r="I11405" s="711"/>
      <c r="J11405" s="711"/>
      <c r="K11405" s="711"/>
      <c r="L11405" s="711"/>
      <c r="Q11405" s="11"/>
      <c r="R11405" s="11"/>
      <c r="S11405" s="11"/>
      <c r="T11405" s="11"/>
    </row>
    <row r="11406" spans="8:20" x14ac:dyDescent="0.35">
      <c r="H11406" s="711"/>
      <c r="I11406" s="711"/>
      <c r="J11406" s="711"/>
      <c r="K11406" s="711"/>
      <c r="L11406" s="711"/>
      <c r="Q11406" s="11"/>
      <c r="R11406" s="11"/>
      <c r="S11406" s="11"/>
      <c r="T11406" s="11"/>
    </row>
    <row r="11407" spans="8:20" x14ac:dyDescent="0.35">
      <c r="H11407" s="711"/>
      <c r="I11407" s="711"/>
      <c r="J11407" s="711"/>
      <c r="K11407" s="711"/>
      <c r="L11407" s="711"/>
      <c r="Q11407" s="11"/>
      <c r="R11407" s="11"/>
      <c r="S11407" s="11"/>
      <c r="T11407" s="11"/>
    </row>
    <row r="11408" spans="8:20" x14ac:dyDescent="0.35">
      <c r="H11408" s="711"/>
      <c r="I11408" s="711"/>
      <c r="J11408" s="711"/>
      <c r="K11408" s="711"/>
      <c r="L11408" s="711"/>
      <c r="Q11408" s="11"/>
      <c r="R11408" s="11"/>
      <c r="S11408" s="11"/>
      <c r="T11408" s="11"/>
    </row>
    <row r="11409" spans="8:20" x14ac:dyDescent="0.35">
      <c r="H11409" s="711"/>
      <c r="I11409" s="711"/>
      <c r="J11409" s="711"/>
      <c r="K11409" s="711"/>
      <c r="L11409" s="711"/>
      <c r="Q11409" s="11"/>
      <c r="R11409" s="11"/>
      <c r="S11409" s="11"/>
      <c r="T11409" s="11"/>
    </row>
    <row r="11410" spans="8:20" x14ac:dyDescent="0.35">
      <c r="H11410" s="711"/>
      <c r="I11410" s="711"/>
      <c r="J11410" s="711"/>
      <c r="K11410" s="711"/>
      <c r="L11410" s="711"/>
      <c r="Q11410" s="11"/>
      <c r="R11410" s="11"/>
      <c r="S11410" s="11"/>
      <c r="T11410" s="11"/>
    </row>
    <row r="11411" spans="8:20" x14ac:dyDescent="0.35">
      <c r="H11411" s="711"/>
      <c r="I11411" s="711"/>
      <c r="J11411" s="711"/>
      <c r="K11411" s="711"/>
      <c r="L11411" s="711"/>
      <c r="Q11411" s="11"/>
      <c r="R11411" s="11"/>
      <c r="S11411" s="11"/>
      <c r="T11411" s="11"/>
    </row>
    <row r="11412" spans="8:20" x14ac:dyDescent="0.35">
      <c r="H11412" s="711"/>
      <c r="I11412" s="711"/>
      <c r="J11412" s="711"/>
      <c r="K11412" s="711"/>
      <c r="L11412" s="711"/>
      <c r="Q11412" s="11"/>
      <c r="R11412" s="11"/>
      <c r="S11412" s="11"/>
      <c r="T11412" s="11"/>
    </row>
    <row r="11413" spans="8:20" x14ac:dyDescent="0.35">
      <c r="H11413" s="711"/>
      <c r="I11413" s="711"/>
      <c r="J11413" s="711"/>
      <c r="K11413" s="711"/>
      <c r="L11413" s="711"/>
      <c r="Q11413" s="11"/>
      <c r="R11413" s="11"/>
      <c r="S11413" s="11"/>
      <c r="T11413" s="11"/>
    </row>
    <row r="11414" spans="8:20" x14ac:dyDescent="0.35">
      <c r="H11414" s="711"/>
      <c r="I11414" s="711"/>
      <c r="J11414" s="711"/>
      <c r="K11414" s="711"/>
      <c r="L11414" s="711"/>
      <c r="Q11414" s="11"/>
      <c r="R11414" s="11"/>
      <c r="S11414" s="11"/>
      <c r="T11414" s="11"/>
    </row>
    <row r="11415" spans="8:20" x14ac:dyDescent="0.35">
      <c r="H11415" s="711"/>
      <c r="I11415" s="711"/>
      <c r="J11415" s="711"/>
      <c r="K11415" s="711"/>
      <c r="L11415" s="711"/>
      <c r="Q11415" s="11"/>
      <c r="R11415" s="11"/>
      <c r="S11415" s="11"/>
      <c r="T11415" s="11"/>
    </row>
    <row r="11416" spans="8:20" x14ac:dyDescent="0.35">
      <c r="H11416" s="711"/>
      <c r="I11416" s="711"/>
      <c r="J11416" s="711"/>
      <c r="K11416" s="711"/>
      <c r="L11416" s="711"/>
      <c r="Q11416" s="11"/>
      <c r="R11416" s="11"/>
      <c r="S11416" s="11"/>
      <c r="T11416" s="11"/>
    </row>
    <row r="11417" spans="8:20" x14ac:dyDescent="0.35">
      <c r="H11417" s="711"/>
      <c r="I11417" s="711"/>
      <c r="J11417" s="711"/>
      <c r="K11417" s="711"/>
      <c r="L11417" s="711"/>
      <c r="Q11417" s="11"/>
      <c r="R11417" s="11"/>
      <c r="S11417" s="11"/>
      <c r="T11417" s="11"/>
    </row>
    <row r="11418" spans="8:20" x14ac:dyDescent="0.35">
      <c r="H11418" s="711"/>
      <c r="I11418" s="711"/>
      <c r="J11418" s="711"/>
      <c r="K11418" s="711"/>
      <c r="L11418" s="711"/>
      <c r="Q11418" s="11"/>
      <c r="R11418" s="11"/>
      <c r="S11418" s="11"/>
      <c r="T11418" s="11"/>
    </row>
    <row r="11419" spans="8:20" x14ac:dyDescent="0.35">
      <c r="H11419" s="711"/>
      <c r="I11419" s="711"/>
      <c r="J11419" s="711"/>
      <c r="K11419" s="711"/>
      <c r="L11419" s="711"/>
      <c r="Q11419" s="11"/>
      <c r="R11419" s="11"/>
      <c r="S11419" s="11"/>
      <c r="T11419" s="11"/>
    </row>
    <row r="11420" spans="8:20" x14ac:dyDescent="0.35">
      <c r="H11420" s="711"/>
      <c r="I11420" s="711"/>
      <c r="J11420" s="711"/>
      <c r="K11420" s="711"/>
      <c r="L11420" s="711"/>
      <c r="Q11420" s="11"/>
      <c r="R11420" s="11"/>
      <c r="S11420" s="11"/>
      <c r="T11420" s="11"/>
    </row>
    <row r="11421" spans="8:20" x14ac:dyDescent="0.35">
      <c r="H11421" s="711"/>
      <c r="I11421" s="711"/>
      <c r="J11421" s="711"/>
      <c r="K11421" s="711"/>
      <c r="L11421" s="711"/>
      <c r="Q11421" s="11"/>
      <c r="R11421" s="11"/>
      <c r="S11421" s="11"/>
      <c r="T11421" s="11"/>
    </row>
    <row r="11422" spans="8:20" x14ac:dyDescent="0.35">
      <c r="H11422" s="711"/>
      <c r="I11422" s="711"/>
      <c r="J11422" s="711"/>
      <c r="K11422" s="711"/>
      <c r="L11422" s="711"/>
      <c r="Q11422" s="11"/>
      <c r="R11422" s="11"/>
      <c r="S11422" s="11"/>
      <c r="T11422" s="11"/>
    </row>
    <row r="11423" spans="8:20" x14ac:dyDescent="0.35">
      <c r="H11423" s="711"/>
      <c r="I11423" s="711"/>
      <c r="J11423" s="711"/>
      <c r="K11423" s="711"/>
      <c r="L11423" s="711"/>
      <c r="Q11423" s="11"/>
      <c r="R11423" s="11"/>
      <c r="S11423" s="11"/>
      <c r="T11423" s="11"/>
    </row>
    <row r="11424" spans="8:20" x14ac:dyDescent="0.35">
      <c r="H11424" s="711"/>
      <c r="I11424" s="711"/>
      <c r="J11424" s="711"/>
      <c r="K11424" s="711"/>
      <c r="L11424" s="711"/>
      <c r="Q11424" s="11"/>
      <c r="R11424" s="11"/>
      <c r="S11424" s="11"/>
      <c r="T11424" s="11"/>
    </row>
    <row r="11425" spans="8:20" x14ac:dyDescent="0.35">
      <c r="H11425" s="711"/>
      <c r="I11425" s="711"/>
      <c r="J11425" s="711"/>
      <c r="K11425" s="711"/>
      <c r="L11425" s="711"/>
      <c r="Q11425" s="11"/>
      <c r="R11425" s="11"/>
      <c r="S11425" s="11"/>
      <c r="T11425" s="11"/>
    </row>
    <row r="11426" spans="8:20" x14ac:dyDescent="0.35">
      <c r="H11426" s="711"/>
      <c r="I11426" s="711"/>
      <c r="J11426" s="711"/>
      <c r="K11426" s="711"/>
      <c r="L11426" s="711"/>
      <c r="Q11426" s="11"/>
      <c r="R11426" s="11"/>
      <c r="S11426" s="11"/>
      <c r="T11426" s="11"/>
    </row>
    <row r="11427" spans="8:20" x14ac:dyDescent="0.35">
      <c r="H11427" s="711"/>
      <c r="I11427" s="711"/>
      <c r="J11427" s="711"/>
      <c r="K11427" s="711"/>
      <c r="L11427" s="711"/>
      <c r="Q11427" s="11"/>
      <c r="R11427" s="11"/>
      <c r="S11427" s="11"/>
      <c r="T11427" s="11"/>
    </row>
    <row r="11428" spans="8:20" x14ac:dyDescent="0.35">
      <c r="H11428" s="711"/>
      <c r="I11428" s="711"/>
      <c r="J11428" s="711"/>
      <c r="K11428" s="711"/>
      <c r="L11428" s="711"/>
      <c r="Q11428" s="11"/>
      <c r="R11428" s="11"/>
      <c r="S11428" s="11"/>
      <c r="T11428" s="11"/>
    </row>
    <row r="11429" spans="8:20" x14ac:dyDescent="0.35">
      <c r="H11429" s="711"/>
      <c r="I11429" s="711"/>
      <c r="J11429" s="711"/>
      <c r="K11429" s="711"/>
      <c r="L11429" s="711"/>
      <c r="Q11429" s="11"/>
      <c r="R11429" s="11"/>
      <c r="S11429" s="11"/>
      <c r="T11429" s="11"/>
    </row>
    <row r="11430" spans="8:20" x14ac:dyDescent="0.35">
      <c r="H11430" s="711"/>
      <c r="I11430" s="711"/>
      <c r="J11430" s="711"/>
      <c r="K11430" s="711"/>
      <c r="L11430" s="711"/>
      <c r="Q11430" s="11"/>
      <c r="R11430" s="11"/>
      <c r="S11430" s="11"/>
      <c r="T11430" s="11"/>
    </row>
    <row r="11431" spans="8:20" x14ac:dyDescent="0.35">
      <c r="H11431" s="711"/>
      <c r="I11431" s="711"/>
      <c r="J11431" s="711"/>
      <c r="K11431" s="711"/>
      <c r="L11431" s="711"/>
      <c r="Q11431" s="11"/>
      <c r="R11431" s="11"/>
      <c r="S11431" s="11"/>
      <c r="T11431" s="11"/>
    </row>
    <row r="11432" spans="8:20" x14ac:dyDescent="0.35">
      <c r="H11432" s="711"/>
      <c r="I11432" s="711"/>
      <c r="J11432" s="711"/>
      <c r="K11432" s="711"/>
      <c r="L11432" s="711"/>
      <c r="Q11432" s="11"/>
      <c r="R11432" s="11"/>
      <c r="S11432" s="11"/>
      <c r="T11432" s="11"/>
    </row>
    <row r="11433" spans="8:20" x14ac:dyDescent="0.35">
      <c r="H11433" s="711"/>
      <c r="I11433" s="711"/>
      <c r="J11433" s="711"/>
      <c r="K11433" s="711"/>
      <c r="L11433" s="711"/>
      <c r="Q11433" s="11"/>
      <c r="R11433" s="11"/>
      <c r="S11433" s="11"/>
      <c r="T11433" s="11"/>
    </row>
    <row r="11434" spans="8:20" x14ac:dyDescent="0.35">
      <c r="H11434" s="711"/>
      <c r="I11434" s="711"/>
      <c r="J11434" s="711"/>
      <c r="K11434" s="711"/>
      <c r="L11434" s="711"/>
      <c r="Q11434" s="11"/>
      <c r="R11434" s="11"/>
      <c r="S11434" s="11"/>
      <c r="T11434" s="11"/>
    </row>
    <row r="11435" spans="8:20" x14ac:dyDescent="0.35">
      <c r="H11435" s="711"/>
      <c r="I11435" s="711"/>
      <c r="J11435" s="711"/>
      <c r="K11435" s="711"/>
      <c r="L11435" s="711"/>
      <c r="Q11435" s="11"/>
      <c r="R11435" s="11"/>
      <c r="S11435" s="11"/>
      <c r="T11435" s="11"/>
    </row>
    <row r="11436" spans="8:20" x14ac:dyDescent="0.35">
      <c r="H11436" s="711"/>
      <c r="I11436" s="711"/>
      <c r="J11436" s="711"/>
      <c r="K11436" s="711"/>
      <c r="L11436" s="711"/>
      <c r="Q11436" s="11"/>
      <c r="R11436" s="11"/>
      <c r="S11436" s="11"/>
      <c r="T11436" s="11"/>
    </row>
    <row r="11437" spans="8:20" x14ac:dyDescent="0.35">
      <c r="H11437" s="711"/>
      <c r="I11437" s="711"/>
      <c r="J11437" s="711"/>
      <c r="K11437" s="711"/>
      <c r="L11437" s="711"/>
      <c r="Q11437" s="11"/>
      <c r="R11437" s="11"/>
      <c r="S11437" s="11"/>
      <c r="T11437" s="11"/>
    </row>
    <row r="11438" spans="8:20" x14ac:dyDescent="0.35">
      <c r="H11438" s="711"/>
      <c r="I11438" s="711"/>
      <c r="J11438" s="711"/>
      <c r="K11438" s="711"/>
      <c r="L11438" s="711"/>
      <c r="Q11438" s="11"/>
      <c r="R11438" s="11"/>
      <c r="S11438" s="11"/>
      <c r="T11438" s="11"/>
    </row>
    <row r="11439" spans="8:20" x14ac:dyDescent="0.35">
      <c r="H11439" s="711"/>
      <c r="I11439" s="711"/>
      <c r="J11439" s="711"/>
      <c r="K11439" s="711"/>
      <c r="L11439" s="711"/>
      <c r="Q11439" s="11"/>
      <c r="R11439" s="11"/>
      <c r="S11439" s="11"/>
      <c r="T11439" s="11"/>
    </row>
    <row r="11440" spans="8:20" x14ac:dyDescent="0.35">
      <c r="H11440" s="711"/>
      <c r="I11440" s="711"/>
      <c r="J11440" s="711"/>
      <c r="K11440" s="711"/>
      <c r="L11440" s="711"/>
      <c r="Q11440" s="11"/>
      <c r="R11440" s="11"/>
      <c r="S11440" s="11"/>
      <c r="T11440" s="11"/>
    </row>
    <row r="11441" spans="8:20" x14ac:dyDescent="0.35">
      <c r="H11441" s="711"/>
      <c r="I11441" s="711"/>
      <c r="J11441" s="711"/>
      <c r="K11441" s="711"/>
      <c r="L11441" s="711"/>
      <c r="Q11441" s="11"/>
      <c r="R11441" s="11"/>
      <c r="S11441" s="11"/>
      <c r="T11441" s="11"/>
    </row>
    <row r="11442" spans="8:20" x14ac:dyDescent="0.35">
      <c r="H11442" s="711"/>
      <c r="I11442" s="711"/>
      <c r="J11442" s="711"/>
      <c r="K11442" s="711"/>
      <c r="L11442" s="711"/>
      <c r="Q11442" s="11"/>
      <c r="R11442" s="11"/>
      <c r="S11442" s="11"/>
      <c r="T11442" s="11"/>
    </row>
    <row r="11443" spans="8:20" x14ac:dyDescent="0.35">
      <c r="H11443" s="711"/>
      <c r="I11443" s="711"/>
      <c r="J11443" s="711"/>
      <c r="K11443" s="711"/>
      <c r="L11443" s="711"/>
      <c r="Q11443" s="11"/>
      <c r="R11443" s="11"/>
      <c r="S11443" s="11"/>
      <c r="T11443" s="11"/>
    </row>
    <row r="11444" spans="8:20" x14ac:dyDescent="0.35">
      <c r="H11444" s="711"/>
      <c r="I11444" s="711"/>
      <c r="J11444" s="711"/>
      <c r="K11444" s="711"/>
      <c r="L11444" s="711"/>
      <c r="Q11444" s="11"/>
      <c r="R11444" s="11"/>
      <c r="S11444" s="11"/>
      <c r="T11444" s="11"/>
    </row>
    <row r="11445" spans="8:20" x14ac:dyDescent="0.35">
      <c r="H11445" s="711"/>
      <c r="I11445" s="711"/>
      <c r="J11445" s="711"/>
      <c r="K11445" s="711"/>
      <c r="L11445" s="711"/>
      <c r="Q11445" s="11"/>
      <c r="R11445" s="11"/>
      <c r="S11445" s="11"/>
      <c r="T11445" s="11"/>
    </row>
    <row r="11446" spans="8:20" x14ac:dyDescent="0.35">
      <c r="H11446" s="711"/>
      <c r="I11446" s="711"/>
      <c r="J11446" s="711"/>
      <c r="K11446" s="711"/>
      <c r="L11446" s="711"/>
      <c r="Q11446" s="11"/>
      <c r="R11446" s="11"/>
      <c r="S11446" s="11"/>
      <c r="T11446" s="11"/>
    </row>
    <row r="11447" spans="8:20" x14ac:dyDescent="0.35">
      <c r="H11447" s="711"/>
      <c r="I11447" s="711"/>
      <c r="J11447" s="711"/>
      <c r="K11447" s="711"/>
      <c r="L11447" s="711"/>
      <c r="Q11447" s="11"/>
      <c r="R11447" s="11"/>
      <c r="S11447" s="11"/>
      <c r="T11447" s="11"/>
    </row>
    <row r="11448" spans="8:20" x14ac:dyDescent="0.35">
      <c r="H11448" s="711"/>
      <c r="I11448" s="711"/>
      <c r="J11448" s="711"/>
      <c r="K11448" s="711"/>
      <c r="L11448" s="711"/>
      <c r="Q11448" s="11"/>
      <c r="R11448" s="11"/>
      <c r="S11448" s="11"/>
      <c r="T11448" s="11"/>
    </row>
    <row r="11449" spans="8:20" x14ac:dyDescent="0.35">
      <c r="H11449" s="711"/>
      <c r="I11449" s="711"/>
      <c r="J11449" s="711"/>
      <c r="K11449" s="711"/>
      <c r="L11449" s="711"/>
      <c r="Q11449" s="11"/>
      <c r="R11449" s="11"/>
      <c r="S11449" s="11"/>
      <c r="T11449" s="11"/>
    </row>
    <row r="11450" spans="8:20" x14ac:dyDescent="0.35">
      <c r="H11450" s="711"/>
      <c r="I11450" s="711"/>
      <c r="J11450" s="711"/>
      <c r="K11450" s="711"/>
      <c r="L11450" s="711"/>
      <c r="Q11450" s="11"/>
      <c r="R11450" s="11"/>
      <c r="S11450" s="11"/>
      <c r="T11450" s="11"/>
    </row>
    <row r="11451" spans="8:20" x14ac:dyDescent="0.35">
      <c r="H11451" s="711"/>
      <c r="I11451" s="711"/>
      <c r="J11451" s="711"/>
      <c r="K11451" s="711"/>
      <c r="L11451" s="711"/>
      <c r="Q11451" s="11"/>
      <c r="R11451" s="11"/>
      <c r="S11451" s="11"/>
      <c r="T11451" s="11"/>
    </row>
    <row r="11452" spans="8:20" x14ac:dyDescent="0.35">
      <c r="H11452" s="711"/>
      <c r="I11452" s="711"/>
      <c r="J11452" s="711"/>
      <c r="K11452" s="711"/>
      <c r="L11452" s="711"/>
      <c r="Q11452" s="11"/>
      <c r="R11452" s="11"/>
      <c r="S11452" s="11"/>
      <c r="T11452" s="11"/>
    </row>
    <row r="11453" spans="8:20" x14ac:dyDescent="0.35">
      <c r="H11453" s="711"/>
      <c r="I11453" s="711"/>
      <c r="J11453" s="711"/>
      <c r="K11453" s="711"/>
      <c r="L11453" s="711"/>
      <c r="Q11453" s="11"/>
      <c r="R11453" s="11"/>
      <c r="S11453" s="11"/>
      <c r="T11453" s="11"/>
    </row>
    <row r="11454" spans="8:20" x14ac:dyDescent="0.35">
      <c r="H11454" s="711"/>
      <c r="I11454" s="711"/>
      <c r="J11454" s="711"/>
      <c r="K11454" s="711"/>
      <c r="L11454" s="711"/>
      <c r="Q11454" s="11"/>
      <c r="R11454" s="11"/>
      <c r="S11454" s="11"/>
      <c r="T11454" s="11"/>
    </row>
    <row r="11455" spans="8:20" x14ac:dyDescent="0.35">
      <c r="H11455" s="711"/>
      <c r="I11455" s="711"/>
      <c r="J11455" s="711"/>
      <c r="K11455" s="711"/>
      <c r="L11455" s="711"/>
      <c r="Q11455" s="11"/>
      <c r="R11455" s="11"/>
      <c r="S11455" s="11"/>
      <c r="T11455" s="11"/>
    </row>
    <row r="11456" spans="8:20" x14ac:dyDescent="0.35">
      <c r="H11456" s="711"/>
      <c r="I11456" s="711"/>
      <c r="J11456" s="711"/>
      <c r="K11456" s="711"/>
      <c r="L11456" s="711"/>
      <c r="Q11456" s="11"/>
      <c r="R11456" s="11"/>
      <c r="S11456" s="11"/>
      <c r="T11456" s="11"/>
    </row>
    <row r="11457" spans="8:20" x14ac:dyDescent="0.35">
      <c r="H11457" s="711"/>
      <c r="I11457" s="711"/>
      <c r="J11457" s="711"/>
      <c r="K11457" s="711"/>
      <c r="L11457" s="711"/>
      <c r="Q11457" s="11"/>
      <c r="R11457" s="11"/>
      <c r="S11457" s="11"/>
      <c r="T11457" s="11"/>
    </row>
    <row r="11458" spans="8:20" x14ac:dyDescent="0.35">
      <c r="H11458" s="711"/>
      <c r="I11458" s="711"/>
      <c r="J11458" s="711"/>
      <c r="K11458" s="711"/>
      <c r="L11458" s="711"/>
      <c r="Q11458" s="11"/>
      <c r="R11458" s="11"/>
      <c r="S11458" s="11"/>
      <c r="T11458" s="11"/>
    </row>
    <row r="11459" spans="8:20" x14ac:dyDescent="0.35">
      <c r="H11459" s="711"/>
      <c r="I11459" s="711"/>
      <c r="J11459" s="711"/>
      <c r="K11459" s="711"/>
      <c r="L11459" s="711"/>
      <c r="Q11459" s="11"/>
      <c r="R11459" s="11"/>
      <c r="S11459" s="11"/>
      <c r="T11459" s="11"/>
    </row>
    <row r="11460" spans="8:20" x14ac:dyDescent="0.35">
      <c r="H11460" s="711"/>
      <c r="I11460" s="711"/>
      <c r="J11460" s="711"/>
      <c r="K11460" s="711"/>
      <c r="L11460" s="711"/>
      <c r="Q11460" s="11"/>
      <c r="R11460" s="11"/>
      <c r="S11460" s="11"/>
      <c r="T11460" s="11"/>
    </row>
    <row r="11461" spans="8:20" x14ac:dyDescent="0.35">
      <c r="H11461" s="711"/>
      <c r="I11461" s="711"/>
      <c r="J11461" s="711"/>
      <c r="K11461" s="711"/>
      <c r="L11461" s="711"/>
      <c r="Q11461" s="11"/>
      <c r="R11461" s="11"/>
      <c r="S11461" s="11"/>
      <c r="T11461" s="11"/>
    </row>
    <row r="11462" spans="8:20" x14ac:dyDescent="0.35">
      <c r="H11462" s="711"/>
      <c r="I11462" s="711"/>
      <c r="J11462" s="711"/>
      <c r="K11462" s="711"/>
      <c r="L11462" s="711"/>
      <c r="Q11462" s="11"/>
      <c r="R11462" s="11"/>
      <c r="S11462" s="11"/>
      <c r="T11462" s="11"/>
    </row>
    <row r="11463" spans="8:20" x14ac:dyDescent="0.35">
      <c r="H11463" s="711"/>
      <c r="I11463" s="711"/>
      <c r="J11463" s="711"/>
      <c r="K11463" s="711"/>
      <c r="L11463" s="711"/>
      <c r="Q11463" s="11"/>
      <c r="R11463" s="11"/>
      <c r="S11463" s="11"/>
      <c r="T11463" s="11"/>
    </row>
    <row r="11464" spans="8:20" x14ac:dyDescent="0.35">
      <c r="H11464" s="711"/>
      <c r="I11464" s="711"/>
      <c r="J11464" s="711"/>
      <c r="K11464" s="711"/>
      <c r="L11464" s="711"/>
      <c r="Q11464" s="11"/>
      <c r="R11464" s="11"/>
      <c r="S11464" s="11"/>
      <c r="T11464" s="11"/>
    </row>
    <row r="11465" spans="8:20" x14ac:dyDescent="0.35">
      <c r="H11465" s="711"/>
      <c r="I11465" s="711"/>
      <c r="J11465" s="711"/>
      <c r="K11465" s="711"/>
      <c r="L11465" s="711"/>
      <c r="Q11465" s="11"/>
      <c r="R11465" s="11"/>
      <c r="S11465" s="11"/>
      <c r="T11465" s="11"/>
    </row>
    <row r="11466" spans="8:20" x14ac:dyDescent="0.35">
      <c r="H11466" s="711"/>
      <c r="I11466" s="711"/>
      <c r="J11466" s="711"/>
      <c r="K11466" s="711"/>
      <c r="L11466" s="711"/>
      <c r="Q11466" s="11"/>
      <c r="R11466" s="11"/>
      <c r="S11466" s="11"/>
      <c r="T11466" s="11"/>
    </row>
    <row r="11467" spans="8:20" x14ac:dyDescent="0.35">
      <c r="H11467" s="711"/>
      <c r="I11467" s="711"/>
      <c r="J11467" s="711"/>
      <c r="K11467" s="711"/>
      <c r="L11467" s="711"/>
      <c r="Q11467" s="11"/>
      <c r="R11467" s="11"/>
      <c r="S11467" s="11"/>
      <c r="T11467" s="11"/>
    </row>
    <row r="11468" spans="8:20" x14ac:dyDescent="0.35">
      <c r="H11468" s="711"/>
      <c r="I11468" s="711"/>
      <c r="J11468" s="711"/>
      <c r="K11468" s="711"/>
      <c r="L11468" s="711"/>
      <c r="Q11468" s="11"/>
      <c r="R11468" s="11"/>
      <c r="S11468" s="11"/>
      <c r="T11468" s="11"/>
    </row>
    <row r="11469" spans="8:20" x14ac:dyDescent="0.35">
      <c r="H11469" s="711"/>
      <c r="I11469" s="711"/>
      <c r="J11469" s="711"/>
      <c r="K11469" s="711"/>
      <c r="L11469" s="711"/>
      <c r="Q11469" s="11"/>
      <c r="R11469" s="11"/>
      <c r="S11469" s="11"/>
      <c r="T11469" s="11"/>
    </row>
    <row r="11470" spans="8:20" x14ac:dyDescent="0.35">
      <c r="H11470" s="711"/>
      <c r="I11470" s="711"/>
      <c r="J11470" s="711"/>
      <c r="K11470" s="711"/>
      <c r="L11470" s="711"/>
      <c r="Q11470" s="11"/>
      <c r="R11470" s="11"/>
      <c r="S11470" s="11"/>
      <c r="T11470" s="11"/>
    </row>
    <row r="11471" spans="8:20" x14ac:dyDescent="0.35">
      <c r="H11471" s="711"/>
      <c r="I11471" s="711"/>
      <c r="J11471" s="711"/>
      <c r="K11471" s="711"/>
      <c r="L11471" s="711"/>
      <c r="Q11471" s="11"/>
      <c r="R11471" s="11"/>
      <c r="S11471" s="11"/>
      <c r="T11471" s="11"/>
    </row>
    <row r="11472" spans="8:20" x14ac:dyDescent="0.35">
      <c r="H11472" s="711"/>
      <c r="I11472" s="711"/>
      <c r="J11472" s="711"/>
      <c r="K11472" s="711"/>
      <c r="L11472" s="711"/>
      <c r="Q11472" s="11"/>
      <c r="R11472" s="11"/>
      <c r="S11472" s="11"/>
      <c r="T11472" s="11"/>
    </row>
    <row r="11473" spans="8:20" x14ac:dyDescent="0.35">
      <c r="H11473" s="711"/>
      <c r="I11473" s="711"/>
      <c r="J11473" s="711"/>
      <c r="K11473" s="711"/>
      <c r="L11473" s="711"/>
      <c r="Q11473" s="11"/>
      <c r="R11473" s="11"/>
      <c r="S11473" s="11"/>
      <c r="T11473" s="11"/>
    </row>
    <row r="11474" spans="8:20" x14ac:dyDescent="0.35">
      <c r="H11474" s="711"/>
      <c r="I11474" s="711"/>
      <c r="J11474" s="711"/>
      <c r="K11474" s="711"/>
      <c r="L11474" s="711"/>
      <c r="Q11474" s="11"/>
      <c r="R11474" s="11"/>
      <c r="S11474" s="11"/>
      <c r="T11474" s="11"/>
    </row>
    <row r="11475" spans="8:20" x14ac:dyDescent="0.35">
      <c r="H11475" s="711"/>
      <c r="I11475" s="711"/>
      <c r="J11475" s="711"/>
      <c r="K11475" s="711"/>
      <c r="L11475" s="711"/>
      <c r="Q11475" s="11"/>
      <c r="R11475" s="11"/>
      <c r="S11475" s="11"/>
      <c r="T11475" s="11"/>
    </row>
    <row r="11476" spans="8:20" x14ac:dyDescent="0.35">
      <c r="H11476" s="711"/>
      <c r="I11476" s="711"/>
      <c r="J11476" s="711"/>
      <c r="K11476" s="711"/>
      <c r="L11476" s="711"/>
      <c r="Q11476" s="11"/>
      <c r="R11476" s="11"/>
      <c r="S11476" s="11"/>
      <c r="T11476" s="11"/>
    </row>
    <row r="11477" spans="8:20" x14ac:dyDescent="0.35">
      <c r="H11477" s="711"/>
      <c r="I11477" s="711"/>
      <c r="J11477" s="711"/>
      <c r="K11477" s="711"/>
      <c r="L11477" s="711"/>
      <c r="Q11477" s="11"/>
      <c r="R11477" s="11"/>
      <c r="S11477" s="11"/>
      <c r="T11477" s="11"/>
    </row>
    <row r="11478" spans="8:20" x14ac:dyDescent="0.35">
      <c r="H11478" s="711"/>
      <c r="I11478" s="711"/>
      <c r="J11478" s="711"/>
      <c r="K11478" s="711"/>
      <c r="L11478" s="711"/>
      <c r="Q11478" s="11"/>
      <c r="R11478" s="11"/>
      <c r="S11478" s="11"/>
      <c r="T11478" s="11"/>
    </row>
    <row r="11479" spans="8:20" x14ac:dyDescent="0.35">
      <c r="H11479" s="711"/>
      <c r="I11479" s="711"/>
      <c r="J11479" s="711"/>
      <c r="K11479" s="711"/>
      <c r="L11479" s="711"/>
      <c r="Q11479" s="11"/>
      <c r="R11479" s="11"/>
      <c r="S11479" s="11"/>
      <c r="T11479" s="11"/>
    </row>
    <row r="11480" spans="8:20" x14ac:dyDescent="0.35">
      <c r="H11480" s="711"/>
      <c r="I11480" s="711"/>
      <c r="J11480" s="711"/>
      <c r="K11480" s="711"/>
      <c r="L11480" s="711"/>
      <c r="Q11480" s="11"/>
      <c r="R11480" s="11"/>
      <c r="S11480" s="11"/>
      <c r="T11480" s="11"/>
    </row>
    <row r="11481" spans="8:20" x14ac:dyDescent="0.35">
      <c r="H11481" s="711"/>
      <c r="I11481" s="711"/>
      <c r="J11481" s="711"/>
      <c r="K11481" s="711"/>
      <c r="L11481" s="711"/>
      <c r="Q11481" s="11"/>
      <c r="R11481" s="11"/>
      <c r="S11481" s="11"/>
      <c r="T11481" s="11"/>
    </row>
    <row r="11482" spans="8:20" x14ac:dyDescent="0.35">
      <c r="H11482" s="711"/>
      <c r="I11482" s="711"/>
      <c r="J11482" s="711"/>
      <c r="K11482" s="711"/>
      <c r="L11482" s="711"/>
      <c r="Q11482" s="11"/>
      <c r="R11482" s="11"/>
      <c r="S11482" s="11"/>
      <c r="T11482" s="11"/>
    </row>
    <row r="11483" spans="8:20" x14ac:dyDescent="0.35">
      <c r="H11483" s="711"/>
      <c r="I11483" s="711"/>
      <c r="J11483" s="711"/>
      <c r="K11483" s="711"/>
      <c r="L11483" s="711"/>
      <c r="Q11483" s="11"/>
      <c r="R11483" s="11"/>
      <c r="S11483" s="11"/>
      <c r="T11483" s="11"/>
    </row>
    <row r="11484" spans="8:20" x14ac:dyDescent="0.35">
      <c r="H11484" s="711"/>
      <c r="I11484" s="711"/>
      <c r="J11484" s="711"/>
      <c r="K11484" s="711"/>
      <c r="L11484" s="711"/>
      <c r="Q11484" s="11"/>
      <c r="R11484" s="11"/>
      <c r="S11484" s="11"/>
      <c r="T11484" s="11"/>
    </row>
    <row r="11485" spans="8:20" x14ac:dyDescent="0.35">
      <c r="H11485" s="711"/>
      <c r="I11485" s="711"/>
      <c r="J11485" s="711"/>
      <c r="K11485" s="711"/>
      <c r="L11485" s="711"/>
      <c r="Q11485" s="11"/>
      <c r="R11485" s="11"/>
      <c r="S11485" s="11"/>
      <c r="T11485" s="11"/>
    </row>
    <row r="11486" spans="8:20" x14ac:dyDescent="0.35">
      <c r="H11486" s="711"/>
      <c r="I11486" s="711"/>
      <c r="J11486" s="711"/>
      <c r="K11486" s="711"/>
      <c r="L11486" s="711"/>
      <c r="Q11486" s="11"/>
      <c r="R11486" s="11"/>
      <c r="S11486" s="11"/>
      <c r="T11486" s="11"/>
    </row>
    <row r="11487" spans="8:20" x14ac:dyDescent="0.35">
      <c r="H11487" s="711"/>
      <c r="I11487" s="711"/>
      <c r="J11487" s="711"/>
      <c r="K11487" s="711"/>
      <c r="L11487" s="711"/>
      <c r="Q11487" s="11"/>
      <c r="R11487" s="11"/>
      <c r="S11487" s="11"/>
      <c r="T11487" s="11"/>
    </row>
    <row r="11488" spans="8:20" x14ac:dyDescent="0.35">
      <c r="H11488" s="711"/>
      <c r="I11488" s="711"/>
      <c r="J11488" s="711"/>
      <c r="K11488" s="711"/>
      <c r="L11488" s="711"/>
      <c r="Q11488" s="11"/>
      <c r="R11488" s="11"/>
      <c r="S11488" s="11"/>
      <c r="T11488" s="11"/>
    </row>
    <row r="11489" spans="8:20" x14ac:dyDescent="0.35">
      <c r="H11489" s="711"/>
      <c r="I11489" s="711"/>
      <c r="J11489" s="711"/>
      <c r="K11489" s="711"/>
      <c r="L11489" s="711"/>
      <c r="Q11489" s="11"/>
      <c r="R11489" s="11"/>
      <c r="S11489" s="11"/>
      <c r="T11489" s="11"/>
    </row>
    <row r="11490" spans="8:20" x14ac:dyDescent="0.35">
      <c r="H11490" s="711"/>
      <c r="I11490" s="711"/>
      <c r="J11490" s="711"/>
      <c r="K11490" s="711"/>
      <c r="L11490" s="711"/>
      <c r="Q11490" s="11"/>
      <c r="R11490" s="11"/>
      <c r="S11490" s="11"/>
      <c r="T11490" s="11"/>
    </row>
    <row r="11491" spans="8:20" x14ac:dyDescent="0.35">
      <c r="H11491" s="711"/>
      <c r="I11491" s="711"/>
      <c r="J11491" s="711"/>
      <c r="K11491" s="711"/>
      <c r="L11491" s="711"/>
      <c r="Q11491" s="11"/>
      <c r="R11491" s="11"/>
      <c r="S11491" s="11"/>
      <c r="T11491" s="11"/>
    </row>
    <row r="11492" spans="8:20" x14ac:dyDescent="0.35">
      <c r="H11492" s="711"/>
      <c r="I11492" s="711"/>
      <c r="J11492" s="711"/>
      <c r="K11492" s="711"/>
      <c r="L11492" s="711"/>
      <c r="Q11492" s="11"/>
      <c r="R11492" s="11"/>
      <c r="S11492" s="11"/>
      <c r="T11492" s="11"/>
    </row>
    <row r="11493" spans="8:20" x14ac:dyDescent="0.35">
      <c r="H11493" s="711"/>
      <c r="I11493" s="711"/>
      <c r="J11493" s="711"/>
      <c r="K11493" s="711"/>
      <c r="L11493" s="711"/>
      <c r="Q11493" s="11"/>
      <c r="R11493" s="11"/>
      <c r="S11493" s="11"/>
      <c r="T11493" s="11"/>
    </row>
    <row r="11494" spans="8:20" x14ac:dyDescent="0.35">
      <c r="H11494" s="711"/>
      <c r="I11494" s="711"/>
      <c r="J11494" s="711"/>
      <c r="K11494" s="711"/>
      <c r="L11494" s="711"/>
      <c r="Q11494" s="11"/>
      <c r="R11494" s="11"/>
      <c r="S11494" s="11"/>
      <c r="T11494" s="11"/>
    </row>
    <row r="11495" spans="8:20" x14ac:dyDescent="0.35">
      <c r="H11495" s="711"/>
      <c r="I11495" s="711"/>
      <c r="J11495" s="711"/>
      <c r="K11495" s="711"/>
      <c r="L11495" s="711"/>
      <c r="Q11495" s="11"/>
      <c r="R11495" s="11"/>
      <c r="S11495" s="11"/>
      <c r="T11495" s="11"/>
    </row>
    <row r="11496" spans="8:20" x14ac:dyDescent="0.35">
      <c r="H11496" s="711"/>
      <c r="I11496" s="711"/>
      <c r="J11496" s="711"/>
      <c r="K11496" s="711"/>
      <c r="L11496" s="711"/>
      <c r="Q11496" s="11"/>
      <c r="R11496" s="11"/>
      <c r="S11496" s="11"/>
      <c r="T11496" s="11"/>
    </row>
    <row r="11497" spans="8:20" x14ac:dyDescent="0.35">
      <c r="H11497" s="711"/>
      <c r="I11497" s="711"/>
      <c r="J11497" s="711"/>
      <c r="K11497" s="711"/>
      <c r="L11497" s="711"/>
      <c r="Q11497" s="11"/>
      <c r="R11497" s="11"/>
      <c r="S11497" s="11"/>
      <c r="T11497" s="11"/>
    </row>
    <row r="11498" spans="8:20" x14ac:dyDescent="0.35">
      <c r="H11498" s="711"/>
      <c r="I11498" s="711"/>
      <c r="J11498" s="711"/>
      <c r="K11498" s="711"/>
      <c r="L11498" s="711"/>
      <c r="Q11498" s="11"/>
      <c r="R11498" s="11"/>
      <c r="S11498" s="11"/>
      <c r="T11498" s="11"/>
    </row>
    <row r="11499" spans="8:20" x14ac:dyDescent="0.35">
      <c r="H11499" s="711"/>
      <c r="I11499" s="711"/>
      <c r="J11499" s="711"/>
      <c r="K11499" s="711"/>
      <c r="L11499" s="711"/>
      <c r="Q11499" s="11"/>
      <c r="R11499" s="11"/>
      <c r="S11499" s="11"/>
      <c r="T11499" s="11"/>
    </row>
    <row r="11500" spans="8:20" x14ac:dyDescent="0.35">
      <c r="H11500" s="711"/>
      <c r="I11500" s="711"/>
      <c r="J11500" s="711"/>
      <c r="K11500" s="711"/>
      <c r="L11500" s="711"/>
      <c r="Q11500" s="11"/>
      <c r="R11500" s="11"/>
      <c r="S11500" s="11"/>
      <c r="T11500" s="11"/>
    </row>
    <row r="11501" spans="8:20" x14ac:dyDescent="0.35">
      <c r="H11501" s="711"/>
      <c r="I11501" s="711"/>
      <c r="J11501" s="711"/>
      <c r="K11501" s="711"/>
      <c r="L11501" s="711"/>
      <c r="Q11501" s="11"/>
      <c r="R11501" s="11"/>
      <c r="S11501" s="11"/>
      <c r="T11501" s="11"/>
    </row>
    <row r="11502" spans="8:20" x14ac:dyDescent="0.35">
      <c r="H11502" s="711"/>
      <c r="I11502" s="711"/>
      <c r="J11502" s="711"/>
      <c r="K11502" s="711"/>
      <c r="L11502" s="711"/>
      <c r="Q11502" s="11"/>
      <c r="R11502" s="11"/>
      <c r="S11502" s="11"/>
      <c r="T11502" s="11"/>
    </row>
    <row r="11503" spans="8:20" x14ac:dyDescent="0.35">
      <c r="H11503" s="711"/>
      <c r="I11503" s="711"/>
      <c r="J11503" s="711"/>
      <c r="K11503" s="711"/>
      <c r="L11503" s="711"/>
      <c r="Q11503" s="11"/>
      <c r="R11503" s="11"/>
      <c r="S11503" s="11"/>
      <c r="T11503" s="11"/>
    </row>
    <row r="11504" spans="8:20" x14ac:dyDescent="0.35">
      <c r="H11504" s="711"/>
      <c r="I11504" s="711"/>
      <c r="J11504" s="711"/>
      <c r="K11504" s="711"/>
      <c r="L11504" s="711"/>
      <c r="Q11504" s="11"/>
      <c r="R11504" s="11"/>
      <c r="S11504" s="11"/>
      <c r="T11504" s="11"/>
    </row>
    <row r="11505" spans="8:20" x14ac:dyDescent="0.35">
      <c r="H11505" s="711"/>
      <c r="I11505" s="711"/>
      <c r="J11505" s="711"/>
      <c r="K11505" s="711"/>
      <c r="L11505" s="711"/>
      <c r="Q11505" s="11"/>
      <c r="R11505" s="11"/>
      <c r="S11505" s="11"/>
      <c r="T11505" s="11"/>
    </row>
    <row r="11506" spans="8:20" x14ac:dyDescent="0.35">
      <c r="H11506" s="711"/>
      <c r="I11506" s="711"/>
      <c r="J11506" s="711"/>
      <c r="K11506" s="711"/>
      <c r="L11506" s="711"/>
      <c r="Q11506" s="11"/>
      <c r="R11506" s="11"/>
      <c r="S11506" s="11"/>
      <c r="T11506" s="11"/>
    </row>
    <row r="11507" spans="8:20" x14ac:dyDescent="0.35">
      <c r="H11507" s="711"/>
      <c r="I11507" s="711"/>
      <c r="J11507" s="711"/>
      <c r="K11507" s="711"/>
      <c r="L11507" s="711"/>
      <c r="Q11507" s="11"/>
      <c r="R11507" s="11"/>
      <c r="S11507" s="11"/>
      <c r="T11507" s="11"/>
    </row>
    <row r="11508" spans="8:20" x14ac:dyDescent="0.35">
      <c r="H11508" s="711"/>
      <c r="I11508" s="711"/>
      <c r="J11508" s="711"/>
      <c r="K11508" s="711"/>
      <c r="L11508" s="711"/>
      <c r="Q11508" s="11"/>
      <c r="R11508" s="11"/>
      <c r="S11508" s="11"/>
      <c r="T11508" s="11"/>
    </row>
    <row r="11509" spans="8:20" x14ac:dyDescent="0.35">
      <c r="H11509" s="711"/>
      <c r="I11509" s="711"/>
      <c r="J11509" s="711"/>
      <c r="K11509" s="711"/>
      <c r="L11509" s="711"/>
      <c r="Q11509" s="11"/>
      <c r="R11509" s="11"/>
      <c r="S11509" s="11"/>
      <c r="T11509" s="11"/>
    </row>
    <row r="11510" spans="8:20" x14ac:dyDescent="0.35">
      <c r="H11510" s="711"/>
      <c r="I11510" s="711"/>
      <c r="J11510" s="711"/>
      <c r="K11510" s="711"/>
      <c r="L11510" s="711"/>
      <c r="Q11510" s="11"/>
      <c r="R11510" s="11"/>
      <c r="S11510" s="11"/>
      <c r="T11510" s="11"/>
    </row>
    <row r="11511" spans="8:20" x14ac:dyDescent="0.35">
      <c r="H11511" s="711"/>
      <c r="I11511" s="711"/>
      <c r="J11511" s="711"/>
      <c r="K11511" s="711"/>
      <c r="L11511" s="711"/>
      <c r="Q11511" s="11"/>
      <c r="R11511" s="11"/>
      <c r="S11511" s="11"/>
      <c r="T11511" s="11"/>
    </row>
    <row r="11512" spans="8:20" x14ac:dyDescent="0.35">
      <c r="H11512" s="711"/>
      <c r="I11512" s="711"/>
      <c r="J11512" s="711"/>
      <c r="K11512" s="711"/>
      <c r="L11512" s="711"/>
      <c r="Q11512" s="11"/>
      <c r="R11512" s="11"/>
      <c r="S11512" s="11"/>
      <c r="T11512" s="11"/>
    </row>
    <row r="11513" spans="8:20" x14ac:dyDescent="0.35">
      <c r="H11513" s="711"/>
      <c r="I11513" s="711"/>
      <c r="J11513" s="711"/>
      <c r="K11513" s="711"/>
      <c r="L11513" s="711"/>
      <c r="Q11513" s="11"/>
      <c r="R11513" s="11"/>
      <c r="S11513" s="11"/>
      <c r="T11513" s="11"/>
    </row>
    <row r="11514" spans="8:20" x14ac:dyDescent="0.35">
      <c r="H11514" s="711"/>
      <c r="I11514" s="711"/>
      <c r="J11514" s="711"/>
      <c r="K11514" s="711"/>
      <c r="L11514" s="711"/>
      <c r="Q11514" s="11"/>
      <c r="R11514" s="11"/>
      <c r="S11514" s="11"/>
      <c r="T11514" s="11"/>
    </row>
    <row r="11515" spans="8:20" x14ac:dyDescent="0.35">
      <c r="H11515" s="711"/>
      <c r="I11515" s="711"/>
      <c r="J11515" s="711"/>
      <c r="K11515" s="711"/>
      <c r="L11515" s="711"/>
      <c r="Q11515" s="11"/>
      <c r="R11515" s="11"/>
      <c r="S11515" s="11"/>
      <c r="T11515" s="11"/>
    </row>
    <row r="11516" spans="8:20" x14ac:dyDescent="0.35">
      <c r="H11516" s="711"/>
      <c r="I11516" s="711"/>
      <c r="J11516" s="711"/>
      <c r="K11516" s="711"/>
      <c r="L11516" s="711"/>
      <c r="Q11516" s="11"/>
      <c r="R11516" s="11"/>
      <c r="S11516" s="11"/>
      <c r="T11516" s="11"/>
    </row>
    <row r="11517" spans="8:20" x14ac:dyDescent="0.35">
      <c r="H11517" s="711"/>
      <c r="I11517" s="711"/>
      <c r="J11517" s="711"/>
      <c r="K11517" s="711"/>
      <c r="L11517" s="711"/>
      <c r="Q11517" s="11"/>
      <c r="R11517" s="11"/>
      <c r="S11517" s="11"/>
      <c r="T11517" s="11"/>
    </row>
    <row r="11518" spans="8:20" x14ac:dyDescent="0.35">
      <c r="H11518" s="711"/>
      <c r="I11518" s="711"/>
      <c r="J11518" s="711"/>
      <c r="K11518" s="711"/>
      <c r="L11518" s="711"/>
      <c r="Q11518" s="11"/>
      <c r="R11518" s="11"/>
      <c r="S11518" s="11"/>
      <c r="T11518" s="11"/>
    </row>
    <row r="11519" spans="8:20" x14ac:dyDescent="0.35">
      <c r="H11519" s="711"/>
      <c r="I11519" s="711"/>
      <c r="J11519" s="711"/>
      <c r="K11519" s="711"/>
      <c r="L11519" s="711"/>
      <c r="Q11519" s="11"/>
      <c r="R11519" s="11"/>
      <c r="S11519" s="11"/>
      <c r="T11519" s="11"/>
    </row>
    <row r="11520" spans="8:20" x14ac:dyDescent="0.35">
      <c r="H11520" s="711"/>
      <c r="I11520" s="711"/>
      <c r="J11520" s="711"/>
      <c r="K11520" s="711"/>
      <c r="L11520" s="711"/>
      <c r="Q11520" s="11"/>
      <c r="R11520" s="11"/>
      <c r="S11520" s="11"/>
      <c r="T11520" s="11"/>
    </row>
    <row r="11521" spans="8:20" x14ac:dyDescent="0.35">
      <c r="H11521" s="711"/>
      <c r="I11521" s="711"/>
      <c r="J11521" s="711"/>
      <c r="K11521" s="711"/>
      <c r="L11521" s="711"/>
      <c r="Q11521" s="11"/>
      <c r="R11521" s="11"/>
      <c r="S11521" s="11"/>
      <c r="T11521" s="11"/>
    </row>
    <row r="11522" spans="8:20" x14ac:dyDescent="0.35">
      <c r="H11522" s="711"/>
      <c r="I11522" s="711"/>
      <c r="J11522" s="711"/>
      <c r="K11522" s="711"/>
      <c r="L11522" s="711"/>
      <c r="Q11522" s="11"/>
      <c r="R11522" s="11"/>
      <c r="S11522" s="11"/>
      <c r="T11522" s="11"/>
    </row>
    <row r="11523" spans="8:20" x14ac:dyDescent="0.35">
      <c r="H11523" s="711"/>
      <c r="I11523" s="711"/>
      <c r="J11523" s="711"/>
      <c r="K11523" s="711"/>
      <c r="L11523" s="711"/>
      <c r="Q11523" s="11"/>
      <c r="R11523" s="11"/>
      <c r="S11523" s="11"/>
      <c r="T11523" s="11"/>
    </row>
    <row r="11524" spans="8:20" x14ac:dyDescent="0.35">
      <c r="H11524" s="711"/>
      <c r="I11524" s="711"/>
      <c r="J11524" s="711"/>
      <c r="K11524" s="711"/>
      <c r="L11524" s="711"/>
      <c r="Q11524" s="11"/>
      <c r="R11524" s="11"/>
      <c r="S11524" s="11"/>
      <c r="T11524" s="11"/>
    </row>
    <row r="11525" spans="8:20" x14ac:dyDescent="0.35">
      <c r="H11525" s="711"/>
      <c r="I11525" s="711"/>
      <c r="J11525" s="711"/>
      <c r="K11525" s="711"/>
      <c r="L11525" s="711"/>
      <c r="Q11525" s="11"/>
      <c r="R11525" s="11"/>
      <c r="S11525" s="11"/>
      <c r="T11525" s="11"/>
    </row>
    <row r="11526" spans="8:20" x14ac:dyDescent="0.35">
      <c r="H11526" s="711"/>
      <c r="I11526" s="711"/>
      <c r="J11526" s="711"/>
      <c r="K11526" s="711"/>
      <c r="L11526" s="711"/>
      <c r="Q11526" s="11"/>
      <c r="R11526" s="11"/>
      <c r="S11526" s="11"/>
      <c r="T11526" s="11"/>
    </row>
    <row r="11527" spans="8:20" x14ac:dyDescent="0.35">
      <c r="H11527" s="711"/>
      <c r="I11527" s="711"/>
      <c r="J11527" s="711"/>
      <c r="K11527" s="711"/>
      <c r="L11527" s="711"/>
      <c r="Q11527" s="11"/>
      <c r="R11527" s="11"/>
      <c r="S11527" s="11"/>
      <c r="T11527" s="11"/>
    </row>
    <row r="11528" spans="8:20" x14ac:dyDescent="0.35">
      <c r="H11528" s="711"/>
      <c r="I11528" s="711"/>
      <c r="J11528" s="711"/>
      <c r="K11528" s="711"/>
      <c r="L11528" s="711"/>
      <c r="Q11528" s="11"/>
      <c r="R11528" s="11"/>
      <c r="S11528" s="11"/>
      <c r="T11528" s="11"/>
    </row>
    <row r="11529" spans="8:20" x14ac:dyDescent="0.35">
      <c r="H11529" s="711"/>
      <c r="I11529" s="711"/>
      <c r="J11529" s="711"/>
      <c r="K11529" s="711"/>
      <c r="L11529" s="711"/>
      <c r="Q11529" s="11"/>
      <c r="R11529" s="11"/>
      <c r="S11529" s="11"/>
      <c r="T11529" s="11"/>
    </row>
    <row r="11530" spans="8:20" x14ac:dyDescent="0.35">
      <c r="H11530" s="711"/>
      <c r="I11530" s="711"/>
      <c r="J11530" s="711"/>
      <c r="K11530" s="711"/>
      <c r="L11530" s="711"/>
      <c r="Q11530" s="11"/>
      <c r="R11530" s="11"/>
      <c r="S11530" s="11"/>
      <c r="T11530" s="11"/>
    </row>
    <row r="11531" spans="8:20" x14ac:dyDescent="0.35">
      <c r="H11531" s="711"/>
      <c r="I11531" s="711"/>
      <c r="J11531" s="711"/>
      <c r="K11531" s="711"/>
      <c r="L11531" s="711"/>
      <c r="Q11531" s="11"/>
      <c r="R11531" s="11"/>
      <c r="S11531" s="11"/>
      <c r="T11531" s="11"/>
    </row>
    <row r="11532" spans="8:20" x14ac:dyDescent="0.35">
      <c r="H11532" s="711"/>
      <c r="I11532" s="711"/>
      <c r="J11532" s="711"/>
      <c r="K11532" s="711"/>
      <c r="L11532" s="711"/>
      <c r="Q11532" s="11"/>
      <c r="R11532" s="11"/>
      <c r="S11532" s="11"/>
      <c r="T11532" s="11"/>
    </row>
    <row r="11533" spans="8:20" x14ac:dyDescent="0.35">
      <c r="H11533" s="711"/>
      <c r="I11533" s="711"/>
      <c r="J11533" s="711"/>
      <c r="K11533" s="711"/>
      <c r="L11533" s="711"/>
      <c r="Q11533" s="11"/>
      <c r="R11533" s="11"/>
      <c r="S11533" s="11"/>
      <c r="T11533" s="11"/>
    </row>
    <row r="11534" spans="8:20" x14ac:dyDescent="0.35">
      <c r="H11534" s="711"/>
      <c r="I11534" s="711"/>
      <c r="J11534" s="711"/>
      <c r="K11534" s="711"/>
      <c r="L11534" s="711"/>
      <c r="Q11534" s="11"/>
      <c r="R11534" s="11"/>
      <c r="S11534" s="11"/>
      <c r="T11534" s="11"/>
    </row>
    <row r="11535" spans="8:20" x14ac:dyDescent="0.35">
      <c r="H11535" s="711"/>
      <c r="I11535" s="711"/>
      <c r="J11535" s="711"/>
      <c r="K11535" s="711"/>
      <c r="L11535" s="711"/>
      <c r="Q11535" s="11"/>
      <c r="R11535" s="11"/>
      <c r="S11535" s="11"/>
      <c r="T11535" s="11"/>
    </row>
    <row r="11536" spans="8:20" x14ac:dyDescent="0.35">
      <c r="H11536" s="711"/>
      <c r="I11536" s="711"/>
      <c r="J11536" s="711"/>
      <c r="K11536" s="711"/>
      <c r="L11536" s="711"/>
      <c r="Q11536" s="11"/>
      <c r="R11536" s="11"/>
      <c r="S11536" s="11"/>
      <c r="T11536" s="11"/>
    </row>
    <row r="11537" spans="8:20" x14ac:dyDescent="0.35">
      <c r="H11537" s="711"/>
      <c r="I11537" s="711"/>
      <c r="J11537" s="711"/>
      <c r="K11537" s="711"/>
      <c r="L11537" s="711"/>
      <c r="Q11537" s="11"/>
      <c r="R11537" s="11"/>
      <c r="S11537" s="11"/>
      <c r="T11537" s="11"/>
    </row>
    <row r="11538" spans="8:20" x14ac:dyDescent="0.35">
      <c r="H11538" s="711"/>
      <c r="I11538" s="711"/>
      <c r="J11538" s="711"/>
      <c r="K11538" s="711"/>
      <c r="L11538" s="711"/>
      <c r="Q11538" s="11"/>
      <c r="R11538" s="11"/>
      <c r="S11538" s="11"/>
      <c r="T11538" s="11"/>
    </row>
    <row r="11539" spans="8:20" x14ac:dyDescent="0.35">
      <c r="H11539" s="711"/>
      <c r="I11539" s="711"/>
      <c r="J11539" s="711"/>
      <c r="K11539" s="711"/>
      <c r="L11539" s="711"/>
      <c r="Q11539" s="11"/>
      <c r="R11539" s="11"/>
      <c r="S11539" s="11"/>
      <c r="T11539" s="11"/>
    </row>
    <row r="11540" spans="8:20" x14ac:dyDescent="0.35">
      <c r="H11540" s="711"/>
      <c r="I11540" s="711"/>
      <c r="J11540" s="711"/>
      <c r="K11540" s="711"/>
      <c r="L11540" s="711"/>
      <c r="Q11540" s="11"/>
      <c r="R11540" s="11"/>
      <c r="S11540" s="11"/>
      <c r="T11540" s="11"/>
    </row>
    <row r="11541" spans="8:20" x14ac:dyDescent="0.35">
      <c r="H11541" s="711"/>
      <c r="I11541" s="711"/>
      <c r="J11541" s="711"/>
      <c r="K11541" s="711"/>
      <c r="L11541" s="711"/>
      <c r="Q11541" s="11"/>
      <c r="R11541" s="11"/>
      <c r="S11541" s="11"/>
      <c r="T11541" s="11"/>
    </row>
    <row r="11542" spans="8:20" x14ac:dyDescent="0.35">
      <c r="H11542" s="711"/>
      <c r="I11542" s="711"/>
      <c r="J11542" s="711"/>
      <c r="K11542" s="711"/>
      <c r="L11542" s="711"/>
      <c r="Q11542" s="11"/>
      <c r="R11542" s="11"/>
      <c r="S11542" s="11"/>
      <c r="T11542" s="11"/>
    </row>
    <row r="11543" spans="8:20" x14ac:dyDescent="0.35">
      <c r="H11543" s="711"/>
      <c r="I11543" s="711"/>
      <c r="J11543" s="711"/>
      <c r="K11543" s="711"/>
      <c r="L11543" s="711"/>
      <c r="Q11543" s="11"/>
      <c r="R11543" s="11"/>
      <c r="S11543" s="11"/>
      <c r="T11543" s="11"/>
    </row>
    <row r="11544" spans="8:20" x14ac:dyDescent="0.35">
      <c r="H11544" s="711"/>
      <c r="I11544" s="711"/>
      <c r="J11544" s="711"/>
      <c r="K11544" s="711"/>
      <c r="L11544" s="711"/>
      <c r="Q11544" s="11"/>
      <c r="R11544" s="11"/>
      <c r="S11544" s="11"/>
      <c r="T11544" s="11"/>
    </row>
    <row r="11545" spans="8:20" x14ac:dyDescent="0.35">
      <c r="H11545" s="711"/>
      <c r="I11545" s="711"/>
      <c r="J11545" s="711"/>
      <c r="K11545" s="711"/>
      <c r="L11545" s="711"/>
      <c r="Q11545" s="11"/>
      <c r="R11545" s="11"/>
      <c r="S11545" s="11"/>
      <c r="T11545" s="11"/>
    </row>
    <row r="11546" spans="8:20" x14ac:dyDescent="0.35">
      <c r="H11546" s="711"/>
      <c r="I11546" s="711"/>
      <c r="J11546" s="711"/>
      <c r="K11546" s="711"/>
      <c r="L11546" s="711"/>
      <c r="Q11546" s="11"/>
      <c r="R11546" s="11"/>
      <c r="S11546" s="11"/>
      <c r="T11546" s="11"/>
    </row>
    <row r="11547" spans="8:20" x14ac:dyDescent="0.35">
      <c r="H11547" s="711"/>
      <c r="I11547" s="711"/>
      <c r="J11547" s="711"/>
      <c r="K11547" s="711"/>
      <c r="L11547" s="711"/>
      <c r="Q11547" s="11"/>
      <c r="R11547" s="11"/>
      <c r="S11547" s="11"/>
      <c r="T11547" s="11"/>
    </row>
    <row r="11548" spans="8:20" x14ac:dyDescent="0.35">
      <c r="H11548" s="711"/>
      <c r="I11548" s="711"/>
      <c r="J11548" s="711"/>
      <c r="K11548" s="711"/>
      <c r="L11548" s="711"/>
      <c r="Q11548" s="11"/>
      <c r="R11548" s="11"/>
      <c r="S11548" s="11"/>
      <c r="T11548" s="11"/>
    </row>
    <row r="11549" spans="8:20" x14ac:dyDescent="0.35">
      <c r="H11549" s="711"/>
      <c r="I11549" s="711"/>
      <c r="J11549" s="711"/>
      <c r="K11549" s="711"/>
      <c r="L11549" s="711"/>
      <c r="Q11549" s="11"/>
      <c r="R11549" s="11"/>
      <c r="S11549" s="11"/>
      <c r="T11549" s="11"/>
    </row>
    <row r="11550" spans="8:20" x14ac:dyDescent="0.35">
      <c r="H11550" s="711"/>
      <c r="I11550" s="711"/>
      <c r="J11550" s="711"/>
      <c r="K11550" s="711"/>
      <c r="L11550" s="711"/>
      <c r="Q11550" s="11"/>
      <c r="R11550" s="11"/>
      <c r="S11550" s="11"/>
      <c r="T11550" s="11"/>
    </row>
    <row r="11551" spans="8:20" x14ac:dyDescent="0.35">
      <c r="H11551" s="711"/>
      <c r="I11551" s="711"/>
      <c r="J11551" s="711"/>
      <c r="K11551" s="711"/>
      <c r="L11551" s="711"/>
      <c r="Q11551" s="11"/>
      <c r="R11551" s="11"/>
      <c r="S11551" s="11"/>
      <c r="T11551" s="11"/>
    </row>
    <row r="11552" spans="8:20" x14ac:dyDescent="0.35">
      <c r="H11552" s="711"/>
      <c r="I11552" s="711"/>
      <c r="J11552" s="711"/>
      <c r="K11552" s="711"/>
      <c r="L11552" s="711"/>
      <c r="Q11552" s="11"/>
      <c r="R11552" s="11"/>
      <c r="S11552" s="11"/>
      <c r="T11552" s="11"/>
    </row>
    <row r="11553" spans="8:20" x14ac:dyDescent="0.35">
      <c r="H11553" s="711"/>
      <c r="I11553" s="711"/>
      <c r="J11553" s="711"/>
      <c r="K11553" s="711"/>
      <c r="L11553" s="711"/>
      <c r="Q11553" s="11"/>
      <c r="R11553" s="11"/>
      <c r="S11553" s="11"/>
      <c r="T11553" s="11"/>
    </row>
    <row r="11554" spans="8:20" x14ac:dyDescent="0.35">
      <c r="H11554" s="711"/>
      <c r="I11554" s="711"/>
      <c r="J11554" s="711"/>
      <c r="K11554" s="711"/>
      <c r="L11554" s="711"/>
      <c r="Q11554" s="11"/>
      <c r="R11554" s="11"/>
      <c r="S11554" s="11"/>
      <c r="T11554" s="11"/>
    </row>
    <row r="11555" spans="8:20" x14ac:dyDescent="0.35">
      <c r="H11555" s="711"/>
      <c r="I11555" s="711"/>
      <c r="J11555" s="711"/>
      <c r="K11555" s="711"/>
      <c r="L11555" s="711"/>
      <c r="Q11555" s="11"/>
      <c r="R11555" s="11"/>
      <c r="S11555" s="11"/>
      <c r="T11555" s="11"/>
    </row>
    <row r="11556" spans="8:20" x14ac:dyDescent="0.35">
      <c r="H11556" s="711"/>
      <c r="I11556" s="711"/>
      <c r="J11556" s="711"/>
      <c r="K11556" s="711"/>
      <c r="L11556" s="711"/>
      <c r="Q11556" s="11"/>
      <c r="R11556" s="11"/>
      <c r="S11556" s="11"/>
      <c r="T11556" s="11"/>
    </row>
    <row r="11557" spans="8:20" x14ac:dyDescent="0.35">
      <c r="H11557" s="711"/>
      <c r="I11557" s="711"/>
      <c r="J11557" s="711"/>
      <c r="K11557" s="711"/>
      <c r="L11557" s="711"/>
      <c r="Q11557" s="11"/>
      <c r="R11557" s="11"/>
      <c r="S11557" s="11"/>
      <c r="T11557" s="11"/>
    </row>
    <row r="11558" spans="8:20" x14ac:dyDescent="0.35">
      <c r="H11558" s="711"/>
      <c r="I11558" s="711"/>
      <c r="J11558" s="711"/>
      <c r="K11558" s="711"/>
      <c r="L11558" s="711"/>
      <c r="Q11558" s="11"/>
      <c r="R11558" s="11"/>
      <c r="S11558" s="11"/>
      <c r="T11558" s="11"/>
    </row>
    <row r="11559" spans="8:20" x14ac:dyDescent="0.35">
      <c r="H11559" s="711"/>
      <c r="I11559" s="711"/>
      <c r="J11559" s="711"/>
      <c r="K11559" s="711"/>
      <c r="L11559" s="711"/>
      <c r="Q11559" s="11"/>
      <c r="R11559" s="11"/>
      <c r="S11559" s="11"/>
      <c r="T11559" s="11"/>
    </row>
    <row r="11560" spans="8:20" x14ac:dyDescent="0.35">
      <c r="H11560" s="711"/>
      <c r="I11560" s="711"/>
      <c r="J11560" s="711"/>
      <c r="K11560" s="711"/>
      <c r="L11560" s="711"/>
      <c r="Q11560" s="11"/>
      <c r="R11560" s="11"/>
      <c r="S11560" s="11"/>
      <c r="T11560" s="11"/>
    </row>
    <row r="11561" spans="8:20" x14ac:dyDescent="0.35">
      <c r="H11561" s="711"/>
      <c r="I11561" s="711"/>
      <c r="J11561" s="711"/>
      <c r="K11561" s="711"/>
      <c r="L11561" s="711"/>
      <c r="Q11561" s="11"/>
      <c r="R11561" s="11"/>
      <c r="S11561" s="11"/>
      <c r="T11561" s="11"/>
    </row>
    <row r="11562" spans="8:20" x14ac:dyDescent="0.35">
      <c r="H11562" s="711"/>
      <c r="I11562" s="711"/>
      <c r="J11562" s="711"/>
      <c r="K11562" s="711"/>
      <c r="L11562" s="711"/>
      <c r="Q11562" s="11"/>
      <c r="R11562" s="11"/>
      <c r="S11562" s="11"/>
      <c r="T11562" s="11"/>
    </row>
    <row r="11563" spans="8:20" x14ac:dyDescent="0.35">
      <c r="H11563" s="711"/>
      <c r="I11563" s="711"/>
      <c r="J11563" s="711"/>
      <c r="K11563" s="711"/>
      <c r="L11563" s="711"/>
      <c r="Q11563" s="11"/>
      <c r="R11563" s="11"/>
      <c r="S11563" s="11"/>
      <c r="T11563" s="11"/>
    </row>
    <row r="11564" spans="8:20" x14ac:dyDescent="0.35">
      <c r="H11564" s="711"/>
      <c r="I11564" s="711"/>
      <c r="J11564" s="711"/>
      <c r="K11564" s="711"/>
      <c r="L11564" s="711"/>
      <c r="Q11564" s="11"/>
      <c r="R11564" s="11"/>
      <c r="S11564" s="11"/>
      <c r="T11564" s="11"/>
    </row>
    <row r="11565" spans="8:20" x14ac:dyDescent="0.35">
      <c r="H11565" s="711"/>
      <c r="I11565" s="711"/>
      <c r="J11565" s="711"/>
      <c r="K11565" s="711"/>
      <c r="L11565" s="711"/>
      <c r="Q11565" s="11"/>
      <c r="R11565" s="11"/>
      <c r="S11565" s="11"/>
      <c r="T11565" s="11"/>
    </row>
    <row r="11566" spans="8:20" x14ac:dyDescent="0.35">
      <c r="H11566" s="711"/>
      <c r="I11566" s="711"/>
      <c r="J11566" s="711"/>
      <c r="K11566" s="711"/>
      <c r="L11566" s="711"/>
      <c r="Q11566" s="11"/>
      <c r="R11566" s="11"/>
      <c r="S11566" s="11"/>
      <c r="T11566" s="11"/>
    </row>
    <row r="11567" spans="8:20" x14ac:dyDescent="0.35">
      <c r="H11567" s="711"/>
      <c r="I11567" s="711"/>
      <c r="J11567" s="711"/>
      <c r="K11567" s="711"/>
      <c r="L11567" s="711"/>
      <c r="Q11567" s="11"/>
      <c r="R11567" s="11"/>
      <c r="S11567" s="11"/>
      <c r="T11567" s="11"/>
    </row>
    <row r="11568" spans="8:20" x14ac:dyDescent="0.35">
      <c r="H11568" s="711"/>
      <c r="I11568" s="711"/>
      <c r="J11568" s="711"/>
      <c r="K11568" s="711"/>
      <c r="L11568" s="711"/>
      <c r="Q11568" s="11"/>
      <c r="R11568" s="11"/>
      <c r="S11568" s="11"/>
      <c r="T11568" s="11"/>
    </row>
    <row r="11569" spans="8:20" x14ac:dyDescent="0.35">
      <c r="H11569" s="711"/>
      <c r="I11569" s="711"/>
      <c r="J11569" s="711"/>
      <c r="K11569" s="711"/>
      <c r="L11569" s="711"/>
      <c r="Q11569" s="11"/>
      <c r="R11569" s="11"/>
      <c r="S11569" s="11"/>
      <c r="T11569" s="11"/>
    </row>
    <row r="11570" spans="8:20" x14ac:dyDescent="0.35">
      <c r="H11570" s="711"/>
      <c r="I11570" s="711"/>
      <c r="J11570" s="711"/>
      <c r="K11570" s="711"/>
      <c r="L11570" s="711"/>
      <c r="Q11570" s="11"/>
      <c r="R11570" s="11"/>
      <c r="S11570" s="11"/>
      <c r="T11570" s="11"/>
    </row>
    <row r="11571" spans="8:20" x14ac:dyDescent="0.35">
      <c r="H11571" s="711"/>
      <c r="I11571" s="711"/>
      <c r="J11571" s="711"/>
      <c r="K11571" s="711"/>
      <c r="L11571" s="711"/>
      <c r="Q11571" s="11"/>
      <c r="R11571" s="11"/>
      <c r="S11571" s="11"/>
      <c r="T11571" s="11"/>
    </row>
    <row r="11572" spans="8:20" x14ac:dyDescent="0.35">
      <c r="H11572" s="711"/>
      <c r="I11572" s="711"/>
      <c r="J11572" s="711"/>
      <c r="K11572" s="711"/>
      <c r="L11572" s="711"/>
      <c r="Q11572" s="11"/>
      <c r="R11572" s="11"/>
      <c r="S11572" s="11"/>
      <c r="T11572" s="11"/>
    </row>
    <row r="11573" spans="8:20" x14ac:dyDescent="0.35">
      <c r="H11573" s="711"/>
      <c r="I11573" s="711"/>
      <c r="J11573" s="711"/>
      <c r="K11573" s="711"/>
      <c r="L11573" s="711"/>
      <c r="Q11573" s="11"/>
      <c r="R11573" s="11"/>
      <c r="S11573" s="11"/>
      <c r="T11573" s="11"/>
    </row>
    <row r="11574" spans="8:20" x14ac:dyDescent="0.35">
      <c r="H11574" s="711"/>
      <c r="I11574" s="711"/>
      <c r="J11574" s="711"/>
      <c r="K11574" s="711"/>
      <c r="L11574" s="711"/>
      <c r="Q11574" s="11"/>
      <c r="R11574" s="11"/>
      <c r="S11574" s="11"/>
      <c r="T11574" s="11"/>
    </row>
    <row r="11575" spans="8:20" x14ac:dyDescent="0.35">
      <c r="H11575" s="711"/>
      <c r="I11575" s="711"/>
      <c r="J11575" s="711"/>
      <c r="K11575" s="711"/>
      <c r="L11575" s="711"/>
      <c r="Q11575" s="11"/>
      <c r="R11575" s="11"/>
      <c r="S11575" s="11"/>
      <c r="T11575" s="11"/>
    </row>
    <row r="11576" spans="8:20" x14ac:dyDescent="0.35">
      <c r="H11576" s="711"/>
      <c r="I11576" s="711"/>
      <c r="J11576" s="711"/>
      <c r="K11576" s="711"/>
      <c r="L11576" s="711"/>
      <c r="Q11576" s="11"/>
      <c r="R11576" s="11"/>
      <c r="S11576" s="11"/>
      <c r="T11576" s="11"/>
    </row>
    <row r="11577" spans="8:20" x14ac:dyDescent="0.35">
      <c r="H11577" s="711"/>
      <c r="I11577" s="711"/>
      <c r="J11577" s="711"/>
      <c r="K11577" s="711"/>
      <c r="L11577" s="711"/>
      <c r="Q11577" s="11"/>
      <c r="R11577" s="11"/>
      <c r="S11577" s="11"/>
      <c r="T11577" s="11"/>
    </row>
    <row r="11578" spans="8:20" x14ac:dyDescent="0.35">
      <c r="H11578" s="711"/>
      <c r="I11578" s="711"/>
      <c r="J11578" s="711"/>
      <c r="K11578" s="711"/>
      <c r="L11578" s="711"/>
      <c r="Q11578" s="11"/>
      <c r="R11578" s="11"/>
      <c r="S11578" s="11"/>
      <c r="T11578" s="11"/>
    </row>
    <row r="11579" spans="8:20" x14ac:dyDescent="0.35">
      <c r="H11579" s="711"/>
      <c r="I11579" s="711"/>
      <c r="J11579" s="711"/>
      <c r="K11579" s="711"/>
      <c r="L11579" s="711"/>
      <c r="Q11579" s="11"/>
      <c r="R11579" s="11"/>
      <c r="S11579" s="11"/>
      <c r="T11579" s="11"/>
    </row>
    <row r="11580" spans="8:20" x14ac:dyDescent="0.35">
      <c r="H11580" s="711"/>
      <c r="I11580" s="711"/>
      <c r="J11580" s="711"/>
      <c r="K11580" s="711"/>
      <c r="L11580" s="711"/>
      <c r="Q11580" s="11"/>
      <c r="R11580" s="11"/>
      <c r="S11580" s="11"/>
      <c r="T11580" s="11"/>
    </row>
    <row r="11581" spans="8:20" x14ac:dyDescent="0.35">
      <c r="H11581" s="711"/>
      <c r="I11581" s="711"/>
      <c r="J11581" s="711"/>
      <c r="K11581" s="711"/>
      <c r="L11581" s="711"/>
      <c r="Q11581" s="11"/>
      <c r="R11581" s="11"/>
      <c r="S11581" s="11"/>
      <c r="T11581" s="11"/>
    </row>
    <row r="11582" spans="8:20" x14ac:dyDescent="0.35">
      <c r="H11582" s="711"/>
      <c r="I11582" s="711"/>
      <c r="J11582" s="711"/>
      <c r="K11582" s="711"/>
      <c r="L11582" s="711"/>
      <c r="Q11582" s="11"/>
      <c r="R11582" s="11"/>
      <c r="S11582" s="11"/>
      <c r="T11582" s="11"/>
    </row>
    <row r="11583" spans="8:20" x14ac:dyDescent="0.35">
      <c r="H11583" s="711"/>
      <c r="I11583" s="711"/>
      <c r="J11583" s="711"/>
      <c r="K11583" s="711"/>
      <c r="L11583" s="711"/>
      <c r="Q11583" s="11"/>
      <c r="R11583" s="11"/>
      <c r="S11583" s="11"/>
      <c r="T11583" s="11"/>
    </row>
    <row r="11584" spans="8:20" x14ac:dyDescent="0.35">
      <c r="H11584" s="711"/>
      <c r="I11584" s="711"/>
      <c r="J11584" s="711"/>
      <c r="K11584" s="711"/>
      <c r="L11584" s="711"/>
      <c r="Q11584" s="11"/>
      <c r="R11584" s="11"/>
      <c r="S11584" s="11"/>
      <c r="T11584" s="11"/>
    </row>
    <row r="11585" spans="8:20" x14ac:dyDescent="0.35">
      <c r="H11585" s="711"/>
      <c r="I11585" s="711"/>
      <c r="J11585" s="711"/>
      <c r="K11585" s="711"/>
      <c r="L11585" s="711"/>
      <c r="Q11585" s="11"/>
      <c r="R11585" s="11"/>
      <c r="S11585" s="11"/>
      <c r="T11585" s="11"/>
    </row>
    <row r="11586" spans="8:20" x14ac:dyDescent="0.35">
      <c r="H11586" s="711"/>
      <c r="I11586" s="711"/>
      <c r="J11586" s="711"/>
      <c r="K11586" s="711"/>
      <c r="L11586" s="711"/>
      <c r="Q11586" s="11"/>
      <c r="R11586" s="11"/>
      <c r="S11586" s="11"/>
      <c r="T11586" s="11"/>
    </row>
    <row r="11587" spans="8:20" x14ac:dyDescent="0.35">
      <c r="H11587" s="711"/>
      <c r="I11587" s="711"/>
      <c r="J11587" s="711"/>
      <c r="K11587" s="711"/>
      <c r="L11587" s="711"/>
      <c r="Q11587" s="11"/>
      <c r="R11587" s="11"/>
      <c r="S11587" s="11"/>
      <c r="T11587" s="11"/>
    </row>
    <row r="11588" spans="8:20" x14ac:dyDescent="0.35">
      <c r="H11588" s="711"/>
      <c r="I11588" s="711"/>
      <c r="J11588" s="711"/>
      <c r="K11588" s="711"/>
      <c r="L11588" s="711"/>
      <c r="Q11588" s="11"/>
      <c r="R11588" s="11"/>
      <c r="S11588" s="11"/>
      <c r="T11588" s="11"/>
    </row>
    <row r="11589" spans="8:20" x14ac:dyDescent="0.35">
      <c r="H11589" s="711"/>
      <c r="I11589" s="711"/>
      <c r="J11589" s="711"/>
      <c r="K11589" s="711"/>
      <c r="L11589" s="711"/>
      <c r="Q11589" s="11"/>
      <c r="R11589" s="11"/>
      <c r="S11589" s="11"/>
      <c r="T11589" s="11"/>
    </row>
    <row r="11590" spans="8:20" x14ac:dyDescent="0.35">
      <c r="H11590" s="711"/>
      <c r="I11590" s="711"/>
      <c r="J11590" s="711"/>
      <c r="K11590" s="711"/>
      <c r="L11590" s="711"/>
      <c r="Q11590" s="11"/>
      <c r="R11590" s="11"/>
      <c r="S11590" s="11"/>
      <c r="T11590" s="11"/>
    </row>
    <row r="11591" spans="8:20" x14ac:dyDescent="0.35">
      <c r="H11591" s="711"/>
      <c r="I11591" s="711"/>
      <c r="J11591" s="711"/>
      <c r="K11591" s="711"/>
      <c r="L11591" s="711"/>
      <c r="Q11591" s="11"/>
      <c r="R11591" s="11"/>
      <c r="S11591" s="11"/>
      <c r="T11591" s="11"/>
    </row>
    <row r="11592" spans="8:20" x14ac:dyDescent="0.35">
      <c r="H11592" s="711"/>
      <c r="I11592" s="711"/>
      <c r="J11592" s="711"/>
      <c r="K11592" s="711"/>
      <c r="L11592" s="711"/>
      <c r="Q11592" s="11"/>
      <c r="R11592" s="11"/>
      <c r="S11592" s="11"/>
      <c r="T11592" s="11"/>
    </row>
    <row r="11593" spans="8:20" x14ac:dyDescent="0.35">
      <c r="H11593" s="711"/>
      <c r="I11593" s="711"/>
      <c r="J11593" s="711"/>
      <c r="K11593" s="711"/>
      <c r="L11593" s="711"/>
      <c r="Q11593" s="11"/>
      <c r="R11593" s="11"/>
      <c r="S11593" s="11"/>
      <c r="T11593" s="11"/>
    </row>
    <row r="11594" spans="8:20" x14ac:dyDescent="0.35">
      <c r="H11594" s="711"/>
      <c r="I11594" s="711"/>
      <c r="J11594" s="711"/>
      <c r="K11594" s="711"/>
      <c r="L11594" s="711"/>
      <c r="Q11594" s="11"/>
      <c r="R11594" s="11"/>
      <c r="S11594" s="11"/>
      <c r="T11594" s="11"/>
    </row>
    <row r="11595" spans="8:20" x14ac:dyDescent="0.35">
      <c r="H11595" s="711"/>
      <c r="I11595" s="711"/>
      <c r="J11595" s="711"/>
      <c r="K11595" s="711"/>
      <c r="L11595" s="711"/>
      <c r="Q11595" s="11"/>
      <c r="R11595" s="11"/>
      <c r="S11595" s="11"/>
      <c r="T11595" s="11"/>
    </row>
    <row r="11596" spans="8:20" x14ac:dyDescent="0.35">
      <c r="H11596" s="711"/>
      <c r="I11596" s="711"/>
      <c r="J11596" s="711"/>
      <c r="K11596" s="711"/>
      <c r="L11596" s="711"/>
      <c r="Q11596" s="11"/>
      <c r="R11596" s="11"/>
      <c r="S11596" s="11"/>
      <c r="T11596" s="11"/>
    </row>
    <row r="11597" spans="8:20" x14ac:dyDescent="0.35">
      <c r="H11597" s="711"/>
      <c r="I11597" s="711"/>
      <c r="J11597" s="711"/>
      <c r="K11597" s="711"/>
      <c r="L11597" s="711"/>
      <c r="Q11597" s="11"/>
      <c r="R11597" s="11"/>
      <c r="S11597" s="11"/>
      <c r="T11597" s="11"/>
    </row>
    <row r="11598" spans="8:20" x14ac:dyDescent="0.35">
      <c r="H11598" s="711"/>
      <c r="I11598" s="711"/>
      <c r="J11598" s="711"/>
      <c r="K11598" s="711"/>
      <c r="L11598" s="711"/>
      <c r="Q11598" s="11"/>
      <c r="R11598" s="11"/>
      <c r="S11598" s="11"/>
      <c r="T11598" s="11"/>
    </row>
    <row r="11599" spans="8:20" x14ac:dyDescent="0.35">
      <c r="H11599" s="711"/>
      <c r="I11599" s="711"/>
      <c r="J11599" s="711"/>
      <c r="K11599" s="711"/>
      <c r="L11599" s="711"/>
      <c r="Q11599" s="11"/>
      <c r="R11599" s="11"/>
      <c r="S11599" s="11"/>
      <c r="T11599" s="11"/>
    </row>
    <row r="11600" spans="8:20" x14ac:dyDescent="0.35">
      <c r="H11600" s="711"/>
      <c r="I11600" s="711"/>
      <c r="J11600" s="711"/>
      <c r="K11600" s="711"/>
      <c r="L11600" s="711"/>
      <c r="Q11600" s="11"/>
      <c r="R11600" s="11"/>
      <c r="S11600" s="11"/>
      <c r="T11600" s="11"/>
    </row>
    <row r="11601" spans="8:20" x14ac:dyDescent="0.35">
      <c r="H11601" s="711"/>
      <c r="I11601" s="711"/>
      <c r="J11601" s="711"/>
      <c r="K11601" s="711"/>
      <c r="L11601" s="711"/>
      <c r="Q11601" s="11"/>
      <c r="R11601" s="11"/>
      <c r="S11601" s="11"/>
      <c r="T11601" s="11"/>
    </row>
    <row r="11602" spans="8:20" x14ac:dyDescent="0.35">
      <c r="H11602" s="711"/>
      <c r="I11602" s="711"/>
      <c r="J11602" s="711"/>
      <c r="K11602" s="711"/>
      <c r="L11602" s="711"/>
      <c r="Q11602" s="11"/>
      <c r="R11602" s="11"/>
      <c r="S11602" s="11"/>
      <c r="T11602" s="11"/>
    </row>
    <row r="11603" spans="8:20" x14ac:dyDescent="0.35">
      <c r="H11603" s="711"/>
      <c r="I11603" s="711"/>
      <c r="J11603" s="711"/>
      <c r="K11603" s="711"/>
      <c r="L11603" s="711"/>
      <c r="Q11603" s="11"/>
      <c r="R11603" s="11"/>
      <c r="S11603" s="11"/>
      <c r="T11603" s="11"/>
    </row>
    <row r="11604" spans="8:20" x14ac:dyDescent="0.35">
      <c r="H11604" s="711"/>
      <c r="I11604" s="711"/>
      <c r="J11604" s="711"/>
      <c r="K11604" s="711"/>
      <c r="L11604" s="711"/>
      <c r="Q11604" s="11"/>
      <c r="R11604" s="11"/>
      <c r="S11604" s="11"/>
      <c r="T11604" s="11"/>
    </row>
    <row r="11605" spans="8:20" x14ac:dyDescent="0.35">
      <c r="H11605" s="711"/>
      <c r="I11605" s="711"/>
      <c r="J11605" s="711"/>
      <c r="K11605" s="711"/>
      <c r="L11605" s="711"/>
      <c r="Q11605" s="11"/>
      <c r="R11605" s="11"/>
      <c r="S11605" s="11"/>
      <c r="T11605" s="11"/>
    </row>
    <row r="11606" spans="8:20" x14ac:dyDescent="0.35">
      <c r="H11606" s="711"/>
      <c r="I11606" s="711"/>
      <c r="J11606" s="711"/>
      <c r="K11606" s="711"/>
      <c r="L11606" s="711"/>
      <c r="Q11606" s="11"/>
      <c r="R11606" s="11"/>
      <c r="S11606" s="11"/>
      <c r="T11606" s="11"/>
    </row>
    <row r="11607" spans="8:20" x14ac:dyDescent="0.35">
      <c r="H11607" s="711"/>
      <c r="I11607" s="711"/>
      <c r="J11607" s="711"/>
      <c r="K11607" s="711"/>
      <c r="L11607" s="711"/>
      <c r="Q11607" s="11"/>
      <c r="R11607" s="11"/>
      <c r="S11607" s="11"/>
      <c r="T11607" s="11"/>
    </row>
    <row r="11608" spans="8:20" x14ac:dyDescent="0.35">
      <c r="H11608" s="711"/>
      <c r="I11608" s="711"/>
      <c r="J11608" s="711"/>
      <c r="K11608" s="711"/>
      <c r="L11608" s="711"/>
      <c r="Q11608" s="11"/>
      <c r="R11608" s="11"/>
      <c r="S11608" s="11"/>
      <c r="T11608" s="11"/>
    </row>
    <row r="11609" spans="8:20" x14ac:dyDescent="0.35">
      <c r="H11609" s="711"/>
      <c r="I11609" s="711"/>
      <c r="J11609" s="711"/>
      <c r="K11609" s="711"/>
      <c r="L11609" s="711"/>
      <c r="Q11609" s="11"/>
      <c r="R11609" s="11"/>
      <c r="S11609" s="11"/>
      <c r="T11609" s="11"/>
    </row>
    <row r="11610" spans="8:20" x14ac:dyDescent="0.35">
      <c r="H11610" s="711"/>
      <c r="I11610" s="711"/>
      <c r="J11610" s="711"/>
      <c r="K11610" s="711"/>
      <c r="L11610" s="711"/>
      <c r="Q11610" s="11"/>
      <c r="R11610" s="11"/>
      <c r="S11610" s="11"/>
      <c r="T11610" s="11"/>
    </row>
    <row r="11611" spans="8:20" x14ac:dyDescent="0.35">
      <c r="H11611" s="711"/>
      <c r="I11611" s="711"/>
      <c r="J11611" s="711"/>
      <c r="K11611" s="711"/>
      <c r="L11611" s="711"/>
      <c r="Q11611" s="11"/>
      <c r="R11611" s="11"/>
      <c r="S11611" s="11"/>
      <c r="T11611" s="11"/>
    </row>
    <row r="11612" spans="8:20" x14ac:dyDescent="0.35">
      <c r="H11612" s="711"/>
      <c r="I11612" s="711"/>
      <c r="J11612" s="711"/>
      <c r="K11612" s="711"/>
      <c r="L11612" s="711"/>
      <c r="Q11612" s="11"/>
      <c r="R11612" s="11"/>
      <c r="S11612" s="11"/>
      <c r="T11612" s="11"/>
    </row>
    <row r="11613" spans="8:20" x14ac:dyDescent="0.35">
      <c r="H11613" s="711"/>
      <c r="I11613" s="711"/>
      <c r="J11613" s="711"/>
      <c r="K11613" s="711"/>
      <c r="L11613" s="711"/>
      <c r="Q11613" s="11"/>
      <c r="R11613" s="11"/>
      <c r="S11613" s="11"/>
      <c r="T11613" s="11"/>
    </row>
    <row r="11614" spans="8:20" x14ac:dyDescent="0.35">
      <c r="H11614" s="711"/>
      <c r="I11614" s="711"/>
      <c r="J11614" s="711"/>
      <c r="K11614" s="711"/>
      <c r="L11614" s="711"/>
      <c r="Q11614" s="11"/>
      <c r="R11614" s="11"/>
      <c r="S11614" s="11"/>
      <c r="T11614" s="11"/>
    </row>
    <row r="11615" spans="8:20" x14ac:dyDescent="0.35">
      <c r="H11615" s="711"/>
      <c r="I11615" s="711"/>
      <c r="J11615" s="711"/>
      <c r="K11615" s="711"/>
      <c r="L11615" s="711"/>
      <c r="Q11615" s="11"/>
      <c r="R11615" s="11"/>
      <c r="S11615" s="11"/>
      <c r="T11615" s="11"/>
    </row>
    <row r="11616" spans="8:20" x14ac:dyDescent="0.35">
      <c r="H11616" s="711"/>
      <c r="I11616" s="711"/>
      <c r="J11616" s="711"/>
      <c r="K11616" s="711"/>
      <c r="L11616" s="711"/>
      <c r="Q11616" s="11"/>
      <c r="R11616" s="11"/>
      <c r="S11616" s="11"/>
      <c r="T11616" s="11"/>
    </row>
    <row r="11617" spans="8:20" x14ac:dyDescent="0.35">
      <c r="H11617" s="711"/>
      <c r="I11617" s="711"/>
      <c r="J11617" s="711"/>
      <c r="K11617" s="711"/>
      <c r="L11617" s="711"/>
      <c r="Q11617" s="11"/>
      <c r="R11617" s="11"/>
      <c r="S11617" s="11"/>
      <c r="T11617" s="11"/>
    </row>
    <row r="11618" spans="8:20" x14ac:dyDescent="0.35">
      <c r="H11618" s="711"/>
      <c r="I11618" s="711"/>
      <c r="J11618" s="711"/>
      <c r="K11618" s="711"/>
      <c r="L11618" s="711"/>
      <c r="Q11618" s="11"/>
      <c r="R11618" s="11"/>
      <c r="S11618" s="11"/>
      <c r="T11618" s="11"/>
    </row>
    <row r="11619" spans="8:20" x14ac:dyDescent="0.35">
      <c r="H11619" s="711"/>
      <c r="I11619" s="711"/>
      <c r="J11619" s="711"/>
      <c r="K11619" s="711"/>
      <c r="L11619" s="711"/>
      <c r="Q11619" s="11"/>
      <c r="R11619" s="11"/>
      <c r="S11619" s="11"/>
      <c r="T11619" s="11"/>
    </row>
    <row r="11620" spans="8:20" x14ac:dyDescent="0.35">
      <c r="H11620" s="711"/>
      <c r="I11620" s="711"/>
      <c r="J11620" s="711"/>
      <c r="K11620" s="711"/>
      <c r="L11620" s="711"/>
      <c r="Q11620" s="11"/>
      <c r="R11620" s="11"/>
      <c r="S11620" s="11"/>
      <c r="T11620" s="11"/>
    </row>
    <row r="11621" spans="8:20" x14ac:dyDescent="0.35">
      <c r="H11621" s="711"/>
      <c r="I11621" s="711"/>
      <c r="J11621" s="711"/>
      <c r="K11621" s="711"/>
      <c r="L11621" s="711"/>
      <c r="Q11621" s="11"/>
      <c r="R11621" s="11"/>
      <c r="S11621" s="11"/>
      <c r="T11621" s="11"/>
    </row>
    <row r="11622" spans="8:20" x14ac:dyDescent="0.35">
      <c r="H11622" s="711"/>
      <c r="I11622" s="711"/>
      <c r="J11622" s="711"/>
      <c r="K11622" s="711"/>
      <c r="L11622" s="711"/>
      <c r="Q11622" s="11"/>
      <c r="R11622" s="11"/>
      <c r="S11622" s="11"/>
      <c r="T11622" s="11"/>
    </row>
    <row r="11623" spans="8:20" x14ac:dyDescent="0.35">
      <c r="H11623" s="711"/>
      <c r="I11623" s="711"/>
      <c r="J11623" s="711"/>
      <c r="K11623" s="711"/>
      <c r="L11623" s="711"/>
      <c r="Q11623" s="11"/>
      <c r="R11623" s="11"/>
      <c r="S11623" s="11"/>
      <c r="T11623" s="11"/>
    </row>
    <row r="11624" spans="8:20" x14ac:dyDescent="0.35">
      <c r="H11624" s="711"/>
      <c r="I11624" s="711"/>
      <c r="J11624" s="711"/>
      <c r="K11624" s="711"/>
      <c r="L11624" s="711"/>
      <c r="Q11624" s="11"/>
      <c r="R11624" s="11"/>
      <c r="S11624" s="11"/>
      <c r="T11624" s="11"/>
    </row>
    <row r="11625" spans="8:20" x14ac:dyDescent="0.35">
      <c r="H11625" s="711"/>
      <c r="I11625" s="711"/>
      <c r="J11625" s="711"/>
      <c r="K11625" s="711"/>
      <c r="L11625" s="711"/>
      <c r="Q11625" s="11"/>
      <c r="R11625" s="11"/>
      <c r="S11625" s="11"/>
      <c r="T11625" s="11"/>
    </row>
    <row r="11626" spans="8:20" x14ac:dyDescent="0.35">
      <c r="H11626" s="711"/>
      <c r="I11626" s="711"/>
      <c r="J11626" s="711"/>
      <c r="K11626" s="711"/>
      <c r="L11626" s="711"/>
      <c r="Q11626" s="11"/>
      <c r="R11626" s="11"/>
      <c r="S11626" s="11"/>
      <c r="T11626" s="11"/>
    </row>
    <row r="11627" spans="8:20" x14ac:dyDescent="0.35">
      <c r="H11627" s="711"/>
      <c r="I11627" s="711"/>
      <c r="J11627" s="711"/>
      <c r="K11627" s="711"/>
      <c r="L11627" s="711"/>
      <c r="Q11627" s="11"/>
      <c r="R11627" s="11"/>
      <c r="S11627" s="11"/>
      <c r="T11627" s="11"/>
    </row>
    <row r="11628" spans="8:20" x14ac:dyDescent="0.35">
      <c r="H11628" s="711"/>
      <c r="I11628" s="711"/>
      <c r="J11628" s="711"/>
      <c r="K11628" s="711"/>
      <c r="L11628" s="711"/>
      <c r="Q11628" s="11"/>
      <c r="R11628" s="11"/>
      <c r="S11628" s="11"/>
      <c r="T11628" s="11"/>
    </row>
    <row r="11629" spans="8:20" x14ac:dyDescent="0.35">
      <c r="H11629" s="711"/>
      <c r="I11629" s="711"/>
      <c r="J11629" s="711"/>
      <c r="K11629" s="711"/>
      <c r="L11629" s="711"/>
      <c r="Q11629" s="11"/>
      <c r="R11629" s="11"/>
      <c r="S11629" s="11"/>
      <c r="T11629" s="11"/>
    </row>
    <row r="11630" spans="8:20" x14ac:dyDescent="0.35">
      <c r="H11630" s="711"/>
      <c r="I11630" s="711"/>
      <c r="J11630" s="711"/>
      <c r="K11630" s="711"/>
      <c r="L11630" s="711"/>
      <c r="Q11630" s="11"/>
      <c r="R11630" s="11"/>
      <c r="S11630" s="11"/>
      <c r="T11630" s="11"/>
    </row>
    <row r="11631" spans="8:20" x14ac:dyDescent="0.35">
      <c r="H11631" s="711"/>
      <c r="I11631" s="711"/>
      <c r="J11631" s="711"/>
      <c r="K11631" s="711"/>
      <c r="L11631" s="711"/>
      <c r="Q11631" s="11"/>
      <c r="R11631" s="11"/>
      <c r="S11631" s="11"/>
      <c r="T11631" s="11"/>
    </row>
    <row r="11632" spans="8:20" x14ac:dyDescent="0.35">
      <c r="H11632" s="711"/>
      <c r="I11632" s="711"/>
      <c r="J11632" s="711"/>
      <c r="K11632" s="711"/>
      <c r="L11632" s="711"/>
      <c r="Q11632" s="11"/>
      <c r="R11632" s="11"/>
      <c r="S11632" s="11"/>
      <c r="T11632" s="11"/>
    </row>
    <row r="11633" spans="8:20" x14ac:dyDescent="0.35">
      <c r="H11633" s="711"/>
      <c r="I11633" s="711"/>
      <c r="J11633" s="711"/>
      <c r="K11633" s="711"/>
      <c r="L11633" s="711"/>
      <c r="Q11633" s="11"/>
      <c r="R11633" s="11"/>
      <c r="S11633" s="11"/>
      <c r="T11633" s="11"/>
    </row>
    <row r="11634" spans="8:20" x14ac:dyDescent="0.35">
      <c r="H11634" s="711"/>
      <c r="I11634" s="711"/>
      <c r="J11634" s="711"/>
      <c r="K11634" s="711"/>
      <c r="L11634" s="711"/>
      <c r="Q11634" s="11"/>
      <c r="R11634" s="11"/>
      <c r="S11634" s="11"/>
      <c r="T11634" s="11"/>
    </row>
    <row r="11635" spans="8:20" x14ac:dyDescent="0.35">
      <c r="H11635" s="711"/>
      <c r="I11635" s="711"/>
      <c r="J11635" s="711"/>
      <c r="K11635" s="711"/>
      <c r="L11635" s="711"/>
      <c r="Q11635" s="11"/>
      <c r="R11635" s="11"/>
      <c r="S11635" s="11"/>
      <c r="T11635" s="11"/>
    </row>
    <row r="11636" spans="8:20" x14ac:dyDescent="0.35">
      <c r="H11636" s="711"/>
      <c r="I11636" s="711"/>
      <c r="J11636" s="711"/>
      <c r="K11636" s="711"/>
      <c r="L11636" s="711"/>
      <c r="Q11636" s="11"/>
      <c r="R11636" s="11"/>
      <c r="S11636" s="11"/>
      <c r="T11636" s="11"/>
    </row>
    <row r="11637" spans="8:20" x14ac:dyDescent="0.35">
      <c r="H11637" s="711"/>
      <c r="I11637" s="711"/>
      <c r="J11637" s="711"/>
      <c r="K11637" s="711"/>
      <c r="L11637" s="711"/>
      <c r="Q11637" s="11"/>
      <c r="R11637" s="11"/>
      <c r="S11637" s="11"/>
      <c r="T11637" s="11"/>
    </row>
    <row r="11638" spans="8:20" x14ac:dyDescent="0.35">
      <c r="H11638" s="711"/>
      <c r="I11638" s="711"/>
      <c r="J11638" s="711"/>
      <c r="K11638" s="711"/>
      <c r="L11638" s="711"/>
      <c r="Q11638" s="11"/>
      <c r="R11638" s="11"/>
      <c r="S11638" s="11"/>
      <c r="T11638" s="11"/>
    </row>
    <row r="11639" spans="8:20" x14ac:dyDescent="0.35">
      <c r="H11639" s="711"/>
      <c r="I11639" s="711"/>
      <c r="J11639" s="711"/>
      <c r="K11639" s="711"/>
      <c r="L11639" s="711"/>
      <c r="Q11639" s="11"/>
      <c r="R11639" s="11"/>
      <c r="S11639" s="11"/>
      <c r="T11639" s="11"/>
    </row>
    <row r="11640" spans="8:20" x14ac:dyDescent="0.35">
      <c r="H11640" s="711"/>
      <c r="I11640" s="711"/>
      <c r="J11640" s="711"/>
      <c r="K11640" s="711"/>
      <c r="L11640" s="711"/>
      <c r="Q11640" s="11"/>
      <c r="R11640" s="11"/>
      <c r="S11640" s="11"/>
      <c r="T11640" s="11"/>
    </row>
    <row r="11641" spans="8:20" x14ac:dyDescent="0.35">
      <c r="H11641" s="711"/>
      <c r="I11641" s="711"/>
      <c r="J11641" s="711"/>
      <c r="K11641" s="711"/>
      <c r="L11641" s="711"/>
      <c r="Q11641" s="11"/>
      <c r="R11641" s="11"/>
      <c r="S11641" s="11"/>
      <c r="T11641" s="11"/>
    </row>
    <row r="11642" spans="8:20" x14ac:dyDescent="0.35">
      <c r="H11642" s="711"/>
      <c r="I11642" s="711"/>
      <c r="J11642" s="711"/>
      <c r="K11642" s="711"/>
      <c r="L11642" s="711"/>
      <c r="Q11642" s="11"/>
      <c r="R11642" s="11"/>
      <c r="S11642" s="11"/>
      <c r="T11642" s="11"/>
    </row>
    <row r="11643" spans="8:20" x14ac:dyDescent="0.35">
      <c r="H11643" s="711"/>
      <c r="I11643" s="711"/>
      <c r="J11643" s="711"/>
      <c r="K11643" s="711"/>
      <c r="L11643" s="711"/>
      <c r="Q11643" s="11"/>
      <c r="R11643" s="11"/>
      <c r="S11643" s="11"/>
      <c r="T11643" s="11"/>
    </row>
    <row r="11644" spans="8:20" x14ac:dyDescent="0.35">
      <c r="H11644" s="711"/>
      <c r="I11644" s="711"/>
      <c r="J11644" s="711"/>
      <c r="K11644" s="711"/>
      <c r="L11644" s="711"/>
      <c r="Q11644" s="11"/>
      <c r="R11644" s="11"/>
      <c r="S11644" s="11"/>
      <c r="T11644" s="11"/>
    </row>
    <row r="11645" spans="8:20" x14ac:dyDescent="0.35">
      <c r="H11645" s="711"/>
      <c r="I11645" s="711"/>
      <c r="J11645" s="711"/>
      <c r="K11645" s="711"/>
      <c r="L11645" s="711"/>
      <c r="Q11645" s="11"/>
      <c r="R11645" s="11"/>
      <c r="S11645" s="11"/>
      <c r="T11645" s="11"/>
    </row>
    <row r="11646" spans="8:20" x14ac:dyDescent="0.35">
      <c r="H11646" s="711"/>
      <c r="I11646" s="711"/>
      <c r="J11646" s="711"/>
      <c r="K11646" s="711"/>
      <c r="L11646" s="711"/>
      <c r="Q11646" s="11"/>
      <c r="R11646" s="11"/>
      <c r="S11646" s="11"/>
      <c r="T11646" s="11"/>
    </row>
    <row r="11647" spans="8:20" x14ac:dyDescent="0.35">
      <c r="H11647" s="711"/>
      <c r="I11647" s="711"/>
      <c r="J11647" s="711"/>
      <c r="K11647" s="711"/>
      <c r="L11647" s="711"/>
      <c r="Q11647" s="11"/>
      <c r="R11647" s="11"/>
      <c r="S11647" s="11"/>
      <c r="T11647" s="11"/>
    </row>
    <row r="11648" spans="8:20" x14ac:dyDescent="0.35">
      <c r="H11648" s="711"/>
      <c r="I11648" s="711"/>
      <c r="J11648" s="711"/>
      <c r="K11648" s="711"/>
      <c r="L11648" s="711"/>
      <c r="Q11648" s="11"/>
      <c r="R11648" s="11"/>
      <c r="S11648" s="11"/>
      <c r="T11648" s="11"/>
    </row>
    <row r="11649" spans="8:20" x14ac:dyDescent="0.35">
      <c r="H11649" s="711"/>
      <c r="I11649" s="711"/>
      <c r="J11649" s="711"/>
      <c r="K11649" s="711"/>
      <c r="L11649" s="711"/>
      <c r="Q11649" s="11"/>
      <c r="R11649" s="11"/>
      <c r="S11649" s="11"/>
      <c r="T11649" s="11"/>
    </row>
    <row r="11650" spans="8:20" x14ac:dyDescent="0.35">
      <c r="H11650" s="711"/>
      <c r="I11650" s="711"/>
      <c r="J11650" s="711"/>
      <c r="K11650" s="711"/>
      <c r="L11650" s="711"/>
      <c r="Q11650" s="11"/>
      <c r="R11650" s="11"/>
      <c r="S11650" s="11"/>
      <c r="T11650" s="11"/>
    </row>
    <row r="11651" spans="8:20" x14ac:dyDescent="0.35">
      <c r="H11651" s="711"/>
      <c r="I11651" s="711"/>
      <c r="J11651" s="711"/>
      <c r="K11651" s="711"/>
      <c r="L11651" s="711"/>
      <c r="Q11651" s="11"/>
      <c r="R11651" s="11"/>
      <c r="S11651" s="11"/>
      <c r="T11651" s="11"/>
    </row>
    <row r="11652" spans="8:20" x14ac:dyDescent="0.35">
      <c r="H11652" s="711"/>
      <c r="I11652" s="711"/>
      <c r="J11652" s="711"/>
      <c r="K11652" s="711"/>
      <c r="L11652" s="711"/>
      <c r="Q11652" s="11"/>
      <c r="R11652" s="11"/>
      <c r="S11652" s="11"/>
      <c r="T11652" s="11"/>
    </row>
    <row r="11653" spans="8:20" x14ac:dyDescent="0.35">
      <c r="H11653" s="711"/>
      <c r="I11653" s="711"/>
      <c r="J11653" s="711"/>
      <c r="K11653" s="711"/>
      <c r="L11653" s="711"/>
      <c r="Q11653" s="11"/>
      <c r="R11653" s="11"/>
      <c r="S11653" s="11"/>
      <c r="T11653" s="11"/>
    </row>
    <row r="11654" spans="8:20" x14ac:dyDescent="0.35">
      <c r="H11654" s="711"/>
      <c r="I11654" s="711"/>
      <c r="J11654" s="711"/>
      <c r="K11654" s="711"/>
      <c r="L11654" s="711"/>
      <c r="Q11654" s="11"/>
      <c r="R11654" s="11"/>
      <c r="S11654" s="11"/>
      <c r="T11654" s="11"/>
    </row>
    <row r="11655" spans="8:20" x14ac:dyDescent="0.35">
      <c r="H11655" s="711"/>
      <c r="I11655" s="711"/>
      <c r="J11655" s="711"/>
      <c r="K11655" s="711"/>
      <c r="L11655" s="711"/>
      <c r="Q11655" s="11"/>
      <c r="R11655" s="11"/>
      <c r="S11655" s="11"/>
      <c r="T11655" s="11"/>
    </row>
    <row r="11656" spans="8:20" x14ac:dyDescent="0.35">
      <c r="H11656" s="711"/>
      <c r="I11656" s="711"/>
      <c r="J11656" s="711"/>
      <c r="K11656" s="711"/>
      <c r="L11656" s="711"/>
      <c r="Q11656" s="11"/>
      <c r="R11656" s="11"/>
      <c r="S11656" s="11"/>
      <c r="T11656" s="11"/>
    </row>
    <row r="11657" spans="8:20" x14ac:dyDescent="0.35">
      <c r="H11657" s="711"/>
      <c r="I11657" s="711"/>
      <c r="J11657" s="711"/>
      <c r="K11657" s="711"/>
      <c r="L11657" s="711"/>
      <c r="Q11657" s="11"/>
      <c r="R11657" s="11"/>
      <c r="S11657" s="11"/>
      <c r="T11657" s="11"/>
    </row>
    <row r="11658" spans="8:20" x14ac:dyDescent="0.35">
      <c r="H11658" s="711"/>
      <c r="I11658" s="711"/>
      <c r="J11658" s="711"/>
      <c r="K11658" s="711"/>
      <c r="L11658" s="711"/>
      <c r="Q11658" s="11"/>
      <c r="R11658" s="11"/>
      <c r="S11658" s="11"/>
      <c r="T11658" s="11"/>
    </row>
    <row r="11659" spans="8:20" x14ac:dyDescent="0.35">
      <c r="H11659" s="711"/>
      <c r="I11659" s="711"/>
      <c r="J11659" s="711"/>
      <c r="K11659" s="711"/>
      <c r="L11659" s="711"/>
      <c r="Q11659" s="11"/>
      <c r="R11659" s="11"/>
      <c r="S11659" s="11"/>
      <c r="T11659" s="11"/>
    </row>
    <row r="11660" spans="8:20" x14ac:dyDescent="0.35">
      <c r="H11660" s="711"/>
      <c r="I11660" s="711"/>
      <c r="J11660" s="711"/>
      <c r="K11660" s="711"/>
      <c r="L11660" s="711"/>
      <c r="Q11660" s="11"/>
      <c r="R11660" s="11"/>
      <c r="S11660" s="11"/>
      <c r="T11660" s="11"/>
    </row>
    <row r="11661" spans="8:20" x14ac:dyDescent="0.35">
      <c r="H11661" s="711"/>
      <c r="I11661" s="711"/>
      <c r="J11661" s="711"/>
      <c r="K11661" s="711"/>
      <c r="L11661" s="711"/>
      <c r="Q11661" s="11"/>
      <c r="R11661" s="11"/>
      <c r="S11661" s="11"/>
      <c r="T11661" s="11"/>
    </row>
    <row r="11662" spans="8:20" x14ac:dyDescent="0.35">
      <c r="H11662" s="711"/>
      <c r="I11662" s="711"/>
      <c r="J11662" s="711"/>
      <c r="K11662" s="711"/>
      <c r="L11662" s="711"/>
      <c r="Q11662" s="11"/>
      <c r="R11662" s="11"/>
      <c r="S11662" s="11"/>
      <c r="T11662" s="11"/>
    </row>
    <row r="11663" spans="8:20" x14ac:dyDescent="0.35">
      <c r="H11663" s="711"/>
      <c r="I11663" s="711"/>
      <c r="J11663" s="711"/>
      <c r="K11663" s="711"/>
      <c r="L11663" s="711"/>
      <c r="Q11663" s="11"/>
      <c r="R11663" s="11"/>
      <c r="S11663" s="11"/>
      <c r="T11663" s="11"/>
    </row>
    <row r="11664" spans="8:20" x14ac:dyDescent="0.35">
      <c r="H11664" s="711"/>
      <c r="I11664" s="711"/>
      <c r="J11664" s="711"/>
      <c r="K11664" s="711"/>
      <c r="L11664" s="711"/>
      <c r="Q11664" s="11"/>
      <c r="R11664" s="11"/>
      <c r="S11664" s="11"/>
      <c r="T11664" s="11"/>
    </row>
    <row r="11665" spans="8:20" x14ac:dyDescent="0.35">
      <c r="H11665" s="711"/>
      <c r="I11665" s="711"/>
      <c r="J11665" s="711"/>
      <c r="K11665" s="711"/>
      <c r="L11665" s="711"/>
      <c r="Q11665" s="11"/>
      <c r="R11665" s="11"/>
      <c r="S11665" s="11"/>
      <c r="T11665" s="11"/>
    </row>
    <row r="11666" spans="8:20" x14ac:dyDescent="0.35">
      <c r="H11666" s="711"/>
      <c r="I11666" s="711"/>
      <c r="J11666" s="711"/>
      <c r="K11666" s="711"/>
      <c r="L11666" s="711"/>
      <c r="Q11666" s="11"/>
      <c r="R11666" s="11"/>
      <c r="S11666" s="11"/>
      <c r="T11666" s="11"/>
    </row>
    <row r="11667" spans="8:20" x14ac:dyDescent="0.35">
      <c r="H11667" s="711"/>
      <c r="I11667" s="711"/>
      <c r="J11667" s="711"/>
      <c r="K11667" s="711"/>
      <c r="L11667" s="711"/>
      <c r="Q11667" s="11"/>
      <c r="R11667" s="11"/>
      <c r="S11667" s="11"/>
      <c r="T11667" s="11"/>
    </row>
    <row r="11668" spans="8:20" x14ac:dyDescent="0.35">
      <c r="H11668" s="711"/>
      <c r="I11668" s="711"/>
      <c r="J11668" s="711"/>
      <c r="K11668" s="711"/>
      <c r="L11668" s="711"/>
      <c r="Q11668" s="11"/>
      <c r="R11668" s="11"/>
      <c r="S11668" s="11"/>
      <c r="T11668" s="11"/>
    </row>
    <row r="11669" spans="8:20" x14ac:dyDescent="0.35">
      <c r="H11669" s="711"/>
      <c r="I11669" s="711"/>
      <c r="J11669" s="711"/>
      <c r="K11669" s="711"/>
      <c r="L11669" s="711"/>
      <c r="Q11669" s="11"/>
      <c r="R11669" s="11"/>
      <c r="S11669" s="11"/>
      <c r="T11669" s="11"/>
    </row>
    <row r="11670" spans="8:20" x14ac:dyDescent="0.35">
      <c r="H11670" s="711"/>
      <c r="I11670" s="711"/>
      <c r="J11670" s="711"/>
      <c r="K11670" s="711"/>
      <c r="L11670" s="711"/>
      <c r="Q11670" s="11"/>
      <c r="R11670" s="11"/>
      <c r="S11670" s="11"/>
      <c r="T11670" s="11"/>
    </row>
    <row r="11671" spans="8:20" x14ac:dyDescent="0.35">
      <c r="H11671" s="711"/>
      <c r="I11671" s="711"/>
      <c r="J11671" s="711"/>
      <c r="K11671" s="711"/>
      <c r="L11671" s="711"/>
      <c r="Q11671" s="11"/>
      <c r="R11671" s="11"/>
      <c r="S11671" s="11"/>
      <c r="T11671" s="11"/>
    </row>
    <row r="11672" spans="8:20" x14ac:dyDescent="0.35">
      <c r="H11672" s="711"/>
      <c r="I11672" s="711"/>
      <c r="J11672" s="711"/>
      <c r="K11672" s="711"/>
      <c r="L11672" s="711"/>
      <c r="Q11672" s="11"/>
      <c r="R11672" s="11"/>
      <c r="S11672" s="11"/>
      <c r="T11672" s="11"/>
    </row>
    <row r="11673" spans="8:20" x14ac:dyDescent="0.35">
      <c r="H11673" s="711"/>
      <c r="I11673" s="711"/>
      <c r="J11673" s="711"/>
      <c r="K11673" s="711"/>
      <c r="L11673" s="711"/>
      <c r="Q11673" s="11"/>
      <c r="R11673" s="11"/>
      <c r="S11673" s="11"/>
      <c r="T11673" s="11"/>
    </row>
    <row r="11674" spans="8:20" x14ac:dyDescent="0.35">
      <c r="H11674" s="711"/>
      <c r="I11674" s="711"/>
      <c r="J11674" s="711"/>
      <c r="K11674" s="711"/>
      <c r="L11674" s="711"/>
      <c r="Q11674" s="11"/>
      <c r="R11674" s="11"/>
      <c r="S11674" s="11"/>
      <c r="T11674" s="11"/>
    </row>
    <row r="11675" spans="8:20" x14ac:dyDescent="0.35">
      <c r="H11675" s="711"/>
      <c r="I11675" s="711"/>
      <c r="J11675" s="711"/>
      <c r="K11675" s="711"/>
      <c r="L11675" s="711"/>
      <c r="Q11675" s="11"/>
      <c r="R11675" s="11"/>
      <c r="S11675" s="11"/>
      <c r="T11675" s="11"/>
    </row>
    <row r="11676" spans="8:20" x14ac:dyDescent="0.35">
      <c r="H11676" s="711"/>
      <c r="I11676" s="711"/>
      <c r="J11676" s="711"/>
      <c r="K11676" s="711"/>
      <c r="L11676" s="711"/>
      <c r="Q11676" s="11"/>
      <c r="R11676" s="11"/>
      <c r="S11676" s="11"/>
      <c r="T11676" s="11"/>
    </row>
    <row r="11677" spans="8:20" x14ac:dyDescent="0.35">
      <c r="H11677" s="711"/>
      <c r="I11677" s="711"/>
      <c r="J11677" s="711"/>
      <c r="K11677" s="711"/>
      <c r="L11677" s="711"/>
      <c r="Q11677" s="11"/>
      <c r="R11677" s="11"/>
      <c r="S11677" s="11"/>
      <c r="T11677" s="11"/>
    </row>
    <row r="11678" spans="8:20" x14ac:dyDescent="0.35">
      <c r="H11678" s="711"/>
      <c r="I11678" s="711"/>
      <c r="J11678" s="711"/>
      <c r="K11678" s="711"/>
      <c r="L11678" s="711"/>
      <c r="Q11678" s="11"/>
      <c r="R11678" s="11"/>
      <c r="S11678" s="11"/>
      <c r="T11678" s="11"/>
    </row>
    <row r="11679" spans="8:20" x14ac:dyDescent="0.35">
      <c r="H11679" s="711"/>
      <c r="I11679" s="711"/>
      <c r="J11679" s="711"/>
      <c r="K11679" s="711"/>
      <c r="L11679" s="711"/>
      <c r="Q11679" s="11"/>
      <c r="R11679" s="11"/>
      <c r="S11679" s="11"/>
      <c r="T11679" s="11"/>
    </row>
    <row r="11680" spans="8:20" x14ac:dyDescent="0.35">
      <c r="H11680" s="711"/>
      <c r="I11680" s="711"/>
      <c r="J11680" s="711"/>
      <c r="K11680" s="711"/>
      <c r="L11680" s="711"/>
      <c r="Q11680" s="11"/>
      <c r="R11680" s="11"/>
      <c r="S11680" s="11"/>
      <c r="T11680" s="11"/>
    </row>
    <row r="11681" spans="8:20" x14ac:dyDescent="0.35">
      <c r="H11681" s="711"/>
      <c r="I11681" s="711"/>
      <c r="J11681" s="711"/>
      <c r="K11681" s="711"/>
      <c r="L11681" s="711"/>
      <c r="Q11681" s="11"/>
      <c r="R11681" s="11"/>
      <c r="S11681" s="11"/>
      <c r="T11681" s="11"/>
    </row>
    <row r="11682" spans="8:20" x14ac:dyDescent="0.35">
      <c r="H11682" s="711"/>
      <c r="I11682" s="711"/>
      <c r="J11682" s="711"/>
      <c r="K11682" s="711"/>
      <c r="L11682" s="711"/>
      <c r="Q11682" s="11"/>
      <c r="R11682" s="11"/>
      <c r="S11682" s="11"/>
      <c r="T11682" s="11"/>
    </row>
    <row r="11683" spans="8:20" x14ac:dyDescent="0.35">
      <c r="H11683" s="711"/>
      <c r="I11683" s="711"/>
      <c r="J11683" s="711"/>
      <c r="K11683" s="711"/>
      <c r="L11683" s="711"/>
      <c r="Q11683" s="11"/>
      <c r="R11683" s="11"/>
      <c r="S11683" s="11"/>
      <c r="T11683" s="11"/>
    </row>
    <row r="11684" spans="8:20" x14ac:dyDescent="0.35">
      <c r="H11684" s="711"/>
      <c r="I11684" s="711"/>
      <c r="J11684" s="711"/>
      <c r="K11684" s="711"/>
      <c r="L11684" s="711"/>
      <c r="Q11684" s="11"/>
      <c r="R11684" s="11"/>
      <c r="S11684" s="11"/>
      <c r="T11684" s="11"/>
    </row>
    <row r="11685" spans="8:20" x14ac:dyDescent="0.35">
      <c r="H11685" s="711"/>
      <c r="I11685" s="711"/>
      <c r="J11685" s="711"/>
      <c r="K11685" s="711"/>
      <c r="L11685" s="711"/>
      <c r="Q11685" s="11"/>
      <c r="R11685" s="11"/>
      <c r="S11685" s="11"/>
      <c r="T11685" s="11"/>
    </row>
    <row r="11686" spans="8:20" x14ac:dyDescent="0.35">
      <c r="H11686" s="711"/>
      <c r="I11686" s="711"/>
      <c r="J11686" s="711"/>
      <c r="K11686" s="711"/>
      <c r="L11686" s="711"/>
      <c r="Q11686" s="11"/>
      <c r="R11686" s="11"/>
      <c r="S11686" s="11"/>
      <c r="T11686" s="11"/>
    </row>
    <row r="11687" spans="8:20" x14ac:dyDescent="0.35">
      <c r="H11687" s="711"/>
      <c r="I11687" s="711"/>
      <c r="J11687" s="711"/>
      <c r="K11687" s="711"/>
      <c r="L11687" s="711"/>
      <c r="Q11687" s="11"/>
      <c r="R11687" s="11"/>
      <c r="S11687" s="11"/>
      <c r="T11687" s="11"/>
    </row>
    <row r="11688" spans="8:20" x14ac:dyDescent="0.35">
      <c r="H11688" s="711"/>
      <c r="I11688" s="711"/>
      <c r="J11688" s="711"/>
      <c r="K11688" s="711"/>
      <c r="L11688" s="711"/>
      <c r="Q11688" s="11"/>
      <c r="R11688" s="11"/>
      <c r="S11688" s="11"/>
      <c r="T11688" s="11"/>
    </row>
    <row r="11689" spans="8:20" x14ac:dyDescent="0.35">
      <c r="H11689" s="711"/>
      <c r="I11689" s="711"/>
      <c r="J11689" s="711"/>
      <c r="K11689" s="711"/>
      <c r="L11689" s="711"/>
      <c r="Q11689" s="11"/>
      <c r="R11689" s="11"/>
      <c r="S11689" s="11"/>
      <c r="T11689" s="11"/>
    </row>
    <row r="11690" spans="8:20" x14ac:dyDescent="0.35">
      <c r="H11690" s="711"/>
      <c r="I11690" s="711"/>
      <c r="J11690" s="711"/>
      <c r="K11690" s="711"/>
      <c r="L11690" s="711"/>
      <c r="Q11690" s="11"/>
      <c r="R11690" s="11"/>
      <c r="S11690" s="11"/>
      <c r="T11690" s="11"/>
    </row>
    <row r="11691" spans="8:20" x14ac:dyDescent="0.35">
      <c r="H11691" s="711"/>
      <c r="I11691" s="711"/>
      <c r="J11691" s="711"/>
      <c r="K11691" s="711"/>
      <c r="L11691" s="711"/>
      <c r="Q11691" s="11"/>
      <c r="R11691" s="11"/>
      <c r="S11691" s="11"/>
      <c r="T11691" s="11"/>
    </row>
    <row r="11692" spans="8:20" x14ac:dyDescent="0.35">
      <c r="H11692" s="711"/>
      <c r="I11692" s="711"/>
      <c r="J11692" s="711"/>
      <c r="K11692" s="711"/>
      <c r="L11692" s="711"/>
      <c r="Q11692" s="11"/>
      <c r="R11692" s="11"/>
      <c r="S11692" s="11"/>
      <c r="T11692" s="11"/>
    </row>
    <row r="11693" spans="8:20" x14ac:dyDescent="0.35">
      <c r="H11693" s="711"/>
      <c r="I11693" s="711"/>
      <c r="J11693" s="711"/>
      <c r="K11693" s="711"/>
      <c r="L11693" s="711"/>
      <c r="Q11693" s="11"/>
      <c r="R11693" s="11"/>
      <c r="S11693" s="11"/>
      <c r="T11693" s="11"/>
    </row>
    <row r="11694" spans="8:20" x14ac:dyDescent="0.35">
      <c r="H11694" s="711"/>
      <c r="I11694" s="711"/>
      <c r="J11694" s="711"/>
      <c r="K11694" s="711"/>
      <c r="L11694" s="711"/>
      <c r="Q11694" s="11"/>
      <c r="R11694" s="11"/>
      <c r="S11694" s="11"/>
      <c r="T11694" s="11"/>
    </row>
    <row r="11695" spans="8:20" x14ac:dyDescent="0.35">
      <c r="H11695" s="711"/>
      <c r="I11695" s="711"/>
      <c r="J11695" s="711"/>
      <c r="K11695" s="711"/>
      <c r="L11695" s="711"/>
      <c r="Q11695" s="11"/>
      <c r="R11695" s="11"/>
      <c r="S11695" s="11"/>
      <c r="T11695" s="11"/>
    </row>
    <row r="11696" spans="8:20" x14ac:dyDescent="0.35">
      <c r="H11696" s="711"/>
      <c r="I11696" s="711"/>
      <c r="J11696" s="711"/>
      <c r="K11696" s="711"/>
      <c r="L11696" s="711"/>
      <c r="Q11696" s="11"/>
      <c r="R11696" s="11"/>
      <c r="S11696" s="11"/>
      <c r="T11696" s="11"/>
    </row>
    <row r="11697" spans="8:20" x14ac:dyDescent="0.35">
      <c r="H11697" s="711"/>
      <c r="I11697" s="711"/>
      <c r="J11697" s="711"/>
      <c r="K11697" s="711"/>
      <c r="L11697" s="711"/>
      <c r="Q11697" s="11"/>
      <c r="R11697" s="11"/>
      <c r="S11697" s="11"/>
      <c r="T11697" s="11"/>
    </row>
    <row r="11698" spans="8:20" x14ac:dyDescent="0.35">
      <c r="H11698" s="711"/>
      <c r="I11698" s="711"/>
      <c r="J11698" s="711"/>
      <c r="K11698" s="711"/>
      <c r="L11698" s="711"/>
      <c r="Q11698" s="11"/>
      <c r="R11698" s="11"/>
      <c r="S11698" s="11"/>
      <c r="T11698" s="11"/>
    </row>
    <row r="11699" spans="8:20" x14ac:dyDescent="0.35">
      <c r="H11699" s="711"/>
      <c r="I11699" s="711"/>
      <c r="J11699" s="711"/>
      <c r="K11699" s="711"/>
      <c r="L11699" s="711"/>
      <c r="Q11699" s="11"/>
      <c r="R11699" s="11"/>
      <c r="S11699" s="11"/>
      <c r="T11699" s="11"/>
    </row>
    <row r="11700" spans="8:20" x14ac:dyDescent="0.35">
      <c r="H11700" s="711"/>
      <c r="I11700" s="711"/>
      <c r="J11700" s="711"/>
      <c r="K11700" s="711"/>
      <c r="L11700" s="711"/>
      <c r="Q11700" s="11"/>
      <c r="R11700" s="11"/>
      <c r="S11700" s="11"/>
      <c r="T11700" s="11"/>
    </row>
    <row r="11701" spans="8:20" x14ac:dyDescent="0.35">
      <c r="H11701" s="711"/>
      <c r="I11701" s="711"/>
      <c r="J11701" s="711"/>
      <c r="K11701" s="711"/>
      <c r="L11701" s="711"/>
      <c r="Q11701" s="11"/>
      <c r="R11701" s="11"/>
      <c r="S11701" s="11"/>
      <c r="T11701" s="11"/>
    </row>
    <row r="11702" spans="8:20" x14ac:dyDescent="0.35">
      <c r="H11702" s="711"/>
      <c r="I11702" s="711"/>
      <c r="J11702" s="711"/>
      <c r="K11702" s="711"/>
      <c r="L11702" s="711"/>
      <c r="Q11702" s="11"/>
      <c r="R11702" s="11"/>
      <c r="S11702" s="11"/>
      <c r="T11702" s="11"/>
    </row>
    <row r="11703" spans="8:20" x14ac:dyDescent="0.35">
      <c r="H11703" s="711"/>
      <c r="I11703" s="711"/>
      <c r="J11703" s="711"/>
      <c r="K11703" s="711"/>
      <c r="L11703" s="711"/>
      <c r="Q11703" s="11"/>
      <c r="R11703" s="11"/>
      <c r="S11703" s="11"/>
      <c r="T11703" s="11"/>
    </row>
    <row r="11704" spans="8:20" x14ac:dyDescent="0.35">
      <c r="H11704" s="711"/>
      <c r="I11704" s="711"/>
      <c r="J11704" s="711"/>
      <c r="K11704" s="711"/>
      <c r="L11704" s="711"/>
      <c r="Q11704" s="11"/>
      <c r="R11704" s="11"/>
      <c r="S11704" s="11"/>
      <c r="T11704" s="11"/>
    </row>
    <row r="11705" spans="8:20" x14ac:dyDescent="0.35">
      <c r="H11705" s="711"/>
      <c r="I11705" s="711"/>
      <c r="J11705" s="711"/>
      <c r="K11705" s="711"/>
      <c r="L11705" s="711"/>
      <c r="Q11705" s="11"/>
      <c r="R11705" s="11"/>
      <c r="S11705" s="11"/>
      <c r="T11705" s="11"/>
    </row>
    <row r="11706" spans="8:20" x14ac:dyDescent="0.35">
      <c r="H11706" s="711"/>
      <c r="I11706" s="711"/>
      <c r="J11706" s="711"/>
      <c r="K11706" s="711"/>
      <c r="L11706" s="711"/>
      <c r="Q11706" s="11"/>
      <c r="R11706" s="11"/>
      <c r="S11706" s="11"/>
      <c r="T11706" s="11"/>
    </row>
    <row r="11707" spans="8:20" x14ac:dyDescent="0.35">
      <c r="H11707" s="711"/>
      <c r="I11707" s="711"/>
      <c r="J11707" s="711"/>
      <c r="K11707" s="711"/>
      <c r="L11707" s="711"/>
      <c r="Q11707" s="11"/>
      <c r="R11707" s="11"/>
      <c r="S11707" s="11"/>
      <c r="T11707" s="11"/>
    </row>
    <row r="11708" spans="8:20" x14ac:dyDescent="0.35">
      <c r="H11708" s="711"/>
      <c r="I11708" s="711"/>
      <c r="J11708" s="711"/>
      <c r="K11708" s="711"/>
      <c r="L11708" s="711"/>
      <c r="Q11708" s="11"/>
      <c r="R11708" s="11"/>
      <c r="S11708" s="11"/>
      <c r="T11708" s="11"/>
    </row>
    <row r="11709" spans="8:20" x14ac:dyDescent="0.35">
      <c r="H11709" s="711"/>
      <c r="I11709" s="711"/>
      <c r="J11709" s="711"/>
      <c r="K11709" s="711"/>
      <c r="L11709" s="711"/>
      <c r="Q11709" s="11"/>
      <c r="R11709" s="11"/>
      <c r="S11709" s="11"/>
      <c r="T11709" s="11"/>
    </row>
    <row r="11710" spans="8:20" x14ac:dyDescent="0.35">
      <c r="H11710" s="711"/>
      <c r="I11710" s="711"/>
      <c r="J11710" s="711"/>
      <c r="K11710" s="711"/>
      <c r="L11710" s="711"/>
      <c r="Q11710" s="11"/>
      <c r="R11710" s="11"/>
      <c r="S11710" s="11"/>
      <c r="T11710" s="11"/>
    </row>
    <row r="11711" spans="8:20" x14ac:dyDescent="0.35">
      <c r="H11711" s="711"/>
      <c r="I11711" s="711"/>
      <c r="J11711" s="711"/>
      <c r="K11711" s="711"/>
      <c r="L11711" s="711"/>
      <c r="Q11711" s="11"/>
      <c r="R11711" s="11"/>
      <c r="S11711" s="11"/>
      <c r="T11711" s="11"/>
    </row>
    <row r="11712" spans="8:20" x14ac:dyDescent="0.35">
      <c r="H11712" s="711"/>
      <c r="I11712" s="711"/>
      <c r="J11712" s="711"/>
      <c r="K11712" s="711"/>
      <c r="L11712" s="711"/>
      <c r="Q11712" s="11"/>
      <c r="R11712" s="11"/>
      <c r="S11712" s="11"/>
      <c r="T11712" s="11"/>
    </row>
    <row r="11713" spans="8:20" x14ac:dyDescent="0.35">
      <c r="H11713" s="711"/>
      <c r="I11713" s="711"/>
      <c r="J11713" s="711"/>
      <c r="K11713" s="711"/>
      <c r="L11713" s="711"/>
      <c r="Q11713" s="11"/>
      <c r="R11713" s="11"/>
      <c r="S11713" s="11"/>
      <c r="T11713" s="11"/>
    </row>
    <row r="11714" spans="8:20" x14ac:dyDescent="0.35">
      <c r="H11714" s="711"/>
      <c r="I11714" s="711"/>
      <c r="J11714" s="711"/>
      <c r="K11714" s="711"/>
      <c r="L11714" s="711"/>
      <c r="Q11714" s="11"/>
      <c r="R11714" s="11"/>
      <c r="S11714" s="11"/>
      <c r="T11714" s="11"/>
    </row>
    <row r="11715" spans="8:20" x14ac:dyDescent="0.35">
      <c r="H11715" s="711"/>
      <c r="I11715" s="711"/>
      <c r="J11715" s="711"/>
      <c r="K11715" s="711"/>
      <c r="L11715" s="711"/>
      <c r="Q11715" s="11"/>
      <c r="R11715" s="11"/>
      <c r="S11715" s="11"/>
      <c r="T11715" s="11"/>
    </row>
    <row r="11716" spans="8:20" x14ac:dyDescent="0.35">
      <c r="H11716" s="711"/>
      <c r="I11716" s="711"/>
      <c r="J11716" s="711"/>
      <c r="K11716" s="711"/>
      <c r="L11716" s="711"/>
      <c r="Q11716" s="11"/>
      <c r="R11716" s="11"/>
      <c r="S11716" s="11"/>
      <c r="T11716" s="11"/>
    </row>
    <row r="11717" spans="8:20" x14ac:dyDescent="0.35">
      <c r="H11717" s="711"/>
      <c r="I11717" s="711"/>
      <c r="J11717" s="711"/>
      <c r="K11717" s="711"/>
      <c r="L11717" s="711"/>
      <c r="Q11717" s="11"/>
      <c r="R11717" s="11"/>
      <c r="S11717" s="11"/>
      <c r="T11717" s="11"/>
    </row>
    <row r="11718" spans="8:20" x14ac:dyDescent="0.35">
      <c r="H11718" s="711"/>
      <c r="I11718" s="711"/>
      <c r="J11718" s="711"/>
      <c r="K11718" s="711"/>
      <c r="L11718" s="711"/>
      <c r="Q11718" s="11"/>
      <c r="R11718" s="11"/>
      <c r="S11718" s="11"/>
      <c r="T11718" s="11"/>
    </row>
    <row r="11719" spans="8:20" x14ac:dyDescent="0.35">
      <c r="H11719" s="711"/>
      <c r="I11719" s="711"/>
      <c r="J11719" s="711"/>
      <c r="K11719" s="711"/>
      <c r="L11719" s="711"/>
      <c r="Q11719" s="11"/>
      <c r="R11719" s="11"/>
      <c r="S11719" s="11"/>
      <c r="T11719" s="11"/>
    </row>
    <row r="11720" spans="8:20" x14ac:dyDescent="0.35">
      <c r="H11720" s="711"/>
      <c r="I11720" s="711"/>
      <c r="J11720" s="711"/>
      <c r="K11720" s="711"/>
      <c r="L11720" s="711"/>
      <c r="Q11720" s="11"/>
      <c r="R11720" s="11"/>
      <c r="S11720" s="11"/>
      <c r="T11720" s="11"/>
    </row>
    <row r="11721" spans="8:20" x14ac:dyDescent="0.35">
      <c r="H11721" s="711"/>
      <c r="I11721" s="711"/>
      <c r="J11721" s="711"/>
      <c r="K11721" s="711"/>
      <c r="L11721" s="711"/>
      <c r="Q11721" s="11"/>
      <c r="R11721" s="11"/>
      <c r="S11721" s="11"/>
      <c r="T11721" s="11"/>
    </row>
    <row r="11722" spans="8:20" x14ac:dyDescent="0.35">
      <c r="H11722" s="711"/>
      <c r="I11722" s="711"/>
      <c r="J11722" s="711"/>
      <c r="K11722" s="711"/>
      <c r="L11722" s="711"/>
      <c r="Q11722" s="11"/>
      <c r="R11722" s="11"/>
      <c r="S11722" s="11"/>
      <c r="T11722" s="11"/>
    </row>
    <row r="11723" spans="8:20" x14ac:dyDescent="0.35">
      <c r="H11723" s="711"/>
      <c r="I11723" s="711"/>
      <c r="J11723" s="711"/>
      <c r="K11723" s="711"/>
      <c r="L11723" s="711"/>
      <c r="Q11723" s="11"/>
      <c r="R11723" s="11"/>
      <c r="S11723" s="11"/>
      <c r="T11723" s="11"/>
    </row>
    <row r="11724" spans="8:20" x14ac:dyDescent="0.35">
      <c r="H11724" s="711"/>
      <c r="I11724" s="711"/>
      <c r="J11724" s="711"/>
      <c r="K11724" s="711"/>
      <c r="L11724" s="711"/>
      <c r="Q11724" s="11"/>
      <c r="R11724" s="11"/>
      <c r="S11724" s="11"/>
      <c r="T11724" s="11"/>
    </row>
    <row r="11725" spans="8:20" x14ac:dyDescent="0.35">
      <c r="H11725" s="711"/>
      <c r="I11725" s="711"/>
      <c r="J11725" s="711"/>
      <c r="K11725" s="711"/>
      <c r="L11725" s="711"/>
      <c r="Q11725" s="11"/>
      <c r="R11725" s="11"/>
      <c r="S11725" s="11"/>
      <c r="T11725" s="11"/>
    </row>
    <row r="11726" spans="8:20" x14ac:dyDescent="0.35">
      <c r="H11726" s="711"/>
      <c r="I11726" s="711"/>
      <c r="J11726" s="711"/>
      <c r="K11726" s="711"/>
      <c r="L11726" s="711"/>
      <c r="Q11726" s="11"/>
      <c r="R11726" s="11"/>
      <c r="S11726" s="11"/>
      <c r="T11726" s="11"/>
    </row>
    <row r="11727" spans="8:20" x14ac:dyDescent="0.35">
      <c r="H11727" s="711"/>
      <c r="I11727" s="711"/>
      <c r="J11727" s="711"/>
      <c r="K11727" s="711"/>
      <c r="L11727" s="711"/>
      <c r="Q11727" s="11"/>
      <c r="R11727" s="11"/>
      <c r="S11727" s="11"/>
      <c r="T11727" s="11"/>
    </row>
    <row r="11728" spans="8:20" x14ac:dyDescent="0.35">
      <c r="H11728" s="711"/>
      <c r="I11728" s="711"/>
      <c r="J11728" s="711"/>
      <c r="K11728" s="711"/>
      <c r="L11728" s="711"/>
      <c r="Q11728" s="11"/>
      <c r="R11728" s="11"/>
      <c r="S11728" s="11"/>
      <c r="T11728" s="11"/>
    </row>
    <row r="11729" spans="8:20" x14ac:dyDescent="0.35">
      <c r="H11729" s="711"/>
      <c r="I11729" s="711"/>
      <c r="J11729" s="711"/>
      <c r="K11729" s="711"/>
      <c r="L11729" s="711"/>
      <c r="Q11729" s="11"/>
      <c r="R11729" s="11"/>
      <c r="S11729" s="11"/>
      <c r="T11729" s="11"/>
    </row>
    <row r="11730" spans="8:20" x14ac:dyDescent="0.35">
      <c r="H11730" s="711"/>
      <c r="I11730" s="711"/>
      <c r="J11730" s="711"/>
      <c r="K11730" s="711"/>
      <c r="L11730" s="711"/>
      <c r="Q11730" s="11"/>
      <c r="R11730" s="11"/>
      <c r="S11730" s="11"/>
      <c r="T11730" s="11"/>
    </row>
    <row r="11731" spans="8:20" x14ac:dyDescent="0.35">
      <c r="H11731" s="711"/>
      <c r="I11731" s="711"/>
      <c r="J11731" s="711"/>
      <c r="K11731" s="711"/>
      <c r="L11731" s="711"/>
      <c r="Q11731" s="11"/>
      <c r="R11731" s="11"/>
      <c r="S11731" s="11"/>
      <c r="T11731" s="11"/>
    </row>
    <row r="11732" spans="8:20" x14ac:dyDescent="0.35">
      <c r="H11732" s="711"/>
      <c r="I11732" s="711"/>
      <c r="J11732" s="711"/>
      <c r="K11732" s="711"/>
      <c r="L11732" s="711"/>
      <c r="Q11732" s="11"/>
      <c r="R11732" s="11"/>
      <c r="S11732" s="11"/>
      <c r="T11732" s="11"/>
    </row>
    <row r="11733" spans="8:20" x14ac:dyDescent="0.35">
      <c r="H11733" s="711"/>
      <c r="I11733" s="711"/>
      <c r="J11733" s="711"/>
      <c r="K11733" s="711"/>
      <c r="L11733" s="711"/>
      <c r="Q11733" s="11"/>
      <c r="R11733" s="11"/>
      <c r="S11733" s="11"/>
      <c r="T11733" s="11"/>
    </row>
    <row r="11734" spans="8:20" x14ac:dyDescent="0.35">
      <c r="H11734" s="711"/>
      <c r="I11734" s="711"/>
      <c r="J11734" s="711"/>
      <c r="K11734" s="711"/>
      <c r="L11734" s="711"/>
      <c r="Q11734" s="11"/>
      <c r="R11734" s="11"/>
      <c r="S11734" s="11"/>
      <c r="T11734" s="11"/>
    </row>
    <row r="11735" spans="8:20" x14ac:dyDescent="0.35">
      <c r="H11735" s="711"/>
      <c r="I11735" s="711"/>
      <c r="J11735" s="711"/>
      <c r="K11735" s="711"/>
      <c r="L11735" s="711"/>
      <c r="Q11735" s="11"/>
      <c r="R11735" s="11"/>
      <c r="S11735" s="11"/>
      <c r="T11735" s="11"/>
    </row>
    <row r="11736" spans="8:20" x14ac:dyDescent="0.35">
      <c r="H11736" s="711"/>
      <c r="I11736" s="711"/>
      <c r="J11736" s="711"/>
      <c r="K11736" s="711"/>
      <c r="L11736" s="711"/>
      <c r="Q11736" s="11"/>
      <c r="R11736" s="11"/>
      <c r="S11736" s="11"/>
      <c r="T11736" s="11"/>
    </row>
    <row r="11737" spans="8:20" x14ac:dyDescent="0.35">
      <c r="H11737" s="711"/>
      <c r="I11737" s="711"/>
      <c r="J11737" s="711"/>
      <c r="K11737" s="711"/>
      <c r="L11737" s="711"/>
      <c r="Q11737" s="11"/>
      <c r="R11737" s="11"/>
      <c r="S11737" s="11"/>
      <c r="T11737" s="11"/>
    </row>
    <row r="11738" spans="8:20" x14ac:dyDescent="0.35">
      <c r="H11738" s="711"/>
      <c r="I11738" s="711"/>
      <c r="J11738" s="711"/>
      <c r="K11738" s="711"/>
      <c r="L11738" s="711"/>
      <c r="Q11738" s="11"/>
      <c r="R11738" s="11"/>
      <c r="S11738" s="11"/>
      <c r="T11738" s="11"/>
    </row>
    <row r="11739" spans="8:20" x14ac:dyDescent="0.35">
      <c r="H11739" s="711"/>
      <c r="I11739" s="711"/>
      <c r="J11739" s="711"/>
      <c r="K11739" s="711"/>
      <c r="L11739" s="711"/>
      <c r="Q11739" s="11"/>
      <c r="R11739" s="11"/>
      <c r="S11739" s="11"/>
      <c r="T11739" s="11"/>
    </row>
    <row r="11740" spans="8:20" x14ac:dyDescent="0.35">
      <c r="H11740" s="711"/>
      <c r="I11740" s="711"/>
      <c r="J11740" s="711"/>
      <c r="K11740" s="711"/>
      <c r="L11740" s="711"/>
      <c r="Q11740" s="11"/>
      <c r="R11740" s="11"/>
      <c r="S11740" s="11"/>
      <c r="T11740" s="11"/>
    </row>
    <row r="11741" spans="8:20" x14ac:dyDescent="0.35">
      <c r="H11741" s="711"/>
      <c r="I11741" s="711"/>
      <c r="J11741" s="711"/>
      <c r="K11741" s="711"/>
      <c r="L11741" s="711"/>
      <c r="Q11741" s="11"/>
      <c r="R11741" s="11"/>
      <c r="S11741" s="11"/>
      <c r="T11741" s="11"/>
    </row>
    <row r="11742" spans="8:20" x14ac:dyDescent="0.35">
      <c r="H11742" s="711"/>
      <c r="I11742" s="711"/>
      <c r="J11742" s="711"/>
      <c r="K11742" s="711"/>
      <c r="L11742" s="711"/>
      <c r="Q11742" s="11"/>
      <c r="R11742" s="11"/>
      <c r="S11742" s="11"/>
      <c r="T11742" s="11"/>
    </row>
    <row r="11743" spans="8:20" x14ac:dyDescent="0.35">
      <c r="H11743" s="711"/>
      <c r="I11743" s="711"/>
      <c r="J11743" s="711"/>
      <c r="K11743" s="711"/>
      <c r="L11743" s="711"/>
      <c r="Q11743" s="11"/>
      <c r="R11743" s="11"/>
      <c r="S11743" s="11"/>
      <c r="T11743" s="11"/>
    </row>
    <row r="11744" spans="8:20" x14ac:dyDescent="0.35">
      <c r="H11744" s="711"/>
      <c r="I11744" s="711"/>
      <c r="J11744" s="711"/>
      <c r="K11744" s="711"/>
      <c r="L11744" s="711"/>
      <c r="Q11744" s="11"/>
      <c r="R11744" s="11"/>
      <c r="S11744" s="11"/>
      <c r="T11744" s="11"/>
    </row>
    <row r="11745" spans="8:20" x14ac:dyDescent="0.35">
      <c r="H11745" s="711"/>
      <c r="I11745" s="711"/>
      <c r="J11745" s="711"/>
      <c r="K11745" s="711"/>
      <c r="L11745" s="711"/>
      <c r="Q11745" s="11"/>
      <c r="R11745" s="11"/>
      <c r="S11745" s="11"/>
      <c r="T11745" s="11"/>
    </row>
    <row r="11746" spans="8:20" x14ac:dyDescent="0.35">
      <c r="H11746" s="711"/>
      <c r="I11746" s="711"/>
      <c r="J11746" s="711"/>
      <c r="K11746" s="711"/>
      <c r="L11746" s="711"/>
      <c r="Q11746" s="11"/>
      <c r="R11746" s="11"/>
      <c r="S11746" s="11"/>
      <c r="T11746" s="11"/>
    </row>
    <row r="11747" spans="8:20" x14ac:dyDescent="0.35">
      <c r="H11747" s="711"/>
      <c r="I11747" s="711"/>
      <c r="J11747" s="711"/>
      <c r="K11747" s="711"/>
      <c r="L11747" s="711"/>
      <c r="Q11747" s="11"/>
      <c r="R11747" s="11"/>
      <c r="S11747" s="11"/>
      <c r="T11747" s="11"/>
    </row>
    <row r="11748" spans="8:20" x14ac:dyDescent="0.35">
      <c r="H11748" s="711"/>
      <c r="I11748" s="711"/>
      <c r="J11748" s="711"/>
      <c r="K11748" s="711"/>
      <c r="L11748" s="711"/>
      <c r="Q11748" s="11"/>
      <c r="R11748" s="11"/>
      <c r="S11748" s="11"/>
      <c r="T11748" s="11"/>
    </row>
    <row r="11749" spans="8:20" x14ac:dyDescent="0.35">
      <c r="H11749" s="711"/>
      <c r="I11749" s="711"/>
      <c r="J11749" s="711"/>
      <c r="K11749" s="711"/>
      <c r="L11749" s="711"/>
      <c r="Q11749" s="11"/>
      <c r="R11749" s="11"/>
      <c r="S11749" s="11"/>
      <c r="T11749" s="11"/>
    </row>
    <row r="11750" spans="8:20" x14ac:dyDescent="0.35">
      <c r="H11750" s="711"/>
      <c r="I11750" s="711"/>
      <c r="J11750" s="711"/>
      <c r="K11750" s="711"/>
      <c r="L11750" s="711"/>
      <c r="Q11750" s="11"/>
      <c r="R11750" s="11"/>
      <c r="S11750" s="11"/>
      <c r="T11750" s="11"/>
    </row>
    <row r="11751" spans="8:20" x14ac:dyDescent="0.35">
      <c r="H11751" s="711"/>
      <c r="I11751" s="711"/>
      <c r="J11751" s="711"/>
      <c r="K11751" s="711"/>
      <c r="L11751" s="711"/>
      <c r="Q11751" s="11"/>
      <c r="R11751" s="11"/>
      <c r="S11751" s="11"/>
      <c r="T11751" s="11"/>
    </row>
    <row r="11752" spans="8:20" x14ac:dyDescent="0.35">
      <c r="H11752" s="711"/>
      <c r="I11752" s="711"/>
      <c r="J11752" s="711"/>
      <c r="K11752" s="711"/>
      <c r="L11752" s="711"/>
      <c r="Q11752" s="11"/>
      <c r="R11752" s="11"/>
      <c r="S11752" s="11"/>
      <c r="T11752" s="11"/>
    </row>
    <row r="11753" spans="8:20" x14ac:dyDescent="0.35">
      <c r="H11753" s="711"/>
      <c r="I11753" s="711"/>
      <c r="J11753" s="711"/>
      <c r="K11753" s="711"/>
      <c r="L11753" s="711"/>
      <c r="Q11753" s="11"/>
      <c r="R11753" s="11"/>
      <c r="S11753" s="11"/>
      <c r="T11753" s="11"/>
    </row>
    <row r="11754" spans="8:20" x14ac:dyDescent="0.35">
      <c r="H11754" s="711"/>
      <c r="I11754" s="711"/>
      <c r="J11754" s="711"/>
      <c r="K11754" s="711"/>
      <c r="L11754" s="711"/>
      <c r="Q11754" s="11"/>
      <c r="R11754" s="11"/>
      <c r="S11754" s="11"/>
      <c r="T11754" s="11"/>
    </row>
    <row r="11755" spans="8:20" x14ac:dyDescent="0.35">
      <c r="H11755" s="711"/>
      <c r="I11755" s="711"/>
      <c r="J11755" s="711"/>
      <c r="K11755" s="711"/>
      <c r="L11755" s="711"/>
      <c r="Q11755" s="11"/>
      <c r="R11755" s="11"/>
      <c r="S11755" s="11"/>
      <c r="T11755" s="11"/>
    </row>
    <row r="11756" spans="8:20" x14ac:dyDescent="0.35">
      <c r="H11756" s="711"/>
      <c r="I11756" s="711"/>
      <c r="J11756" s="711"/>
      <c r="K11756" s="711"/>
      <c r="L11756" s="711"/>
      <c r="Q11756" s="11"/>
      <c r="R11756" s="11"/>
      <c r="S11756" s="11"/>
      <c r="T11756" s="11"/>
    </row>
    <row r="11757" spans="8:20" x14ac:dyDescent="0.35">
      <c r="H11757" s="711"/>
      <c r="I11757" s="711"/>
      <c r="J11757" s="711"/>
      <c r="K11757" s="711"/>
      <c r="L11757" s="711"/>
      <c r="Q11757" s="11"/>
      <c r="R11757" s="11"/>
      <c r="S11757" s="11"/>
      <c r="T11757" s="11"/>
    </row>
    <row r="11758" spans="8:20" x14ac:dyDescent="0.35">
      <c r="H11758" s="711"/>
      <c r="I11758" s="711"/>
      <c r="J11758" s="711"/>
      <c r="K11758" s="711"/>
      <c r="L11758" s="711"/>
      <c r="Q11758" s="11"/>
      <c r="R11758" s="11"/>
      <c r="S11758" s="11"/>
      <c r="T11758" s="11"/>
    </row>
    <row r="11759" spans="8:20" x14ac:dyDescent="0.35">
      <c r="H11759" s="711"/>
      <c r="I11759" s="711"/>
      <c r="J11759" s="711"/>
      <c r="K11759" s="711"/>
      <c r="L11759" s="711"/>
      <c r="Q11759" s="11"/>
      <c r="R11759" s="11"/>
      <c r="S11759" s="11"/>
      <c r="T11759" s="11"/>
    </row>
    <row r="11760" spans="8:20" x14ac:dyDescent="0.35">
      <c r="H11760" s="711"/>
      <c r="I11760" s="711"/>
      <c r="J11760" s="711"/>
      <c r="K11760" s="711"/>
      <c r="L11760" s="711"/>
      <c r="Q11760" s="11"/>
      <c r="R11760" s="11"/>
      <c r="S11760" s="11"/>
      <c r="T11760" s="11"/>
    </row>
    <row r="11761" spans="8:20" x14ac:dyDescent="0.35">
      <c r="H11761" s="711"/>
      <c r="I11761" s="711"/>
      <c r="J11761" s="711"/>
      <c r="K11761" s="711"/>
      <c r="L11761" s="711"/>
      <c r="Q11761" s="11"/>
      <c r="R11761" s="11"/>
      <c r="S11761" s="11"/>
      <c r="T11761" s="11"/>
    </row>
    <row r="11762" spans="8:20" x14ac:dyDescent="0.35">
      <c r="H11762" s="711"/>
      <c r="I11762" s="711"/>
      <c r="J11762" s="711"/>
      <c r="K11762" s="711"/>
      <c r="L11762" s="711"/>
      <c r="Q11762" s="11"/>
      <c r="R11762" s="11"/>
      <c r="S11762" s="11"/>
      <c r="T11762" s="11"/>
    </row>
    <row r="11763" spans="8:20" x14ac:dyDescent="0.35">
      <c r="H11763" s="711"/>
      <c r="I11763" s="711"/>
      <c r="J11763" s="711"/>
      <c r="K11763" s="711"/>
      <c r="L11763" s="711"/>
      <c r="Q11763" s="11"/>
      <c r="R11763" s="11"/>
      <c r="S11763" s="11"/>
      <c r="T11763" s="11"/>
    </row>
    <row r="11764" spans="8:20" x14ac:dyDescent="0.35">
      <c r="H11764" s="711"/>
      <c r="I11764" s="711"/>
      <c r="J11764" s="711"/>
      <c r="K11764" s="711"/>
      <c r="L11764" s="711"/>
      <c r="Q11764" s="11"/>
      <c r="R11764" s="11"/>
      <c r="S11764" s="11"/>
      <c r="T11764" s="11"/>
    </row>
    <row r="11765" spans="8:20" x14ac:dyDescent="0.35">
      <c r="H11765" s="711"/>
      <c r="I11765" s="711"/>
      <c r="J11765" s="711"/>
      <c r="K11765" s="711"/>
      <c r="L11765" s="711"/>
      <c r="Q11765" s="11"/>
      <c r="R11765" s="11"/>
      <c r="S11765" s="11"/>
      <c r="T11765" s="11"/>
    </row>
    <row r="11766" spans="8:20" x14ac:dyDescent="0.35">
      <c r="H11766" s="711"/>
      <c r="I11766" s="711"/>
      <c r="J11766" s="711"/>
      <c r="K11766" s="711"/>
      <c r="L11766" s="711"/>
      <c r="Q11766" s="11"/>
      <c r="R11766" s="11"/>
      <c r="S11766" s="11"/>
      <c r="T11766" s="11"/>
    </row>
    <row r="11767" spans="8:20" x14ac:dyDescent="0.35">
      <c r="H11767" s="711"/>
      <c r="I11767" s="711"/>
      <c r="J11767" s="711"/>
      <c r="K11767" s="711"/>
      <c r="L11767" s="711"/>
      <c r="Q11767" s="11"/>
      <c r="R11767" s="11"/>
      <c r="S11767" s="11"/>
      <c r="T11767" s="11"/>
    </row>
    <row r="11768" spans="8:20" x14ac:dyDescent="0.35">
      <c r="H11768" s="711"/>
      <c r="I11768" s="711"/>
      <c r="J11768" s="711"/>
      <c r="K11768" s="711"/>
      <c r="L11768" s="711"/>
      <c r="Q11768" s="11"/>
      <c r="R11768" s="11"/>
      <c r="S11768" s="11"/>
      <c r="T11768" s="11"/>
    </row>
    <row r="11769" spans="8:20" x14ac:dyDescent="0.35">
      <c r="H11769" s="711"/>
      <c r="I11769" s="711"/>
      <c r="J11769" s="711"/>
      <c r="K11769" s="711"/>
      <c r="L11769" s="711"/>
      <c r="Q11769" s="11"/>
      <c r="R11769" s="11"/>
      <c r="S11769" s="11"/>
      <c r="T11769" s="11"/>
    </row>
    <row r="11770" spans="8:20" x14ac:dyDescent="0.35">
      <c r="H11770" s="711"/>
      <c r="I11770" s="711"/>
      <c r="J11770" s="711"/>
      <c r="K11770" s="711"/>
      <c r="L11770" s="711"/>
      <c r="Q11770" s="11"/>
      <c r="R11770" s="11"/>
      <c r="S11770" s="11"/>
      <c r="T11770" s="11"/>
    </row>
    <row r="11771" spans="8:20" x14ac:dyDescent="0.35">
      <c r="H11771" s="711"/>
      <c r="I11771" s="711"/>
      <c r="J11771" s="711"/>
      <c r="K11771" s="711"/>
      <c r="L11771" s="711"/>
      <c r="Q11771" s="11"/>
      <c r="R11771" s="11"/>
      <c r="S11771" s="11"/>
      <c r="T11771" s="11"/>
    </row>
    <row r="11772" spans="8:20" x14ac:dyDescent="0.35">
      <c r="H11772" s="711"/>
      <c r="I11772" s="711"/>
      <c r="J11772" s="711"/>
      <c r="K11772" s="711"/>
      <c r="L11772" s="711"/>
      <c r="Q11772" s="11"/>
      <c r="R11772" s="11"/>
      <c r="S11772" s="11"/>
      <c r="T11772" s="11"/>
    </row>
    <row r="11773" spans="8:20" x14ac:dyDescent="0.35">
      <c r="H11773" s="711"/>
      <c r="I11773" s="711"/>
      <c r="J11773" s="711"/>
      <c r="K11773" s="711"/>
      <c r="L11773" s="711"/>
      <c r="Q11773" s="11"/>
      <c r="R11773" s="11"/>
      <c r="S11773" s="11"/>
      <c r="T11773" s="11"/>
    </row>
    <row r="11774" spans="8:20" x14ac:dyDescent="0.35">
      <c r="H11774" s="711"/>
      <c r="I11774" s="711"/>
      <c r="J11774" s="711"/>
      <c r="K11774" s="711"/>
      <c r="L11774" s="711"/>
      <c r="Q11774" s="11"/>
      <c r="R11774" s="11"/>
      <c r="S11774" s="11"/>
      <c r="T11774" s="11"/>
    </row>
    <row r="11775" spans="8:20" x14ac:dyDescent="0.35">
      <c r="H11775" s="711"/>
      <c r="I11775" s="711"/>
      <c r="J11775" s="711"/>
      <c r="K11775" s="711"/>
      <c r="L11775" s="711"/>
      <c r="Q11775" s="11"/>
      <c r="R11775" s="11"/>
      <c r="S11775" s="11"/>
      <c r="T11775" s="11"/>
    </row>
    <row r="11776" spans="8:20" x14ac:dyDescent="0.35">
      <c r="H11776" s="711"/>
      <c r="I11776" s="711"/>
      <c r="J11776" s="711"/>
      <c r="K11776" s="711"/>
      <c r="L11776" s="711"/>
      <c r="Q11776" s="11"/>
      <c r="R11776" s="11"/>
      <c r="S11776" s="11"/>
      <c r="T11776" s="11"/>
    </row>
    <row r="11777" spans="8:20" x14ac:dyDescent="0.35">
      <c r="H11777" s="711"/>
      <c r="I11777" s="711"/>
      <c r="J11777" s="711"/>
      <c r="K11777" s="711"/>
      <c r="L11777" s="711"/>
      <c r="Q11777" s="11"/>
      <c r="R11777" s="11"/>
      <c r="S11777" s="11"/>
      <c r="T11777" s="11"/>
    </row>
    <row r="11778" spans="8:20" x14ac:dyDescent="0.35">
      <c r="H11778" s="711"/>
      <c r="I11778" s="711"/>
      <c r="J11778" s="711"/>
      <c r="K11778" s="711"/>
      <c r="L11778" s="711"/>
      <c r="Q11778" s="11"/>
      <c r="R11778" s="11"/>
      <c r="S11778" s="11"/>
      <c r="T11778" s="11"/>
    </row>
    <row r="11779" spans="8:20" x14ac:dyDescent="0.35">
      <c r="H11779" s="711"/>
      <c r="I11779" s="711"/>
      <c r="J11779" s="711"/>
      <c r="K11779" s="711"/>
      <c r="L11779" s="711"/>
      <c r="Q11779" s="11"/>
      <c r="R11779" s="11"/>
      <c r="S11779" s="11"/>
      <c r="T11779" s="11"/>
    </row>
    <row r="11780" spans="8:20" x14ac:dyDescent="0.35">
      <c r="H11780" s="711"/>
      <c r="I11780" s="711"/>
      <c r="J11780" s="711"/>
      <c r="K11780" s="711"/>
      <c r="L11780" s="711"/>
      <c r="Q11780" s="11"/>
      <c r="R11780" s="11"/>
      <c r="S11780" s="11"/>
      <c r="T11780" s="11"/>
    </row>
    <row r="11781" spans="8:20" x14ac:dyDescent="0.35">
      <c r="H11781" s="711"/>
      <c r="I11781" s="711"/>
      <c r="J11781" s="711"/>
      <c r="K11781" s="711"/>
      <c r="L11781" s="711"/>
      <c r="Q11781" s="11"/>
      <c r="R11781" s="11"/>
      <c r="S11781" s="11"/>
      <c r="T11781" s="11"/>
    </row>
    <row r="11782" spans="8:20" x14ac:dyDescent="0.35">
      <c r="H11782" s="711"/>
      <c r="I11782" s="711"/>
      <c r="J11782" s="711"/>
      <c r="K11782" s="711"/>
      <c r="L11782" s="711"/>
      <c r="Q11782" s="11"/>
      <c r="R11782" s="11"/>
      <c r="S11782" s="11"/>
      <c r="T11782" s="11"/>
    </row>
    <row r="11783" spans="8:20" x14ac:dyDescent="0.35">
      <c r="H11783" s="711"/>
      <c r="I11783" s="711"/>
      <c r="J11783" s="711"/>
      <c r="K11783" s="711"/>
      <c r="L11783" s="711"/>
      <c r="Q11783" s="11"/>
      <c r="R11783" s="11"/>
      <c r="S11783" s="11"/>
      <c r="T11783" s="11"/>
    </row>
    <row r="11784" spans="8:20" x14ac:dyDescent="0.35">
      <c r="H11784" s="711"/>
      <c r="I11784" s="711"/>
      <c r="J11784" s="711"/>
      <c r="K11784" s="711"/>
      <c r="L11784" s="711"/>
      <c r="Q11784" s="11"/>
      <c r="R11784" s="11"/>
      <c r="S11784" s="11"/>
      <c r="T11784" s="11"/>
    </row>
    <row r="11785" spans="8:20" x14ac:dyDescent="0.35">
      <c r="H11785" s="711"/>
      <c r="I11785" s="711"/>
      <c r="J11785" s="711"/>
      <c r="K11785" s="711"/>
      <c r="L11785" s="711"/>
      <c r="Q11785" s="11"/>
      <c r="R11785" s="11"/>
      <c r="S11785" s="11"/>
      <c r="T11785" s="11"/>
    </row>
    <row r="11786" spans="8:20" x14ac:dyDescent="0.35">
      <c r="H11786" s="711"/>
      <c r="I11786" s="711"/>
      <c r="J11786" s="711"/>
      <c r="K11786" s="711"/>
      <c r="L11786" s="711"/>
      <c r="Q11786" s="11"/>
      <c r="R11786" s="11"/>
      <c r="S11786" s="11"/>
      <c r="T11786" s="11"/>
    </row>
    <row r="11787" spans="8:20" x14ac:dyDescent="0.35">
      <c r="H11787" s="711"/>
      <c r="I11787" s="711"/>
      <c r="J11787" s="711"/>
      <c r="K11787" s="711"/>
      <c r="L11787" s="711"/>
      <c r="Q11787" s="11"/>
      <c r="R11787" s="11"/>
      <c r="S11787" s="11"/>
      <c r="T11787" s="11"/>
    </row>
    <row r="11788" spans="8:20" x14ac:dyDescent="0.35">
      <c r="H11788" s="711"/>
      <c r="I11788" s="711"/>
      <c r="J11788" s="711"/>
      <c r="K11788" s="711"/>
      <c r="L11788" s="711"/>
      <c r="Q11788" s="11"/>
      <c r="R11788" s="11"/>
      <c r="S11788" s="11"/>
      <c r="T11788" s="11"/>
    </row>
    <row r="11789" spans="8:20" x14ac:dyDescent="0.35">
      <c r="H11789" s="711"/>
      <c r="I11789" s="711"/>
      <c r="J11789" s="711"/>
      <c r="K11789" s="711"/>
      <c r="L11789" s="711"/>
      <c r="Q11789" s="11"/>
      <c r="R11789" s="11"/>
      <c r="S11789" s="11"/>
      <c r="T11789" s="11"/>
    </row>
    <row r="11790" spans="8:20" x14ac:dyDescent="0.35">
      <c r="H11790" s="711"/>
      <c r="I11790" s="711"/>
      <c r="J11790" s="711"/>
      <c r="K11790" s="711"/>
      <c r="L11790" s="711"/>
      <c r="Q11790" s="11"/>
      <c r="R11790" s="11"/>
      <c r="S11790" s="11"/>
      <c r="T11790" s="11"/>
    </row>
    <row r="11791" spans="8:20" x14ac:dyDescent="0.35">
      <c r="H11791" s="711"/>
      <c r="I11791" s="711"/>
      <c r="J11791" s="711"/>
      <c r="K11791" s="711"/>
      <c r="L11791" s="711"/>
      <c r="Q11791" s="11"/>
      <c r="R11791" s="11"/>
      <c r="S11791" s="11"/>
      <c r="T11791" s="11"/>
    </row>
    <row r="11792" spans="8:20" x14ac:dyDescent="0.35">
      <c r="H11792" s="711"/>
      <c r="I11792" s="711"/>
      <c r="J11792" s="711"/>
      <c r="K11792" s="711"/>
      <c r="L11792" s="711"/>
      <c r="Q11792" s="11"/>
      <c r="R11792" s="11"/>
      <c r="S11792" s="11"/>
      <c r="T11792" s="11"/>
    </row>
    <row r="11793" spans="8:20" x14ac:dyDescent="0.35">
      <c r="H11793" s="711"/>
      <c r="I11793" s="711"/>
      <c r="J11793" s="711"/>
      <c r="K11793" s="711"/>
      <c r="L11793" s="711"/>
      <c r="Q11793" s="11"/>
      <c r="R11793" s="11"/>
      <c r="S11793" s="11"/>
      <c r="T11793" s="11"/>
    </row>
    <row r="11794" spans="8:20" x14ac:dyDescent="0.35">
      <c r="H11794" s="711"/>
      <c r="I11794" s="711"/>
      <c r="J11794" s="711"/>
      <c r="K11794" s="711"/>
      <c r="L11794" s="711"/>
      <c r="Q11794" s="11"/>
      <c r="R11794" s="11"/>
      <c r="S11794" s="11"/>
      <c r="T11794" s="11"/>
    </row>
    <row r="11795" spans="8:20" x14ac:dyDescent="0.35">
      <c r="H11795" s="711"/>
      <c r="I11795" s="711"/>
      <c r="J11795" s="711"/>
      <c r="K11795" s="711"/>
      <c r="L11795" s="711"/>
      <c r="Q11795" s="11"/>
      <c r="R11795" s="11"/>
      <c r="S11795" s="11"/>
      <c r="T11795" s="11"/>
    </row>
    <row r="11796" spans="8:20" x14ac:dyDescent="0.35">
      <c r="H11796" s="711"/>
      <c r="I11796" s="711"/>
      <c r="J11796" s="711"/>
      <c r="K11796" s="711"/>
      <c r="L11796" s="711"/>
      <c r="Q11796" s="11"/>
      <c r="R11796" s="11"/>
      <c r="S11796" s="11"/>
      <c r="T11796" s="11"/>
    </row>
    <row r="11797" spans="8:20" x14ac:dyDescent="0.35">
      <c r="H11797" s="711"/>
      <c r="I11797" s="711"/>
      <c r="J11797" s="711"/>
      <c r="K11797" s="711"/>
      <c r="L11797" s="711"/>
      <c r="Q11797" s="11"/>
      <c r="R11797" s="11"/>
      <c r="S11797" s="11"/>
      <c r="T11797" s="11"/>
    </row>
    <row r="11798" spans="8:20" x14ac:dyDescent="0.35">
      <c r="H11798" s="711"/>
      <c r="I11798" s="711"/>
      <c r="J11798" s="711"/>
      <c r="K11798" s="711"/>
      <c r="L11798" s="711"/>
      <c r="Q11798" s="11"/>
      <c r="R11798" s="11"/>
      <c r="S11798" s="11"/>
      <c r="T11798" s="11"/>
    </row>
    <row r="11799" spans="8:20" x14ac:dyDescent="0.35">
      <c r="H11799" s="711"/>
      <c r="I11799" s="711"/>
      <c r="J11799" s="711"/>
      <c r="K11799" s="711"/>
      <c r="L11799" s="711"/>
      <c r="Q11799" s="11"/>
      <c r="R11799" s="11"/>
      <c r="S11799" s="11"/>
      <c r="T11799" s="11"/>
    </row>
    <row r="11800" spans="8:20" x14ac:dyDescent="0.35">
      <c r="H11800" s="711"/>
      <c r="I11800" s="711"/>
      <c r="J11800" s="711"/>
      <c r="K11800" s="711"/>
      <c r="L11800" s="711"/>
      <c r="Q11800" s="11"/>
      <c r="R11800" s="11"/>
      <c r="S11800" s="11"/>
      <c r="T11800" s="11"/>
    </row>
    <row r="11801" spans="8:20" x14ac:dyDescent="0.35">
      <c r="H11801" s="711"/>
      <c r="I11801" s="711"/>
      <c r="J11801" s="711"/>
      <c r="K11801" s="711"/>
      <c r="L11801" s="711"/>
      <c r="Q11801" s="11"/>
      <c r="R11801" s="11"/>
      <c r="S11801" s="11"/>
      <c r="T11801" s="11"/>
    </row>
    <row r="11802" spans="8:20" x14ac:dyDescent="0.35">
      <c r="H11802" s="711"/>
      <c r="I11802" s="711"/>
      <c r="J11802" s="711"/>
      <c r="K11802" s="711"/>
      <c r="L11802" s="711"/>
      <c r="Q11802" s="11"/>
      <c r="R11802" s="11"/>
      <c r="S11802" s="11"/>
      <c r="T11802" s="11"/>
    </row>
    <row r="11803" spans="8:20" x14ac:dyDescent="0.35">
      <c r="H11803" s="711"/>
      <c r="I11803" s="711"/>
      <c r="J11803" s="711"/>
      <c r="K11803" s="711"/>
      <c r="L11803" s="711"/>
      <c r="Q11803" s="11"/>
      <c r="R11803" s="11"/>
      <c r="S11803" s="11"/>
      <c r="T11803" s="11"/>
    </row>
    <row r="11804" spans="8:20" x14ac:dyDescent="0.35">
      <c r="H11804" s="711"/>
      <c r="I11804" s="711"/>
      <c r="J11804" s="711"/>
      <c r="K11804" s="711"/>
      <c r="L11804" s="711"/>
      <c r="Q11804" s="11"/>
      <c r="R11804" s="11"/>
      <c r="S11804" s="11"/>
      <c r="T11804" s="11"/>
    </row>
    <row r="11805" spans="8:20" x14ac:dyDescent="0.35">
      <c r="H11805" s="711"/>
      <c r="I11805" s="711"/>
      <c r="J11805" s="711"/>
      <c r="K11805" s="711"/>
      <c r="L11805" s="711"/>
      <c r="Q11805" s="11"/>
      <c r="R11805" s="11"/>
      <c r="S11805" s="11"/>
      <c r="T11805" s="11"/>
    </row>
    <row r="11806" spans="8:20" x14ac:dyDescent="0.35">
      <c r="H11806" s="711"/>
      <c r="I11806" s="711"/>
      <c r="J11806" s="711"/>
      <c r="K11806" s="711"/>
      <c r="L11806" s="711"/>
      <c r="Q11806" s="11"/>
      <c r="R11806" s="11"/>
      <c r="S11806" s="11"/>
      <c r="T11806" s="11"/>
    </row>
    <row r="11807" spans="8:20" x14ac:dyDescent="0.35">
      <c r="H11807" s="711"/>
      <c r="I11807" s="711"/>
      <c r="J11807" s="711"/>
      <c r="K11807" s="711"/>
      <c r="L11807" s="711"/>
      <c r="Q11807" s="11"/>
      <c r="R11807" s="11"/>
      <c r="S11807" s="11"/>
      <c r="T11807" s="11"/>
    </row>
    <row r="11808" spans="8:20" x14ac:dyDescent="0.35">
      <c r="H11808" s="711"/>
      <c r="I11808" s="711"/>
      <c r="J11808" s="711"/>
      <c r="K11808" s="711"/>
      <c r="L11808" s="711"/>
      <c r="Q11808" s="11"/>
      <c r="R11808" s="11"/>
      <c r="S11808" s="11"/>
      <c r="T11808" s="11"/>
    </row>
    <row r="11809" spans="8:20" x14ac:dyDescent="0.35">
      <c r="H11809" s="711"/>
      <c r="I11809" s="711"/>
      <c r="J11809" s="711"/>
      <c r="K11809" s="711"/>
      <c r="L11809" s="711"/>
      <c r="Q11809" s="11"/>
      <c r="R11809" s="11"/>
      <c r="S11809" s="11"/>
      <c r="T11809" s="11"/>
    </row>
    <row r="11810" spans="8:20" x14ac:dyDescent="0.35">
      <c r="H11810" s="711"/>
      <c r="I11810" s="711"/>
      <c r="J11810" s="711"/>
      <c r="K11810" s="711"/>
      <c r="L11810" s="711"/>
      <c r="Q11810" s="11"/>
      <c r="R11810" s="11"/>
      <c r="S11810" s="11"/>
      <c r="T11810" s="11"/>
    </row>
    <row r="11811" spans="8:20" x14ac:dyDescent="0.35">
      <c r="H11811" s="711"/>
      <c r="I11811" s="711"/>
      <c r="J11811" s="711"/>
      <c r="K11811" s="711"/>
      <c r="L11811" s="711"/>
      <c r="Q11811" s="11"/>
      <c r="R11811" s="11"/>
      <c r="S11811" s="11"/>
      <c r="T11811" s="11"/>
    </row>
    <row r="11812" spans="8:20" x14ac:dyDescent="0.35">
      <c r="H11812" s="711"/>
      <c r="I11812" s="711"/>
      <c r="J11812" s="711"/>
      <c r="K11812" s="711"/>
      <c r="L11812" s="711"/>
      <c r="Q11812" s="11"/>
      <c r="R11812" s="11"/>
      <c r="S11812" s="11"/>
      <c r="T11812" s="11"/>
    </row>
    <row r="11813" spans="8:20" x14ac:dyDescent="0.35">
      <c r="H11813" s="711"/>
      <c r="I11813" s="711"/>
      <c r="J11813" s="711"/>
      <c r="K11813" s="711"/>
      <c r="L11813" s="711"/>
      <c r="Q11813" s="11"/>
      <c r="R11813" s="11"/>
      <c r="S11813" s="11"/>
      <c r="T11813" s="11"/>
    </row>
    <row r="11814" spans="8:20" x14ac:dyDescent="0.35">
      <c r="H11814" s="711"/>
      <c r="I11814" s="711"/>
      <c r="J11814" s="711"/>
      <c r="K11814" s="711"/>
      <c r="L11814" s="711"/>
      <c r="Q11814" s="11"/>
      <c r="R11814" s="11"/>
      <c r="S11814" s="11"/>
      <c r="T11814" s="11"/>
    </row>
    <row r="11815" spans="8:20" x14ac:dyDescent="0.35">
      <c r="H11815" s="711"/>
      <c r="I11815" s="711"/>
      <c r="J11815" s="711"/>
      <c r="K11815" s="711"/>
      <c r="L11815" s="711"/>
      <c r="Q11815" s="11"/>
      <c r="R11815" s="11"/>
      <c r="S11815" s="11"/>
      <c r="T11815" s="11"/>
    </row>
    <row r="11816" spans="8:20" x14ac:dyDescent="0.35">
      <c r="H11816" s="711"/>
      <c r="I11816" s="711"/>
      <c r="J11816" s="711"/>
      <c r="K11816" s="711"/>
      <c r="L11816" s="711"/>
      <c r="Q11816" s="11"/>
      <c r="R11816" s="11"/>
      <c r="S11816" s="11"/>
      <c r="T11816" s="11"/>
    </row>
    <row r="11817" spans="8:20" x14ac:dyDescent="0.35">
      <c r="H11817" s="711"/>
      <c r="I11817" s="711"/>
      <c r="J11817" s="711"/>
      <c r="K11817" s="711"/>
      <c r="L11817" s="711"/>
      <c r="Q11817" s="11"/>
      <c r="R11817" s="11"/>
      <c r="S11817" s="11"/>
      <c r="T11817" s="11"/>
    </row>
    <row r="11818" spans="8:20" x14ac:dyDescent="0.35">
      <c r="H11818" s="711"/>
      <c r="I11818" s="711"/>
      <c r="J11818" s="711"/>
      <c r="K11818" s="711"/>
      <c r="L11818" s="711"/>
      <c r="Q11818" s="11"/>
      <c r="R11818" s="11"/>
      <c r="S11818" s="11"/>
      <c r="T11818" s="11"/>
    </row>
    <row r="11819" spans="8:20" x14ac:dyDescent="0.35">
      <c r="H11819" s="711"/>
      <c r="I11819" s="711"/>
      <c r="J11819" s="711"/>
      <c r="K11819" s="711"/>
      <c r="L11819" s="711"/>
      <c r="Q11819" s="11"/>
      <c r="R11819" s="11"/>
      <c r="S11819" s="11"/>
      <c r="T11819" s="11"/>
    </row>
    <row r="11820" spans="8:20" x14ac:dyDescent="0.35">
      <c r="H11820" s="711"/>
      <c r="I11820" s="711"/>
      <c r="J11820" s="711"/>
      <c r="K11820" s="711"/>
      <c r="L11820" s="711"/>
      <c r="Q11820" s="11"/>
      <c r="R11820" s="11"/>
      <c r="S11820" s="11"/>
      <c r="T11820" s="11"/>
    </row>
    <row r="11821" spans="8:20" x14ac:dyDescent="0.35">
      <c r="H11821" s="711"/>
      <c r="I11821" s="711"/>
      <c r="J11821" s="711"/>
      <c r="K11821" s="711"/>
      <c r="L11821" s="711"/>
      <c r="Q11821" s="11"/>
      <c r="R11821" s="11"/>
      <c r="S11821" s="11"/>
      <c r="T11821" s="11"/>
    </row>
    <row r="11822" spans="8:20" x14ac:dyDescent="0.35">
      <c r="H11822" s="711"/>
      <c r="I11822" s="711"/>
      <c r="J11822" s="711"/>
      <c r="K11822" s="711"/>
      <c r="L11822" s="711"/>
      <c r="Q11822" s="11"/>
      <c r="R11822" s="11"/>
      <c r="S11822" s="11"/>
      <c r="T11822" s="11"/>
    </row>
    <row r="11823" spans="8:20" x14ac:dyDescent="0.35">
      <c r="H11823" s="711"/>
      <c r="I11823" s="711"/>
      <c r="J11823" s="711"/>
      <c r="K11823" s="711"/>
      <c r="L11823" s="711"/>
      <c r="Q11823" s="11"/>
      <c r="R11823" s="11"/>
      <c r="S11823" s="11"/>
      <c r="T11823" s="11"/>
    </row>
    <row r="11824" spans="8:20" x14ac:dyDescent="0.35">
      <c r="H11824" s="711"/>
      <c r="I11824" s="711"/>
      <c r="J11824" s="711"/>
      <c r="K11824" s="711"/>
      <c r="L11824" s="711"/>
      <c r="Q11824" s="11"/>
      <c r="R11824" s="11"/>
      <c r="S11824" s="11"/>
      <c r="T11824" s="11"/>
    </row>
    <row r="11825" spans="8:20" x14ac:dyDescent="0.35">
      <c r="H11825" s="711"/>
      <c r="I11825" s="711"/>
      <c r="J11825" s="711"/>
      <c r="K11825" s="711"/>
      <c r="L11825" s="711"/>
      <c r="Q11825" s="11"/>
      <c r="R11825" s="11"/>
      <c r="S11825" s="11"/>
      <c r="T11825" s="11"/>
    </row>
    <row r="11826" spans="8:20" x14ac:dyDescent="0.35">
      <c r="H11826" s="711"/>
      <c r="I11826" s="711"/>
      <c r="J11826" s="711"/>
      <c r="K11826" s="711"/>
      <c r="L11826" s="711"/>
      <c r="Q11826" s="11"/>
      <c r="R11826" s="11"/>
      <c r="S11826" s="11"/>
      <c r="T11826" s="11"/>
    </row>
    <row r="11827" spans="8:20" x14ac:dyDescent="0.35">
      <c r="H11827" s="711"/>
      <c r="I11827" s="711"/>
      <c r="J11827" s="711"/>
      <c r="K11827" s="711"/>
      <c r="L11827" s="711"/>
      <c r="Q11827" s="11"/>
      <c r="R11827" s="11"/>
      <c r="S11827" s="11"/>
      <c r="T11827" s="11"/>
    </row>
    <row r="11828" spans="8:20" x14ac:dyDescent="0.35">
      <c r="H11828" s="711"/>
      <c r="I11828" s="711"/>
      <c r="J11828" s="711"/>
      <c r="K11828" s="711"/>
      <c r="L11828" s="711"/>
      <c r="Q11828" s="11"/>
      <c r="R11828" s="11"/>
      <c r="S11828" s="11"/>
      <c r="T11828" s="11"/>
    </row>
    <row r="11829" spans="8:20" x14ac:dyDescent="0.35">
      <c r="H11829" s="711"/>
      <c r="I11829" s="711"/>
      <c r="J11829" s="711"/>
      <c r="K11829" s="711"/>
      <c r="L11829" s="711"/>
      <c r="Q11829" s="11"/>
      <c r="R11829" s="11"/>
      <c r="S11829" s="11"/>
      <c r="T11829" s="11"/>
    </row>
    <row r="11830" spans="8:20" x14ac:dyDescent="0.35">
      <c r="H11830" s="711"/>
      <c r="I11830" s="711"/>
      <c r="J11830" s="711"/>
      <c r="K11830" s="711"/>
      <c r="L11830" s="711"/>
      <c r="Q11830" s="11"/>
      <c r="R11830" s="11"/>
      <c r="S11830" s="11"/>
      <c r="T11830" s="11"/>
    </row>
    <row r="11831" spans="8:20" x14ac:dyDescent="0.35">
      <c r="H11831" s="711"/>
      <c r="I11831" s="711"/>
      <c r="J11831" s="711"/>
      <c r="K11831" s="711"/>
      <c r="L11831" s="711"/>
      <c r="Q11831" s="11"/>
      <c r="R11831" s="11"/>
      <c r="S11831" s="11"/>
      <c r="T11831" s="11"/>
    </row>
    <row r="11832" spans="8:20" x14ac:dyDescent="0.35">
      <c r="H11832" s="711"/>
      <c r="I11832" s="711"/>
      <c r="J11832" s="711"/>
      <c r="K11832" s="711"/>
      <c r="L11832" s="711"/>
      <c r="Q11832" s="11"/>
      <c r="R11832" s="11"/>
      <c r="S11832" s="11"/>
      <c r="T11832" s="11"/>
    </row>
    <row r="11833" spans="8:20" x14ac:dyDescent="0.35">
      <c r="H11833" s="711"/>
      <c r="I11833" s="711"/>
      <c r="J11833" s="711"/>
      <c r="K11833" s="711"/>
      <c r="L11833" s="711"/>
      <c r="Q11833" s="11"/>
      <c r="R11833" s="11"/>
      <c r="S11833" s="11"/>
      <c r="T11833" s="11"/>
    </row>
    <row r="11834" spans="8:20" x14ac:dyDescent="0.35">
      <c r="H11834" s="711"/>
      <c r="I11834" s="711"/>
      <c r="J11834" s="711"/>
      <c r="K11834" s="711"/>
      <c r="L11834" s="711"/>
      <c r="Q11834" s="11"/>
      <c r="R11834" s="11"/>
      <c r="S11834" s="11"/>
      <c r="T11834" s="11"/>
    </row>
    <row r="11835" spans="8:20" x14ac:dyDescent="0.35">
      <c r="H11835" s="711"/>
      <c r="I11835" s="711"/>
      <c r="J11835" s="711"/>
      <c r="K11835" s="711"/>
      <c r="L11835" s="711"/>
      <c r="Q11835" s="11"/>
      <c r="R11835" s="11"/>
      <c r="S11835" s="11"/>
      <c r="T11835" s="11"/>
    </row>
    <row r="11836" spans="8:20" x14ac:dyDescent="0.35">
      <c r="H11836" s="711"/>
      <c r="I11836" s="711"/>
      <c r="J11836" s="711"/>
      <c r="K11836" s="711"/>
      <c r="L11836" s="711"/>
      <c r="Q11836" s="11"/>
      <c r="R11836" s="11"/>
      <c r="S11836" s="11"/>
      <c r="T11836" s="11"/>
    </row>
    <row r="11837" spans="8:20" x14ac:dyDescent="0.35">
      <c r="H11837" s="711"/>
      <c r="I11837" s="711"/>
      <c r="J11837" s="711"/>
      <c r="K11837" s="711"/>
      <c r="L11837" s="711"/>
      <c r="Q11837" s="11"/>
      <c r="R11837" s="11"/>
      <c r="S11837" s="11"/>
      <c r="T11837" s="11"/>
    </row>
    <row r="11838" spans="8:20" x14ac:dyDescent="0.35">
      <c r="H11838" s="711"/>
      <c r="I11838" s="711"/>
      <c r="J11838" s="711"/>
      <c r="K11838" s="711"/>
      <c r="L11838" s="711"/>
      <c r="Q11838" s="11"/>
      <c r="R11838" s="11"/>
      <c r="S11838" s="11"/>
      <c r="T11838" s="11"/>
    </row>
    <row r="11839" spans="8:20" x14ac:dyDescent="0.35">
      <c r="H11839" s="711"/>
      <c r="I11839" s="711"/>
      <c r="J11839" s="711"/>
      <c r="K11839" s="711"/>
      <c r="L11839" s="711"/>
      <c r="Q11839" s="11"/>
      <c r="R11839" s="11"/>
      <c r="S11839" s="11"/>
      <c r="T11839" s="11"/>
    </row>
    <row r="11840" spans="8:20" x14ac:dyDescent="0.35">
      <c r="H11840" s="711"/>
      <c r="I11840" s="711"/>
      <c r="J11840" s="711"/>
      <c r="K11840" s="711"/>
      <c r="L11840" s="711"/>
      <c r="Q11840" s="11"/>
      <c r="R11840" s="11"/>
      <c r="S11840" s="11"/>
      <c r="T11840" s="11"/>
    </row>
    <row r="11841" spans="8:20" x14ac:dyDescent="0.35">
      <c r="H11841" s="711"/>
      <c r="I11841" s="711"/>
      <c r="J11841" s="711"/>
      <c r="K11841" s="711"/>
      <c r="L11841" s="711"/>
      <c r="Q11841" s="11"/>
      <c r="R11841" s="11"/>
      <c r="S11841" s="11"/>
      <c r="T11841" s="11"/>
    </row>
    <row r="11842" spans="8:20" x14ac:dyDescent="0.35">
      <c r="H11842" s="711"/>
      <c r="I11842" s="711"/>
      <c r="J11842" s="711"/>
      <c r="K11842" s="711"/>
      <c r="L11842" s="711"/>
      <c r="Q11842" s="11"/>
      <c r="R11842" s="11"/>
      <c r="S11842" s="11"/>
      <c r="T11842" s="11"/>
    </row>
    <row r="11843" spans="8:20" x14ac:dyDescent="0.35">
      <c r="H11843" s="711"/>
      <c r="I11843" s="711"/>
      <c r="J11843" s="711"/>
      <c r="K11843" s="711"/>
      <c r="L11843" s="711"/>
      <c r="Q11843" s="11"/>
      <c r="R11843" s="11"/>
      <c r="S11843" s="11"/>
      <c r="T11843" s="11"/>
    </row>
    <row r="11844" spans="8:20" x14ac:dyDescent="0.35">
      <c r="H11844" s="711"/>
      <c r="I11844" s="711"/>
      <c r="J11844" s="711"/>
      <c r="K11844" s="711"/>
      <c r="L11844" s="711"/>
      <c r="Q11844" s="11"/>
      <c r="R11844" s="11"/>
      <c r="S11844" s="11"/>
      <c r="T11844" s="11"/>
    </row>
    <row r="11845" spans="8:20" x14ac:dyDescent="0.35">
      <c r="H11845" s="711"/>
      <c r="I11845" s="711"/>
      <c r="J11845" s="711"/>
      <c r="K11845" s="711"/>
      <c r="L11845" s="711"/>
      <c r="Q11845" s="11"/>
      <c r="R11845" s="11"/>
      <c r="S11845" s="11"/>
      <c r="T11845" s="11"/>
    </row>
    <row r="11846" spans="8:20" x14ac:dyDescent="0.35">
      <c r="H11846" s="711"/>
      <c r="I11846" s="711"/>
      <c r="J11846" s="711"/>
      <c r="K11846" s="711"/>
      <c r="L11846" s="711"/>
      <c r="Q11846" s="11"/>
      <c r="R11846" s="11"/>
      <c r="S11846" s="11"/>
      <c r="T11846" s="11"/>
    </row>
    <row r="11847" spans="8:20" x14ac:dyDescent="0.35">
      <c r="H11847" s="711"/>
      <c r="I11847" s="711"/>
      <c r="J11847" s="711"/>
      <c r="K11847" s="711"/>
      <c r="L11847" s="711"/>
      <c r="Q11847" s="11"/>
      <c r="R11847" s="11"/>
      <c r="S11847" s="11"/>
      <c r="T11847" s="11"/>
    </row>
    <row r="11848" spans="8:20" x14ac:dyDescent="0.35">
      <c r="H11848" s="711"/>
      <c r="I11848" s="711"/>
      <c r="J11848" s="711"/>
      <c r="K11848" s="711"/>
      <c r="L11848" s="711"/>
      <c r="Q11848" s="11"/>
      <c r="R11848" s="11"/>
      <c r="S11848" s="11"/>
      <c r="T11848" s="11"/>
    </row>
    <row r="11849" spans="8:20" x14ac:dyDescent="0.35">
      <c r="H11849" s="711"/>
      <c r="I11849" s="711"/>
      <c r="J11849" s="711"/>
      <c r="K11849" s="711"/>
      <c r="L11849" s="711"/>
      <c r="Q11849" s="11"/>
      <c r="R11849" s="11"/>
      <c r="S11849" s="11"/>
      <c r="T11849" s="11"/>
    </row>
    <row r="11850" spans="8:20" x14ac:dyDescent="0.35">
      <c r="H11850" s="711"/>
      <c r="I11850" s="711"/>
      <c r="J11850" s="711"/>
      <c r="K11850" s="711"/>
      <c r="L11850" s="711"/>
      <c r="Q11850" s="11"/>
      <c r="R11850" s="11"/>
      <c r="S11850" s="11"/>
      <c r="T11850" s="11"/>
    </row>
    <row r="11851" spans="8:20" x14ac:dyDescent="0.35">
      <c r="H11851" s="711"/>
      <c r="I11851" s="711"/>
      <c r="J11851" s="711"/>
      <c r="K11851" s="711"/>
      <c r="L11851" s="711"/>
      <c r="Q11851" s="11"/>
      <c r="R11851" s="11"/>
      <c r="S11851" s="11"/>
      <c r="T11851" s="11"/>
    </row>
    <row r="11852" spans="8:20" x14ac:dyDescent="0.35">
      <c r="H11852" s="711"/>
      <c r="I11852" s="711"/>
      <c r="J11852" s="711"/>
      <c r="K11852" s="711"/>
      <c r="L11852" s="711"/>
      <c r="Q11852" s="11"/>
      <c r="R11852" s="11"/>
      <c r="S11852" s="11"/>
      <c r="T11852" s="11"/>
    </row>
    <row r="11853" spans="8:20" x14ac:dyDescent="0.35">
      <c r="H11853" s="711"/>
      <c r="I11853" s="711"/>
      <c r="J11853" s="711"/>
      <c r="K11853" s="711"/>
      <c r="L11853" s="711"/>
      <c r="Q11853" s="11"/>
      <c r="R11853" s="11"/>
      <c r="S11853" s="11"/>
      <c r="T11853" s="11"/>
    </row>
    <row r="11854" spans="8:20" x14ac:dyDescent="0.35">
      <c r="H11854" s="711"/>
      <c r="I11854" s="711"/>
      <c r="J11854" s="711"/>
      <c r="K11854" s="711"/>
      <c r="L11854" s="711"/>
      <c r="Q11854" s="11"/>
      <c r="R11854" s="11"/>
      <c r="S11854" s="11"/>
      <c r="T11854" s="11"/>
    </row>
    <row r="11855" spans="8:20" x14ac:dyDescent="0.35">
      <c r="H11855" s="711"/>
      <c r="I11855" s="711"/>
      <c r="J11855" s="711"/>
      <c r="K11855" s="711"/>
      <c r="L11855" s="711"/>
      <c r="Q11855" s="11"/>
      <c r="R11855" s="11"/>
      <c r="S11855" s="11"/>
      <c r="T11855" s="11"/>
    </row>
    <row r="11856" spans="8:20" x14ac:dyDescent="0.35">
      <c r="H11856" s="711"/>
      <c r="I11856" s="711"/>
      <c r="J11856" s="711"/>
      <c r="K11856" s="711"/>
      <c r="L11856" s="711"/>
      <c r="Q11856" s="11"/>
      <c r="R11856" s="11"/>
      <c r="S11856" s="11"/>
      <c r="T11856" s="11"/>
    </row>
    <row r="11857" spans="8:20" x14ac:dyDescent="0.35">
      <c r="H11857" s="711"/>
      <c r="I11857" s="711"/>
      <c r="J11857" s="711"/>
      <c r="K11857" s="711"/>
      <c r="L11857" s="711"/>
      <c r="Q11857" s="11"/>
      <c r="R11857" s="11"/>
      <c r="S11857" s="11"/>
      <c r="T11857" s="11"/>
    </row>
    <row r="11858" spans="8:20" x14ac:dyDescent="0.35">
      <c r="H11858" s="711"/>
      <c r="I11858" s="711"/>
      <c r="J11858" s="711"/>
      <c r="K11858" s="711"/>
      <c r="L11858" s="711"/>
      <c r="Q11858" s="11"/>
      <c r="R11858" s="11"/>
      <c r="S11858" s="11"/>
      <c r="T11858" s="11"/>
    </row>
    <row r="11859" spans="8:20" x14ac:dyDescent="0.35">
      <c r="H11859" s="711"/>
      <c r="I11859" s="711"/>
      <c r="J11859" s="711"/>
      <c r="K11859" s="711"/>
      <c r="L11859" s="711"/>
      <c r="Q11859" s="11"/>
      <c r="R11859" s="11"/>
      <c r="S11859" s="11"/>
      <c r="T11859" s="11"/>
    </row>
    <row r="11860" spans="8:20" x14ac:dyDescent="0.35">
      <c r="H11860" s="711"/>
      <c r="I11860" s="711"/>
      <c r="J11860" s="711"/>
      <c r="K11860" s="711"/>
      <c r="L11860" s="711"/>
      <c r="Q11860" s="11"/>
      <c r="R11860" s="11"/>
      <c r="S11860" s="11"/>
      <c r="T11860" s="11"/>
    </row>
    <row r="11861" spans="8:20" x14ac:dyDescent="0.35">
      <c r="H11861" s="711"/>
      <c r="I11861" s="711"/>
      <c r="J11861" s="711"/>
      <c r="K11861" s="711"/>
      <c r="L11861" s="711"/>
      <c r="Q11861" s="11"/>
      <c r="R11861" s="11"/>
      <c r="S11861" s="11"/>
      <c r="T11861" s="11"/>
    </row>
    <row r="11862" spans="8:20" x14ac:dyDescent="0.35">
      <c r="H11862" s="711"/>
      <c r="I11862" s="711"/>
      <c r="J11862" s="711"/>
      <c r="K11862" s="711"/>
      <c r="L11862" s="711"/>
      <c r="Q11862" s="11"/>
      <c r="R11862" s="11"/>
      <c r="S11862" s="11"/>
      <c r="T11862" s="11"/>
    </row>
    <row r="11863" spans="8:20" x14ac:dyDescent="0.35">
      <c r="H11863" s="711"/>
      <c r="I11863" s="711"/>
      <c r="J11863" s="711"/>
      <c r="K11863" s="711"/>
      <c r="L11863" s="711"/>
      <c r="Q11863" s="11"/>
      <c r="R11863" s="11"/>
      <c r="S11863" s="11"/>
      <c r="T11863" s="11"/>
    </row>
    <row r="11864" spans="8:20" x14ac:dyDescent="0.35">
      <c r="H11864" s="711"/>
      <c r="I11864" s="711"/>
      <c r="J11864" s="711"/>
      <c r="K11864" s="711"/>
      <c r="L11864" s="711"/>
      <c r="Q11864" s="11"/>
      <c r="R11864" s="11"/>
      <c r="S11864" s="11"/>
      <c r="T11864" s="11"/>
    </row>
    <row r="11865" spans="8:20" x14ac:dyDescent="0.35">
      <c r="H11865" s="711"/>
      <c r="I11865" s="711"/>
      <c r="J11865" s="711"/>
      <c r="K11865" s="711"/>
      <c r="L11865" s="711"/>
      <c r="Q11865" s="11"/>
      <c r="R11865" s="11"/>
      <c r="S11865" s="11"/>
      <c r="T11865" s="11"/>
    </row>
    <row r="11866" spans="8:20" x14ac:dyDescent="0.35">
      <c r="H11866" s="711"/>
      <c r="I11866" s="711"/>
      <c r="J11866" s="711"/>
      <c r="K11866" s="711"/>
      <c r="L11866" s="711"/>
      <c r="Q11866" s="11"/>
      <c r="R11866" s="11"/>
      <c r="S11866" s="11"/>
      <c r="T11866" s="11"/>
    </row>
    <row r="11867" spans="8:20" x14ac:dyDescent="0.35">
      <c r="H11867" s="711"/>
      <c r="I11867" s="711"/>
      <c r="J11867" s="711"/>
      <c r="K11867" s="711"/>
      <c r="L11867" s="711"/>
      <c r="Q11867" s="11"/>
      <c r="R11867" s="11"/>
      <c r="S11867" s="11"/>
      <c r="T11867" s="11"/>
    </row>
    <row r="11868" spans="8:20" x14ac:dyDescent="0.35">
      <c r="H11868" s="711"/>
      <c r="I11868" s="711"/>
      <c r="J11868" s="711"/>
      <c r="K11868" s="711"/>
      <c r="L11868" s="711"/>
      <c r="Q11868" s="11"/>
      <c r="R11868" s="11"/>
      <c r="S11868" s="11"/>
      <c r="T11868" s="11"/>
    </row>
    <row r="11869" spans="8:20" x14ac:dyDescent="0.35">
      <c r="H11869" s="711"/>
      <c r="I11869" s="711"/>
      <c r="J11869" s="711"/>
      <c r="K11869" s="711"/>
      <c r="L11869" s="711"/>
      <c r="Q11869" s="11"/>
      <c r="R11869" s="11"/>
      <c r="S11869" s="11"/>
      <c r="T11869" s="11"/>
    </row>
    <row r="11870" spans="8:20" x14ac:dyDescent="0.35">
      <c r="H11870" s="711"/>
      <c r="I11870" s="711"/>
      <c r="J11870" s="711"/>
      <c r="K11870" s="711"/>
      <c r="L11870" s="711"/>
      <c r="Q11870" s="11"/>
      <c r="R11870" s="11"/>
      <c r="S11870" s="11"/>
      <c r="T11870" s="11"/>
    </row>
    <row r="11871" spans="8:20" x14ac:dyDescent="0.35">
      <c r="H11871" s="711"/>
      <c r="I11871" s="711"/>
      <c r="J11871" s="711"/>
      <c r="K11871" s="711"/>
      <c r="L11871" s="711"/>
      <c r="Q11871" s="11"/>
      <c r="R11871" s="11"/>
      <c r="S11871" s="11"/>
      <c r="T11871" s="11"/>
    </row>
    <row r="11872" spans="8:20" x14ac:dyDescent="0.35">
      <c r="H11872" s="711"/>
      <c r="I11872" s="711"/>
      <c r="J11872" s="711"/>
      <c r="K11872" s="711"/>
      <c r="L11872" s="711"/>
      <c r="Q11872" s="11"/>
      <c r="R11872" s="11"/>
      <c r="S11872" s="11"/>
      <c r="T11872" s="11"/>
    </row>
    <row r="11873" spans="8:20" x14ac:dyDescent="0.35">
      <c r="H11873" s="711"/>
      <c r="I11873" s="711"/>
      <c r="J11873" s="711"/>
      <c r="K11873" s="711"/>
      <c r="L11873" s="711"/>
      <c r="Q11873" s="11"/>
      <c r="R11873" s="11"/>
      <c r="S11873" s="11"/>
      <c r="T11873" s="11"/>
    </row>
    <row r="11874" spans="8:20" x14ac:dyDescent="0.35">
      <c r="H11874" s="711"/>
      <c r="I11874" s="711"/>
      <c r="J11874" s="711"/>
      <c r="K11874" s="711"/>
      <c r="L11874" s="711"/>
      <c r="Q11874" s="11"/>
      <c r="R11874" s="11"/>
      <c r="S11874" s="11"/>
      <c r="T11874" s="11"/>
    </row>
    <row r="11875" spans="8:20" x14ac:dyDescent="0.35">
      <c r="H11875" s="711"/>
      <c r="I11875" s="711"/>
      <c r="J11875" s="711"/>
      <c r="K11875" s="711"/>
      <c r="L11875" s="711"/>
      <c r="Q11875" s="11"/>
      <c r="R11875" s="11"/>
      <c r="S11875" s="11"/>
      <c r="T11875" s="11"/>
    </row>
    <row r="11876" spans="8:20" x14ac:dyDescent="0.35">
      <c r="H11876" s="711"/>
      <c r="I11876" s="711"/>
      <c r="J11876" s="711"/>
      <c r="K11876" s="711"/>
      <c r="L11876" s="711"/>
      <c r="Q11876" s="11"/>
      <c r="R11876" s="11"/>
      <c r="S11876" s="11"/>
      <c r="T11876" s="11"/>
    </row>
    <row r="11877" spans="8:20" x14ac:dyDescent="0.35">
      <c r="H11877" s="711"/>
      <c r="I11877" s="711"/>
      <c r="J11877" s="711"/>
      <c r="K11877" s="711"/>
      <c r="L11877" s="711"/>
      <c r="Q11877" s="11"/>
      <c r="R11877" s="11"/>
      <c r="S11877" s="11"/>
      <c r="T11877" s="11"/>
    </row>
    <row r="11878" spans="8:20" x14ac:dyDescent="0.35">
      <c r="H11878" s="711"/>
      <c r="I11878" s="711"/>
      <c r="J11878" s="711"/>
      <c r="K11878" s="711"/>
      <c r="L11878" s="711"/>
      <c r="Q11878" s="11"/>
      <c r="R11878" s="11"/>
      <c r="S11878" s="11"/>
      <c r="T11878" s="11"/>
    </row>
    <row r="11879" spans="8:20" x14ac:dyDescent="0.35">
      <c r="H11879" s="711"/>
      <c r="I11879" s="711"/>
      <c r="J11879" s="711"/>
      <c r="K11879" s="711"/>
      <c r="L11879" s="711"/>
      <c r="Q11879" s="11"/>
      <c r="R11879" s="11"/>
      <c r="S11879" s="11"/>
      <c r="T11879" s="11"/>
    </row>
    <row r="11880" spans="8:20" x14ac:dyDescent="0.35">
      <c r="H11880" s="711"/>
      <c r="I11880" s="711"/>
      <c r="J11880" s="711"/>
      <c r="K11880" s="711"/>
      <c r="L11880" s="711"/>
      <c r="Q11880" s="11"/>
      <c r="R11880" s="11"/>
      <c r="S11880" s="11"/>
      <c r="T11880" s="11"/>
    </row>
    <row r="11881" spans="8:20" x14ac:dyDescent="0.35">
      <c r="H11881" s="711"/>
      <c r="I11881" s="711"/>
      <c r="J11881" s="711"/>
      <c r="K11881" s="711"/>
      <c r="L11881" s="711"/>
      <c r="Q11881" s="11"/>
      <c r="R11881" s="11"/>
      <c r="S11881" s="11"/>
      <c r="T11881" s="11"/>
    </row>
    <row r="11882" spans="8:20" x14ac:dyDescent="0.35">
      <c r="H11882" s="711"/>
      <c r="I11882" s="711"/>
      <c r="J11882" s="711"/>
      <c r="K11882" s="711"/>
      <c r="L11882" s="711"/>
      <c r="Q11882" s="11"/>
      <c r="R11882" s="11"/>
      <c r="S11882" s="11"/>
      <c r="T11882" s="11"/>
    </row>
    <row r="11883" spans="8:20" x14ac:dyDescent="0.35">
      <c r="H11883" s="711"/>
      <c r="I11883" s="711"/>
      <c r="J11883" s="711"/>
      <c r="K11883" s="711"/>
      <c r="L11883" s="711"/>
      <c r="Q11883" s="11"/>
      <c r="R11883" s="11"/>
      <c r="S11883" s="11"/>
      <c r="T11883" s="11"/>
    </row>
    <row r="11884" spans="8:20" x14ac:dyDescent="0.35">
      <c r="H11884" s="711"/>
      <c r="I11884" s="711"/>
      <c r="J11884" s="711"/>
      <c r="K11884" s="711"/>
      <c r="L11884" s="711"/>
      <c r="Q11884" s="11"/>
      <c r="R11884" s="11"/>
      <c r="S11884" s="11"/>
      <c r="T11884" s="11"/>
    </row>
    <row r="11885" spans="8:20" x14ac:dyDescent="0.35">
      <c r="H11885" s="711"/>
      <c r="I11885" s="711"/>
      <c r="J11885" s="711"/>
      <c r="K11885" s="711"/>
      <c r="L11885" s="711"/>
      <c r="Q11885" s="11"/>
      <c r="R11885" s="11"/>
      <c r="S11885" s="11"/>
      <c r="T11885" s="11"/>
    </row>
    <row r="11886" spans="8:20" x14ac:dyDescent="0.35">
      <c r="H11886" s="711"/>
      <c r="I11886" s="711"/>
      <c r="J11886" s="711"/>
      <c r="K11886" s="711"/>
      <c r="L11886" s="711"/>
      <c r="Q11886" s="11"/>
      <c r="R11886" s="11"/>
      <c r="S11886" s="11"/>
      <c r="T11886" s="11"/>
    </row>
    <row r="11887" spans="8:20" x14ac:dyDescent="0.35">
      <c r="H11887" s="711"/>
      <c r="I11887" s="711"/>
      <c r="J11887" s="711"/>
      <c r="K11887" s="711"/>
      <c r="L11887" s="711"/>
      <c r="Q11887" s="11"/>
      <c r="R11887" s="11"/>
      <c r="S11887" s="11"/>
      <c r="T11887" s="11"/>
    </row>
    <row r="11888" spans="8:20" x14ac:dyDescent="0.35">
      <c r="H11888" s="711"/>
      <c r="I11888" s="711"/>
      <c r="J11888" s="711"/>
      <c r="K11888" s="711"/>
      <c r="L11888" s="711"/>
      <c r="Q11888" s="11"/>
      <c r="R11888" s="11"/>
      <c r="S11888" s="11"/>
      <c r="T11888" s="11"/>
    </row>
    <row r="11889" spans="8:20" x14ac:dyDescent="0.35">
      <c r="H11889" s="711"/>
      <c r="I11889" s="711"/>
      <c r="J11889" s="711"/>
      <c r="K11889" s="711"/>
      <c r="L11889" s="711"/>
      <c r="Q11889" s="11"/>
      <c r="R11889" s="11"/>
      <c r="S11889" s="11"/>
      <c r="T11889" s="11"/>
    </row>
    <row r="11890" spans="8:20" x14ac:dyDescent="0.35">
      <c r="H11890" s="711"/>
      <c r="I11890" s="711"/>
      <c r="J11890" s="711"/>
      <c r="K11890" s="711"/>
      <c r="L11890" s="711"/>
      <c r="Q11890" s="11"/>
      <c r="R11890" s="11"/>
      <c r="S11890" s="11"/>
      <c r="T11890" s="11"/>
    </row>
    <row r="11891" spans="8:20" x14ac:dyDescent="0.35">
      <c r="H11891" s="711"/>
      <c r="I11891" s="711"/>
      <c r="J11891" s="711"/>
      <c r="K11891" s="711"/>
      <c r="L11891" s="711"/>
      <c r="Q11891" s="11"/>
      <c r="R11891" s="11"/>
      <c r="S11891" s="11"/>
      <c r="T11891" s="11"/>
    </row>
    <row r="11892" spans="8:20" x14ac:dyDescent="0.35">
      <c r="H11892" s="711"/>
      <c r="I11892" s="711"/>
      <c r="J11892" s="711"/>
      <c r="K11892" s="711"/>
      <c r="L11892" s="711"/>
      <c r="Q11892" s="11"/>
      <c r="R11892" s="11"/>
      <c r="S11892" s="11"/>
      <c r="T11892" s="11"/>
    </row>
    <row r="11893" spans="8:20" x14ac:dyDescent="0.35">
      <c r="H11893" s="711"/>
      <c r="I11893" s="711"/>
      <c r="J11893" s="711"/>
      <c r="K11893" s="711"/>
      <c r="L11893" s="711"/>
      <c r="Q11893" s="11"/>
      <c r="R11893" s="11"/>
      <c r="S11893" s="11"/>
      <c r="T11893" s="11"/>
    </row>
    <row r="11894" spans="8:20" x14ac:dyDescent="0.35">
      <c r="H11894" s="711"/>
      <c r="I11894" s="711"/>
      <c r="J11894" s="711"/>
      <c r="K11894" s="711"/>
      <c r="L11894" s="711"/>
      <c r="Q11894" s="11"/>
      <c r="R11894" s="11"/>
      <c r="S11894" s="11"/>
      <c r="T11894" s="11"/>
    </row>
    <row r="11895" spans="8:20" x14ac:dyDescent="0.35">
      <c r="H11895" s="711"/>
      <c r="I11895" s="711"/>
      <c r="J11895" s="711"/>
      <c r="K11895" s="711"/>
      <c r="L11895" s="711"/>
      <c r="Q11895" s="11"/>
      <c r="R11895" s="11"/>
      <c r="S11895" s="11"/>
      <c r="T11895" s="11"/>
    </row>
    <row r="11896" spans="8:20" x14ac:dyDescent="0.35">
      <c r="H11896" s="711"/>
      <c r="I11896" s="711"/>
      <c r="J11896" s="711"/>
      <c r="K11896" s="711"/>
      <c r="L11896" s="711"/>
      <c r="Q11896" s="11"/>
      <c r="R11896" s="11"/>
      <c r="S11896" s="11"/>
      <c r="T11896" s="11"/>
    </row>
    <row r="11897" spans="8:20" x14ac:dyDescent="0.35">
      <c r="H11897" s="711"/>
      <c r="I11897" s="711"/>
      <c r="J11897" s="711"/>
      <c r="K11897" s="711"/>
      <c r="L11897" s="711"/>
      <c r="Q11897" s="11"/>
      <c r="R11897" s="11"/>
      <c r="S11897" s="11"/>
      <c r="T11897" s="11"/>
    </row>
    <row r="11898" spans="8:20" x14ac:dyDescent="0.35">
      <c r="H11898" s="711"/>
      <c r="I11898" s="711"/>
      <c r="J11898" s="711"/>
      <c r="K11898" s="711"/>
      <c r="L11898" s="711"/>
      <c r="Q11898" s="11"/>
      <c r="R11898" s="11"/>
      <c r="S11898" s="11"/>
      <c r="T11898" s="11"/>
    </row>
    <row r="11899" spans="8:20" x14ac:dyDescent="0.35">
      <c r="H11899" s="711"/>
      <c r="I11899" s="711"/>
      <c r="J11899" s="711"/>
      <c r="K11899" s="711"/>
      <c r="L11899" s="711"/>
      <c r="Q11899" s="11"/>
      <c r="R11899" s="11"/>
      <c r="S11899" s="11"/>
      <c r="T11899" s="11"/>
    </row>
    <row r="11900" spans="8:20" x14ac:dyDescent="0.35">
      <c r="H11900" s="711"/>
      <c r="I11900" s="711"/>
      <c r="J11900" s="711"/>
      <c r="K11900" s="711"/>
      <c r="L11900" s="711"/>
      <c r="Q11900" s="11"/>
      <c r="R11900" s="11"/>
      <c r="S11900" s="11"/>
      <c r="T11900" s="11"/>
    </row>
    <row r="11901" spans="8:20" x14ac:dyDescent="0.35">
      <c r="H11901" s="711"/>
      <c r="I11901" s="711"/>
      <c r="J11901" s="711"/>
      <c r="K11901" s="711"/>
      <c r="L11901" s="711"/>
      <c r="Q11901" s="11"/>
      <c r="R11901" s="11"/>
      <c r="S11901" s="11"/>
      <c r="T11901" s="11"/>
    </row>
    <row r="11902" spans="8:20" x14ac:dyDescent="0.35">
      <c r="H11902" s="711"/>
      <c r="I11902" s="711"/>
      <c r="J11902" s="711"/>
      <c r="K11902" s="711"/>
      <c r="L11902" s="711"/>
      <c r="Q11902" s="11"/>
      <c r="R11902" s="11"/>
      <c r="S11902" s="11"/>
      <c r="T11902" s="11"/>
    </row>
    <row r="11903" spans="8:20" x14ac:dyDescent="0.35">
      <c r="H11903" s="711"/>
      <c r="I11903" s="711"/>
      <c r="J11903" s="711"/>
      <c r="K11903" s="711"/>
      <c r="L11903" s="711"/>
      <c r="Q11903" s="11"/>
      <c r="R11903" s="11"/>
      <c r="S11903" s="11"/>
      <c r="T11903" s="11"/>
    </row>
    <row r="11904" spans="8:20" x14ac:dyDescent="0.35">
      <c r="H11904" s="711"/>
      <c r="I11904" s="711"/>
      <c r="J11904" s="711"/>
      <c r="K11904" s="711"/>
      <c r="L11904" s="711"/>
      <c r="Q11904" s="11"/>
      <c r="R11904" s="11"/>
      <c r="S11904" s="11"/>
      <c r="T11904" s="11"/>
    </row>
    <row r="11905" spans="8:20" x14ac:dyDescent="0.35">
      <c r="H11905" s="711"/>
      <c r="I11905" s="711"/>
      <c r="J11905" s="711"/>
      <c r="K11905" s="711"/>
      <c r="L11905" s="711"/>
      <c r="Q11905" s="11"/>
      <c r="R11905" s="11"/>
      <c r="S11905" s="11"/>
      <c r="T11905" s="11"/>
    </row>
    <row r="11906" spans="8:20" x14ac:dyDescent="0.35">
      <c r="H11906" s="711"/>
      <c r="I11906" s="711"/>
      <c r="J11906" s="711"/>
      <c r="K11906" s="711"/>
      <c r="L11906" s="711"/>
      <c r="Q11906" s="11"/>
      <c r="R11906" s="11"/>
      <c r="S11906" s="11"/>
      <c r="T11906" s="11"/>
    </row>
    <row r="11907" spans="8:20" x14ac:dyDescent="0.35">
      <c r="H11907" s="711"/>
      <c r="I11907" s="711"/>
      <c r="J11907" s="711"/>
      <c r="K11907" s="711"/>
      <c r="L11907" s="711"/>
      <c r="Q11907" s="11"/>
      <c r="R11907" s="11"/>
      <c r="S11907" s="11"/>
      <c r="T11907" s="11"/>
    </row>
    <row r="11908" spans="8:20" x14ac:dyDescent="0.35">
      <c r="H11908" s="711"/>
      <c r="I11908" s="711"/>
      <c r="J11908" s="711"/>
      <c r="K11908" s="711"/>
      <c r="L11908" s="711"/>
      <c r="Q11908" s="11"/>
      <c r="R11908" s="11"/>
      <c r="S11908" s="11"/>
      <c r="T11908" s="11"/>
    </row>
    <row r="11909" spans="8:20" x14ac:dyDescent="0.35">
      <c r="H11909" s="711"/>
      <c r="I11909" s="711"/>
      <c r="J11909" s="711"/>
      <c r="K11909" s="711"/>
      <c r="L11909" s="711"/>
      <c r="Q11909" s="11"/>
      <c r="R11909" s="11"/>
      <c r="S11909" s="11"/>
      <c r="T11909" s="11"/>
    </row>
    <row r="11910" spans="8:20" x14ac:dyDescent="0.35">
      <c r="H11910" s="711"/>
      <c r="I11910" s="711"/>
      <c r="J11910" s="711"/>
      <c r="K11910" s="711"/>
      <c r="L11910" s="711"/>
      <c r="Q11910" s="11"/>
      <c r="R11910" s="11"/>
      <c r="S11910" s="11"/>
      <c r="T11910" s="11"/>
    </row>
    <row r="11911" spans="8:20" x14ac:dyDescent="0.35">
      <c r="H11911" s="711"/>
      <c r="I11911" s="711"/>
      <c r="J11911" s="711"/>
      <c r="K11911" s="711"/>
      <c r="L11911" s="711"/>
      <c r="Q11911" s="11"/>
      <c r="R11911" s="11"/>
      <c r="S11911" s="11"/>
      <c r="T11911" s="11"/>
    </row>
    <row r="11912" spans="8:20" x14ac:dyDescent="0.35">
      <c r="H11912" s="711"/>
      <c r="I11912" s="711"/>
      <c r="J11912" s="711"/>
      <c r="K11912" s="711"/>
      <c r="L11912" s="711"/>
      <c r="Q11912" s="11"/>
      <c r="R11912" s="11"/>
      <c r="S11912" s="11"/>
      <c r="T11912" s="11"/>
    </row>
    <row r="11913" spans="8:20" x14ac:dyDescent="0.35">
      <c r="H11913" s="711"/>
      <c r="I11913" s="711"/>
      <c r="J11913" s="711"/>
      <c r="K11913" s="711"/>
      <c r="L11913" s="711"/>
      <c r="Q11913" s="11"/>
      <c r="R11913" s="11"/>
      <c r="S11913" s="11"/>
      <c r="T11913" s="11"/>
    </row>
    <row r="11914" spans="8:20" x14ac:dyDescent="0.35">
      <c r="H11914" s="711"/>
      <c r="I11914" s="711"/>
      <c r="J11914" s="711"/>
      <c r="K11914" s="711"/>
      <c r="L11914" s="711"/>
      <c r="Q11914" s="11"/>
      <c r="R11914" s="11"/>
      <c r="S11914" s="11"/>
      <c r="T11914" s="11"/>
    </row>
    <row r="11915" spans="8:20" x14ac:dyDescent="0.35">
      <c r="H11915" s="711"/>
      <c r="I11915" s="711"/>
      <c r="J11915" s="711"/>
      <c r="K11915" s="711"/>
      <c r="L11915" s="711"/>
      <c r="Q11915" s="11"/>
      <c r="R11915" s="11"/>
      <c r="S11915" s="11"/>
      <c r="T11915" s="11"/>
    </row>
    <row r="11916" spans="8:20" x14ac:dyDescent="0.35">
      <c r="H11916" s="711"/>
      <c r="I11916" s="711"/>
      <c r="J11916" s="711"/>
      <c r="K11916" s="711"/>
      <c r="L11916" s="711"/>
      <c r="Q11916" s="11"/>
      <c r="R11916" s="11"/>
      <c r="S11916" s="11"/>
      <c r="T11916" s="11"/>
    </row>
    <row r="11917" spans="8:20" x14ac:dyDescent="0.35">
      <c r="H11917" s="711"/>
      <c r="I11917" s="711"/>
      <c r="J11917" s="711"/>
      <c r="K11917" s="711"/>
      <c r="L11917" s="711"/>
      <c r="Q11917" s="11"/>
      <c r="R11917" s="11"/>
      <c r="S11917" s="11"/>
      <c r="T11917" s="11"/>
    </row>
    <row r="11918" spans="8:20" x14ac:dyDescent="0.35">
      <c r="H11918" s="711"/>
      <c r="I11918" s="711"/>
      <c r="J11918" s="711"/>
      <c r="K11918" s="711"/>
      <c r="L11918" s="711"/>
      <c r="Q11918" s="11"/>
      <c r="R11918" s="11"/>
      <c r="S11918" s="11"/>
      <c r="T11918" s="11"/>
    </row>
    <row r="11919" spans="8:20" x14ac:dyDescent="0.35">
      <c r="H11919" s="711"/>
      <c r="I11919" s="711"/>
      <c r="J11919" s="711"/>
      <c r="K11919" s="711"/>
      <c r="L11919" s="711"/>
      <c r="Q11919" s="11"/>
      <c r="R11919" s="11"/>
      <c r="S11919" s="11"/>
      <c r="T11919" s="11"/>
    </row>
    <row r="11920" spans="8:20" x14ac:dyDescent="0.35">
      <c r="H11920" s="711"/>
      <c r="I11920" s="711"/>
      <c r="J11920" s="711"/>
      <c r="K11920" s="711"/>
      <c r="L11920" s="711"/>
      <c r="Q11920" s="11"/>
      <c r="R11920" s="11"/>
      <c r="S11920" s="11"/>
      <c r="T11920" s="11"/>
    </row>
    <row r="11921" spans="8:20" x14ac:dyDescent="0.35">
      <c r="H11921" s="711"/>
      <c r="I11921" s="711"/>
      <c r="J11921" s="711"/>
      <c r="K11921" s="711"/>
      <c r="L11921" s="711"/>
      <c r="Q11921" s="11"/>
      <c r="R11921" s="11"/>
      <c r="S11921" s="11"/>
      <c r="T11921" s="11"/>
    </row>
    <row r="11922" spans="8:20" x14ac:dyDescent="0.35">
      <c r="H11922" s="711"/>
      <c r="I11922" s="711"/>
      <c r="J11922" s="711"/>
      <c r="K11922" s="711"/>
      <c r="L11922" s="711"/>
      <c r="Q11922" s="11"/>
      <c r="R11922" s="11"/>
      <c r="S11922" s="11"/>
      <c r="T11922" s="11"/>
    </row>
    <row r="11923" spans="8:20" x14ac:dyDescent="0.35">
      <c r="H11923" s="711"/>
      <c r="I11923" s="711"/>
      <c r="J11923" s="711"/>
      <c r="K11923" s="711"/>
      <c r="L11923" s="711"/>
      <c r="Q11923" s="11"/>
      <c r="R11923" s="11"/>
      <c r="S11923" s="11"/>
      <c r="T11923" s="11"/>
    </row>
    <row r="11924" spans="8:20" x14ac:dyDescent="0.35">
      <c r="H11924" s="711"/>
      <c r="I11924" s="711"/>
      <c r="J11924" s="711"/>
      <c r="K11924" s="711"/>
      <c r="L11924" s="711"/>
      <c r="Q11924" s="11"/>
      <c r="R11924" s="11"/>
      <c r="S11924" s="11"/>
      <c r="T11924" s="11"/>
    </row>
    <row r="11925" spans="8:20" x14ac:dyDescent="0.35">
      <c r="H11925" s="711"/>
      <c r="I11925" s="711"/>
      <c r="J11925" s="711"/>
      <c r="K11925" s="711"/>
      <c r="L11925" s="711"/>
      <c r="Q11925" s="11"/>
      <c r="R11925" s="11"/>
      <c r="S11925" s="11"/>
      <c r="T11925" s="11"/>
    </row>
    <row r="11926" spans="8:20" x14ac:dyDescent="0.35">
      <c r="H11926" s="711"/>
      <c r="I11926" s="711"/>
      <c r="J11926" s="711"/>
      <c r="K11926" s="711"/>
      <c r="L11926" s="711"/>
      <c r="Q11926" s="11"/>
      <c r="R11926" s="11"/>
      <c r="S11926" s="11"/>
      <c r="T11926" s="11"/>
    </row>
    <row r="11927" spans="8:20" x14ac:dyDescent="0.35">
      <c r="H11927" s="711"/>
      <c r="I11927" s="711"/>
      <c r="J11927" s="711"/>
      <c r="K11927" s="711"/>
      <c r="L11927" s="711"/>
      <c r="Q11927" s="11"/>
      <c r="R11927" s="11"/>
      <c r="S11927" s="11"/>
      <c r="T11927" s="11"/>
    </row>
    <row r="11928" spans="8:20" x14ac:dyDescent="0.35">
      <c r="H11928" s="711"/>
      <c r="I11928" s="711"/>
      <c r="J11928" s="711"/>
      <c r="K11928" s="711"/>
      <c r="L11928" s="711"/>
      <c r="Q11928" s="11"/>
      <c r="R11928" s="11"/>
      <c r="S11928" s="11"/>
      <c r="T11928" s="11"/>
    </row>
    <row r="11929" spans="8:20" x14ac:dyDescent="0.35">
      <c r="H11929" s="711"/>
      <c r="I11929" s="711"/>
      <c r="J11929" s="711"/>
      <c r="K11929" s="711"/>
      <c r="L11929" s="711"/>
      <c r="Q11929" s="11"/>
      <c r="R11929" s="11"/>
      <c r="S11929" s="11"/>
      <c r="T11929" s="11"/>
    </row>
    <row r="11930" spans="8:20" x14ac:dyDescent="0.35">
      <c r="H11930" s="711"/>
      <c r="I11930" s="711"/>
      <c r="J11930" s="711"/>
      <c r="K11930" s="711"/>
      <c r="L11930" s="711"/>
      <c r="Q11930" s="11"/>
      <c r="R11930" s="11"/>
      <c r="S11930" s="11"/>
      <c r="T11930" s="11"/>
    </row>
    <row r="11931" spans="8:20" x14ac:dyDescent="0.35">
      <c r="H11931" s="711"/>
      <c r="I11931" s="711"/>
      <c r="J11931" s="711"/>
      <c r="K11931" s="711"/>
      <c r="L11931" s="711"/>
      <c r="Q11931" s="11"/>
      <c r="R11931" s="11"/>
      <c r="S11931" s="11"/>
      <c r="T11931" s="11"/>
    </row>
    <row r="11932" spans="8:20" x14ac:dyDescent="0.35">
      <c r="H11932" s="711"/>
      <c r="I11932" s="711"/>
      <c r="J11932" s="711"/>
      <c r="K11932" s="711"/>
      <c r="L11932" s="711"/>
      <c r="Q11932" s="11"/>
      <c r="R11932" s="11"/>
      <c r="S11932" s="11"/>
      <c r="T11932" s="11"/>
    </row>
    <row r="11933" spans="8:20" x14ac:dyDescent="0.35">
      <c r="H11933" s="711"/>
      <c r="I11933" s="711"/>
      <c r="J11933" s="711"/>
      <c r="K11933" s="711"/>
      <c r="L11933" s="711"/>
      <c r="Q11933" s="11"/>
      <c r="R11933" s="11"/>
      <c r="S11933" s="11"/>
      <c r="T11933" s="11"/>
    </row>
    <row r="11934" spans="8:20" x14ac:dyDescent="0.35">
      <c r="H11934" s="711"/>
      <c r="I11934" s="711"/>
      <c r="J11934" s="711"/>
      <c r="K11934" s="711"/>
      <c r="L11934" s="711"/>
      <c r="Q11934" s="11"/>
      <c r="R11934" s="11"/>
      <c r="S11934" s="11"/>
      <c r="T11934" s="11"/>
    </row>
    <row r="11935" spans="8:20" x14ac:dyDescent="0.35">
      <c r="H11935" s="711"/>
      <c r="I11935" s="711"/>
      <c r="J11935" s="711"/>
      <c r="K11935" s="711"/>
      <c r="L11935" s="711"/>
      <c r="Q11935" s="11"/>
      <c r="R11935" s="11"/>
      <c r="S11935" s="11"/>
      <c r="T11935" s="11"/>
    </row>
    <row r="11936" spans="8:20" x14ac:dyDescent="0.35">
      <c r="H11936" s="711"/>
      <c r="I11936" s="711"/>
      <c r="J11936" s="711"/>
      <c r="K11936" s="711"/>
      <c r="L11936" s="711"/>
      <c r="Q11936" s="11"/>
      <c r="R11936" s="11"/>
      <c r="S11936" s="11"/>
      <c r="T11936" s="11"/>
    </row>
    <row r="11937" spans="8:20" x14ac:dyDescent="0.35">
      <c r="H11937" s="711"/>
      <c r="I11937" s="711"/>
      <c r="J11937" s="711"/>
      <c r="K11937" s="711"/>
      <c r="L11937" s="711"/>
      <c r="Q11937" s="11"/>
      <c r="R11937" s="11"/>
      <c r="S11937" s="11"/>
      <c r="T11937" s="11"/>
    </row>
    <row r="11938" spans="8:20" x14ac:dyDescent="0.35">
      <c r="H11938" s="711"/>
      <c r="I11938" s="711"/>
      <c r="J11938" s="711"/>
      <c r="K11938" s="711"/>
      <c r="L11938" s="711"/>
      <c r="Q11938" s="11"/>
      <c r="R11938" s="11"/>
      <c r="S11938" s="11"/>
      <c r="T11938" s="11"/>
    </row>
    <row r="11939" spans="8:20" x14ac:dyDescent="0.35">
      <c r="H11939" s="711"/>
      <c r="I11939" s="711"/>
      <c r="J11939" s="711"/>
      <c r="K11939" s="711"/>
      <c r="L11939" s="711"/>
      <c r="Q11939" s="11"/>
      <c r="R11939" s="11"/>
      <c r="S11939" s="11"/>
      <c r="T11939" s="11"/>
    </row>
    <row r="11940" spans="8:20" x14ac:dyDescent="0.35">
      <c r="H11940" s="711"/>
      <c r="I11940" s="711"/>
      <c r="J11940" s="711"/>
      <c r="K11940" s="711"/>
      <c r="L11940" s="711"/>
      <c r="Q11940" s="11"/>
      <c r="R11940" s="11"/>
      <c r="S11940" s="11"/>
      <c r="T11940" s="11"/>
    </row>
    <row r="11941" spans="8:20" x14ac:dyDescent="0.35">
      <c r="H11941" s="711"/>
      <c r="I11941" s="711"/>
      <c r="J11941" s="711"/>
      <c r="K11941" s="711"/>
      <c r="L11941" s="711"/>
      <c r="Q11941" s="11"/>
      <c r="R11941" s="11"/>
      <c r="S11941" s="11"/>
      <c r="T11941" s="11"/>
    </row>
    <row r="11942" spans="8:20" x14ac:dyDescent="0.35">
      <c r="H11942" s="711"/>
      <c r="I11942" s="711"/>
      <c r="J11942" s="711"/>
      <c r="K11942" s="711"/>
      <c r="L11942" s="711"/>
      <c r="Q11942" s="11"/>
      <c r="R11942" s="11"/>
      <c r="S11942" s="11"/>
      <c r="T11942" s="11"/>
    </row>
    <row r="11943" spans="8:20" x14ac:dyDescent="0.35">
      <c r="H11943" s="711"/>
      <c r="I11943" s="711"/>
      <c r="J11943" s="711"/>
      <c r="K11943" s="711"/>
      <c r="L11943" s="711"/>
      <c r="Q11943" s="11"/>
      <c r="R11943" s="11"/>
      <c r="S11943" s="11"/>
      <c r="T11943" s="11"/>
    </row>
    <row r="11944" spans="8:20" x14ac:dyDescent="0.35">
      <c r="H11944" s="711"/>
      <c r="I11944" s="711"/>
      <c r="J11944" s="711"/>
      <c r="K11944" s="711"/>
      <c r="L11944" s="711"/>
      <c r="Q11944" s="11"/>
      <c r="R11944" s="11"/>
      <c r="S11944" s="11"/>
      <c r="T11944" s="11"/>
    </row>
    <row r="11945" spans="8:20" x14ac:dyDescent="0.35">
      <c r="H11945" s="711"/>
      <c r="I11945" s="711"/>
      <c r="J11945" s="711"/>
      <c r="K11945" s="711"/>
      <c r="L11945" s="711"/>
      <c r="Q11945" s="11"/>
      <c r="R11945" s="11"/>
      <c r="S11945" s="11"/>
      <c r="T11945" s="11"/>
    </row>
    <row r="11946" spans="8:20" x14ac:dyDescent="0.35">
      <c r="H11946" s="711"/>
      <c r="I11946" s="711"/>
      <c r="J11946" s="711"/>
      <c r="K11946" s="711"/>
      <c r="L11946" s="711"/>
      <c r="Q11946" s="11"/>
      <c r="R11946" s="11"/>
      <c r="S11946" s="11"/>
      <c r="T11946" s="11"/>
    </row>
    <row r="11947" spans="8:20" x14ac:dyDescent="0.35">
      <c r="H11947" s="711"/>
      <c r="I11947" s="711"/>
      <c r="J11947" s="711"/>
      <c r="K11947" s="711"/>
      <c r="L11947" s="711"/>
      <c r="Q11947" s="11"/>
      <c r="R11947" s="11"/>
      <c r="S11947" s="11"/>
      <c r="T11947" s="11"/>
    </row>
    <row r="11948" spans="8:20" x14ac:dyDescent="0.35">
      <c r="H11948" s="711"/>
      <c r="I11948" s="711"/>
      <c r="J11948" s="711"/>
      <c r="K11948" s="711"/>
      <c r="L11948" s="711"/>
      <c r="Q11948" s="11"/>
      <c r="R11948" s="11"/>
      <c r="S11948" s="11"/>
      <c r="T11948" s="11"/>
    </row>
    <row r="11949" spans="8:20" x14ac:dyDescent="0.35">
      <c r="H11949" s="711"/>
      <c r="I11949" s="711"/>
      <c r="J11949" s="711"/>
      <c r="K11949" s="711"/>
      <c r="L11949" s="711"/>
      <c r="Q11949" s="11"/>
      <c r="R11949" s="11"/>
      <c r="S11949" s="11"/>
      <c r="T11949" s="11"/>
    </row>
    <row r="11950" spans="8:20" x14ac:dyDescent="0.35">
      <c r="H11950" s="711"/>
      <c r="I11950" s="711"/>
      <c r="J11950" s="711"/>
      <c r="K11950" s="711"/>
      <c r="L11950" s="711"/>
      <c r="Q11950" s="11"/>
      <c r="R11950" s="11"/>
      <c r="S11950" s="11"/>
      <c r="T11950" s="11"/>
    </row>
    <row r="11951" spans="8:20" x14ac:dyDescent="0.35">
      <c r="H11951" s="711"/>
      <c r="I11951" s="711"/>
      <c r="J11951" s="711"/>
      <c r="K11951" s="711"/>
      <c r="L11951" s="711"/>
      <c r="Q11951" s="11"/>
      <c r="R11951" s="11"/>
      <c r="S11951" s="11"/>
      <c r="T11951" s="11"/>
    </row>
    <row r="11952" spans="8:20" x14ac:dyDescent="0.35">
      <c r="H11952" s="711"/>
      <c r="I11952" s="711"/>
      <c r="J11952" s="711"/>
      <c r="K11952" s="711"/>
      <c r="L11952" s="711"/>
      <c r="Q11952" s="11"/>
      <c r="R11952" s="11"/>
      <c r="S11952" s="11"/>
      <c r="T11952" s="11"/>
    </row>
    <row r="11953" spans="8:20" x14ac:dyDescent="0.35">
      <c r="H11953" s="711"/>
      <c r="I11953" s="711"/>
      <c r="J11953" s="711"/>
      <c r="K11953" s="711"/>
      <c r="L11953" s="711"/>
      <c r="Q11953" s="11"/>
      <c r="R11953" s="11"/>
      <c r="S11953" s="11"/>
      <c r="T11953" s="11"/>
    </row>
    <row r="11954" spans="8:20" x14ac:dyDescent="0.35">
      <c r="H11954" s="711"/>
      <c r="I11954" s="711"/>
      <c r="J11954" s="711"/>
      <c r="K11954" s="711"/>
      <c r="L11954" s="711"/>
      <c r="Q11954" s="11"/>
      <c r="R11954" s="11"/>
      <c r="S11954" s="11"/>
      <c r="T11954" s="11"/>
    </row>
    <row r="11955" spans="8:20" x14ac:dyDescent="0.35">
      <c r="H11955" s="711"/>
      <c r="I11955" s="711"/>
      <c r="J11955" s="711"/>
      <c r="K11955" s="711"/>
      <c r="L11955" s="711"/>
      <c r="Q11955" s="11"/>
      <c r="R11955" s="11"/>
      <c r="S11955" s="11"/>
      <c r="T11955" s="11"/>
    </row>
    <row r="11956" spans="8:20" x14ac:dyDescent="0.35">
      <c r="H11956" s="711"/>
      <c r="I11956" s="711"/>
      <c r="J11956" s="711"/>
      <c r="K11956" s="711"/>
      <c r="L11956" s="711"/>
      <c r="Q11956" s="11"/>
      <c r="R11956" s="11"/>
      <c r="S11956" s="11"/>
      <c r="T11956" s="11"/>
    </row>
    <row r="11957" spans="8:20" x14ac:dyDescent="0.35">
      <c r="H11957" s="711"/>
      <c r="I11957" s="711"/>
      <c r="J11957" s="711"/>
      <c r="K11957" s="711"/>
      <c r="L11957" s="711"/>
      <c r="Q11957" s="11"/>
      <c r="R11957" s="11"/>
      <c r="S11957" s="11"/>
      <c r="T11957" s="11"/>
    </row>
    <row r="11958" spans="8:20" x14ac:dyDescent="0.35">
      <c r="H11958" s="711"/>
      <c r="I11958" s="711"/>
      <c r="J11958" s="711"/>
      <c r="K11958" s="711"/>
      <c r="L11958" s="711"/>
      <c r="Q11958" s="11"/>
      <c r="R11958" s="11"/>
      <c r="S11958" s="11"/>
      <c r="T11958" s="11"/>
    </row>
    <row r="11959" spans="8:20" x14ac:dyDescent="0.35">
      <c r="H11959" s="711"/>
      <c r="I11959" s="711"/>
      <c r="J11959" s="711"/>
      <c r="K11959" s="711"/>
      <c r="L11959" s="711"/>
      <c r="Q11959" s="11"/>
      <c r="R11959" s="11"/>
      <c r="S11959" s="11"/>
      <c r="T11959" s="11"/>
    </row>
    <row r="11960" spans="8:20" x14ac:dyDescent="0.35">
      <c r="H11960" s="711"/>
      <c r="I11960" s="711"/>
      <c r="J11960" s="711"/>
      <c r="K11960" s="711"/>
      <c r="L11960" s="711"/>
      <c r="Q11960" s="11"/>
      <c r="R11960" s="11"/>
      <c r="S11960" s="11"/>
      <c r="T11960" s="11"/>
    </row>
    <row r="11961" spans="8:20" x14ac:dyDescent="0.35">
      <c r="H11961" s="711"/>
      <c r="I11961" s="711"/>
      <c r="J11961" s="711"/>
      <c r="K11961" s="711"/>
      <c r="L11961" s="711"/>
      <c r="Q11961" s="11"/>
      <c r="R11961" s="11"/>
      <c r="S11961" s="11"/>
      <c r="T11961" s="11"/>
    </row>
    <row r="11962" spans="8:20" x14ac:dyDescent="0.35">
      <c r="H11962" s="711"/>
      <c r="I11962" s="711"/>
      <c r="J11962" s="711"/>
      <c r="K11962" s="711"/>
      <c r="L11962" s="711"/>
      <c r="Q11962" s="11"/>
      <c r="R11962" s="11"/>
      <c r="S11962" s="11"/>
      <c r="T11962" s="11"/>
    </row>
    <row r="11963" spans="8:20" x14ac:dyDescent="0.35">
      <c r="H11963" s="711"/>
      <c r="I11963" s="711"/>
      <c r="J11963" s="711"/>
      <c r="K11963" s="711"/>
      <c r="L11963" s="711"/>
      <c r="Q11963" s="11"/>
      <c r="R11963" s="11"/>
      <c r="S11963" s="11"/>
      <c r="T11963" s="11"/>
    </row>
    <row r="11964" spans="8:20" x14ac:dyDescent="0.35">
      <c r="H11964" s="711"/>
      <c r="I11964" s="711"/>
      <c r="J11964" s="711"/>
      <c r="K11964" s="711"/>
      <c r="L11964" s="711"/>
      <c r="Q11964" s="11"/>
      <c r="R11964" s="11"/>
      <c r="S11964" s="11"/>
      <c r="T11964" s="11"/>
    </row>
    <row r="11965" spans="8:20" x14ac:dyDescent="0.35">
      <c r="H11965" s="711"/>
      <c r="I11965" s="711"/>
      <c r="J11965" s="711"/>
      <c r="K11965" s="711"/>
      <c r="L11965" s="711"/>
      <c r="Q11965" s="11"/>
      <c r="R11965" s="11"/>
      <c r="S11965" s="11"/>
      <c r="T11965" s="11"/>
    </row>
    <row r="11966" spans="8:20" x14ac:dyDescent="0.35">
      <c r="H11966" s="711"/>
      <c r="I11966" s="711"/>
      <c r="J11966" s="711"/>
      <c r="K11966" s="711"/>
      <c r="L11966" s="711"/>
      <c r="Q11966" s="11"/>
      <c r="R11966" s="11"/>
      <c r="S11966" s="11"/>
      <c r="T11966" s="11"/>
    </row>
    <row r="11967" spans="8:20" x14ac:dyDescent="0.35">
      <c r="H11967" s="711"/>
      <c r="I11967" s="711"/>
      <c r="J11967" s="711"/>
      <c r="K11967" s="711"/>
      <c r="L11967" s="711"/>
      <c r="Q11967" s="11"/>
      <c r="R11967" s="11"/>
      <c r="S11967" s="11"/>
      <c r="T11967" s="11"/>
    </row>
    <row r="11968" spans="8:20" x14ac:dyDescent="0.35">
      <c r="H11968" s="711"/>
      <c r="I11968" s="711"/>
      <c r="J11968" s="711"/>
      <c r="K11968" s="711"/>
      <c r="L11968" s="711"/>
      <c r="Q11968" s="11"/>
      <c r="R11968" s="11"/>
      <c r="S11968" s="11"/>
      <c r="T11968" s="11"/>
    </row>
    <row r="11969" spans="8:20" x14ac:dyDescent="0.35">
      <c r="H11969" s="711"/>
      <c r="I11969" s="711"/>
      <c r="J11969" s="711"/>
      <c r="K11969" s="711"/>
      <c r="L11969" s="711"/>
      <c r="Q11969" s="11"/>
      <c r="R11969" s="11"/>
      <c r="S11969" s="11"/>
      <c r="T11969" s="11"/>
    </row>
    <row r="11970" spans="8:20" x14ac:dyDescent="0.35">
      <c r="H11970" s="711"/>
      <c r="I11970" s="711"/>
      <c r="J11970" s="711"/>
      <c r="K11970" s="711"/>
      <c r="L11970" s="711"/>
      <c r="Q11970" s="11"/>
      <c r="R11970" s="11"/>
      <c r="S11970" s="11"/>
      <c r="T11970" s="11"/>
    </row>
    <row r="11971" spans="8:20" x14ac:dyDescent="0.35">
      <c r="H11971" s="711"/>
      <c r="I11971" s="711"/>
      <c r="J11971" s="711"/>
      <c r="K11971" s="711"/>
      <c r="L11971" s="711"/>
      <c r="Q11971" s="11"/>
      <c r="R11971" s="11"/>
      <c r="S11971" s="11"/>
      <c r="T11971" s="11"/>
    </row>
    <row r="11972" spans="8:20" x14ac:dyDescent="0.35">
      <c r="H11972" s="711"/>
      <c r="I11972" s="711"/>
      <c r="J11972" s="711"/>
      <c r="K11972" s="711"/>
      <c r="L11972" s="711"/>
      <c r="Q11972" s="11"/>
      <c r="R11972" s="11"/>
      <c r="S11972" s="11"/>
      <c r="T11972" s="11"/>
    </row>
    <row r="11973" spans="8:20" x14ac:dyDescent="0.35">
      <c r="H11973" s="711"/>
      <c r="I11973" s="711"/>
      <c r="J11973" s="711"/>
      <c r="K11973" s="711"/>
      <c r="L11973" s="711"/>
      <c r="Q11973" s="11"/>
      <c r="R11973" s="11"/>
      <c r="S11973" s="11"/>
      <c r="T11973" s="11"/>
    </row>
    <row r="11974" spans="8:20" x14ac:dyDescent="0.35">
      <c r="H11974" s="711"/>
      <c r="I11974" s="711"/>
      <c r="J11974" s="711"/>
      <c r="K11974" s="711"/>
      <c r="L11974" s="711"/>
      <c r="Q11974" s="11"/>
      <c r="R11974" s="11"/>
      <c r="S11974" s="11"/>
      <c r="T11974" s="11"/>
    </row>
    <row r="11975" spans="8:20" x14ac:dyDescent="0.35">
      <c r="H11975" s="711"/>
      <c r="I11975" s="711"/>
      <c r="J11975" s="711"/>
      <c r="K11975" s="711"/>
      <c r="L11975" s="711"/>
      <c r="Q11975" s="11"/>
      <c r="R11975" s="11"/>
      <c r="S11975" s="11"/>
      <c r="T11975" s="11"/>
    </row>
    <row r="11976" spans="8:20" x14ac:dyDescent="0.35">
      <c r="H11976" s="711"/>
      <c r="I11976" s="711"/>
      <c r="J11976" s="711"/>
      <c r="K11976" s="711"/>
      <c r="L11976" s="711"/>
      <c r="Q11976" s="11"/>
      <c r="R11976" s="11"/>
      <c r="S11976" s="11"/>
      <c r="T11976" s="11"/>
    </row>
    <row r="11977" spans="8:20" x14ac:dyDescent="0.35">
      <c r="H11977" s="711"/>
      <c r="I11977" s="711"/>
      <c r="J11977" s="711"/>
      <c r="K11977" s="711"/>
      <c r="L11977" s="711"/>
      <c r="Q11977" s="11"/>
      <c r="R11977" s="11"/>
      <c r="S11977" s="11"/>
      <c r="T11977" s="11"/>
    </row>
    <row r="11978" spans="8:20" x14ac:dyDescent="0.35">
      <c r="H11978" s="711"/>
      <c r="I11978" s="711"/>
      <c r="J11978" s="711"/>
      <c r="K11978" s="711"/>
      <c r="L11978" s="711"/>
      <c r="Q11978" s="11"/>
      <c r="R11978" s="11"/>
      <c r="S11978" s="11"/>
      <c r="T11978" s="11"/>
    </row>
    <row r="11979" spans="8:20" x14ac:dyDescent="0.35">
      <c r="H11979" s="711"/>
      <c r="I11979" s="711"/>
      <c r="J11979" s="711"/>
      <c r="K11979" s="711"/>
      <c r="L11979" s="711"/>
      <c r="Q11979" s="11"/>
      <c r="R11979" s="11"/>
      <c r="S11979" s="11"/>
      <c r="T11979" s="11"/>
    </row>
    <row r="11980" spans="8:20" x14ac:dyDescent="0.35">
      <c r="H11980" s="711"/>
      <c r="I11980" s="711"/>
      <c r="J11980" s="711"/>
      <c r="K11980" s="711"/>
      <c r="L11980" s="711"/>
      <c r="Q11980" s="11"/>
      <c r="R11980" s="11"/>
      <c r="S11980" s="11"/>
      <c r="T11980" s="11"/>
    </row>
    <row r="11981" spans="8:20" x14ac:dyDescent="0.35">
      <c r="H11981" s="711"/>
      <c r="I11981" s="711"/>
      <c r="J11981" s="711"/>
      <c r="K11981" s="711"/>
      <c r="L11981" s="711"/>
      <c r="Q11981" s="11"/>
      <c r="R11981" s="11"/>
      <c r="S11981" s="11"/>
      <c r="T11981" s="11"/>
    </row>
    <row r="11982" spans="8:20" x14ac:dyDescent="0.35">
      <c r="H11982" s="711"/>
      <c r="I11982" s="711"/>
      <c r="J11982" s="711"/>
      <c r="K11982" s="711"/>
      <c r="L11982" s="711"/>
      <c r="Q11982" s="11"/>
      <c r="R11982" s="11"/>
      <c r="S11982" s="11"/>
      <c r="T11982" s="11"/>
    </row>
    <row r="11983" spans="8:20" x14ac:dyDescent="0.35">
      <c r="H11983" s="711"/>
      <c r="I11983" s="711"/>
      <c r="J11983" s="711"/>
      <c r="K11983" s="711"/>
      <c r="L11983" s="711"/>
      <c r="Q11983" s="11"/>
      <c r="R11983" s="11"/>
      <c r="S11983" s="11"/>
      <c r="T11983" s="11"/>
    </row>
    <row r="11984" spans="8:20" x14ac:dyDescent="0.35">
      <c r="H11984" s="711"/>
      <c r="I11984" s="711"/>
      <c r="J11984" s="711"/>
      <c r="K11984" s="711"/>
      <c r="L11984" s="711"/>
      <c r="Q11984" s="11"/>
      <c r="R11984" s="11"/>
      <c r="S11984" s="11"/>
      <c r="T11984" s="11"/>
    </row>
    <row r="11985" spans="8:20" x14ac:dyDescent="0.35">
      <c r="H11985" s="711"/>
      <c r="I11985" s="711"/>
      <c r="J11985" s="711"/>
      <c r="K11985" s="711"/>
      <c r="L11985" s="711"/>
      <c r="Q11985" s="11"/>
      <c r="R11985" s="11"/>
      <c r="S11985" s="11"/>
      <c r="T11985" s="11"/>
    </row>
    <row r="11986" spans="8:20" x14ac:dyDescent="0.35">
      <c r="H11986" s="711"/>
      <c r="I11986" s="711"/>
      <c r="J11986" s="711"/>
      <c r="K11986" s="711"/>
      <c r="L11986" s="711"/>
      <c r="Q11986" s="11"/>
      <c r="R11986" s="11"/>
      <c r="S11986" s="11"/>
      <c r="T11986" s="11"/>
    </row>
    <row r="11987" spans="8:20" x14ac:dyDescent="0.35">
      <c r="H11987" s="711"/>
      <c r="I11987" s="711"/>
      <c r="J11987" s="711"/>
      <c r="K11987" s="711"/>
      <c r="L11987" s="711"/>
      <c r="Q11987" s="11"/>
      <c r="R11987" s="11"/>
      <c r="S11987" s="11"/>
      <c r="T11987" s="11"/>
    </row>
    <row r="11988" spans="8:20" x14ac:dyDescent="0.35">
      <c r="H11988" s="711"/>
      <c r="I11988" s="711"/>
      <c r="J11988" s="711"/>
      <c r="K11988" s="711"/>
      <c r="L11988" s="711"/>
      <c r="Q11988" s="11"/>
      <c r="R11988" s="11"/>
      <c r="S11988" s="11"/>
      <c r="T11988" s="11"/>
    </row>
    <row r="11989" spans="8:20" x14ac:dyDescent="0.35">
      <c r="H11989" s="711"/>
      <c r="I11989" s="711"/>
      <c r="J11989" s="711"/>
      <c r="K11989" s="711"/>
      <c r="L11989" s="711"/>
      <c r="Q11989" s="11"/>
      <c r="R11989" s="11"/>
      <c r="S11989" s="11"/>
      <c r="T11989" s="11"/>
    </row>
    <row r="11990" spans="8:20" x14ac:dyDescent="0.35">
      <c r="H11990" s="711"/>
      <c r="I11990" s="711"/>
      <c r="J11990" s="711"/>
      <c r="K11990" s="711"/>
      <c r="L11990" s="711"/>
      <c r="Q11990" s="11"/>
      <c r="R11990" s="11"/>
      <c r="S11990" s="11"/>
      <c r="T11990" s="11"/>
    </row>
    <row r="11991" spans="8:20" x14ac:dyDescent="0.35">
      <c r="H11991" s="711"/>
      <c r="I11991" s="711"/>
      <c r="J11991" s="711"/>
      <c r="K11991" s="711"/>
      <c r="L11991" s="711"/>
      <c r="Q11991" s="11"/>
      <c r="R11991" s="11"/>
      <c r="S11991" s="11"/>
      <c r="T11991" s="11"/>
    </row>
    <row r="11992" spans="8:20" x14ac:dyDescent="0.35">
      <c r="H11992" s="711"/>
      <c r="I11992" s="711"/>
      <c r="J11992" s="711"/>
      <c r="K11992" s="711"/>
      <c r="L11992" s="711"/>
      <c r="Q11992" s="11"/>
      <c r="R11992" s="11"/>
      <c r="S11992" s="11"/>
      <c r="T11992" s="11"/>
    </row>
    <row r="11993" spans="8:20" x14ac:dyDescent="0.35">
      <c r="H11993" s="711"/>
      <c r="I11993" s="711"/>
      <c r="J11993" s="711"/>
      <c r="K11993" s="711"/>
      <c r="L11993" s="711"/>
      <c r="Q11993" s="11"/>
      <c r="R11993" s="11"/>
      <c r="S11993" s="11"/>
      <c r="T11993" s="11"/>
    </row>
    <row r="11994" spans="8:20" x14ac:dyDescent="0.35">
      <c r="H11994" s="711"/>
      <c r="I11994" s="711"/>
      <c r="J11994" s="711"/>
      <c r="K11994" s="711"/>
      <c r="L11994" s="711"/>
      <c r="Q11994" s="11"/>
      <c r="R11994" s="11"/>
      <c r="S11994" s="11"/>
      <c r="T11994" s="11"/>
    </row>
    <row r="11995" spans="8:20" x14ac:dyDescent="0.35">
      <c r="H11995" s="711"/>
      <c r="I11995" s="711"/>
      <c r="J11995" s="711"/>
      <c r="K11995" s="711"/>
      <c r="L11995" s="711"/>
      <c r="Q11995" s="11"/>
      <c r="R11995" s="11"/>
      <c r="S11995" s="11"/>
      <c r="T11995" s="11"/>
    </row>
    <row r="11996" spans="8:20" x14ac:dyDescent="0.35">
      <c r="H11996" s="711"/>
      <c r="I11996" s="711"/>
      <c r="J11996" s="711"/>
      <c r="K11996" s="711"/>
      <c r="L11996" s="711"/>
      <c r="Q11996" s="11"/>
      <c r="R11996" s="11"/>
      <c r="S11996" s="11"/>
      <c r="T11996" s="11"/>
    </row>
    <row r="11997" spans="8:20" x14ac:dyDescent="0.35">
      <c r="H11997" s="711"/>
      <c r="I11997" s="711"/>
      <c r="J11997" s="711"/>
      <c r="K11997" s="711"/>
      <c r="L11997" s="711"/>
      <c r="Q11997" s="11"/>
      <c r="R11997" s="11"/>
      <c r="S11997" s="11"/>
      <c r="T11997" s="11"/>
    </row>
    <row r="11998" spans="8:20" x14ac:dyDescent="0.35">
      <c r="H11998" s="711"/>
      <c r="I11998" s="711"/>
      <c r="J11998" s="711"/>
      <c r="K11998" s="711"/>
      <c r="L11998" s="711"/>
      <c r="Q11998" s="11"/>
      <c r="R11998" s="11"/>
      <c r="S11998" s="11"/>
      <c r="T11998" s="11"/>
    </row>
    <row r="11999" spans="8:20" x14ac:dyDescent="0.35">
      <c r="H11999" s="711"/>
      <c r="I11999" s="711"/>
      <c r="J11999" s="711"/>
      <c r="K11999" s="711"/>
      <c r="L11999" s="711"/>
      <c r="Q11999" s="11"/>
      <c r="R11999" s="11"/>
      <c r="S11999" s="11"/>
      <c r="T11999" s="11"/>
    </row>
    <row r="12000" spans="8:20" x14ac:dyDescent="0.35">
      <c r="H12000" s="711"/>
      <c r="I12000" s="711"/>
      <c r="J12000" s="711"/>
      <c r="K12000" s="711"/>
      <c r="L12000" s="711"/>
      <c r="Q12000" s="11"/>
      <c r="R12000" s="11"/>
      <c r="S12000" s="11"/>
      <c r="T12000" s="11"/>
    </row>
    <row r="12001" spans="8:20" x14ac:dyDescent="0.35">
      <c r="H12001" s="711"/>
      <c r="I12001" s="711"/>
      <c r="J12001" s="711"/>
      <c r="K12001" s="711"/>
      <c r="L12001" s="711"/>
      <c r="Q12001" s="11"/>
      <c r="R12001" s="11"/>
      <c r="S12001" s="11"/>
      <c r="T12001" s="11"/>
    </row>
    <row r="12002" spans="8:20" x14ac:dyDescent="0.35">
      <c r="H12002" s="711"/>
      <c r="I12002" s="711"/>
      <c r="J12002" s="711"/>
      <c r="K12002" s="711"/>
      <c r="L12002" s="711"/>
      <c r="Q12002" s="11"/>
      <c r="R12002" s="11"/>
      <c r="S12002" s="11"/>
      <c r="T12002" s="11"/>
    </row>
    <row r="12003" spans="8:20" x14ac:dyDescent="0.35">
      <c r="H12003" s="711"/>
      <c r="I12003" s="711"/>
      <c r="J12003" s="711"/>
      <c r="K12003" s="711"/>
      <c r="L12003" s="711"/>
      <c r="Q12003" s="11"/>
      <c r="R12003" s="11"/>
      <c r="S12003" s="11"/>
      <c r="T12003" s="11"/>
    </row>
    <row r="12004" spans="8:20" x14ac:dyDescent="0.35">
      <c r="H12004" s="711"/>
      <c r="I12004" s="711"/>
      <c r="J12004" s="711"/>
      <c r="K12004" s="711"/>
      <c r="L12004" s="711"/>
      <c r="Q12004" s="11"/>
      <c r="R12004" s="11"/>
      <c r="S12004" s="11"/>
      <c r="T12004" s="11"/>
    </row>
    <row r="12005" spans="8:20" x14ac:dyDescent="0.35">
      <c r="H12005" s="711"/>
      <c r="I12005" s="711"/>
      <c r="J12005" s="711"/>
      <c r="K12005" s="711"/>
      <c r="L12005" s="711"/>
      <c r="Q12005" s="11"/>
      <c r="R12005" s="11"/>
      <c r="S12005" s="11"/>
      <c r="T12005" s="11"/>
    </row>
    <row r="12006" spans="8:20" x14ac:dyDescent="0.35">
      <c r="H12006" s="711"/>
      <c r="I12006" s="711"/>
      <c r="J12006" s="711"/>
      <c r="K12006" s="711"/>
      <c r="L12006" s="711"/>
      <c r="Q12006" s="11"/>
      <c r="R12006" s="11"/>
      <c r="S12006" s="11"/>
      <c r="T12006" s="11"/>
    </row>
    <row r="12007" spans="8:20" x14ac:dyDescent="0.35">
      <c r="H12007" s="711"/>
      <c r="I12007" s="711"/>
      <c r="J12007" s="711"/>
      <c r="K12007" s="711"/>
      <c r="L12007" s="711"/>
      <c r="Q12007" s="11"/>
      <c r="R12007" s="11"/>
      <c r="S12007" s="11"/>
      <c r="T12007" s="11"/>
    </row>
    <row r="12008" spans="8:20" x14ac:dyDescent="0.35">
      <c r="H12008" s="711"/>
      <c r="I12008" s="711"/>
      <c r="J12008" s="711"/>
      <c r="K12008" s="711"/>
      <c r="L12008" s="711"/>
      <c r="Q12008" s="11"/>
      <c r="R12008" s="11"/>
      <c r="S12008" s="11"/>
      <c r="T12008" s="11"/>
    </row>
    <row r="12009" spans="8:20" x14ac:dyDescent="0.35">
      <c r="H12009" s="711"/>
      <c r="I12009" s="711"/>
      <c r="J12009" s="711"/>
      <c r="K12009" s="711"/>
      <c r="L12009" s="711"/>
      <c r="Q12009" s="11"/>
      <c r="R12009" s="11"/>
      <c r="S12009" s="11"/>
      <c r="T12009" s="11"/>
    </row>
    <row r="12010" spans="8:20" x14ac:dyDescent="0.35">
      <c r="H12010" s="711"/>
      <c r="I12010" s="711"/>
      <c r="J12010" s="711"/>
      <c r="K12010" s="711"/>
      <c r="L12010" s="711"/>
      <c r="Q12010" s="11"/>
      <c r="R12010" s="11"/>
      <c r="S12010" s="11"/>
      <c r="T12010" s="11"/>
    </row>
    <row r="12011" spans="8:20" x14ac:dyDescent="0.35">
      <c r="H12011" s="711"/>
      <c r="I12011" s="711"/>
      <c r="J12011" s="711"/>
      <c r="K12011" s="711"/>
      <c r="L12011" s="711"/>
      <c r="Q12011" s="11"/>
      <c r="R12011" s="11"/>
      <c r="S12011" s="11"/>
      <c r="T12011" s="11"/>
    </row>
    <row r="12012" spans="8:20" x14ac:dyDescent="0.35">
      <c r="H12012" s="711"/>
      <c r="I12012" s="711"/>
      <c r="J12012" s="711"/>
      <c r="K12012" s="711"/>
      <c r="L12012" s="711"/>
      <c r="Q12012" s="11"/>
      <c r="R12012" s="11"/>
      <c r="S12012" s="11"/>
      <c r="T12012" s="11"/>
    </row>
    <row r="12013" spans="8:20" x14ac:dyDescent="0.35">
      <c r="H12013" s="711"/>
      <c r="I12013" s="711"/>
      <c r="J12013" s="711"/>
      <c r="K12013" s="711"/>
      <c r="L12013" s="711"/>
      <c r="Q12013" s="11"/>
      <c r="R12013" s="11"/>
      <c r="S12013" s="11"/>
      <c r="T12013" s="11"/>
    </row>
    <row r="12014" spans="8:20" x14ac:dyDescent="0.35">
      <c r="H12014" s="711"/>
      <c r="I12014" s="711"/>
      <c r="J12014" s="711"/>
      <c r="K12014" s="711"/>
      <c r="L12014" s="711"/>
      <c r="Q12014" s="11"/>
      <c r="R12014" s="11"/>
      <c r="S12014" s="11"/>
      <c r="T12014" s="11"/>
    </row>
    <row r="12015" spans="8:20" x14ac:dyDescent="0.35">
      <c r="H12015" s="711"/>
      <c r="I12015" s="711"/>
      <c r="J12015" s="711"/>
      <c r="K12015" s="711"/>
      <c r="L12015" s="711"/>
      <c r="Q12015" s="11"/>
      <c r="R12015" s="11"/>
      <c r="S12015" s="11"/>
      <c r="T12015" s="11"/>
    </row>
    <row r="12016" spans="8:20" x14ac:dyDescent="0.35">
      <c r="H12016" s="711"/>
      <c r="I12016" s="711"/>
      <c r="J12016" s="711"/>
      <c r="K12016" s="711"/>
      <c r="L12016" s="711"/>
      <c r="Q12016" s="11"/>
      <c r="R12016" s="11"/>
      <c r="S12016" s="11"/>
      <c r="T12016" s="11"/>
    </row>
    <row r="12017" spans="8:20" x14ac:dyDescent="0.35">
      <c r="H12017" s="711"/>
      <c r="I12017" s="711"/>
      <c r="J12017" s="711"/>
      <c r="K12017" s="711"/>
      <c r="L12017" s="711"/>
      <c r="Q12017" s="11"/>
      <c r="R12017" s="11"/>
      <c r="S12017" s="11"/>
      <c r="T12017" s="11"/>
    </row>
    <row r="12018" spans="8:20" x14ac:dyDescent="0.35">
      <c r="H12018" s="711"/>
      <c r="I12018" s="711"/>
      <c r="J12018" s="711"/>
      <c r="K12018" s="711"/>
      <c r="L12018" s="711"/>
      <c r="Q12018" s="11"/>
      <c r="R12018" s="11"/>
      <c r="S12018" s="11"/>
      <c r="T12018" s="11"/>
    </row>
    <row r="12019" spans="8:20" x14ac:dyDescent="0.35">
      <c r="H12019" s="711"/>
      <c r="I12019" s="711"/>
      <c r="J12019" s="711"/>
      <c r="K12019" s="711"/>
      <c r="L12019" s="711"/>
      <c r="Q12019" s="11"/>
      <c r="R12019" s="11"/>
      <c r="S12019" s="11"/>
      <c r="T12019" s="11"/>
    </row>
    <row r="12020" spans="8:20" x14ac:dyDescent="0.35">
      <c r="H12020" s="711"/>
      <c r="I12020" s="711"/>
      <c r="J12020" s="711"/>
      <c r="K12020" s="711"/>
      <c r="L12020" s="711"/>
      <c r="Q12020" s="11"/>
      <c r="R12020" s="11"/>
      <c r="S12020" s="11"/>
      <c r="T12020" s="11"/>
    </row>
    <row r="12021" spans="8:20" x14ac:dyDescent="0.35">
      <c r="H12021" s="711"/>
      <c r="I12021" s="711"/>
      <c r="J12021" s="711"/>
      <c r="K12021" s="711"/>
      <c r="L12021" s="711"/>
      <c r="Q12021" s="11"/>
      <c r="R12021" s="11"/>
      <c r="S12021" s="11"/>
      <c r="T12021" s="11"/>
    </row>
    <row r="12022" spans="8:20" x14ac:dyDescent="0.35">
      <c r="H12022" s="711"/>
      <c r="I12022" s="711"/>
      <c r="J12022" s="711"/>
      <c r="K12022" s="711"/>
      <c r="L12022" s="711"/>
      <c r="Q12022" s="11"/>
      <c r="R12022" s="11"/>
      <c r="S12022" s="11"/>
      <c r="T12022" s="11"/>
    </row>
    <row r="12023" spans="8:20" x14ac:dyDescent="0.35">
      <c r="H12023" s="711"/>
      <c r="I12023" s="711"/>
      <c r="J12023" s="711"/>
      <c r="K12023" s="711"/>
      <c r="L12023" s="711"/>
      <c r="Q12023" s="11"/>
      <c r="R12023" s="11"/>
      <c r="S12023" s="11"/>
      <c r="T12023" s="11"/>
    </row>
    <row r="12024" spans="8:20" x14ac:dyDescent="0.35">
      <c r="H12024" s="711"/>
      <c r="I12024" s="711"/>
      <c r="J12024" s="711"/>
      <c r="K12024" s="711"/>
      <c r="L12024" s="711"/>
      <c r="Q12024" s="11"/>
      <c r="R12024" s="11"/>
      <c r="S12024" s="11"/>
      <c r="T12024" s="11"/>
    </row>
    <row r="12025" spans="8:20" x14ac:dyDescent="0.35">
      <c r="H12025" s="711"/>
      <c r="I12025" s="711"/>
      <c r="J12025" s="711"/>
      <c r="K12025" s="711"/>
      <c r="L12025" s="711"/>
      <c r="Q12025" s="11"/>
      <c r="R12025" s="11"/>
      <c r="S12025" s="11"/>
      <c r="T12025" s="11"/>
    </row>
    <row r="12026" spans="8:20" x14ac:dyDescent="0.35">
      <c r="H12026" s="711"/>
      <c r="I12026" s="711"/>
      <c r="J12026" s="711"/>
      <c r="K12026" s="711"/>
      <c r="L12026" s="711"/>
      <c r="Q12026" s="11"/>
      <c r="R12026" s="11"/>
      <c r="S12026" s="11"/>
      <c r="T12026" s="11"/>
    </row>
    <row r="12027" spans="8:20" x14ac:dyDescent="0.35">
      <c r="H12027" s="711"/>
      <c r="I12027" s="711"/>
      <c r="J12027" s="711"/>
      <c r="K12027" s="711"/>
      <c r="L12027" s="711"/>
      <c r="Q12027" s="11"/>
      <c r="R12027" s="11"/>
      <c r="S12027" s="11"/>
      <c r="T12027" s="11"/>
    </row>
    <row r="12028" spans="8:20" x14ac:dyDescent="0.35">
      <c r="H12028" s="711"/>
      <c r="I12028" s="711"/>
      <c r="J12028" s="711"/>
      <c r="K12028" s="711"/>
      <c r="L12028" s="711"/>
      <c r="Q12028" s="11"/>
      <c r="R12028" s="11"/>
      <c r="S12028" s="11"/>
      <c r="T12028" s="11"/>
    </row>
    <row r="12029" spans="8:20" x14ac:dyDescent="0.35">
      <c r="H12029" s="711"/>
      <c r="I12029" s="711"/>
      <c r="J12029" s="711"/>
      <c r="K12029" s="711"/>
      <c r="L12029" s="711"/>
      <c r="Q12029" s="11"/>
      <c r="R12029" s="11"/>
      <c r="S12029" s="11"/>
      <c r="T12029" s="11"/>
    </row>
    <row r="12030" spans="8:20" x14ac:dyDescent="0.35">
      <c r="H12030" s="711"/>
      <c r="I12030" s="711"/>
      <c r="J12030" s="711"/>
      <c r="K12030" s="711"/>
      <c r="L12030" s="711"/>
      <c r="Q12030" s="11"/>
      <c r="R12030" s="11"/>
      <c r="S12030" s="11"/>
      <c r="T12030" s="11"/>
    </row>
    <row r="12031" spans="8:20" x14ac:dyDescent="0.35">
      <c r="H12031" s="711"/>
      <c r="I12031" s="711"/>
      <c r="J12031" s="711"/>
      <c r="K12031" s="711"/>
      <c r="L12031" s="711"/>
      <c r="Q12031" s="11"/>
      <c r="R12031" s="11"/>
      <c r="S12031" s="11"/>
      <c r="T12031" s="11"/>
    </row>
    <row r="12032" spans="8:20" x14ac:dyDescent="0.35">
      <c r="H12032" s="711"/>
      <c r="I12032" s="711"/>
      <c r="J12032" s="711"/>
      <c r="K12032" s="711"/>
      <c r="L12032" s="711"/>
      <c r="Q12032" s="11"/>
      <c r="R12032" s="11"/>
      <c r="S12032" s="11"/>
      <c r="T12032" s="11"/>
    </row>
    <row r="12033" spans="8:20" x14ac:dyDescent="0.35">
      <c r="H12033" s="711"/>
      <c r="I12033" s="711"/>
      <c r="J12033" s="711"/>
      <c r="K12033" s="711"/>
      <c r="L12033" s="711"/>
      <c r="Q12033" s="11"/>
      <c r="R12033" s="11"/>
      <c r="S12033" s="11"/>
      <c r="T12033" s="11"/>
    </row>
    <row r="12034" spans="8:20" x14ac:dyDescent="0.35">
      <c r="H12034" s="711"/>
      <c r="I12034" s="711"/>
      <c r="J12034" s="711"/>
      <c r="K12034" s="711"/>
      <c r="L12034" s="711"/>
      <c r="Q12034" s="11"/>
      <c r="R12034" s="11"/>
      <c r="S12034" s="11"/>
      <c r="T12034" s="11"/>
    </row>
    <row r="12035" spans="8:20" x14ac:dyDescent="0.35">
      <c r="H12035" s="711"/>
      <c r="I12035" s="711"/>
      <c r="J12035" s="711"/>
      <c r="K12035" s="711"/>
      <c r="L12035" s="711"/>
      <c r="Q12035" s="11"/>
      <c r="R12035" s="11"/>
      <c r="S12035" s="11"/>
      <c r="T12035" s="11"/>
    </row>
    <row r="12036" spans="8:20" x14ac:dyDescent="0.35">
      <c r="H12036" s="711"/>
      <c r="I12036" s="711"/>
      <c r="J12036" s="711"/>
      <c r="K12036" s="711"/>
      <c r="L12036" s="711"/>
      <c r="Q12036" s="11"/>
      <c r="R12036" s="11"/>
      <c r="S12036" s="11"/>
      <c r="T12036" s="11"/>
    </row>
    <row r="12037" spans="8:20" x14ac:dyDescent="0.35">
      <c r="H12037" s="711"/>
      <c r="I12037" s="711"/>
      <c r="J12037" s="711"/>
      <c r="K12037" s="711"/>
      <c r="L12037" s="711"/>
      <c r="Q12037" s="11"/>
      <c r="R12037" s="11"/>
      <c r="S12037" s="11"/>
      <c r="T12037" s="11"/>
    </row>
    <row r="12038" spans="8:20" x14ac:dyDescent="0.35">
      <c r="H12038" s="711"/>
      <c r="I12038" s="711"/>
      <c r="J12038" s="711"/>
      <c r="K12038" s="711"/>
      <c r="L12038" s="711"/>
      <c r="Q12038" s="11"/>
      <c r="R12038" s="11"/>
      <c r="S12038" s="11"/>
      <c r="T12038" s="11"/>
    </row>
    <row r="12039" spans="8:20" x14ac:dyDescent="0.35">
      <c r="H12039" s="711"/>
      <c r="I12039" s="711"/>
      <c r="J12039" s="711"/>
      <c r="K12039" s="711"/>
      <c r="L12039" s="711"/>
      <c r="Q12039" s="11"/>
      <c r="R12039" s="11"/>
      <c r="S12039" s="11"/>
      <c r="T12039" s="11"/>
    </row>
    <row r="12040" spans="8:20" x14ac:dyDescent="0.35">
      <c r="H12040" s="711"/>
      <c r="I12040" s="711"/>
      <c r="J12040" s="711"/>
      <c r="K12040" s="711"/>
      <c r="L12040" s="711"/>
      <c r="Q12040" s="11"/>
      <c r="R12040" s="11"/>
      <c r="S12040" s="11"/>
      <c r="T12040" s="11"/>
    </row>
    <row r="12041" spans="8:20" x14ac:dyDescent="0.35">
      <c r="H12041" s="711"/>
      <c r="I12041" s="711"/>
      <c r="J12041" s="711"/>
      <c r="K12041" s="711"/>
      <c r="L12041" s="711"/>
      <c r="Q12041" s="11"/>
      <c r="R12041" s="11"/>
      <c r="S12041" s="11"/>
      <c r="T12041" s="11"/>
    </row>
    <row r="12042" spans="8:20" x14ac:dyDescent="0.35">
      <c r="H12042" s="711"/>
      <c r="I12042" s="711"/>
      <c r="J12042" s="711"/>
      <c r="K12042" s="711"/>
      <c r="L12042" s="711"/>
      <c r="Q12042" s="11"/>
      <c r="R12042" s="11"/>
      <c r="S12042" s="11"/>
      <c r="T12042" s="11"/>
    </row>
    <row r="12043" spans="8:20" x14ac:dyDescent="0.35">
      <c r="H12043" s="711"/>
      <c r="I12043" s="711"/>
      <c r="J12043" s="711"/>
      <c r="K12043" s="711"/>
      <c r="L12043" s="711"/>
      <c r="Q12043" s="11"/>
      <c r="R12043" s="11"/>
      <c r="S12043" s="11"/>
      <c r="T12043" s="11"/>
    </row>
    <row r="12044" spans="8:20" x14ac:dyDescent="0.35">
      <c r="H12044" s="711"/>
      <c r="I12044" s="711"/>
      <c r="J12044" s="711"/>
      <c r="K12044" s="711"/>
      <c r="L12044" s="711"/>
      <c r="Q12044" s="11"/>
      <c r="R12044" s="11"/>
      <c r="S12044" s="11"/>
      <c r="T12044" s="11"/>
    </row>
    <row r="12045" spans="8:20" x14ac:dyDescent="0.35">
      <c r="H12045" s="711"/>
      <c r="I12045" s="711"/>
      <c r="J12045" s="711"/>
      <c r="K12045" s="711"/>
      <c r="L12045" s="711"/>
      <c r="Q12045" s="11"/>
      <c r="R12045" s="11"/>
      <c r="S12045" s="11"/>
      <c r="T12045" s="11"/>
    </row>
    <row r="12046" spans="8:20" x14ac:dyDescent="0.35">
      <c r="H12046" s="711"/>
      <c r="I12046" s="711"/>
      <c r="J12046" s="711"/>
      <c r="K12046" s="711"/>
      <c r="L12046" s="711"/>
      <c r="Q12046" s="11"/>
      <c r="R12046" s="11"/>
      <c r="S12046" s="11"/>
      <c r="T12046" s="11"/>
    </row>
    <row r="12047" spans="8:20" x14ac:dyDescent="0.35">
      <c r="H12047" s="711"/>
      <c r="I12047" s="711"/>
      <c r="J12047" s="711"/>
      <c r="K12047" s="711"/>
      <c r="L12047" s="711"/>
      <c r="Q12047" s="11"/>
      <c r="R12047" s="11"/>
      <c r="S12047" s="11"/>
      <c r="T12047" s="11"/>
    </row>
    <row r="12048" spans="8:20" x14ac:dyDescent="0.35">
      <c r="H12048" s="711"/>
      <c r="I12048" s="711"/>
      <c r="J12048" s="711"/>
      <c r="K12048" s="711"/>
      <c r="L12048" s="711"/>
      <c r="Q12048" s="11"/>
      <c r="R12048" s="11"/>
      <c r="S12048" s="11"/>
      <c r="T12048" s="11"/>
    </row>
    <row r="12049" spans="8:20" x14ac:dyDescent="0.35">
      <c r="H12049" s="711"/>
      <c r="I12049" s="711"/>
      <c r="J12049" s="711"/>
      <c r="K12049" s="711"/>
      <c r="L12049" s="711"/>
      <c r="Q12049" s="11"/>
      <c r="R12049" s="11"/>
      <c r="S12049" s="11"/>
      <c r="T12049" s="11"/>
    </row>
    <row r="12050" spans="8:20" x14ac:dyDescent="0.35">
      <c r="H12050" s="711"/>
      <c r="I12050" s="711"/>
      <c r="J12050" s="711"/>
      <c r="K12050" s="711"/>
      <c r="L12050" s="711"/>
      <c r="Q12050" s="11"/>
      <c r="R12050" s="11"/>
      <c r="S12050" s="11"/>
      <c r="T12050" s="11"/>
    </row>
    <row r="12051" spans="8:20" x14ac:dyDescent="0.35">
      <c r="H12051" s="711"/>
      <c r="I12051" s="711"/>
      <c r="J12051" s="711"/>
      <c r="K12051" s="711"/>
      <c r="L12051" s="711"/>
      <c r="Q12051" s="11"/>
      <c r="R12051" s="11"/>
      <c r="S12051" s="11"/>
      <c r="T12051" s="11"/>
    </row>
    <row r="12052" spans="8:20" x14ac:dyDescent="0.35">
      <c r="H12052" s="711"/>
      <c r="I12052" s="711"/>
      <c r="J12052" s="711"/>
      <c r="K12052" s="711"/>
      <c r="L12052" s="711"/>
      <c r="Q12052" s="11"/>
      <c r="R12052" s="11"/>
      <c r="S12052" s="11"/>
      <c r="T12052" s="11"/>
    </row>
    <row r="12053" spans="8:20" x14ac:dyDescent="0.35">
      <c r="H12053" s="711"/>
      <c r="I12053" s="711"/>
      <c r="J12053" s="711"/>
      <c r="K12053" s="711"/>
      <c r="L12053" s="711"/>
      <c r="Q12053" s="11"/>
      <c r="R12053" s="11"/>
      <c r="S12053" s="11"/>
      <c r="T12053" s="11"/>
    </row>
    <row r="12054" spans="8:20" x14ac:dyDescent="0.35">
      <c r="H12054" s="711"/>
      <c r="I12054" s="711"/>
      <c r="J12054" s="711"/>
      <c r="K12054" s="711"/>
      <c r="L12054" s="711"/>
      <c r="Q12054" s="11"/>
      <c r="R12054" s="11"/>
      <c r="S12054" s="11"/>
      <c r="T12054" s="11"/>
    </row>
    <row r="12055" spans="8:20" x14ac:dyDescent="0.35">
      <c r="H12055" s="711"/>
      <c r="I12055" s="711"/>
      <c r="J12055" s="711"/>
      <c r="K12055" s="711"/>
      <c r="L12055" s="711"/>
      <c r="Q12055" s="11"/>
      <c r="R12055" s="11"/>
      <c r="S12055" s="11"/>
      <c r="T12055" s="11"/>
    </row>
    <row r="12056" spans="8:20" x14ac:dyDescent="0.35">
      <c r="H12056" s="711"/>
      <c r="I12056" s="711"/>
      <c r="J12056" s="711"/>
      <c r="K12056" s="711"/>
      <c r="L12056" s="711"/>
      <c r="Q12056" s="11"/>
      <c r="R12056" s="11"/>
      <c r="S12056" s="11"/>
      <c r="T12056" s="11"/>
    </row>
    <row r="12057" spans="8:20" x14ac:dyDescent="0.35">
      <c r="H12057" s="711"/>
      <c r="I12057" s="711"/>
      <c r="J12057" s="711"/>
      <c r="K12057" s="711"/>
      <c r="L12057" s="711"/>
      <c r="Q12057" s="11"/>
      <c r="R12057" s="11"/>
      <c r="S12057" s="11"/>
      <c r="T12057" s="11"/>
    </row>
    <row r="12058" spans="8:20" x14ac:dyDescent="0.35">
      <c r="H12058" s="711"/>
      <c r="I12058" s="711"/>
      <c r="J12058" s="711"/>
      <c r="K12058" s="711"/>
      <c r="L12058" s="711"/>
      <c r="Q12058" s="11"/>
      <c r="R12058" s="11"/>
      <c r="S12058" s="11"/>
      <c r="T12058" s="11"/>
    </row>
    <row r="12059" spans="8:20" x14ac:dyDescent="0.35">
      <c r="H12059" s="711"/>
      <c r="I12059" s="711"/>
      <c r="J12059" s="711"/>
      <c r="K12059" s="711"/>
      <c r="L12059" s="711"/>
      <c r="Q12059" s="11"/>
      <c r="R12059" s="11"/>
      <c r="S12059" s="11"/>
      <c r="T12059" s="11"/>
    </row>
    <row r="12060" spans="8:20" x14ac:dyDescent="0.35">
      <c r="H12060" s="711"/>
      <c r="I12060" s="711"/>
      <c r="J12060" s="711"/>
      <c r="K12060" s="711"/>
      <c r="L12060" s="711"/>
      <c r="Q12060" s="11"/>
      <c r="R12060" s="11"/>
      <c r="S12060" s="11"/>
      <c r="T12060" s="11"/>
    </row>
    <row r="12061" spans="8:20" x14ac:dyDescent="0.35">
      <c r="H12061" s="711"/>
      <c r="I12061" s="711"/>
      <c r="J12061" s="711"/>
      <c r="K12061" s="711"/>
      <c r="L12061" s="711"/>
      <c r="Q12061" s="11"/>
      <c r="R12061" s="11"/>
      <c r="S12061" s="11"/>
      <c r="T12061" s="11"/>
    </row>
    <row r="12062" spans="8:20" x14ac:dyDescent="0.35">
      <c r="H12062" s="711"/>
      <c r="I12062" s="711"/>
      <c r="J12062" s="711"/>
      <c r="K12062" s="711"/>
      <c r="L12062" s="711"/>
      <c r="Q12062" s="11"/>
      <c r="R12062" s="11"/>
      <c r="S12062" s="11"/>
      <c r="T12062" s="11"/>
    </row>
    <row r="12063" spans="8:20" x14ac:dyDescent="0.35">
      <c r="H12063" s="711"/>
      <c r="I12063" s="711"/>
      <c r="J12063" s="711"/>
      <c r="K12063" s="711"/>
      <c r="L12063" s="711"/>
      <c r="Q12063" s="11"/>
      <c r="R12063" s="11"/>
      <c r="S12063" s="11"/>
      <c r="T12063" s="11"/>
    </row>
    <row r="12064" spans="8:20" x14ac:dyDescent="0.35">
      <c r="H12064" s="711"/>
      <c r="I12064" s="711"/>
      <c r="J12064" s="711"/>
      <c r="K12064" s="711"/>
      <c r="L12064" s="711"/>
      <c r="Q12064" s="11"/>
      <c r="R12064" s="11"/>
      <c r="S12064" s="11"/>
      <c r="T12064" s="11"/>
    </row>
    <row r="12065" spans="8:20" x14ac:dyDescent="0.35">
      <c r="H12065" s="711"/>
      <c r="I12065" s="711"/>
      <c r="J12065" s="711"/>
      <c r="K12065" s="711"/>
      <c r="L12065" s="711"/>
      <c r="Q12065" s="11"/>
      <c r="R12065" s="11"/>
      <c r="S12065" s="11"/>
      <c r="T12065" s="11"/>
    </row>
    <row r="12066" spans="8:20" x14ac:dyDescent="0.35">
      <c r="H12066" s="711"/>
      <c r="I12066" s="711"/>
      <c r="J12066" s="711"/>
      <c r="K12066" s="711"/>
      <c r="L12066" s="711"/>
      <c r="Q12066" s="11"/>
      <c r="R12066" s="11"/>
      <c r="S12066" s="11"/>
      <c r="T12066" s="11"/>
    </row>
    <row r="12067" spans="8:20" x14ac:dyDescent="0.35">
      <c r="H12067" s="711"/>
      <c r="I12067" s="711"/>
      <c r="J12067" s="711"/>
      <c r="K12067" s="711"/>
      <c r="L12067" s="711"/>
      <c r="Q12067" s="11"/>
      <c r="R12067" s="11"/>
      <c r="S12067" s="11"/>
      <c r="T12067" s="11"/>
    </row>
    <row r="12068" spans="8:20" x14ac:dyDescent="0.35">
      <c r="H12068" s="711"/>
      <c r="I12068" s="711"/>
      <c r="J12068" s="711"/>
      <c r="K12068" s="711"/>
      <c r="L12068" s="711"/>
      <c r="Q12068" s="11"/>
      <c r="R12068" s="11"/>
      <c r="S12068" s="11"/>
      <c r="T12068" s="11"/>
    </row>
    <row r="12069" spans="8:20" x14ac:dyDescent="0.35">
      <c r="H12069" s="711"/>
      <c r="I12069" s="711"/>
      <c r="J12069" s="711"/>
      <c r="K12069" s="711"/>
      <c r="L12069" s="711"/>
      <c r="Q12069" s="11"/>
      <c r="R12069" s="11"/>
      <c r="S12069" s="11"/>
      <c r="T12069" s="11"/>
    </row>
    <row r="12070" spans="8:20" x14ac:dyDescent="0.35">
      <c r="H12070" s="711"/>
      <c r="I12070" s="711"/>
      <c r="J12070" s="711"/>
      <c r="K12070" s="711"/>
      <c r="L12070" s="711"/>
      <c r="Q12070" s="11"/>
      <c r="R12070" s="11"/>
      <c r="S12070" s="11"/>
      <c r="T12070" s="11"/>
    </row>
    <row r="12071" spans="8:20" x14ac:dyDescent="0.35">
      <c r="H12071" s="711"/>
      <c r="I12071" s="711"/>
      <c r="J12071" s="711"/>
      <c r="K12071" s="711"/>
      <c r="L12071" s="711"/>
      <c r="Q12071" s="11"/>
      <c r="R12071" s="11"/>
      <c r="S12071" s="11"/>
      <c r="T12071" s="11"/>
    </row>
    <row r="12072" spans="8:20" x14ac:dyDescent="0.35">
      <c r="H12072" s="711"/>
      <c r="I12072" s="711"/>
      <c r="J12072" s="711"/>
      <c r="K12072" s="711"/>
      <c r="L12072" s="711"/>
      <c r="Q12072" s="11"/>
      <c r="R12072" s="11"/>
      <c r="S12072" s="11"/>
      <c r="T12072" s="11"/>
    </row>
    <row r="12073" spans="8:20" x14ac:dyDescent="0.35">
      <c r="H12073" s="711"/>
      <c r="I12073" s="711"/>
      <c r="J12073" s="711"/>
      <c r="K12073" s="711"/>
      <c r="L12073" s="711"/>
      <c r="Q12073" s="11"/>
      <c r="R12073" s="11"/>
      <c r="S12073" s="11"/>
      <c r="T12073" s="11"/>
    </row>
    <row r="12074" spans="8:20" x14ac:dyDescent="0.35">
      <c r="H12074" s="711"/>
      <c r="I12074" s="711"/>
      <c r="J12074" s="711"/>
      <c r="K12074" s="711"/>
      <c r="L12074" s="711"/>
      <c r="Q12074" s="11"/>
      <c r="R12074" s="11"/>
      <c r="S12074" s="11"/>
      <c r="T12074" s="11"/>
    </row>
    <row r="12075" spans="8:20" x14ac:dyDescent="0.35">
      <c r="H12075" s="711"/>
      <c r="I12075" s="711"/>
      <c r="J12075" s="711"/>
      <c r="K12075" s="711"/>
      <c r="L12075" s="711"/>
      <c r="Q12075" s="11"/>
      <c r="R12075" s="11"/>
      <c r="S12075" s="11"/>
      <c r="T12075" s="11"/>
    </row>
    <row r="12076" spans="8:20" x14ac:dyDescent="0.35">
      <c r="H12076" s="711"/>
      <c r="I12076" s="711"/>
      <c r="J12076" s="711"/>
      <c r="K12076" s="711"/>
      <c r="L12076" s="711"/>
      <c r="Q12076" s="11"/>
      <c r="R12076" s="11"/>
      <c r="S12076" s="11"/>
      <c r="T12076" s="11"/>
    </row>
    <row r="12077" spans="8:20" x14ac:dyDescent="0.35">
      <c r="H12077" s="711"/>
      <c r="I12077" s="711"/>
      <c r="J12077" s="711"/>
      <c r="K12077" s="711"/>
      <c r="L12077" s="711"/>
      <c r="Q12077" s="11"/>
      <c r="R12077" s="11"/>
      <c r="S12077" s="11"/>
      <c r="T12077" s="11"/>
    </row>
    <row r="12078" spans="8:20" x14ac:dyDescent="0.35">
      <c r="H12078" s="711"/>
      <c r="I12078" s="711"/>
      <c r="J12078" s="711"/>
      <c r="K12078" s="711"/>
      <c r="L12078" s="711"/>
      <c r="Q12078" s="11"/>
      <c r="R12078" s="11"/>
      <c r="S12078" s="11"/>
      <c r="T12078" s="11"/>
    </row>
    <row r="12079" spans="8:20" x14ac:dyDescent="0.35">
      <c r="H12079" s="711"/>
      <c r="I12079" s="711"/>
      <c r="J12079" s="711"/>
      <c r="K12079" s="711"/>
      <c r="L12079" s="711"/>
      <c r="Q12079" s="11"/>
      <c r="R12079" s="11"/>
      <c r="S12079" s="11"/>
      <c r="T12079" s="11"/>
    </row>
    <row r="12080" spans="8:20" x14ac:dyDescent="0.35">
      <c r="H12080" s="711"/>
      <c r="I12080" s="711"/>
      <c r="J12080" s="711"/>
      <c r="K12080" s="711"/>
      <c r="L12080" s="711"/>
      <c r="Q12080" s="11"/>
      <c r="R12080" s="11"/>
      <c r="S12080" s="11"/>
      <c r="T12080" s="11"/>
    </row>
    <row r="12081" spans="8:20" x14ac:dyDescent="0.35">
      <c r="H12081" s="711"/>
      <c r="I12081" s="711"/>
      <c r="J12081" s="711"/>
      <c r="K12081" s="711"/>
      <c r="L12081" s="711"/>
      <c r="Q12081" s="11"/>
      <c r="R12081" s="11"/>
      <c r="S12081" s="11"/>
      <c r="T12081" s="11"/>
    </row>
    <row r="12082" spans="8:20" x14ac:dyDescent="0.35">
      <c r="H12082" s="711"/>
      <c r="I12082" s="711"/>
      <c r="J12082" s="711"/>
      <c r="K12082" s="711"/>
      <c r="L12082" s="711"/>
      <c r="Q12082" s="11"/>
      <c r="R12082" s="11"/>
      <c r="S12082" s="11"/>
      <c r="T12082" s="11"/>
    </row>
    <row r="12083" spans="8:20" x14ac:dyDescent="0.35">
      <c r="H12083" s="711"/>
      <c r="I12083" s="711"/>
      <c r="J12083" s="711"/>
      <c r="K12083" s="711"/>
      <c r="L12083" s="711"/>
      <c r="Q12083" s="11"/>
      <c r="R12083" s="11"/>
      <c r="S12083" s="11"/>
      <c r="T12083" s="11"/>
    </row>
    <row r="12084" spans="8:20" x14ac:dyDescent="0.35">
      <c r="H12084" s="711"/>
      <c r="I12084" s="711"/>
      <c r="J12084" s="711"/>
      <c r="K12084" s="711"/>
      <c r="L12084" s="711"/>
      <c r="Q12084" s="11"/>
      <c r="R12084" s="11"/>
      <c r="S12084" s="11"/>
      <c r="T12084" s="11"/>
    </row>
    <row r="12085" spans="8:20" x14ac:dyDescent="0.35">
      <c r="H12085" s="711"/>
      <c r="I12085" s="711"/>
      <c r="J12085" s="711"/>
      <c r="K12085" s="711"/>
      <c r="L12085" s="711"/>
      <c r="Q12085" s="11"/>
      <c r="R12085" s="11"/>
      <c r="S12085" s="11"/>
      <c r="T12085" s="11"/>
    </row>
    <row r="12086" spans="8:20" x14ac:dyDescent="0.35">
      <c r="H12086" s="711"/>
      <c r="I12086" s="711"/>
      <c r="J12086" s="711"/>
      <c r="K12086" s="711"/>
      <c r="L12086" s="711"/>
      <c r="Q12086" s="11"/>
      <c r="R12086" s="11"/>
      <c r="S12086" s="11"/>
      <c r="T12086" s="11"/>
    </row>
    <row r="12087" spans="8:20" x14ac:dyDescent="0.35">
      <c r="H12087" s="711"/>
      <c r="I12087" s="711"/>
      <c r="J12087" s="711"/>
      <c r="K12087" s="711"/>
      <c r="L12087" s="711"/>
      <c r="Q12087" s="11"/>
      <c r="R12087" s="11"/>
      <c r="S12087" s="11"/>
      <c r="T12087" s="11"/>
    </row>
    <row r="12088" spans="8:20" x14ac:dyDescent="0.35">
      <c r="H12088" s="711"/>
      <c r="I12088" s="711"/>
      <c r="J12088" s="711"/>
      <c r="K12088" s="711"/>
      <c r="L12088" s="711"/>
      <c r="Q12088" s="11"/>
      <c r="R12088" s="11"/>
      <c r="S12088" s="11"/>
      <c r="T12088" s="11"/>
    </row>
    <row r="12089" spans="8:20" x14ac:dyDescent="0.35">
      <c r="H12089" s="711"/>
      <c r="I12089" s="711"/>
      <c r="J12089" s="711"/>
      <c r="K12089" s="711"/>
      <c r="L12089" s="711"/>
      <c r="Q12089" s="11"/>
      <c r="R12089" s="11"/>
      <c r="S12089" s="11"/>
      <c r="T12089" s="11"/>
    </row>
    <row r="12090" spans="8:20" x14ac:dyDescent="0.35">
      <c r="H12090" s="711"/>
      <c r="I12090" s="711"/>
      <c r="J12090" s="711"/>
      <c r="K12090" s="711"/>
      <c r="L12090" s="711"/>
      <c r="Q12090" s="11"/>
      <c r="R12090" s="11"/>
      <c r="S12090" s="11"/>
      <c r="T12090" s="11"/>
    </row>
    <row r="12091" spans="8:20" x14ac:dyDescent="0.35">
      <c r="H12091" s="711"/>
      <c r="I12091" s="711"/>
      <c r="J12091" s="711"/>
      <c r="K12091" s="711"/>
      <c r="L12091" s="711"/>
      <c r="Q12091" s="11"/>
      <c r="R12091" s="11"/>
      <c r="S12091" s="11"/>
      <c r="T12091" s="11"/>
    </row>
    <row r="12092" spans="8:20" x14ac:dyDescent="0.35">
      <c r="H12092" s="711"/>
      <c r="I12092" s="711"/>
      <c r="J12092" s="711"/>
      <c r="K12092" s="711"/>
      <c r="L12092" s="711"/>
      <c r="Q12092" s="11"/>
      <c r="R12092" s="11"/>
      <c r="S12092" s="11"/>
      <c r="T12092" s="11"/>
    </row>
    <row r="12093" spans="8:20" x14ac:dyDescent="0.35">
      <c r="H12093" s="711"/>
      <c r="I12093" s="711"/>
      <c r="J12093" s="711"/>
      <c r="K12093" s="711"/>
      <c r="L12093" s="711"/>
      <c r="Q12093" s="11"/>
      <c r="R12093" s="11"/>
      <c r="S12093" s="11"/>
      <c r="T12093" s="11"/>
    </row>
    <row r="12094" spans="8:20" x14ac:dyDescent="0.35">
      <c r="H12094" s="711"/>
      <c r="I12094" s="711"/>
      <c r="J12094" s="711"/>
      <c r="K12094" s="711"/>
      <c r="L12094" s="711"/>
      <c r="Q12094" s="11"/>
      <c r="R12094" s="11"/>
      <c r="S12094" s="11"/>
      <c r="T12094" s="11"/>
    </row>
    <row r="12095" spans="8:20" x14ac:dyDescent="0.35">
      <c r="H12095" s="711"/>
      <c r="I12095" s="711"/>
      <c r="J12095" s="711"/>
      <c r="K12095" s="711"/>
      <c r="L12095" s="711"/>
      <c r="Q12095" s="11"/>
      <c r="R12095" s="11"/>
      <c r="S12095" s="11"/>
      <c r="T12095" s="11"/>
    </row>
    <row r="12096" spans="8:20" x14ac:dyDescent="0.35">
      <c r="H12096" s="711"/>
      <c r="I12096" s="711"/>
      <c r="J12096" s="711"/>
      <c r="K12096" s="711"/>
      <c r="L12096" s="711"/>
      <c r="Q12096" s="11"/>
      <c r="R12096" s="11"/>
      <c r="S12096" s="11"/>
      <c r="T12096" s="11"/>
    </row>
    <row r="12097" spans="8:20" x14ac:dyDescent="0.35">
      <c r="H12097" s="711"/>
      <c r="I12097" s="711"/>
      <c r="J12097" s="711"/>
      <c r="K12097" s="711"/>
      <c r="L12097" s="711"/>
      <c r="Q12097" s="11"/>
      <c r="R12097" s="11"/>
      <c r="S12097" s="11"/>
      <c r="T12097" s="11"/>
    </row>
    <row r="12098" spans="8:20" x14ac:dyDescent="0.35">
      <c r="H12098" s="711"/>
      <c r="I12098" s="711"/>
      <c r="J12098" s="711"/>
      <c r="K12098" s="711"/>
      <c r="L12098" s="711"/>
      <c r="Q12098" s="11"/>
      <c r="R12098" s="11"/>
      <c r="S12098" s="11"/>
      <c r="T12098" s="11"/>
    </row>
    <row r="12099" spans="8:20" x14ac:dyDescent="0.35">
      <c r="H12099" s="711"/>
      <c r="I12099" s="711"/>
      <c r="J12099" s="711"/>
      <c r="K12099" s="711"/>
      <c r="L12099" s="711"/>
      <c r="Q12099" s="11"/>
      <c r="R12099" s="11"/>
      <c r="S12099" s="11"/>
      <c r="T12099" s="11"/>
    </row>
    <row r="12100" spans="8:20" x14ac:dyDescent="0.35">
      <c r="H12100" s="711"/>
      <c r="I12100" s="711"/>
      <c r="J12100" s="711"/>
      <c r="K12100" s="711"/>
      <c r="L12100" s="711"/>
      <c r="Q12100" s="11"/>
      <c r="R12100" s="11"/>
      <c r="S12100" s="11"/>
      <c r="T12100" s="11"/>
    </row>
    <row r="12101" spans="8:20" x14ac:dyDescent="0.35">
      <c r="H12101" s="711"/>
      <c r="I12101" s="711"/>
      <c r="J12101" s="711"/>
      <c r="K12101" s="711"/>
      <c r="L12101" s="711"/>
      <c r="Q12101" s="11"/>
      <c r="R12101" s="11"/>
      <c r="S12101" s="11"/>
      <c r="T12101" s="11"/>
    </row>
    <row r="12102" spans="8:20" x14ac:dyDescent="0.35">
      <c r="H12102" s="711"/>
      <c r="I12102" s="711"/>
      <c r="J12102" s="711"/>
      <c r="K12102" s="711"/>
      <c r="L12102" s="711"/>
      <c r="Q12102" s="11"/>
      <c r="R12102" s="11"/>
      <c r="S12102" s="11"/>
      <c r="T12102" s="11"/>
    </row>
    <row r="12103" spans="8:20" x14ac:dyDescent="0.35">
      <c r="H12103" s="711"/>
      <c r="I12103" s="711"/>
      <c r="J12103" s="711"/>
      <c r="K12103" s="711"/>
      <c r="L12103" s="711"/>
      <c r="Q12103" s="11"/>
      <c r="R12103" s="11"/>
      <c r="S12103" s="11"/>
      <c r="T12103" s="11"/>
    </row>
    <row r="12104" spans="8:20" x14ac:dyDescent="0.35">
      <c r="H12104" s="711"/>
      <c r="I12104" s="711"/>
      <c r="J12104" s="711"/>
      <c r="K12104" s="711"/>
      <c r="L12104" s="711"/>
      <c r="Q12104" s="11"/>
      <c r="R12104" s="11"/>
      <c r="S12104" s="11"/>
      <c r="T12104" s="11"/>
    </row>
    <row r="12105" spans="8:20" x14ac:dyDescent="0.35">
      <c r="H12105" s="711"/>
      <c r="I12105" s="711"/>
      <c r="J12105" s="711"/>
      <c r="K12105" s="711"/>
      <c r="L12105" s="711"/>
      <c r="Q12105" s="11"/>
      <c r="R12105" s="11"/>
      <c r="S12105" s="11"/>
      <c r="T12105" s="11"/>
    </row>
    <row r="12106" spans="8:20" x14ac:dyDescent="0.35">
      <c r="H12106" s="711"/>
      <c r="I12106" s="711"/>
      <c r="J12106" s="711"/>
      <c r="K12106" s="711"/>
      <c r="L12106" s="711"/>
      <c r="Q12106" s="11"/>
      <c r="R12106" s="11"/>
      <c r="S12106" s="11"/>
      <c r="T12106" s="11"/>
    </row>
    <row r="12107" spans="8:20" x14ac:dyDescent="0.35">
      <c r="H12107" s="711"/>
      <c r="I12107" s="711"/>
      <c r="J12107" s="711"/>
      <c r="K12107" s="711"/>
      <c r="L12107" s="711"/>
      <c r="Q12107" s="11"/>
      <c r="R12107" s="11"/>
      <c r="S12107" s="11"/>
      <c r="T12107" s="11"/>
    </row>
    <row r="12108" spans="8:20" x14ac:dyDescent="0.35">
      <c r="H12108" s="711"/>
      <c r="I12108" s="711"/>
      <c r="J12108" s="711"/>
      <c r="K12108" s="711"/>
      <c r="L12108" s="711"/>
      <c r="Q12108" s="11"/>
      <c r="R12108" s="11"/>
      <c r="S12108" s="11"/>
      <c r="T12108" s="11"/>
    </row>
    <row r="12109" spans="8:20" x14ac:dyDescent="0.35">
      <c r="H12109" s="711"/>
      <c r="I12109" s="711"/>
      <c r="J12109" s="711"/>
      <c r="K12109" s="711"/>
      <c r="L12109" s="711"/>
      <c r="Q12109" s="11"/>
      <c r="R12109" s="11"/>
      <c r="S12109" s="11"/>
      <c r="T12109" s="11"/>
    </row>
    <row r="12110" spans="8:20" x14ac:dyDescent="0.35">
      <c r="H12110" s="711"/>
      <c r="I12110" s="711"/>
      <c r="J12110" s="711"/>
      <c r="K12110" s="711"/>
      <c r="L12110" s="711"/>
      <c r="Q12110" s="11"/>
      <c r="R12110" s="11"/>
      <c r="S12110" s="11"/>
      <c r="T12110" s="11"/>
    </row>
    <row r="12111" spans="8:20" x14ac:dyDescent="0.35">
      <c r="H12111" s="711"/>
      <c r="I12111" s="711"/>
      <c r="J12111" s="711"/>
      <c r="K12111" s="711"/>
      <c r="L12111" s="711"/>
      <c r="Q12111" s="11"/>
      <c r="R12111" s="11"/>
      <c r="S12111" s="11"/>
      <c r="T12111" s="11"/>
    </row>
    <row r="12112" spans="8:20" x14ac:dyDescent="0.35">
      <c r="H12112" s="711"/>
      <c r="I12112" s="711"/>
      <c r="J12112" s="711"/>
      <c r="K12112" s="711"/>
      <c r="L12112" s="711"/>
      <c r="Q12112" s="11"/>
      <c r="R12112" s="11"/>
      <c r="S12112" s="11"/>
      <c r="T12112" s="11"/>
    </row>
    <row r="12113" spans="8:20" x14ac:dyDescent="0.35">
      <c r="H12113" s="711"/>
      <c r="I12113" s="711"/>
      <c r="J12113" s="711"/>
      <c r="K12113" s="711"/>
      <c r="L12113" s="711"/>
      <c r="Q12113" s="11"/>
      <c r="R12113" s="11"/>
      <c r="S12113" s="11"/>
      <c r="T12113" s="11"/>
    </row>
    <row r="12114" spans="8:20" x14ac:dyDescent="0.35">
      <c r="H12114" s="711"/>
      <c r="I12114" s="711"/>
      <c r="J12114" s="711"/>
      <c r="K12114" s="711"/>
      <c r="L12114" s="711"/>
      <c r="Q12114" s="11"/>
      <c r="R12114" s="11"/>
      <c r="S12114" s="11"/>
      <c r="T12114" s="11"/>
    </row>
    <row r="12115" spans="8:20" x14ac:dyDescent="0.35">
      <c r="H12115" s="711"/>
      <c r="I12115" s="711"/>
      <c r="J12115" s="711"/>
      <c r="K12115" s="711"/>
      <c r="L12115" s="711"/>
      <c r="Q12115" s="11"/>
      <c r="R12115" s="11"/>
      <c r="S12115" s="11"/>
      <c r="T12115" s="11"/>
    </row>
    <row r="12116" spans="8:20" x14ac:dyDescent="0.35">
      <c r="H12116" s="711"/>
      <c r="I12116" s="711"/>
      <c r="J12116" s="711"/>
      <c r="K12116" s="711"/>
      <c r="L12116" s="711"/>
      <c r="Q12116" s="11"/>
      <c r="R12116" s="11"/>
      <c r="S12116" s="11"/>
      <c r="T12116" s="11"/>
    </row>
    <row r="12117" spans="8:20" x14ac:dyDescent="0.35">
      <c r="H12117" s="711"/>
      <c r="I12117" s="711"/>
      <c r="J12117" s="711"/>
      <c r="K12117" s="711"/>
      <c r="L12117" s="711"/>
      <c r="Q12117" s="11"/>
      <c r="R12117" s="11"/>
      <c r="S12117" s="11"/>
      <c r="T12117" s="11"/>
    </row>
    <row r="12118" spans="8:20" x14ac:dyDescent="0.35">
      <c r="H12118" s="711"/>
      <c r="I12118" s="711"/>
      <c r="J12118" s="711"/>
      <c r="K12118" s="711"/>
      <c r="L12118" s="711"/>
      <c r="Q12118" s="11"/>
      <c r="R12118" s="11"/>
      <c r="S12118" s="11"/>
      <c r="T12118" s="11"/>
    </row>
    <row r="12119" spans="8:20" x14ac:dyDescent="0.35">
      <c r="H12119" s="711"/>
      <c r="I12119" s="711"/>
      <c r="J12119" s="711"/>
      <c r="K12119" s="711"/>
      <c r="L12119" s="711"/>
      <c r="Q12119" s="11"/>
      <c r="R12119" s="11"/>
      <c r="S12119" s="11"/>
      <c r="T12119" s="11"/>
    </row>
    <row r="12120" spans="8:20" x14ac:dyDescent="0.35">
      <c r="H12120" s="711"/>
      <c r="I12120" s="711"/>
      <c r="J12120" s="711"/>
      <c r="K12120" s="711"/>
      <c r="L12120" s="711"/>
      <c r="Q12120" s="11"/>
      <c r="R12120" s="11"/>
      <c r="S12120" s="11"/>
      <c r="T12120" s="11"/>
    </row>
    <row r="12121" spans="8:20" x14ac:dyDescent="0.35">
      <c r="H12121" s="711"/>
      <c r="I12121" s="711"/>
      <c r="J12121" s="711"/>
      <c r="K12121" s="711"/>
      <c r="L12121" s="711"/>
      <c r="Q12121" s="11"/>
      <c r="R12121" s="11"/>
      <c r="S12121" s="11"/>
      <c r="T12121" s="11"/>
    </row>
    <row r="12122" spans="8:20" x14ac:dyDescent="0.35">
      <c r="H12122" s="711"/>
      <c r="I12122" s="711"/>
      <c r="J12122" s="711"/>
      <c r="K12122" s="711"/>
      <c r="L12122" s="711"/>
      <c r="Q12122" s="11"/>
      <c r="R12122" s="11"/>
      <c r="S12122" s="11"/>
      <c r="T12122" s="11"/>
    </row>
    <row r="12123" spans="8:20" x14ac:dyDescent="0.35">
      <c r="H12123" s="711"/>
      <c r="I12123" s="711"/>
      <c r="J12123" s="711"/>
      <c r="K12123" s="711"/>
      <c r="L12123" s="711"/>
      <c r="Q12123" s="11"/>
      <c r="R12123" s="11"/>
      <c r="S12123" s="11"/>
      <c r="T12123" s="11"/>
    </row>
    <row r="12124" spans="8:20" x14ac:dyDescent="0.35">
      <c r="H12124" s="711"/>
      <c r="I12124" s="711"/>
      <c r="J12124" s="711"/>
      <c r="K12124" s="711"/>
      <c r="L12124" s="711"/>
      <c r="Q12124" s="11"/>
      <c r="R12124" s="11"/>
      <c r="S12124" s="11"/>
      <c r="T12124" s="11"/>
    </row>
    <row r="12125" spans="8:20" x14ac:dyDescent="0.35">
      <c r="H12125" s="711"/>
      <c r="I12125" s="711"/>
      <c r="J12125" s="711"/>
      <c r="K12125" s="711"/>
      <c r="L12125" s="711"/>
      <c r="Q12125" s="11"/>
      <c r="R12125" s="11"/>
      <c r="S12125" s="11"/>
      <c r="T12125" s="11"/>
    </row>
    <row r="12126" spans="8:20" x14ac:dyDescent="0.35">
      <c r="H12126" s="711"/>
      <c r="I12126" s="711"/>
      <c r="J12126" s="711"/>
      <c r="K12126" s="711"/>
      <c r="L12126" s="711"/>
      <c r="Q12126" s="11"/>
      <c r="R12126" s="11"/>
      <c r="S12126" s="11"/>
      <c r="T12126" s="11"/>
    </row>
    <row r="12127" spans="8:20" x14ac:dyDescent="0.35">
      <c r="H12127" s="711"/>
      <c r="I12127" s="711"/>
      <c r="J12127" s="711"/>
      <c r="K12127" s="711"/>
      <c r="L12127" s="711"/>
      <c r="Q12127" s="11"/>
      <c r="R12127" s="11"/>
      <c r="S12127" s="11"/>
      <c r="T12127" s="11"/>
    </row>
    <row r="12128" spans="8:20" x14ac:dyDescent="0.35">
      <c r="H12128" s="711"/>
      <c r="I12128" s="711"/>
      <c r="J12128" s="711"/>
      <c r="K12128" s="711"/>
      <c r="L12128" s="711"/>
      <c r="Q12128" s="11"/>
      <c r="R12128" s="11"/>
      <c r="S12128" s="11"/>
      <c r="T12128" s="11"/>
    </row>
    <row r="12129" spans="8:20" x14ac:dyDescent="0.35">
      <c r="H12129" s="711"/>
      <c r="I12129" s="711"/>
      <c r="J12129" s="711"/>
      <c r="K12129" s="711"/>
      <c r="L12129" s="711"/>
      <c r="Q12129" s="11"/>
      <c r="R12129" s="11"/>
      <c r="S12129" s="11"/>
      <c r="T12129" s="11"/>
    </row>
    <row r="12130" spans="8:20" x14ac:dyDescent="0.35">
      <c r="H12130" s="711"/>
      <c r="I12130" s="711"/>
      <c r="J12130" s="711"/>
      <c r="K12130" s="711"/>
      <c r="L12130" s="711"/>
      <c r="Q12130" s="11"/>
      <c r="R12130" s="11"/>
      <c r="S12130" s="11"/>
      <c r="T12130" s="11"/>
    </row>
    <row r="12131" spans="8:20" x14ac:dyDescent="0.35">
      <c r="H12131" s="711"/>
      <c r="I12131" s="711"/>
      <c r="J12131" s="711"/>
      <c r="K12131" s="711"/>
      <c r="L12131" s="711"/>
      <c r="Q12131" s="11"/>
      <c r="R12131" s="11"/>
      <c r="S12131" s="11"/>
      <c r="T12131" s="11"/>
    </row>
    <row r="12132" spans="8:20" x14ac:dyDescent="0.35">
      <c r="H12132" s="711"/>
      <c r="I12132" s="711"/>
      <c r="J12132" s="711"/>
      <c r="K12132" s="711"/>
      <c r="L12132" s="711"/>
      <c r="Q12132" s="11"/>
      <c r="R12132" s="11"/>
      <c r="S12132" s="11"/>
      <c r="T12132" s="11"/>
    </row>
    <row r="12133" spans="8:20" x14ac:dyDescent="0.35">
      <c r="H12133" s="711"/>
      <c r="I12133" s="711"/>
      <c r="J12133" s="711"/>
      <c r="K12133" s="711"/>
      <c r="L12133" s="711"/>
      <c r="Q12133" s="11"/>
      <c r="R12133" s="11"/>
      <c r="S12133" s="11"/>
      <c r="T12133" s="11"/>
    </row>
    <row r="12134" spans="8:20" x14ac:dyDescent="0.35">
      <c r="H12134" s="711"/>
      <c r="I12134" s="711"/>
      <c r="J12134" s="711"/>
      <c r="K12134" s="711"/>
      <c r="L12134" s="711"/>
      <c r="Q12134" s="11"/>
      <c r="R12134" s="11"/>
      <c r="S12134" s="11"/>
      <c r="T12134" s="11"/>
    </row>
    <row r="12135" spans="8:20" x14ac:dyDescent="0.35">
      <c r="H12135" s="711"/>
      <c r="I12135" s="711"/>
      <c r="J12135" s="711"/>
      <c r="K12135" s="711"/>
      <c r="L12135" s="711"/>
      <c r="Q12135" s="11"/>
      <c r="R12135" s="11"/>
      <c r="S12135" s="11"/>
      <c r="T12135" s="11"/>
    </row>
    <row r="12136" spans="8:20" x14ac:dyDescent="0.35">
      <c r="H12136" s="711"/>
      <c r="I12136" s="711"/>
      <c r="J12136" s="711"/>
      <c r="K12136" s="711"/>
      <c r="L12136" s="711"/>
      <c r="Q12136" s="11"/>
      <c r="R12136" s="11"/>
      <c r="S12136" s="11"/>
      <c r="T12136" s="11"/>
    </row>
    <row r="12137" spans="8:20" x14ac:dyDescent="0.35">
      <c r="H12137" s="711"/>
      <c r="I12137" s="711"/>
      <c r="J12137" s="711"/>
      <c r="K12137" s="711"/>
      <c r="L12137" s="711"/>
      <c r="Q12137" s="11"/>
      <c r="R12137" s="11"/>
      <c r="S12137" s="11"/>
      <c r="T12137" s="11"/>
    </row>
    <row r="12138" spans="8:20" x14ac:dyDescent="0.35">
      <c r="H12138" s="711"/>
      <c r="I12138" s="711"/>
      <c r="J12138" s="711"/>
      <c r="K12138" s="711"/>
      <c r="L12138" s="711"/>
      <c r="Q12138" s="11"/>
      <c r="R12138" s="11"/>
      <c r="S12138" s="11"/>
      <c r="T12138" s="11"/>
    </row>
    <row r="12139" spans="8:20" x14ac:dyDescent="0.35">
      <c r="H12139" s="711"/>
      <c r="I12139" s="711"/>
      <c r="J12139" s="711"/>
      <c r="K12139" s="711"/>
      <c r="L12139" s="711"/>
      <c r="Q12139" s="11"/>
      <c r="R12139" s="11"/>
      <c r="S12139" s="11"/>
      <c r="T12139" s="11"/>
    </row>
    <row r="12140" spans="8:20" x14ac:dyDescent="0.35">
      <c r="H12140" s="711"/>
      <c r="I12140" s="711"/>
      <c r="J12140" s="711"/>
      <c r="K12140" s="711"/>
      <c r="L12140" s="711"/>
      <c r="Q12140" s="11"/>
      <c r="R12140" s="11"/>
      <c r="S12140" s="11"/>
      <c r="T12140" s="11"/>
    </row>
    <row r="12141" spans="8:20" x14ac:dyDescent="0.35">
      <c r="H12141" s="711"/>
      <c r="I12141" s="711"/>
      <c r="J12141" s="711"/>
      <c r="K12141" s="711"/>
      <c r="L12141" s="711"/>
      <c r="Q12141" s="11"/>
      <c r="R12141" s="11"/>
      <c r="S12141" s="11"/>
      <c r="T12141" s="11"/>
    </row>
    <row r="12142" spans="8:20" x14ac:dyDescent="0.35">
      <c r="H12142" s="711"/>
      <c r="I12142" s="711"/>
      <c r="J12142" s="711"/>
      <c r="K12142" s="711"/>
      <c r="L12142" s="711"/>
      <c r="Q12142" s="11"/>
      <c r="R12142" s="11"/>
      <c r="S12142" s="11"/>
      <c r="T12142" s="11"/>
    </row>
    <row r="12143" spans="8:20" x14ac:dyDescent="0.35">
      <c r="H12143" s="711"/>
      <c r="I12143" s="711"/>
      <c r="J12143" s="711"/>
      <c r="K12143" s="711"/>
      <c r="L12143" s="711"/>
      <c r="Q12143" s="11"/>
      <c r="R12143" s="11"/>
      <c r="S12143" s="11"/>
      <c r="T12143" s="11"/>
    </row>
    <row r="12144" spans="8:20" x14ac:dyDescent="0.35">
      <c r="H12144" s="711"/>
      <c r="I12144" s="711"/>
      <c r="J12144" s="711"/>
      <c r="K12144" s="711"/>
      <c r="L12144" s="711"/>
      <c r="Q12144" s="11"/>
      <c r="R12144" s="11"/>
      <c r="S12144" s="11"/>
      <c r="T12144" s="11"/>
    </row>
    <row r="12145" spans="8:20" x14ac:dyDescent="0.35">
      <c r="H12145" s="711"/>
      <c r="I12145" s="711"/>
      <c r="J12145" s="711"/>
      <c r="K12145" s="711"/>
      <c r="L12145" s="711"/>
      <c r="Q12145" s="11"/>
      <c r="R12145" s="11"/>
      <c r="S12145" s="11"/>
      <c r="T12145" s="11"/>
    </row>
    <row r="12146" spans="8:20" x14ac:dyDescent="0.35">
      <c r="H12146" s="711"/>
      <c r="I12146" s="711"/>
      <c r="J12146" s="711"/>
      <c r="K12146" s="711"/>
      <c r="L12146" s="711"/>
      <c r="Q12146" s="11"/>
      <c r="R12146" s="11"/>
      <c r="S12146" s="11"/>
      <c r="T12146" s="11"/>
    </row>
    <row r="12147" spans="8:20" x14ac:dyDescent="0.35">
      <c r="H12147" s="711"/>
      <c r="I12147" s="711"/>
      <c r="J12147" s="711"/>
      <c r="K12147" s="711"/>
      <c r="L12147" s="711"/>
      <c r="Q12147" s="11"/>
      <c r="R12147" s="11"/>
      <c r="S12147" s="11"/>
      <c r="T12147" s="11"/>
    </row>
    <row r="12148" spans="8:20" x14ac:dyDescent="0.35">
      <c r="H12148" s="711"/>
      <c r="I12148" s="711"/>
      <c r="J12148" s="711"/>
      <c r="K12148" s="711"/>
      <c r="L12148" s="711"/>
      <c r="Q12148" s="11"/>
      <c r="R12148" s="11"/>
      <c r="S12148" s="11"/>
      <c r="T12148" s="11"/>
    </row>
    <row r="12149" spans="8:20" x14ac:dyDescent="0.35">
      <c r="H12149" s="711"/>
      <c r="I12149" s="711"/>
      <c r="J12149" s="711"/>
      <c r="K12149" s="711"/>
      <c r="L12149" s="711"/>
      <c r="Q12149" s="11"/>
      <c r="R12149" s="11"/>
      <c r="S12149" s="11"/>
      <c r="T12149" s="11"/>
    </row>
    <row r="12150" spans="8:20" x14ac:dyDescent="0.35">
      <c r="H12150" s="711"/>
      <c r="I12150" s="711"/>
      <c r="J12150" s="711"/>
      <c r="K12150" s="711"/>
      <c r="L12150" s="711"/>
      <c r="Q12150" s="11"/>
      <c r="R12150" s="11"/>
      <c r="S12150" s="11"/>
      <c r="T12150" s="11"/>
    </row>
    <row r="12151" spans="8:20" x14ac:dyDescent="0.35">
      <c r="H12151" s="711"/>
      <c r="I12151" s="711"/>
      <c r="J12151" s="711"/>
      <c r="K12151" s="711"/>
      <c r="L12151" s="711"/>
      <c r="Q12151" s="11"/>
      <c r="R12151" s="11"/>
      <c r="S12151" s="11"/>
      <c r="T12151" s="11"/>
    </row>
    <row r="12152" spans="8:20" x14ac:dyDescent="0.35">
      <c r="H12152" s="711"/>
      <c r="I12152" s="711"/>
      <c r="J12152" s="711"/>
      <c r="K12152" s="711"/>
      <c r="L12152" s="711"/>
      <c r="Q12152" s="11"/>
      <c r="R12152" s="11"/>
      <c r="S12152" s="11"/>
      <c r="T12152" s="11"/>
    </row>
    <row r="12153" spans="8:20" x14ac:dyDescent="0.35">
      <c r="H12153" s="711"/>
      <c r="I12153" s="711"/>
      <c r="J12153" s="711"/>
      <c r="K12153" s="711"/>
      <c r="L12153" s="711"/>
      <c r="Q12153" s="11"/>
      <c r="R12153" s="11"/>
      <c r="S12153" s="11"/>
      <c r="T12153" s="11"/>
    </row>
    <row r="12154" spans="8:20" x14ac:dyDescent="0.35">
      <c r="H12154" s="711"/>
      <c r="I12154" s="711"/>
      <c r="J12154" s="711"/>
      <c r="K12154" s="711"/>
      <c r="L12154" s="711"/>
      <c r="Q12154" s="11"/>
      <c r="R12154" s="11"/>
      <c r="S12154" s="11"/>
      <c r="T12154" s="11"/>
    </row>
    <row r="12155" spans="8:20" x14ac:dyDescent="0.35">
      <c r="H12155" s="711"/>
      <c r="I12155" s="711"/>
      <c r="J12155" s="711"/>
      <c r="K12155" s="711"/>
      <c r="L12155" s="711"/>
      <c r="Q12155" s="11"/>
      <c r="R12155" s="11"/>
      <c r="S12155" s="11"/>
      <c r="T12155" s="11"/>
    </row>
    <row r="12156" spans="8:20" x14ac:dyDescent="0.35">
      <c r="H12156" s="711"/>
      <c r="I12156" s="711"/>
      <c r="J12156" s="711"/>
      <c r="K12156" s="711"/>
      <c r="L12156" s="711"/>
      <c r="Q12156" s="11"/>
      <c r="R12156" s="11"/>
      <c r="S12156" s="11"/>
      <c r="T12156" s="11"/>
    </row>
    <row r="12157" spans="8:20" x14ac:dyDescent="0.35">
      <c r="H12157" s="711"/>
      <c r="I12157" s="711"/>
      <c r="J12157" s="711"/>
      <c r="K12157" s="711"/>
      <c r="L12157" s="711"/>
      <c r="Q12157" s="11"/>
      <c r="R12157" s="11"/>
      <c r="S12157" s="11"/>
      <c r="T12157" s="11"/>
    </row>
    <row r="12158" spans="8:20" x14ac:dyDescent="0.35">
      <c r="H12158" s="711"/>
      <c r="I12158" s="711"/>
      <c r="J12158" s="711"/>
      <c r="K12158" s="711"/>
      <c r="L12158" s="711"/>
      <c r="Q12158" s="11"/>
      <c r="R12158" s="11"/>
      <c r="S12158" s="11"/>
      <c r="T12158" s="11"/>
    </row>
    <row r="12159" spans="8:20" x14ac:dyDescent="0.35">
      <c r="H12159" s="711"/>
      <c r="I12159" s="711"/>
      <c r="J12159" s="711"/>
      <c r="K12159" s="711"/>
      <c r="L12159" s="711"/>
      <c r="Q12159" s="11"/>
      <c r="R12159" s="11"/>
      <c r="S12159" s="11"/>
      <c r="T12159" s="11"/>
    </row>
    <row r="12160" spans="8:20" x14ac:dyDescent="0.35">
      <c r="H12160" s="711"/>
      <c r="I12160" s="711"/>
      <c r="J12160" s="711"/>
      <c r="K12160" s="711"/>
      <c r="L12160" s="711"/>
      <c r="Q12160" s="11"/>
      <c r="R12160" s="11"/>
      <c r="S12160" s="11"/>
      <c r="T12160" s="11"/>
    </row>
    <row r="12161" spans="8:20" x14ac:dyDescent="0.35">
      <c r="H12161" s="711"/>
      <c r="I12161" s="711"/>
      <c r="J12161" s="711"/>
      <c r="K12161" s="711"/>
      <c r="L12161" s="711"/>
      <c r="Q12161" s="11"/>
      <c r="R12161" s="11"/>
      <c r="S12161" s="11"/>
      <c r="T12161" s="11"/>
    </row>
    <row r="12162" spans="8:20" x14ac:dyDescent="0.35">
      <c r="H12162" s="711"/>
      <c r="I12162" s="711"/>
      <c r="J12162" s="711"/>
      <c r="K12162" s="711"/>
      <c r="L12162" s="711"/>
      <c r="Q12162" s="11"/>
      <c r="R12162" s="11"/>
      <c r="S12162" s="11"/>
      <c r="T12162" s="11"/>
    </row>
    <row r="12163" spans="8:20" x14ac:dyDescent="0.35">
      <c r="H12163" s="711"/>
      <c r="I12163" s="711"/>
      <c r="J12163" s="711"/>
      <c r="K12163" s="711"/>
      <c r="L12163" s="711"/>
      <c r="Q12163" s="11"/>
      <c r="R12163" s="11"/>
      <c r="S12163" s="11"/>
      <c r="T12163" s="11"/>
    </row>
    <row r="12164" spans="8:20" x14ac:dyDescent="0.35">
      <c r="H12164" s="711"/>
      <c r="I12164" s="711"/>
      <c r="J12164" s="711"/>
      <c r="K12164" s="711"/>
      <c r="L12164" s="711"/>
      <c r="Q12164" s="11"/>
      <c r="R12164" s="11"/>
      <c r="S12164" s="11"/>
      <c r="T12164" s="11"/>
    </row>
    <row r="12165" spans="8:20" x14ac:dyDescent="0.35">
      <c r="H12165" s="711"/>
      <c r="I12165" s="711"/>
      <c r="J12165" s="711"/>
      <c r="K12165" s="711"/>
      <c r="L12165" s="711"/>
      <c r="Q12165" s="11"/>
      <c r="R12165" s="11"/>
      <c r="S12165" s="11"/>
      <c r="T12165" s="11"/>
    </row>
    <row r="12166" spans="8:20" x14ac:dyDescent="0.35">
      <c r="H12166" s="711"/>
      <c r="I12166" s="711"/>
      <c r="J12166" s="711"/>
      <c r="K12166" s="711"/>
      <c r="L12166" s="711"/>
      <c r="Q12166" s="11"/>
      <c r="R12166" s="11"/>
      <c r="S12166" s="11"/>
      <c r="T12166" s="11"/>
    </row>
    <row r="12167" spans="8:20" x14ac:dyDescent="0.35">
      <c r="H12167" s="711"/>
      <c r="I12167" s="711"/>
      <c r="J12167" s="711"/>
      <c r="K12167" s="711"/>
      <c r="L12167" s="711"/>
      <c r="Q12167" s="11"/>
      <c r="R12167" s="11"/>
      <c r="S12167" s="11"/>
      <c r="T12167" s="11"/>
    </row>
    <row r="12168" spans="8:20" x14ac:dyDescent="0.35">
      <c r="H12168" s="711"/>
      <c r="I12168" s="711"/>
      <c r="J12168" s="711"/>
      <c r="K12168" s="711"/>
      <c r="L12168" s="711"/>
      <c r="Q12168" s="11"/>
      <c r="R12168" s="11"/>
      <c r="S12168" s="11"/>
      <c r="T12168" s="11"/>
    </row>
    <row r="12169" spans="8:20" x14ac:dyDescent="0.35">
      <c r="H12169" s="711"/>
      <c r="I12169" s="711"/>
      <c r="J12169" s="711"/>
      <c r="K12169" s="711"/>
      <c r="L12169" s="711"/>
      <c r="Q12169" s="11"/>
      <c r="R12169" s="11"/>
      <c r="S12169" s="11"/>
      <c r="T12169" s="11"/>
    </row>
    <row r="12170" spans="8:20" x14ac:dyDescent="0.35">
      <c r="H12170" s="711"/>
      <c r="I12170" s="711"/>
      <c r="J12170" s="711"/>
      <c r="K12170" s="711"/>
      <c r="L12170" s="711"/>
      <c r="Q12170" s="11"/>
      <c r="R12170" s="11"/>
      <c r="S12170" s="11"/>
      <c r="T12170" s="11"/>
    </row>
    <row r="12171" spans="8:20" x14ac:dyDescent="0.35">
      <c r="H12171" s="711"/>
      <c r="I12171" s="711"/>
      <c r="J12171" s="711"/>
      <c r="K12171" s="711"/>
      <c r="L12171" s="711"/>
      <c r="Q12171" s="11"/>
      <c r="R12171" s="11"/>
      <c r="S12171" s="11"/>
      <c r="T12171" s="11"/>
    </row>
    <row r="12172" spans="8:20" x14ac:dyDescent="0.35">
      <c r="H12172" s="711"/>
      <c r="I12172" s="711"/>
      <c r="J12172" s="711"/>
      <c r="K12172" s="711"/>
      <c r="L12172" s="711"/>
      <c r="Q12172" s="11"/>
      <c r="R12172" s="11"/>
      <c r="S12172" s="11"/>
      <c r="T12172" s="11"/>
    </row>
    <row r="12173" spans="8:20" x14ac:dyDescent="0.35">
      <c r="H12173" s="711"/>
      <c r="I12173" s="711"/>
      <c r="J12173" s="711"/>
      <c r="K12173" s="711"/>
      <c r="L12173" s="711"/>
      <c r="Q12173" s="11"/>
      <c r="R12173" s="11"/>
      <c r="S12173" s="11"/>
      <c r="T12173" s="11"/>
    </row>
    <row r="12174" spans="8:20" x14ac:dyDescent="0.35">
      <c r="H12174" s="711"/>
      <c r="I12174" s="711"/>
      <c r="J12174" s="711"/>
      <c r="K12174" s="711"/>
      <c r="L12174" s="711"/>
      <c r="Q12174" s="11"/>
      <c r="R12174" s="11"/>
      <c r="S12174" s="11"/>
      <c r="T12174" s="11"/>
    </row>
    <row r="12175" spans="8:20" x14ac:dyDescent="0.35">
      <c r="H12175" s="711"/>
      <c r="I12175" s="711"/>
      <c r="J12175" s="711"/>
      <c r="K12175" s="711"/>
      <c r="L12175" s="711"/>
      <c r="Q12175" s="11"/>
      <c r="R12175" s="11"/>
      <c r="S12175" s="11"/>
      <c r="T12175" s="11"/>
    </row>
    <row r="12176" spans="8:20" x14ac:dyDescent="0.35">
      <c r="H12176" s="711"/>
      <c r="I12176" s="711"/>
      <c r="J12176" s="711"/>
      <c r="K12176" s="711"/>
      <c r="L12176" s="711"/>
      <c r="Q12176" s="11"/>
      <c r="R12176" s="11"/>
      <c r="S12176" s="11"/>
      <c r="T12176" s="11"/>
    </row>
    <row r="12177" spans="8:20" x14ac:dyDescent="0.35">
      <c r="H12177" s="711"/>
      <c r="I12177" s="711"/>
      <c r="J12177" s="711"/>
      <c r="K12177" s="711"/>
      <c r="L12177" s="711"/>
      <c r="Q12177" s="11"/>
      <c r="R12177" s="11"/>
      <c r="S12177" s="11"/>
      <c r="T12177" s="11"/>
    </row>
    <row r="12178" spans="8:20" x14ac:dyDescent="0.35">
      <c r="H12178" s="711"/>
      <c r="I12178" s="711"/>
      <c r="J12178" s="711"/>
      <c r="K12178" s="711"/>
      <c r="L12178" s="711"/>
      <c r="Q12178" s="11"/>
      <c r="R12178" s="11"/>
      <c r="S12178" s="11"/>
      <c r="T12178" s="11"/>
    </row>
    <row r="12179" spans="8:20" x14ac:dyDescent="0.35">
      <c r="H12179" s="711"/>
      <c r="I12179" s="711"/>
      <c r="J12179" s="711"/>
      <c r="K12179" s="711"/>
      <c r="L12179" s="711"/>
      <c r="Q12179" s="11"/>
      <c r="R12179" s="11"/>
      <c r="S12179" s="11"/>
      <c r="T12179" s="11"/>
    </row>
    <row r="12180" spans="8:20" x14ac:dyDescent="0.35">
      <c r="H12180" s="711"/>
      <c r="I12180" s="711"/>
      <c r="J12180" s="711"/>
      <c r="K12180" s="711"/>
      <c r="L12180" s="711"/>
      <c r="Q12180" s="11"/>
      <c r="R12180" s="11"/>
      <c r="S12180" s="11"/>
      <c r="T12180" s="11"/>
    </row>
    <row r="12181" spans="8:20" x14ac:dyDescent="0.35">
      <c r="H12181" s="711"/>
      <c r="I12181" s="711"/>
      <c r="J12181" s="711"/>
      <c r="K12181" s="711"/>
      <c r="L12181" s="711"/>
      <c r="Q12181" s="11"/>
      <c r="R12181" s="11"/>
      <c r="S12181" s="11"/>
      <c r="T12181" s="11"/>
    </row>
    <row r="12182" spans="8:20" x14ac:dyDescent="0.35">
      <c r="H12182" s="711"/>
      <c r="I12182" s="711"/>
      <c r="J12182" s="711"/>
      <c r="K12182" s="711"/>
      <c r="L12182" s="711"/>
      <c r="Q12182" s="11"/>
      <c r="R12182" s="11"/>
      <c r="S12182" s="11"/>
      <c r="T12182" s="11"/>
    </row>
    <row r="12183" spans="8:20" x14ac:dyDescent="0.35">
      <c r="H12183" s="711"/>
      <c r="I12183" s="711"/>
      <c r="J12183" s="711"/>
      <c r="K12183" s="711"/>
      <c r="L12183" s="711"/>
      <c r="Q12183" s="11"/>
      <c r="R12183" s="11"/>
      <c r="S12183" s="11"/>
      <c r="T12183" s="11"/>
    </row>
    <row r="12184" spans="8:20" x14ac:dyDescent="0.35">
      <c r="H12184" s="711"/>
      <c r="I12184" s="711"/>
      <c r="J12184" s="711"/>
      <c r="K12184" s="711"/>
      <c r="L12184" s="711"/>
      <c r="Q12184" s="11"/>
      <c r="R12184" s="11"/>
      <c r="S12184" s="11"/>
      <c r="T12184" s="11"/>
    </row>
    <row r="12185" spans="8:20" x14ac:dyDescent="0.35">
      <c r="H12185" s="711"/>
      <c r="I12185" s="711"/>
      <c r="J12185" s="711"/>
      <c r="K12185" s="711"/>
      <c r="L12185" s="711"/>
      <c r="Q12185" s="11"/>
      <c r="R12185" s="11"/>
      <c r="S12185" s="11"/>
      <c r="T12185" s="11"/>
    </row>
    <row r="12186" spans="8:20" x14ac:dyDescent="0.35">
      <c r="H12186" s="711"/>
      <c r="I12186" s="711"/>
      <c r="J12186" s="711"/>
      <c r="K12186" s="711"/>
      <c r="L12186" s="711"/>
      <c r="Q12186" s="11"/>
      <c r="R12186" s="11"/>
      <c r="S12186" s="11"/>
      <c r="T12186" s="11"/>
    </row>
    <row r="12187" spans="8:20" x14ac:dyDescent="0.35">
      <c r="H12187" s="711"/>
      <c r="I12187" s="711"/>
      <c r="J12187" s="711"/>
      <c r="K12187" s="711"/>
      <c r="L12187" s="711"/>
      <c r="Q12187" s="11"/>
      <c r="R12187" s="11"/>
      <c r="S12187" s="11"/>
      <c r="T12187" s="11"/>
    </row>
    <row r="12188" spans="8:20" x14ac:dyDescent="0.35">
      <c r="H12188" s="711"/>
      <c r="I12188" s="711"/>
      <c r="J12188" s="711"/>
      <c r="K12188" s="711"/>
      <c r="L12188" s="711"/>
      <c r="Q12188" s="11"/>
      <c r="R12188" s="11"/>
      <c r="S12188" s="11"/>
      <c r="T12188" s="11"/>
    </row>
    <row r="12189" spans="8:20" x14ac:dyDescent="0.35">
      <c r="H12189" s="711"/>
      <c r="I12189" s="711"/>
      <c r="J12189" s="711"/>
      <c r="K12189" s="711"/>
      <c r="L12189" s="711"/>
      <c r="Q12189" s="11"/>
      <c r="R12189" s="11"/>
      <c r="S12189" s="11"/>
      <c r="T12189" s="11"/>
    </row>
    <row r="12190" spans="8:20" x14ac:dyDescent="0.35">
      <c r="H12190" s="711"/>
      <c r="I12190" s="711"/>
      <c r="J12190" s="711"/>
      <c r="K12190" s="711"/>
      <c r="L12190" s="711"/>
      <c r="Q12190" s="11"/>
      <c r="R12190" s="11"/>
      <c r="S12190" s="11"/>
      <c r="T12190" s="11"/>
    </row>
    <row r="12191" spans="8:20" x14ac:dyDescent="0.35">
      <c r="H12191" s="711"/>
      <c r="I12191" s="711"/>
      <c r="J12191" s="711"/>
      <c r="K12191" s="711"/>
      <c r="L12191" s="711"/>
      <c r="Q12191" s="11"/>
      <c r="R12191" s="11"/>
      <c r="S12191" s="11"/>
      <c r="T12191" s="11"/>
    </row>
    <row r="12192" spans="8:20" x14ac:dyDescent="0.35">
      <c r="H12192" s="711"/>
      <c r="I12192" s="711"/>
      <c r="J12192" s="711"/>
      <c r="K12192" s="711"/>
      <c r="L12192" s="711"/>
      <c r="Q12192" s="11"/>
      <c r="R12192" s="11"/>
      <c r="S12192" s="11"/>
      <c r="T12192" s="11"/>
    </row>
    <row r="12193" spans="8:20" x14ac:dyDescent="0.35">
      <c r="H12193" s="711"/>
      <c r="I12193" s="711"/>
      <c r="J12193" s="711"/>
      <c r="K12193" s="711"/>
      <c r="L12193" s="711"/>
      <c r="Q12193" s="11"/>
      <c r="R12193" s="11"/>
      <c r="S12193" s="11"/>
      <c r="T12193" s="11"/>
    </row>
    <row r="12194" spans="8:20" x14ac:dyDescent="0.35">
      <c r="H12194" s="711"/>
      <c r="I12194" s="711"/>
      <c r="J12194" s="711"/>
      <c r="K12194" s="711"/>
      <c r="L12194" s="711"/>
      <c r="Q12194" s="11"/>
      <c r="R12194" s="11"/>
      <c r="S12194" s="11"/>
      <c r="T12194" s="11"/>
    </row>
    <row r="12195" spans="8:20" x14ac:dyDescent="0.35">
      <c r="H12195" s="711"/>
      <c r="I12195" s="711"/>
      <c r="J12195" s="711"/>
      <c r="K12195" s="711"/>
      <c r="L12195" s="711"/>
      <c r="Q12195" s="11"/>
      <c r="R12195" s="11"/>
      <c r="S12195" s="11"/>
      <c r="T12195" s="11"/>
    </row>
    <row r="12196" spans="8:20" x14ac:dyDescent="0.35">
      <c r="H12196" s="711"/>
      <c r="I12196" s="711"/>
      <c r="J12196" s="711"/>
      <c r="K12196" s="711"/>
      <c r="L12196" s="711"/>
      <c r="Q12196" s="11"/>
      <c r="R12196" s="11"/>
      <c r="S12196" s="11"/>
      <c r="T12196" s="11"/>
    </row>
    <row r="12197" spans="8:20" x14ac:dyDescent="0.35">
      <c r="H12197" s="711"/>
      <c r="I12197" s="711"/>
      <c r="J12197" s="711"/>
      <c r="K12197" s="711"/>
      <c r="L12197" s="711"/>
      <c r="Q12197" s="11"/>
      <c r="R12197" s="11"/>
      <c r="S12197" s="11"/>
      <c r="T12197" s="11"/>
    </row>
    <row r="12198" spans="8:20" x14ac:dyDescent="0.35">
      <c r="H12198" s="711"/>
      <c r="I12198" s="711"/>
      <c r="J12198" s="711"/>
      <c r="K12198" s="711"/>
      <c r="L12198" s="711"/>
      <c r="Q12198" s="11"/>
      <c r="R12198" s="11"/>
      <c r="S12198" s="11"/>
      <c r="T12198" s="11"/>
    </row>
    <row r="12199" spans="8:20" x14ac:dyDescent="0.35">
      <c r="H12199" s="711"/>
      <c r="I12199" s="711"/>
      <c r="J12199" s="711"/>
      <c r="K12199" s="711"/>
      <c r="L12199" s="711"/>
      <c r="Q12199" s="11"/>
      <c r="R12199" s="11"/>
      <c r="S12199" s="11"/>
      <c r="T12199" s="11"/>
    </row>
    <row r="12200" spans="8:20" x14ac:dyDescent="0.35">
      <c r="H12200" s="711"/>
      <c r="I12200" s="711"/>
      <c r="J12200" s="711"/>
      <c r="K12200" s="711"/>
      <c r="L12200" s="711"/>
      <c r="Q12200" s="11"/>
      <c r="R12200" s="11"/>
      <c r="S12200" s="11"/>
      <c r="T12200" s="11"/>
    </row>
    <row r="12201" spans="8:20" x14ac:dyDescent="0.35">
      <c r="H12201" s="711"/>
      <c r="I12201" s="711"/>
      <c r="J12201" s="711"/>
      <c r="K12201" s="711"/>
      <c r="L12201" s="711"/>
      <c r="Q12201" s="11"/>
      <c r="R12201" s="11"/>
      <c r="S12201" s="11"/>
      <c r="T12201" s="11"/>
    </row>
    <row r="12202" spans="8:20" x14ac:dyDescent="0.35">
      <c r="H12202" s="711"/>
      <c r="I12202" s="711"/>
      <c r="J12202" s="711"/>
      <c r="K12202" s="711"/>
      <c r="L12202" s="711"/>
      <c r="Q12202" s="11"/>
      <c r="R12202" s="11"/>
      <c r="S12202" s="11"/>
      <c r="T12202" s="11"/>
    </row>
    <row r="12203" spans="8:20" x14ac:dyDescent="0.35">
      <c r="H12203" s="711"/>
      <c r="I12203" s="711"/>
      <c r="J12203" s="711"/>
      <c r="K12203" s="711"/>
      <c r="L12203" s="711"/>
      <c r="Q12203" s="11"/>
      <c r="R12203" s="11"/>
      <c r="S12203" s="11"/>
      <c r="T12203" s="11"/>
    </row>
    <row r="12204" spans="8:20" x14ac:dyDescent="0.35">
      <c r="H12204" s="711"/>
      <c r="I12204" s="711"/>
      <c r="J12204" s="711"/>
      <c r="K12204" s="711"/>
      <c r="L12204" s="711"/>
      <c r="Q12204" s="11"/>
      <c r="R12204" s="11"/>
      <c r="S12204" s="11"/>
      <c r="T12204" s="11"/>
    </row>
    <row r="12205" spans="8:20" x14ac:dyDescent="0.35">
      <c r="H12205" s="711"/>
      <c r="I12205" s="711"/>
      <c r="J12205" s="711"/>
      <c r="K12205" s="711"/>
      <c r="L12205" s="711"/>
      <c r="Q12205" s="11"/>
      <c r="R12205" s="11"/>
      <c r="S12205" s="11"/>
      <c r="T12205" s="11"/>
    </row>
    <row r="12206" spans="8:20" x14ac:dyDescent="0.35">
      <c r="H12206" s="711"/>
      <c r="I12206" s="711"/>
      <c r="J12206" s="711"/>
      <c r="K12206" s="711"/>
      <c r="L12206" s="711"/>
      <c r="Q12206" s="11"/>
      <c r="R12206" s="11"/>
      <c r="S12206" s="11"/>
      <c r="T12206" s="11"/>
    </row>
    <row r="12207" spans="8:20" x14ac:dyDescent="0.35">
      <c r="H12207" s="711"/>
      <c r="I12207" s="711"/>
      <c r="J12207" s="711"/>
      <c r="K12207" s="711"/>
      <c r="L12207" s="711"/>
      <c r="Q12207" s="11"/>
      <c r="R12207" s="11"/>
      <c r="S12207" s="11"/>
      <c r="T12207" s="11"/>
    </row>
    <row r="12208" spans="8:20" x14ac:dyDescent="0.35">
      <c r="H12208" s="711"/>
      <c r="I12208" s="711"/>
      <c r="J12208" s="711"/>
      <c r="K12208" s="711"/>
      <c r="L12208" s="711"/>
      <c r="Q12208" s="11"/>
      <c r="R12208" s="11"/>
      <c r="S12208" s="11"/>
      <c r="T12208" s="11"/>
    </row>
    <row r="12209" spans="8:20" x14ac:dyDescent="0.35">
      <c r="H12209" s="711"/>
      <c r="I12209" s="711"/>
      <c r="J12209" s="711"/>
      <c r="K12209" s="711"/>
      <c r="L12209" s="711"/>
      <c r="Q12209" s="11"/>
      <c r="R12209" s="11"/>
      <c r="S12209" s="11"/>
      <c r="T12209" s="11"/>
    </row>
    <row r="12210" spans="8:20" x14ac:dyDescent="0.35">
      <c r="H12210" s="711"/>
      <c r="I12210" s="711"/>
      <c r="J12210" s="711"/>
      <c r="K12210" s="711"/>
      <c r="L12210" s="711"/>
      <c r="Q12210" s="11"/>
      <c r="R12210" s="11"/>
      <c r="S12210" s="11"/>
      <c r="T12210" s="11"/>
    </row>
    <row r="12211" spans="8:20" x14ac:dyDescent="0.35">
      <c r="H12211" s="711"/>
      <c r="I12211" s="711"/>
      <c r="J12211" s="711"/>
      <c r="K12211" s="711"/>
      <c r="L12211" s="711"/>
      <c r="Q12211" s="11"/>
      <c r="R12211" s="11"/>
      <c r="S12211" s="11"/>
      <c r="T12211" s="11"/>
    </row>
    <row r="12212" spans="8:20" x14ac:dyDescent="0.35">
      <c r="H12212" s="711"/>
      <c r="I12212" s="711"/>
      <c r="J12212" s="711"/>
      <c r="K12212" s="711"/>
      <c r="L12212" s="711"/>
      <c r="Q12212" s="11"/>
      <c r="R12212" s="11"/>
      <c r="S12212" s="11"/>
      <c r="T12212" s="11"/>
    </row>
    <row r="12213" spans="8:20" x14ac:dyDescent="0.35">
      <c r="H12213" s="711"/>
      <c r="I12213" s="711"/>
      <c r="J12213" s="711"/>
      <c r="K12213" s="711"/>
      <c r="L12213" s="711"/>
      <c r="Q12213" s="11"/>
      <c r="R12213" s="11"/>
      <c r="S12213" s="11"/>
      <c r="T12213" s="11"/>
    </row>
    <row r="12214" spans="8:20" x14ac:dyDescent="0.35">
      <c r="H12214" s="711"/>
      <c r="I12214" s="711"/>
      <c r="J12214" s="711"/>
      <c r="K12214" s="711"/>
      <c r="L12214" s="711"/>
      <c r="Q12214" s="11"/>
      <c r="R12214" s="11"/>
      <c r="S12214" s="11"/>
      <c r="T12214" s="11"/>
    </row>
    <row r="12215" spans="8:20" x14ac:dyDescent="0.35">
      <c r="H12215" s="711"/>
      <c r="I12215" s="711"/>
      <c r="J12215" s="711"/>
      <c r="K12215" s="711"/>
      <c r="L12215" s="711"/>
      <c r="Q12215" s="11"/>
      <c r="R12215" s="11"/>
      <c r="S12215" s="11"/>
      <c r="T12215" s="11"/>
    </row>
    <row r="12216" spans="8:20" x14ac:dyDescent="0.35">
      <c r="H12216" s="711"/>
      <c r="I12216" s="711"/>
      <c r="J12216" s="711"/>
      <c r="K12216" s="711"/>
      <c r="L12216" s="711"/>
      <c r="Q12216" s="11"/>
      <c r="R12216" s="11"/>
      <c r="S12216" s="11"/>
      <c r="T12216" s="11"/>
    </row>
    <row r="12217" spans="8:20" x14ac:dyDescent="0.35">
      <c r="H12217" s="711"/>
      <c r="I12217" s="711"/>
      <c r="J12217" s="711"/>
      <c r="K12217" s="711"/>
      <c r="L12217" s="711"/>
      <c r="Q12217" s="11"/>
      <c r="R12217" s="11"/>
      <c r="S12217" s="11"/>
      <c r="T12217" s="11"/>
    </row>
    <row r="12218" spans="8:20" x14ac:dyDescent="0.35">
      <c r="H12218" s="711"/>
      <c r="I12218" s="711"/>
      <c r="J12218" s="711"/>
      <c r="K12218" s="711"/>
      <c r="L12218" s="711"/>
      <c r="Q12218" s="11"/>
      <c r="R12218" s="11"/>
      <c r="S12218" s="11"/>
      <c r="T12218" s="11"/>
    </row>
    <row r="12219" spans="8:20" x14ac:dyDescent="0.35">
      <c r="H12219" s="711"/>
      <c r="I12219" s="711"/>
      <c r="J12219" s="711"/>
      <c r="K12219" s="711"/>
      <c r="L12219" s="711"/>
      <c r="Q12219" s="11"/>
      <c r="R12219" s="11"/>
      <c r="S12219" s="11"/>
      <c r="T12219" s="11"/>
    </row>
    <row r="12220" spans="8:20" x14ac:dyDescent="0.35">
      <c r="H12220" s="711"/>
      <c r="I12220" s="711"/>
      <c r="J12220" s="711"/>
      <c r="K12220" s="711"/>
      <c r="L12220" s="711"/>
      <c r="Q12220" s="11"/>
      <c r="R12220" s="11"/>
      <c r="S12220" s="11"/>
      <c r="T12220" s="11"/>
    </row>
    <row r="12221" spans="8:20" x14ac:dyDescent="0.35">
      <c r="H12221" s="711"/>
      <c r="I12221" s="711"/>
      <c r="J12221" s="711"/>
      <c r="K12221" s="711"/>
      <c r="L12221" s="711"/>
      <c r="Q12221" s="11"/>
      <c r="R12221" s="11"/>
      <c r="S12221" s="11"/>
      <c r="T12221" s="11"/>
    </row>
    <row r="12222" spans="8:20" x14ac:dyDescent="0.35">
      <c r="H12222" s="711"/>
      <c r="I12222" s="711"/>
      <c r="J12222" s="711"/>
      <c r="K12222" s="711"/>
      <c r="L12222" s="711"/>
      <c r="Q12222" s="11"/>
      <c r="R12222" s="11"/>
      <c r="S12222" s="11"/>
      <c r="T12222" s="11"/>
    </row>
    <row r="12223" spans="8:20" x14ac:dyDescent="0.35">
      <c r="H12223" s="711"/>
      <c r="I12223" s="711"/>
      <c r="J12223" s="711"/>
      <c r="K12223" s="711"/>
      <c r="L12223" s="711"/>
      <c r="Q12223" s="11"/>
      <c r="R12223" s="11"/>
      <c r="S12223" s="11"/>
      <c r="T12223" s="11"/>
    </row>
    <row r="12224" spans="8:20" x14ac:dyDescent="0.35">
      <c r="H12224" s="711"/>
      <c r="I12224" s="711"/>
      <c r="J12224" s="711"/>
      <c r="K12224" s="711"/>
      <c r="L12224" s="711"/>
      <c r="Q12224" s="11"/>
      <c r="R12224" s="11"/>
      <c r="S12224" s="11"/>
      <c r="T12224" s="11"/>
    </row>
    <row r="12225" spans="8:20" x14ac:dyDescent="0.35">
      <c r="H12225" s="711"/>
      <c r="I12225" s="711"/>
      <c r="J12225" s="711"/>
      <c r="K12225" s="711"/>
      <c r="L12225" s="711"/>
      <c r="Q12225" s="11"/>
      <c r="R12225" s="11"/>
      <c r="S12225" s="11"/>
      <c r="T12225" s="11"/>
    </row>
    <row r="12226" spans="8:20" x14ac:dyDescent="0.35">
      <c r="H12226" s="711"/>
      <c r="I12226" s="711"/>
      <c r="J12226" s="711"/>
      <c r="K12226" s="711"/>
      <c r="L12226" s="711"/>
      <c r="Q12226" s="11"/>
      <c r="R12226" s="11"/>
      <c r="S12226" s="11"/>
      <c r="T12226" s="11"/>
    </row>
    <row r="12227" spans="8:20" x14ac:dyDescent="0.35">
      <c r="H12227" s="711"/>
      <c r="I12227" s="711"/>
      <c r="J12227" s="711"/>
      <c r="K12227" s="711"/>
      <c r="L12227" s="711"/>
      <c r="Q12227" s="11"/>
      <c r="R12227" s="11"/>
      <c r="S12227" s="11"/>
      <c r="T12227" s="11"/>
    </row>
    <row r="12228" spans="8:20" x14ac:dyDescent="0.35">
      <c r="H12228" s="711"/>
      <c r="I12228" s="711"/>
      <c r="J12228" s="711"/>
      <c r="K12228" s="711"/>
      <c r="L12228" s="711"/>
      <c r="Q12228" s="11"/>
      <c r="R12228" s="11"/>
      <c r="S12228" s="11"/>
      <c r="T12228" s="11"/>
    </row>
    <row r="12229" spans="8:20" x14ac:dyDescent="0.35">
      <c r="H12229" s="711"/>
      <c r="I12229" s="711"/>
      <c r="J12229" s="711"/>
      <c r="K12229" s="711"/>
      <c r="L12229" s="711"/>
      <c r="Q12229" s="11"/>
      <c r="R12229" s="11"/>
      <c r="S12229" s="11"/>
      <c r="T12229" s="11"/>
    </row>
    <row r="12230" spans="8:20" x14ac:dyDescent="0.35">
      <c r="H12230" s="711"/>
      <c r="I12230" s="711"/>
      <c r="J12230" s="711"/>
      <c r="K12230" s="711"/>
      <c r="L12230" s="711"/>
      <c r="Q12230" s="11"/>
      <c r="R12230" s="11"/>
      <c r="S12230" s="11"/>
      <c r="T12230" s="11"/>
    </row>
    <row r="12231" spans="8:20" x14ac:dyDescent="0.35">
      <c r="H12231" s="711"/>
      <c r="I12231" s="711"/>
      <c r="J12231" s="711"/>
      <c r="K12231" s="711"/>
      <c r="L12231" s="711"/>
      <c r="Q12231" s="11"/>
      <c r="R12231" s="11"/>
      <c r="S12231" s="11"/>
      <c r="T12231" s="11"/>
    </row>
    <row r="12232" spans="8:20" x14ac:dyDescent="0.35">
      <c r="H12232" s="711"/>
      <c r="I12232" s="711"/>
      <c r="J12232" s="711"/>
      <c r="K12232" s="711"/>
      <c r="L12232" s="711"/>
      <c r="Q12232" s="11"/>
      <c r="R12232" s="11"/>
      <c r="S12232" s="11"/>
      <c r="T12232" s="11"/>
    </row>
    <row r="12233" spans="8:20" x14ac:dyDescent="0.35">
      <c r="H12233" s="711"/>
      <c r="I12233" s="711"/>
      <c r="J12233" s="711"/>
      <c r="K12233" s="711"/>
      <c r="L12233" s="711"/>
      <c r="Q12233" s="11"/>
      <c r="R12233" s="11"/>
      <c r="S12233" s="11"/>
      <c r="T12233" s="11"/>
    </row>
    <row r="12234" spans="8:20" x14ac:dyDescent="0.35">
      <c r="H12234" s="711"/>
      <c r="I12234" s="711"/>
      <c r="J12234" s="711"/>
      <c r="K12234" s="711"/>
      <c r="L12234" s="711"/>
      <c r="Q12234" s="11"/>
      <c r="R12234" s="11"/>
      <c r="S12234" s="11"/>
      <c r="T12234" s="11"/>
    </row>
    <row r="12235" spans="8:20" x14ac:dyDescent="0.35">
      <c r="H12235" s="711"/>
      <c r="I12235" s="711"/>
      <c r="J12235" s="711"/>
      <c r="K12235" s="711"/>
      <c r="L12235" s="711"/>
      <c r="Q12235" s="11"/>
      <c r="R12235" s="11"/>
      <c r="S12235" s="11"/>
      <c r="T12235" s="11"/>
    </row>
    <row r="12236" spans="8:20" x14ac:dyDescent="0.35">
      <c r="H12236" s="711"/>
      <c r="I12236" s="711"/>
      <c r="J12236" s="711"/>
      <c r="K12236" s="711"/>
      <c r="L12236" s="711"/>
      <c r="Q12236" s="11"/>
      <c r="R12236" s="11"/>
      <c r="S12236" s="11"/>
      <c r="T12236" s="11"/>
    </row>
    <row r="12237" spans="8:20" x14ac:dyDescent="0.35">
      <c r="H12237" s="711"/>
      <c r="I12237" s="711"/>
      <c r="J12237" s="711"/>
      <c r="K12237" s="711"/>
      <c r="L12237" s="711"/>
      <c r="Q12237" s="11"/>
      <c r="R12237" s="11"/>
      <c r="S12237" s="11"/>
      <c r="T12237" s="11"/>
    </row>
    <row r="12238" spans="8:20" x14ac:dyDescent="0.35">
      <c r="H12238" s="711"/>
      <c r="I12238" s="711"/>
      <c r="J12238" s="711"/>
      <c r="K12238" s="711"/>
      <c r="L12238" s="711"/>
      <c r="Q12238" s="11"/>
      <c r="R12238" s="11"/>
      <c r="S12238" s="11"/>
      <c r="T12238" s="11"/>
    </row>
    <row r="12239" spans="8:20" x14ac:dyDescent="0.35">
      <c r="H12239" s="711"/>
      <c r="I12239" s="711"/>
      <c r="J12239" s="711"/>
      <c r="K12239" s="711"/>
      <c r="L12239" s="711"/>
      <c r="Q12239" s="11"/>
      <c r="R12239" s="11"/>
      <c r="S12239" s="11"/>
      <c r="T12239" s="11"/>
    </row>
    <row r="12240" spans="8:20" x14ac:dyDescent="0.35">
      <c r="H12240" s="711"/>
      <c r="I12240" s="711"/>
      <c r="J12240" s="711"/>
      <c r="K12240" s="711"/>
      <c r="L12240" s="711"/>
      <c r="Q12240" s="11"/>
      <c r="R12240" s="11"/>
      <c r="S12240" s="11"/>
      <c r="T12240" s="11"/>
    </row>
    <row r="12241" spans="8:20" x14ac:dyDescent="0.35">
      <c r="H12241" s="711"/>
      <c r="I12241" s="711"/>
      <c r="J12241" s="711"/>
      <c r="K12241" s="711"/>
      <c r="L12241" s="711"/>
      <c r="Q12241" s="11"/>
      <c r="R12241" s="11"/>
      <c r="S12241" s="11"/>
      <c r="T12241" s="11"/>
    </row>
    <row r="12242" spans="8:20" x14ac:dyDescent="0.35">
      <c r="H12242" s="711"/>
      <c r="I12242" s="711"/>
      <c r="J12242" s="711"/>
      <c r="K12242" s="711"/>
      <c r="L12242" s="711"/>
      <c r="Q12242" s="11"/>
      <c r="R12242" s="11"/>
      <c r="S12242" s="11"/>
      <c r="T12242" s="11"/>
    </row>
    <row r="12243" spans="8:20" x14ac:dyDescent="0.35">
      <c r="H12243" s="711"/>
      <c r="I12243" s="711"/>
      <c r="J12243" s="711"/>
      <c r="K12243" s="711"/>
      <c r="L12243" s="711"/>
      <c r="Q12243" s="11"/>
      <c r="R12243" s="11"/>
      <c r="S12243" s="11"/>
      <c r="T12243" s="11"/>
    </row>
    <row r="12244" spans="8:20" x14ac:dyDescent="0.35">
      <c r="H12244" s="711"/>
      <c r="I12244" s="711"/>
      <c r="J12244" s="711"/>
      <c r="K12244" s="711"/>
      <c r="L12244" s="711"/>
      <c r="Q12244" s="11"/>
      <c r="R12244" s="11"/>
      <c r="S12244" s="11"/>
      <c r="T12244" s="11"/>
    </row>
    <row r="12245" spans="8:20" x14ac:dyDescent="0.35">
      <c r="H12245" s="711"/>
      <c r="I12245" s="711"/>
      <c r="J12245" s="711"/>
      <c r="K12245" s="711"/>
      <c r="L12245" s="711"/>
      <c r="Q12245" s="11"/>
      <c r="R12245" s="11"/>
      <c r="S12245" s="11"/>
      <c r="T12245" s="11"/>
    </row>
    <row r="12246" spans="8:20" x14ac:dyDescent="0.35">
      <c r="H12246" s="711"/>
      <c r="I12246" s="711"/>
      <c r="J12246" s="711"/>
      <c r="K12246" s="711"/>
      <c r="L12246" s="711"/>
      <c r="Q12246" s="11"/>
      <c r="R12246" s="11"/>
      <c r="S12246" s="11"/>
      <c r="T12246" s="11"/>
    </row>
    <row r="12247" spans="8:20" x14ac:dyDescent="0.35">
      <c r="H12247" s="711"/>
      <c r="I12247" s="711"/>
      <c r="J12247" s="711"/>
      <c r="K12247" s="711"/>
      <c r="L12247" s="711"/>
      <c r="Q12247" s="11"/>
      <c r="R12247" s="11"/>
      <c r="S12247" s="11"/>
      <c r="T12247" s="11"/>
    </row>
    <row r="12248" spans="8:20" x14ac:dyDescent="0.35">
      <c r="H12248" s="711"/>
      <c r="I12248" s="711"/>
      <c r="J12248" s="711"/>
      <c r="K12248" s="711"/>
      <c r="L12248" s="711"/>
      <c r="Q12248" s="11"/>
      <c r="R12248" s="11"/>
      <c r="S12248" s="11"/>
      <c r="T12248" s="11"/>
    </row>
    <row r="12249" spans="8:20" x14ac:dyDescent="0.35">
      <c r="H12249" s="711"/>
      <c r="I12249" s="711"/>
      <c r="J12249" s="711"/>
      <c r="K12249" s="711"/>
      <c r="L12249" s="711"/>
      <c r="Q12249" s="11"/>
      <c r="R12249" s="11"/>
      <c r="S12249" s="11"/>
      <c r="T12249" s="11"/>
    </row>
    <row r="12250" spans="8:20" x14ac:dyDescent="0.35">
      <c r="H12250" s="711"/>
      <c r="I12250" s="711"/>
      <c r="J12250" s="711"/>
      <c r="K12250" s="711"/>
      <c r="L12250" s="711"/>
      <c r="Q12250" s="11"/>
      <c r="R12250" s="11"/>
      <c r="S12250" s="11"/>
      <c r="T12250" s="11"/>
    </row>
    <row r="12251" spans="8:20" x14ac:dyDescent="0.35">
      <c r="H12251" s="711"/>
      <c r="I12251" s="711"/>
      <c r="J12251" s="711"/>
      <c r="K12251" s="711"/>
      <c r="L12251" s="711"/>
      <c r="Q12251" s="11"/>
      <c r="R12251" s="11"/>
      <c r="S12251" s="11"/>
      <c r="T12251" s="11"/>
    </row>
    <row r="12252" spans="8:20" x14ac:dyDescent="0.35">
      <c r="H12252" s="711"/>
      <c r="I12252" s="711"/>
      <c r="J12252" s="711"/>
      <c r="K12252" s="711"/>
      <c r="L12252" s="711"/>
      <c r="Q12252" s="11"/>
      <c r="R12252" s="11"/>
      <c r="S12252" s="11"/>
      <c r="T12252" s="11"/>
    </row>
    <row r="12253" spans="8:20" x14ac:dyDescent="0.35">
      <c r="H12253" s="711"/>
      <c r="I12253" s="711"/>
      <c r="J12253" s="711"/>
      <c r="K12253" s="711"/>
      <c r="L12253" s="711"/>
      <c r="Q12253" s="11"/>
      <c r="R12253" s="11"/>
      <c r="S12253" s="11"/>
      <c r="T12253" s="11"/>
    </row>
    <row r="12254" spans="8:20" x14ac:dyDescent="0.35">
      <c r="H12254" s="711"/>
      <c r="I12254" s="711"/>
      <c r="J12254" s="711"/>
      <c r="K12254" s="711"/>
      <c r="L12254" s="711"/>
      <c r="Q12254" s="11"/>
      <c r="R12254" s="11"/>
      <c r="S12254" s="11"/>
      <c r="T12254" s="11"/>
    </row>
    <row r="12255" spans="8:20" x14ac:dyDescent="0.35">
      <c r="H12255" s="711"/>
      <c r="I12255" s="711"/>
      <c r="J12255" s="711"/>
      <c r="K12255" s="711"/>
      <c r="L12255" s="711"/>
      <c r="Q12255" s="11"/>
      <c r="R12255" s="11"/>
      <c r="S12255" s="11"/>
      <c r="T12255" s="11"/>
    </row>
    <row r="12256" spans="8:20" x14ac:dyDescent="0.35">
      <c r="H12256" s="711"/>
      <c r="I12256" s="711"/>
      <c r="J12256" s="711"/>
      <c r="K12256" s="711"/>
      <c r="L12256" s="711"/>
      <c r="Q12256" s="11"/>
      <c r="R12256" s="11"/>
      <c r="S12256" s="11"/>
      <c r="T12256" s="11"/>
    </row>
    <row r="12257" spans="8:20" x14ac:dyDescent="0.35">
      <c r="H12257" s="711"/>
      <c r="I12257" s="711"/>
      <c r="J12257" s="711"/>
      <c r="K12257" s="711"/>
      <c r="L12257" s="711"/>
      <c r="Q12257" s="11"/>
      <c r="R12257" s="11"/>
      <c r="S12257" s="11"/>
      <c r="T12257" s="11"/>
    </row>
    <row r="12258" spans="8:20" x14ac:dyDescent="0.35">
      <c r="H12258" s="711"/>
      <c r="I12258" s="711"/>
      <c r="J12258" s="711"/>
      <c r="K12258" s="711"/>
      <c r="L12258" s="711"/>
      <c r="Q12258" s="11"/>
      <c r="R12258" s="11"/>
      <c r="S12258" s="11"/>
      <c r="T12258" s="11"/>
    </row>
    <row r="12259" spans="8:20" x14ac:dyDescent="0.35">
      <c r="H12259" s="711"/>
      <c r="I12259" s="711"/>
      <c r="J12259" s="711"/>
      <c r="K12259" s="711"/>
      <c r="L12259" s="711"/>
      <c r="Q12259" s="11"/>
      <c r="R12259" s="11"/>
      <c r="S12259" s="11"/>
      <c r="T12259" s="11"/>
    </row>
    <row r="12260" spans="8:20" x14ac:dyDescent="0.35">
      <c r="H12260" s="711"/>
      <c r="I12260" s="711"/>
      <c r="J12260" s="711"/>
      <c r="K12260" s="711"/>
      <c r="L12260" s="711"/>
      <c r="Q12260" s="11"/>
      <c r="R12260" s="11"/>
      <c r="S12260" s="11"/>
      <c r="T12260" s="11"/>
    </row>
    <row r="12261" spans="8:20" x14ac:dyDescent="0.35">
      <c r="H12261" s="711"/>
      <c r="I12261" s="711"/>
      <c r="J12261" s="711"/>
      <c r="K12261" s="711"/>
      <c r="L12261" s="711"/>
      <c r="Q12261" s="11"/>
      <c r="R12261" s="11"/>
      <c r="S12261" s="11"/>
      <c r="T12261" s="11"/>
    </row>
    <row r="12262" spans="8:20" x14ac:dyDescent="0.35">
      <c r="H12262" s="711"/>
      <c r="I12262" s="711"/>
      <c r="J12262" s="711"/>
      <c r="K12262" s="711"/>
      <c r="L12262" s="711"/>
      <c r="Q12262" s="11"/>
      <c r="R12262" s="11"/>
      <c r="S12262" s="11"/>
      <c r="T12262" s="11"/>
    </row>
    <row r="12263" spans="8:20" x14ac:dyDescent="0.35">
      <c r="H12263" s="711"/>
      <c r="I12263" s="711"/>
      <c r="J12263" s="711"/>
      <c r="K12263" s="711"/>
      <c r="L12263" s="711"/>
      <c r="Q12263" s="11"/>
      <c r="R12263" s="11"/>
      <c r="S12263" s="11"/>
      <c r="T12263" s="11"/>
    </row>
    <row r="12264" spans="8:20" x14ac:dyDescent="0.35">
      <c r="H12264" s="711"/>
      <c r="I12264" s="711"/>
      <c r="J12264" s="711"/>
      <c r="K12264" s="711"/>
      <c r="L12264" s="711"/>
      <c r="Q12264" s="11"/>
      <c r="R12264" s="11"/>
      <c r="S12264" s="11"/>
      <c r="T12264" s="11"/>
    </row>
    <row r="12265" spans="8:20" x14ac:dyDescent="0.35">
      <c r="H12265" s="711"/>
      <c r="I12265" s="711"/>
      <c r="J12265" s="711"/>
      <c r="K12265" s="711"/>
      <c r="L12265" s="711"/>
      <c r="Q12265" s="11"/>
      <c r="R12265" s="11"/>
      <c r="S12265" s="11"/>
      <c r="T12265" s="11"/>
    </row>
    <row r="12266" spans="8:20" x14ac:dyDescent="0.35">
      <c r="H12266" s="711"/>
      <c r="I12266" s="711"/>
      <c r="J12266" s="711"/>
      <c r="K12266" s="711"/>
      <c r="L12266" s="711"/>
      <c r="Q12266" s="11"/>
      <c r="R12266" s="11"/>
      <c r="S12266" s="11"/>
      <c r="T12266" s="11"/>
    </row>
    <row r="12267" spans="8:20" x14ac:dyDescent="0.35">
      <c r="H12267" s="711"/>
      <c r="I12267" s="711"/>
      <c r="J12267" s="711"/>
      <c r="K12267" s="711"/>
      <c r="L12267" s="711"/>
      <c r="Q12267" s="11"/>
      <c r="R12267" s="11"/>
      <c r="S12267" s="11"/>
      <c r="T12267" s="11"/>
    </row>
    <row r="12268" spans="8:20" x14ac:dyDescent="0.35">
      <c r="H12268" s="711"/>
      <c r="I12268" s="711"/>
      <c r="J12268" s="711"/>
      <c r="K12268" s="711"/>
      <c r="L12268" s="711"/>
      <c r="Q12268" s="11"/>
      <c r="R12268" s="11"/>
      <c r="S12268" s="11"/>
      <c r="T12268" s="11"/>
    </row>
    <row r="12269" spans="8:20" x14ac:dyDescent="0.35">
      <c r="H12269" s="711"/>
      <c r="I12269" s="711"/>
      <c r="J12269" s="711"/>
      <c r="K12269" s="711"/>
      <c r="L12269" s="711"/>
      <c r="Q12269" s="11"/>
      <c r="R12269" s="11"/>
      <c r="S12269" s="11"/>
      <c r="T12269" s="11"/>
    </row>
    <row r="12270" spans="8:20" x14ac:dyDescent="0.35">
      <c r="H12270" s="711"/>
      <c r="I12270" s="711"/>
      <c r="J12270" s="711"/>
      <c r="K12270" s="711"/>
      <c r="L12270" s="711"/>
      <c r="Q12270" s="11"/>
      <c r="R12270" s="11"/>
      <c r="S12270" s="11"/>
      <c r="T12270" s="11"/>
    </row>
    <row r="12271" spans="8:20" x14ac:dyDescent="0.35">
      <c r="H12271" s="711"/>
      <c r="I12271" s="711"/>
      <c r="J12271" s="711"/>
      <c r="K12271" s="711"/>
      <c r="L12271" s="711"/>
      <c r="Q12271" s="11"/>
      <c r="R12271" s="11"/>
      <c r="S12271" s="11"/>
      <c r="T12271" s="11"/>
    </row>
    <row r="12272" spans="8:20" x14ac:dyDescent="0.35">
      <c r="H12272" s="711"/>
      <c r="I12272" s="711"/>
      <c r="J12272" s="711"/>
      <c r="K12272" s="711"/>
      <c r="L12272" s="711"/>
      <c r="Q12272" s="11"/>
      <c r="R12272" s="11"/>
      <c r="S12272" s="11"/>
      <c r="T12272" s="11"/>
    </row>
    <row r="12273" spans="8:20" x14ac:dyDescent="0.35">
      <c r="H12273" s="711"/>
      <c r="I12273" s="711"/>
      <c r="J12273" s="711"/>
      <c r="K12273" s="711"/>
      <c r="L12273" s="711"/>
      <c r="Q12273" s="11"/>
      <c r="R12273" s="11"/>
      <c r="S12273" s="11"/>
      <c r="T12273" s="11"/>
    </row>
    <row r="12274" spans="8:20" x14ac:dyDescent="0.35">
      <c r="H12274" s="711"/>
      <c r="I12274" s="711"/>
      <c r="J12274" s="711"/>
      <c r="K12274" s="711"/>
      <c r="L12274" s="711"/>
      <c r="Q12274" s="11"/>
      <c r="R12274" s="11"/>
      <c r="S12274" s="11"/>
      <c r="T12274" s="11"/>
    </row>
    <row r="12275" spans="8:20" x14ac:dyDescent="0.35">
      <c r="H12275" s="711"/>
      <c r="I12275" s="711"/>
      <c r="J12275" s="711"/>
      <c r="K12275" s="711"/>
      <c r="L12275" s="711"/>
      <c r="Q12275" s="11"/>
      <c r="R12275" s="11"/>
      <c r="S12275" s="11"/>
      <c r="T12275" s="11"/>
    </row>
    <row r="12276" spans="8:20" x14ac:dyDescent="0.35">
      <c r="H12276" s="711"/>
      <c r="I12276" s="711"/>
      <c r="J12276" s="711"/>
      <c r="K12276" s="711"/>
      <c r="L12276" s="711"/>
      <c r="Q12276" s="11"/>
      <c r="R12276" s="11"/>
      <c r="S12276" s="11"/>
      <c r="T12276" s="11"/>
    </row>
    <row r="12277" spans="8:20" x14ac:dyDescent="0.35">
      <c r="H12277" s="711"/>
      <c r="I12277" s="711"/>
      <c r="J12277" s="711"/>
      <c r="K12277" s="711"/>
      <c r="L12277" s="711"/>
      <c r="Q12277" s="11"/>
      <c r="R12277" s="11"/>
      <c r="S12277" s="11"/>
      <c r="T12277" s="11"/>
    </row>
    <row r="12278" spans="8:20" x14ac:dyDescent="0.35">
      <c r="H12278" s="711"/>
      <c r="I12278" s="711"/>
      <c r="J12278" s="711"/>
      <c r="K12278" s="711"/>
      <c r="L12278" s="711"/>
      <c r="Q12278" s="11"/>
      <c r="R12278" s="11"/>
      <c r="S12278" s="11"/>
      <c r="T12278" s="11"/>
    </row>
    <row r="12279" spans="8:20" x14ac:dyDescent="0.35">
      <c r="H12279" s="711"/>
      <c r="I12279" s="711"/>
      <c r="J12279" s="711"/>
      <c r="K12279" s="711"/>
      <c r="L12279" s="711"/>
      <c r="Q12279" s="11"/>
      <c r="R12279" s="11"/>
      <c r="S12279" s="11"/>
      <c r="T12279" s="11"/>
    </row>
    <row r="12280" spans="8:20" x14ac:dyDescent="0.35">
      <c r="H12280" s="711"/>
      <c r="I12280" s="711"/>
      <c r="J12280" s="711"/>
      <c r="K12280" s="711"/>
      <c r="L12280" s="711"/>
      <c r="Q12280" s="11"/>
      <c r="R12280" s="11"/>
      <c r="S12280" s="11"/>
      <c r="T12280" s="11"/>
    </row>
    <row r="12281" spans="8:20" x14ac:dyDescent="0.35">
      <c r="H12281" s="711"/>
      <c r="I12281" s="711"/>
      <c r="J12281" s="711"/>
      <c r="K12281" s="711"/>
      <c r="L12281" s="711"/>
      <c r="Q12281" s="11"/>
      <c r="R12281" s="11"/>
      <c r="S12281" s="11"/>
      <c r="T12281" s="11"/>
    </row>
    <row r="12282" spans="8:20" x14ac:dyDescent="0.35">
      <c r="H12282" s="711"/>
      <c r="I12282" s="711"/>
      <c r="J12282" s="711"/>
      <c r="K12282" s="711"/>
      <c r="L12282" s="711"/>
      <c r="Q12282" s="11"/>
      <c r="R12282" s="11"/>
      <c r="S12282" s="11"/>
      <c r="T12282" s="11"/>
    </row>
    <row r="12283" spans="8:20" x14ac:dyDescent="0.35">
      <c r="H12283" s="711"/>
      <c r="I12283" s="711"/>
      <c r="J12283" s="711"/>
      <c r="K12283" s="711"/>
      <c r="L12283" s="711"/>
      <c r="Q12283" s="11"/>
      <c r="R12283" s="11"/>
      <c r="S12283" s="11"/>
      <c r="T12283" s="11"/>
    </row>
    <row r="12284" spans="8:20" x14ac:dyDescent="0.35">
      <c r="H12284" s="711"/>
      <c r="I12284" s="711"/>
      <c r="J12284" s="711"/>
      <c r="K12284" s="711"/>
      <c r="L12284" s="711"/>
      <c r="Q12284" s="11"/>
      <c r="R12284" s="11"/>
      <c r="S12284" s="11"/>
      <c r="T12284" s="11"/>
    </row>
    <row r="12285" spans="8:20" x14ac:dyDescent="0.35">
      <c r="H12285" s="711"/>
      <c r="I12285" s="711"/>
      <c r="J12285" s="711"/>
      <c r="K12285" s="711"/>
      <c r="L12285" s="711"/>
      <c r="Q12285" s="11"/>
      <c r="R12285" s="11"/>
      <c r="S12285" s="11"/>
      <c r="T12285" s="11"/>
    </row>
    <row r="12286" spans="8:20" x14ac:dyDescent="0.35">
      <c r="H12286" s="711"/>
      <c r="I12286" s="711"/>
      <c r="J12286" s="711"/>
      <c r="K12286" s="711"/>
      <c r="L12286" s="711"/>
      <c r="Q12286" s="11"/>
      <c r="R12286" s="11"/>
      <c r="S12286" s="11"/>
      <c r="T12286" s="11"/>
    </row>
    <row r="12287" spans="8:20" x14ac:dyDescent="0.35">
      <c r="H12287" s="711"/>
      <c r="I12287" s="711"/>
      <c r="J12287" s="711"/>
      <c r="K12287" s="711"/>
      <c r="L12287" s="711"/>
      <c r="Q12287" s="11"/>
      <c r="R12287" s="11"/>
      <c r="S12287" s="11"/>
      <c r="T12287" s="11"/>
    </row>
    <row r="12288" spans="8:20" x14ac:dyDescent="0.35">
      <c r="H12288" s="711"/>
      <c r="I12288" s="711"/>
      <c r="J12288" s="711"/>
      <c r="K12288" s="711"/>
      <c r="L12288" s="711"/>
      <c r="Q12288" s="11"/>
      <c r="R12288" s="11"/>
      <c r="S12288" s="11"/>
      <c r="T12288" s="11"/>
    </row>
    <row r="12289" spans="8:20" x14ac:dyDescent="0.35">
      <c r="H12289" s="711"/>
      <c r="I12289" s="711"/>
      <c r="J12289" s="711"/>
      <c r="K12289" s="711"/>
      <c r="L12289" s="711"/>
      <c r="Q12289" s="11"/>
      <c r="R12289" s="11"/>
      <c r="S12289" s="11"/>
      <c r="T12289" s="11"/>
    </row>
    <row r="12290" spans="8:20" x14ac:dyDescent="0.35">
      <c r="H12290" s="711"/>
      <c r="I12290" s="711"/>
      <c r="J12290" s="711"/>
      <c r="K12290" s="711"/>
      <c r="L12290" s="711"/>
      <c r="Q12290" s="11"/>
      <c r="R12290" s="11"/>
      <c r="S12290" s="11"/>
      <c r="T12290" s="11"/>
    </row>
    <row r="12291" spans="8:20" x14ac:dyDescent="0.35">
      <c r="H12291" s="711"/>
      <c r="I12291" s="711"/>
      <c r="J12291" s="711"/>
      <c r="K12291" s="711"/>
      <c r="L12291" s="711"/>
      <c r="Q12291" s="11"/>
      <c r="R12291" s="11"/>
      <c r="S12291" s="11"/>
      <c r="T12291" s="11"/>
    </row>
    <row r="12292" spans="8:20" x14ac:dyDescent="0.35">
      <c r="H12292" s="711"/>
      <c r="I12292" s="711"/>
      <c r="J12292" s="711"/>
      <c r="K12292" s="711"/>
      <c r="L12292" s="711"/>
      <c r="Q12292" s="11"/>
      <c r="R12292" s="11"/>
      <c r="S12292" s="11"/>
      <c r="T12292" s="11"/>
    </row>
    <row r="12293" spans="8:20" x14ac:dyDescent="0.35">
      <c r="H12293" s="711"/>
      <c r="I12293" s="711"/>
      <c r="J12293" s="711"/>
      <c r="K12293" s="711"/>
      <c r="L12293" s="711"/>
      <c r="Q12293" s="11"/>
      <c r="R12293" s="11"/>
      <c r="S12293" s="11"/>
      <c r="T12293" s="11"/>
    </row>
    <row r="12294" spans="8:20" x14ac:dyDescent="0.35">
      <c r="H12294" s="711"/>
      <c r="I12294" s="711"/>
      <c r="J12294" s="711"/>
      <c r="K12294" s="711"/>
      <c r="L12294" s="711"/>
      <c r="Q12294" s="11"/>
      <c r="R12294" s="11"/>
      <c r="S12294" s="11"/>
      <c r="T12294" s="11"/>
    </row>
    <row r="12295" spans="8:20" x14ac:dyDescent="0.35">
      <c r="H12295" s="711"/>
      <c r="I12295" s="711"/>
      <c r="J12295" s="711"/>
      <c r="K12295" s="711"/>
      <c r="L12295" s="711"/>
      <c r="Q12295" s="11"/>
      <c r="R12295" s="11"/>
      <c r="S12295" s="11"/>
      <c r="T12295" s="11"/>
    </row>
    <row r="12296" spans="8:20" x14ac:dyDescent="0.35">
      <c r="H12296" s="711"/>
      <c r="I12296" s="711"/>
      <c r="J12296" s="711"/>
      <c r="K12296" s="711"/>
      <c r="L12296" s="711"/>
      <c r="Q12296" s="11"/>
      <c r="R12296" s="11"/>
      <c r="S12296" s="11"/>
      <c r="T12296" s="11"/>
    </row>
    <row r="12297" spans="8:20" x14ac:dyDescent="0.35">
      <c r="H12297" s="711"/>
      <c r="I12297" s="711"/>
      <c r="J12297" s="711"/>
      <c r="K12297" s="711"/>
      <c r="L12297" s="711"/>
      <c r="Q12297" s="11"/>
      <c r="R12297" s="11"/>
      <c r="S12297" s="11"/>
      <c r="T12297" s="11"/>
    </row>
    <row r="12298" spans="8:20" x14ac:dyDescent="0.35">
      <c r="H12298" s="711"/>
      <c r="I12298" s="711"/>
      <c r="J12298" s="711"/>
      <c r="K12298" s="711"/>
      <c r="L12298" s="711"/>
      <c r="Q12298" s="11"/>
      <c r="R12298" s="11"/>
      <c r="S12298" s="11"/>
      <c r="T12298" s="11"/>
    </row>
    <row r="12299" spans="8:20" x14ac:dyDescent="0.35">
      <c r="H12299" s="711"/>
      <c r="I12299" s="711"/>
      <c r="J12299" s="711"/>
      <c r="K12299" s="711"/>
      <c r="L12299" s="711"/>
      <c r="Q12299" s="11"/>
      <c r="R12299" s="11"/>
      <c r="S12299" s="11"/>
      <c r="T12299" s="11"/>
    </row>
    <row r="12300" spans="8:20" x14ac:dyDescent="0.35">
      <c r="H12300" s="711"/>
      <c r="I12300" s="711"/>
      <c r="J12300" s="711"/>
      <c r="K12300" s="711"/>
      <c r="L12300" s="711"/>
      <c r="Q12300" s="11"/>
      <c r="R12300" s="11"/>
      <c r="S12300" s="11"/>
      <c r="T12300" s="11"/>
    </row>
    <row r="12301" spans="8:20" x14ac:dyDescent="0.35">
      <c r="H12301" s="711"/>
      <c r="I12301" s="711"/>
      <c r="J12301" s="711"/>
      <c r="K12301" s="711"/>
      <c r="L12301" s="711"/>
      <c r="Q12301" s="11"/>
      <c r="R12301" s="11"/>
      <c r="S12301" s="11"/>
      <c r="T12301" s="11"/>
    </row>
    <row r="12302" spans="8:20" x14ac:dyDescent="0.35">
      <c r="H12302" s="711"/>
      <c r="I12302" s="711"/>
      <c r="J12302" s="711"/>
      <c r="K12302" s="711"/>
      <c r="L12302" s="711"/>
      <c r="Q12302" s="11"/>
      <c r="R12302" s="11"/>
      <c r="S12302" s="11"/>
      <c r="T12302" s="11"/>
    </row>
    <row r="12303" spans="8:20" x14ac:dyDescent="0.35">
      <c r="H12303" s="711"/>
      <c r="I12303" s="711"/>
      <c r="J12303" s="711"/>
      <c r="K12303" s="711"/>
      <c r="L12303" s="711"/>
      <c r="Q12303" s="11"/>
      <c r="R12303" s="11"/>
      <c r="S12303" s="11"/>
      <c r="T12303" s="11"/>
    </row>
    <row r="12304" spans="8:20" x14ac:dyDescent="0.35">
      <c r="H12304" s="711"/>
      <c r="I12304" s="711"/>
      <c r="J12304" s="711"/>
      <c r="K12304" s="711"/>
      <c r="L12304" s="711"/>
      <c r="Q12304" s="11"/>
      <c r="R12304" s="11"/>
      <c r="S12304" s="11"/>
      <c r="T12304" s="11"/>
    </row>
    <row r="12305" spans="8:20" x14ac:dyDescent="0.35">
      <c r="H12305" s="711"/>
      <c r="I12305" s="711"/>
      <c r="J12305" s="711"/>
      <c r="K12305" s="711"/>
      <c r="L12305" s="711"/>
      <c r="Q12305" s="11"/>
      <c r="R12305" s="11"/>
      <c r="S12305" s="11"/>
      <c r="T12305" s="11"/>
    </row>
    <row r="12306" spans="8:20" x14ac:dyDescent="0.35">
      <c r="H12306" s="711"/>
      <c r="I12306" s="711"/>
      <c r="J12306" s="711"/>
      <c r="K12306" s="711"/>
      <c r="L12306" s="711"/>
      <c r="Q12306" s="11"/>
      <c r="R12306" s="11"/>
      <c r="S12306" s="11"/>
      <c r="T12306" s="11"/>
    </row>
    <row r="12307" spans="8:20" x14ac:dyDescent="0.35">
      <c r="H12307" s="711"/>
      <c r="I12307" s="711"/>
      <c r="J12307" s="711"/>
      <c r="K12307" s="711"/>
      <c r="L12307" s="711"/>
      <c r="Q12307" s="11"/>
      <c r="R12307" s="11"/>
      <c r="S12307" s="11"/>
      <c r="T12307" s="11"/>
    </row>
    <row r="12308" spans="8:20" x14ac:dyDescent="0.35">
      <c r="H12308" s="711"/>
      <c r="I12308" s="711"/>
      <c r="J12308" s="711"/>
      <c r="K12308" s="711"/>
      <c r="L12308" s="711"/>
      <c r="Q12308" s="11"/>
      <c r="R12308" s="11"/>
      <c r="S12308" s="11"/>
      <c r="T12308" s="11"/>
    </row>
    <row r="12309" spans="8:20" x14ac:dyDescent="0.35">
      <c r="H12309" s="711"/>
      <c r="I12309" s="711"/>
      <c r="J12309" s="711"/>
      <c r="K12309" s="711"/>
      <c r="L12309" s="711"/>
      <c r="Q12309" s="11"/>
      <c r="R12309" s="11"/>
      <c r="S12309" s="11"/>
      <c r="T12309" s="11"/>
    </row>
    <row r="12310" spans="8:20" x14ac:dyDescent="0.35">
      <c r="H12310" s="711"/>
      <c r="I12310" s="711"/>
      <c r="J12310" s="711"/>
      <c r="K12310" s="711"/>
      <c r="L12310" s="711"/>
      <c r="Q12310" s="11"/>
      <c r="R12310" s="11"/>
      <c r="S12310" s="11"/>
      <c r="T12310" s="11"/>
    </row>
    <row r="12311" spans="8:20" x14ac:dyDescent="0.35">
      <c r="H12311" s="711"/>
      <c r="I12311" s="711"/>
      <c r="J12311" s="711"/>
      <c r="K12311" s="711"/>
      <c r="L12311" s="711"/>
      <c r="Q12311" s="11"/>
      <c r="R12311" s="11"/>
      <c r="S12311" s="11"/>
      <c r="T12311" s="11"/>
    </row>
    <row r="12312" spans="8:20" x14ac:dyDescent="0.35">
      <c r="H12312" s="711"/>
      <c r="I12312" s="711"/>
      <c r="J12312" s="711"/>
      <c r="K12312" s="711"/>
      <c r="L12312" s="711"/>
      <c r="Q12312" s="11"/>
      <c r="R12312" s="11"/>
      <c r="S12312" s="11"/>
      <c r="T12312" s="11"/>
    </row>
    <row r="12313" spans="8:20" x14ac:dyDescent="0.35">
      <c r="H12313" s="711"/>
      <c r="I12313" s="711"/>
      <c r="J12313" s="711"/>
      <c r="K12313" s="711"/>
      <c r="L12313" s="711"/>
      <c r="Q12313" s="11"/>
      <c r="R12313" s="11"/>
      <c r="S12313" s="11"/>
      <c r="T12313" s="11"/>
    </row>
    <row r="12314" spans="8:20" x14ac:dyDescent="0.35">
      <c r="H12314" s="711"/>
      <c r="I12314" s="711"/>
      <c r="J12314" s="711"/>
      <c r="K12314" s="711"/>
      <c r="L12314" s="711"/>
      <c r="Q12314" s="11"/>
      <c r="R12314" s="11"/>
      <c r="S12314" s="11"/>
      <c r="T12314" s="11"/>
    </row>
    <row r="12315" spans="8:20" x14ac:dyDescent="0.35">
      <c r="H12315" s="711"/>
      <c r="I12315" s="711"/>
      <c r="J12315" s="711"/>
      <c r="K12315" s="711"/>
      <c r="L12315" s="711"/>
      <c r="Q12315" s="11"/>
      <c r="R12315" s="11"/>
      <c r="S12315" s="11"/>
      <c r="T12315" s="11"/>
    </row>
    <row r="12316" spans="8:20" x14ac:dyDescent="0.35">
      <c r="H12316" s="711"/>
      <c r="I12316" s="711"/>
      <c r="J12316" s="711"/>
      <c r="K12316" s="711"/>
      <c r="L12316" s="711"/>
      <c r="Q12316" s="11"/>
      <c r="R12316" s="11"/>
      <c r="S12316" s="11"/>
      <c r="T12316" s="11"/>
    </row>
    <row r="12317" spans="8:20" x14ac:dyDescent="0.35">
      <c r="H12317" s="711"/>
      <c r="I12317" s="711"/>
      <c r="J12317" s="711"/>
      <c r="K12317" s="711"/>
      <c r="L12317" s="711"/>
      <c r="Q12317" s="11"/>
      <c r="R12317" s="11"/>
      <c r="S12317" s="11"/>
      <c r="T12317" s="11"/>
    </row>
    <row r="12318" spans="8:20" x14ac:dyDescent="0.35">
      <c r="H12318" s="711"/>
      <c r="I12318" s="711"/>
      <c r="J12318" s="711"/>
      <c r="K12318" s="711"/>
      <c r="L12318" s="711"/>
      <c r="Q12318" s="11"/>
      <c r="R12318" s="11"/>
      <c r="S12318" s="11"/>
      <c r="T12318" s="11"/>
    </row>
    <row r="12319" spans="8:20" x14ac:dyDescent="0.35">
      <c r="H12319" s="711"/>
      <c r="I12319" s="711"/>
      <c r="J12319" s="711"/>
      <c r="K12319" s="711"/>
      <c r="L12319" s="711"/>
      <c r="Q12319" s="11"/>
      <c r="R12319" s="11"/>
      <c r="S12319" s="11"/>
      <c r="T12319" s="11"/>
    </row>
    <row r="12320" spans="8:20" x14ac:dyDescent="0.35">
      <c r="H12320" s="711"/>
      <c r="I12320" s="711"/>
      <c r="J12320" s="711"/>
      <c r="K12320" s="711"/>
      <c r="L12320" s="711"/>
      <c r="Q12320" s="11"/>
      <c r="R12320" s="11"/>
      <c r="S12320" s="11"/>
      <c r="T12320" s="11"/>
    </row>
    <row r="12321" spans="8:20" x14ac:dyDescent="0.35">
      <c r="H12321" s="711"/>
      <c r="I12321" s="711"/>
      <c r="J12321" s="711"/>
      <c r="K12321" s="711"/>
      <c r="L12321" s="711"/>
      <c r="Q12321" s="11"/>
      <c r="R12321" s="11"/>
      <c r="S12321" s="11"/>
      <c r="T12321" s="11"/>
    </row>
    <row r="12322" spans="8:20" x14ac:dyDescent="0.35">
      <c r="H12322" s="711"/>
      <c r="I12322" s="711"/>
      <c r="J12322" s="711"/>
      <c r="K12322" s="711"/>
      <c r="L12322" s="711"/>
      <c r="Q12322" s="11"/>
      <c r="R12322" s="11"/>
      <c r="S12322" s="11"/>
      <c r="T12322" s="11"/>
    </row>
    <row r="12323" spans="8:20" x14ac:dyDescent="0.35">
      <c r="H12323" s="711"/>
      <c r="I12323" s="711"/>
      <c r="J12323" s="711"/>
      <c r="K12323" s="711"/>
      <c r="L12323" s="711"/>
      <c r="Q12323" s="11"/>
      <c r="R12323" s="11"/>
      <c r="S12323" s="11"/>
      <c r="T12323" s="11"/>
    </row>
    <row r="12324" spans="8:20" x14ac:dyDescent="0.35">
      <c r="H12324" s="711"/>
      <c r="I12324" s="711"/>
      <c r="J12324" s="711"/>
      <c r="K12324" s="711"/>
      <c r="L12324" s="711"/>
      <c r="Q12324" s="11"/>
      <c r="R12324" s="11"/>
      <c r="S12324" s="11"/>
      <c r="T12324" s="11"/>
    </row>
    <row r="12325" spans="8:20" x14ac:dyDescent="0.35">
      <c r="H12325" s="711"/>
      <c r="I12325" s="711"/>
      <c r="J12325" s="711"/>
      <c r="K12325" s="711"/>
      <c r="L12325" s="711"/>
      <c r="Q12325" s="11"/>
      <c r="R12325" s="11"/>
      <c r="S12325" s="11"/>
      <c r="T12325" s="11"/>
    </row>
    <row r="12326" spans="8:20" x14ac:dyDescent="0.35">
      <c r="H12326" s="711"/>
      <c r="I12326" s="711"/>
      <c r="J12326" s="711"/>
      <c r="K12326" s="711"/>
      <c r="L12326" s="711"/>
      <c r="Q12326" s="11"/>
      <c r="R12326" s="11"/>
      <c r="S12326" s="11"/>
      <c r="T12326" s="11"/>
    </row>
    <row r="12327" spans="8:20" x14ac:dyDescent="0.35">
      <c r="H12327" s="711"/>
      <c r="I12327" s="711"/>
      <c r="J12327" s="711"/>
      <c r="K12327" s="711"/>
      <c r="L12327" s="711"/>
      <c r="Q12327" s="11"/>
      <c r="R12327" s="11"/>
      <c r="S12327" s="11"/>
      <c r="T12327" s="11"/>
    </row>
    <row r="12328" spans="8:20" x14ac:dyDescent="0.35">
      <c r="H12328" s="711"/>
      <c r="I12328" s="711"/>
      <c r="J12328" s="711"/>
      <c r="K12328" s="711"/>
      <c r="L12328" s="711"/>
      <c r="Q12328" s="11"/>
      <c r="R12328" s="11"/>
      <c r="S12328" s="11"/>
      <c r="T12328" s="11"/>
    </row>
    <row r="12329" spans="8:20" x14ac:dyDescent="0.35">
      <c r="H12329" s="711"/>
      <c r="I12329" s="711"/>
      <c r="J12329" s="711"/>
      <c r="K12329" s="711"/>
      <c r="L12329" s="711"/>
      <c r="Q12329" s="11"/>
      <c r="R12329" s="11"/>
      <c r="S12329" s="11"/>
      <c r="T12329" s="11"/>
    </row>
    <row r="12330" spans="8:20" x14ac:dyDescent="0.35">
      <c r="H12330" s="711"/>
      <c r="I12330" s="711"/>
      <c r="J12330" s="711"/>
      <c r="K12330" s="711"/>
      <c r="L12330" s="711"/>
      <c r="Q12330" s="11"/>
      <c r="R12330" s="11"/>
      <c r="S12330" s="11"/>
      <c r="T12330" s="11"/>
    </row>
    <row r="12331" spans="8:20" x14ac:dyDescent="0.35">
      <c r="H12331" s="711"/>
      <c r="I12331" s="711"/>
      <c r="J12331" s="711"/>
      <c r="K12331" s="711"/>
      <c r="L12331" s="711"/>
      <c r="Q12331" s="11"/>
      <c r="R12331" s="11"/>
      <c r="S12331" s="11"/>
      <c r="T12331" s="11"/>
    </row>
    <row r="12332" spans="8:20" x14ac:dyDescent="0.35">
      <c r="H12332" s="711"/>
      <c r="I12332" s="711"/>
      <c r="J12332" s="711"/>
      <c r="K12332" s="711"/>
      <c r="L12332" s="711"/>
      <c r="Q12332" s="11"/>
      <c r="R12332" s="11"/>
      <c r="S12332" s="11"/>
      <c r="T12332" s="11"/>
    </row>
    <row r="12333" spans="8:20" x14ac:dyDescent="0.35">
      <c r="H12333" s="711"/>
      <c r="I12333" s="711"/>
      <c r="J12333" s="711"/>
      <c r="K12333" s="711"/>
      <c r="L12333" s="711"/>
      <c r="Q12333" s="11"/>
      <c r="R12333" s="11"/>
      <c r="S12333" s="11"/>
      <c r="T12333" s="11"/>
    </row>
    <row r="12334" spans="8:20" x14ac:dyDescent="0.35">
      <c r="H12334" s="711"/>
      <c r="I12334" s="711"/>
      <c r="J12334" s="711"/>
      <c r="K12334" s="711"/>
      <c r="L12334" s="711"/>
      <c r="Q12334" s="11"/>
      <c r="R12334" s="11"/>
      <c r="S12334" s="11"/>
      <c r="T12334" s="11"/>
    </row>
    <row r="12335" spans="8:20" x14ac:dyDescent="0.35">
      <c r="H12335" s="711"/>
      <c r="I12335" s="711"/>
      <c r="J12335" s="711"/>
      <c r="K12335" s="711"/>
      <c r="L12335" s="711"/>
      <c r="Q12335" s="11"/>
      <c r="R12335" s="11"/>
      <c r="S12335" s="11"/>
      <c r="T12335" s="11"/>
    </row>
    <row r="12336" spans="8:20" x14ac:dyDescent="0.35">
      <c r="H12336" s="711"/>
      <c r="I12336" s="711"/>
      <c r="J12336" s="711"/>
      <c r="K12336" s="711"/>
      <c r="L12336" s="711"/>
      <c r="Q12336" s="11"/>
      <c r="R12336" s="11"/>
      <c r="S12336" s="11"/>
      <c r="T12336" s="11"/>
    </row>
    <row r="12337" spans="8:20" x14ac:dyDescent="0.35">
      <c r="H12337" s="711"/>
      <c r="I12337" s="711"/>
      <c r="J12337" s="711"/>
      <c r="K12337" s="711"/>
      <c r="L12337" s="711"/>
      <c r="Q12337" s="11"/>
      <c r="R12337" s="11"/>
      <c r="S12337" s="11"/>
      <c r="T12337" s="11"/>
    </row>
    <row r="12338" spans="8:20" x14ac:dyDescent="0.35">
      <c r="H12338" s="711"/>
      <c r="I12338" s="711"/>
      <c r="J12338" s="711"/>
      <c r="K12338" s="711"/>
      <c r="L12338" s="711"/>
      <c r="Q12338" s="11"/>
      <c r="R12338" s="11"/>
      <c r="S12338" s="11"/>
      <c r="T12338" s="11"/>
    </row>
    <row r="12339" spans="8:20" x14ac:dyDescent="0.35">
      <c r="H12339" s="711"/>
      <c r="I12339" s="711"/>
      <c r="J12339" s="711"/>
      <c r="K12339" s="711"/>
      <c r="L12339" s="711"/>
      <c r="Q12339" s="11"/>
      <c r="R12339" s="11"/>
      <c r="S12339" s="11"/>
      <c r="T12339" s="11"/>
    </row>
    <row r="12340" spans="8:20" x14ac:dyDescent="0.35">
      <c r="H12340" s="711"/>
      <c r="I12340" s="711"/>
      <c r="J12340" s="711"/>
      <c r="K12340" s="711"/>
      <c r="L12340" s="711"/>
      <c r="Q12340" s="11"/>
      <c r="R12340" s="11"/>
      <c r="S12340" s="11"/>
      <c r="T12340" s="11"/>
    </row>
    <row r="12341" spans="8:20" x14ac:dyDescent="0.35">
      <c r="H12341" s="711"/>
      <c r="I12341" s="711"/>
      <c r="J12341" s="711"/>
      <c r="K12341" s="711"/>
      <c r="L12341" s="711"/>
      <c r="Q12341" s="11"/>
      <c r="R12341" s="11"/>
      <c r="S12341" s="11"/>
      <c r="T12341" s="11"/>
    </row>
    <row r="12342" spans="8:20" x14ac:dyDescent="0.35">
      <c r="H12342" s="711"/>
      <c r="I12342" s="711"/>
      <c r="J12342" s="711"/>
      <c r="K12342" s="711"/>
      <c r="L12342" s="711"/>
      <c r="Q12342" s="11"/>
      <c r="R12342" s="11"/>
      <c r="S12342" s="11"/>
      <c r="T12342" s="11"/>
    </row>
    <row r="12343" spans="8:20" x14ac:dyDescent="0.35">
      <c r="H12343" s="711"/>
      <c r="I12343" s="711"/>
      <c r="J12343" s="711"/>
      <c r="K12343" s="711"/>
      <c r="L12343" s="711"/>
      <c r="Q12343" s="11"/>
      <c r="R12343" s="11"/>
      <c r="S12343" s="11"/>
      <c r="T12343" s="11"/>
    </row>
    <row r="12344" spans="8:20" x14ac:dyDescent="0.35">
      <c r="H12344" s="711"/>
      <c r="I12344" s="711"/>
      <c r="J12344" s="711"/>
      <c r="K12344" s="711"/>
      <c r="L12344" s="711"/>
      <c r="Q12344" s="11"/>
      <c r="R12344" s="11"/>
      <c r="S12344" s="11"/>
      <c r="T12344" s="11"/>
    </row>
    <row r="12345" spans="8:20" x14ac:dyDescent="0.35">
      <c r="H12345" s="711"/>
      <c r="I12345" s="711"/>
      <c r="J12345" s="711"/>
      <c r="K12345" s="711"/>
      <c r="L12345" s="711"/>
      <c r="Q12345" s="11"/>
      <c r="R12345" s="11"/>
      <c r="S12345" s="11"/>
      <c r="T12345" s="11"/>
    </row>
    <row r="12346" spans="8:20" x14ac:dyDescent="0.35">
      <c r="H12346" s="711"/>
      <c r="I12346" s="711"/>
      <c r="J12346" s="711"/>
      <c r="K12346" s="711"/>
      <c r="L12346" s="711"/>
      <c r="Q12346" s="11"/>
      <c r="R12346" s="11"/>
      <c r="S12346" s="11"/>
      <c r="T12346" s="11"/>
    </row>
    <row r="12347" spans="8:20" x14ac:dyDescent="0.35">
      <c r="H12347" s="711"/>
      <c r="I12347" s="711"/>
      <c r="J12347" s="711"/>
      <c r="K12347" s="711"/>
      <c r="L12347" s="711"/>
      <c r="Q12347" s="11"/>
      <c r="R12347" s="11"/>
      <c r="S12347" s="11"/>
      <c r="T12347" s="11"/>
    </row>
    <row r="12348" spans="8:20" x14ac:dyDescent="0.35">
      <c r="H12348" s="711"/>
      <c r="I12348" s="711"/>
      <c r="J12348" s="711"/>
      <c r="K12348" s="711"/>
      <c r="L12348" s="711"/>
      <c r="Q12348" s="11"/>
      <c r="R12348" s="11"/>
      <c r="S12348" s="11"/>
      <c r="T12348" s="11"/>
    </row>
    <row r="12349" spans="8:20" x14ac:dyDescent="0.35">
      <c r="H12349" s="711"/>
      <c r="I12349" s="711"/>
      <c r="J12349" s="711"/>
      <c r="K12349" s="711"/>
      <c r="L12349" s="711"/>
      <c r="Q12349" s="11"/>
      <c r="R12349" s="11"/>
      <c r="S12349" s="11"/>
      <c r="T12349" s="11"/>
    </row>
    <row r="12350" spans="8:20" x14ac:dyDescent="0.35">
      <c r="H12350" s="711"/>
      <c r="I12350" s="711"/>
      <c r="J12350" s="711"/>
      <c r="K12350" s="711"/>
      <c r="L12350" s="711"/>
      <c r="Q12350" s="11"/>
      <c r="R12350" s="11"/>
      <c r="S12350" s="11"/>
      <c r="T12350" s="11"/>
    </row>
    <row r="12351" spans="8:20" x14ac:dyDescent="0.35">
      <c r="H12351" s="711"/>
      <c r="I12351" s="711"/>
      <c r="J12351" s="711"/>
      <c r="K12351" s="711"/>
      <c r="L12351" s="711"/>
      <c r="Q12351" s="11"/>
      <c r="R12351" s="11"/>
      <c r="S12351" s="11"/>
      <c r="T12351" s="11"/>
    </row>
    <row r="12352" spans="8:20" x14ac:dyDescent="0.35">
      <c r="H12352" s="711"/>
      <c r="I12352" s="711"/>
      <c r="J12352" s="711"/>
      <c r="K12352" s="711"/>
      <c r="L12352" s="711"/>
      <c r="Q12352" s="11"/>
      <c r="R12352" s="11"/>
      <c r="S12352" s="11"/>
      <c r="T12352" s="11"/>
    </row>
    <row r="12353" spans="8:20" x14ac:dyDescent="0.35">
      <c r="H12353" s="711"/>
      <c r="I12353" s="711"/>
      <c r="J12353" s="711"/>
      <c r="K12353" s="711"/>
      <c r="L12353" s="711"/>
      <c r="Q12353" s="11"/>
      <c r="R12353" s="11"/>
      <c r="S12353" s="11"/>
      <c r="T12353" s="11"/>
    </row>
    <row r="12354" spans="8:20" x14ac:dyDescent="0.35">
      <c r="H12354" s="711"/>
      <c r="I12354" s="711"/>
      <c r="J12354" s="711"/>
      <c r="K12354" s="711"/>
      <c r="L12354" s="711"/>
      <c r="Q12354" s="11"/>
      <c r="R12354" s="11"/>
      <c r="S12354" s="11"/>
      <c r="T12354" s="11"/>
    </row>
    <row r="12355" spans="8:20" x14ac:dyDescent="0.35">
      <c r="H12355" s="711"/>
      <c r="I12355" s="711"/>
      <c r="J12355" s="711"/>
      <c r="K12355" s="711"/>
      <c r="L12355" s="711"/>
      <c r="Q12355" s="11"/>
      <c r="R12355" s="11"/>
      <c r="S12355" s="11"/>
      <c r="T12355" s="11"/>
    </row>
    <row r="12356" spans="8:20" x14ac:dyDescent="0.35">
      <c r="H12356" s="711"/>
      <c r="I12356" s="711"/>
      <c r="J12356" s="711"/>
      <c r="K12356" s="711"/>
      <c r="L12356" s="711"/>
      <c r="Q12356" s="11"/>
      <c r="R12356" s="11"/>
      <c r="S12356" s="11"/>
      <c r="T12356" s="11"/>
    </row>
    <row r="12357" spans="8:20" x14ac:dyDescent="0.35">
      <c r="H12357" s="711"/>
      <c r="I12357" s="711"/>
      <c r="J12357" s="711"/>
      <c r="K12357" s="711"/>
      <c r="L12357" s="711"/>
      <c r="Q12357" s="11"/>
      <c r="R12357" s="11"/>
      <c r="S12357" s="11"/>
      <c r="T12357" s="11"/>
    </row>
    <row r="12358" spans="8:20" x14ac:dyDescent="0.35">
      <c r="H12358" s="711"/>
      <c r="I12358" s="711"/>
      <c r="J12358" s="711"/>
      <c r="K12358" s="711"/>
      <c r="L12358" s="711"/>
      <c r="Q12358" s="11"/>
      <c r="R12358" s="11"/>
      <c r="S12358" s="11"/>
      <c r="T12358" s="11"/>
    </row>
    <row r="12359" spans="8:20" x14ac:dyDescent="0.35">
      <c r="H12359" s="711"/>
      <c r="I12359" s="711"/>
      <c r="J12359" s="711"/>
      <c r="K12359" s="711"/>
      <c r="L12359" s="711"/>
      <c r="Q12359" s="11"/>
      <c r="R12359" s="11"/>
      <c r="S12359" s="11"/>
      <c r="T12359" s="11"/>
    </row>
    <row r="12360" spans="8:20" x14ac:dyDescent="0.35">
      <c r="H12360" s="711"/>
      <c r="I12360" s="711"/>
      <c r="J12360" s="711"/>
      <c r="K12360" s="711"/>
      <c r="L12360" s="711"/>
      <c r="Q12360" s="11"/>
      <c r="R12360" s="11"/>
      <c r="S12360" s="11"/>
      <c r="T12360" s="11"/>
    </row>
    <row r="12361" spans="8:20" x14ac:dyDescent="0.35">
      <c r="H12361" s="711"/>
      <c r="I12361" s="711"/>
      <c r="J12361" s="711"/>
      <c r="K12361" s="711"/>
      <c r="L12361" s="711"/>
      <c r="Q12361" s="11"/>
      <c r="R12361" s="11"/>
      <c r="S12361" s="11"/>
      <c r="T12361" s="11"/>
    </row>
    <row r="12362" spans="8:20" x14ac:dyDescent="0.35">
      <c r="H12362" s="711"/>
      <c r="I12362" s="711"/>
      <c r="J12362" s="711"/>
      <c r="K12362" s="711"/>
      <c r="L12362" s="711"/>
      <c r="Q12362" s="11"/>
      <c r="R12362" s="11"/>
      <c r="S12362" s="11"/>
      <c r="T12362" s="11"/>
    </row>
    <row r="12363" spans="8:20" x14ac:dyDescent="0.35">
      <c r="H12363" s="711"/>
      <c r="I12363" s="711"/>
      <c r="J12363" s="711"/>
      <c r="K12363" s="711"/>
      <c r="L12363" s="711"/>
      <c r="Q12363" s="11"/>
      <c r="R12363" s="11"/>
      <c r="S12363" s="11"/>
      <c r="T12363" s="11"/>
    </row>
    <row r="12364" spans="8:20" x14ac:dyDescent="0.35">
      <c r="H12364" s="711"/>
      <c r="I12364" s="711"/>
      <c r="J12364" s="711"/>
      <c r="K12364" s="711"/>
      <c r="L12364" s="711"/>
      <c r="Q12364" s="11"/>
      <c r="R12364" s="11"/>
      <c r="S12364" s="11"/>
      <c r="T12364" s="11"/>
    </row>
    <row r="12365" spans="8:20" x14ac:dyDescent="0.35">
      <c r="H12365" s="711"/>
      <c r="I12365" s="711"/>
      <c r="J12365" s="711"/>
      <c r="K12365" s="711"/>
      <c r="L12365" s="711"/>
      <c r="Q12365" s="11"/>
      <c r="R12365" s="11"/>
      <c r="S12365" s="11"/>
      <c r="T12365" s="11"/>
    </row>
    <row r="12366" spans="8:20" x14ac:dyDescent="0.35">
      <c r="H12366" s="711"/>
      <c r="I12366" s="711"/>
      <c r="J12366" s="711"/>
      <c r="K12366" s="711"/>
      <c r="L12366" s="711"/>
      <c r="Q12366" s="11"/>
      <c r="R12366" s="11"/>
      <c r="S12366" s="11"/>
      <c r="T12366" s="11"/>
    </row>
    <row r="12367" spans="8:20" x14ac:dyDescent="0.35">
      <c r="H12367" s="711"/>
      <c r="I12367" s="711"/>
      <c r="J12367" s="711"/>
      <c r="K12367" s="711"/>
      <c r="L12367" s="711"/>
      <c r="Q12367" s="11"/>
      <c r="R12367" s="11"/>
      <c r="S12367" s="11"/>
      <c r="T12367" s="11"/>
    </row>
    <row r="12368" spans="8:20" x14ac:dyDescent="0.35">
      <c r="H12368" s="711"/>
      <c r="I12368" s="711"/>
      <c r="J12368" s="711"/>
      <c r="K12368" s="711"/>
      <c r="L12368" s="711"/>
      <c r="Q12368" s="11"/>
      <c r="R12368" s="11"/>
      <c r="S12368" s="11"/>
      <c r="T12368" s="11"/>
    </row>
    <row r="12369" spans="8:20" x14ac:dyDescent="0.35">
      <c r="H12369" s="711"/>
      <c r="I12369" s="711"/>
      <c r="J12369" s="711"/>
      <c r="K12369" s="711"/>
      <c r="L12369" s="711"/>
      <c r="Q12369" s="11"/>
      <c r="R12369" s="11"/>
      <c r="S12369" s="11"/>
      <c r="T12369" s="11"/>
    </row>
    <row r="12370" spans="8:20" x14ac:dyDescent="0.35">
      <c r="H12370" s="711"/>
      <c r="I12370" s="711"/>
      <c r="J12370" s="711"/>
      <c r="K12370" s="711"/>
      <c r="L12370" s="711"/>
      <c r="Q12370" s="11"/>
      <c r="R12370" s="11"/>
      <c r="S12370" s="11"/>
      <c r="T12370" s="11"/>
    </row>
    <row r="12371" spans="8:20" x14ac:dyDescent="0.35">
      <c r="H12371" s="711"/>
      <c r="I12371" s="711"/>
      <c r="J12371" s="711"/>
      <c r="K12371" s="711"/>
      <c r="L12371" s="711"/>
      <c r="Q12371" s="11"/>
      <c r="R12371" s="11"/>
      <c r="S12371" s="11"/>
      <c r="T12371" s="11"/>
    </row>
    <row r="12372" spans="8:20" x14ac:dyDescent="0.35">
      <c r="H12372" s="711"/>
      <c r="I12372" s="711"/>
      <c r="J12372" s="711"/>
      <c r="K12372" s="711"/>
      <c r="L12372" s="711"/>
      <c r="Q12372" s="11"/>
      <c r="R12372" s="11"/>
      <c r="S12372" s="11"/>
      <c r="T12372" s="11"/>
    </row>
    <row r="12373" spans="8:20" x14ac:dyDescent="0.35">
      <c r="H12373" s="711"/>
      <c r="I12373" s="711"/>
      <c r="J12373" s="711"/>
      <c r="K12373" s="711"/>
      <c r="L12373" s="711"/>
      <c r="Q12373" s="11"/>
      <c r="R12373" s="11"/>
      <c r="S12373" s="11"/>
      <c r="T12373" s="11"/>
    </row>
    <row r="12374" spans="8:20" x14ac:dyDescent="0.35">
      <c r="H12374" s="711"/>
      <c r="I12374" s="711"/>
      <c r="J12374" s="711"/>
      <c r="K12374" s="711"/>
      <c r="L12374" s="711"/>
      <c r="Q12374" s="11"/>
      <c r="R12374" s="11"/>
      <c r="S12374" s="11"/>
      <c r="T12374" s="11"/>
    </row>
    <row r="12375" spans="8:20" x14ac:dyDescent="0.35">
      <c r="H12375" s="711"/>
      <c r="I12375" s="711"/>
      <c r="J12375" s="711"/>
      <c r="K12375" s="711"/>
      <c r="L12375" s="711"/>
      <c r="Q12375" s="11"/>
      <c r="R12375" s="11"/>
      <c r="S12375" s="11"/>
      <c r="T12375" s="11"/>
    </row>
    <row r="12376" spans="8:20" x14ac:dyDescent="0.35">
      <c r="H12376" s="711"/>
      <c r="I12376" s="711"/>
      <c r="J12376" s="711"/>
      <c r="K12376" s="711"/>
      <c r="L12376" s="711"/>
      <c r="Q12376" s="11"/>
      <c r="R12376" s="11"/>
      <c r="S12376" s="11"/>
      <c r="T12376" s="11"/>
    </row>
    <row r="12377" spans="8:20" x14ac:dyDescent="0.35">
      <c r="H12377" s="711"/>
      <c r="I12377" s="711"/>
      <c r="J12377" s="711"/>
      <c r="K12377" s="711"/>
      <c r="L12377" s="711"/>
      <c r="Q12377" s="11"/>
      <c r="R12377" s="11"/>
      <c r="S12377" s="11"/>
      <c r="T12377" s="11"/>
    </row>
    <row r="12378" spans="8:20" x14ac:dyDescent="0.35">
      <c r="H12378" s="711"/>
      <c r="I12378" s="711"/>
      <c r="J12378" s="711"/>
      <c r="K12378" s="711"/>
      <c r="L12378" s="711"/>
      <c r="Q12378" s="11"/>
      <c r="R12378" s="11"/>
      <c r="S12378" s="11"/>
      <c r="T12378" s="11"/>
    </row>
    <row r="12379" spans="8:20" x14ac:dyDescent="0.35">
      <c r="H12379" s="711"/>
      <c r="I12379" s="711"/>
      <c r="J12379" s="711"/>
      <c r="K12379" s="711"/>
      <c r="L12379" s="711"/>
      <c r="Q12379" s="11"/>
      <c r="R12379" s="11"/>
      <c r="S12379" s="11"/>
      <c r="T12379" s="11"/>
    </row>
    <row r="12380" spans="8:20" x14ac:dyDescent="0.35">
      <c r="H12380" s="711"/>
      <c r="I12380" s="711"/>
      <c r="J12380" s="711"/>
      <c r="K12380" s="711"/>
      <c r="L12380" s="711"/>
      <c r="Q12380" s="11"/>
      <c r="R12380" s="11"/>
      <c r="S12380" s="11"/>
      <c r="T12380" s="11"/>
    </row>
    <row r="12381" spans="8:20" x14ac:dyDescent="0.35">
      <c r="H12381" s="711"/>
      <c r="I12381" s="711"/>
      <c r="J12381" s="711"/>
      <c r="K12381" s="711"/>
      <c r="L12381" s="711"/>
      <c r="Q12381" s="11"/>
      <c r="R12381" s="11"/>
      <c r="S12381" s="11"/>
      <c r="T12381" s="11"/>
    </row>
    <row r="12382" spans="8:20" x14ac:dyDescent="0.35">
      <c r="H12382" s="711"/>
      <c r="I12382" s="711"/>
      <c r="J12382" s="711"/>
      <c r="K12382" s="711"/>
      <c r="L12382" s="711"/>
      <c r="Q12382" s="11"/>
      <c r="R12382" s="11"/>
      <c r="S12382" s="11"/>
      <c r="T12382" s="11"/>
    </row>
    <row r="12383" spans="8:20" x14ac:dyDescent="0.35">
      <c r="H12383" s="711"/>
      <c r="I12383" s="711"/>
      <c r="J12383" s="711"/>
      <c r="K12383" s="711"/>
      <c r="L12383" s="711"/>
      <c r="Q12383" s="11"/>
      <c r="R12383" s="11"/>
      <c r="S12383" s="11"/>
      <c r="T12383" s="11"/>
    </row>
    <row r="12384" spans="8:20" x14ac:dyDescent="0.35">
      <c r="H12384" s="711"/>
      <c r="I12384" s="711"/>
      <c r="J12384" s="711"/>
      <c r="K12384" s="711"/>
      <c r="L12384" s="711"/>
      <c r="Q12384" s="11"/>
      <c r="R12384" s="11"/>
      <c r="S12384" s="11"/>
      <c r="T12384" s="11"/>
    </row>
    <row r="12385" spans="8:20" x14ac:dyDescent="0.35">
      <c r="H12385" s="711"/>
      <c r="I12385" s="711"/>
      <c r="J12385" s="711"/>
      <c r="K12385" s="711"/>
      <c r="L12385" s="711"/>
      <c r="Q12385" s="11"/>
      <c r="R12385" s="11"/>
      <c r="S12385" s="11"/>
      <c r="T12385" s="11"/>
    </row>
    <row r="12386" spans="8:20" x14ac:dyDescent="0.35">
      <c r="H12386" s="711"/>
      <c r="I12386" s="711"/>
      <c r="J12386" s="711"/>
      <c r="K12386" s="711"/>
      <c r="L12386" s="711"/>
      <c r="Q12386" s="11"/>
      <c r="R12386" s="11"/>
      <c r="S12386" s="11"/>
      <c r="T12386" s="11"/>
    </row>
    <row r="12387" spans="8:20" x14ac:dyDescent="0.35">
      <c r="H12387" s="711"/>
      <c r="I12387" s="711"/>
      <c r="J12387" s="711"/>
      <c r="K12387" s="711"/>
      <c r="L12387" s="711"/>
      <c r="Q12387" s="11"/>
      <c r="R12387" s="11"/>
      <c r="S12387" s="11"/>
      <c r="T12387" s="11"/>
    </row>
    <row r="12388" spans="8:20" x14ac:dyDescent="0.35">
      <c r="H12388" s="711"/>
      <c r="I12388" s="711"/>
      <c r="J12388" s="711"/>
      <c r="K12388" s="711"/>
      <c r="L12388" s="711"/>
      <c r="Q12388" s="11"/>
      <c r="R12388" s="11"/>
      <c r="S12388" s="11"/>
      <c r="T12388" s="11"/>
    </row>
    <row r="12389" spans="8:20" x14ac:dyDescent="0.35">
      <c r="H12389" s="711"/>
      <c r="I12389" s="711"/>
      <c r="J12389" s="711"/>
      <c r="K12389" s="711"/>
      <c r="L12389" s="711"/>
      <c r="Q12389" s="11"/>
      <c r="R12389" s="11"/>
      <c r="S12389" s="11"/>
      <c r="T12389" s="11"/>
    </row>
    <row r="12390" spans="8:20" x14ac:dyDescent="0.35">
      <c r="H12390" s="711"/>
      <c r="I12390" s="711"/>
      <c r="J12390" s="711"/>
      <c r="K12390" s="711"/>
      <c r="L12390" s="711"/>
      <c r="Q12390" s="11"/>
      <c r="R12390" s="11"/>
      <c r="S12390" s="11"/>
      <c r="T12390" s="11"/>
    </row>
    <row r="12391" spans="8:20" x14ac:dyDescent="0.35">
      <c r="H12391" s="711"/>
      <c r="I12391" s="711"/>
      <c r="J12391" s="711"/>
      <c r="K12391" s="711"/>
      <c r="L12391" s="711"/>
      <c r="Q12391" s="11"/>
      <c r="R12391" s="11"/>
      <c r="S12391" s="11"/>
      <c r="T12391" s="11"/>
    </row>
    <row r="12392" spans="8:20" x14ac:dyDescent="0.35">
      <c r="H12392" s="711"/>
      <c r="I12392" s="711"/>
      <c r="J12392" s="711"/>
      <c r="K12392" s="711"/>
      <c r="L12392" s="711"/>
      <c r="Q12392" s="11"/>
      <c r="R12392" s="11"/>
      <c r="S12392" s="11"/>
      <c r="T12392" s="11"/>
    </row>
    <row r="12393" spans="8:20" x14ac:dyDescent="0.35">
      <c r="H12393" s="711"/>
      <c r="I12393" s="711"/>
      <c r="J12393" s="711"/>
      <c r="K12393" s="711"/>
      <c r="L12393" s="711"/>
      <c r="Q12393" s="11"/>
      <c r="R12393" s="11"/>
      <c r="S12393" s="11"/>
      <c r="T12393" s="11"/>
    </row>
    <row r="12394" spans="8:20" x14ac:dyDescent="0.35">
      <c r="H12394" s="711"/>
      <c r="I12394" s="711"/>
      <c r="J12394" s="711"/>
      <c r="K12394" s="711"/>
      <c r="L12394" s="711"/>
      <c r="Q12394" s="11"/>
      <c r="R12394" s="11"/>
      <c r="S12394" s="11"/>
      <c r="T12394" s="11"/>
    </row>
    <row r="12395" spans="8:20" x14ac:dyDescent="0.35">
      <c r="H12395" s="711"/>
      <c r="I12395" s="711"/>
      <c r="J12395" s="711"/>
      <c r="K12395" s="711"/>
      <c r="L12395" s="711"/>
      <c r="Q12395" s="11"/>
      <c r="R12395" s="11"/>
      <c r="S12395" s="11"/>
      <c r="T12395" s="11"/>
    </row>
    <row r="12396" spans="8:20" x14ac:dyDescent="0.35">
      <c r="H12396" s="711"/>
      <c r="I12396" s="711"/>
      <c r="J12396" s="711"/>
      <c r="K12396" s="711"/>
      <c r="L12396" s="711"/>
      <c r="Q12396" s="11"/>
      <c r="R12396" s="11"/>
      <c r="S12396" s="11"/>
      <c r="T12396" s="11"/>
    </row>
    <row r="12397" spans="8:20" x14ac:dyDescent="0.35">
      <c r="H12397" s="711"/>
      <c r="I12397" s="711"/>
      <c r="J12397" s="711"/>
      <c r="K12397" s="711"/>
      <c r="L12397" s="711"/>
      <c r="Q12397" s="11"/>
      <c r="R12397" s="11"/>
      <c r="S12397" s="11"/>
      <c r="T12397" s="11"/>
    </row>
    <row r="12398" spans="8:20" x14ac:dyDescent="0.35">
      <c r="H12398" s="711"/>
      <c r="I12398" s="711"/>
      <c r="J12398" s="711"/>
      <c r="K12398" s="711"/>
      <c r="L12398" s="711"/>
      <c r="Q12398" s="11"/>
      <c r="R12398" s="11"/>
      <c r="S12398" s="11"/>
      <c r="T12398" s="11"/>
    </row>
    <row r="12399" spans="8:20" x14ac:dyDescent="0.35">
      <c r="H12399" s="711"/>
      <c r="I12399" s="711"/>
      <c r="J12399" s="711"/>
      <c r="K12399" s="711"/>
      <c r="L12399" s="711"/>
      <c r="Q12399" s="11"/>
      <c r="R12399" s="11"/>
      <c r="S12399" s="11"/>
      <c r="T12399" s="11"/>
    </row>
    <row r="12400" spans="8:20" x14ac:dyDescent="0.35">
      <c r="H12400" s="711"/>
      <c r="I12400" s="711"/>
      <c r="J12400" s="711"/>
      <c r="K12400" s="711"/>
      <c r="L12400" s="711"/>
      <c r="Q12400" s="11"/>
      <c r="R12400" s="11"/>
      <c r="S12400" s="11"/>
      <c r="T12400" s="11"/>
    </row>
    <row r="12401" spans="8:20" x14ac:dyDescent="0.35">
      <c r="H12401" s="711"/>
      <c r="I12401" s="711"/>
      <c r="J12401" s="711"/>
      <c r="K12401" s="711"/>
      <c r="L12401" s="711"/>
      <c r="Q12401" s="11"/>
      <c r="R12401" s="11"/>
      <c r="S12401" s="11"/>
      <c r="T12401" s="11"/>
    </row>
    <row r="12402" spans="8:20" x14ac:dyDescent="0.35">
      <c r="H12402" s="711"/>
      <c r="I12402" s="711"/>
      <c r="J12402" s="711"/>
      <c r="K12402" s="711"/>
      <c r="L12402" s="711"/>
      <c r="Q12402" s="11"/>
      <c r="R12402" s="11"/>
      <c r="S12402" s="11"/>
      <c r="T12402" s="11"/>
    </row>
    <row r="12403" spans="8:20" x14ac:dyDescent="0.35">
      <c r="H12403" s="711"/>
      <c r="I12403" s="711"/>
      <c r="J12403" s="711"/>
      <c r="K12403" s="711"/>
      <c r="L12403" s="711"/>
      <c r="Q12403" s="11"/>
      <c r="R12403" s="11"/>
      <c r="S12403" s="11"/>
      <c r="T12403" s="11"/>
    </row>
    <row r="12404" spans="8:20" x14ac:dyDescent="0.35">
      <c r="H12404" s="711"/>
      <c r="I12404" s="711"/>
      <c r="J12404" s="711"/>
      <c r="K12404" s="711"/>
      <c r="L12404" s="711"/>
      <c r="Q12404" s="11"/>
      <c r="R12404" s="11"/>
      <c r="S12404" s="11"/>
      <c r="T12404" s="11"/>
    </row>
    <row r="12405" spans="8:20" x14ac:dyDescent="0.35">
      <c r="H12405" s="711"/>
      <c r="I12405" s="711"/>
      <c r="J12405" s="711"/>
      <c r="K12405" s="711"/>
      <c r="L12405" s="711"/>
      <c r="Q12405" s="11"/>
      <c r="R12405" s="11"/>
      <c r="S12405" s="11"/>
      <c r="T12405" s="11"/>
    </row>
    <row r="12406" spans="8:20" x14ac:dyDescent="0.35">
      <c r="H12406" s="711"/>
      <c r="I12406" s="711"/>
      <c r="J12406" s="711"/>
      <c r="K12406" s="711"/>
      <c r="L12406" s="711"/>
      <c r="Q12406" s="11"/>
      <c r="R12406" s="11"/>
      <c r="S12406" s="11"/>
      <c r="T12406" s="11"/>
    </row>
    <row r="12407" spans="8:20" x14ac:dyDescent="0.35">
      <c r="H12407" s="711"/>
      <c r="I12407" s="711"/>
      <c r="J12407" s="711"/>
      <c r="K12407" s="711"/>
      <c r="L12407" s="711"/>
      <c r="Q12407" s="11"/>
      <c r="R12407" s="11"/>
      <c r="S12407" s="11"/>
      <c r="T12407" s="11"/>
    </row>
    <row r="12408" spans="8:20" x14ac:dyDescent="0.35">
      <c r="H12408" s="711"/>
      <c r="I12408" s="711"/>
      <c r="J12408" s="711"/>
      <c r="K12408" s="711"/>
      <c r="L12408" s="711"/>
      <c r="Q12408" s="11"/>
      <c r="R12408" s="11"/>
      <c r="S12408" s="11"/>
      <c r="T12408" s="11"/>
    </row>
    <row r="12409" spans="8:20" x14ac:dyDescent="0.35">
      <c r="H12409" s="711"/>
      <c r="I12409" s="711"/>
      <c r="J12409" s="711"/>
      <c r="K12409" s="711"/>
      <c r="L12409" s="711"/>
      <c r="Q12409" s="11"/>
      <c r="R12409" s="11"/>
      <c r="S12409" s="11"/>
      <c r="T12409" s="11"/>
    </row>
    <row r="12410" spans="8:20" x14ac:dyDescent="0.35">
      <c r="H12410" s="711"/>
      <c r="I12410" s="711"/>
      <c r="J12410" s="711"/>
      <c r="K12410" s="711"/>
      <c r="L12410" s="711"/>
      <c r="Q12410" s="11"/>
      <c r="R12410" s="11"/>
      <c r="S12410" s="11"/>
      <c r="T12410" s="11"/>
    </row>
    <row r="12411" spans="8:20" x14ac:dyDescent="0.35">
      <c r="H12411" s="711"/>
      <c r="I12411" s="711"/>
      <c r="J12411" s="711"/>
      <c r="K12411" s="711"/>
      <c r="L12411" s="711"/>
      <c r="Q12411" s="11"/>
      <c r="R12411" s="11"/>
      <c r="S12411" s="11"/>
      <c r="T12411" s="11"/>
    </row>
    <row r="12412" spans="8:20" x14ac:dyDescent="0.35">
      <c r="H12412" s="711"/>
      <c r="I12412" s="711"/>
      <c r="J12412" s="711"/>
      <c r="K12412" s="711"/>
      <c r="L12412" s="711"/>
      <c r="Q12412" s="11"/>
      <c r="R12412" s="11"/>
      <c r="S12412" s="11"/>
      <c r="T12412" s="11"/>
    </row>
    <row r="12413" spans="8:20" x14ac:dyDescent="0.35">
      <c r="H12413" s="711"/>
      <c r="I12413" s="711"/>
      <c r="J12413" s="711"/>
      <c r="K12413" s="711"/>
      <c r="L12413" s="711"/>
      <c r="Q12413" s="11"/>
      <c r="R12413" s="11"/>
      <c r="S12413" s="11"/>
      <c r="T12413" s="11"/>
    </row>
    <row r="12414" spans="8:20" x14ac:dyDescent="0.35">
      <c r="H12414" s="711"/>
      <c r="I12414" s="711"/>
      <c r="J12414" s="711"/>
      <c r="K12414" s="711"/>
      <c r="L12414" s="711"/>
      <c r="Q12414" s="11"/>
      <c r="R12414" s="11"/>
      <c r="S12414" s="11"/>
      <c r="T12414" s="11"/>
    </row>
    <row r="12415" spans="8:20" x14ac:dyDescent="0.35">
      <c r="H12415" s="711"/>
      <c r="I12415" s="711"/>
      <c r="J12415" s="711"/>
      <c r="K12415" s="711"/>
      <c r="L12415" s="711"/>
      <c r="Q12415" s="11"/>
      <c r="R12415" s="11"/>
      <c r="S12415" s="11"/>
      <c r="T12415" s="11"/>
    </row>
    <row r="12416" spans="8:20" x14ac:dyDescent="0.35">
      <c r="H12416" s="711"/>
      <c r="I12416" s="711"/>
      <c r="J12416" s="711"/>
      <c r="K12416" s="711"/>
      <c r="L12416" s="711"/>
      <c r="Q12416" s="11"/>
      <c r="R12416" s="11"/>
      <c r="S12416" s="11"/>
      <c r="T12416" s="11"/>
    </row>
    <row r="12417" spans="8:20" x14ac:dyDescent="0.35">
      <c r="H12417" s="711"/>
      <c r="I12417" s="711"/>
      <c r="J12417" s="711"/>
      <c r="K12417" s="711"/>
      <c r="L12417" s="711"/>
      <c r="Q12417" s="11"/>
      <c r="R12417" s="11"/>
      <c r="S12417" s="11"/>
      <c r="T12417" s="11"/>
    </row>
    <row r="12418" spans="8:20" x14ac:dyDescent="0.35">
      <c r="H12418" s="711"/>
      <c r="I12418" s="711"/>
      <c r="J12418" s="711"/>
      <c r="K12418" s="711"/>
      <c r="L12418" s="711"/>
      <c r="Q12418" s="11"/>
      <c r="R12418" s="11"/>
      <c r="S12418" s="11"/>
      <c r="T12418" s="11"/>
    </row>
    <row r="12419" spans="8:20" x14ac:dyDescent="0.35">
      <c r="H12419" s="711"/>
      <c r="I12419" s="711"/>
      <c r="J12419" s="711"/>
      <c r="K12419" s="711"/>
      <c r="L12419" s="711"/>
      <c r="Q12419" s="11"/>
      <c r="R12419" s="11"/>
      <c r="S12419" s="11"/>
      <c r="T12419" s="11"/>
    </row>
    <row r="12420" spans="8:20" x14ac:dyDescent="0.35">
      <c r="H12420" s="711"/>
      <c r="I12420" s="711"/>
      <c r="J12420" s="711"/>
      <c r="K12420" s="711"/>
      <c r="L12420" s="711"/>
      <c r="Q12420" s="11"/>
      <c r="R12420" s="11"/>
      <c r="S12420" s="11"/>
      <c r="T12420" s="11"/>
    </row>
    <row r="12421" spans="8:20" x14ac:dyDescent="0.35">
      <c r="H12421" s="711"/>
      <c r="I12421" s="711"/>
      <c r="J12421" s="711"/>
      <c r="K12421" s="711"/>
      <c r="L12421" s="711"/>
      <c r="Q12421" s="11"/>
      <c r="R12421" s="11"/>
      <c r="S12421" s="11"/>
      <c r="T12421" s="11"/>
    </row>
    <row r="12422" spans="8:20" x14ac:dyDescent="0.35">
      <c r="H12422" s="711"/>
      <c r="I12422" s="711"/>
      <c r="J12422" s="711"/>
      <c r="K12422" s="711"/>
      <c r="L12422" s="711"/>
      <c r="Q12422" s="11"/>
      <c r="R12422" s="11"/>
      <c r="S12422" s="11"/>
      <c r="T12422" s="11"/>
    </row>
    <row r="12423" spans="8:20" x14ac:dyDescent="0.35">
      <c r="H12423" s="711"/>
      <c r="I12423" s="711"/>
      <c r="J12423" s="711"/>
      <c r="K12423" s="711"/>
      <c r="L12423" s="711"/>
      <c r="Q12423" s="11"/>
      <c r="R12423" s="11"/>
      <c r="S12423" s="11"/>
      <c r="T12423" s="11"/>
    </row>
    <row r="12424" spans="8:20" x14ac:dyDescent="0.35">
      <c r="H12424" s="711"/>
      <c r="I12424" s="711"/>
      <c r="J12424" s="711"/>
      <c r="K12424" s="711"/>
      <c r="L12424" s="711"/>
      <c r="Q12424" s="11"/>
      <c r="R12424" s="11"/>
      <c r="S12424" s="11"/>
      <c r="T12424" s="11"/>
    </row>
    <row r="12425" spans="8:20" x14ac:dyDescent="0.35">
      <c r="H12425" s="711"/>
      <c r="I12425" s="711"/>
      <c r="J12425" s="711"/>
      <c r="K12425" s="711"/>
      <c r="L12425" s="711"/>
      <c r="Q12425" s="11"/>
      <c r="R12425" s="11"/>
      <c r="S12425" s="11"/>
      <c r="T12425" s="11"/>
    </row>
    <row r="12426" spans="8:20" x14ac:dyDescent="0.35">
      <c r="H12426" s="711"/>
      <c r="I12426" s="711"/>
      <c r="J12426" s="711"/>
      <c r="K12426" s="711"/>
      <c r="L12426" s="711"/>
      <c r="Q12426" s="11"/>
      <c r="R12426" s="11"/>
      <c r="S12426" s="11"/>
      <c r="T12426" s="11"/>
    </row>
    <row r="12427" spans="8:20" x14ac:dyDescent="0.35">
      <c r="H12427" s="711"/>
      <c r="I12427" s="711"/>
      <c r="J12427" s="711"/>
      <c r="K12427" s="711"/>
      <c r="L12427" s="711"/>
      <c r="Q12427" s="11"/>
      <c r="R12427" s="11"/>
      <c r="S12427" s="11"/>
      <c r="T12427" s="11"/>
    </row>
    <row r="12428" spans="8:20" x14ac:dyDescent="0.35">
      <c r="H12428" s="711"/>
      <c r="I12428" s="711"/>
      <c r="J12428" s="711"/>
      <c r="K12428" s="711"/>
      <c r="L12428" s="711"/>
      <c r="Q12428" s="11"/>
      <c r="R12428" s="11"/>
      <c r="S12428" s="11"/>
      <c r="T12428" s="11"/>
    </row>
    <row r="12429" spans="8:20" x14ac:dyDescent="0.35">
      <c r="H12429" s="711"/>
      <c r="I12429" s="711"/>
      <c r="J12429" s="711"/>
      <c r="K12429" s="711"/>
      <c r="L12429" s="711"/>
      <c r="Q12429" s="11"/>
      <c r="R12429" s="11"/>
      <c r="S12429" s="11"/>
      <c r="T12429" s="11"/>
    </row>
    <row r="12430" spans="8:20" x14ac:dyDescent="0.35">
      <c r="H12430" s="711"/>
      <c r="I12430" s="711"/>
      <c r="J12430" s="711"/>
      <c r="K12430" s="711"/>
      <c r="L12430" s="711"/>
      <c r="Q12430" s="11"/>
      <c r="R12430" s="11"/>
      <c r="S12430" s="11"/>
      <c r="T12430" s="11"/>
    </row>
    <row r="12431" spans="8:20" x14ac:dyDescent="0.35">
      <c r="H12431" s="711"/>
      <c r="I12431" s="711"/>
      <c r="J12431" s="711"/>
      <c r="K12431" s="711"/>
      <c r="L12431" s="711"/>
      <c r="Q12431" s="11"/>
      <c r="R12431" s="11"/>
      <c r="S12431" s="11"/>
      <c r="T12431" s="11"/>
    </row>
    <row r="12432" spans="8:20" x14ac:dyDescent="0.35">
      <c r="H12432" s="711"/>
      <c r="I12432" s="711"/>
      <c r="J12432" s="711"/>
      <c r="K12432" s="711"/>
      <c r="L12432" s="711"/>
      <c r="Q12432" s="11"/>
      <c r="R12432" s="11"/>
      <c r="S12432" s="11"/>
      <c r="T12432" s="11"/>
    </row>
    <row r="12433" spans="8:20" x14ac:dyDescent="0.35">
      <c r="H12433" s="711"/>
      <c r="I12433" s="711"/>
      <c r="J12433" s="711"/>
      <c r="K12433" s="711"/>
      <c r="L12433" s="711"/>
      <c r="Q12433" s="11"/>
      <c r="R12433" s="11"/>
      <c r="S12433" s="11"/>
      <c r="T12433" s="11"/>
    </row>
    <row r="12434" spans="8:20" x14ac:dyDescent="0.35">
      <c r="H12434" s="711"/>
      <c r="I12434" s="711"/>
      <c r="J12434" s="711"/>
      <c r="K12434" s="711"/>
      <c r="L12434" s="711"/>
      <c r="Q12434" s="11"/>
      <c r="R12434" s="11"/>
      <c r="S12434" s="11"/>
      <c r="T12434" s="11"/>
    </row>
    <row r="12435" spans="8:20" x14ac:dyDescent="0.35">
      <c r="H12435" s="711"/>
      <c r="I12435" s="711"/>
      <c r="J12435" s="711"/>
      <c r="K12435" s="711"/>
      <c r="L12435" s="711"/>
      <c r="Q12435" s="11"/>
      <c r="R12435" s="11"/>
      <c r="S12435" s="11"/>
      <c r="T12435" s="11"/>
    </row>
    <row r="12436" spans="8:20" x14ac:dyDescent="0.35">
      <c r="H12436" s="711"/>
      <c r="I12436" s="711"/>
      <c r="J12436" s="711"/>
      <c r="K12436" s="711"/>
      <c r="L12436" s="711"/>
      <c r="Q12436" s="11"/>
      <c r="R12436" s="11"/>
      <c r="S12436" s="11"/>
      <c r="T12436" s="11"/>
    </row>
    <row r="12437" spans="8:20" x14ac:dyDescent="0.35">
      <c r="H12437" s="711"/>
      <c r="I12437" s="711"/>
      <c r="J12437" s="711"/>
      <c r="K12437" s="711"/>
      <c r="L12437" s="711"/>
      <c r="Q12437" s="11"/>
      <c r="R12437" s="11"/>
      <c r="S12437" s="11"/>
      <c r="T12437" s="11"/>
    </row>
    <row r="12438" spans="8:20" x14ac:dyDescent="0.35">
      <c r="H12438" s="711"/>
      <c r="I12438" s="711"/>
      <c r="J12438" s="711"/>
      <c r="K12438" s="711"/>
      <c r="L12438" s="711"/>
      <c r="Q12438" s="11"/>
      <c r="R12438" s="11"/>
      <c r="S12438" s="11"/>
      <c r="T12438" s="11"/>
    </row>
    <row r="12439" spans="8:20" x14ac:dyDescent="0.35">
      <c r="H12439" s="711"/>
      <c r="I12439" s="711"/>
      <c r="J12439" s="711"/>
      <c r="K12439" s="711"/>
      <c r="L12439" s="711"/>
      <c r="Q12439" s="11"/>
      <c r="R12439" s="11"/>
      <c r="S12439" s="11"/>
      <c r="T12439" s="11"/>
    </row>
    <row r="12440" spans="8:20" x14ac:dyDescent="0.35">
      <c r="H12440" s="711"/>
      <c r="I12440" s="711"/>
      <c r="J12440" s="711"/>
      <c r="K12440" s="711"/>
      <c r="L12440" s="711"/>
      <c r="Q12440" s="11"/>
      <c r="R12440" s="11"/>
      <c r="S12440" s="11"/>
      <c r="T12440" s="11"/>
    </row>
    <row r="12441" spans="8:20" x14ac:dyDescent="0.35">
      <c r="H12441" s="711"/>
      <c r="I12441" s="711"/>
      <c r="J12441" s="711"/>
      <c r="K12441" s="711"/>
      <c r="L12441" s="711"/>
      <c r="Q12441" s="11"/>
      <c r="R12441" s="11"/>
      <c r="S12441" s="11"/>
      <c r="T12441" s="11"/>
    </row>
    <row r="12442" spans="8:20" x14ac:dyDescent="0.35">
      <c r="H12442" s="711"/>
      <c r="I12442" s="711"/>
      <c r="J12442" s="711"/>
      <c r="K12442" s="711"/>
      <c r="L12442" s="711"/>
      <c r="Q12442" s="11"/>
      <c r="R12442" s="11"/>
      <c r="S12442" s="11"/>
      <c r="T12442" s="11"/>
    </row>
    <row r="12443" spans="8:20" x14ac:dyDescent="0.35">
      <c r="H12443" s="711"/>
      <c r="I12443" s="711"/>
      <c r="J12443" s="711"/>
      <c r="K12443" s="711"/>
      <c r="L12443" s="711"/>
      <c r="Q12443" s="11"/>
      <c r="R12443" s="11"/>
      <c r="S12443" s="11"/>
      <c r="T12443" s="11"/>
    </row>
    <row r="12444" spans="8:20" x14ac:dyDescent="0.35">
      <c r="H12444" s="711"/>
      <c r="I12444" s="711"/>
      <c r="J12444" s="711"/>
      <c r="K12444" s="711"/>
      <c r="L12444" s="711"/>
      <c r="Q12444" s="11"/>
      <c r="R12444" s="11"/>
      <c r="S12444" s="11"/>
      <c r="T12444" s="11"/>
    </row>
    <row r="12445" spans="8:20" x14ac:dyDescent="0.35">
      <c r="H12445" s="711"/>
      <c r="I12445" s="711"/>
      <c r="J12445" s="711"/>
      <c r="K12445" s="711"/>
      <c r="L12445" s="711"/>
      <c r="Q12445" s="11"/>
      <c r="R12445" s="11"/>
      <c r="S12445" s="11"/>
      <c r="T12445" s="11"/>
    </row>
    <row r="12446" spans="8:20" x14ac:dyDescent="0.35">
      <c r="H12446" s="711"/>
      <c r="I12446" s="711"/>
      <c r="J12446" s="711"/>
      <c r="K12446" s="711"/>
      <c r="L12446" s="711"/>
      <c r="Q12446" s="11"/>
      <c r="R12446" s="11"/>
      <c r="S12446" s="11"/>
      <c r="T12446" s="11"/>
    </row>
    <row r="12447" spans="8:20" x14ac:dyDescent="0.35">
      <c r="H12447" s="711"/>
      <c r="I12447" s="711"/>
      <c r="J12447" s="711"/>
      <c r="K12447" s="711"/>
      <c r="L12447" s="711"/>
      <c r="Q12447" s="11"/>
      <c r="R12447" s="11"/>
      <c r="S12447" s="11"/>
      <c r="T12447" s="11"/>
    </row>
    <row r="12448" spans="8:20" x14ac:dyDescent="0.35">
      <c r="H12448" s="711"/>
      <c r="I12448" s="711"/>
      <c r="J12448" s="711"/>
      <c r="K12448" s="711"/>
      <c r="L12448" s="711"/>
      <c r="Q12448" s="11"/>
      <c r="R12448" s="11"/>
      <c r="S12448" s="11"/>
      <c r="T12448" s="11"/>
    </row>
    <row r="12449" spans="8:20" x14ac:dyDescent="0.35">
      <c r="H12449" s="711"/>
      <c r="I12449" s="711"/>
      <c r="J12449" s="711"/>
      <c r="K12449" s="711"/>
      <c r="L12449" s="711"/>
      <c r="Q12449" s="11"/>
      <c r="R12449" s="11"/>
      <c r="S12449" s="11"/>
      <c r="T12449" s="11"/>
    </row>
    <row r="12450" spans="8:20" x14ac:dyDescent="0.35">
      <c r="H12450" s="711"/>
      <c r="I12450" s="711"/>
      <c r="J12450" s="711"/>
      <c r="K12450" s="711"/>
      <c r="L12450" s="711"/>
      <c r="Q12450" s="11"/>
      <c r="R12450" s="11"/>
      <c r="S12450" s="11"/>
      <c r="T12450" s="11"/>
    </row>
    <row r="12451" spans="8:20" x14ac:dyDescent="0.35">
      <c r="H12451" s="711"/>
      <c r="I12451" s="711"/>
      <c r="J12451" s="711"/>
      <c r="K12451" s="711"/>
      <c r="L12451" s="711"/>
      <c r="Q12451" s="11"/>
      <c r="R12451" s="11"/>
      <c r="S12451" s="11"/>
      <c r="T12451" s="11"/>
    </row>
    <row r="12452" spans="8:20" x14ac:dyDescent="0.35">
      <c r="H12452" s="711"/>
      <c r="I12452" s="711"/>
      <c r="J12452" s="711"/>
      <c r="K12452" s="711"/>
      <c r="L12452" s="711"/>
      <c r="Q12452" s="11"/>
      <c r="R12452" s="11"/>
      <c r="S12452" s="11"/>
      <c r="T12452" s="11"/>
    </row>
    <row r="12453" spans="8:20" x14ac:dyDescent="0.35">
      <c r="H12453" s="711"/>
      <c r="I12453" s="711"/>
      <c r="J12453" s="711"/>
      <c r="K12453" s="711"/>
      <c r="L12453" s="711"/>
      <c r="Q12453" s="11"/>
      <c r="R12453" s="11"/>
      <c r="S12453" s="11"/>
      <c r="T12453" s="11"/>
    </row>
    <row r="12454" spans="8:20" x14ac:dyDescent="0.35">
      <c r="H12454" s="711"/>
      <c r="I12454" s="711"/>
      <c r="J12454" s="711"/>
      <c r="K12454" s="711"/>
      <c r="L12454" s="711"/>
      <c r="Q12454" s="11"/>
      <c r="R12454" s="11"/>
      <c r="S12454" s="11"/>
      <c r="T12454" s="11"/>
    </row>
    <row r="12455" spans="8:20" x14ac:dyDescent="0.35">
      <c r="H12455" s="711"/>
      <c r="I12455" s="711"/>
      <c r="J12455" s="711"/>
      <c r="K12455" s="711"/>
      <c r="L12455" s="711"/>
      <c r="Q12455" s="11"/>
      <c r="R12455" s="11"/>
      <c r="S12455" s="11"/>
      <c r="T12455" s="11"/>
    </row>
    <row r="12456" spans="8:20" x14ac:dyDescent="0.35">
      <c r="H12456" s="711"/>
      <c r="I12456" s="711"/>
      <c r="J12456" s="711"/>
      <c r="K12456" s="711"/>
      <c r="L12456" s="711"/>
      <c r="Q12456" s="11"/>
      <c r="R12456" s="11"/>
      <c r="S12456" s="11"/>
      <c r="T12456" s="11"/>
    </row>
    <row r="12457" spans="8:20" x14ac:dyDescent="0.35">
      <c r="H12457" s="711"/>
      <c r="I12457" s="711"/>
      <c r="J12457" s="711"/>
      <c r="K12457" s="711"/>
      <c r="L12457" s="711"/>
      <c r="Q12457" s="11"/>
      <c r="R12457" s="11"/>
      <c r="S12457" s="11"/>
      <c r="T12457" s="11"/>
    </row>
    <row r="12458" spans="8:20" x14ac:dyDescent="0.35">
      <c r="H12458" s="711"/>
      <c r="I12458" s="711"/>
      <c r="J12458" s="711"/>
      <c r="K12458" s="711"/>
      <c r="L12458" s="711"/>
      <c r="Q12458" s="11"/>
      <c r="R12458" s="11"/>
      <c r="S12458" s="11"/>
      <c r="T12458" s="11"/>
    </row>
    <row r="12459" spans="8:20" x14ac:dyDescent="0.35">
      <c r="H12459" s="711"/>
      <c r="I12459" s="711"/>
      <c r="J12459" s="711"/>
      <c r="K12459" s="711"/>
      <c r="L12459" s="711"/>
      <c r="Q12459" s="11"/>
      <c r="R12459" s="11"/>
      <c r="S12459" s="11"/>
      <c r="T12459" s="11"/>
    </row>
    <row r="12460" spans="8:20" x14ac:dyDescent="0.35">
      <c r="H12460" s="711"/>
      <c r="I12460" s="711"/>
      <c r="J12460" s="711"/>
      <c r="K12460" s="711"/>
      <c r="L12460" s="711"/>
      <c r="Q12460" s="11"/>
      <c r="R12460" s="11"/>
      <c r="S12460" s="11"/>
      <c r="T12460" s="11"/>
    </row>
    <row r="12461" spans="8:20" x14ac:dyDescent="0.35">
      <c r="H12461" s="711"/>
      <c r="I12461" s="711"/>
      <c r="J12461" s="711"/>
      <c r="K12461" s="711"/>
      <c r="L12461" s="711"/>
      <c r="Q12461" s="11"/>
      <c r="R12461" s="11"/>
      <c r="S12461" s="11"/>
      <c r="T12461" s="11"/>
    </row>
    <row r="12462" spans="8:20" x14ac:dyDescent="0.35">
      <c r="H12462" s="711"/>
      <c r="I12462" s="711"/>
      <c r="J12462" s="711"/>
      <c r="K12462" s="711"/>
      <c r="L12462" s="711"/>
      <c r="Q12462" s="11"/>
      <c r="R12462" s="11"/>
      <c r="S12462" s="11"/>
      <c r="T12462" s="11"/>
    </row>
    <row r="12463" spans="8:20" x14ac:dyDescent="0.35">
      <c r="H12463" s="711"/>
      <c r="I12463" s="711"/>
      <c r="J12463" s="711"/>
      <c r="K12463" s="711"/>
      <c r="L12463" s="711"/>
      <c r="Q12463" s="11"/>
      <c r="R12463" s="11"/>
      <c r="S12463" s="11"/>
      <c r="T12463" s="11"/>
    </row>
    <row r="12464" spans="8:20" x14ac:dyDescent="0.35">
      <c r="H12464" s="711"/>
      <c r="I12464" s="711"/>
      <c r="J12464" s="711"/>
      <c r="K12464" s="711"/>
      <c r="L12464" s="711"/>
      <c r="Q12464" s="11"/>
      <c r="R12464" s="11"/>
      <c r="S12464" s="11"/>
      <c r="T12464" s="11"/>
    </row>
    <row r="12465" spans="8:20" x14ac:dyDescent="0.35">
      <c r="H12465" s="711"/>
      <c r="I12465" s="711"/>
      <c r="J12465" s="711"/>
      <c r="K12465" s="711"/>
      <c r="L12465" s="711"/>
      <c r="Q12465" s="11"/>
      <c r="R12465" s="11"/>
      <c r="S12465" s="11"/>
      <c r="T12465" s="11"/>
    </row>
    <row r="12466" spans="8:20" x14ac:dyDescent="0.35">
      <c r="H12466" s="711"/>
      <c r="I12466" s="711"/>
      <c r="J12466" s="711"/>
      <c r="K12466" s="711"/>
      <c r="L12466" s="711"/>
      <c r="Q12466" s="11"/>
      <c r="R12466" s="11"/>
      <c r="S12466" s="11"/>
      <c r="T12466" s="11"/>
    </row>
    <row r="12467" spans="8:20" x14ac:dyDescent="0.35">
      <c r="H12467" s="711"/>
      <c r="I12467" s="711"/>
      <c r="J12467" s="711"/>
      <c r="K12467" s="711"/>
      <c r="L12467" s="711"/>
      <c r="Q12467" s="11"/>
      <c r="R12467" s="11"/>
      <c r="S12467" s="11"/>
      <c r="T12467" s="11"/>
    </row>
    <row r="12468" spans="8:20" x14ac:dyDescent="0.35">
      <c r="H12468" s="711"/>
      <c r="I12468" s="711"/>
      <c r="J12468" s="711"/>
      <c r="K12468" s="711"/>
      <c r="L12468" s="711"/>
      <c r="Q12468" s="11"/>
      <c r="R12468" s="11"/>
      <c r="S12468" s="11"/>
      <c r="T12468" s="11"/>
    </row>
    <row r="12469" spans="8:20" x14ac:dyDescent="0.35">
      <c r="H12469" s="711"/>
      <c r="I12469" s="711"/>
      <c r="J12469" s="711"/>
      <c r="K12469" s="711"/>
      <c r="L12469" s="711"/>
      <c r="Q12469" s="11"/>
      <c r="R12469" s="11"/>
      <c r="S12469" s="11"/>
      <c r="T12469" s="11"/>
    </row>
    <row r="12470" spans="8:20" x14ac:dyDescent="0.35">
      <c r="H12470" s="711"/>
      <c r="I12470" s="711"/>
      <c r="J12470" s="711"/>
      <c r="K12470" s="711"/>
      <c r="L12470" s="711"/>
      <c r="Q12470" s="11"/>
      <c r="R12470" s="11"/>
      <c r="S12470" s="11"/>
      <c r="T12470" s="11"/>
    </row>
    <row r="12471" spans="8:20" x14ac:dyDescent="0.35">
      <c r="H12471" s="711"/>
      <c r="I12471" s="711"/>
      <c r="J12471" s="711"/>
      <c r="K12471" s="711"/>
      <c r="L12471" s="711"/>
      <c r="Q12471" s="11"/>
      <c r="R12471" s="11"/>
      <c r="S12471" s="11"/>
      <c r="T12471" s="11"/>
    </row>
    <row r="12472" spans="8:20" x14ac:dyDescent="0.35">
      <c r="H12472" s="711"/>
      <c r="I12472" s="711"/>
      <c r="J12472" s="711"/>
      <c r="K12472" s="711"/>
      <c r="L12472" s="711"/>
      <c r="Q12472" s="11"/>
      <c r="R12472" s="11"/>
      <c r="S12472" s="11"/>
      <c r="T12472" s="11"/>
    </row>
    <row r="12473" spans="8:20" x14ac:dyDescent="0.35">
      <c r="H12473" s="711"/>
      <c r="I12473" s="711"/>
      <c r="J12473" s="711"/>
      <c r="K12473" s="711"/>
      <c r="L12473" s="711"/>
      <c r="Q12473" s="11"/>
      <c r="R12473" s="11"/>
      <c r="S12473" s="11"/>
      <c r="T12473" s="11"/>
    </row>
    <row r="12474" spans="8:20" x14ac:dyDescent="0.35">
      <c r="H12474" s="711"/>
      <c r="I12474" s="711"/>
      <c r="J12474" s="711"/>
      <c r="K12474" s="711"/>
      <c r="L12474" s="711"/>
      <c r="Q12474" s="11"/>
      <c r="R12474" s="11"/>
      <c r="S12474" s="11"/>
      <c r="T12474" s="11"/>
    </row>
    <row r="12475" spans="8:20" x14ac:dyDescent="0.35">
      <c r="H12475" s="711"/>
      <c r="I12475" s="711"/>
      <c r="J12475" s="711"/>
      <c r="K12475" s="711"/>
      <c r="L12475" s="711"/>
      <c r="Q12475" s="11"/>
      <c r="R12475" s="11"/>
      <c r="S12475" s="11"/>
      <c r="T12475" s="11"/>
    </row>
    <row r="12476" spans="8:20" x14ac:dyDescent="0.35">
      <c r="H12476" s="711"/>
      <c r="I12476" s="711"/>
      <c r="J12476" s="711"/>
      <c r="K12476" s="711"/>
      <c r="L12476" s="711"/>
      <c r="Q12476" s="11"/>
      <c r="R12476" s="11"/>
      <c r="S12476" s="11"/>
      <c r="T12476" s="11"/>
    </row>
    <row r="12477" spans="8:20" x14ac:dyDescent="0.35">
      <c r="H12477" s="711"/>
      <c r="I12477" s="711"/>
      <c r="J12477" s="711"/>
      <c r="K12477" s="711"/>
      <c r="L12477" s="711"/>
      <c r="Q12477" s="11"/>
      <c r="R12477" s="11"/>
      <c r="S12477" s="11"/>
      <c r="T12477" s="11"/>
    </row>
    <row r="12478" spans="8:20" x14ac:dyDescent="0.35">
      <c r="H12478" s="711"/>
      <c r="I12478" s="711"/>
      <c r="J12478" s="711"/>
      <c r="K12478" s="711"/>
      <c r="L12478" s="711"/>
      <c r="Q12478" s="11"/>
      <c r="R12478" s="11"/>
      <c r="S12478" s="11"/>
      <c r="T12478" s="11"/>
    </row>
    <row r="12479" spans="8:20" x14ac:dyDescent="0.35">
      <c r="H12479" s="711"/>
      <c r="I12479" s="711"/>
      <c r="J12479" s="711"/>
      <c r="K12479" s="711"/>
      <c r="L12479" s="711"/>
      <c r="Q12479" s="11"/>
      <c r="R12479" s="11"/>
      <c r="S12479" s="11"/>
      <c r="T12479" s="11"/>
    </row>
    <row r="12480" spans="8:20" x14ac:dyDescent="0.35">
      <c r="H12480" s="711"/>
      <c r="I12480" s="711"/>
      <c r="J12480" s="711"/>
      <c r="K12480" s="711"/>
      <c r="L12480" s="711"/>
      <c r="Q12480" s="11"/>
      <c r="R12480" s="11"/>
      <c r="S12480" s="11"/>
      <c r="T12480" s="11"/>
    </row>
    <row r="12481" spans="8:20" x14ac:dyDescent="0.35">
      <c r="H12481" s="711"/>
      <c r="I12481" s="711"/>
      <c r="J12481" s="711"/>
      <c r="K12481" s="711"/>
      <c r="L12481" s="711"/>
      <c r="Q12481" s="11"/>
      <c r="R12481" s="11"/>
      <c r="S12481" s="11"/>
      <c r="T12481" s="11"/>
    </row>
    <row r="12482" spans="8:20" x14ac:dyDescent="0.35">
      <c r="H12482" s="711"/>
      <c r="I12482" s="711"/>
      <c r="J12482" s="711"/>
      <c r="K12482" s="711"/>
      <c r="L12482" s="711"/>
      <c r="Q12482" s="11"/>
      <c r="R12482" s="11"/>
      <c r="S12482" s="11"/>
      <c r="T12482" s="11"/>
    </row>
    <row r="12483" spans="8:20" x14ac:dyDescent="0.35">
      <c r="H12483" s="711"/>
      <c r="I12483" s="711"/>
      <c r="J12483" s="711"/>
      <c r="K12483" s="711"/>
      <c r="L12483" s="711"/>
      <c r="Q12483" s="11"/>
      <c r="R12483" s="11"/>
      <c r="S12483" s="11"/>
      <c r="T12483" s="11"/>
    </row>
    <row r="12484" spans="8:20" x14ac:dyDescent="0.35">
      <c r="H12484" s="711"/>
      <c r="I12484" s="711"/>
      <c r="J12484" s="711"/>
      <c r="K12484" s="711"/>
      <c r="L12484" s="711"/>
      <c r="Q12484" s="11"/>
      <c r="R12484" s="11"/>
      <c r="S12484" s="11"/>
      <c r="T12484" s="11"/>
    </row>
    <row r="12485" spans="8:20" x14ac:dyDescent="0.35">
      <c r="H12485" s="711"/>
      <c r="I12485" s="711"/>
      <c r="J12485" s="711"/>
      <c r="K12485" s="711"/>
      <c r="L12485" s="711"/>
      <c r="Q12485" s="11"/>
      <c r="R12485" s="11"/>
      <c r="S12485" s="11"/>
      <c r="T12485" s="11"/>
    </row>
    <row r="12486" spans="8:20" x14ac:dyDescent="0.35">
      <c r="H12486" s="711"/>
      <c r="I12486" s="711"/>
      <c r="J12486" s="711"/>
      <c r="K12486" s="711"/>
      <c r="L12486" s="711"/>
      <c r="Q12486" s="11"/>
      <c r="R12486" s="11"/>
      <c r="S12486" s="11"/>
      <c r="T12486" s="11"/>
    </row>
    <row r="12487" spans="8:20" x14ac:dyDescent="0.35">
      <c r="H12487" s="711"/>
      <c r="I12487" s="711"/>
      <c r="J12487" s="711"/>
      <c r="K12487" s="711"/>
      <c r="L12487" s="711"/>
      <c r="Q12487" s="11"/>
      <c r="R12487" s="11"/>
      <c r="S12487" s="11"/>
      <c r="T12487" s="11"/>
    </row>
    <row r="12488" spans="8:20" x14ac:dyDescent="0.35">
      <c r="H12488" s="711"/>
      <c r="I12488" s="711"/>
      <c r="J12488" s="711"/>
      <c r="K12488" s="711"/>
      <c r="L12488" s="711"/>
      <c r="Q12488" s="11"/>
      <c r="R12488" s="11"/>
      <c r="S12488" s="11"/>
      <c r="T12488" s="11"/>
    </row>
    <row r="12489" spans="8:20" x14ac:dyDescent="0.35">
      <c r="H12489" s="711"/>
      <c r="I12489" s="711"/>
      <c r="J12489" s="711"/>
      <c r="K12489" s="711"/>
      <c r="L12489" s="711"/>
      <c r="Q12489" s="11"/>
      <c r="R12489" s="11"/>
      <c r="S12489" s="11"/>
      <c r="T12489" s="11"/>
    </row>
    <row r="12490" spans="8:20" x14ac:dyDescent="0.35">
      <c r="H12490" s="711"/>
      <c r="I12490" s="711"/>
      <c r="J12490" s="711"/>
      <c r="K12490" s="711"/>
      <c r="L12490" s="711"/>
      <c r="Q12490" s="11"/>
      <c r="R12490" s="11"/>
      <c r="S12490" s="11"/>
      <c r="T12490" s="11"/>
    </row>
    <row r="12491" spans="8:20" x14ac:dyDescent="0.35">
      <c r="H12491" s="711"/>
      <c r="I12491" s="711"/>
      <c r="J12491" s="711"/>
      <c r="K12491" s="711"/>
      <c r="L12491" s="711"/>
      <c r="Q12491" s="11"/>
      <c r="R12491" s="11"/>
      <c r="S12491" s="11"/>
      <c r="T12491" s="11"/>
    </row>
    <row r="12492" spans="8:20" x14ac:dyDescent="0.35">
      <c r="H12492" s="711"/>
      <c r="I12492" s="711"/>
      <c r="J12492" s="711"/>
      <c r="K12492" s="711"/>
      <c r="L12492" s="711"/>
      <c r="Q12492" s="11"/>
      <c r="R12492" s="11"/>
      <c r="S12492" s="11"/>
      <c r="T12492" s="11"/>
    </row>
    <row r="12493" spans="8:20" x14ac:dyDescent="0.35">
      <c r="H12493" s="711"/>
      <c r="I12493" s="711"/>
      <c r="J12493" s="711"/>
      <c r="K12493" s="711"/>
      <c r="L12493" s="711"/>
      <c r="Q12493" s="11"/>
      <c r="R12493" s="11"/>
      <c r="S12493" s="11"/>
      <c r="T12493" s="11"/>
    </row>
    <row r="12494" spans="8:20" x14ac:dyDescent="0.35">
      <c r="H12494" s="711"/>
      <c r="I12494" s="711"/>
      <c r="J12494" s="711"/>
      <c r="K12494" s="711"/>
      <c r="L12494" s="711"/>
      <c r="Q12494" s="11"/>
      <c r="R12494" s="11"/>
      <c r="S12494" s="11"/>
      <c r="T12494" s="11"/>
    </row>
    <row r="12495" spans="8:20" x14ac:dyDescent="0.35">
      <c r="H12495" s="711"/>
      <c r="I12495" s="711"/>
      <c r="J12495" s="711"/>
      <c r="K12495" s="711"/>
      <c r="L12495" s="711"/>
      <c r="Q12495" s="11"/>
      <c r="R12495" s="11"/>
      <c r="S12495" s="11"/>
      <c r="T12495" s="11"/>
    </row>
    <row r="12496" spans="8:20" x14ac:dyDescent="0.35">
      <c r="H12496" s="711"/>
      <c r="I12496" s="711"/>
      <c r="J12496" s="711"/>
      <c r="K12496" s="711"/>
      <c r="L12496" s="711"/>
      <c r="Q12496" s="11"/>
      <c r="R12496" s="11"/>
      <c r="S12496" s="11"/>
      <c r="T12496" s="11"/>
    </row>
    <row r="12497" spans="8:20" x14ac:dyDescent="0.35">
      <c r="H12497" s="711"/>
      <c r="I12497" s="711"/>
      <c r="J12497" s="711"/>
      <c r="K12497" s="711"/>
      <c r="L12497" s="711"/>
      <c r="Q12497" s="11"/>
      <c r="R12497" s="11"/>
      <c r="S12497" s="11"/>
      <c r="T12497" s="11"/>
    </row>
    <row r="12498" spans="8:20" x14ac:dyDescent="0.35">
      <c r="H12498" s="711"/>
      <c r="I12498" s="711"/>
      <c r="J12498" s="711"/>
      <c r="K12498" s="711"/>
      <c r="L12498" s="711"/>
      <c r="Q12498" s="11"/>
      <c r="R12498" s="11"/>
      <c r="S12498" s="11"/>
      <c r="T12498" s="11"/>
    </row>
    <row r="12499" spans="8:20" x14ac:dyDescent="0.35">
      <c r="H12499" s="711"/>
      <c r="I12499" s="711"/>
      <c r="J12499" s="711"/>
      <c r="K12499" s="711"/>
      <c r="L12499" s="711"/>
      <c r="Q12499" s="11"/>
      <c r="R12499" s="11"/>
      <c r="S12499" s="11"/>
      <c r="T12499" s="11"/>
    </row>
    <row r="12500" spans="8:20" x14ac:dyDescent="0.35">
      <c r="H12500" s="711"/>
      <c r="I12500" s="711"/>
      <c r="J12500" s="711"/>
      <c r="K12500" s="711"/>
      <c r="L12500" s="711"/>
      <c r="Q12500" s="11"/>
      <c r="R12500" s="11"/>
      <c r="S12500" s="11"/>
      <c r="T12500" s="11"/>
    </row>
    <row r="12501" spans="8:20" x14ac:dyDescent="0.35">
      <c r="H12501" s="711"/>
      <c r="I12501" s="711"/>
      <c r="J12501" s="711"/>
      <c r="K12501" s="711"/>
      <c r="L12501" s="711"/>
      <c r="Q12501" s="11"/>
      <c r="R12501" s="11"/>
      <c r="S12501" s="11"/>
      <c r="T12501" s="11"/>
    </row>
    <row r="12502" spans="8:20" x14ac:dyDescent="0.35">
      <c r="H12502" s="711"/>
      <c r="I12502" s="711"/>
      <c r="J12502" s="711"/>
      <c r="K12502" s="711"/>
      <c r="L12502" s="711"/>
      <c r="Q12502" s="11"/>
      <c r="R12502" s="11"/>
      <c r="S12502" s="11"/>
      <c r="T12502" s="11"/>
    </row>
    <row r="12503" spans="8:20" x14ac:dyDescent="0.35">
      <c r="H12503" s="711"/>
      <c r="I12503" s="711"/>
      <c r="J12503" s="711"/>
      <c r="K12503" s="711"/>
      <c r="L12503" s="711"/>
      <c r="Q12503" s="11"/>
      <c r="R12503" s="11"/>
      <c r="S12503" s="11"/>
      <c r="T12503" s="11"/>
    </row>
    <row r="12504" spans="8:20" x14ac:dyDescent="0.35">
      <c r="H12504" s="711"/>
      <c r="I12504" s="711"/>
      <c r="J12504" s="711"/>
      <c r="K12504" s="711"/>
      <c r="L12504" s="711"/>
      <c r="Q12504" s="11"/>
      <c r="R12504" s="11"/>
      <c r="S12504" s="11"/>
      <c r="T12504" s="11"/>
    </row>
    <row r="12505" spans="8:20" x14ac:dyDescent="0.35">
      <c r="H12505" s="711"/>
      <c r="I12505" s="711"/>
      <c r="J12505" s="711"/>
      <c r="K12505" s="711"/>
      <c r="L12505" s="711"/>
      <c r="Q12505" s="11"/>
      <c r="R12505" s="11"/>
      <c r="S12505" s="11"/>
      <c r="T12505" s="11"/>
    </row>
    <row r="12506" spans="8:20" x14ac:dyDescent="0.35">
      <c r="H12506" s="711"/>
      <c r="I12506" s="711"/>
      <c r="J12506" s="711"/>
      <c r="K12506" s="711"/>
      <c r="L12506" s="711"/>
      <c r="Q12506" s="11"/>
      <c r="R12506" s="11"/>
      <c r="S12506" s="11"/>
      <c r="T12506" s="11"/>
    </row>
    <row r="12507" spans="8:20" x14ac:dyDescent="0.35">
      <c r="H12507" s="711"/>
      <c r="I12507" s="711"/>
      <c r="J12507" s="711"/>
      <c r="K12507" s="711"/>
      <c r="L12507" s="711"/>
      <c r="Q12507" s="11"/>
      <c r="R12507" s="11"/>
      <c r="S12507" s="11"/>
      <c r="T12507" s="11"/>
    </row>
    <row r="12508" spans="8:20" x14ac:dyDescent="0.35">
      <c r="H12508" s="711"/>
      <c r="I12508" s="711"/>
      <c r="J12508" s="711"/>
      <c r="K12508" s="711"/>
      <c r="L12508" s="711"/>
      <c r="Q12508" s="11"/>
      <c r="R12508" s="11"/>
      <c r="S12508" s="11"/>
      <c r="T12508" s="11"/>
    </row>
    <row r="12509" spans="8:20" x14ac:dyDescent="0.35">
      <c r="H12509" s="711"/>
      <c r="I12509" s="711"/>
      <c r="J12509" s="711"/>
      <c r="K12509" s="711"/>
      <c r="L12509" s="711"/>
      <c r="Q12509" s="11"/>
      <c r="R12509" s="11"/>
      <c r="S12509" s="11"/>
      <c r="T12509" s="11"/>
    </row>
    <row r="12510" spans="8:20" x14ac:dyDescent="0.35">
      <c r="H12510" s="711"/>
      <c r="I12510" s="711"/>
      <c r="J12510" s="711"/>
      <c r="K12510" s="711"/>
      <c r="L12510" s="711"/>
      <c r="Q12510" s="11"/>
      <c r="R12510" s="11"/>
      <c r="S12510" s="11"/>
      <c r="T12510" s="11"/>
    </row>
    <row r="12511" spans="8:20" x14ac:dyDescent="0.35">
      <c r="H12511" s="711"/>
      <c r="I12511" s="711"/>
      <c r="J12511" s="711"/>
      <c r="K12511" s="711"/>
      <c r="L12511" s="711"/>
      <c r="Q12511" s="11"/>
      <c r="R12511" s="11"/>
      <c r="S12511" s="11"/>
      <c r="T12511" s="11"/>
    </row>
    <row r="12512" spans="8:20" x14ac:dyDescent="0.35">
      <c r="H12512" s="711"/>
      <c r="I12512" s="711"/>
      <c r="J12512" s="711"/>
      <c r="K12512" s="711"/>
      <c r="L12512" s="711"/>
      <c r="Q12512" s="11"/>
      <c r="R12512" s="11"/>
      <c r="S12512" s="11"/>
      <c r="T12512" s="11"/>
    </row>
    <row r="12513" spans="8:20" x14ac:dyDescent="0.35">
      <c r="H12513" s="711"/>
      <c r="I12513" s="711"/>
      <c r="J12513" s="711"/>
      <c r="K12513" s="711"/>
      <c r="L12513" s="711"/>
      <c r="Q12513" s="11"/>
      <c r="R12513" s="11"/>
      <c r="S12513" s="11"/>
      <c r="T12513" s="11"/>
    </row>
    <row r="12514" spans="8:20" x14ac:dyDescent="0.35">
      <c r="H12514" s="711"/>
      <c r="I12514" s="711"/>
      <c r="J12514" s="711"/>
      <c r="K12514" s="711"/>
      <c r="L12514" s="711"/>
      <c r="Q12514" s="11"/>
      <c r="R12514" s="11"/>
      <c r="S12514" s="11"/>
      <c r="T12514" s="11"/>
    </row>
    <row r="12515" spans="8:20" x14ac:dyDescent="0.35">
      <c r="H12515" s="711"/>
      <c r="I12515" s="711"/>
      <c r="J12515" s="711"/>
      <c r="K12515" s="711"/>
      <c r="L12515" s="711"/>
      <c r="Q12515" s="11"/>
      <c r="R12515" s="11"/>
      <c r="S12515" s="11"/>
      <c r="T12515" s="11"/>
    </row>
    <row r="12516" spans="8:20" x14ac:dyDescent="0.35">
      <c r="H12516" s="711"/>
      <c r="I12516" s="711"/>
      <c r="J12516" s="711"/>
      <c r="K12516" s="711"/>
      <c r="L12516" s="711"/>
      <c r="Q12516" s="11"/>
      <c r="R12516" s="11"/>
      <c r="S12516" s="11"/>
      <c r="T12516" s="11"/>
    </row>
    <row r="12517" spans="8:20" x14ac:dyDescent="0.35">
      <c r="H12517" s="711"/>
      <c r="I12517" s="711"/>
      <c r="J12517" s="711"/>
      <c r="K12517" s="711"/>
      <c r="L12517" s="711"/>
      <c r="Q12517" s="11"/>
      <c r="R12517" s="11"/>
      <c r="S12517" s="11"/>
      <c r="T12517" s="11"/>
    </row>
    <row r="12518" spans="8:20" x14ac:dyDescent="0.35">
      <c r="H12518" s="711"/>
      <c r="I12518" s="711"/>
      <c r="J12518" s="711"/>
      <c r="K12518" s="711"/>
      <c r="L12518" s="711"/>
      <c r="Q12518" s="11"/>
      <c r="R12518" s="11"/>
      <c r="S12518" s="11"/>
      <c r="T12518" s="11"/>
    </row>
    <row r="12519" spans="8:20" x14ac:dyDescent="0.35">
      <c r="H12519" s="711"/>
      <c r="I12519" s="711"/>
      <c r="J12519" s="711"/>
      <c r="K12519" s="711"/>
      <c r="L12519" s="711"/>
      <c r="Q12519" s="11"/>
      <c r="R12519" s="11"/>
      <c r="S12519" s="11"/>
      <c r="T12519" s="11"/>
    </row>
    <row r="12520" spans="8:20" x14ac:dyDescent="0.35">
      <c r="H12520" s="711"/>
      <c r="I12520" s="711"/>
      <c r="J12520" s="711"/>
      <c r="K12520" s="711"/>
      <c r="L12520" s="711"/>
      <c r="Q12520" s="11"/>
      <c r="R12520" s="11"/>
      <c r="S12520" s="11"/>
      <c r="T12520" s="11"/>
    </row>
    <row r="12521" spans="8:20" x14ac:dyDescent="0.35">
      <c r="H12521" s="711"/>
      <c r="I12521" s="711"/>
      <c r="J12521" s="711"/>
      <c r="K12521" s="711"/>
      <c r="L12521" s="711"/>
      <c r="Q12521" s="11"/>
      <c r="R12521" s="11"/>
      <c r="S12521" s="11"/>
      <c r="T12521" s="11"/>
    </row>
    <row r="12522" spans="8:20" x14ac:dyDescent="0.35">
      <c r="H12522" s="711"/>
      <c r="I12522" s="711"/>
      <c r="J12522" s="711"/>
      <c r="K12522" s="711"/>
      <c r="L12522" s="711"/>
      <c r="Q12522" s="11"/>
      <c r="R12522" s="11"/>
      <c r="S12522" s="11"/>
      <c r="T12522" s="11"/>
    </row>
    <row r="12523" spans="8:20" x14ac:dyDescent="0.35">
      <c r="H12523" s="711"/>
      <c r="I12523" s="711"/>
      <c r="J12523" s="711"/>
      <c r="K12523" s="711"/>
      <c r="L12523" s="711"/>
      <c r="Q12523" s="11"/>
      <c r="R12523" s="11"/>
      <c r="S12523" s="11"/>
      <c r="T12523" s="11"/>
    </row>
    <row r="12524" spans="8:20" x14ac:dyDescent="0.35">
      <c r="H12524" s="711"/>
      <c r="I12524" s="711"/>
      <c r="J12524" s="711"/>
      <c r="K12524" s="711"/>
      <c r="L12524" s="711"/>
      <c r="Q12524" s="11"/>
      <c r="R12524" s="11"/>
      <c r="S12524" s="11"/>
      <c r="T12524" s="11"/>
    </row>
    <row r="12525" spans="8:20" x14ac:dyDescent="0.35">
      <c r="H12525" s="711"/>
      <c r="I12525" s="711"/>
      <c r="J12525" s="711"/>
      <c r="K12525" s="711"/>
      <c r="L12525" s="711"/>
      <c r="Q12525" s="11"/>
      <c r="R12525" s="11"/>
      <c r="S12525" s="11"/>
      <c r="T12525" s="11"/>
    </row>
    <row r="12526" spans="8:20" x14ac:dyDescent="0.35">
      <c r="H12526" s="711"/>
      <c r="I12526" s="711"/>
      <c r="J12526" s="711"/>
      <c r="K12526" s="711"/>
      <c r="L12526" s="711"/>
      <c r="Q12526" s="11"/>
      <c r="R12526" s="11"/>
      <c r="S12526" s="11"/>
      <c r="T12526" s="11"/>
    </row>
    <row r="12527" spans="8:20" x14ac:dyDescent="0.35">
      <c r="H12527" s="711"/>
      <c r="I12527" s="711"/>
      <c r="J12527" s="711"/>
      <c r="K12527" s="711"/>
      <c r="L12527" s="711"/>
      <c r="Q12527" s="11"/>
      <c r="R12527" s="11"/>
      <c r="S12527" s="11"/>
      <c r="T12527" s="11"/>
    </row>
    <row r="12528" spans="8:20" x14ac:dyDescent="0.35">
      <c r="H12528" s="711"/>
      <c r="I12528" s="711"/>
      <c r="J12528" s="711"/>
      <c r="K12528" s="711"/>
      <c r="L12528" s="711"/>
      <c r="Q12528" s="11"/>
      <c r="R12528" s="11"/>
      <c r="S12528" s="11"/>
      <c r="T12528" s="11"/>
    </row>
    <row r="12529" spans="8:20" x14ac:dyDescent="0.35">
      <c r="H12529" s="711"/>
      <c r="I12529" s="711"/>
      <c r="J12529" s="711"/>
      <c r="K12529" s="711"/>
      <c r="L12529" s="711"/>
      <c r="Q12529" s="11"/>
      <c r="R12529" s="11"/>
      <c r="S12529" s="11"/>
      <c r="T12529" s="11"/>
    </row>
    <row r="12530" spans="8:20" x14ac:dyDescent="0.35">
      <c r="H12530" s="711"/>
      <c r="I12530" s="711"/>
      <c r="J12530" s="711"/>
      <c r="K12530" s="711"/>
      <c r="L12530" s="711"/>
      <c r="Q12530" s="11"/>
      <c r="R12530" s="11"/>
      <c r="S12530" s="11"/>
      <c r="T12530" s="11"/>
    </row>
    <row r="12531" spans="8:20" x14ac:dyDescent="0.35">
      <c r="H12531" s="711"/>
      <c r="I12531" s="711"/>
      <c r="J12531" s="711"/>
      <c r="K12531" s="711"/>
      <c r="L12531" s="711"/>
      <c r="Q12531" s="11"/>
      <c r="R12531" s="11"/>
      <c r="S12531" s="11"/>
      <c r="T12531" s="11"/>
    </row>
    <row r="12532" spans="8:20" x14ac:dyDescent="0.35">
      <c r="H12532" s="711"/>
      <c r="I12532" s="711"/>
      <c r="J12532" s="711"/>
      <c r="K12532" s="711"/>
      <c r="L12532" s="711"/>
      <c r="Q12532" s="11"/>
      <c r="R12532" s="11"/>
      <c r="S12532" s="11"/>
      <c r="T12532" s="11"/>
    </row>
    <row r="12533" spans="8:20" x14ac:dyDescent="0.35">
      <c r="H12533" s="711"/>
      <c r="I12533" s="711"/>
      <c r="J12533" s="711"/>
      <c r="K12533" s="711"/>
      <c r="L12533" s="711"/>
      <c r="Q12533" s="11"/>
      <c r="R12533" s="11"/>
      <c r="S12533" s="11"/>
      <c r="T12533" s="11"/>
    </row>
    <row r="12534" spans="8:20" x14ac:dyDescent="0.35">
      <c r="H12534" s="711"/>
      <c r="I12534" s="711"/>
      <c r="J12534" s="711"/>
      <c r="K12534" s="711"/>
      <c r="L12534" s="711"/>
      <c r="Q12534" s="11"/>
      <c r="R12534" s="11"/>
      <c r="S12534" s="11"/>
      <c r="T12534" s="11"/>
    </row>
    <row r="12535" spans="8:20" x14ac:dyDescent="0.35">
      <c r="H12535" s="711"/>
      <c r="I12535" s="711"/>
      <c r="J12535" s="711"/>
      <c r="K12535" s="711"/>
      <c r="L12535" s="711"/>
      <c r="Q12535" s="11"/>
      <c r="R12535" s="11"/>
      <c r="S12535" s="11"/>
      <c r="T12535" s="11"/>
    </row>
    <row r="12536" spans="8:20" x14ac:dyDescent="0.35">
      <c r="H12536" s="711"/>
      <c r="I12536" s="711"/>
      <c r="J12536" s="711"/>
      <c r="K12536" s="711"/>
      <c r="L12536" s="711"/>
      <c r="Q12536" s="11"/>
      <c r="R12536" s="11"/>
      <c r="S12536" s="11"/>
      <c r="T12536" s="11"/>
    </row>
    <row r="12537" spans="8:20" x14ac:dyDescent="0.35">
      <c r="H12537" s="711"/>
      <c r="I12537" s="711"/>
      <c r="J12537" s="711"/>
      <c r="K12537" s="711"/>
      <c r="L12537" s="711"/>
      <c r="Q12537" s="11"/>
      <c r="R12537" s="11"/>
      <c r="S12537" s="11"/>
      <c r="T12537" s="11"/>
    </row>
    <row r="12538" spans="8:20" x14ac:dyDescent="0.35">
      <c r="H12538" s="711"/>
      <c r="I12538" s="711"/>
      <c r="J12538" s="711"/>
      <c r="K12538" s="711"/>
      <c r="L12538" s="711"/>
      <c r="Q12538" s="11"/>
      <c r="R12538" s="11"/>
      <c r="S12538" s="11"/>
      <c r="T12538" s="11"/>
    </row>
    <row r="12539" spans="8:20" x14ac:dyDescent="0.35">
      <c r="H12539" s="711"/>
      <c r="I12539" s="711"/>
      <c r="J12539" s="711"/>
      <c r="K12539" s="711"/>
      <c r="L12539" s="711"/>
      <c r="Q12539" s="11"/>
      <c r="R12539" s="11"/>
      <c r="S12539" s="11"/>
      <c r="T12539" s="11"/>
    </row>
    <row r="12540" spans="8:20" x14ac:dyDescent="0.35">
      <c r="H12540" s="711"/>
      <c r="I12540" s="711"/>
      <c r="J12540" s="711"/>
      <c r="K12540" s="711"/>
      <c r="L12540" s="711"/>
      <c r="Q12540" s="11"/>
      <c r="R12540" s="11"/>
      <c r="S12540" s="11"/>
      <c r="T12540" s="11"/>
    </row>
    <row r="12541" spans="8:20" x14ac:dyDescent="0.35">
      <c r="H12541" s="711"/>
      <c r="I12541" s="711"/>
      <c r="J12541" s="711"/>
      <c r="K12541" s="711"/>
      <c r="L12541" s="711"/>
      <c r="Q12541" s="11"/>
      <c r="R12541" s="11"/>
      <c r="S12541" s="11"/>
      <c r="T12541" s="11"/>
    </row>
    <row r="12542" spans="8:20" x14ac:dyDescent="0.35">
      <c r="H12542" s="711"/>
      <c r="I12542" s="711"/>
      <c r="J12542" s="711"/>
      <c r="K12542" s="711"/>
      <c r="L12542" s="711"/>
      <c r="Q12542" s="11"/>
      <c r="R12542" s="11"/>
      <c r="S12542" s="11"/>
      <c r="T12542" s="11"/>
    </row>
    <row r="12543" spans="8:20" x14ac:dyDescent="0.35">
      <c r="H12543" s="711"/>
      <c r="I12543" s="711"/>
      <c r="J12543" s="711"/>
      <c r="K12543" s="711"/>
      <c r="L12543" s="711"/>
      <c r="Q12543" s="11"/>
      <c r="R12543" s="11"/>
      <c r="S12543" s="11"/>
      <c r="T12543" s="11"/>
    </row>
    <row r="12544" spans="8:20" x14ac:dyDescent="0.35">
      <c r="H12544" s="711"/>
      <c r="I12544" s="711"/>
      <c r="J12544" s="711"/>
      <c r="K12544" s="711"/>
      <c r="L12544" s="711"/>
      <c r="Q12544" s="11"/>
      <c r="R12544" s="11"/>
      <c r="S12544" s="11"/>
      <c r="T12544" s="11"/>
    </row>
    <row r="12545" spans="8:20" x14ac:dyDescent="0.35">
      <c r="H12545" s="711"/>
      <c r="I12545" s="711"/>
      <c r="J12545" s="711"/>
      <c r="K12545" s="711"/>
      <c r="L12545" s="711"/>
      <c r="Q12545" s="11"/>
      <c r="R12545" s="11"/>
      <c r="S12545" s="11"/>
      <c r="T12545" s="11"/>
    </row>
    <row r="12546" spans="8:20" x14ac:dyDescent="0.35">
      <c r="H12546" s="711"/>
      <c r="I12546" s="711"/>
      <c r="J12546" s="711"/>
      <c r="K12546" s="711"/>
      <c r="L12546" s="711"/>
      <c r="Q12546" s="11"/>
      <c r="R12546" s="11"/>
      <c r="S12546" s="11"/>
      <c r="T12546" s="11"/>
    </row>
    <row r="12547" spans="8:20" x14ac:dyDescent="0.35">
      <c r="H12547" s="711"/>
      <c r="I12547" s="711"/>
      <c r="J12547" s="711"/>
      <c r="K12547" s="711"/>
      <c r="L12547" s="711"/>
      <c r="Q12547" s="11"/>
      <c r="R12547" s="11"/>
      <c r="S12547" s="11"/>
      <c r="T12547" s="11"/>
    </row>
    <row r="12548" spans="8:20" x14ac:dyDescent="0.35">
      <c r="H12548" s="711"/>
      <c r="I12548" s="711"/>
      <c r="J12548" s="711"/>
      <c r="K12548" s="711"/>
      <c r="L12548" s="711"/>
      <c r="Q12548" s="11"/>
      <c r="R12548" s="11"/>
      <c r="S12548" s="11"/>
      <c r="T12548" s="11"/>
    </row>
    <row r="12549" spans="8:20" x14ac:dyDescent="0.35">
      <c r="H12549" s="711"/>
      <c r="I12549" s="711"/>
      <c r="J12549" s="711"/>
      <c r="K12549" s="711"/>
      <c r="L12549" s="711"/>
      <c r="Q12549" s="11"/>
      <c r="R12549" s="11"/>
      <c r="S12549" s="11"/>
      <c r="T12549" s="11"/>
    </row>
    <row r="12550" spans="8:20" x14ac:dyDescent="0.35">
      <c r="H12550" s="711"/>
      <c r="I12550" s="711"/>
      <c r="J12550" s="711"/>
      <c r="K12550" s="711"/>
      <c r="L12550" s="711"/>
      <c r="Q12550" s="11"/>
      <c r="R12550" s="11"/>
      <c r="S12550" s="11"/>
      <c r="T12550" s="11"/>
    </row>
    <row r="12551" spans="8:20" x14ac:dyDescent="0.35">
      <c r="H12551" s="711"/>
      <c r="I12551" s="711"/>
      <c r="J12551" s="711"/>
      <c r="K12551" s="711"/>
      <c r="L12551" s="711"/>
      <c r="Q12551" s="11"/>
      <c r="R12551" s="11"/>
      <c r="S12551" s="11"/>
      <c r="T12551" s="11"/>
    </row>
    <row r="12552" spans="8:20" x14ac:dyDescent="0.35">
      <c r="H12552" s="711"/>
      <c r="I12552" s="711"/>
      <c r="J12552" s="711"/>
      <c r="K12552" s="711"/>
      <c r="L12552" s="711"/>
      <c r="Q12552" s="11"/>
      <c r="R12552" s="11"/>
      <c r="S12552" s="11"/>
      <c r="T12552" s="11"/>
    </row>
    <row r="12553" spans="8:20" x14ac:dyDescent="0.35">
      <c r="H12553" s="711"/>
      <c r="I12553" s="711"/>
      <c r="J12553" s="711"/>
      <c r="K12553" s="711"/>
      <c r="L12553" s="711"/>
      <c r="Q12553" s="11"/>
      <c r="R12553" s="11"/>
      <c r="S12553" s="11"/>
      <c r="T12553" s="11"/>
    </row>
    <row r="12554" spans="8:20" x14ac:dyDescent="0.35">
      <c r="H12554" s="711"/>
      <c r="I12554" s="711"/>
      <c r="J12554" s="711"/>
      <c r="K12554" s="711"/>
      <c r="L12554" s="711"/>
      <c r="Q12554" s="11"/>
      <c r="R12554" s="11"/>
      <c r="S12554" s="11"/>
      <c r="T12554" s="11"/>
    </row>
    <row r="12555" spans="8:20" x14ac:dyDescent="0.35">
      <c r="H12555" s="711"/>
      <c r="I12555" s="711"/>
      <c r="J12555" s="711"/>
      <c r="K12555" s="711"/>
      <c r="L12555" s="711"/>
      <c r="Q12555" s="11"/>
      <c r="R12555" s="11"/>
      <c r="S12555" s="11"/>
      <c r="T12555" s="11"/>
    </row>
    <row r="12556" spans="8:20" x14ac:dyDescent="0.35">
      <c r="H12556" s="711"/>
      <c r="I12556" s="711"/>
      <c r="J12556" s="711"/>
      <c r="K12556" s="711"/>
      <c r="L12556" s="711"/>
      <c r="Q12556" s="11"/>
      <c r="R12556" s="11"/>
      <c r="S12556" s="11"/>
      <c r="T12556" s="11"/>
    </row>
    <row r="12557" spans="8:20" x14ac:dyDescent="0.35">
      <c r="H12557" s="711"/>
      <c r="I12557" s="711"/>
      <c r="J12557" s="711"/>
      <c r="K12557" s="711"/>
      <c r="L12557" s="711"/>
      <c r="Q12557" s="11"/>
      <c r="R12557" s="11"/>
      <c r="S12557" s="11"/>
      <c r="T12557" s="11"/>
    </row>
    <row r="12558" spans="8:20" x14ac:dyDescent="0.35">
      <c r="H12558" s="711"/>
      <c r="I12558" s="711"/>
      <c r="J12558" s="711"/>
      <c r="K12558" s="711"/>
      <c r="L12558" s="711"/>
      <c r="Q12558" s="11"/>
      <c r="R12558" s="11"/>
      <c r="S12558" s="11"/>
      <c r="T12558" s="11"/>
    </row>
    <row r="12559" spans="8:20" x14ac:dyDescent="0.35">
      <c r="H12559" s="711"/>
      <c r="I12559" s="711"/>
      <c r="J12559" s="711"/>
      <c r="K12559" s="711"/>
      <c r="L12559" s="711"/>
      <c r="Q12559" s="11"/>
      <c r="R12559" s="11"/>
      <c r="S12559" s="11"/>
      <c r="T12559" s="11"/>
    </row>
    <row r="12560" spans="8:20" x14ac:dyDescent="0.35">
      <c r="H12560" s="711"/>
      <c r="I12560" s="711"/>
      <c r="J12560" s="711"/>
      <c r="K12560" s="711"/>
      <c r="L12560" s="711"/>
      <c r="Q12560" s="11"/>
      <c r="R12560" s="11"/>
      <c r="S12560" s="11"/>
      <c r="T12560" s="11"/>
    </row>
    <row r="12561" spans="8:20" x14ac:dyDescent="0.35">
      <c r="H12561" s="711"/>
      <c r="I12561" s="711"/>
      <c r="J12561" s="711"/>
      <c r="K12561" s="711"/>
      <c r="L12561" s="711"/>
      <c r="Q12561" s="11"/>
      <c r="R12561" s="11"/>
      <c r="S12561" s="11"/>
      <c r="T12561" s="11"/>
    </row>
    <row r="12562" spans="8:20" x14ac:dyDescent="0.35">
      <c r="H12562" s="711"/>
      <c r="I12562" s="711"/>
      <c r="J12562" s="711"/>
      <c r="K12562" s="711"/>
      <c r="L12562" s="711"/>
      <c r="Q12562" s="11"/>
      <c r="R12562" s="11"/>
      <c r="S12562" s="11"/>
      <c r="T12562" s="11"/>
    </row>
    <row r="12563" spans="8:20" x14ac:dyDescent="0.35">
      <c r="H12563" s="711"/>
      <c r="I12563" s="711"/>
      <c r="J12563" s="711"/>
      <c r="K12563" s="711"/>
      <c r="L12563" s="711"/>
      <c r="Q12563" s="11"/>
      <c r="R12563" s="11"/>
      <c r="S12563" s="11"/>
      <c r="T12563" s="11"/>
    </row>
    <row r="12564" spans="8:20" x14ac:dyDescent="0.35">
      <c r="H12564" s="711"/>
      <c r="I12564" s="711"/>
      <c r="J12564" s="711"/>
      <c r="K12564" s="711"/>
      <c r="L12564" s="711"/>
      <c r="Q12564" s="11"/>
      <c r="R12564" s="11"/>
      <c r="S12564" s="11"/>
      <c r="T12564" s="11"/>
    </row>
    <row r="12565" spans="8:20" x14ac:dyDescent="0.35">
      <c r="H12565" s="711"/>
      <c r="I12565" s="711"/>
      <c r="J12565" s="711"/>
      <c r="K12565" s="711"/>
      <c r="L12565" s="711"/>
      <c r="Q12565" s="11"/>
      <c r="R12565" s="11"/>
      <c r="S12565" s="11"/>
      <c r="T12565" s="11"/>
    </row>
    <row r="12566" spans="8:20" x14ac:dyDescent="0.35">
      <c r="H12566" s="711"/>
      <c r="I12566" s="711"/>
      <c r="J12566" s="711"/>
      <c r="K12566" s="711"/>
      <c r="L12566" s="711"/>
      <c r="Q12566" s="11"/>
      <c r="R12566" s="11"/>
      <c r="S12566" s="11"/>
      <c r="T12566" s="11"/>
    </row>
    <row r="12567" spans="8:20" x14ac:dyDescent="0.35">
      <c r="H12567" s="711"/>
      <c r="I12567" s="711"/>
      <c r="J12567" s="711"/>
      <c r="K12567" s="711"/>
      <c r="L12567" s="711"/>
      <c r="Q12567" s="11"/>
      <c r="R12567" s="11"/>
      <c r="S12567" s="11"/>
      <c r="T12567" s="11"/>
    </row>
    <row r="12568" spans="8:20" x14ac:dyDescent="0.35">
      <c r="H12568" s="711"/>
      <c r="I12568" s="711"/>
      <c r="J12568" s="711"/>
      <c r="K12568" s="711"/>
      <c r="L12568" s="711"/>
      <c r="Q12568" s="11"/>
      <c r="R12568" s="11"/>
      <c r="S12568" s="11"/>
      <c r="T12568" s="11"/>
    </row>
    <row r="12569" spans="8:20" x14ac:dyDescent="0.35">
      <c r="H12569" s="711"/>
      <c r="I12569" s="711"/>
      <c r="J12569" s="711"/>
      <c r="K12569" s="711"/>
      <c r="L12569" s="711"/>
      <c r="Q12569" s="11"/>
      <c r="R12569" s="11"/>
      <c r="S12569" s="11"/>
      <c r="T12569" s="11"/>
    </row>
    <row r="12570" spans="8:20" x14ac:dyDescent="0.35">
      <c r="H12570" s="711"/>
      <c r="I12570" s="711"/>
      <c r="J12570" s="711"/>
      <c r="K12570" s="711"/>
      <c r="L12570" s="711"/>
      <c r="Q12570" s="11"/>
      <c r="R12570" s="11"/>
      <c r="S12570" s="11"/>
      <c r="T12570" s="11"/>
    </row>
    <row r="12571" spans="8:20" x14ac:dyDescent="0.35">
      <c r="H12571" s="711"/>
      <c r="I12571" s="711"/>
      <c r="J12571" s="711"/>
      <c r="K12571" s="711"/>
      <c r="L12571" s="711"/>
      <c r="Q12571" s="11"/>
      <c r="R12571" s="11"/>
      <c r="S12571" s="11"/>
      <c r="T12571" s="11"/>
    </row>
    <row r="12572" spans="8:20" x14ac:dyDescent="0.35">
      <c r="H12572" s="711"/>
      <c r="I12572" s="711"/>
      <c r="J12572" s="711"/>
      <c r="K12572" s="711"/>
      <c r="L12572" s="711"/>
      <c r="Q12572" s="11"/>
      <c r="R12572" s="11"/>
      <c r="S12572" s="11"/>
      <c r="T12572" s="11"/>
    </row>
    <row r="12573" spans="8:20" x14ac:dyDescent="0.35">
      <c r="H12573" s="711"/>
      <c r="I12573" s="711"/>
      <c r="J12573" s="711"/>
      <c r="K12573" s="711"/>
      <c r="L12573" s="711"/>
      <c r="Q12573" s="11"/>
      <c r="R12573" s="11"/>
      <c r="S12573" s="11"/>
      <c r="T12573" s="11"/>
    </row>
    <row r="12574" spans="8:20" x14ac:dyDescent="0.35">
      <c r="H12574" s="711"/>
      <c r="I12574" s="711"/>
      <c r="J12574" s="711"/>
      <c r="K12574" s="711"/>
      <c r="L12574" s="711"/>
      <c r="Q12574" s="11"/>
      <c r="R12574" s="11"/>
      <c r="S12574" s="11"/>
      <c r="T12574" s="11"/>
    </row>
    <row r="12575" spans="8:20" x14ac:dyDescent="0.35">
      <c r="H12575" s="711"/>
      <c r="I12575" s="711"/>
      <c r="J12575" s="711"/>
      <c r="K12575" s="711"/>
      <c r="L12575" s="711"/>
      <c r="Q12575" s="11"/>
      <c r="R12575" s="11"/>
      <c r="S12575" s="11"/>
      <c r="T12575" s="11"/>
    </row>
    <row r="12576" spans="8:20" x14ac:dyDescent="0.35">
      <c r="H12576" s="711"/>
      <c r="I12576" s="711"/>
      <c r="J12576" s="711"/>
      <c r="K12576" s="711"/>
      <c r="L12576" s="711"/>
      <c r="Q12576" s="11"/>
      <c r="R12576" s="11"/>
      <c r="S12576" s="11"/>
      <c r="T12576" s="11"/>
    </row>
    <row r="12577" spans="8:20" x14ac:dyDescent="0.35">
      <c r="H12577" s="711"/>
      <c r="I12577" s="711"/>
      <c r="J12577" s="711"/>
      <c r="K12577" s="711"/>
      <c r="L12577" s="711"/>
      <c r="Q12577" s="11"/>
      <c r="R12577" s="11"/>
      <c r="S12577" s="11"/>
      <c r="T12577" s="11"/>
    </row>
    <row r="12578" spans="8:20" x14ac:dyDescent="0.35">
      <c r="H12578" s="711"/>
      <c r="I12578" s="711"/>
      <c r="J12578" s="711"/>
      <c r="K12578" s="711"/>
      <c r="L12578" s="711"/>
      <c r="Q12578" s="11"/>
      <c r="R12578" s="11"/>
      <c r="S12578" s="11"/>
      <c r="T12578" s="11"/>
    </row>
    <row r="12579" spans="8:20" x14ac:dyDescent="0.35">
      <c r="H12579" s="711"/>
      <c r="I12579" s="711"/>
      <c r="J12579" s="711"/>
      <c r="K12579" s="711"/>
      <c r="L12579" s="711"/>
      <c r="Q12579" s="11"/>
      <c r="R12579" s="11"/>
      <c r="S12579" s="11"/>
      <c r="T12579" s="11"/>
    </row>
    <row r="12580" spans="8:20" x14ac:dyDescent="0.35">
      <c r="H12580" s="711"/>
      <c r="I12580" s="711"/>
      <c r="J12580" s="711"/>
      <c r="K12580" s="711"/>
      <c r="L12580" s="711"/>
      <c r="Q12580" s="11"/>
      <c r="R12580" s="11"/>
      <c r="S12580" s="11"/>
      <c r="T12580" s="11"/>
    </row>
    <row r="12581" spans="8:20" x14ac:dyDescent="0.35">
      <c r="H12581" s="711"/>
      <c r="I12581" s="711"/>
      <c r="J12581" s="711"/>
      <c r="K12581" s="711"/>
      <c r="L12581" s="711"/>
      <c r="Q12581" s="11"/>
      <c r="R12581" s="11"/>
      <c r="S12581" s="11"/>
      <c r="T12581" s="11"/>
    </row>
    <row r="12582" spans="8:20" x14ac:dyDescent="0.35">
      <c r="H12582" s="711"/>
      <c r="I12582" s="711"/>
      <c r="J12582" s="711"/>
      <c r="K12582" s="711"/>
      <c r="L12582" s="711"/>
      <c r="Q12582" s="11"/>
      <c r="R12582" s="11"/>
      <c r="S12582" s="11"/>
      <c r="T12582" s="11"/>
    </row>
    <row r="12583" spans="8:20" x14ac:dyDescent="0.35">
      <c r="H12583" s="711"/>
      <c r="I12583" s="711"/>
      <c r="J12583" s="711"/>
      <c r="K12583" s="711"/>
      <c r="L12583" s="711"/>
      <c r="Q12583" s="11"/>
      <c r="R12583" s="11"/>
      <c r="S12583" s="11"/>
      <c r="T12583" s="11"/>
    </row>
    <row r="12584" spans="8:20" x14ac:dyDescent="0.35">
      <c r="H12584" s="711"/>
      <c r="I12584" s="711"/>
      <c r="J12584" s="711"/>
      <c r="K12584" s="711"/>
      <c r="L12584" s="711"/>
      <c r="Q12584" s="11"/>
      <c r="R12584" s="11"/>
      <c r="S12584" s="11"/>
      <c r="T12584" s="11"/>
    </row>
    <row r="12585" spans="8:20" x14ac:dyDescent="0.35">
      <c r="H12585" s="711"/>
      <c r="I12585" s="711"/>
      <c r="J12585" s="711"/>
      <c r="K12585" s="711"/>
      <c r="L12585" s="711"/>
      <c r="Q12585" s="11"/>
      <c r="R12585" s="11"/>
      <c r="S12585" s="11"/>
      <c r="T12585" s="11"/>
    </row>
    <row r="12586" spans="8:20" x14ac:dyDescent="0.35">
      <c r="H12586" s="711"/>
      <c r="I12586" s="711"/>
      <c r="J12586" s="711"/>
      <c r="K12586" s="711"/>
      <c r="L12586" s="711"/>
      <c r="Q12586" s="11"/>
      <c r="R12586" s="11"/>
      <c r="S12586" s="11"/>
      <c r="T12586" s="11"/>
    </row>
    <row r="12587" spans="8:20" x14ac:dyDescent="0.35">
      <c r="H12587" s="711"/>
      <c r="I12587" s="711"/>
      <c r="J12587" s="711"/>
      <c r="K12587" s="711"/>
      <c r="L12587" s="711"/>
      <c r="Q12587" s="11"/>
      <c r="R12587" s="11"/>
      <c r="S12587" s="11"/>
      <c r="T12587" s="11"/>
    </row>
    <row r="12588" spans="8:20" x14ac:dyDescent="0.35">
      <c r="H12588" s="711"/>
      <c r="I12588" s="711"/>
      <c r="J12588" s="711"/>
      <c r="K12588" s="711"/>
      <c r="L12588" s="711"/>
      <c r="Q12588" s="11"/>
      <c r="R12588" s="11"/>
      <c r="S12588" s="11"/>
      <c r="T12588" s="11"/>
    </row>
    <row r="12589" spans="8:20" x14ac:dyDescent="0.35">
      <c r="H12589" s="711"/>
      <c r="I12589" s="711"/>
      <c r="J12589" s="711"/>
      <c r="K12589" s="711"/>
      <c r="L12589" s="711"/>
      <c r="Q12589" s="11"/>
      <c r="R12589" s="11"/>
      <c r="S12589" s="11"/>
      <c r="T12589" s="11"/>
    </row>
    <row r="12590" spans="8:20" x14ac:dyDescent="0.35">
      <c r="H12590" s="711"/>
      <c r="I12590" s="711"/>
      <c r="J12590" s="711"/>
      <c r="K12590" s="711"/>
      <c r="L12590" s="711"/>
      <c r="Q12590" s="11"/>
      <c r="R12590" s="11"/>
      <c r="S12590" s="11"/>
      <c r="T12590" s="11"/>
    </row>
    <row r="12591" spans="8:20" x14ac:dyDescent="0.35">
      <c r="H12591" s="711"/>
      <c r="I12591" s="711"/>
      <c r="J12591" s="711"/>
      <c r="K12591" s="711"/>
      <c r="L12591" s="711"/>
      <c r="Q12591" s="11"/>
      <c r="R12591" s="11"/>
      <c r="S12591" s="11"/>
      <c r="T12591" s="11"/>
    </row>
    <row r="12592" spans="8:20" x14ac:dyDescent="0.35">
      <c r="H12592" s="711"/>
      <c r="I12592" s="711"/>
      <c r="J12592" s="711"/>
      <c r="K12592" s="711"/>
      <c r="L12592" s="711"/>
      <c r="Q12592" s="11"/>
      <c r="R12592" s="11"/>
      <c r="S12592" s="11"/>
      <c r="T12592" s="11"/>
    </row>
    <row r="12593" spans="8:20" x14ac:dyDescent="0.35">
      <c r="H12593" s="711"/>
      <c r="I12593" s="711"/>
      <c r="J12593" s="711"/>
      <c r="K12593" s="711"/>
      <c r="L12593" s="711"/>
      <c r="Q12593" s="11"/>
      <c r="R12593" s="11"/>
      <c r="S12593" s="11"/>
      <c r="T12593" s="11"/>
    </row>
    <row r="12594" spans="8:20" x14ac:dyDescent="0.35">
      <c r="H12594" s="711"/>
      <c r="I12594" s="711"/>
      <c r="J12594" s="711"/>
      <c r="K12594" s="711"/>
      <c r="L12594" s="711"/>
      <c r="Q12594" s="11"/>
      <c r="R12594" s="11"/>
      <c r="S12594" s="11"/>
      <c r="T12594" s="11"/>
    </row>
    <row r="12595" spans="8:20" x14ac:dyDescent="0.35">
      <c r="H12595" s="711"/>
      <c r="I12595" s="711"/>
      <c r="J12595" s="711"/>
      <c r="K12595" s="711"/>
      <c r="L12595" s="711"/>
      <c r="Q12595" s="11"/>
      <c r="R12595" s="11"/>
      <c r="S12595" s="11"/>
      <c r="T12595" s="11"/>
    </row>
    <row r="12596" spans="8:20" x14ac:dyDescent="0.35">
      <c r="H12596" s="711"/>
      <c r="I12596" s="711"/>
      <c r="J12596" s="711"/>
      <c r="K12596" s="711"/>
      <c r="L12596" s="711"/>
      <c r="Q12596" s="11"/>
      <c r="R12596" s="11"/>
      <c r="S12596" s="11"/>
      <c r="T12596" s="11"/>
    </row>
    <row r="12597" spans="8:20" x14ac:dyDescent="0.35">
      <c r="H12597" s="711"/>
      <c r="I12597" s="711"/>
      <c r="J12597" s="711"/>
      <c r="K12597" s="711"/>
      <c r="L12597" s="711"/>
      <c r="Q12597" s="11"/>
      <c r="R12597" s="11"/>
      <c r="S12597" s="11"/>
      <c r="T12597" s="11"/>
    </row>
    <row r="12598" spans="8:20" x14ac:dyDescent="0.35">
      <c r="H12598" s="711"/>
      <c r="I12598" s="711"/>
      <c r="J12598" s="711"/>
      <c r="K12598" s="711"/>
      <c r="L12598" s="711"/>
      <c r="Q12598" s="11"/>
      <c r="R12598" s="11"/>
      <c r="S12598" s="11"/>
      <c r="T12598" s="11"/>
    </row>
    <row r="12599" spans="8:20" x14ac:dyDescent="0.35">
      <c r="H12599" s="711"/>
      <c r="I12599" s="711"/>
      <c r="J12599" s="711"/>
      <c r="K12599" s="711"/>
      <c r="L12599" s="711"/>
      <c r="Q12599" s="11"/>
      <c r="R12599" s="11"/>
      <c r="S12599" s="11"/>
      <c r="T12599" s="11"/>
    </row>
    <row r="12600" spans="8:20" x14ac:dyDescent="0.35">
      <c r="H12600" s="711"/>
      <c r="I12600" s="711"/>
      <c r="J12600" s="711"/>
      <c r="K12600" s="711"/>
      <c r="L12600" s="711"/>
      <c r="Q12600" s="11"/>
      <c r="R12600" s="11"/>
      <c r="S12600" s="11"/>
      <c r="T12600" s="11"/>
    </row>
    <row r="12601" spans="8:20" x14ac:dyDescent="0.35">
      <c r="H12601" s="711"/>
      <c r="I12601" s="711"/>
      <c r="J12601" s="711"/>
      <c r="K12601" s="711"/>
      <c r="L12601" s="711"/>
      <c r="Q12601" s="11"/>
      <c r="R12601" s="11"/>
      <c r="S12601" s="11"/>
      <c r="T12601" s="11"/>
    </row>
    <row r="12602" spans="8:20" x14ac:dyDescent="0.35">
      <c r="H12602" s="711"/>
      <c r="I12602" s="711"/>
      <c r="J12602" s="711"/>
      <c r="K12602" s="711"/>
      <c r="L12602" s="711"/>
      <c r="Q12602" s="11"/>
      <c r="R12602" s="11"/>
      <c r="S12602" s="11"/>
      <c r="T12602" s="11"/>
    </row>
    <row r="12603" spans="8:20" x14ac:dyDescent="0.35">
      <c r="H12603" s="711"/>
      <c r="I12603" s="711"/>
      <c r="J12603" s="711"/>
      <c r="K12603" s="711"/>
      <c r="L12603" s="711"/>
      <c r="Q12603" s="11"/>
      <c r="R12603" s="11"/>
      <c r="S12603" s="11"/>
      <c r="T12603" s="11"/>
    </row>
    <row r="12604" spans="8:20" x14ac:dyDescent="0.35">
      <c r="H12604" s="711"/>
      <c r="I12604" s="711"/>
      <c r="J12604" s="711"/>
      <c r="K12604" s="711"/>
      <c r="L12604" s="711"/>
      <c r="Q12604" s="11"/>
      <c r="R12604" s="11"/>
      <c r="S12604" s="11"/>
      <c r="T12604" s="11"/>
    </row>
    <row r="12605" spans="8:20" x14ac:dyDescent="0.35">
      <c r="H12605" s="711"/>
      <c r="I12605" s="711"/>
      <c r="J12605" s="711"/>
      <c r="K12605" s="711"/>
      <c r="L12605" s="711"/>
      <c r="Q12605" s="11"/>
      <c r="R12605" s="11"/>
      <c r="S12605" s="11"/>
      <c r="T12605" s="11"/>
    </row>
    <row r="12606" spans="8:20" x14ac:dyDescent="0.35">
      <c r="H12606" s="711"/>
      <c r="I12606" s="711"/>
      <c r="J12606" s="711"/>
      <c r="K12606" s="711"/>
      <c r="L12606" s="711"/>
      <c r="Q12606" s="11"/>
      <c r="R12606" s="11"/>
      <c r="S12606" s="11"/>
      <c r="T12606" s="11"/>
    </row>
    <row r="12607" spans="8:20" x14ac:dyDescent="0.35">
      <c r="H12607" s="711"/>
      <c r="I12607" s="711"/>
      <c r="J12607" s="711"/>
      <c r="K12607" s="711"/>
      <c r="L12607" s="711"/>
      <c r="Q12607" s="11"/>
      <c r="R12607" s="11"/>
      <c r="S12607" s="11"/>
      <c r="T12607" s="11"/>
    </row>
    <row r="12608" spans="8:20" x14ac:dyDescent="0.35">
      <c r="H12608" s="711"/>
      <c r="I12608" s="711"/>
      <c r="J12608" s="711"/>
      <c r="K12608" s="711"/>
      <c r="L12608" s="711"/>
      <c r="Q12608" s="11"/>
      <c r="R12608" s="11"/>
      <c r="S12608" s="11"/>
      <c r="T12608" s="11"/>
    </row>
    <row r="12609" spans="8:20" x14ac:dyDescent="0.35">
      <c r="H12609" s="711"/>
      <c r="I12609" s="711"/>
      <c r="J12609" s="711"/>
      <c r="K12609" s="711"/>
      <c r="L12609" s="711"/>
      <c r="Q12609" s="11"/>
      <c r="R12609" s="11"/>
      <c r="S12609" s="11"/>
      <c r="T12609" s="11"/>
    </row>
    <row r="12610" spans="8:20" x14ac:dyDescent="0.35">
      <c r="H12610" s="711"/>
      <c r="I12610" s="711"/>
      <c r="J12610" s="711"/>
      <c r="K12610" s="711"/>
      <c r="L12610" s="711"/>
      <c r="Q12610" s="11"/>
      <c r="R12610" s="11"/>
      <c r="S12610" s="11"/>
      <c r="T12610" s="11"/>
    </row>
    <row r="12611" spans="8:20" x14ac:dyDescent="0.35">
      <c r="H12611" s="711"/>
      <c r="I12611" s="711"/>
      <c r="J12611" s="711"/>
      <c r="K12611" s="711"/>
      <c r="L12611" s="711"/>
      <c r="Q12611" s="11"/>
      <c r="R12611" s="11"/>
      <c r="S12611" s="11"/>
      <c r="T12611" s="11"/>
    </row>
    <row r="12612" spans="8:20" x14ac:dyDescent="0.35">
      <c r="H12612" s="711"/>
      <c r="I12612" s="711"/>
      <c r="J12612" s="711"/>
      <c r="K12612" s="711"/>
      <c r="L12612" s="711"/>
      <c r="Q12612" s="11"/>
      <c r="R12612" s="11"/>
      <c r="S12612" s="11"/>
      <c r="T12612" s="11"/>
    </row>
    <row r="12613" spans="8:20" x14ac:dyDescent="0.35">
      <c r="H12613" s="711"/>
      <c r="I12613" s="711"/>
      <c r="J12613" s="711"/>
      <c r="K12613" s="711"/>
      <c r="L12613" s="711"/>
      <c r="Q12613" s="11"/>
      <c r="R12613" s="11"/>
      <c r="S12613" s="11"/>
      <c r="T12613" s="11"/>
    </row>
    <row r="12614" spans="8:20" x14ac:dyDescent="0.35">
      <c r="H12614" s="711"/>
      <c r="I12614" s="711"/>
      <c r="J12614" s="711"/>
      <c r="K12614" s="711"/>
      <c r="L12614" s="711"/>
      <c r="Q12614" s="11"/>
      <c r="R12614" s="11"/>
      <c r="S12614" s="11"/>
      <c r="T12614" s="11"/>
    </row>
    <row r="12615" spans="8:20" x14ac:dyDescent="0.35">
      <c r="H12615" s="711"/>
      <c r="I12615" s="711"/>
      <c r="J12615" s="711"/>
      <c r="K12615" s="711"/>
      <c r="L12615" s="711"/>
      <c r="Q12615" s="11"/>
      <c r="R12615" s="11"/>
      <c r="S12615" s="11"/>
      <c r="T12615" s="11"/>
    </row>
    <row r="12616" spans="8:20" x14ac:dyDescent="0.35">
      <c r="H12616" s="711"/>
      <c r="I12616" s="711"/>
      <c r="J12616" s="711"/>
      <c r="K12616" s="711"/>
      <c r="L12616" s="711"/>
      <c r="Q12616" s="11"/>
      <c r="R12616" s="11"/>
      <c r="S12616" s="11"/>
      <c r="T12616" s="11"/>
    </row>
    <row r="12617" spans="8:20" x14ac:dyDescent="0.35">
      <c r="H12617" s="711"/>
      <c r="I12617" s="711"/>
      <c r="J12617" s="711"/>
      <c r="K12617" s="711"/>
      <c r="L12617" s="711"/>
      <c r="Q12617" s="11"/>
      <c r="R12617" s="11"/>
      <c r="S12617" s="11"/>
      <c r="T12617" s="11"/>
    </row>
    <row r="12618" spans="8:20" x14ac:dyDescent="0.35">
      <c r="H12618" s="711"/>
      <c r="I12618" s="711"/>
      <c r="J12618" s="711"/>
      <c r="K12618" s="711"/>
      <c r="L12618" s="711"/>
      <c r="Q12618" s="11"/>
      <c r="R12618" s="11"/>
      <c r="S12618" s="11"/>
      <c r="T12618" s="11"/>
    </row>
    <row r="12619" spans="8:20" x14ac:dyDescent="0.35">
      <c r="H12619" s="711"/>
      <c r="I12619" s="711"/>
      <c r="J12619" s="711"/>
      <c r="K12619" s="711"/>
      <c r="L12619" s="711"/>
      <c r="Q12619" s="11"/>
      <c r="R12619" s="11"/>
      <c r="S12619" s="11"/>
      <c r="T12619" s="11"/>
    </row>
    <row r="12620" spans="8:20" x14ac:dyDescent="0.35">
      <c r="H12620" s="711"/>
      <c r="I12620" s="711"/>
      <c r="J12620" s="711"/>
      <c r="K12620" s="711"/>
      <c r="L12620" s="711"/>
      <c r="Q12620" s="11"/>
      <c r="R12620" s="11"/>
      <c r="S12620" s="11"/>
      <c r="T12620" s="11"/>
    </row>
    <row r="12621" spans="8:20" x14ac:dyDescent="0.35">
      <c r="H12621" s="711"/>
      <c r="I12621" s="711"/>
      <c r="J12621" s="711"/>
      <c r="K12621" s="711"/>
      <c r="L12621" s="711"/>
      <c r="Q12621" s="11"/>
      <c r="R12621" s="11"/>
      <c r="S12621" s="11"/>
      <c r="T12621" s="11"/>
    </row>
    <row r="12622" spans="8:20" x14ac:dyDescent="0.35">
      <c r="H12622" s="711"/>
      <c r="I12622" s="711"/>
      <c r="J12622" s="711"/>
      <c r="K12622" s="711"/>
      <c r="L12622" s="711"/>
      <c r="Q12622" s="11"/>
      <c r="R12622" s="11"/>
      <c r="S12622" s="11"/>
      <c r="T12622" s="11"/>
    </row>
    <row r="12623" spans="8:20" x14ac:dyDescent="0.35">
      <c r="H12623" s="711"/>
      <c r="I12623" s="711"/>
      <c r="J12623" s="711"/>
      <c r="K12623" s="711"/>
      <c r="L12623" s="711"/>
      <c r="Q12623" s="11"/>
      <c r="R12623" s="11"/>
      <c r="S12623" s="11"/>
      <c r="T12623" s="11"/>
    </row>
    <row r="12624" spans="8:20" x14ac:dyDescent="0.35">
      <c r="H12624" s="711"/>
      <c r="I12624" s="711"/>
      <c r="J12624" s="711"/>
      <c r="K12624" s="711"/>
      <c r="L12624" s="711"/>
      <c r="Q12624" s="11"/>
      <c r="R12624" s="11"/>
      <c r="S12624" s="11"/>
      <c r="T12624" s="11"/>
    </row>
    <row r="12625" spans="8:20" x14ac:dyDescent="0.35">
      <c r="H12625" s="711"/>
      <c r="I12625" s="711"/>
      <c r="J12625" s="711"/>
      <c r="K12625" s="711"/>
      <c r="L12625" s="711"/>
      <c r="Q12625" s="11"/>
      <c r="R12625" s="11"/>
      <c r="S12625" s="11"/>
      <c r="T12625" s="11"/>
    </row>
    <row r="12626" spans="8:20" x14ac:dyDescent="0.35">
      <c r="H12626" s="711"/>
      <c r="I12626" s="711"/>
      <c r="J12626" s="711"/>
      <c r="K12626" s="711"/>
      <c r="L12626" s="711"/>
      <c r="Q12626" s="11"/>
      <c r="R12626" s="11"/>
      <c r="S12626" s="11"/>
      <c r="T12626" s="11"/>
    </row>
    <row r="12627" spans="8:20" x14ac:dyDescent="0.35">
      <c r="H12627" s="711"/>
      <c r="I12627" s="711"/>
      <c r="J12627" s="711"/>
      <c r="K12627" s="711"/>
      <c r="L12627" s="711"/>
      <c r="Q12627" s="11"/>
      <c r="R12627" s="11"/>
      <c r="S12627" s="11"/>
      <c r="T12627" s="11"/>
    </row>
    <row r="12628" spans="8:20" x14ac:dyDescent="0.35">
      <c r="H12628" s="711"/>
      <c r="I12628" s="711"/>
      <c r="J12628" s="711"/>
      <c r="K12628" s="711"/>
      <c r="L12628" s="711"/>
      <c r="Q12628" s="11"/>
      <c r="R12628" s="11"/>
      <c r="S12628" s="11"/>
      <c r="T12628" s="11"/>
    </row>
    <row r="12629" spans="8:20" x14ac:dyDescent="0.35">
      <c r="H12629" s="711"/>
      <c r="I12629" s="711"/>
      <c r="J12629" s="711"/>
      <c r="K12629" s="711"/>
      <c r="L12629" s="711"/>
      <c r="Q12629" s="11"/>
      <c r="R12629" s="11"/>
      <c r="S12629" s="11"/>
      <c r="T12629" s="11"/>
    </row>
    <row r="12630" spans="8:20" x14ac:dyDescent="0.35">
      <c r="H12630" s="711"/>
      <c r="I12630" s="711"/>
      <c r="J12630" s="711"/>
      <c r="K12630" s="711"/>
      <c r="L12630" s="711"/>
      <c r="Q12630" s="11"/>
      <c r="R12630" s="11"/>
      <c r="S12630" s="11"/>
      <c r="T12630" s="11"/>
    </row>
    <row r="12631" spans="8:20" x14ac:dyDescent="0.35">
      <c r="H12631" s="711"/>
      <c r="I12631" s="711"/>
      <c r="J12631" s="711"/>
      <c r="K12631" s="711"/>
      <c r="L12631" s="711"/>
      <c r="Q12631" s="11"/>
      <c r="R12631" s="11"/>
      <c r="S12631" s="11"/>
      <c r="T12631" s="11"/>
    </row>
    <row r="12632" spans="8:20" x14ac:dyDescent="0.35">
      <c r="H12632" s="711"/>
      <c r="I12632" s="711"/>
      <c r="J12632" s="711"/>
      <c r="K12632" s="711"/>
      <c r="L12632" s="711"/>
      <c r="Q12632" s="11"/>
      <c r="R12632" s="11"/>
      <c r="S12632" s="11"/>
      <c r="T12632" s="11"/>
    </row>
    <row r="12633" spans="8:20" x14ac:dyDescent="0.35">
      <c r="H12633" s="711"/>
      <c r="I12633" s="711"/>
      <c r="J12633" s="711"/>
      <c r="K12633" s="711"/>
      <c r="L12633" s="711"/>
      <c r="Q12633" s="11"/>
      <c r="R12633" s="11"/>
      <c r="S12633" s="11"/>
      <c r="T12633" s="11"/>
    </row>
    <row r="12634" spans="8:20" x14ac:dyDescent="0.35">
      <c r="H12634" s="711"/>
      <c r="I12634" s="711"/>
      <c r="J12634" s="711"/>
      <c r="K12634" s="711"/>
      <c r="L12634" s="711"/>
      <c r="Q12634" s="11"/>
      <c r="R12634" s="11"/>
      <c r="S12634" s="11"/>
      <c r="T12634" s="11"/>
    </row>
    <row r="12635" spans="8:20" x14ac:dyDescent="0.35">
      <c r="H12635" s="711"/>
      <c r="I12635" s="711"/>
      <c r="J12635" s="711"/>
      <c r="K12635" s="711"/>
      <c r="L12635" s="711"/>
      <c r="Q12635" s="11"/>
      <c r="R12635" s="11"/>
      <c r="S12635" s="11"/>
      <c r="T12635" s="11"/>
    </row>
    <row r="12636" spans="8:20" x14ac:dyDescent="0.35">
      <c r="H12636" s="711"/>
      <c r="I12636" s="711"/>
      <c r="J12636" s="711"/>
      <c r="K12636" s="711"/>
      <c r="L12636" s="711"/>
      <c r="Q12636" s="11"/>
      <c r="R12636" s="11"/>
      <c r="S12636" s="11"/>
      <c r="T12636" s="11"/>
    </row>
    <row r="12637" spans="8:20" x14ac:dyDescent="0.35">
      <c r="H12637" s="711"/>
      <c r="I12637" s="711"/>
      <c r="J12637" s="711"/>
      <c r="K12637" s="711"/>
      <c r="L12637" s="711"/>
      <c r="Q12637" s="11"/>
      <c r="R12637" s="11"/>
      <c r="S12637" s="11"/>
      <c r="T12637" s="11"/>
    </row>
    <row r="12638" spans="8:20" x14ac:dyDescent="0.35">
      <c r="H12638" s="711"/>
      <c r="I12638" s="711"/>
      <c r="J12638" s="711"/>
      <c r="K12638" s="711"/>
      <c r="L12638" s="711"/>
      <c r="Q12638" s="11"/>
      <c r="R12638" s="11"/>
      <c r="S12638" s="11"/>
      <c r="T12638" s="11"/>
    </row>
    <row r="12639" spans="8:20" x14ac:dyDescent="0.35">
      <c r="H12639" s="711"/>
      <c r="I12639" s="711"/>
      <c r="J12639" s="711"/>
      <c r="K12639" s="711"/>
      <c r="L12639" s="711"/>
      <c r="Q12639" s="11"/>
      <c r="R12639" s="11"/>
      <c r="S12639" s="11"/>
      <c r="T12639" s="11"/>
    </row>
    <row r="12640" spans="8:20" x14ac:dyDescent="0.35">
      <c r="H12640" s="711"/>
      <c r="I12640" s="711"/>
      <c r="J12640" s="711"/>
      <c r="K12640" s="711"/>
      <c r="L12640" s="711"/>
      <c r="Q12640" s="11"/>
      <c r="R12640" s="11"/>
      <c r="S12640" s="11"/>
      <c r="T12640" s="11"/>
    </row>
    <row r="12641" spans="8:20" x14ac:dyDescent="0.35">
      <c r="H12641" s="711"/>
      <c r="I12641" s="711"/>
      <c r="J12641" s="711"/>
      <c r="K12641" s="711"/>
      <c r="L12641" s="711"/>
      <c r="Q12641" s="11"/>
      <c r="R12641" s="11"/>
      <c r="S12641" s="11"/>
      <c r="T12641" s="11"/>
    </row>
    <row r="12642" spans="8:20" x14ac:dyDescent="0.35">
      <c r="H12642" s="711"/>
      <c r="I12642" s="711"/>
      <c r="J12642" s="711"/>
      <c r="K12642" s="711"/>
      <c r="L12642" s="711"/>
      <c r="Q12642" s="11"/>
      <c r="R12642" s="11"/>
      <c r="S12642" s="11"/>
      <c r="T12642" s="11"/>
    </row>
    <row r="12643" spans="8:20" x14ac:dyDescent="0.35">
      <c r="H12643" s="711"/>
      <c r="I12643" s="711"/>
      <c r="J12643" s="711"/>
      <c r="K12643" s="711"/>
      <c r="L12643" s="711"/>
      <c r="Q12643" s="11"/>
      <c r="R12643" s="11"/>
      <c r="S12643" s="11"/>
      <c r="T12643" s="11"/>
    </row>
    <row r="12644" spans="8:20" x14ac:dyDescent="0.35">
      <c r="H12644" s="711"/>
      <c r="I12644" s="711"/>
      <c r="J12644" s="711"/>
      <c r="K12644" s="711"/>
      <c r="L12644" s="711"/>
      <c r="Q12644" s="11"/>
      <c r="R12644" s="11"/>
      <c r="S12644" s="11"/>
      <c r="T12644" s="11"/>
    </row>
    <row r="12645" spans="8:20" x14ac:dyDescent="0.35">
      <c r="H12645" s="711"/>
      <c r="I12645" s="711"/>
      <c r="J12645" s="711"/>
      <c r="K12645" s="711"/>
      <c r="L12645" s="711"/>
      <c r="Q12645" s="11"/>
      <c r="R12645" s="11"/>
      <c r="S12645" s="11"/>
      <c r="T12645" s="11"/>
    </row>
    <row r="12646" spans="8:20" x14ac:dyDescent="0.35">
      <c r="H12646" s="711"/>
      <c r="I12646" s="711"/>
      <c r="J12646" s="711"/>
      <c r="K12646" s="711"/>
      <c r="L12646" s="711"/>
      <c r="Q12646" s="11"/>
      <c r="R12646" s="11"/>
      <c r="S12646" s="11"/>
      <c r="T12646" s="11"/>
    </row>
    <row r="12647" spans="8:20" x14ac:dyDescent="0.35">
      <c r="H12647" s="711"/>
      <c r="I12647" s="711"/>
      <c r="J12647" s="711"/>
      <c r="K12647" s="711"/>
      <c r="L12647" s="711"/>
      <c r="Q12647" s="11"/>
      <c r="R12647" s="11"/>
      <c r="S12647" s="11"/>
      <c r="T12647" s="11"/>
    </row>
    <row r="12648" spans="8:20" x14ac:dyDescent="0.35">
      <c r="H12648" s="711"/>
      <c r="I12648" s="711"/>
      <c r="J12648" s="711"/>
      <c r="K12648" s="711"/>
      <c r="L12648" s="711"/>
      <c r="Q12648" s="11"/>
      <c r="R12648" s="11"/>
      <c r="S12648" s="11"/>
      <c r="T12648" s="11"/>
    </row>
    <row r="12649" spans="8:20" x14ac:dyDescent="0.35">
      <c r="H12649" s="711"/>
      <c r="I12649" s="711"/>
      <c r="J12649" s="711"/>
      <c r="K12649" s="711"/>
      <c r="L12649" s="711"/>
      <c r="Q12649" s="11"/>
      <c r="R12649" s="11"/>
      <c r="S12649" s="11"/>
      <c r="T12649" s="11"/>
    </row>
    <row r="12650" spans="8:20" x14ac:dyDescent="0.35">
      <c r="H12650" s="711"/>
      <c r="I12650" s="711"/>
      <c r="J12650" s="711"/>
      <c r="K12650" s="711"/>
      <c r="L12650" s="711"/>
      <c r="Q12650" s="11"/>
      <c r="R12650" s="11"/>
      <c r="S12650" s="11"/>
      <c r="T12650" s="11"/>
    </row>
    <row r="12651" spans="8:20" x14ac:dyDescent="0.35">
      <c r="H12651" s="711"/>
      <c r="I12651" s="711"/>
      <c r="J12651" s="711"/>
      <c r="K12651" s="711"/>
      <c r="L12651" s="711"/>
      <c r="Q12651" s="11"/>
      <c r="R12651" s="11"/>
      <c r="S12651" s="11"/>
      <c r="T12651" s="11"/>
    </row>
    <row r="12652" spans="8:20" x14ac:dyDescent="0.35">
      <c r="H12652" s="711"/>
      <c r="I12652" s="711"/>
      <c r="J12652" s="711"/>
      <c r="K12652" s="711"/>
      <c r="L12652" s="711"/>
      <c r="Q12652" s="11"/>
      <c r="R12652" s="11"/>
      <c r="S12652" s="11"/>
      <c r="T12652" s="11"/>
    </row>
    <row r="12653" spans="8:20" x14ac:dyDescent="0.35">
      <c r="H12653" s="711"/>
      <c r="I12653" s="711"/>
      <c r="J12653" s="711"/>
      <c r="K12653" s="711"/>
      <c r="L12653" s="711"/>
      <c r="Q12653" s="11"/>
      <c r="R12653" s="11"/>
      <c r="S12653" s="11"/>
      <c r="T12653" s="11"/>
    </row>
    <row r="12654" spans="8:20" x14ac:dyDescent="0.35">
      <c r="H12654" s="711"/>
      <c r="I12654" s="711"/>
      <c r="J12654" s="711"/>
      <c r="K12654" s="711"/>
      <c r="L12654" s="711"/>
      <c r="Q12654" s="11"/>
      <c r="R12654" s="11"/>
      <c r="S12654" s="11"/>
      <c r="T12654" s="11"/>
    </row>
    <row r="12655" spans="8:20" x14ac:dyDescent="0.35">
      <c r="H12655" s="711"/>
      <c r="I12655" s="711"/>
      <c r="J12655" s="711"/>
      <c r="K12655" s="711"/>
      <c r="L12655" s="711"/>
      <c r="Q12655" s="11"/>
      <c r="R12655" s="11"/>
      <c r="S12655" s="11"/>
      <c r="T12655" s="11"/>
    </row>
    <row r="12656" spans="8:20" x14ac:dyDescent="0.35">
      <c r="H12656" s="711"/>
      <c r="I12656" s="711"/>
      <c r="J12656" s="711"/>
      <c r="K12656" s="711"/>
      <c r="L12656" s="711"/>
      <c r="Q12656" s="11"/>
      <c r="R12656" s="11"/>
      <c r="S12656" s="11"/>
      <c r="T12656" s="11"/>
    </row>
    <row r="12657" spans="8:20" x14ac:dyDescent="0.35">
      <c r="H12657" s="711"/>
      <c r="I12657" s="711"/>
      <c r="J12657" s="711"/>
      <c r="K12657" s="711"/>
      <c r="L12657" s="711"/>
      <c r="Q12657" s="11"/>
      <c r="R12657" s="11"/>
      <c r="S12657" s="11"/>
      <c r="T12657" s="11"/>
    </row>
    <row r="12658" spans="8:20" x14ac:dyDescent="0.35">
      <c r="H12658" s="711"/>
      <c r="I12658" s="711"/>
      <c r="J12658" s="711"/>
      <c r="K12658" s="711"/>
      <c r="L12658" s="711"/>
      <c r="Q12658" s="11"/>
      <c r="R12658" s="11"/>
      <c r="S12658" s="11"/>
      <c r="T12658" s="11"/>
    </row>
    <row r="12659" spans="8:20" x14ac:dyDescent="0.35">
      <c r="H12659" s="711"/>
      <c r="I12659" s="711"/>
      <c r="J12659" s="711"/>
      <c r="K12659" s="711"/>
      <c r="L12659" s="711"/>
      <c r="Q12659" s="11"/>
      <c r="R12659" s="11"/>
      <c r="S12659" s="11"/>
      <c r="T12659" s="11"/>
    </row>
    <row r="12660" spans="8:20" x14ac:dyDescent="0.35">
      <c r="H12660" s="711"/>
      <c r="I12660" s="711"/>
      <c r="J12660" s="711"/>
      <c r="K12660" s="711"/>
      <c r="L12660" s="711"/>
      <c r="Q12660" s="11"/>
      <c r="R12660" s="11"/>
      <c r="S12660" s="11"/>
      <c r="T12660" s="11"/>
    </row>
    <row r="12661" spans="8:20" x14ac:dyDescent="0.35">
      <c r="H12661" s="711"/>
      <c r="I12661" s="711"/>
      <c r="J12661" s="711"/>
      <c r="K12661" s="711"/>
      <c r="L12661" s="711"/>
      <c r="Q12661" s="11"/>
      <c r="R12661" s="11"/>
      <c r="S12661" s="11"/>
      <c r="T12661" s="11"/>
    </row>
    <row r="12662" spans="8:20" x14ac:dyDescent="0.35">
      <c r="H12662" s="711"/>
      <c r="I12662" s="711"/>
      <c r="J12662" s="711"/>
      <c r="K12662" s="711"/>
      <c r="L12662" s="711"/>
      <c r="Q12662" s="11"/>
      <c r="R12662" s="11"/>
      <c r="S12662" s="11"/>
      <c r="T12662" s="11"/>
    </row>
    <row r="12663" spans="8:20" x14ac:dyDescent="0.35">
      <c r="H12663" s="711"/>
      <c r="I12663" s="711"/>
      <c r="J12663" s="711"/>
      <c r="K12663" s="711"/>
      <c r="L12663" s="711"/>
      <c r="Q12663" s="11"/>
      <c r="R12663" s="11"/>
      <c r="S12663" s="11"/>
      <c r="T12663" s="11"/>
    </row>
    <row r="12664" spans="8:20" x14ac:dyDescent="0.35">
      <c r="H12664" s="711"/>
      <c r="I12664" s="711"/>
      <c r="J12664" s="711"/>
      <c r="K12664" s="711"/>
      <c r="L12664" s="711"/>
      <c r="Q12664" s="11"/>
      <c r="R12664" s="11"/>
      <c r="S12664" s="11"/>
      <c r="T12664" s="11"/>
    </row>
    <row r="12665" spans="8:20" x14ac:dyDescent="0.35">
      <c r="H12665" s="711"/>
      <c r="I12665" s="711"/>
      <c r="J12665" s="711"/>
      <c r="K12665" s="711"/>
      <c r="L12665" s="711"/>
      <c r="Q12665" s="11"/>
      <c r="R12665" s="11"/>
      <c r="S12665" s="11"/>
      <c r="T12665" s="11"/>
    </row>
    <row r="12666" spans="8:20" x14ac:dyDescent="0.35">
      <c r="H12666" s="711"/>
      <c r="I12666" s="711"/>
      <c r="J12666" s="711"/>
      <c r="K12666" s="711"/>
      <c r="L12666" s="711"/>
      <c r="Q12666" s="11"/>
      <c r="R12666" s="11"/>
      <c r="S12666" s="11"/>
      <c r="T12666" s="11"/>
    </row>
    <row r="12667" spans="8:20" x14ac:dyDescent="0.35">
      <c r="H12667" s="711"/>
      <c r="I12667" s="711"/>
      <c r="J12667" s="711"/>
      <c r="K12667" s="711"/>
      <c r="L12667" s="711"/>
      <c r="Q12667" s="11"/>
      <c r="R12667" s="11"/>
      <c r="S12667" s="11"/>
      <c r="T12667" s="11"/>
    </row>
    <row r="12668" spans="8:20" x14ac:dyDescent="0.35">
      <c r="H12668" s="711"/>
      <c r="I12668" s="711"/>
      <c r="J12668" s="711"/>
      <c r="K12668" s="711"/>
      <c r="L12668" s="711"/>
      <c r="Q12668" s="11"/>
      <c r="R12668" s="11"/>
      <c r="S12668" s="11"/>
      <c r="T12668" s="11"/>
    </row>
    <row r="12669" spans="8:20" x14ac:dyDescent="0.35">
      <c r="H12669" s="711"/>
      <c r="I12669" s="711"/>
      <c r="J12669" s="711"/>
      <c r="K12669" s="711"/>
      <c r="L12669" s="711"/>
      <c r="Q12669" s="11"/>
      <c r="R12669" s="11"/>
      <c r="S12669" s="11"/>
      <c r="T12669" s="11"/>
    </row>
    <row r="12670" spans="8:20" x14ac:dyDescent="0.35">
      <c r="H12670" s="711"/>
      <c r="I12670" s="711"/>
      <c r="J12670" s="711"/>
      <c r="K12670" s="711"/>
      <c r="L12670" s="711"/>
      <c r="Q12670" s="11"/>
      <c r="R12670" s="11"/>
      <c r="S12670" s="11"/>
      <c r="T12670" s="11"/>
    </row>
    <row r="12671" spans="8:20" x14ac:dyDescent="0.35">
      <c r="H12671" s="711"/>
      <c r="I12671" s="711"/>
      <c r="J12671" s="711"/>
      <c r="K12671" s="711"/>
      <c r="L12671" s="711"/>
      <c r="Q12671" s="11"/>
      <c r="R12671" s="11"/>
      <c r="S12671" s="11"/>
      <c r="T12671" s="11"/>
    </row>
    <row r="12672" spans="8:20" x14ac:dyDescent="0.35">
      <c r="H12672" s="711"/>
      <c r="I12672" s="711"/>
      <c r="J12672" s="711"/>
      <c r="K12672" s="711"/>
      <c r="L12672" s="711"/>
      <c r="Q12672" s="11"/>
      <c r="R12672" s="11"/>
      <c r="S12672" s="11"/>
      <c r="T12672" s="11"/>
    </row>
    <row r="12673" spans="8:20" x14ac:dyDescent="0.35">
      <c r="H12673" s="711"/>
      <c r="I12673" s="711"/>
      <c r="J12673" s="711"/>
      <c r="K12673" s="711"/>
      <c r="L12673" s="711"/>
      <c r="Q12673" s="11"/>
      <c r="R12673" s="11"/>
      <c r="S12673" s="11"/>
      <c r="T12673" s="11"/>
    </row>
    <row r="12674" spans="8:20" x14ac:dyDescent="0.35">
      <c r="H12674" s="711"/>
      <c r="I12674" s="711"/>
      <c r="J12674" s="711"/>
      <c r="K12674" s="711"/>
      <c r="L12674" s="711"/>
      <c r="Q12674" s="11"/>
      <c r="R12674" s="11"/>
      <c r="S12674" s="11"/>
      <c r="T12674" s="11"/>
    </row>
    <row r="12675" spans="8:20" x14ac:dyDescent="0.35">
      <c r="H12675" s="711"/>
      <c r="I12675" s="711"/>
      <c r="J12675" s="711"/>
      <c r="K12675" s="711"/>
      <c r="L12675" s="711"/>
      <c r="Q12675" s="11"/>
      <c r="R12675" s="11"/>
      <c r="S12675" s="11"/>
      <c r="T12675" s="11"/>
    </row>
    <row r="12676" spans="8:20" x14ac:dyDescent="0.35">
      <c r="H12676" s="711"/>
      <c r="I12676" s="711"/>
      <c r="J12676" s="711"/>
      <c r="K12676" s="711"/>
      <c r="L12676" s="711"/>
      <c r="Q12676" s="11"/>
      <c r="R12676" s="11"/>
      <c r="S12676" s="11"/>
      <c r="T12676" s="11"/>
    </row>
    <row r="12677" spans="8:20" x14ac:dyDescent="0.35">
      <c r="H12677" s="711"/>
      <c r="I12677" s="711"/>
      <c r="J12677" s="711"/>
      <c r="K12677" s="711"/>
      <c r="L12677" s="711"/>
      <c r="Q12677" s="11"/>
      <c r="R12677" s="11"/>
      <c r="S12677" s="11"/>
      <c r="T12677" s="11"/>
    </row>
    <row r="12678" spans="8:20" x14ac:dyDescent="0.35">
      <c r="H12678" s="711"/>
      <c r="I12678" s="711"/>
      <c r="J12678" s="711"/>
      <c r="K12678" s="711"/>
      <c r="L12678" s="711"/>
      <c r="Q12678" s="11"/>
      <c r="R12678" s="11"/>
      <c r="S12678" s="11"/>
      <c r="T12678" s="11"/>
    </row>
    <row r="12679" spans="8:20" x14ac:dyDescent="0.35">
      <c r="H12679" s="711"/>
      <c r="I12679" s="711"/>
      <c r="J12679" s="711"/>
      <c r="K12679" s="711"/>
      <c r="L12679" s="711"/>
      <c r="Q12679" s="11"/>
      <c r="R12679" s="11"/>
      <c r="S12679" s="11"/>
      <c r="T12679" s="11"/>
    </row>
    <row r="12680" spans="8:20" x14ac:dyDescent="0.35">
      <c r="H12680" s="711"/>
      <c r="I12680" s="711"/>
      <c r="J12680" s="711"/>
      <c r="K12680" s="711"/>
      <c r="L12680" s="711"/>
      <c r="Q12680" s="11"/>
      <c r="R12680" s="11"/>
      <c r="S12680" s="11"/>
      <c r="T12680" s="11"/>
    </row>
    <row r="12681" spans="8:20" x14ac:dyDescent="0.35">
      <c r="H12681" s="711"/>
      <c r="I12681" s="711"/>
      <c r="J12681" s="711"/>
      <c r="K12681" s="711"/>
      <c r="L12681" s="711"/>
      <c r="Q12681" s="11"/>
      <c r="R12681" s="11"/>
      <c r="S12681" s="11"/>
      <c r="T12681" s="11"/>
    </row>
    <row r="12682" spans="8:20" x14ac:dyDescent="0.35">
      <c r="H12682" s="711"/>
      <c r="I12682" s="711"/>
      <c r="J12682" s="711"/>
      <c r="K12682" s="711"/>
      <c r="L12682" s="711"/>
      <c r="Q12682" s="11"/>
      <c r="R12682" s="11"/>
      <c r="S12682" s="11"/>
      <c r="T12682" s="11"/>
    </row>
    <row r="12683" spans="8:20" x14ac:dyDescent="0.35">
      <c r="H12683" s="711"/>
      <c r="I12683" s="711"/>
      <c r="J12683" s="711"/>
      <c r="K12683" s="711"/>
      <c r="L12683" s="711"/>
      <c r="Q12683" s="11"/>
      <c r="R12683" s="11"/>
      <c r="S12683" s="11"/>
      <c r="T12683" s="11"/>
    </row>
    <row r="12684" spans="8:20" x14ac:dyDescent="0.35">
      <c r="H12684" s="711"/>
      <c r="I12684" s="711"/>
      <c r="J12684" s="711"/>
      <c r="K12684" s="711"/>
      <c r="L12684" s="711"/>
      <c r="Q12684" s="11"/>
      <c r="R12684" s="11"/>
      <c r="S12684" s="11"/>
      <c r="T12684" s="11"/>
    </row>
    <row r="12685" spans="8:20" x14ac:dyDescent="0.35">
      <c r="H12685" s="711"/>
      <c r="I12685" s="711"/>
      <c r="J12685" s="711"/>
      <c r="K12685" s="711"/>
      <c r="L12685" s="711"/>
      <c r="Q12685" s="11"/>
      <c r="R12685" s="11"/>
      <c r="S12685" s="11"/>
      <c r="T12685" s="11"/>
    </row>
    <row r="12686" spans="8:20" x14ac:dyDescent="0.35">
      <c r="H12686" s="711"/>
      <c r="I12686" s="711"/>
      <c r="J12686" s="711"/>
      <c r="K12686" s="711"/>
      <c r="L12686" s="711"/>
      <c r="Q12686" s="11"/>
      <c r="R12686" s="11"/>
      <c r="S12686" s="11"/>
      <c r="T12686" s="11"/>
    </row>
    <row r="12687" spans="8:20" x14ac:dyDescent="0.35">
      <c r="H12687" s="711"/>
      <c r="I12687" s="711"/>
      <c r="J12687" s="711"/>
      <c r="K12687" s="711"/>
      <c r="L12687" s="711"/>
      <c r="Q12687" s="11"/>
      <c r="R12687" s="11"/>
      <c r="S12687" s="11"/>
      <c r="T12687" s="11"/>
    </row>
    <row r="12688" spans="8:20" x14ac:dyDescent="0.35">
      <c r="H12688" s="711"/>
      <c r="I12688" s="711"/>
      <c r="J12688" s="711"/>
      <c r="K12688" s="711"/>
      <c r="L12688" s="711"/>
      <c r="Q12688" s="11"/>
      <c r="R12688" s="11"/>
      <c r="S12688" s="11"/>
      <c r="T12688" s="11"/>
    </row>
    <row r="12689" spans="8:20" x14ac:dyDescent="0.35">
      <c r="H12689" s="711"/>
      <c r="I12689" s="711"/>
      <c r="J12689" s="711"/>
      <c r="K12689" s="711"/>
      <c r="L12689" s="711"/>
      <c r="Q12689" s="11"/>
      <c r="R12689" s="11"/>
      <c r="S12689" s="11"/>
      <c r="T12689" s="11"/>
    </row>
    <row r="12690" spans="8:20" x14ac:dyDescent="0.35">
      <c r="H12690" s="711"/>
      <c r="I12690" s="711"/>
      <c r="J12690" s="711"/>
      <c r="K12690" s="711"/>
      <c r="L12690" s="711"/>
      <c r="Q12690" s="11"/>
      <c r="R12690" s="11"/>
      <c r="S12690" s="11"/>
      <c r="T12690" s="11"/>
    </row>
    <row r="12691" spans="8:20" x14ac:dyDescent="0.35">
      <c r="H12691" s="711"/>
      <c r="I12691" s="711"/>
      <c r="J12691" s="711"/>
      <c r="K12691" s="711"/>
      <c r="L12691" s="711"/>
      <c r="Q12691" s="11"/>
      <c r="R12691" s="11"/>
      <c r="S12691" s="11"/>
      <c r="T12691" s="11"/>
    </row>
    <row r="12692" spans="8:20" x14ac:dyDescent="0.35">
      <c r="H12692" s="711"/>
      <c r="I12692" s="711"/>
      <c r="J12692" s="711"/>
      <c r="K12692" s="711"/>
      <c r="L12692" s="711"/>
      <c r="Q12692" s="11"/>
      <c r="R12692" s="11"/>
      <c r="S12692" s="11"/>
      <c r="T12692" s="11"/>
    </row>
    <row r="12693" spans="8:20" x14ac:dyDescent="0.35">
      <c r="H12693" s="711"/>
      <c r="I12693" s="711"/>
      <c r="J12693" s="711"/>
      <c r="K12693" s="711"/>
      <c r="L12693" s="711"/>
      <c r="Q12693" s="11"/>
      <c r="R12693" s="11"/>
      <c r="S12693" s="11"/>
      <c r="T12693" s="11"/>
    </row>
    <row r="12694" spans="8:20" x14ac:dyDescent="0.35">
      <c r="H12694" s="711"/>
      <c r="I12694" s="711"/>
      <c r="J12694" s="711"/>
      <c r="K12694" s="711"/>
      <c r="L12694" s="711"/>
      <c r="Q12694" s="11"/>
      <c r="R12694" s="11"/>
      <c r="S12694" s="11"/>
      <c r="T12694" s="11"/>
    </row>
    <row r="12695" spans="8:20" x14ac:dyDescent="0.35">
      <c r="H12695" s="711"/>
      <c r="I12695" s="711"/>
      <c r="J12695" s="711"/>
      <c r="K12695" s="711"/>
      <c r="L12695" s="711"/>
      <c r="Q12695" s="11"/>
      <c r="R12695" s="11"/>
      <c r="S12695" s="11"/>
      <c r="T12695" s="11"/>
    </row>
    <row r="12696" spans="8:20" x14ac:dyDescent="0.35">
      <c r="H12696" s="711"/>
      <c r="I12696" s="711"/>
      <c r="J12696" s="711"/>
      <c r="K12696" s="711"/>
      <c r="L12696" s="711"/>
      <c r="Q12696" s="11"/>
      <c r="R12696" s="11"/>
      <c r="S12696" s="11"/>
      <c r="T12696" s="11"/>
    </row>
    <row r="12697" spans="8:20" x14ac:dyDescent="0.35">
      <c r="H12697" s="711"/>
      <c r="I12697" s="711"/>
      <c r="J12697" s="711"/>
      <c r="K12697" s="711"/>
      <c r="L12697" s="711"/>
      <c r="Q12697" s="11"/>
      <c r="R12697" s="11"/>
      <c r="S12697" s="11"/>
      <c r="T12697" s="11"/>
    </row>
    <row r="12698" spans="8:20" x14ac:dyDescent="0.35">
      <c r="H12698" s="711"/>
      <c r="I12698" s="711"/>
      <c r="J12698" s="711"/>
      <c r="K12698" s="711"/>
      <c r="L12698" s="711"/>
      <c r="Q12698" s="11"/>
      <c r="R12698" s="11"/>
      <c r="S12698" s="11"/>
      <c r="T12698" s="11"/>
    </row>
    <row r="12699" spans="8:20" x14ac:dyDescent="0.35">
      <c r="H12699" s="711"/>
      <c r="I12699" s="711"/>
      <c r="J12699" s="711"/>
      <c r="K12699" s="711"/>
      <c r="L12699" s="711"/>
      <c r="Q12699" s="11"/>
      <c r="R12699" s="11"/>
      <c r="S12699" s="11"/>
      <c r="T12699" s="11"/>
    </row>
    <row r="12700" spans="8:20" x14ac:dyDescent="0.35">
      <c r="H12700" s="711"/>
      <c r="I12700" s="711"/>
      <c r="J12700" s="711"/>
      <c r="K12700" s="711"/>
      <c r="L12700" s="711"/>
      <c r="Q12700" s="11"/>
      <c r="R12700" s="11"/>
      <c r="S12700" s="11"/>
      <c r="T12700" s="11"/>
    </row>
    <row r="12701" spans="8:20" x14ac:dyDescent="0.35">
      <c r="H12701" s="711"/>
      <c r="I12701" s="711"/>
      <c r="J12701" s="711"/>
      <c r="K12701" s="711"/>
      <c r="L12701" s="711"/>
      <c r="Q12701" s="11"/>
      <c r="R12701" s="11"/>
      <c r="S12701" s="11"/>
      <c r="T12701" s="11"/>
    </row>
    <row r="12702" spans="8:20" x14ac:dyDescent="0.35">
      <c r="H12702" s="711"/>
      <c r="I12702" s="711"/>
      <c r="J12702" s="711"/>
      <c r="K12702" s="711"/>
      <c r="L12702" s="711"/>
      <c r="Q12702" s="11"/>
      <c r="R12702" s="11"/>
      <c r="S12702" s="11"/>
      <c r="T12702" s="11"/>
    </row>
    <row r="12703" spans="8:20" x14ac:dyDescent="0.35">
      <c r="H12703" s="711"/>
      <c r="I12703" s="711"/>
      <c r="J12703" s="711"/>
      <c r="K12703" s="711"/>
      <c r="L12703" s="711"/>
      <c r="Q12703" s="11"/>
      <c r="R12703" s="11"/>
      <c r="S12703" s="11"/>
      <c r="T12703" s="11"/>
    </row>
    <row r="12704" spans="8:20" x14ac:dyDescent="0.35">
      <c r="H12704" s="711"/>
      <c r="I12704" s="711"/>
      <c r="J12704" s="711"/>
      <c r="K12704" s="711"/>
      <c r="L12704" s="711"/>
      <c r="Q12704" s="11"/>
      <c r="R12704" s="11"/>
      <c r="S12704" s="11"/>
      <c r="T12704" s="11"/>
    </row>
    <row r="12705" spans="8:20" x14ac:dyDescent="0.35">
      <c r="H12705" s="711"/>
      <c r="I12705" s="711"/>
      <c r="J12705" s="711"/>
      <c r="K12705" s="711"/>
      <c r="L12705" s="711"/>
      <c r="Q12705" s="11"/>
      <c r="R12705" s="11"/>
      <c r="S12705" s="11"/>
      <c r="T12705" s="11"/>
    </row>
    <row r="12706" spans="8:20" x14ac:dyDescent="0.35">
      <c r="H12706" s="711"/>
      <c r="I12706" s="711"/>
      <c r="J12706" s="711"/>
      <c r="K12706" s="711"/>
      <c r="L12706" s="711"/>
      <c r="Q12706" s="11"/>
      <c r="R12706" s="11"/>
      <c r="S12706" s="11"/>
      <c r="T12706" s="11"/>
    </row>
    <row r="12707" spans="8:20" x14ac:dyDescent="0.35">
      <c r="H12707" s="711"/>
      <c r="I12707" s="711"/>
      <c r="J12707" s="711"/>
      <c r="K12707" s="711"/>
      <c r="L12707" s="711"/>
      <c r="Q12707" s="11"/>
      <c r="R12707" s="11"/>
      <c r="S12707" s="11"/>
      <c r="T12707" s="11"/>
    </row>
    <row r="12708" spans="8:20" x14ac:dyDescent="0.35">
      <c r="H12708" s="711"/>
      <c r="I12708" s="711"/>
      <c r="J12708" s="711"/>
      <c r="K12708" s="711"/>
      <c r="L12708" s="711"/>
      <c r="Q12708" s="11"/>
      <c r="R12708" s="11"/>
      <c r="S12708" s="11"/>
      <c r="T12708" s="11"/>
    </row>
    <row r="12709" spans="8:20" x14ac:dyDescent="0.35">
      <c r="H12709" s="711"/>
      <c r="I12709" s="711"/>
      <c r="J12709" s="711"/>
      <c r="K12709" s="711"/>
      <c r="L12709" s="711"/>
      <c r="Q12709" s="11"/>
      <c r="R12709" s="11"/>
      <c r="S12709" s="11"/>
      <c r="T12709" s="11"/>
    </row>
    <row r="12710" spans="8:20" x14ac:dyDescent="0.35">
      <c r="H12710" s="711"/>
      <c r="I12710" s="711"/>
      <c r="J12710" s="711"/>
      <c r="K12710" s="711"/>
      <c r="L12710" s="711"/>
      <c r="Q12710" s="11"/>
      <c r="R12710" s="11"/>
      <c r="S12710" s="11"/>
      <c r="T12710" s="11"/>
    </row>
    <row r="12711" spans="8:20" x14ac:dyDescent="0.35">
      <c r="H12711" s="711"/>
      <c r="I12711" s="711"/>
      <c r="J12711" s="711"/>
      <c r="K12711" s="711"/>
      <c r="L12711" s="711"/>
      <c r="Q12711" s="11"/>
      <c r="R12711" s="11"/>
      <c r="S12711" s="11"/>
      <c r="T12711" s="11"/>
    </row>
    <row r="12712" spans="8:20" x14ac:dyDescent="0.35">
      <c r="H12712" s="711"/>
      <c r="I12712" s="711"/>
      <c r="J12712" s="711"/>
      <c r="K12712" s="711"/>
      <c r="L12712" s="711"/>
      <c r="Q12712" s="11"/>
      <c r="R12712" s="11"/>
      <c r="S12712" s="11"/>
      <c r="T12712" s="11"/>
    </row>
    <row r="12713" spans="8:20" x14ac:dyDescent="0.35">
      <c r="H12713" s="711"/>
      <c r="I12713" s="711"/>
      <c r="J12713" s="711"/>
      <c r="K12713" s="711"/>
      <c r="L12713" s="711"/>
      <c r="Q12713" s="11"/>
      <c r="R12713" s="11"/>
      <c r="S12713" s="11"/>
      <c r="T12713" s="11"/>
    </row>
    <row r="12714" spans="8:20" x14ac:dyDescent="0.35">
      <c r="H12714" s="711"/>
      <c r="I12714" s="711"/>
      <c r="J12714" s="711"/>
      <c r="K12714" s="711"/>
      <c r="L12714" s="711"/>
      <c r="Q12714" s="11"/>
      <c r="R12714" s="11"/>
      <c r="S12714" s="11"/>
      <c r="T12714" s="11"/>
    </row>
    <row r="12715" spans="8:20" x14ac:dyDescent="0.35">
      <c r="H12715" s="711"/>
      <c r="I12715" s="711"/>
      <c r="J12715" s="711"/>
      <c r="K12715" s="711"/>
      <c r="L12715" s="711"/>
      <c r="Q12715" s="11"/>
      <c r="R12715" s="11"/>
      <c r="S12715" s="11"/>
      <c r="T12715" s="11"/>
    </row>
    <row r="12716" spans="8:20" x14ac:dyDescent="0.35">
      <c r="H12716" s="711"/>
      <c r="I12716" s="711"/>
      <c r="J12716" s="711"/>
      <c r="K12716" s="711"/>
      <c r="L12716" s="711"/>
      <c r="Q12716" s="11"/>
      <c r="R12716" s="11"/>
      <c r="S12716" s="11"/>
      <c r="T12716" s="11"/>
    </row>
    <row r="12717" spans="8:20" x14ac:dyDescent="0.35">
      <c r="H12717" s="711"/>
      <c r="I12717" s="711"/>
      <c r="J12717" s="711"/>
      <c r="K12717" s="711"/>
      <c r="L12717" s="711"/>
      <c r="Q12717" s="11"/>
      <c r="R12717" s="11"/>
      <c r="S12717" s="11"/>
      <c r="T12717" s="11"/>
    </row>
    <row r="12718" spans="8:20" x14ac:dyDescent="0.35">
      <c r="H12718" s="711"/>
      <c r="I12718" s="711"/>
      <c r="J12718" s="711"/>
      <c r="K12718" s="711"/>
      <c r="L12718" s="711"/>
      <c r="Q12718" s="11"/>
      <c r="R12718" s="11"/>
      <c r="S12718" s="11"/>
      <c r="T12718" s="11"/>
    </row>
    <row r="12719" spans="8:20" x14ac:dyDescent="0.35">
      <c r="H12719" s="711"/>
      <c r="I12719" s="711"/>
      <c r="J12719" s="711"/>
      <c r="K12719" s="711"/>
      <c r="L12719" s="711"/>
      <c r="Q12719" s="11"/>
      <c r="R12719" s="11"/>
      <c r="S12719" s="11"/>
      <c r="T12719" s="11"/>
    </row>
    <row r="12720" spans="8:20" x14ac:dyDescent="0.35">
      <c r="H12720" s="711"/>
      <c r="I12720" s="711"/>
      <c r="J12720" s="711"/>
      <c r="K12720" s="711"/>
      <c r="L12720" s="711"/>
      <c r="Q12720" s="11"/>
      <c r="R12720" s="11"/>
      <c r="S12720" s="11"/>
      <c r="T12720" s="11"/>
    </row>
    <row r="12721" spans="8:20" x14ac:dyDescent="0.35">
      <c r="H12721" s="711"/>
      <c r="I12721" s="711"/>
      <c r="J12721" s="711"/>
      <c r="K12721" s="711"/>
      <c r="L12721" s="711"/>
      <c r="Q12721" s="11"/>
      <c r="R12721" s="11"/>
      <c r="S12721" s="11"/>
      <c r="T12721" s="11"/>
    </row>
    <row r="12722" spans="8:20" x14ac:dyDescent="0.35">
      <c r="H12722" s="711"/>
      <c r="I12722" s="711"/>
      <c r="J12722" s="711"/>
      <c r="K12722" s="711"/>
      <c r="L12722" s="711"/>
      <c r="Q12722" s="11"/>
      <c r="R12722" s="11"/>
      <c r="S12722" s="11"/>
      <c r="T12722" s="11"/>
    </row>
    <row r="12723" spans="8:20" x14ac:dyDescent="0.35">
      <c r="H12723" s="711"/>
      <c r="I12723" s="711"/>
      <c r="J12723" s="711"/>
      <c r="K12723" s="711"/>
      <c r="L12723" s="711"/>
      <c r="Q12723" s="11"/>
      <c r="R12723" s="11"/>
      <c r="S12723" s="11"/>
      <c r="T12723" s="11"/>
    </row>
    <row r="12724" spans="8:20" x14ac:dyDescent="0.35">
      <c r="H12724" s="711"/>
      <c r="I12724" s="711"/>
      <c r="J12724" s="711"/>
      <c r="K12724" s="711"/>
      <c r="L12724" s="711"/>
      <c r="Q12724" s="11"/>
      <c r="R12724" s="11"/>
      <c r="S12724" s="11"/>
      <c r="T12724" s="11"/>
    </row>
    <row r="12725" spans="8:20" x14ac:dyDescent="0.35">
      <c r="H12725" s="711"/>
      <c r="I12725" s="711"/>
      <c r="J12725" s="711"/>
      <c r="K12725" s="711"/>
      <c r="L12725" s="711"/>
      <c r="Q12725" s="11"/>
      <c r="R12725" s="11"/>
      <c r="S12725" s="11"/>
      <c r="T12725" s="11"/>
    </row>
    <row r="12726" spans="8:20" x14ac:dyDescent="0.35">
      <c r="H12726" s="711"/>
      <c r="I12726" s="711"/>
      <c r="J12726" s="711"/>
      <c r="K12726" s="711"/>
      <c r="L12726" s="711"/>
      <c r="Q12726" s="11"/>
      <c r="R12726" s="11"/>
      <c r="S12726" s="11"/>
      <c r="T12726" s="11"/>
    </row>
    <row r="12727" spans="8:20" x14ac:dyDescent="0.35">
      <c r="H12727" s="711"/>
      <c r="I12727" s="711"/>
      <c r="J12727" s="711"/>
      <c r="K12727" s="711"/>
      <c r="L12727" s="711"/>
      <c r="Q12727" s="11"/>
      <c r="R12727" s="11"/>
      <c r="S12727" s="11"/>
      <c r="T12727" s="11"/>
    </row>
    <row r="12728" spans="8:20" x14ac:dyDescent="0.35">
      <c r="H12728" s="711"/>
      <c r="I12728" s="711"/>
      <c r="J12728" s="711"/>
      <c r="K12728" s="711"/>
      <c r="L12728" s="711"/>
      <c r="Q12728" s="11"/>
      <c r="R12728" s="11"/>
      <c r="S12728" s="11"/>
      <c r="T12728" s="11"/>
    </row>
    <row r="12729" spans="8:20" x14ac:dyDescent="0.35">
      <c r="H12729" s="711"/>
      <c r="I12729" s="711"/>
      <c r="J12729" s="711"/>
      <c r="K12729" s="711"/>
      <c r="L12729" s="711"/>
      <c r="Q12729" s="11"/>
      <c r="R12729" s="11"/>
      <c r="S12729" s="11"/>
      <c r="T12729" s="11"/>
    </row>
    <row r="12730" spans="8:20" x14ac:dyDescent="0.35">
      <c r="H12730" s="711"/>
      <c r="I12730" s="711"/>
      <c r="J12730" s="711"/>
      <c r="K12730" s="711"/>
      <c r="L12730" s="711"/>
      <c r="Q12730" s="11"/>
      <c r="R12730" s="11"/>
      <c r="S12730" s="11"/>
      <c r="T12730" s="11"/>
    </row>
    <row r="12731" spans="8:20" x14ac:dyDescent="0.35">
      <c r="H12731" s="711"/>
      <c r="I12731" s="711"/>
      <c r="J12731" s="711"/>
      <c r="K12731" s="711"/>
      <c r="L12731" s="711"/>
      <c r="Q12731" s="11"/>
      <c r="R12731" s="11"/>
      <c r="S12731" s="11"/>
      <c r="T12731" s="11"/>
    </row>
    <row r="12732" spans="8:20" x14ac:dyDescent="0.35">
      <c r="H12732" s="711"/>
      <c r="I12732" s="711"/>
      <c r="J12732" s="711"/>
      <c r="K12732" s="711"/>
      <c r="L12732" s="711"/>
      <c r="Q12732" s="11"/>
      <c r="R12732" s="11"/>
      <c r="S12732" s="11"/>
      <c r="T12732" s="11"/>
    </row>
    <row r="12733" spans="8:20" x14ac:dyDescent="0.35">
      <c r="H12733" s="711"/>
      <c r="I12733" s="711"/>
      <c r="J12733" s="711"/>
      <c r="K12733" s="711"/>
      <c r="L12733" s="711"/>
      <c r="Q12733" s="11"/>
      <c r="R12733" s="11"/>
      <c r="S12733" s="11"/>
      <c r="T12733" s="11"/>
    </row>
    <row r="12734" spans="8:20" x14ac:dyDescent="0.35">
      <c r="H12734" s="711"/>
      <c r="I12734" s="711"/>
      <c r="J12734" s="711"/>
      <c r="K12734" s="711"/>
      <c r="L12734" s="711"/>
      <c r="Q12734" s="11"/>
      <c r="R12734" s="11"/>
      <c r="S12734" s="11"/>
      <c r="T12734" s="11"/>
    </row>
    <row r="12735" spans="8:20" x14ac:dyDescent="0.35">
      <c r="H12735" s="711"/>
      <c r="I12735" s="711"/>
      <c r="J12735" s="711"/>
      <c r="K12735" s="711"/>
      <c r="L12735" s="711"/>
      <c r="Q12735" s="11"/>
      <c r="R12735" s="11"/>
      <c r="S12735" s="11"/>
      <c r="T12735" s="11"/>
    </row>
    <row r="12736" spans="8:20" x14ac:dyDescent="0.35">
      <c r="H12736" s="711"/>
      <c r="I12736" s="711"/>
      <c r="J12736" s="711"/>
      <c r="K12736" s="711"/>
      <c r="L12736" s="711"/>
      <c r="Q12736" s="11"/>
      <c r="R12736" s="11"/>
      <c r="S12736" s="11"/>
      <c r="T12736" s="11"/>
    </row>
    <row r="12737" spans="8:20" x14ac:dyDescent="0.35">
      <c r="H12737" s="711"/>
      <c r="I12737" s="711"/>
      <c r="J12737" s="711"/>
      <c r="K12737" s="711"/>
      <c r="L12737" s="711"/>
      <c r="Q12737" s="11"/>
      <c r="R12737" s="11"/>
      <c r="S12737" s="11"/>
      <c r="T12737" s="11"/>
    </row>
    <row r="12738" spans="8:20" x14ac:dyDescent="0.35">
      <c r="H12738" s="711"/>
      <c r="I12738" s="711"/>
      <c r="J12738" s="711"/>
      <c r="K12738" s="711"/>
      <c r="L12738" s="711"/>
      <c r="Q12738" s="11"/>
      <c r="R12738" s="11"/>
      <c r="S12738" s="11"/>
      <c r="T12738" s="11"/>
    </row>
    <row r="12739" spans="8:20" x14ac:dyDescent="0.35">
      <c r="H12739" s="711"/>
      <c r="I12739" s="711"/>
      <c r="J12739" s="711"/>
      <c r="K12739" s="711"/>
      <c r="L12739" s="711"/>
      <c r="Q12739" s="11"/>
      <c r="R12739" s="11"/>
      <c r="S12739" s="11"/>
      <c r="T12739" s="11"/>
    </row>
    <row r="12740" spans="8:20" x14ac:dyDescent="0.35">
      <c r="H12740" s="711"/>
      <c r="I12740" s="711"/>
      <c r="J12740" s="711"/>
      <c r="K12740" s="711"/>
      <c r="L12740" s="711"/>
      <c r="Q12740" s="11"/>
      <c r="R12740" s="11"/>
      <c r="S12740" s="11"/>
      <c r="T12740" s="11"/>
    </row>
    <row r="12741" spans="8:20" x14ac:dyDescent="0.35">
      <c r="H12741" s="711"/>
      <c r="I12741" s="711"/>
      <c r="J12741" s="711"/>
      <c r="K12741" s="711"/>
      <c r="L12741" s="711"/>
      <c r="Q12741" s="11"/>
      <c r="R12741" s="11"/>
      <c r="S12741" s="11"/>
      <c r="T12741" s="11"/>
    </row>
    <row r="12742" spans="8:20" x14ac:dyDescent="0.35">
      <c r="H12742" s="711"/>
      <c r="I12742" s="711"/>
      <c r="J12742" s="711"/>
      <c r="K12742" s="711"/>
      <c r="L12742" s="711"/>
      <c r="Q12742" s="11"/>
      <c r="R12742" s="11"/>
      <c r="S12742" s="11"/>
      <c r="T12742" s="11"/>
    </row>
    <row r="12743" spans="8:20" x14ac:dyDescent="0.35">
      <c r="H12743" s="711"/>
      <c r="I12743" s="711"/>
      <c r="J12743" s="711"/>
      <c r="K12743" s="711"/>
      <c r="L12743" s="711"/>
      <c r="Q12743" s="11"/>
      <c r="R12743" s="11"/>
      <c r="S12743" s="11"/>
      <c r="T12743" s="11"/>
    </row>
    <row r="12744" spans="8:20" x14ac:dyDescent="0.35">
      <c r="H12744" s="711"/>
      <c r="I12744" s="711"/>
      <c r="J12744" s="711"/>
      <c r="K12744" s="711"/>
      <c r="L12744" s="711"/>
      <c r="Q12744" s="11"/>
      <c r="R12744" s="11"/>
      <c r="S12744" s="11"/>
      <c r="T12744" s="11"/>
    </row>
    <row r="12745" spans="8:20" x14ac:dyDescent="0.35">
      <c r="H12745" s="711"/>
      <c r="I12745" s="711"/>
      <c r="J12745" s="711"/>
      <c r="K12745" s="711"/>
      <c r="L12745" s="711"/>
      <c r="Q12745" s="11"/>
      <c r="R12745" s="11"/>
      <c r="S12745" s="11"/>
      <c r="T12745" s="11"/>
    </row>
    <row r="12746" spans="8:20" x14ac:dyDescent="0.35">
      <c r="H12746" s="711"/>
      <c r="I12746" s="711"/>
      <c r="J12746" s="711"/>
      <c r="K12746" s="711"/>
      <c r="L12746" s="711"/>
      <c r="Q12746" s="11"/>
      <c r="R12746" s="11"/>
      <c r="S12746" s="11"/>
      <c r="T12746" s="11"/>
    </row>
    <row r="12747" spans="8:20" x14ac:dyDescent="0.35">
      <c r="H12747" s="711"/>
      <c r="I12747" s="711"/>
      <c r="J12747" s="711"/>
      <c r="K12747" s="711"/>
      <c r="L12747" s="711"/>
      <c r="Q12747" s="11"/>
      <c r="R12747" s="11"/>
      <c r="S12747" s="11"/>
      <c r="T12747" s="11"/>
    </row>
    <row r="12748" spans="8:20" x14ac:dyDescent="0.35">
      <c r="H12748" s="711"/>
      <c r="I12748" s="711"/>
      <c r="J12748" s="711"/>
      <c r="K12748" s="711"/>
      <c r="L12748" s="711"/>
      <c r="Q12748" s="11"/>
      <c r="R12748" s="11"/>
      <c r="S12748" s="11"/>
      <c r="T12748" s="11"/>
    </row>
    <row r="12749" spans="8:20" x14ac:dyDescent="0.35">
      <c r="H12749" s="711"/>
      <c r="I12749" s="711"/>
      <c r="J12749" s="711"/>
      <c r="K12749" s="711"/>
      <c r="L12749" s="711"/>
      <c r="Q12749" s="11"/>
      <c r="R12749" s="11"/>
      <c r="S12749" s="11"/>
      <c r="T12749" s="11"/>
    </row>
    <row r="12750" spans="8:20" x14ac:dyDescent="0.35">
      <c r="H12750" s="711"/>
      <c r="I12750" s="711"/>
      <c r="J12750" s="711"/>
      <c r="K12750" s="711"/>
      <c r="L12750" s="711"/>
      <c r="Q12750" s="11"/>
      <c r="R12750" s="11"/>
      <c r="S12750" s="11"/>
      <c r="T12750" s="11"/>
    </row>
    <row r="12751" spans="8:20" x14ac:dyDescent="0.35">
      <c r="H12751" s="711"/>
      <c r="I12751" s="711"/>
      <c r="J12751" s="711"/>
      <c r="K12751" s="711"/>
      <c r="L12751" s="711"/>
      <c r="Q12751" s="11"/>
      <c r="R12751" s="11"/>
      <c r="S12751" s="11"/>
      <c r="T12751" s="11"/>
    </row>
    <row r="12752" spans="8:20" x14ac:dyDescent="0.35">
      <c r="H12752" s="711"/>
      <c r="I12752" s="711"/>
      <c r="J12752" s="711"/>
      <c r="K12752" s="711"/>
      <c r="L12752" s="711"/>
      <c r="Q12752" s="11"/>
      <c r="R12752" s="11"/>
      <c r="S12752" s="11"/>
      <c r="T12752" s="11"/>
    </row>
    <row r="12753" spans="8:20" x14ac:dyDescent="0.35">
      <c r="H12753" s="711"/>
      <c r="I12753" s="711"/>
      <c r="J12753" s="711"/>
      <c r="K12753" s="711"/>
      <c r="L12753" s="711"/>
      <c r="Q12753" s="11"/>
      <c r="R12753" s="11"/>
      <c r="S12753" s="11"/>
      <c r="T12753" s="11"/>
    </row>
    <row r="12754" spans="8:20" x14ac:dyDescent="0.35">
      <c r="H12754" s="711"/>
      <c r="I12754" s="711"/>
      <c r="J12754" s="711"/>
      <c r="K12754" s="711"/>
      <c r="L12754" s="711"/>
      <c r="Q12754" s="11"/>
      <c r="R12754" s="11"/>
      <c r="S12754" s="11"/>
      <c r="T12754" s="11"/>
    </row>
    <row r="12755" spans="8:20" x14ac:dyDescent="0.35">
      <c r="H12755" s="711"/>
      <c r="I12755" s="711"/>
      <c r="J12755" s="711"/>
      <c r="K12755" s="711"/>
      <c r="L12755" s="711"/>
      <c r="Q12755" s="11"/>
      <c r="R12755" s="11"/>
      <c r="S12755" s="11"/>
      <c r="T12755" s="11"/>
    </row>
    <row r="12756" spans="8:20" x14ac:dyDescent="0.35">
      <c r="H12756" s="711"/>
      <c r="I12756" s="711"/>
      <c r="J12756" s="711"/>
      <c r="K12756" s="711"/>
      <c r="L12756" s="711"/>
      <c r="Q12756" s="11"/>
      <c r="R12756" s="11"/>
      <c r="S12756" s="11"/>
      <c r="T12756" s="11"/>
    </row>
    <row r="12757" spans="8:20" x14ac:dyDescent="0.35">
      <c r="H12757" s="711"/>
      <c r="I12757" s="711"/>
      <c r="J12757" s="711"/>
      <c r="K12757" s="711"/>
      <c r="L12757" s="711"/>
      <c r="Q12757" s="11"/>
      <c r="R12757" s="11"/>
      <c r="S12757" s="11"/>
      <c r="T12757" s="11"/>
    </row>
    <row r="12758" spans="8:20" x14ac:dyDescent="0.35">
      <c r="H12758" s="711"/>
      <c r="I12758" s="711"/>
      <c r="J12758" s="711"/>
      <c r="K12758" s="711"/>
      <c r="L12758" s="711"/>
      <c r="Q12758" s="11"/>
      <c r="R12758" s="11"/>
      <c r="S12758" s="11"/>
      <c r="T12758" s="11"/>
    </row>
    <row r="12759" spans="8:20" x14ac:dyDescent="0.35">
      <c r="H12759" s="711"/>
      <c r="I12759" s="711"/>
      <c r="J12759" s="711"/>
      <c r="K12759" s="711"/>
      <c r="L12759" s="711"/>
      <c r="Q12759" s="11"/>
      <c r="R12759" s="11"/>
      <c r="S12759" s="11"/>
      <c r="T12759" s="11"/>
    </row>
    <row r="12760" spans="8:20" x14ac:dyDescent="0.35">
      <c r="H12760" s="711"/>
      <c r="I12760" s="711"/>
      <c r="J12760" s="711"/>
      <c r="K12760" s="711"/>
      <c r="L12760" s="711"/>
      <c r="Q12760" s="11"/>
      <c r="R12760" s="11"/>
      <c r="S12760" s="11"/>
      <c r="T12760" s="11"/>
    </row>
    <row r="12761" spans="8:20" x14ac:dyDescent="0.35">
      <c r="H12761" s="711"/>
      <c r="I12761" s="711"/>
      <c r="J12761" s="711"/>
      <c r="K12761" s="711"/>
      <c r="L12761" s="711"/>
      <c r="Q12761" s="11"/>
      <c r="R12761" s="11"/>
      <c r="S12761" s="11"/>
      <c r="T12761" s="11"/>
    </row>
    <row r="12762" spans="8:20" x14ac:dyDescent="0.35">
      <c r="H12762" s="711"/>
      <c r="I12762" s="711"/>
      <c r="J12762" s="711"/>
      <c r="K12762" s="711"/>
      <c r="L12762" s="711"/>
      <c r="Q12762" s="11"/>
      <c r="R12762" s="11"/>
      <c r="S12762" s="11"/>
      <c r="T12762" s="11"/>
    </row>
    <row r="12763" spans="8:20" x14ac:dyDescent="0.35">
      <c r="H12763" s="711"/>
      <c r="I12763" s="711"/>
      <c r="J12763" s="711"/>
      <c r="K12763" s="711"/>
      <c r="L12763" s="711"/>
      <c r="Q12763" s="11"/>
      <c r="R12763" s="11"/>
      <c r="S12763" s="11"/>
      <c r="T12763" s="11"/>
    </row>
    <row r="12764" spans="8:20" x14ac:dyDescent="0.35">
      <c r="H12764" s="711"/>
      <c r="I12764" s="711"/>
      <c r="J12764" s="711"/>
      <c r="K12764" s="711"/>
      <c r="L12764" s="711"/>
      <c r="Q12764" s="11"/>
      <c r="R12764" s="11"/>
      <c r="S12764" s="11"/>
      <c r="T12764" s="11"/>
    </row>
    <row r="12765" spans="8:20" x14ac:dyDescent="0.35">
      <c r="H12765" s="711"/>
      <c r="I12765" s="711"/>
      <c r="J12765" s="711"/>
      <c r="K12765" s="711"/>
      <c r="L12765" s="711"/>
      <c r="Q12765" s="11"/>
      <c r="R12765" s="11"/>
      <c r="S12765" s="11"/>
      <c r="T12765" s="11"/>
    </row>
    <row r="12766" spans="8:20" x14ac:dyDescent="0.35">
      <c r="H12766" s="711"/>
      <c r="I12766" s="711"/>
      <c r="J12766" s="711"/>
      <c r="K12766" s="711"/>
      <c r="L12766" s="711"/>
      <c r="Q12766" s="11"/>
      <c r="R12766" s="11"/>
      <c r="S12766" s="11"/>
      <c r="T12766" s="11"/>
    </row>
    <row r="12767" spans="8:20" x14ac:dyDescent="0.35">
      <c r="H12767" s="711"/>
      <c r="I12767" s="711"/>
      <c r="J12767" s="711"/>
      <c r="K12767" s="711"/>
      <c r="L12767" s="711"/>
      <c r="Q12767" s="11"/>
      <c r="R12767" s="11"/>
      <c r="S12767" s="11"/>
      <c r="T12767" s="11"/>
    </row>
    <row r="12768" spans="8:20" x14ac:dyDescent="0.35">
      <c r="H12768" s="711"/>
      <c r="I12768" s="711"/>
      <c r="J12768" s="711"/>
      <c r="K12768" s="711"/>
      <c r="L12768" s="711"/>
      <c r="Q12768" s="11"/>
      <c r="R12768" s="11"/>
      <c r="S12768" s="11"/>
      <c r="T12768" s="11"/>
    </row>
    <row r="12769" spans="8:20" x14ac:dyDescent="0.35">
      <c r="H12769" s="711"/>
      <c r="I12769" s="711"/>
      <c r="J12769" s="711"/>
      <c r="K12769" s="711"/>
      <c r="L12769" s="711"/>
      <c r="Q12769" s="11"/>
      <c r="R12769" s="11"/>
      <c r="S12769" s="11"/>
      <c r="T12769" s="11"/>
    </row>
    <row r="12770" spans="8:20" x14ac:dyDescent="0.35">
      <c r="H12770" s="711"/>
      <c r="I12770" s="711"/>
      <c r="J12770" s="711"/>
      <c r="K12770" s="711"/>
      <c r="L12770" s="711"/>
      <c r="Q12770" s="11"/>
      <c r="R12770" s="11"/>
      <c r="S12770" s="11"/>
      <c r="T12770" s="11"/>
    </row>
    <row r="12771" spans="8:20" x14ac:dyDescent="0.35">
      <c r="H12771" s="711"/>
      <c r="I12771" s="711"/>
      <c r="J12771" s="711"/>
      <c r="K12771" s="711"/>
      <c r="L12771" s="711"/>
      <c r="Q12771" s="11"/>
      <c r="R12771" s="11"/>
      <c r="S12771" s="11"/>
      <c r="T12771" s="11"/>
    </row>
    <row r="12772" spans="8:20" x14ac:dyDescent="0.35">
      <c r="H12772" s="711"/>
      <c r="I12772" s="711"/>
      <c r="J12772" s="711"/>
      <c r="K12772" s="711"/>
      <c r="L12772" s="711"/>
      <c r="Q12772" s="11"/>
      <c r="R12772" s="11"/>
      <c r="S12772" s="11"/>
      <c r="T12772" s="11"/>
    </row>
    <row r="12773" spans="8:20" x14ac:dyDescent="0.35">
      <c r="H12773" s="711"/>
      <c r="I12773" s="711"/>
      <c r="J12773" s="711"/>
      <c r="K12773" s="711"/>
      <c r="L12773" s="711"/>
      <c r="Q12773" s="11"/>
      <c r="R12773" s="11"/>
      <c r="S12773" s="11"/>
      <c r="T12773" s="11"/>
    </row>
    <row r="12774" spans="8:20" x14ac:dyDescent="0.35">
      <c r="H12774" s="711"/>
      <c r="I12774" s="711"/>
      <c r="J12774" s="711"/>
      <c r="K12774" s="711"/>
      <c r="L12774" s="711"/>
      <c r="Q12774" s="11"/>
      <c r="R12774" s="11"/>
      <c r="S12774" s="11"/>
      <c r="T12774" s="11"/>
    </row>
    <row r="12775" spans="8:20" x14ac:dyDescent="0.35">
      <c r="H12775" s="711"/>
      <c r="I12775" s="711"/>
      <c r="J12775" s="711"/>
      <c r="K12775" s="711"/>
      <c r="L12775" s="711"/>
      <c r="Q12775" s="11"/>
      <c r="R12775" s="11"/>
      <c r="S12775" s="11"/>
      <c r="T12775" s="11"/>
    </row>
    <row r="12776" spans="8:20" x14ac:dyDescent="0.35">
      <c r="H12776" s="711"/>
      <c r="I12776" s="711"/>
      <c r="J12776" s="711"/>
      <c r="K12776" s="711"/>
      <c r="L12776" s="711"/>
      <c r="Q12776" s="11"/>
      <c r="R12776" s="11"/>
      <c r="S12776" s="11"/>
      <c r="T12776" s="11"/>
    </row>
    <row r="12777" spans="8:20" x14ac:dyDescent="0.35">
      <c r="H12777" s="711"/>
      <c r="I12777" s="711"/>
      <c r="J12777" s="711"/>
      <c r="K12777" s="711"/>
      <c r="L12777" s="711"/>
      <c r="Q12777" s="11"/>
      <c r="R12777" s="11"/>
      <c r="S12777" s="11"/>
      <c r="T12777" s="11"/>
    </row>
    <row r="12778" spans="8:20" x14ac:dyDescent="0.35">
      <c r="H12778" s="711"/>
      <c r="I12778" s="711"/>
      <c r="J12778" s="711"/>
      <c r="K12778" s="711"/>
      <c r="L12778" s="711"/>
      <c r="Q12778" s="11"/>
      <c r="R12778" s="11"/>
      <c r="S12778" s="11"/>
      <c r="T12778" s="11"/>
    </row>
    <row r="12779" spans="8:20" x14ac:dyDescent="0.35">
      <c r="H12779" s="711"/>
      <c r="I12779" s="711"/>
      <c r="J12779" s="711"/>
      <c r="K12779" s="711"/>
      <c r="L12779" s="711"/>
      <c r="Q12779" s="11"/>
      <c r="R12779" s="11"/>
      <c r="S12779" s="11"/>
      <c r="T12779" s="11"/>
    </row>
    <row r="12780" spans="8:20" x14ac:dyDescent="0.35">
      <c r="H12780" s="711"/>
      <c r="I12780" s="711"/>
      <c r="J12780" s="711"/>
      <c r="K12780" s="711"/>
      <c r="L12780" s="711"/>
      <c r="Q12780" s="11"/>
      <c r="R12780" s="11"/>
      <c r="S12780" s="11"/>
      <c r="T12780" s="11"/>
    </row>
    <row r="12781" spans="8:20" x14ac:dyDescent="0.35">
      <c r="H12781" s="711"/>
      <c r="I12781" s="711"/>
      <c r="J12781" s="711"/>
      <c r="K12781" s="711"/>
      <c r="L12781" s="711"/>
      <c r="Q12781" s="11"/>
      <c r="R12781" s="11"/>
      <c r="S12781" s="11"/>
      <c r="T12781" s="11"/>
    </row>
    <row r="12782" spans="8:20" x14ac:dyDescent="0.35">
      <c r="H12782" s="711"/>
      <c r="I12782" s="711"/>
      <c r="J12782" s="711"/>
      <c r="K12782" s="711"/>
      <c r="L12782" s="711"/>
      <c r="Q12782" s="11"/>
      <c r="R12782" s="11"/>
      <c r="S12782" s="11"/>
      <c r="T12782" s="11"/>
    </row>
    <row r="12783" spans="8:20" x14ac:dyDescent="0.35">
      <c r="H12783" s="711"/>
      <c r="I12783" s="711"/>
      <c r="J12783" s="711"/>
      <c r="K12783" s="711"/>
      <c r="L12783" s="711"/>
      <c r="Q12783" s="11"/>
      <c r="R12783" s="11"/>
      <c r="S12783" s="11"/>
      <c r="T12783" s="11"/>
    </row>
    <row r="12784" spans="8:20" x14ac:dyDescent="0.35">
      <c r="H12784" s="711"/>
      <c r="I12784" s="711"/>
      <c r="J12784" s="711"/>
      <c r="K12784" s="711"/>
      <c r="L12784" s="711"/>
      <c r="Q12784" s="11"/>
      <c r="R12784" s="11"/>
      <c r="S12784" s="11"/>
      <c r="T12784" s="11"/>
    </row>
    <row r="12785" spans="8:20" x14ac:dyDescent="0.35">
      <c r="H12785" s="711"/>
      <c r="I12785" s="711"/>
      <c r="J12785" s="711"/>
      <c r="K12785" s="711"/>
      <c r="L12785" s="711"/>
      <c r="Q12785" s="11"/>
      <c r="R12785" s="11"/>
      <c r="S12785" s="11"/>
      <c r="T12785" s="11"/>
    </row>
    <row r="12786" spans="8:20" x14ac:dyDescent="0.35">
      <c r="H12786" s="711"/>
      <c r="I12786" s="711"/>
      <c r="J12786" s="711"/>
      <c r="K12786" s="711"/>
      <c r="L12786" s="711"/>
      <c r="Q12786" s="11"/>
      <c r="R12786" s="11"/>
      <c r="S12786" s="11"/>
      <c r="T12786" s="11"/>
    </row>
    <row r="12787" spans="8:20" x14ac:dyDescent="0.35">
      <c r="H12787" s="711"/>
      <c r="I12787" s="711"/>
      <c r="J12787" s="711"/>
      <c r="K12787" s="711"/>
      <c r="L12787" s="711"/>
      <c r="Q12787" s="11"/>
      <c r="R12787" s="11"/>
      <c r="S12787" s="11"/>
      <c r="T12787" s="11"/>
    </row>
    <row r="12788" spans="8:20" x14ac:dyDescent="0.35">
      <c r="H12788" s="711"/>
      <c r="I12788" s="711"/>
      <c r="J12788" s="711"/>
      <c r="K12788" s="711"/>
      <c r="L12788" s="711"/>
      <c r="Q12788" s="11"/>
      <c r="R12788" s="11"/>
      <c r="S12788" s="11"/>
      <c r="T12788" s="11"/>
    </row>
    <row r="12789" spans="8:20" x14ac:dyDescent="0.35">
      <c r="H12789" s="711"/>
      <c r="I12789" s="711"/>
      <c r="J12789" s="711"/>
      <c r="K12789" s="711"/>
      <c r="L12789" s="711"/>
      <c r="Q12789" s="11"/>
      <c r="R12789" s="11"/>
      <c r="S12789" s="11"/>
      <c r="T12789" s="11"/>
    </row>
    <row r="12790" spans="8:20" x14ac:dyDescent="0.35">
      <c r="H12790" s="711"/>
      <c r="I12790" s="711"/>
      <c r="J12790" s="711"/>
      <c r="K12790" s="711"/>
      <c r="L12790" s="711"/>
      <c r="Q12790" s="11"/>
      <c r="R12790" s="11"/>
      <c r="S12790" s="11"/>
      <c r="T12790" s="11"/>
    </row>
    <row r="12791" spans="8:20" x14ac:dyDescent="0.35">
      <c r="H12791" s="711"/>
      <c r="I12791" s="711"/>
      <c r="J12791" s="711"/>
      <c r="K12791" s="711"/>
      <c r="L12791" s="711"/>
      <c r="Q12791" s="11"/>
      <c r="R12791" s="11"/>
      <c r="S12791" s="11"/>
      <c r="T12791" s="11"/>
    </row>
    <row r="12792" spans="8:20" x14ac:dyDescent="0.35">
      <c r="H12792" s="711"/>
      <c r="I12792" s="711"/>
      <c r="J12792" s="711"/>
      <c r="K12792" s="711"/>
      <c r="L12792" s="711"/>
      <c r="Q12792" s="11"/>
      <c r="R12792" s="11"/>
      <c r="S12792" s="11"/>
      <c r="T12792" s="11"/>
    </row>
    <row r="12793" spans="8:20" x14ac:dyDescent="0.35">
      <c r="H12793" s="711"/>
      <c r="I12793" s="711"/>
      <c r="J12793" s="711"/>
      <c r="K12793" s="711"/>
      <c r="L12793" s="711"/>
      <c r="Q12793" s="11"/>
      <c r="R12793" s="11"/>
      <c r="S12793" s="11"/>
      <c r="T12793" s="11"/>
    </row>
    <row r="12794" spans="8:20" x14ac:dyDescent="0.35">
      <c r="H12794" s="711"/>
      <c r="I12794" s="711"/>
      <c r="J12794" s="711"/>
      <c r="K12794" s="711"/>
      <c r="L12794" s="711"/>
      <c r="Q12794" s="11"/>
      <c r="R12794" s="11"/>
      <c r="S12794" s="11"/>
      <c r="T12794" s="11"/>
    </row>
    <row r="12795" spans="8:20" x14ac:dyDescent="0.35">
      <c r="H12795" s="711"/>
      <c r="I12795" s="711"/>
      <c r="J12795" s="711"/>
      <c r="K12795" s="711"/>
      <c r="L12795" s="711"/>
      <c r="Q12795" s="11"/>
      <c r="R12795" s="11"/>
      <c r="S12795" s="11"/>
      <c r="T12795" s="11"/>
    </row>
    <row r="12796" spans="8:20" x14ac:dyDescent="0.35">
      <c r="H12796" s="711"/>
      <c r="I12796" s="711"/>
      <c r="J12796" s="711"/>
      <c r="K12796" s="711"/>
      <c r="L12796" s="711"/>
      <c r="Q12796" s="11"/>
      <c r="R12796" s="11"/>
      <c r="S12796" s="11"/>
      <c r="T12796" s="11"/>
    </row>
    <row r="12797" spans="8:20" x14ac:dyDescent="0.35">
      <c r="H12797" s="711"/>
      <c r="I12797" s="711"/>
      <c r="J12797" s="711"/>
      <c r="K12797" s="711"/>
      <c r="L12797" s="711"/>
      <c r="Q12797" s="11"/>
      <c r="R12797" s="11"/>
      <c r="S12797" s="11"/>
      <c r="T12797" s="11"/>
    </row>
    <row r="12798" spans="8:20" x14ac:dyDescent="0.35">
      <c r="H12798" s="711"/>
      <c r="I12798" s="711"/>
      <c r="J12798" s="711"/>
      <c r="K12798" s="711"/>
      <c r="L12798" s="711"/>
      <c r="Q12798" s="11"/>
      <c r="R12798" s="11"/>
      <c r="S12798" s="11"/>
      <c r="T12798" s="11"/>
    </row>
    <row r="12799" spans="8:20" x14ac:dyDescent="0.35">
      <c r="H12799" s="711"/>
      <c r="I12799" s="711"/>
      <c r="J12799" s="711"/>
      <c r="K12799" s="711"/>
      <c r="L12799" s="711"/>
      <c r="Q12799" s="11"/>
      <c r="R12799" s="11"/>
      <c r="S12799" s="11"/>
      <c r="T12799" s="11"/>
    </row>
    <row r="12800" spans="8:20" x14ac:dyDescent="0.35">
      <c r="H12800" s="711"/>
      <c r="I12800" s="711"/>
      <c r="J12800" s="711"/>
      <c r="K12800" s="711"/>
      <c r="L12800" s="711"/>
      <c r="Q12800" s="11"/>
      <c r="R12800" s="11"/>
      <c r="S12800" s="11"/>
      <c r="T12800" s="11"/>
    </row>
    <row r="12801" spans="8:20" x14ac:dyDescent="0.35">
      <c r="H12801" s="711"/>
      <c r="I12801" s="711"/>
      <c r="J12801" s="711"/>
      <c r="K12801" s="711"/>
      <c r="L12801" s="711"/>
      <c r="Q12801" s="11"/>
      <c r="R12801" s="11"/>
      <c r="S12801" s="11"/>
      <c r="T12801" s="11"/>
    </row>
    <row r="12802" spans="8:20" x14ac:dyDescent="0.35">
      <c r="H12802" s="711"/>
      <c r="I12802" s="711"/>
      <c r="J12802" s="711"/>
      <c r="K12802" s="711"/>
      <c r="L12802" s="711"/>
      <c r="Q12802" s="11"/>
      <c r="R12802" s="11"/>
      <c r="S12802" s="11"/>
      <c r="T12802" s="11"/>
    </row>
    <row r="12803" spans="8:20" x14ac:dyDescent="0.35">
      <c r="H12803" s="711"/>
      <c r="I12803" s="711"/>
      <c r="J12803" s="711"/>
      <c r="K12803" s="711"/>
      <c r="L12803" s="711"/>
      <c r="Q12803" s="11"/>
      <c r="R12803" s="11"/>
      <c r="S12803" s="11"/>
      <c r="T12803" s="11"/>
    </row>
    <row r="12804" spans="8:20" x14ac:dyDescent="0.35">
      <c r="H12804" s="711"/>
      <c r="I12804" s="711"/>
      <c r="J12804" s="711"/>
      <c r="K12804" s="711"/>
      <c r="L12804" s="711"/>
      <c r="Q12804" s="11"/>
      <c r="R12804" s="11"/>
      <c r="S12804" s="11"/>
      <c r="T12804" s="11"/>
    </row>
    <row r="12805" spans="8:20" x14ac:dyDescent="0.35">
      <c r="H12805" s="711"/>
      <c r="I12805" s="711"/>
      <c r="J12805" s="711"/>
      <c r="K12805" s="711"/>
      <c r="L12805" s="711"/>
      <c r="Q12805" s="11"/>
      <c r="R12805" s="11"/>
      <c r="S12805" s="11"/>
      <c r="T12805" s="11"/>
    </row>
    <row r="12806" spans="8:20" x14ac:dyDescent="0.35">
      <c r="H12806" s="711"/>
      <c r="I12806" s="711"/>
      <c r="J12806" s="711"/>
      <c r="K12806" s="711"/>
      <c r="L12806" s="711"/>
      <c r="Q12806" s="11"/>
      <c r="R12806" s="11"/>
      <c r="S12806" s="11"/>
      <c r="T12806" s="11"/>
    </row>
    <row r="12807" spans="8:20" x14ac:dyDescent="0.35">
      <c r="H12807" s="711"/>
      <c r="I12807" s="711"/>
      <c r="J12807" s="711"/>
      <c r="K12807" s="711"/>
      <c r="L12807" s="711"/>
      <c r="Q12807" s="11"/>
      <c r="R12807" s="11"/>
      <c r="S12807" s="11"/>
      <c r="T12807" s="11"/>
    </row>
    <row r="12808" spans="8:20" x14ac:dyDescent="0.35">
      <c r="H12808" s="711"/>
      <c r="I12808" s="711"/>
      <c r="J12808" s="711"/>
      <c r="K12808" s="711"/>
      <c r="L12808" s="711"/>
      <c r="Q12808" s="11"/>
      <c r="R12808" s="11"/>
      <c r="S12808" s="11"/>
      <c r="T12808" s="11"/>
    </row>
    <row r="12809" spans="8:20" x14ac:dyDescent="0.35">
      <c r="H12809" s="711"/>
      <c r="I12809" s="711"/>
      <c r="J12809" s="711"/>
      <c r="K12809" s="711"/>
      <c r="L12809" s="711"/>
      <c r="Q12809" s="11"/>
      <c r="R12809" s="11"/>
      <c r="S12809" s="11"/>
      <c r="T12809" s="11"/>
    </row>
    <row r="12810" spans="8:20" x14ac:dyDescent="0.35">
      <c r="H12810" s="711"/>
      <c r="I12810" s="711"/>
      <c r="J12810" s="711"/>
      <c r="K12810" s="711"/>
      <c r="L12810" s="711"/>
      <c r="Q12810" s="11"/>
      <c r="R12810" s="11"/>
      <c r="S12810" s="11"/>
      <c r="T12810" s="11"/>
    </row>
    <row r="12811" spans="8:20" x14ac:dyDescent="0.35">
      <c r="H12811" s="711"/>
      <c r="I12811" s="711"/>
      <c r="J12811" s="711"/>
      <c r="K12811" s="711"/>
      <c r="L12811" s="711"/>
      <c r="Q12811" s="11"/>
      <c r="R12811" s="11"/>
      <c r="S12811" s="11"/>
      <c r="T12811" s="11"/>
    </row>
    <row r="12812" spans="8:20" x14ac:dyDescent="0.35">
      <c r="H12812" s="711"/>
      <c r="I12812" s="711"/>
      <c r="J12812" s="711"/>
      <c r="K12812" s="711"/>
      <c r="L12812" s="711"/>
      <c r="Q12812" s="11"/>
      <c r="R12812" s="11"/>
      <c r="S12812" s="11"/>
      <c r="T12812" s="11"/>
    </row>
    <row r="12813" spans="8:20" x14ac:dyDescent="0.35">
      <c r="H12813" s="711"/>
      <c r="I12813" s="711"/>
      <c r="J12813" s="711"/>
      <c r="K12813" s="711"/>
      <c r="L12813" s="711"/>
      <c r="Q12813" s="11"/>
      <c r="R12813" s="11"/>
      <c r="S12813" s="11"/>
      <c r="T12813" s="11"/>
    </row>
    <row r="12814" spans="8:20" x14ac:dyDescent="0.35">
      <c r="H12814" s="711"/>
      <c r="I12814" s="711"/>
      <c r="J12814" s="711"/>
      <c r="K12814" s="711"/>
      <c r="L12814" s="711"/>
      <c r="Q12814" s="11"/>
      <c r="R12814" s="11"/>
      <c r="S12814" s="11"/>
      <c r="T12814" s="11"/>
    </row>
    <row r="12815" spans="8:20" x14ac:dyDescent="0.35">
      <c r="H12815" s="711"/>
      <c r="I12815" s="711"/>
      <c r="J12815" s="711"/>
      <c r="K12815" s="711"/>
      <c r="L12815" s="711"/>
      <c r="Q12815" s="11"/>
      <c r="R12815" s="11"/>
      <c r="S12815" s="11"/>
      <c r="T12815" s="11"/>
    </row>
    <row r="12816" spans="8:20" x14ac:dyDescent="0.35">
      <c r="H12816" s="711"/>
      <c r="I12816" s="711"/>
      <c r="J12816" s="711"/>
      <c r="K12816" s="711"/>
      <c r="L12816" s="711"/>
      <c r="Q12816" s="11"/>
      <c r="R12816" s="11"/>
      <c r="S12816" s="11"/>
      <c r="T12816" s="11"/>
    </row>
    <row r="12817" spans="8:20" x14ac:dyDescent="0.35">
      <c r="H12817" s="711"/>
      <c r="I12817" s="711"/>
      <c r="J12817" s="711"/>
      <c r="K12817" s="711"/>
      <c r="L12817" s="711"/>
      <c r="Q12817" s="11"/>
      <c r="R12817" s="11"/>
      <c r="S12817" s="11"/>
      <c r="T12817" s="11"/>
    </row>
    <row r="12818" spans="8:20" x14ac:dyDescent="0.35">
      <c r="H12818" s="711"/>
      <c r="I12818" s="711"/>
      <c r="J12818" s="711"/>
      <c r="K12818" s="711"/>
      <c r="L12818" s="711"/>
      <c r="Q12818" s="11"/>
      <c r="R12818" s="11"/>
      <c r="S12818" s="11"/>
      <c r="T12818" s="11"/>
    </row>
    <row r="12819" spans="8:20" x14ac:dyDescent="0.35">
      <c r="H12819" s="711"/>
      <c r="I12819" s="711"/>
      <c r="J12819" s="711"/>
      <c r="K12819" s="711"/>
      <c r="L12819" s="711"/>
      <c r="Q12819" s="11"/>
      <c r="R12819" s="11"/>
      <c r="S12819" s="11"/>
      <c r="T12819" s="11"/>
    </row>
    <row r="12820" spans="8:20" x14ac:dyDescent="0.35">
      <c r="H12820" s="711"/>
      <c r="I12820" s="711"/>
      <c r="J12820" s="711"/>
      <c r="K12820" s="711"/>
      <c r="L12820" s="711"/>
      <c r="Q12820" s="11"/>
      <c r="R12820" s="11"/>
      <c r="S12820" s="11"/>
      <c r="T12820" s="11"/>
    </row>
    <row r="12821" spans="8:20" x14ac:dyDescent="0.35">
      <c r="H12821" s="711"/>
      <c r="I12821" s="711"/>
      <c r="J12821" s="711"/>
      <c r="K12821" s="711"/>
      <c r="L12821" s="711"/>
      <c r="Q12821" s="11"/>
      <c r="R12821" s="11"/>
      <c r="S12821" s="11"/>
      <c r="T12821" s="11"/>
    </row>
    <row r="12822" spans="8:20" x14ac:dyDescent="0.35">
      <c r="H12822" s="711"/>
      <c r="I12822" s="711"/>
      <c r="J12822" s="711"/>
      <c r="K12822" s="711"/>
      <c r="L12822" s="711"/>
      <c r="Q12822" s="11"/>
      <c r="R12822" s="11"/>
      <c r="S12822" s="11"/>
      <c r="T12822" s="11"/>
    </row>
    <row r="12823" spans="8:20" x14ac:dyDescent="0.35">
      <c r="H12823" s="711"/>
      <c r="I12823" s="711"/>
      <c r="J12823" s="711"/>
      <c r="K12823" s="711"/>
      <c r="L12823" s="711"/>
      <c r="Q12823" s="11"/>
      <c r="R12823" s="11"/>
      <c r="S12823" s="11"/>
      <c r="T12823" s="11"/>
    </row>
    <row r="12824" spans="8:20" x14ac:dyDescent="0.35">
      <c r="H12824" s="711"/>
      <c r="I12824" s="711"/>
      <c r="J12824" s="711"/>
      <c r="K12824" s="711"/>
      <c r="L12824" s="711"/>
      <c r="Q12824" s="11"/>
      <c r="R12824" s="11"/>
      <c r="S12824" s="11"/>
      <c r="T12824" s="11"/>
    </row>
    <row r="12825" spans="8:20" x14ac:dyDescent="0.35">
      <c r="H12825" s="711"/>
      <c r="I12825" s="711"/>
      <c r="J12825" s="711"/>
      <c r="K12825" s="711"/>
      <c r="L12825" s="711"/>
      <c r="Q12825" s="11"/>
      <c r="R12825" s="11"/>
      <c r="S12825" s="11"/>
      <c r="T12825" s="11"/>
    </row>
    <row r="12826" spans="8:20" x14ac:dyDescent="0.35">
      <c r="H12826" s="711"/>
      <c r="I12826" s="711"/>
      <c r="J12826" s="711"/>
      <c r="K12826" s="711"/>
      <c r="L12826" s="711"/>
      <c r="Q12826" s="11"/>
      <c r="R12826" s="11"/>
      <c r="S12826" s="11"/>
      <c r="T12826" s="11"/>
    </row>
    <row r="12827" spans="8:20" x14ac:dyDescent="0.35">
      <c r="H12827" s="711"/>
      <c r="I12827" s="711"/>
      <c r="J12827" s="711"/>
      <c r="K12827" s="711"/>
      <c r="L12827" s="711"/>
      <c r="Q12827" s="11"/>
      <c r="R12827" s="11"/>
      <c r="S12827" s="11"/>
      <c r="T12827" s="11"/>
    </row>
    <row r="12828" spans="8:20" x14ac:dyDescent="0.35">
      <c r="H12828" s="711"/>
      <c r="I12828" s="711"/>
      <c r="J12828" s="711"/>
      <c r="K12828" s="711"/>
      <c r="L12828" s="711"/>
      <c r="Q12828" s="11"/>
      <c r="R12828" s="11"/>
      <c r="S12828" s="11"/>
      <c r="T12828" s="11"/>
    </row>
    <row r="12829" spans="8:20" x14ac:dyDescent="0.35">
      <c r="H12829" s="711"/>
      <c r="I12829" s="711"/>
      <c r="J12829" s="711"/>
      <c r="K12829" s="711"/>
      <c r="L12829" s="711"/>
      <c r="Q12829" s="11"/>
      <c r="R12829" s="11"/>
      <c r="S12829" s="11"/>
      <c r="T12829" s="11"/>
    </row>
    <row r="12830" spans="8:20" x14ac:dyDescent="0.35">
      <c r="H12830" s="711"/>
      <c r="I12830" s="711"/>
      <c r="J12830" s="711"/>
      <c r="K12830" s="711"/>
      <c r="L12830" s="711"/>
      <c r="Q12830" s="11"/>
      <c r="R12830" s="11"/>
      <c r="S12830" s="11"/>
      <c r="T12830" s="11"/>
    </row>
    <row r="12831" spans="8:20" x14ac:dyDescent="0.35">
      <c r="H12831" s="711"/>
      <c r="I12831" s="711"/>
      <c r="J12831" s="711"/>
      <c r="K12831" s="711"/>
      <c r="L12831" s="711"/>
      <c r="Q12831" s="11"/>
      <c r="R12831" s="11"/>
      <c r="S12831" s="11"/>
      <c r="T12831" s="11"/>
    </row>
    <row r="12832" spans="8:20" x14ac:dyDescent="0.35">
      <c r="H12832" s="711"/>
      <c r="I12832" s="711"/>
      <c r="J12832" s="711"/>
      <c r="K12832" s="711"/>
      <c r="L12832" s="711"/>
      <c r="Q12832" s="11"/>
      <c r="R12832" s="11"/>
      <c r="S12832" s="11"/>
      <c r="T12832" s="11"/>
    </row>
    <row r="12833" spans="8:20" x14ac:dyDescent="0.35">
      <c r="H12833" s="711"/>
      <c r="I12833" s="711"/>
      <c r="J12833" s="711"/>
      <c r="K12833" s="711"/>
      <c r="L12833" s="711"/>
      <c r="Q12833" s="11"/>
      <c r="R12833" s="11"/>
      <c r="S12833" s="11"/>
      <c r="T12833" s="11"/>
    </row>
    <row r="12834" spans="8:20" x14ac:dyDescent="0.35">
      <c r="H12834" s="711"/>
      <c r="I12834" s="711"/>
      <c r="J12834" s="711"/>
      <c r="K12834" s="711"/>
      <c r="L12834" s="711"/>
      <c r="Q12834" s="11"/>
      <c r="R12834" s="11"/>
      <c r="S12834" s="11"/>
      <c r="T12834" s="11"/>
    </row>
    <row r="12835" spans="8:20" x14ac:dyDescent="0.35">
      <c r="H12835" s="711"/>
      <c r="I12835" s="711"/>
      <c r="J12835" s="711"/>
      <c r="K12835" s="711"/>
      <c r="L12835" s="711"/>
      <c r="Q12835" s="11"/>
      <c r="R12835" s="11"/>
      <c r="S12835" s="11"/>
      <c r="T12835" s="11"/>
    </row>
    <row r="12836" spans="8:20" x14ac:dyDescent="0.35">
      <c r="H12836" s="711"/>
      <c r="I12836" s="711"/>
      <c r="J12836" s="711"/>
      <c r="K12836" s="711"/>
      <c r="L12836" s="711"/>
      <c r="Q12836" s="11"/>
      <c r="R12836" s="11"/>
      <c r="S12836" s="11"/>
      <c r="T12836" s="11"/>
    </row>
    <row r="12837" spans="8:20" x14ac:dyDescent="0.35">
      <c r="H12837" s="711"/>
      <c r="I12837" s="711"/>
      <c r="J12837" s="711"/>
      <c r="K12837" s="711"/>
      <c r="L12837" s="711"/>
      <c r="Q12837" s="11"/>
      <c r="R12837" s="11"/>
      <c r="S12837" s="11"/>
      <c r="T12837" s="11"/>
    </row>
    <row r="12838" spans="8:20" x14ac:dyDescent="0.35">
      <c r="H12838" s="711"/>
      <c r="I12838" s="711"/>
      <c r="J12838" s="711"/>
      <c r="K12838" s="711"/>
      <c r="L12838" s="711"/>
      <c r="Q12838" s="11"/>
      <c r="R12838" s="11"/>
      <c r="S12838" s="11"/>
      <c r="T12838" s="11"/>
    </row>
    <row r="12839" spans="8:20" x14ac:dyDescent="0.35">
      <c r="H12839" s="711"/>
      <c r="I12839" s="711"/>
      <c r="J12839" s="711"/>
      <c r="K12839" s="711"/>
      <c r="L12839" s="711"/>
      <c r="Q12839" s="11"/>
      <c r="R12839" s="11"/>
      <c r="S12839" s="11"/>
      <c r="T12839" s="11"/>
    </row>
    <row r="12840" spans="8:20" x14ac:dyDescent="0.35">
      <c r="H12840" s="711"/>
      <c r="I12840" s="711"/>
      <c r="J12840" s="711"/>
      <c r="K12840" s="711"/>
      <c r="L12840" s="711"/>
      <c r="Q12840" s="11"/>
      <c r="R12840" s="11"/>
      <c r="S12840" s="11"/>
      <c r="T12840" s="11"/>
    </row>
    <row r="12841" spans="8:20" x14ac:dyDescent="0.35">
      <c r="H12841" s="711"/>
      <c r="I12841" s="711"/>
      <c r="J12841" s="711"/>
      <c r="K12841" s="711"/>
      <c r="L12841" s="711"/>
      <c r="Q12841" s="11"/>
      <c r="R12841" s="11"/>
      <c r="S12841" s="11"/>
      <c r="T12841" s="11"/>
    </row>
    <row r="12842" spans="8:20" x14ac:dyDescent="0.35">
      <c r="H12842" s="711"/>
      <c r="I12842" s="711"/>
      <c r="J12842" s="711"/>
      <c r="K12842" s="711"/>
      <c r="L12842" s="711"/>
      <c r="Q12842" s="11"/>
      <c r="R12842" s="11"/>
      <c r="S12842" s="11"/>
      <c r="T12842" s="11"/>
    </row>
    <row r="12843" spans="8:20" x14ac:dyDescent="0.35">
      <c r="H12843" s="711"/>
      <c r="I12843" s="711"/>
      <c r="J12843" s="711"/>
      <c r="K12843" s="711"/>
      <c r="L12843" s="711"/>
      <c r="Q12843" s="11"/>
      <c r="R12843" s="11"/>
      <c r="S12843" s="11"/>
      <c r="T12843" s="11"/>
    </row>
    <row r="12844" spans="8:20" x14ac:dyDescent="0.35">
      <c r="H12844" s="711"/>
      <c r="I12844" s="711"/>
      <c r="J12844" s="711"/>
      <c r="K12844" s="711"/>
      <c r="L12844" s="711"/>
      <c r="Q12844" s="11"/>
      <c r="R12844" s="11"/>
      <c r="S12844" s="11"/>
      <c r="T12844" s="11"/>
    </row>
    <row r="12845" spans="8:20" x14ac:dyDescent="0.35">
      <c r="H12845" s="711"/>
      <c r="I12845" s="711"/>
      <c r="J12845" s="711"/>
      <c r="K12845" s="711"/>
      <c r="L12845" s="711"/>
      <c r="Q12845" s="11"/>
      <c r="R12845" s="11"/>
      <c r="S12845" s="11"/>
      <c r="T12845" s="11"/>
    </row>
    <row r="12846" spans="8:20" x14ac:dyDescent="0.35">
      <c r="H12846" s="711"/>
      <c r="I12846" s="711"/>
      <c r="J12846" s="711"/>
      <c r="K12846" s="711"/>
      <c r="L12846" s="711"/>
      <c r="Q12846" s="11"/>
      <c r="R12846" s="11"/>
      <c r="S12846" s="11"/>
      <c r="T12846" s="11"/>
    </row>
    <row r="12847" spans="8:20" x14ac:dyDescent="0.35">
      <c r="H12847" s="711"/>
      <c r="I12847" s="711"/>
      <c r="J12847" s="711"/>
      <c r="K12847" s="711"/>
      <c r="L12847" s="711"/>
      <c r="Q12847" s="11"/>
      <c r="R12847" s="11"/>
      <c r="S12847" s="11"/>
      <c r="T12847" s="11"/>
    </row>
    <row r="12848" spans="8:20" x14ac:dyDescent="0.35">
      <c r="H12848" s="711"/>
      <c r="I12848" s="711"/>
      <c r="J12848" s="711"/>
      <c r="K12848" s="711"/>
      <c r="L12848" s="711"/>
      <c r="Q12848" s="11"/>
      <c r="R12848" s="11"/>
      <c r="S12848" s="11"/>
      <c r="T12848" s="11"/>
    </row>
    <row r="12849" spans="8:20" x14ac:dyDescent="0.35">
      <c r="H12849" s="711"/>
      <c r="I12849" s="711"/>
      <c r="J12849" s="711"/>
      <c r="K12849" s="711"/>
      <c r="L12849" s="711"/>
      <c r="Q12849" s="11"/>
      <c r="R12849" s="11"/>
      <c r="S12849" s="11"/>
      <c r="T12849" s="11"/>
    </row>
    <row r="12850" spans="8:20" x14ac:dyDescent="0.35">
      <c r="H12850" s="711"/>
      <c r="I12850" s="711"/>
      <c r="J12850" s="711"/>
      <c r="K12850" s="711"/>
      <c r="L12850" s="711"/>
      <c r="Q12850" s="11"/>
      <c r="R12850" s="11"/>
      <c r="S12850" s="11"/>
      <c r="T12850" s="11"/>
    </row>
    <row r="12851" spans="8:20" x14ac:dyDescent="0.35">
      <c r="H12851" s="711"/>
      <c r="I12851" s="711"/>
      <c r="J12851" s="711"/>
      <c r="K12851" s="711"/>
      <c r="L12851" s="711"/>
      <c r="Q12851" s="11"/>
      <c r="R12851" s="11"/>
      <c r="S12851" s="11"/>
      <c r="T12851" s="11"/>
    </row>
    <row r="12852" spans="8:20" x14ac:dyDescent="0.35">
      <c r="H12852" s="711"/>
      <c r="I12852" s="711"/>
      <c r="J12852" s="711"/>
      <c r="K12852" s="711"/>
      <c r="L12852" s="711"/>
      <c r="Q12852" s="11"/>
      <c r="R12852" s="11"/>
      <c r="S12852" s="11"/>
      <c r="T12852" s="11"/>
    </row>
    <row r="12853" spans="8:20" x14ac:dyDescent="0.35">
      <c r="H12853" s="711"/>
      <c r="I12853" s="711"/>
      <c r="J12853" s="711"/>
      <c r="K12853" s="711"/>
      <c r="L12853" s="711"/>
      <c r="Q12853" s="11"/>
      <c r="R12853" s="11"/>
      <c r="S12853" s="11"/>
      <c r="T12853" s="11"/>
    </row>
    <row r="12854" spans="8:20" x14ac:dyDescent="0.35">
      <c r="H12854" s="711"/>
      <c r="I12854" s="711"/>
      <c r="J12854" s="711"/>
      <c r="K12854" s="711"/>
      <c r="L12854" s="711"/>
      <c r="Q12854" s="11"/>
      <c r="R12854" s="11"/>
      <c r="S12854" s="11"/>
      <c r="T12854" s="11"/>
    </row>
    <row r="12855" spans="8:20" x14ac:dyDescent="0.35">
      <c r="H12855" s="711"/>
      <c r="I12855" s="711"/>
      <c r="J12855" s="711"/>
      <c r="K12855" s="711"/>
      <c r="L12855" s="711"/>
      <c r="Q12855" s="11"/>
      <c r="R12855" s="11"/>
      <c r="S12855" s="11"/>
      <c r="T12855" s="11"/>
    </row>
    <row r="12856" spans="8:20" x14ac:dyDescent="0.35">
      <c r="H12856" s="711"/>
      <c r="I12856" s="711"/>
      <c r="J12856" s="711"/>
      <c r="K12856" s="711"/>
      <c r="L12856" s="711"/>
      <c r="Q12856" s="11"/>
      <c r="R12856" s="11"/>
      <c r="S12856" s="11"/>
      <c r="T12856" s="11"/>
    </row>
    <row r="12857" spans="8:20" x14ac:dyDescent="0.35">
      <c r="H12857" s="711"/>
      <c r="I12857" s="711"/>
      <c r="J12857" s="711"/>
      <c r="K12857" s="711"/>
      <c r="L12857" s="711"/>
      <c r="Q12857" s="11"/>
      <c r="R12857" s="11"/>
      <c r="S12857" s="11"/>
      <c r="T12857" s="11"/>
    </row>
    <row r="12858" spans="8:20" x14ac:dyDescent="0.35">
      <c r="H12858" s="711"/>
      <c r="I12858" s="711"/>
      <c r="J12858" s="711"/>
      <c r="K12858" s="711"/>
      <c r="L12858" s="711"/>
      <c r="Q12858" s="11"/>
      <c r="R12858" s="11"/>
      <c r="S12858" s="11"/>
      <c r="T12858" s="11"/>
    </row>
    <row r="12859" spans="8:20" x14ac:dyDescent="0.35">
      <c r="H12859" s="711"/>
      <c r="I12859" s="711"/>
      <c r="J12859" s="711"/>
      <c r="K12859" s="711"/>
      <c r="L12859" s="711"/>
      <c r="Q12859" s="11"/>
      <c r="R12859" s="11"/>
      <c r="S12859" s="11"/>
      <c r="T12859" s="11"/>
    </row>
    <row r="12860" spans="8:20" x14ac:dyDescent="0.35">
      <c r="H12860" s="711"/>
      <c r="I12860" s="711"/>
      <c r="J12860" s="711"/>
      <c r="K12860" s="711"/>
      <c r="L12860" s="711"/>
      <c r="Q12860" s="11"/>
      <c r="R12860" s="11"/>
      <c r="S12860" s="11"/>
      <c r="T12860" s="11"/>
    </row>
    <row r="12861" spans="8:20" x14ac:dyDescent="0.35">
      <c r="H12861" s="711"/>
      <c r="I12861" s="711"/>
      <c r="J12861" s="711"/>
      <c r="K12861" s="711"/>
      <c r="L12861" s="711"/>
      <c r="Q12861" s="11"/>
      <c r="R12861" s="11"/>
      <c r="S12861" s="11"/>
      <c r="T12861" s="11"/>
    </row>
    <row r="12862" spans="8:20" x14ac:dyDescent="0.35">
      <c r="H12862" s="711"/>
      <c r="I12862" s="711"/>
      <c r="J12862" s="711"/>
      <c r="K12862" s="711"/>
      <c r="L12862" s="711"/>
      <c r="Q12862" s="11"/>
      <c r="R12862" s="11"/>
      <c r="S12862" s="11"/>
      <c r="T12862" s="11"/>
    </row>
    <row r="12863" spans="8:20" x14ac:dyDescent="0.35">
      <c r="H12863" s="711"/>
      <c r="I12863" s="711"/>
      <c r="J12863" s="711"/>
      <c r="K12863" s="711"/>
      <c r="L12863" s="711"/>
      <c r="Q12863" s="11"/>
      <c r="R12863" s="11"/>
      <c r="S12863" s="11"/>
      <c r="T12863" s="11"/>
    </row>
    <row r="12864" spans="8:20" x14ac:dyDescent="0.35">
      <c r="H12864" s="711"/>
      <c r="I12864" s="711"/>
      <c r="J12864" s="711"/>
      <c r="K12864" s="711"/>
      <c r="L12864" s="711"/>
      <c r="Q12864" s="11"/>
      <c r="R12864" s="11"/>
      <c r="S12864" s="11"/>
      <c r="T12864" s="11"/>
    </row>
    <row r="12865" spans="8:20" x14ac:dyDescent="0.35">
      <c r="H12865" s="711"/>
      <c r="I12865" s="711"/>
      <c r="J12865" s="711"/>
      <c r="K12865" s="711"/>
      <c r="L12865" s="711"/>
      <c r="Q12865" s="11"/>
      <c r="R12865" s="11"/>
      <c r="S12865" s="11"/>
      <c r="T12865" s="11"/>
    </row>
    <row r="12866" spans="8:20" x14ac:dyDescent="0.35">
      <c r="H12866" s="711"/>
      <c r="I12866" s="711"/>
      <c r="J12866" s="711"/>
      <c r="K12866" s="711"/>
      <c r="L12866" s="711"/>
      <c r="Q12866" s="11"/>
      <c r="R12866" s="11"/>
      <c r="S12866" s="11"/>
      <c r="T12866" s="11"/>
    </row>
    <row r="12867" spans="8:20" x14ac:dyDescent="0.35">
      <c r="H12867" s="711"/>
      <c r="I12867" s="711"/>
      <c r="J12867" s="711"/>
      <c r="K12867" s="711"/>
      <c r="L12867" s="711"/>
      <c r="Q12867" s="11"/>
      <c r="R12867" s="11"/>
      <c r="S12867" s="11"/>
      <c r="T12867" s="11"/>
    </row>
    <row r="12868" spans="8:20" x14ac:dyDescent="0.35">
      <c r="H12868" s="711"/>
      <c r="I12868" s="711"/>
      <c r="J12868" s="711"/>
      <c r="K12868" s="711"/>
      <c r="L12868" s="711"/>
      <c r="Q12868" s="11"/>
      <c r="R12868" s="11"/>
      <c r="S12868" s="11"/>
      <c r="T12868" s="11"/>
    </row>
    <row r="12869" spans="8:20" x14ac:dyDescent="0.35">
      <c r="H12869" s="711"/>
      <c r="I12869" s="711"/>
      <c r="J12869" s="711"/>
      <c r="K12869" s="711"/>
      <c r="L12869" s="711"/>
      <c r="Q12869" s="11"/>
      <c r="R12869" s="11"/>
      <c r="S12869" s="11"/>
      <c r="T12869" s="11"/>
    </row>
    <row r="12870" spans="8:20" x14ac:dyDescent="0.35">
      <c r="H12870" s="711"/>
      <c r="I12870" s="711"/>
      <c r="J12870" s="711"/>
      <c r="K12870" s="711"/>
      <c r="L12870" s="711"/>
      <c r="Q12870" s="11"/>
      <c r="R12870" s="11"/>
      <c r="S12870" s="11"/>
      <c r="T12870" s="11"/>
    </row>
    <row r="12871" spans="8:20" x14ac:dyDescent="0.35">
      <c r="H12871" s="711"/>
      <c r="I12871" s="711"/>
      <c r="J12871" s="711"/>
      <c r="K12871" s="711"/>
      <c r="L12871" s="711"/>
      <c r="Q12871" s="11"/>
      <c r="R12871" s="11"/>
      <c r="S12871" s="11"/>
      <c r="T12871" s="11"/>
    </row>
    <row r="12872" spans="8:20" x14ac:dyDescent="0.35">
      <c r="H12872" s="711"/>
      <c r="I12872" s="711"/>
      <c r="J12872" s="711"/>
      <c r="K12872" s="711"/>
      <c r="L12872" s="711"/>
      <c r="Q12872" s="11"/>
      <c r="R12872" s="11"/>
      <c r="S12872" s="11"/>
      <c r="T12872" s="11"/>
    </row>
    <row r="12873" spans="8:20" x14ac:dyDescent="0.35">
      <c r="H12873" s="711"/>
      <c r="I12873" s="711"/>
      <c r="J12873" s="711"/>
      <c r="K12873" s="711"/>
      <c r="L12873" s="711"/>
      <c r="Q12873" s="11"/>
      <c r="R12873" s="11"/>
      <c r="S12873" s="11"/>
      <c r="T12873" s="11"/>
    </row>
    <row r="12874" spans="8:20" x14ac:dyDescent="0.35">
      <c r="H12874" s="711"/>
      <c r="I12874" s="711"/>
      <c r="J12874" s="711"/>
      <c r="K12874" s="711"/>
      <c r="L12874" s="711"/>
      <c r="Q12874" s="11"/>
      <c r="R12874" s="11"/>
      <c r="S12874" s="11"/>
      <c r="T12874" s="11"/>
    </row>
    <row r="12875" spans="8:20" x14ac:dyDescent="0.35">
      <c r="H12875" s="711"/>
      <c r="I12875" s="711"/>
      <c r="J12875" s="711"/>
      <c r="K12875" s="711"/>
      <c r="L12875" s="711"/>
      <c r="Q12875" s="11"/>
      <c r="R12875" s="11"/>
      <c r="S12875" s="11"/>
      <c r="T12875" s="11"/>
    </row>
    <row r="12876" spans="8:20" x14ac:dyDescent="0.35">
      <c r="H12876" s="711"/>
      <c r="I12876" s="711"/>
      <c r="J12876" s="711"/>
      <c r="K12876" s="711"/>
      <c r="L12876" s="711"/>
      <c r="Q12876" s="11"/>
      <c r="R12876" s="11"/>
      <c r="S12876" s="11"/>
      <c r="T12876" s="11"/>
    </row>
    <row r="12877" spans="8:20" x14ac:dyDescent="0.35">
      <c r="H12877" s="711"/>
      <c r="I12877" s="711"/>
      <c r="J12877" s="711"/>
      <c r="K12877" s="711"/>
      <c r="L12877" s="711"/>
      <c r="Q12877" s="11"/>
      <c r="R12877" s="11"/>
      <c r="S12877" s="11"/>
      <c r="T12877" s="11"/>
    </row>
    <row r="12878" spans="8:20" x14ac:dyDescent="0.35">
      <c r="H12878" s="711"/>
      <c r="I12878" s="711"/>
      <c r="J12878" s="711"/>
      <c r="K12878" s="711"/>
      <c r="L12878" s="711"/>
      <c r="Q12878" s="11"/>
      <c r="R12878" s="11"/>
      <c r="S12878" s="11"/>
      <c r="T12878" s="11"/>
    </row>
    <row r="12879" spans="8:20" x14ac:dyDescent="0.35">
      <c r="H12879" s="711"/>
      <c r="I12879" s="711"/>
      <c r="J12879" s="711"/>
      <c r="K12879" s="711"/>
      <c r="L12879" s="711"/>
      <c r="Q12879" s="11"/>
      <c r="R12879" s="11"/>
      <c r="S12879" s="11"/>
      <c r="T12879" s="11"/>
    </row>
    <row r="12880" spans="8:20" x14ac:dyDescent="0.35">
      <c r="H12880" s="711"/>
      <c r="I12880" s="711"/>
      <c r="J12880" s="711"/>
      <c r="K12880" s="711"/>
      <c r="L12880" s="711"/>
      <c r="Q12880" s="11"/>
      <c r="R12880" s="11"/>
      <c r="S12880" s="11"/>
      <c r="T12880" s="11"/>
    </row>
    <row r="12881" spans="8:20" x14ac:dyDescent="0.35">
      <c r="H12881" s="711"/>
      <c r="I12881" s="711"/>
      <c r="J12881" s="711"/>
      <c r="K12881" s="711"/>
      <c r="L12881" s="711"/>
      <c r="Q12881" s="11"/>
      <c r="R12881" s="11"/>
      <c r="S12881" s="11"/>
      <c r="T12881" s="11"/>
    </row>
    <row r="12882" spans="8:20" x14ac:dyDescent="0.35">
      <c r="H12882" s="711"/>
      <c r="I12882" s="711"/>
      <c r="J12882" s="711"/>
      <c r="K12882" s="711"/>
      <c r="L12882" s="711"/>
      <c r="Q12882" s="11"/>
      <c r="R12882" s="11"/>
      <c r="S12882" s="11"/>
      <c r="T12882" s="11"/>
    </row>
    <row r="12883" spans="8:20" x14ac:dyDescent="0.35">
      <c r="H12883" s="711"/>
      <c r="I12883" s="711"/>
      <c r="J12883" s="711"/>
      <c r="K12883" s="711"/>
      <c r="L12883" s="711"/>
      <c r="Q12883" s="11"/>
      <c r="R12883" s="11"/>
      <c r="S12883" s="11"/>
      <c r="T12883" s="11"/>
    </row>
    <row r="12884" spans="8:20" x14ac:dyDescent="0.35">
      <c r="H12884" s="711"/>
      <c r="I12884" s="711"/>
      <c r="J12884" s="711"/>
      <c r="K12884" s="711"/>
      <c r="L12884" s="711"/>
      <c r="Q12884" s="11"/>
      <c r="R12884" s="11"/>
      <c r="S12884" s="11"/>
      <c r="T12884" s="11"/>
    </row>
    <row r="12885" spans="8:20" x14ac:dyDescent="0.35">
      <c r="H12885" s="711"/>
      <c r="I12885" s="711"/>
      <c r="J12885" s="711"/>
      <c r="K12885" s="711"/>
      <c r="L12885" s="711"/>
      <c r="Q12885" s="11"/>
      <c r="R12885" s="11"/>
      <c r="S12885" s="11"/>
      <c r="T12885" s="11"/>
    </row>
    <row r="12886" spans="8:20" x14ac:dyDescent="0.35">
      <c r="H12886" s="711"/>
      <c r="I12886" s="711"/>
      <c r="J12886" s="711"/>
      <c r="K12886" s="711"/>
      <c r="L12886" s="711"/>
      <c r="Q12886" s="11"/>
      <c r="R12886" s="11"/>
      <c r="S12886" s="11"/>
      <c r="T12886" s="11"/>
    </row>
    <row r="12887" spans="8:20" x14ac:dyDescent="0.35">
      <c r="H12887" s="711"/>
      <c r="I12887" s="711"/>
      <c r="J12887" s="711"/>
      <c r="K12887" s="711"/>
      <c r="L12887" s="711"/>
      <c r="Q12887" s="11"/>
      <c r="R12887" s="11"/>
      <c r="S12887" s="11"/>
      <c r="T12887" s="11"/>
    </row>
    <row r="12888" spans="8:20" x14ac:dyDescent="0.35">
      <c r="H12888" s="711"/>
      <c r="I12888" s="711"/>
      <c r="J12888" s="711"/>
      <c r="K12888" s="711"/>
      <c r="L12888" s="711"/>
      <c r="Q12888" s="11"/>
      <c r="R12888" s="11"/>
      <c r="S12888" s="11"/>
      <c r="T12888" s="11"/>
    </row>
    <row r="12889" spans="8:20" x14ac:dyDescent="0.35">
      <c r="H12889" s="711"/>
      <c r="I12889" s="711"/>
      <c r="J12889" s="711"/>
      <c r="K12889" s="711"/>
      <c r="L12889" s="711"/>
      <c r="Q12889" s="11"/>
      <c r="R12889" s="11"/>
      <c r="S12889" s="11"/>
      <c r="T12889" s="11"/>
    </row>
    <row r="12890" spans="8:20" x14ac:dyDescent="0.35">
      <c r="H12890" s="711"/>
      <c r="I12890" s="711"/>
      <c r="J12890" s="711"/>
      <c r="K12890" s="711"/>
      <c r="L12890" s="711"/>
      <c r="Q12890" s="11"/>
      <c r="R12890" s="11"/>
      <c r="S12890" s="11"/>
      <c r="T12890" s="11"/>
    </row>
    <row r="12891" spans="8:20" x14ac:dyDescent="0.35">
      <c r="H12891" s="711"/>
      <c r="I12891" s="711"/>
      <c r="J12891" s="711"/>
      <c r="K12891" s="711"/>
      <c r="L12891" s="711"/>
      <c r="Q12891" s="11"/>
      <c r="R12891" s="11"/>
      <c r="S12891" s="11"/>
      <c r="T12891" s="11"/>
    </row>
    <row r="12892" spans="8:20" x14ac:dyDescent="0.35">
      <c r="H12892" s="711"/>
      <c r="I12892" s="711"/>
      <c r="J12892" s="711"/>
      <c r="K12892" s="711"/>
      <c r="L12892" s="711"/>
      <c r="Q12892" s="11"/>
      <c r="R12892" s="11"/>
      <c r="S12892" s="11"/>
      <c r="T12892" s="11"/>
    </row>
    <row r="12893" spans="8:20" x14ac:dyDescent="0.35">
      <c r="H12893" s="711"/>
      <c r="I12893" s="711"/>
      <c r="J12893" s="711"/>
      <c r="K12893" s="711"/>
      <c r="L12893" s="711"/>
      <c r="Q12893" s="11"/>
      <c r="R12893" s="11"/>
      <c r="S12893" s="11"/>
      <c r="T12893" s="11"/>
    </row>
    <row r="12894" spans="8:20" x14ac:dyDescent="0.35">
      <c r="H12894" s="711"/>
      <c r="I12894" s="711"/>
      <c r="J12894" s="711"/>
      <c r="K12894" s="711"/>
      <c r="L12894" s="711"/>
      <c r="Q12894" s="11"/>
      <c r="R12894" s="11"/>
      <c r="S12894" s="11"/>
      <c r="T12894" s="11"/>
    </row>
    <row r="12895" spans="8:20" x14ac:dyDescent="0.35">
      <c r="H12895" s="711"/>
      <c r="I12895" s="711"/>
      <c r="J12895" s="711"/>
      <c r="K12895" s="711"/>
      <c r="L12895" s="711"/>
      <c r="Q12895" s="11"/>
      <c r="R12895" s="11"/>
      <c r="S12895" s="11"/>
      <c r="T12895" s="11"/>
    </row>
    <row r="12896" spans="8:20" x14ac:dyDescent="0.35">
      <c r="H12896" s="711"/>
      <c r="I12896" s="711"/>
      <c r="J12896" s="711"/>
      <c r="K12896" s="711"/>
      <c r="L12896" s="711"/>
      <c r="Q12896" s="11"/>
      <c r="R12896" s="11"/>
      <c r="S12896" s="11"/>
      <c r="T12896" s="11"/>
    </row>
    <row r="12897" spans="8:20" x14ac:dyDescent="0.35">
      <c r="H12897" s="711"/>
      <c r="I12897" s="711"/>
      <c r="J12897" s="711"/>
      <c r="K12897" s="711"/>
      <c r="L12897" s="711"/>
      <c r="Q12897" s="11"/>
      <c r="R12897" s="11"/>
      <c r="S12897" s="11"/>
      <c r="T12897" s="11"/>
    </row>
    <row r="12898" spans="8:20" x14ac:dyDescent="0.35">
      <c r="H12898" s="711"/>
      <c r="I12898" s="711"/>
      <c r="J12898" s="711"/>
      <c r="K12898" s="711"/>
      <c r="L12898" s="711"/>
      <c r="Q12898" s="11"/>
      <c r="R12898" s="11"/>
      <c r="S12898" s="11"/>
      <c r="T12898" s="11"/>
    </row>
    <row r="12899" spans="8:20" x14ac:dyDescent="0.35">
      <c r="H12899" s="711"/>
      <c r="I12899" s="711"/>
      <c r="J12899" s="711"/>
      <c r="K12899" s="711"/>
      <c r="L12899" s="711"/>
      <c r="Q12899" s="11"/>
      <c r="R12899" s="11"/>
      <c r="S12899" s="11"/>
      <c r="T12899" s="11"/>
    </row>
    <row r="12900" spans="8:20" x14ac:dyDescent="0.35">
      <c r="H12900" s="711"/>
      <c r="I12900" s="711"/>
      <c r="J12900" s="711"/>
      <c r="K12900" s="711"/>
      <c r="L12900" s="711"/>
      <c r="Q12900" s="11"/>
      <c r="R12900" s="11"/>
      <c r="S12900" s="11"/>
      <c r="T12900" s="11"/>
    </row>
    <row r="12901" spans="8:20" x14ac:dyDescent="0.35">
      <c r="H12901" s="711"/>
      <c r="I12901" s="711"/>
      <c r="J12901" s="711"/>
      <c r="K12901" s="711"/>
      <c r="L12901" s="711"/>
      <c r="Q12901" s="11"/>
      <c r="R12901" s="11"/>
      <c r="S12901" s="11"/>
      <c r="T12901" s="11"/>
    </row>
    <row r="12902" spans="8:20" x14ac:dyDescent="0.35">
      <c r="H12902" s="711"/>
      <c r="I12902" s="711"/>
      <c r="J12902" s="711"/>
      <c r="K12902" s="711"/>
      <c r="L12902" s="711"/>
      <c r="Q12902" s="11"/>
      <c r="R12902" s="11"/>
      <c r="S12902" s="11"/>
      <c r="T12902" s="11"/>
    </row>
    <row r="12903" spans="8:20" x14ac:dyDescent="0.35">
      <c r="H12903" s="711"/>
      <c r="I12903" s="711"/>
      <c r="J12903" s="711"/>
      <c r="K12903" s="711"/>
      <c r="L12903" s="711"/>
      <c r="Q12903" s="11"/>
      <c r="R12903" s="11"/>
      <c r="S12903" s="11"/>
      <c r="T12903" s="11"/>
    </row>
    <row r="12904" spans="8:20" x14ac:dyDescent="0.35">
      <c r="H12904" s="711"/>
      <c r="I12904" s="711"/>
      <c r="J12904" s="711"/>
      <c r="K12904" s="711"/>
      <c r="L12904" s="711"/>
      <c r="Q12904" s="11"/>
      <c r="R12904" s="11"/>
      <c r="S12904" s="11"/>
      <c r="T12904" s="11"/>
    </row>
    <row r="12905" spans="8:20" x14ac:dyDescent="0.35">
      <c r="H12905" s="711"/>
      <c r="I12905" s="711"/>
      <c r="J12905" s="711"/>
      <c r="K12905" s="711"/>
      <c r="L12905" s="711"/>
      <c r="Q12905" s="11"/>
      <c r="R12905" s="11"/>
      <c r="S12905" s="11"/>
      <c r="T12905" s="11"/>
    </row>
    <row r="12906" spans="8:20" x14ac:dyDescent="0.35">
      <c r="H12906" s="711"/>
      <c r="I12906" s="711"/>
      <c r="J12906" s="711"/>
      <c r="K12906" s="711"/>
      <c r="L12906" s="711"/>
      <c r="Q12906" s="11"/>
      <c r="R12906" s="11"/>
      <c r="S12906" s="11"/>
      <c r="T12906" s="11"/>
    </row>
    <row r="12907" spans="8:20" x14ac:dyDescent="0.35">
      <c r="H12907" s="711"/>
      <c r="I12907" s="711"/>
      <c r="J12907" s="711"/>
      <c r="K12907" s="711"/>
      <c r="L12907" s="711"/>
      <c r="Q12907" s="11"/>
      <c r="R12907" s="11"/>
      <c r="S12907" s="11"/>
      <c r="T12907" s="11"/>
    </row>
    <row r="12908" spans="8:20" x14ac:dyDescent="0.35">
      <c r="H12908" s="711"/>
      <c r="I12908" s="711"/>
      <c r="J12908" s="711"/>
      <c r="K12908" s="711"/>
      <c r="L12908" s="711"/>
      <c r="Q12908" s="11"/>
      <c r="R12908" s="11"/>
      <c r="S12908" s="11"/>
      <c r="T12908" s="11"/>
    </row>
    <row r="12909" spans="8:20" x14ac:dyDescent="0.35">
      <c r="H12909" s="711"/>
      <c r="I12909" s="711"/>
      <c r="J12909" s="711"/>
      <c r="K12909" s="711"/>
      <c r="L12909" s="711"/>
      <c r="Q12909" s="11"/>
      <c r="R12909" s="11"/>
      <c r="S12909" s="11"/>
      <c r="T12909" s="11"/>
    </row>
    <row r="12910" spans="8:20" x14ac:dyDescent="0.35">
      <c r="H12910" s="711"/>
      <c r="I12910" s="711"/>
      <c r="J12910" s="711"/>
      <c r="K12910" s="711"/>
      <c r="L12910" s="711"/>
      <c r="Q12910" s="11"/>
      <c r="R12910" s="11"/>
      <c r="S12910" s="11"/>
      <c r="T12910" s="11"/>
    </row>
    <row r="12911" spans="8:20" x14ac:dyDescent="0.35">
      <c r="H12911" s="711"/>
      <c r="I12911" s="711"/>
      <c r="J12911" s="711"/>
      <c r="K12911" s="711"/>
      <c r="L12911" s="711"/>
      <c r="Q12911" s="11"/>
      <c r="R12911" s="11"/>
      <c r="S12911" s="11"/>
      <c r="T12911" s="11"/>
    </row>
    <row r="12912" spans="8:20" x14ac:dyDescent="0.35">
      <c r="H12912" s="711"/>
      <c r="I12912" s="711"/>
      <c r="J12912" s="711"/>
      <c r="K12912" s="711"/>
      <c r="L12912" s="711"/>
      <c r="Q12912" s="11"/>
      <c r="R12912" s="11"/>
      <c r="S12912" s="11"/>
      <c r="T12912" s="11"/>
    </row>
    <row r="12913" spans="8:20" x14ac:dyDescent="0.35">
      <c r="H12913" s="711"/>
      <c r="I12913" s="711"/>
      <c r="J12913" s="711"/>
      <c r="K12913" s="711"/>
      <c r="L12913" s="711"/>
      <c r="Q12913" s="11"/>
      <c r="R12913" s="11"/>
      <c r="S12913" s="11"/>
      <c r="T12913" s="11"/>
    </row>
    <row r="12914" spans="8:20" x14ac:dyDescent="0.35">
      <c r="H12914" s="711"/>
      <c r="I12914" s="711"/>
      <c r="J12914" s="711"/>
      <c r="K12914" s="711"/>
      <c r="L12914" s="711"/>
      <c r="Q12914" s="11"/>
      <c r="R12914" s="11"/>
      <c r="S12914" s="11"/>
      <c r="T12914" s="11"/>
    </row>
    <row r="12915" spans="8:20" x14ac:dyDescent="0.35">
      <c r="H12915" s="711"/>
      <c r="I12915" s="711"/>
      <c r="J12915" s="711"/>
      <c r="K12915" s="711"/>
      <c r="L12915" s="711"/>
      <c r="Q12915" s="11"/>
      <c r="R12915" s="11"/>
      <c r="S12915" s="11"/>
      <c r="T12915" s="11"/>
    </row>
    <row r="12916" spans="8:20" x14ac:dyDescent="0.35">
      <c r="H12916" s="711"/>
      <c r="I12916" s="711"/>
      <c r="J12916" s="711"/>
      <c r="K12916" s="711"/>
      <c r="L12916" s="711"/>
      <c r="Q12916" s="11"/>
      <c r="R12916" s="11"/>
      <c r="S12916" s="11"/>
      <c r="T12916" s="11"/>
    </row>
    <row r="12917" spans="8:20" x14ac:dyDescent="0.35">
      <c r="H12917" s="711"/>
      <c r="I12917" s="711"/>
      <c r="J12917" s="711"/>
      <c r="K12917" s="711"/>
      <c r="L12917" s="711"/>
      <c r="Q12917" s="11"/>
      <c r="R12917" s="11"/>
      <c r="S12917" s="11"/>
      <c r="T12917" s="11"/>
    </row>
    <row r="12918" spans="8:20" x14ac:dyDescent="0.35">
      <c r="H12918" s="711"/>
      <c r="I12918" s="711"/>
      <c r="J12918" s="711"/>
      <c r="K12918" s="711"/>
      <c r="L12918" s="711"/>
      <c r="Q12918" s="11"/>
      <c r="R12918" s="11"/>
      <c r="S12918" s="11"/>
      <c r="T12918" s="11"/>
    </row>
    <row r="12919" spans="8:20" x14ac:dyDescent="0.35">
      <c r="H12919" s="711"/>
      <c r="I12919" s="711"/>
      <c r="J12919" s="711"/>
      <c r="K12919" s="711"/>
      <c r="L12919" s="711"/>
      <c r="Q12919" s="11"/>
      <c r="R12919" s="11"/>
      <c r="S12919" s="11"/>
      <c r="T12919" s="11"/>
    </row>
    <row r="12920" spans="8:20" x14ac:dyDescent="0.35">
      <c r="H12920" s="711"/>
      <c r="I12920" s="711"/>
      <c r="J12920" s="711"/>
      <c r="K12920" s="711"/>
      <c r="L12920" s="711"/>
      <c r="Q12920" s="11"/>
      <c r="R12920" s="11"/>
      <c r="S12920" s="11"/>
      <c r="T12920" s="11"/>
    </row>
    <row r="12921" spans="8:20" x14ac:dyDescent="0.35">
      <c r="H12921" s="711"/>
      <c r="I12921" s="711"/>
      <c r="J12921" s="711"/>
      <c r="K12921" s="711"/>
      <c r="L12921" s="711"/>
      <c r="Q12921" s="11"/>
      <c r="R12921" s="11"/>
      <c r="S12921" s="11"/>
      <c r="T12921" s="11"/>
    </row>
    <row r="12922" spans="8:20" x14ac:dyDescent="0.35">
      <c r="H12922" s="711"/>
      <c r="I12922" s="711"/>
      <c r="J12922" s="711"/>
      <c r="K12922" s="711"/>
      <c r="L12922" s="711"/>
      <c r="Q12922" s="11"/>
      <c r="R12922" s="11"/>
      <c r="S12922" s="11"/>
      <c r="T12922" s="11"/>
    </row>
    <row r="12923" spans="8:20" x14ac:dyDescent="0.35">
      <c r="H12923" s="711"/>
      <c r="I12923" s="711"/>
      <c r="J12923" s="711"/>
      <c r="K12923" s="711"/>
      <c r="L12923" s="711"/>
      <c r="Q12923" s="11"/>
      <c r="R12923" s="11"/>
      <c r="S12923" s="11"/>
      <c r="T12923" s="11"/>
    </row>
    <row r="12924" spans="8:20" x14ac:dyDescent="0.35">
      <c r="H12924" s="711"/>
      <c r="I12924" s="711"/>
      <c r="J12924" s="711"/>
      <c r="K12924" s="711"/>
      <c r="L12924" s="711"/>
      <c r="Q12924" s="11"/>
      <c r="R12924" s="11"/>
      <c r="S12924" s="11"/>
      <c r="T12924" s="11"/>
    </row>
    <row r="12925" spans="8:20" x14ac:dyDescent="0.35">
      <c r="H12925" s="711"/>
      <c r="I12925" s="711"/>
      <c r="J12925" s="711"/>
      <c r="K12925" s="711"/>
      <c r="L12925" s="711"/>
      <c r="Q12925" s="11"/>
      <c r="R12925" s="11"/>
      <c r="S12925" s="11"/>
      <c r="T12925" s="11"/>
    </row>
    <row r="12926" spans="8:20" x14ac:dyDescent="0.35">
      <c r="H12926" s="711"/>
      <c r="I12926" s="711"/>
      <c r="J12926" s="711"/>
      <c r="K12926" s="711"/>
      <c r="L12926" s="711"/>
      <c r="Q12926" s="11"/>
      <c r="R12926" s="11"/>
      <c r="S12926" s="11"/>
      <c r="T12926" s="11"/>
    </row>
    <row r="12927" spans="8:20" x14ac:dyDescent="0.35">
      <c r="H12927" s="711"/>
      <c r="I12927" s="711"/>
      <c r="J12927" s="711"/>
      <c r="K12927" s="711"/>
      <c r="L12927" s="711"/>
      <c r="Q12927" s="11"/>
      <c r="R12927" s="11"/>
      <c r="S12927" s="11"/>
      <c r="T12927" s="11"/>
    </row>
    <row r="12928" spans="8:20" x14ac:dyDescent="0.35">
      <c r="H12928" s="711"/>
      <c r="I12928" s="711"/>
      <c r="J12928" s="711"/>
      <c r="K12928" s="711"/>
      <c r="L12928" s="711"/>
      <c r="Q12928" s="11"/>
      <c r="R12928" s="11"/>
      <c r="S12928" s="11"/>
      <c r="T12928" s="11"/>
    </row>
    <row r="12929" spans="8:20" x14ac:dyDescent="0.35">
      <c r="H12929" s="711"/>
      <c r="I12929" s="711"/>
      <c r="J12929" s="711"/>
      <c r="K12929" s="711"/>
      <c r="L12929" s="711"/>
      <c r="Q12929" s="11"/>
      <c r="R12929" s="11"/>
      <c r="S12929" s="11"/>
      <c r="T12929" s="11"/>
    </row>
    <row r="12930" spans="8:20" x14ac:dyDescent="0.35">
      <c r="H12930" s="711"/>
      <c r="I12930" s="711"/>
      <c r="J12930" s="711"/>
      <c r="K12930" s="711"/>
      <c r="L12930" s="711"/>
      <c r="Q12930" s="11"/>
      <c r="R12930" s="11"/>
      <c r="S12930" s="11"/>
      <c r="T12930" s="11"/>
    </row>
    <row r="12931" spans="8:20" x14ac:dyDescent="0.35">
      <c r="H12931" s="711"/>
      <c r="I12931" s="711"/>
      <c r="J12931" s="711"/>
      <c r="K12931" s="711"/>
      <c r="L12931" s="711"/>
      <c r="Q12931" s="11"/>
      <c r="R12931" s="11"/>
      <c r="S12931" s="11"/>
      <c r="T12931" s="11"/>
    </row>
    <row r="12932" spans="8:20" x14ac:dyDescent="0.35">
      <c r="H12932" s="711"/>
      <c r="I12932" s="711"/>
      <c r="J12932" s="711"/>
      <c r="K12932" s="711"/>
      <c r="L12932" s="711"/>
      <c r="Q12932" s="11"/>
      <c r="R12932" s="11"/>
      <c r="S12932" s="11"/>
      <c r="T12932" s="11"/>
    </row>
    <row r="12933" spans="8:20" x14ac:dyDescent="0.35">
      <c r="H12933" s="711"/>
      <c r="I12933" s="711"/>
      <c r="J12933" s="711"/>
      <c r="K12933" s="711"/>
      <c r="L12933" s="711"/>
      <c r="Q12933" s="11"/>
      <c r="R12933" s="11"/>
      <c r="S12933" s="11"/>
      <c r="T12933" s="11"/>
    </row>
    <row r="12934" spans="8:20" x14ac:dyDescent="0.35">
      <c r="H12934" s="711"/>
      <c r="I12934" s="711"/>
      <c r="J12934" s="711"/>
      <c r="K12934" s="711"/>
      <c r="L12934" s="711"/>
      <c r="Q12934" s="11"/>
      <c r="R12934" s="11"/>
      <c r="S12934" s="11"/>
      <c r="T12934" s="11"/>
    </row>
    <row r="12935" spans="8:20" x14ac:dyDescent="0.35">
      <c r="H12935" s="711"/>
      <c r="I12935" s="711"/>
      <c r="J12935" s="711"/>
      <c r="K12935" s="711"/>
      <c r="L12935" s="711"/>
      <c r="Q12935" s="11"/>
      <c r="R12935" s="11"/>
      <c r="S12935" s="11"/>
      <c r="T12935" s="11"/>
    </row>
    <row r="12936" spans="8:20" x14ac:dyDescent="0.35">
      <c r="H12936" s="711"/>
      <c r="I12936" s="711"/>
      <c r="J12936" s="711"/>
      <c r="K12936" s="711"/>
      <c r="L12936" s="711"/>
      <c r="Q12936" s="11"/>
      <c r="R12936" s="11"/>
      <c r="S12936" s="11"/>
      <c r="T12936" s="11"/>
    </row>
    <row r="12937" spans="8:20" x14ac:dyDescent="0.35">
      <c r="H12937" s="711"/>
      <c r="I12937" s="711"/>
      <c r="J12937" s="711"/>
      <c r="K12937" s="711"/>
      <c r="L12937" s="711"/>
      <c r="Q12937" s="11"/>
      <c r="R12937" s="11"/>
      <c r="S12937" s="11"/>
      <c r="T12937" s="11"/>
    </row>
    <row r="12938" spans="8:20" x14ac:dyDescent="0.35">
      <c r="H12938" s="711"/>
      <c r="I12938" s="711"/>
      <c r="J12938" s="711"/>
      <c r="K12938" s="711"/>
      <c r="L12938" s="711"/>
      <c r="Q12938" s="11"/>
      <c r="R12938" s="11"/>
      <c r="S12938" s="11"/>
      <c r="T12938" s="11"/>
    </row>
    <row r="12939" spans="8:20" x14ac:dyDescent="0.35">
      <c r="H12939" s="711"/>
      <c r="I12939" s="711"/>
      <c r="J12939" s="711"/>
      <c r="K12939" s="711"/>
      <c r="L12939" s="711"/>
      <c r="Q12939" s="11"/>
      <c r="R12939" s="11"/>
      <c r="S12939" s="11"/>
      <c r="T12939" s="11"/>
    </row>
    <row r="12940" spans="8:20" x14ac:dyDescent="0.35">
      <c r="H12940" s="711"/>
      <c r="I12940" s="711"/>
      <c r="J12940" s="711"/>
      <c r="K12940" s="711"/>
      <c r="L12940" s="711"/>
      <c r="Q12940" s="11"/>
      <c r="R12940" s="11"/>
      <c r="S12940" s="11"/>
      <c r="T12940" s="11"/>
    </row>
    <row r="12941" spans="8:20" x14ac:dyDescent="0.35">
      <c r="H12941" s="711"/>
      <c r="I12941" s="711"/>
      <c r="J12941" s="711"/>
      <c r="K12941" s="711"/>
      <c r="L12941" s="711"/>
      <c r="Q12941" s="11"/>
      <c r="R12941" s="11"/>
      <c r="S12941" s="11"/>
      <c r="T12941" s="11"/>
    </row>
    <row r="12942" spans="8:20" x14ac:dyDescent="0.35">
      <c r="H12942" s="711"/>
      <c r="I12942" s="711"/>
      <c r="J12942" s="711"/>
      <c r="K12942" s="711"/>
      <c r="L12942" s="711"/>
      <c r="Q12942" s="11"/>
      <c r="R12942" s="11"/>
      <c r="S12942" s="11"/>
      <c r="T12942" s="11"/>
    </row>
    <row r="12943" spans="8:20" x14ac:dyDescent="0.35">
      <c r="H12943" s="711"/>
      <c r="I12943" s="711"/>
      <c r="J12943" s="711"/>
      <c r="K12943" s="711"/>
      <c r="L12943" s="711"/>
      <c r="Q12943" s="11"/>
      <c r="R12943" s="11"/>
      <c r="S12943" s="11"/>
      <c r="T12943" s="11"/>
    </row>
    <row r="12944" spans="8:20" x14ac:dyDescent="0.35">
      <c r="H12944" s="711"/>
      <c r="I12944" s="711"/>
      <c r="J12944" s="711"/>
      <c r="K12944" s="711"/>
      <c r="L12944" s="711"/>
      <c r="Q12944" s="11"/>
      <c r="R12944" s="11"/>
      <c r="S12944" s="11"/>
      <c r="T12944" s="11"/>
    </row>
    <row r="12945" spans="8:20" x14ac:dyDescent="0.35">
      <c r="H12945" s="711"/>
      <c r="I12945" s="711"/>
      <c r="J12945" s="711"/>
      <c r="K12945" s="711"/>
      <c r="L12945" s="711"/>
      <c r="Q12945" s="11"/>
      <c r="R12945" s="11"/>
      <c r="S12945" s="11"/>
      <c r="T12945" s="11"/>
    </row>
    <row r="12946" spans="8:20" x14ac:dyDescent="0.35">
      <c r="H12946" s="711"/>
      <c r="I12946" s="711"/>
      <c r="J12946" s="711"/>
      <c r="K12946" s="711"/>
      <c r="L12946" s="711"/>
      <c r="Q12946" s="11"/>
      <c r="R12946" s="11"/>
      <c r="S12946" s="11"/>
      <c r="T12946" s="11"/>
    </row>
    <row r="12947" spans="8:20" x14ac:dyDescent="0.35">
      <c r="H12947" s="711"/>
      <c r="I12947" s="711"/>
      <c r="J12947" s="711"/>
      <c r="K12947" s="711"/>
      <c r="L12947" s="711"/>
      <c r="Q12947" s="11"/>
      <c r="R12947" s="11"/>
      <c r="S12947" s="11"/>
      <c r="T12947" s="11"/>
    </row>
    <row r="12948" spans="8:20" x14ac:dyDescent="0.35">
      <c r="H12948" s="711"/>
      <c r="I12948" s="711"/>
      <c r="J12948" s="711"/>
      <c r="K12948" s="711"/>
      <c r="L12948" s="711"/>
      <c r="Q12948" s="11"/>
      <c r="R12948" s="11"/>
      <c r="S12948" s="11"/>
      <c r="T12948" s="11"/>
    </row>
    <row r="12949" spans="8:20" x14ac:dyDescent="0.35">
      <c r="H12949" s="711"/>
      <c r="I12949" s="711"/>
      <c r="J12949" s="711"/>
      <c r="K12949" s="711"/>
      <c r="L12949" s="711"/>
      <c r="Q12949" s="11"/>
      <c r="R12949" s="11"/>
      <c r="S12949" s="11"/>
      <c r="T12949" s="11"/>
    </row>
    <row r="12950" spans="8:20" x14ac:dyDescent="0.35">
      <c r="H12950" s="711"/>
      <c r="I12950" s="711"/>
      <c r="J12950" s="711"/>
      <c r="K12950" s="711"/>
      <c r="L12950" s="711"/>
      <c r="Q12950" s="11"/>
      <c r="R12950" s="11"/>
      <c r="S12950" s="11"/>
      <c r="T12950" s="11"/>
    </row>
    <row r="12951" spans="8:20" x14ac:dyDescent="0.35">
      <c r="H12951" s="711"/>
      <c r="I12951" s="711"/>
      <c r="J12951" s="711"/>
      <c r="K12951" s="711"/>
      <c r="L12951" s="711"/>
      <c r="Q12951" s="11"/>
      <c r="R12951" s="11"/>
      <c r="S12951" s="11"/>
      <c r="T12951" s="11"/>
    </row>
    <row r="12952" spans="8:20" x14ac:dyDescent="0.35">
      <c r="H12952" s="711"/>
      <c r="I12952" s="711"/>
      <c r="J12952" s="711"/>
      <c r="K12952" s="711"/>
      <c r="L12952" s="711"/>
      <c r="Q12952" s="11"/>
      <c r="R12952" s="11"/>
      <c r="S12952" s="11"/>
      <c r="T12952" s="11"/>
    </row>
    <row r="12953" spans="8:20" x14ac:dyDescent="0.35">
      <c r="H12953" s="711"/>
      <c r="I12953" s="711"/>
      <c r="J12953" s="711"/>
      <c r="K12953" s="711"/>
      <c r="L12953" s="711"/>
      <c r="Q12953" s="11"/>
      <c r="R12953" s="11"/>
      <c r="S12953" s="11"/>
      <c r="T12953" s="11"/>
    </row>
    <row r="12954" spans="8:20" x14ac:dyDescent="0.35">
      <c r="H12954" s="711"/>
      <c r="I12954" s="711"/>
      <c r="J12954" s="711"/>
      <c r="K12954" s="711"/>
      <c r="L12954" s="711"/>
      <c r="Q12954" s="11"/>
      <c r="R12954" s="11"/>
      <c r="S12954" s="11"/>
      <c r="T12954" s="11"/>
    </row>
    <row r="12955" spans="8:20" x14ac:dyDescent="0.35">
      <c r="H12955" s="711"/>
      <c r="I12955" s="711"/>
      <c r="J12955" s="711"/>
      <c r="K12955" s="711"/>
      <c r="L12955" s="711"/>
      <c r="Q12955" s="11"/>
      <c r="R12955" s="11"/>
      <c r="S12955" s="11"/>
      <c r="T12955" s="11"/>
    </row>
    <row r="12956" spans="8:20" x14ac:dyDescent="0.35">
      <c r="H12956" s="711"/>
      <c r="I12956" s="711"/>
      <c r="J12956" s="711"/>
      <c r="K12956" s="711"/>
      <c r="L12956" s="711"/>
      <c r="Q12956" s="11"/>
      <c r="R12956" s="11"/>
      <c r="S12956" s="11"/>
      <c r="T12956" s="11"/>
    </row>
    <row r="12957" spans="8:20" x14ac:dyDescent="0.35">
      <c r="H12957" s="711"/>
      <c r="I12957" s="711"/>
      <c r="J12957" s="711"/>
      <c r="K12957" s="711"/>
      <c r="L12957" s="711"/>
      <c r="Q12957" s="11"/>
      <c r="R12957" s="11"/>
      <c r="S12957" s="11"/>
      <c r="T12957" s="11"/>
    </row>
    <row r="12958" spans="8:20" x14ac:dyDescent="0.35">
      <c r="H12958" s="711"/>
      <c r="I12958" s="711"/>
      <c r="J12958" s="711"/>
      <c r="K12958" s="711"/>
      <c r="L12958" s="711"/>
      <c r="Q12958" s="11"/>
      <c r="R12958" s="11"/>
      <c r="S12958" s="11"/>
      <c r="T12958" s="11"/>
    </row>
    <row r="12959" spans="8:20" x14ac:dyDescent="0.35">
      <c r="H12959" s="711"/>
      <c r="I12959" s="711"/>
      <c r="J12959" s="711"/>
      <c r="K12959" s="711"/>
      <c r="L12959" s="711"/>
      <c r="Q12959" s="11"/>
      <c r="R12959" s="11"/>
      <c r="S12959" s="11"/>
      <c r="T12959" s="11"/>
    </row>
    <row r="12960" spans="8:20" x14ac:dyDescent="0.35">
      <c r="H12960" s="711"/>
      <c r="I12960" s="711"/>
      <c r="J12960" s="711"/>
      <c r="K12960" s="711"/>
      <c r="L12960" s="711"/>
      <c r="Q12960" s="11"/>
      <c r="R12960" s="11"/>
      <c r="S12960" s="11"/>
      <c r="T12960" s="11"/>
    </row>
    <row r="12961" spans="8:20" x14ac:dyDescent="0.35">
      <c r="H12961" s="711"/>
      <c r="I12961" s="711"/>
      <c r="J12961" s="711"/>
      <c r="K12961" s="711"/>
      <c r="L12961" s="711"/>
      <c r="Q12961" s="11"/>
      <c r="R12961" s="11"/>
      <c r="S12961" s="11"/>
      <c r="T12961" s="11"/>
    </row>
    <row r="12962" spans="8:20" x14ac:dyDescent="0.35">
      <c r="H12962" s="711"/>
      <c r="I12962" s="711"/>
      <c r="J12962" s="711"/>
      <c r="K12962" s="711"/>
      <c r="L12962" s="711"/>
      <c r="Q12962" s="11"/>
      <c r="R12962" s="11"/>
      <c r="S12962" s="11"/>
      <c r="T12962" s="11"/>
    </row>
    <row r="12963" spans="8:20" x14ac:dyDescent="0.35">
      <c r="H12963" s="711"/>
      <c r="I12963" s="711"/>
      <c r="J12963" s="711"/>
      <c r="K12963" s="711"/>
      <c r="L12963" s="711"/>
      <c r="Q12963" s="11"/>
      <c r="R12963" s="11"/>
      <c r="S12963" s="11"/>
      <c r="T12963" s="11"/>
    </row>
    <row r="12964" spans="8:20" x14ac:dyDescent="0.35">
      <c r="H12964" s="711"/>
      <c r="I12964" s="711"/>
      <c r="J12964" s="711"/>
      <c r="K12964" s="711"/>
      <c r="L12964" s="711"/>
      <c r="Q12964" s="11"/>
      <c r="R12964" s="11"/>
      <c r="S12964" s="11"/>
      <c r="T12964" s="11"/>
    </row>
    <row r="12965" spans="8:20" x14ac:dyDescent="0.35">
      <c r="H12965" s="711"/>
      <c r="I12965" s="711"/>
      <c r="J12965" s="711"/>
      <c r="K12965" s="711"/>
      <c r="L12965" s="711"/>
      <c r="Q12965" s="11"/>
      <c r="R12965" s="11"/>
      <c r="S12965" s="11"/>
      <c r="T12965" s="11"/>
    </row>
    <row r="12966" spans="8:20" x14ac:dyDescent="0.35">
      <c r="H12966" s="711"/>
      <c r="I12966" s="711"/>
      <c r="J12966" s="711"/>
      <c r="K12966" s="711"/>
      <c r="L12966" s="711"/>
      <c r="Q12966" s="11"/>
      <c r="R12966" s="11"/>
      <c r="S12966" s="11"/>
      <c r="T12966" s="11"/>
    </row>
    <row r="12967" spans="8:20" x14ac:dyDescent="0.35">
      <c r="H12967" s="711"/>
      <c r="I12967" s="711"/>
      <c r="J12967" s="711"/>
      <c r="K12967" s="711"/>
      <c r="L12967" s="711"/>
      <c r="Q12967" s="11"/>
      <c r="R12967" s="11"/>
      <c r="S12967" s="11"/>
      <c r="T12967" s="11"/>
    </row>
    <row r="12968" spans="8:20" x14ac:dyDescent="0.35">
      <c r="H12968" s="711"/>
      <c r="I12968" s="711"/>
      <c r="J12968" s="711"/>
      <c r="K12968" s="711"/>
      <c r="L12968" s="711"/>
      <c r="Q12968" s="11"/>
      <c r="R12968" s="11"/>
      <c r="S12968" s="11"/>
      <c r="T12968" s="11"/>
    </row>
    <row r="12969" spans="8:20" x14ac:dyDescent="0.35">
      <c r="H12969" s="711"/>
      <c r="I12969" s="711"/>
      <c r="J12969" s="711"/>
      <c r="K12969" s="711"/>
      <c r="L12969" s="711"/>
      <c r="Q12969" s="11"/>
      <c r="R12969" s="11"/>
      <c r="S12969" s="11"/>
      <c r="T12969" s="11"/>
    </row>
    <row r="12970" spans="8:20" x14ac:dyDescent="0.35">
      <c r="H12970" s="711"/>
      <c r="I12970" s="711"/>
      <c r="J12970" s="711"/>
      <c r="K12970" s="711"/>
      <c r="L12970" s="711"/>
      <c r="Q12970" s="11"/>
      <c r="R12970" s="11"/>
      <c r="S12970" s="11"/>
      <c r="T12970" s="11"/>
    </row>
    <row r="12971" spans="8:20" x14ac:dyDescent="0.35">
      <c r="H12971" s="711"/>
      <c r="I12971" s="711"/>
      <c r="J12971" s="711"/>
      <c r="K12971" s="711"/>
      <c r="L12971" s="711"/>
      <c r="Q12971" s="11"/>
      <c r="R12971" s="11"/>
      <c r="S12971" s="11"/>
      <c r="T12971" s="11"/>
    </row>
    <row r="12972" spans="8:20" x14ac:dyDescent="0.35">
      <c r="H12972" s="711"/>
      <c r="I12972" s="711"/>
      <c r="J12972" s="711"/>
      <c r="K12972" s="711"/>
      <c r="L12972" s="711"/>
      <c r="Q12972" s="11"/>
      <c r="R12972" s="11"/>
      <c r="S12972" s="11"/>
      <c r="T12972" s="11"/>
    </row>
    <row r="12973" spans="8:20" x14ac:dyDescent="0.35">
      <c r="H12973" s="711"/>
      <c r="I12973" s="711"/>
      <c r="J12973" s="711"/>
      <c r="K12973" s="711"/>
      <c r="L12973" s="711"/>
      <c r="Q12973" s="11"/>
      <c r="R12973" s="11"/>
      <c r="S12973" s="11"/>
      <c r="T12973" s="11"/>
    </row>
    <row r="12974" spans="8:20" x14ac:dyDescent="0.35">
      <c r="H12974" s="711"/>
      <c r="I12974" s="711"/>
      <c r="J12974" s="711"/>
      <c r="K12974" s="711"/>
      <c r="L12974" s="711"/>
      <c r="Q12974" s="11"/>
      <c r="R12974" s="11"/>
      <c r="S12974" s="11"/>
      <c r="T12974" s="11"/>
    </row>
    <row r="12975" spans="8:20" x14ac:dyDescent="0.35">
      <c r="H12975" s="711"/>
      <c r="I12975" s="711"/>
      <c r="J12975" s="711"/>
      <c r="K12975" s="711"/>
      <c r="L12975" s="711"/>
      <c r="Q12975" s="11"/>
      <c r="R12975" s="11"/>
      <c r="S12975" s="11"/>
      <c r="T12975" s="11"/>
    </row>
    <row r="12976" spans="8:20" x14ac:dyDescent="0.35">
      <c r="H12976" s="711"/>
      <c r="I12976" s="711"/>
      <c r="J12976" s="711"/>
      <c r="K12976" s="711"/>
      <c r="L12976" s="711"/>
      <c r="Q12976" s="11"/>
      <c r="R12976" s="11"/>
      <c r="S12976" s="11"/>
      <c r="T12976" s="11"/>
    </row>
    <row r="12977" spans="8:20" x14ac:dyDescent="0.35">
      <c r="H12977" s="711"/>
      <c r="I12977" s="711"/>
      <c r="J12977" s="711"/>
      <c r="K12977" s="711"/>
      <c r="L12977" s="711"/>
      <c r="Q12977" s="11"/>
      <c r="R12977" s="11"/>
      <c r="S12977" s="11"/>
      <c r="T12977" s="11"/>
    </row>
    <row r="12978" spans="8:20" x14ac:dyDescent="0.35">
      <c r="H12978" s="711"/>
      <c r="I12978" s="711"/>
      <c r="J12978" s="711"/>
      <c r="K12978" s="711"/>
      <c r="L12978" s="711"/>
      <c r="Q12978" s="11"/>
      <c r="R12978" s="11"/>
      <c r="S12978" s="11"/>
      <c r="T12978" s="11"/>
    </row>
    <row r="12979" spans="8:20" x14ac:dyDescent="0.35">
      <c r="H12979" s="711"/>
      <c r="I12979" s="711"/>
      <c r="J12979" s="711"/>
      <c r="K12979" s="711"/>
      <c r="L12979" s="711"/>
      <c r="Q12979" s="11"/>
      <c r="R12979" s="11"/>
      <c r="S12979" s="11"/>
      <c r="T12979" s="11"/>
    </row>
    <row r="12980" spans="8:20" x14ac:dyDescent="0.35">
      <c r="H12980" s="711"/>
      <c r="I12980" s="711"/>
      <c r="J12980" s="711"/>
      <c r="K12980" s="711"/>
      <c r="L12980" s="711"/>
      <c r="Q12980" s="11"/>
      <c r="R12980" s="11"/>
      <c r="S12980" s="11"/>
      <c r="T12980" s="11"/>
    </row>
    <row r="12981" spans="8:20" x14ac:dyDescent="0.35">
      <c r="H12981" s="711"/>
      <c r="I12981" s="711"/>
      <c r="J12981" s="711"/>
      <c r="K12981" s="711"/>
      <c r="L12981" s="711"/>
      <c r="Q12981" s="11"/>
      <c r="R12981" s="11"/>
      <c r="S12981" s="11"/>
      <c r="T12981" s="11"/>
    </row>
    <row r="12982" spans="8:20" x14ac:dyDescent="0.35">
      <c r="H12982" s="711"/>
      <c r="I12982" s="711"/>
      <c r="J12982" s="711"/>
      <c r="K12982" s="711"/>
      <c r="L12982" s="711"/>
      <c r="Q12982" s="11"/>
      <c r="R12982" s="11"/>
      <c r="S12982" s="11"/>
      <c r="T12982" s="11"/>
    </row>
    <row r="12983" spans="8:20" x14ac:dyDescent="0.35">
      <c r="H12983" s="711"/>
      <c r="I12983" s="711"/>
      <c r="J12983" s="711"/>
      <c r="K12983" s="711"/>
      <c r="L12983" s="711"/>
      <c r="Q12983" s="11"/>
      <c r="R12983" s="11"/>
      <c r="S12983" s="11"/>
      <c r="T12983" s="11"/>
    </row>
    <row r="12984" spans="8:20" x14ac:dyDescent="0.35">
      <c r="H12984" s="711"/>
      <c r="I12984" s="711"/>
      <c r="J12984" s="711"/>
      <c r="K12984" s="711"/>
      <c r="L12984" s="711"/>
      <c r="Q12984" s="11"/>
      <c r="R12984" s="11"/>
      <c r="S12984" s="11"/>
      <c r="T12984" s="11"/>
    </row>
    <row r="12985" spans="8:20" x14ac:dyDescent="0.35">
      <c r="H12985" s="711"/>
      <c r="I12985" s="711"/>
      <c r="J12985" s="711"/>
      <c r="K12985" s="711"/>
      <c r="L12985" s="711"/>
      <c r="Q12985" s="11"/>
      <c r="R12985" s="11"/>
      <c r="S12985" s="11"/>
      <c r="T12985" s="11"/>
    </row>
    <row r="12986" spans="8:20" x14ac:dyDescent="0.35">
      <c r="H12986" s="711"/>
      <c r="I12986" s="711"/>
      <c r="J12986" s="711"/>
      <c r="K12986" s="711"/>
      <c r="L12986" s="711"/>
      <c r="Q12986" s="11"/>
      <c r="R12986" s="11"/>
      <c r="S12986" s="11"/>
      <c r="T12986" s="11"/>
    </row>
    <row r="12987" spans="8:20" x14ac:dyDescent="0.35">
      <c r="H12987" s="711"/>
      <c r="I12987" s="711"/>
      <c r="J12987" s="711"/>
      <c r="K12987" s="711"/>
      <c r="L12987" s="711"/>
      <c r="Q12987" s="11"/>
      <c r="R12987" s="11"/>
      <c r="S12987" s="11"/>
      <c r="T12987" s="11"/>
    </row>
    <row r="12988" spans="8:20" x14ac:dyDescent="0.35">
      <c r="H12988" s="711"/>
      <c r="I12988" s="711"/>
      <c r="J12988" s="711"/>
      <c r="K12988" s="711"/>
      <c r="L12988" s="711"/>
      <c r="Q12988" s="11"/>
      <c r="R12988" s="11"/>
      <c r="S12988" s="11"/>
      <c r="T12988" s="11"/>
    </row>
    <row r="12989" spans="8:20" x14ac:dyDescent="0.35">
      <c r="H12989" s="711"/>
      <c r="I12989" s="711"/>
      <c r="J12989" s="711"/>
      <c r="K12989" s="711"/>
      <c r="L12989" s="711"/>
      <c r="Q12989" s="11"/>
      <c r="R12989" s="11"/>
      <c r="S12989" s="11"/>
      <c r="T12989" s="11"/>
    </row>
    <row r="12990" spans="8:20" x14ac:dyDescent="0.35">
      <c r="H12990" s="711"/>
      <c r="I12990" s="711"/>
      <c r="J12990" s="711"/>
      <c r="K12990" s="711"/>
      <c r="L12990" s="711"/>
      <c r="Q12990" s="11"/>
      <c r="R12990" s="11"/>
      <c r="S12990" s="11"/>
      <c r="T12990" s="11"/>
    </row>
    <row r="12991" spans="8:20" x14ac:dyDescent="0.35">
      <c r="H12991" s="711"/>
      <c r="I12991" s="711"/>
      <c r="J12991" s="711"/>
      <c r="K12991" s="711"/>
      <c r="L12991" s="711"/>
      <c r="Q12991" s="11"/>
      <c r="R12991" s="11"/>
      <c r="S12991" s="11"/>
      <c r="T12991" s="11"/>
    </row>
    <row r="12992" spans="8:20" x14ac:dyDescent="0.35">
      <c r="H12992" s="711"/>
      <c r="I12992" s="711"/>
      <c r="J12992" s="711"/>
      <c r="K12992" s="711"/>
      <c r="L12992" s="711"/>
      <c r="Q12992" s="11"/>
      <c r="R12992" s="11"/>
      <c r="S12992" s="11"/>
      <c r="T12992" s="11"/>
    </row>
    <row r="12993" spans="8:20" x14ac:dyDescent="0.35">
      <c r="H12993" s="711"/>
      <c r="I12993" s="711"/>
      <c r="J12993" s="711"/>
      <c r="K12993" s="711"/>
      <c r="L12993" s="711"/>
      <c r="Q12993" s="11"/>
      <c r="R12993" s="11"/>
      <c r="S12993" s="11"/>
      <c r="T12993" s="11"/>
    </row>
    <row r="12994" spans="8:20" x14ac:dyDescent="0.35">
      <c r="H12994" s="711"/>
      <c r="I12994" s="711"/>
      <c r="J12994" s="711"/>
      <c r="K12994" s="711"/>
      <c r="L12994" s="711"/>
      <c r="Q12994" s="11"/>
      <c r="R12994" s="11"/>
      <c r="S12994" s="11"/>
      <c r="T12994" s="11"/>
    </row>
    <row r="12995" spans="8:20" x14ac:dyDescent="0.35">
      <c r="H12995" s="711"/>
      <c r="I12995" s="711"/>
      <c r="J12995" s="711"/>
      <c r="K12995" s="711"/>
      <c r="L12995" s="711"/>
      <c r="Q12995" s="11"/>
      <c r="R12995" s="11"/>
      <c r="S12995" s="11"/>
      <c r="T12995" s="11"/>
    </row>
    <row r="12996" spans="8:20" x14ac:dyDescent="0.35">
      <c r="H12996" s="711"/>
      <c r="I12996" s="711"/>
      <c r="J12996" s="711"/>
      <c r="K12996" s="711"/>
      <c r="L12996" s="711"/>
      <c r="Q12996" s="11"/>
      <c r="R12996" s="11"/>
      <c r="S12996" s="11"/>
      <c r="T12996" s="11"/>
    </row>
    <row r="12997" spans="8:20" x14ac:dyDescent="0.35">
      <c r="H12997" s="711"/>
      <c r="I12997" s="711"/>
      <c r="J12997" s="711"/>
      <c r="K12997" s="711"/>
      <c r="L12997" s="711"/>
      <c r="Q12997" s="11"/>
      <c r="R12997" s="11"/>
      <c r="S12997" s="11"/>
      <c r="T12997" s="11"/>
    </row>
    <row r="12998" spans="8:20" x14ac:dyDescent="0.35">
      <c r="H12998" s="711"/>
      <c r="I12998" s="711"/>
      <c r="J12998" s="711"/>
      <c r="K12998" s="711"/>
      <c r="L12998" s="711"/>
      <c r="Q12998" s="11"/>
      <c r="R12998" s="11"/>
      <c r="S12998" s="11"/>
      <c r="T12998" s="11"/>
    </row>
    <row r="12999" spans="8:20" x14ac:dyDescent="0.35">
      <c r="H12999" s="711"/>
      <c r="I12999" s="711"/>
      <c r="J12999" s="711"/>
      <c r="K12999" s="711"/>
      <c r="L12999" s="711"/>
      <c r="Q12999" s="11"/>
      <c r="R12999" s="11"/>
      <c r="S12999" s="11"/>
      <c r="T12999" s="11"/>
    </row>
    <row r="13000" spans="8:20" x14ac:dyDescent="0.35">
      <c r="H13000" s="711"/>
      <c r="I13000" s="711"/>
      <c r="J13000" s="711"/>
      <c r="K13000" s="711"/>
      <c r="L13000" s="711"/>
      <c r="Q13000" s="11"/>
      <c r="R13000" s="11"/>
      <c r="S13000" s="11"/>
      <c r="T13000" s="11"/>
    </row>
    <row r="13001" spans="8:20" x14ac:dyDescent="0.35">
      <c r="H13001" s="711"/>
      <c r="I13001" s="711"/>
      <c r="J13001" s="711"/>
      <c r="K13001" s="711"/>
      <c r="L13001" s="711"/>
      <c r="Q13001" s="11"/>
      <c r="R13001" s="11"/>
      <c r="S13001" s="11"/>
      <c r="T13001" s="11"/>
    </row>
    <row r="13002" spans="8:20" x14ac:dyDescent="0.35">
      <c r="H13002" s="711"/>
      <c r="I13002" s="711"/>
      <c r="J13002" s="711"/>
      <c r="K13002" s="711"/>
      <c r="L13002" s="711"/>
      <c r="Q13002" s="11"/>
      <c r="R13002" s="11"/>
      <c r="S13002" s="11"/>
      <c r="T13002" s="11"/>
    </row>
    <row r="13003" spans="8:20" x14ac:dyDescent="0.35">
      <c r="H13003" s="711"/>
      <c r="I13003" s="711"/>
      <c r="J13003" s="711"/>
      <c r="K13003" s="711"/>
      <c r="L13003" s="711"/>
      <c r="Q13003" s="11"/>
      <c r="R13003" s="11"/>
      <c r="S13003" s="11"/>
      <c r="T13003" s="11"/>
    </row>
    <row r="13004" spans="8:20" x14ac:dyDescent="0.35">
      <c r="H13004" s="711"/>
      <c r="I13004" s="711"/>
      <c r="J13004" s="711"/>
      <c r="K13004" s="711"/>
      <c r="L13004" s="711"/>
      <c r="Q13004" s="11"/>
      <c r="R13004" s="11"/>
      <c r="S13004" s="11"/>
      <c r="T13004" s="11"/>
    </row>
    <row r="13005" spans="8:20" x14ac:dyDescent="0.35">
      <c r="H13005" s="711"/>
      <c r="I13005" s="711"/>
      <c r="J13005" s="711"/>
      <c r="K13005" s="711"/>
      <c r="L13005" s="711"/>
      <c r="Q13005" s="11"/>
      <c r="R13005" s="11"/>
      <c r="S13005" s="11"/>
      <c r="T13005" s="11"/>
    </row>
    <row r="13006" spans="8:20" x14ac:dyDescent="0.35">
      <c r="H13006" s="711"/>
      <c r="I13006" s="711"/>
      <c r="J13006" s="711"/>
      <c r="K13006" s="711"/>
      <c r="L13006" s="711"/>
      <c r="Q13006" s="11"/>
      <c r="R13006" s="11"/>
      <c r="S13006" s="11"/>
      <c r="T13006" s="11"/>
    </row>
    <row r="13007" spans="8:20" x14ac:dyDescent="0.35">
      <c r="H13007" s="711"/>
      <c r="I13007" s="711"/>
      <c r="J13007" s="711"/>
      <c r="K13007" s="711"/>
      <c r="L13007" s="711"/>
      <c r="Q13007" s="11"/>
      <c r="R13007" s="11"/>
      <c r="S13007" s="11"/>
      <c r="T13007" s="11"/>
    </row>
    <row r="13008" spans="8:20" x14ac:dyDescent="0.35">
      <c r="H13008" s="711"/>
      <c r="I13008" s="711"/>
      <c r="J13008" s="711"/>
      <c r="K13008" s="711"/>
      <c r="L13008" s="711"/>
      <c r="Q13008" s="11"/>
      <c r="R13008" s="11"/>
      <c r="S13008" s="11"/>
      <c r="T13008" s="11"/>
    </row>
    <row r="13009" spans="8:20" x14ac:dyDescent="0.35">
      <c r="H13009" s="711"/>
      <c r="I13009" s="711"/>
      <c r="J13009" s="711"/>
      <c r="K13009" s="711"/>
      <c r="L13009" s="711"/>
      <c r="Q13009" s="11"/>
      <c r="R13009" s="11"/>
      <c r="S13009" s="11"/>
      <c r="T13009" s="11"/>
    </row>
    <row r="13010" spans="8:20" x14ac:dyDescent="0.35">
      <c r="H13010" s="711"/>
      <c r="I13010" s="711"/>
      <c r="J13010" s="711"/>
      <c r="K13010" s="711"/>
      <c r="L13010" s="711"/>
      <c r="Q13010" s="11"/>
      <c r="R13010" s="11"/>
      <c r="S13010" s="11"/>
      <c r="T13010" s="11"/>
    </row>
    <row r="13011" spans="8:20" x14ac:dyDescent="0.35">
      <c r="H13011" s="711"/>
      <c r="I13011" s="711"/>
      <c r="J13011" s="711"/>
      <c r="K13011" s="711"/>
      <c r="L13011" s="711"/>
      <c r="Q13011" s="11"/>
      <c r="R13011" s="11"/>
      <c r="S13011" s="11"/>
      <c r="T13011" s="11"/>
    </row>
    <row r="13012" spans="8:20" x14ac:dyDescent="0.35">
      <c r="H13012" s="711"/>
      <c r="I13012" s="711"/>
      <c r="J13012" s="711"/>
      <c r="K13012" s="711"/>
      <c r="L13012" s="711"/>
      <c r="Q13012" s="11"/>
      <c r="R13012" s="11"/>
      <c r="S13012" s="11"/>
      <c r="T13012" s="11"/>
    </row>
    <row r="13013" spans="8:20" x14ac:dyDescent="0.35">
      <c r="H13013" s="711"/>
      <c r="I13013" s="711"/>
      <c r="J13013" s="711"/>
      <c r="K13013" s="711"/>
      <c r="L13013" s="711"/>
      <c r="Q13013" s="11"/>
      <c r="R13013" s="11"/>
      <c r="S13013" s="11"/>
      <c r="T13013" s="11"/>
    </row>
    <row r="13014" spans="8:20" x14ac:dyDescent="0.35">
      <c r="H13014" s="711"/>
      <c r="I13014" s="711"/>
      <c r="J13014" s="711"/>
      <c r="K13014" s="711"/>
      <c r="L13014" s="711"/>
      <c r="Q13014" s="11"/>
      <c r="R13014" s="11"/>
      <c r="S13014" s="11"/>
      <c r="T13014" s="11"/>
    </row>
    <row r="13015" spans="8:20" x14ac:dyDescent="0.35">
      <c r="H13015" s="711"/>
      <c r="I13015" s="711"/>
      <c r="J13015" s="711"/>
      <c r="K13015" s="711"/>
      <c r="L13015" s="711"/>
      <c r="Q13015" s="11"/>
      <c r="R13015" s="11"/>
      <c r="S13015" s="11"/>
      <c r="T13015" s="11"/>
    </row>
    <row r="13016" spans="8:20" x14ac:dyDescent="0.35">
      <c r="H13016" s="711"/>
      <c r="I13016" s="711"/>
      <c r="J13016" s="711"/>
      <c r="K13016" s="711"/>
      <c r="L13016" s="711"/>
      <c r="Q13016" s="11"/>
      <c r="R13016" s="11"/>
      <c r="S13016" s="11"/>
      <c r="T13016" s="11"/>
    </row>
    <row r="13017" spans="8:20" x14ac:dyDescent="0.35">
      <c r="H13017" s="711"/>
      <c r="I13017" s="711"/>
      <c r="J13017" s="711"/>
      <c r="K13017" s="711"/>
      <c r="L13017" s="711"/>
      <c r="Q13017" s="11"/>
      <c r="R13017" s="11"/>
      <c r="S13017" s="11"/>
      <c r="T13017" s="11"/>
    </row>
    <row r="13018" spans="8:20" x14ac:dyDescent="0.35">
      <c r="H13018" s="711"/>
      <c r="I13018" s="711"/>
      <c r="J13018" s="711"/>
      <c r="K13018" s="711"/>
      <c r="L13018" s="711"/>
      <c r="Q13018" s="11"/>
      <c r="R13018" s="11"/>
      <c r="S13018" s="11"/>
      <c r="T13018" s="11"/>
    </row>
    <row r="13019" spans="8:20" x14ac:dyDescent="0.35">
      <c r="H13019" s="711"/>
      <c r="I13019" s="711"/>
      <c r="J13019" s="711"/>
      <c r="K13019" s="711"/>
      <c r="L13019" s="711"/>
      <c r="Q13019" s="11"/>
      <c r="R13019" s="11"/>
      <c r="S13019" s="11"/>
      <c r="T13019" s="11"/>
    </row>
    <row r="13020" spans="8:20" x14ac:dyDescent="0.35">
      <c r="H13020" s="711"/>
      <c r="I13020" s="711"/>
      <c r="J13020" s="711"/>
      <c r="K13020" s="711"/>
      <c r="L13020" s="711"/>
      <c r="Q13020" s="11"/>
      <c r="R13020" s="11"/>
      <c r="S13020" s="11"/>
      <c r="T13020" s="11"/>
    </row>
    <row r="13021" spans="8:20" x14ac:dyDescent="0.35">
      <c r="H13021" s="711"/>
      <c r="I13021" s="711"/>
      <c r="J13021" s="711"/>
      <c r="K13021" s="711"/>
      <c r="L13021" s="711"/>
      <c r="Q13021" s="11"/>
      <c r="R13021" s="11"/>
      <c r="S13021" s="11"/>
      <c r="T13021" s="11"/>
    </row>
    <row r="13022" spans="8:20" x14ac:dyDescent="0.35">
      <c r="H13022" s="711"/>
      <c r="I13022" s="711"/>
      <c r="J13022" s="711"/>
      <c r="K13022" s="711"/>
      <c r="L13022" s="711"/>
      <c r="Q13022" s="11"/>
      <c r="R13022" s="11"/>
      <c r="S13022" s="11"/>
      <c r="T13022" s="11"/>
    </row>
    <row r="13023" spans="8:20" x14ac:dyDescent="0.35">
      <c r="H13023" s="711"/>
      <c r="I13023" s="711"/>
      <c r="J13023" s="711"/>
      <c r="K13023" s="711"/>
      <c r="L13023" s="711"/>
      <c r="Q13023" s="11"/>
      <c r="R13023" s="11"/>
      <c r="S13023" s="11"/>
      <c r="T13023" s="11"/>
    </row>
    <row r="13024" spans="8:20" x14ac:dyDescent="0.35">
      <c r="H13024" s="711"/>
      <c r="I13024" s="711"/>
      <c r="J13024" s="711"/>
      <c r="K13024" s="711"/>
      <c r="L13024" s="711"/>
      <c r="Q13024" s="11"/>
      <c r="R13024" s="11"/>
      <c r="S13024" s="11"/>
      <c r="T13024" s="11"/>
    </row>
    <row r="13025" spans="8:20" x14ac:dyDescent="0.35">
      <c r="H13025" s="711"/>
      <c r="I13025" s="711"/>
      <c r="J13025" s="711"/>
      <c r="K13025" s="711"/>
      <c r="L13025" s="711"/>
      <c r="Q13025" s="11"/>
      <c r="R13025" s="11"/>
      <c r="S13025" s="11"/>
      <c r="T13025" s="11"/>
    </row>
    <row r="13026" spans="8:20" x14ac:dyDescent="0.35">
      <c r="H13026" s="711"/>
      <c r="I13026" s="711"/>
      <c r="J13026" s="711"/>
      <c r="K13026" s="711"/>
      <c r="L13026" s="711"/>
      <c r="Q13026" s="11"/>
      <c r="R13026" s="11"/>
      <c r="S13026" s="11"/>
      <c r="T13026" s="11"/>
    </row>
    <row r="13027" spans="8:20" x14ac:dyDescent="0.35">
      <c r="H13027" s="711"/>
      <c r="I13027" s="711"/>
      <c r="J13027" s="711"/>
      <c r="K13027" s="711"/>
      <c r="L13027" s="711"/>
      <c r="Q13027" s="11"/>
      <c r="R13027" s="11"/>
      <c r="S13027" s="11"/>
      <c r="T13027" s="11"/>
    </row>
    <row r="13028" spans="8:20" x14ac:dyDescent="0.35">
      <c r="H13028" s="711"/>
      <c r="I13028" s="711"/>
      <c r="J13028" s="711"/>
      <c r="K13028" s="711"/>
      <c r="L13028" s="711"/>
      <c r="Q13028" s="11"/>
      <c r="R13028" s="11"/>
      <c r="S13028" s="11"/>
      <c r="T13028" s="11"/>
    </row>
    <row r="13029" spans="8:20" x14ac:dyDescent="0.35">
      <c r="H13029" s="711"/>
      <c r="I13029" s="711"/>
      <c r="J13029" s="711"/>
      <c r="K13029" s="711"/>
      <c r="L13029" s="711"/>
      <c r="Q13029" s="11"/>
      <c r="R13029" s="11"/>
      <c r="S13029" s="11"/>
      <c r="T13029" s="11"/>
    </row>
    <row r="13030" spans="8:20" x14ac:dyDescent="0.35">
      <c r="H13030" s="711"/>
      <c r="I13030" s="711"/>
      <c r="J13030" s="711"/>
      <c r="K13030" s="711"/>
      <c r="L13030" s="711"/>
      <c r="Q13030" s="11"/>
      <c r="R13030" s="11"/>
      <c r="S13030" s="11"/>
      <c r="T13030" s="11"/>
    </row>
    <row r="13031" spans="8:20" x14ac:dyDescent="0.35">
      <c r="H13031" s="711"/>
      <c r="I13031" s="711"/>
      <c r="J13031" s="711"/>
      <c r="K13031" s="711"/>
      <c r="L13031" s="711"/>
      <c r="Q13031" s="11"/>
      <c r="R13031" s="11"/>
      <c r="S13031" s="11"/>
      <c r="T13031" s="11"/>
    </row>
    <row r="13032" spans="8:20" x14ac:dyDescent="0.35">
      <c r="H13032" s="711"/>
      <c r="I13032" s="711"/>
      <c r="J13032" s="711"/>
      <c r="K13032" s="711"/>
      <c r="L13032" s="711"/>
      <c r="Q13032" s="11"/>
      <c r="R13032" s="11"/>
      <c r="S13032" s="11"/>
      <c r="T13032" s="11"/>
    </row>
    <row r="13033" spans="8:20" x14ac:dyDescent="0.35">
      <c r="H13033" s="711"/>
      <c r="I13033" s="711"/>
      <c r="J13033" s="711"/>
      <c r="K13033" s="711"/>
      <c r="L13033" s="711"/>
      <c r="Q13033" s="11"/>
      <c r="R13033" s="11"/>
      <c r="S13033" s="11"/>
      <c r="T13033" s="11"/>
    </row>
    <row r="13034" spans="8:20" x14ac:dyDescent="0.35">
      <c r="H13034" s="711"/>
      <c r="I13034" s="711"/>
      <c r="J13034" s="711"/>
      <c r="K13034" s="711"/>
      <c r="L13034" s="711"/>
      <c r="Q13034" s="11"/>
      <c r="R13034" s="11"/>
      <c r="S13034" s="11"/>
      <c r="T13034" s="11"/>
    </row>
    <row r="13035" spans="8:20" x14ac:dyDescent="0.35">
      <c r="H13035" s="711"/>
      <c r="I13035" s="711"/>
      <c r="J13035" s="711"/>
      <c r="K13035" s="711"/>
      <c r="L13035" s="711"/>
      <c r="Q13035" s="11"/>
      <c r="R13035" s="11"/>
      <c r="S13035" s="11"/>
      <c r="T13035" s="11"/>
    </row>
    <row r="13036" spans="8:20" x14ac:dyDescent="0.35">
      <c r="H13036" s="711"/>
      <c r="I13036" s="711"/>
      <c r="J13036" s="711"/>
      <c r="K13036" s="711"/>
      <c r="L13036" s="711"/>
      <c r="Q13036" s="11"/>
      <c r="R13036" s="11"/>
      <c r="S13036" s="11"/>
      <c r="T13036" s="11"/>
    </row>
    <row r="13037" spans="8:20" x14ac:dyDescent="0.35">
      <c r="H13037" s="711"/>
      <c r="I13037" s="711"/>
      <c r="J13037" s="711"/>
      <c r="K13037" s="711"/>
      <c r="L13037" s="711"/>
      <c r="Q13037" s="11"/>
      <c r="R13037" s="11"/>
      <c r="S13037" s="11"/>
      <c r="T13037" s="11"/>
    </row>
    <row r="13038" spans="8:20" x14ac:dyDescent="0.35">
      <c r="H13038" s="711"/>
      <c r="I13038" s="711"/>
      <c r="J13038" s="711"/>
      <c r="K13038" s="711"/>
      <c r="L13038" s="711"/>
      <c r="Q13038" s="11"/>
      <c r="R13038" s="11"/>
      <c r="S13038" s="11"/>
      <c r="T13038" s="11"/>
    </row>
    <row r="13039" spans="8:20" x14ac:dyDescent="0.35">
      <c r="H13039" s="711"/>
      <c r="I13039" s="711"/>
      <c r="J13039" s="711"/>
      <c r="K13039" s="711"/>
      <c r="L13039" s="711"/>
      <c r="Q13039" s="11"/>
      <c r="R13039" s="11"/>
      <c r="S13039" s="11"/>
      <c r="T13039" s="11"/>
    </row>
    <row r="13040" spans="8:20" x14ac:dyDescent="0.35">
      <c r="H13040" s="711"/>
      <c r="I13040" s="711"/>
      <c r="J13040" s="711"/>
      <c r="K13040" s="711"/>
      <c r="L13040" s="711"/>
      <c r="Q13040" s="11"/>
      <c r="R13040" s="11"/>
      <c r="S13040" s="11"/>
      <c r="T13040" s="11"/>
    </row>
    <row r="13041" spans="8:20" x14ac:dyDescent="0.35">
      <c r="H13041" s="711"/>
      <c r="I13041" s="711"/>
      <c r="J13041" s="711"/>
      <c r="K13041" s="711"/>
      <c r="L13041" s="711"/>
      <c r="Q13041" s="11"/>
      <c r="R13041" s="11"/>
      <c r="S13041" s="11"/>
      <c r="T13041" s="11"/>
    </row>
    <row r="13042" spans="8:20" x14ac:dyDescent="0.35">
      <c r="H13042" s="711"/>
      <c r="I13042" s="711"/>
      <c r="J13042" s="711"/>
      <c r="K13042" s="711"/>
      <c r="L13042" s="711"/>
      <c r="Q13042" s="11"/>
      <c r="R13042" s="11"/>
      <c r="S13042" s="11"/>
      <c r="T13042" s="11"/>
    </row>
    <row r="13043" spans="8:20" x14ac:dyDescent="0.35">
      <c r="H13043" s="711"/>
      <c r="I13043" s="711"/>
      <c r="J13043" s="711"/>
      <c r="K13043" s="711"/>
      <c r="L13043" s="711"/>
      <c r="Q13043" s="11"/>
      <c r="R13043" s="11"/>
      <c r="S13043" s="11"/>
      <c r="T13043" s="11"/>
    </row>
    <row r="13044" spans="8:20" x14ac:dyDescent="0.35">
      <c r="H13044" s="711"/>
      <c r="I13044" s="711"/>
      <c r="J13044" s="711"/>
      <c r="K13044" s="711"/>
      <c r="L13044" s="711"/>
      <c r="Q13044" s="11"/>
      <c r="R13044" s="11"/>
      <c r="S13044" s="11"/>
      <c r="T13044" s="11"/>
    </row>
    <row r="13045" spans="8:20" x14ac:dyDescent="0.35">
      <c r="H13045" s="711"/>
      <c r="I13045" s="711"/>
      <c r="J13045" s="711"/>
      <c r="K13045" s="711"/>
      <c r="L13045" s="711"/>
      <c r="Q13045" s="11"/>
      <c r="R13045" s="11"/>
      <c r="S13045" s="11"/>
      <c r="T13045" s="11"/>
    </row>
    <row r="13046" spans="8:20" x14ac:dyDescent="0.35">
      <c r="H13046" s="711"/>
      <c r="I13046" s="711"/>
      <c r="J13046" s="711"/>
      <c r="K13046" s="711"/>
      <c r="L13046" s="711"/>
      <c r="Q13046" s="11"/>
      <c r="R13046" s="11"/>
      <c r="S13046" s="11"/>
      <c r="T13046" s="11"/>
    </row>
    <row r="13047" spans="8:20" x14ac:dyDescent="0.35">
      <c r="H13047" s="711"/>
      <c r="I13047" s="711"/>
      <c r="J13047" s="711"/>
      <c r="K13047" s="711"/>
      <c r="L13047" s="711"/>
      <c r="Q13047" s="11"/>
      <c r="R13047" s="11"/>
      <c r="S13047" s="11"/>
      <c r="T13047" s="11"/>
    </row>
    <row r="13048" spans="8:20" x14ac:dyDescent="0.35">
      <c r="H13048" s="711"/>
      <c r="I13048" s="711"/>
      <c r="J13048" s="711"/>
      <c r="K13048" s="711"/>
      <c r="L13048" s="711"/>
      <c r="Q13048" s="11"/>
      <c r="R13048" s="11"/>
      <c r="S13048" s="11"/>
      <c r="T13048" s="11"/>
    </row>
    <row r="13049" spans="8:20" x14ac:dyDescent="0.35">
      <c r="H13049" s="711"/>
      <c r="I13049" s="711"/>
      <c r="J13049" s="711"/>
      <c r="K13049" s="711"/>
      <c r="L13049" s="711"/>
      <c r="Q13049" s="11"/>
      <c r="R13049" s="11"/>
      <c r="S13049" s="11"/>
      <c r="T13049" s="11"/>
    </row>
    <row r="13050" spans="8:20" x14ac:dyDescent="0.35">
      <c r="H13050" s="711"/>
      <c r="I13050" s="711"/>
      <c r="J13050" s="711"/>
      <c r="K13050" s="711"/>
      <c r="L13050" s="711"/>
      <c r="Q13050" s="11"/>
      <c r="R13050" s="11"/>
      <c r="S13050" s="11"/>
      <c r="T13050" s="11"/>
    </row>
    <row r="13051" spans="8:20" x14ac:dyDescent="0.35">
      <c r="H13051" s="711"/>
      <c r="I13051" s="711"/>
      <c r="J13051" s="711"/>
      <c r="K13051" s="711"/>
      <c r="L13051" s="711"/>
      <c r="Q13051" s="11"/>
      <c r="R13051" s="11"/>
      <c r="S13051" s="11"/>
      <c r="T13051" s="11"/>
    </row>
    <row r="13052" spans="8:20" x14ac:dyDescent="0.35">
      <c r="H13052" s="711"/>
      <c r="I13052" s="711"/>
      <c r="J13052" s="711"/>
      <c r="K13052" s="711"/>
      <c r="L13052" s="711"/>
      <c r="Q13052" s="11"/>
      <c r="R13052" s="11"/>
      <c r="S13052" s="11"/>
      <c r="T13052" s="11"/>
    </row>
    <row r="13053" spans="8:20" x14ac:dyDescent="0.35">
      <c r="H13053" s="711"/>
      <c r="I13053" s="711"/>
      <c r="J13053" s="711"/>
      <c r="K13053" s="711"/>
      <c r="L13053" s="711"/>
      <c r="Q13053" s="11"/>
      <c r="R13053" s="11"/>
      <c r="S13053" s="11"/>
      <c r="T13053" s="11"/>
    </row>
    <row r="13054" spans="8:20" x14ac:dyDescent="0.35">
      <c r="H13054" s="711"/>
      <c r="I13054" s="711"/>
      <c r="J13054" s="711"/>
      <c r="K13054" s="711"/>
      <c r="L13054" s="711"/>
      <c r="Q13054" s="11"/>
      <c r="R13054" s="11"/>
      <c r="S13054" s="11"/>
      <c r="T13054" s="11"/>
    </row>
    <row r="13055" spans="8:20" x14ac:dyDescent="0.35">
      <c r="H13055" s="711"/>
      <c r="I13055" s="711"/>
      <c r="J13055" s="711"/>
      <c r="K13055" s="711"/>
      <c r="L13055" s="711"/>
      <c r="Q13055" s="11"/>
      <c r="R13055" s="11"/>
      <c r="S13055" s="11"/>
      <c r="T13055" s="11"/>
    </row>
    <row r="13056" spans="8:20" x14ac:dyDescent="0.35">
      <c r="H13056" s="711"/>
      <c r="I13056" s="711"/>
      <c r="J13056" s="711"/>
      <c r="K13056" s="711"/>
      <c r="L13056" s="711"/>
      <c r="Q13056" s="11"/>
      <c r="R13056" s="11"/>
      <c r="S13056" s="11"/>
      <c r="T13056" s="11"/>
    </row>
    <row r="13057" spans="8:20" x14ac:dyDescent="0.35">
      <c r="H13057" s="711"/>
      <c r="I13057" s="711"/>
      <c r="J13057" s="711"/>
      <c r="K13057" s="711"/>
      <c r="L13057" s="711"/>
      <c r="Q13057" s="11"/>
      <c r="R13057" s="11"/>
      <c r="S13057" s="11"/>
      <c r="T13057" s="11"/>
    </row>
    <row r="13058" spans="8:20" x14ac:dyDescent="0.35">
      <c r="H13058" s="711"/>
      <c r="I13058" s="711"/>
      <c r="J13058" s="711"/>
      <c r="K13058" s="711"/>
      <c r="L13058" s="711"/>
      <c r="Q13058" s="11"/>
      <c r="R13058" s="11"/>
      <c r="S13058" s="11"/>
      <c r="T13058" s="11"/>
    </row>
    <row r="13059" spans="8:20" x14ac:dyDescent="0.35">
      <c r="H13059" s="711"/>
      <c r="I13059" s="711"/>
      <c r="J13059" s="711"/>
      <c r="K13059" s="711"/>
      <c r="L13059" s="711"/>
      <c r="Q13059" s="11"/>
      <c r="R13059" s="11"/>
      <c r="S13059" s="11"/>
      <c r="T13059" s="11"/>
    </row>
    <row r="13060" spans="8:20" x14ac:dyDescent="0.35">
      <c r="H13060" s="711"/>
      <c r="I13060" s="711"/>
      <c r="J13060" s="711"/>
      <c r="K13060" s="711"/>
      <c r="L13060" s="711"/>
      <c r="Q13060" s="11"/>
      <c r="R13060" s="11"/>
      <c r="S13060" s="11"/>
      <c r="T13060" s="11"/>
    </row>
    <row r="13061" spans="8:20" x14ac:dyDescent="0.35">
      <c r="H13061" s="711"/>
      <c r="I13061" s="711"/>
      <c r="J13061" s="711"/>
      <c r="K13061" s="711"/>
      <c r="L13061" s="711"/>
      <c r="Q13061" s="11"/>
      <c r="R13061" s="11"/>
      <c r="S13061" s="11"/>
      <c r="T13061" s="11"/>
    </row>
    <row r="13062" spans="8:20" x14ac:dyDescent="0.35">
      <c r="H13062" s="711"/>
      <c r="I13062" s="711"/>
      <c r="J13062" s="711"/>
      <c r="K13062" s="711"/>
      <c r="L13062" s="711"/>
      <c r="Q13062" s="11"/>
      <c r="R13062" s="11"/>
      <c r="S13062" s="11"/>
      <c r="T13062" s="11"/>
    </row>
    <row r="13063" spans="8:20" x14ac:dyDescent="0.35">
      <c r="H13063" s="711"/>
      <c r="I13063" s="711"/>
      <c r="J13063" s="711"/>
      <c r="K13063" s="711"/>
      <c r="L13063" s="711"/>
      <c r="Q13063" s="11"/>
      <c r="R13063" s="11"/>
      <c r="S13063" s="11"/>
      <c r="T13063" s="11"/>
    </row>
    <row r="13064" spans="8:20" x14ac:dyDescent="0.35">
      <c r="H13064" s="711"/>
      <c r="I13064" s="711"/>
      <c r="J13064" s="711"/>
      <c r="K13064" s="711"/>
      <c r="L13064" s="711"/>
      <c r="Q13064" s="11"/>
      <c r="R13064" s="11"/>
      <c r="S13064" s="11"/>
      <c r="T13064" s="11"/>
    </row>
    <row r="13065" spans="8:20" x14ac:dyDescent="0.35">
      <c r="H13065" s="711"/>
      <c r="I13065" s="711"/>
      <c r="J13065" s="711"/>
      <c r="K13065" s="711"/>
      <c r="L13065" s="711"/>
      <c r="Q13065" s="11"/>
      <c r="R13065" s="11"/>
      <c r="S13065" s="11"/>
      <c r="T13065" s="11"/>
    </row>
    <row r="13066" spans="8:20" x14ac:dyDescent="0.35">
      <c r="H13066" s="711"/>
      <c r="I13066" s="711"/>
      <c r="J13066" s="711"/>
      <c r="K13066" s="711"/>
      <c r="L13066" s="711"/>
      <c r="Q13066" s="11"/>
      <c r="R13066" s="11"/>
      <c r="S13066" s="11"/>
      <c r="T13066" s="11"/>
    </row>
    <row r="13067" spans="8:20" x14ac:dyDescent="0.35">
      <c r="H13067" s="711"/>
      <c r="I13067" s="711"/>
      <c r="J13067" s="711"/>
      <c r="K13067" s="711"/>
      <c r="L13067" s="711"/>
      <c r="Q13067" s="11"/>
      <c r="R13067" s="11"/>
      <c r="S13067" s="11"/>
      <c r="T13067" s="11"/>
    </row>
    <row r="13068" spans="8:20" x14ac:dyDescent="0.35">
      <c r="H13068" s="711"/>
      <c r="I13068" s="711"/>
      <c r="J13068" s="711"/>
      <c r="K13068" s="711"/>
      <c r="L13068" s="711"/>
      <c r="Q13068" s="11"/>
      <c r="R13068" s="11"/>
      <c r="S13068" s="11"/>
      <c r="T13068" s="11"/>
    </row>
    <row r="13069" spans="8:20" x14ac:dyDescent="0.35">
      <c r="H13069" s="711"/>
      <c r="I13069" s="711"/>
      <c r="J13069" s="711"/>
      <c r="K13069" s="711"/>
      <c r="L13069" s="711"/>
      <c r="Q13069" s="11"/>
      <c r="R13069" s="11"/>
      <c r="S13069" s="11"/>
      <c r="T13069" s="11"/>
    </row>
    <row r="13070" spans="8:20" x14ac:dyDescent="0.35">
      <c r="H13070" s="711"/>
      <c r="I13070" s="711"/>
      <c r="J13070" s="711"/>
      <c r="K13070" s="711"/>
      <c r="L13070" s="711"/>
      <c r="Q13070" s="11"/>
      <c r="R13070" s="11"/>
      <c r="S13070" s="11"/>
      <c r="T13070" s="11"/>
    </row>
    <row r="13071" spans="8:20" x14ac:dyDescent="0.35">
      <c r="H13071" s="711"/>
      <c r="I13071" s="711"/>
      <c r="J13071" s="711"/>
      <c r="K13071" s="711"/>
      <c r="L13071" s="711"/>
      <c r="Q13071" s="11"/>
      <c r="R13071" s="11"/>
      <c r="S13071" s="11"/>
      <c r="T13071" s="11"/>
    </row>
    <row r="13072" spans="8:20" x14ac:dyDescent="0.35">
      <c r="H13072" s="711"/>
      <c r="I13072" s="711"/>
      <c r="J13072" s="711"/>
      <c r="K13072" s="711"/>
      <c r="L13072" s="711"/>
      <c r="Q13072" s="11"/>
      <c r="R13072" s="11"/>
      <c r="S13072" s="11"/>
      <c r="T13072" s="11"/>
    </row>
    <row r="13073" spans="8:20" x14ac:dyDescent="0.35">
      <c r="H13073" s="711"/>
      <c r="I13073" s="711"/>
      <c r="J13073" s="711"/>
      <c r="K13073" s="711"/>
      <c r="L13073" s="711"/>
      <c r="Q13073" s="11"/>
      <c r="R13073" s="11"/>
      <c r="S13073" s="11"/>
      <c r="T13073" s="11"/>
    </row>
    <row r="13074" spans="8:20" x14ac:dyDescent="0.35">
      <c r="H13074" s="711"/>
      <c r="I13074" s="711"/>
      <c r="J13074" s="711"/>
      <c r="K13074" s="711"/>
      <c r="L13074" s="711"/>
      <c r="Q13074" s="11"/>
      <c r="R13074" s="11"/>
      <c r="S13074" s="11"/>
      <c r="T13074" s="11"/>
    </row>
    <row r="13075" spans="8:20" x14ac:dyDescent="0.35">
      <c r="H13075" s="711"/>
      <c r="I13075" s="711"/>
      <c r="J13075" s="711"/>
      <c r="K13075" s="711"/>
      <c r="L13075" s="711"/>
      <c r="Q13075" s="11"/>
      <c r="R13075" s="11"/>
      <c r="S13075" s="11"/>
      <c r="T13075" s="11"/>
    </row>
    <row r="13076" spans="8:20" x14ac:dyDescent="0.35">
      <c r="H13076" s="711"/>
      <c r="I13076" s="711"/>
      <c r="J13076" s="711"/>
      <c r="K13076" s="711"/>
      <c r="L13076" s="711"/>
      <c r="Q13076" s="11"/>
      <c r="R13076" s="11"/>
      <c r="S13076" s="11"/>
      <c r="T13076" s="11"/>
    </row>
    <row r="13077" spans="8:20" x14ac:dyDescent="0.35">
      <c r="H13077" s="711"/>
      <c r="I13077" s="711"/>
      <c r="J13077" s="711"/>
      <c r="K13077" s="711"/>
      <c r="L13077" s="711"/>
      <c r="Q13077" s="11"/>
      <c r="R13077" s="11"/>
      <c r="S13077" s="11"/>
      <c r="T13077" s="11"/>
    </row>
    <row r="13078" spans="8:20" x14ac:dyDescent="0.35">
      <c r="H13078" s="711"/>
      <c r="I13078" s="711"/>
      <c r="J13078" s="711"/>
      <c r="K13078" s="711"/>
      <c r="L13078" s="711"/>
      <c r="Q13078" s="11"/>
      <c r="R13078" s="11"/>
      <c r="S13078" s="11"/>
      <c r="T13078" s="11"/>
    </row>
    <row r="13079" spans="8:20" x14ac:dyDescent="0.35">
      <c r="H13079" s="711"/>
      <c r="I13079" s="711"/>
      <c r="J13079" s="711"/>
      <c r="K13079" s="711"/>
      <c r="L13079" s="711"/>
      <c r="Q13079" s="11"/>
      <c r="R13079" s="11"/>
      <c r="S13079" s="11"/>
      <c r="T13079" s="11"/>
    </row>
    <row r="13080" spans="8:20" x14ac:dyDescent="0.35">
      <c r="H13080" s="711"/>
      <c r="I13080" s="711"/>
      <c r="J13080" s="711"/>
      <c r="K13080" s="711"/>
      <c r="L13080" s="711"/>
      <c r="Q13080" s="11"/>
      <c r="R13080" s="11"/>
      <c r="S13080" s="11"/>
      <c r="T13080" s="11"/>
    </row>
    <row r="13081" spans="8:20" x14ac:dyDescent="0.35">
      <c r="H13081" s="711"/>
      <c r="I13081" s="711"/>
      <c r="J13081" s="711"/>
      <c r="K13081" s="711"/>
      <c r="L13081" s="711"/>
      <c r="Q13081" s="11"/>
      <c r="R13081" s="11"/>
      <c r="S13081" s="11"/>
      <c r="T13081" s="11"/>
    </row>
    <row r="13082" spans="8:20" x14ac:dyDescent="0.35">
      <c r="H13082" s="711"/>
      <c r="I13082" s="711"/>
      <c r="J13082" s="711"/>
      <c r="K13082" s="711"/>
      <c r="L13082" s="711"/>
      <c r="Q13082" s="11"/>
      <c r="R13082" s="11"/>
      <c r="S13082" s="11"/>
      <c r="T13082" s="11"/>
    </row>
    <row r="13083" spans="8:20" x14ac:dyDescent="0.35">
      <c r="H13083" s="711"/>
      <c r="I13083" s="711"/>
      <c r="J13083" s="711"/>
      <c r="K13083" s="711"/>
      <c r="L13083" s="711"/>
      <c r="Q13083" s="11"/>
      <c r="R13083" s="11"/>
      <c r="S13083" s="11"/>
      <c r="T13083" s="11"/>
    </row>
    <row r="13084" spans="8:20" x14ac:dyDescent="0.35">
      <c r="H13084" s="711"/>
      <c r="I13084" s="711"/>
      <c r="J13084" s="711"/>
      <c r="K13084" s="711"/>
      <c r="L13084" s="711"/>
      <c r="Q13084" s="11"/>
      <c r="R13084" s="11"/>
      <c r="S13084" s="11"/>
      <c r="T13084" s="11"/>
    </row>
    <row r="13085" spans="8:20" x14ac:dyDescent="0.35">
      <c r="H13085" s="711"/>
      <c r="I13085" s="711"/>
      <c r="J13085" s="711"/>
      <c r="K13085" s="711"/>
      <c r="L13085" s="711"/>
      <c r="Q13085" s="11"/>
      <c r="R13085" s="11"/>
      <c r="S13085" s="11"/>
      <c r="T13085" s="11"/>
    </row>
    <row r="13086" spans="8:20" x14ac:dyDescent="0.35">
      <c r="H13086" s="711"/>
      <c r="I13086" s="711"/>
      <c r="J13086" s="711"/>
      <c r="K13086" s="711"/>
      <c r="L13086" s="711"/>
      <c r="Q13086" s="11"/>
      <c r="R13086" s="11"/>
      <c r="S13086" s="11"/>
      <c r="T13086" s="11"/>
    </row>
    <row r="13087" spans="8:20" x14ac:dyDescent="0.35">
      <c r="H13087" s="711"/>
      <c r="I13087" s="711"/>
      <c r="J13087" s="711"/>
      <c r="K13087" s="711"/>
      <c r="L13087" s="711"/>
      <c r="Q13087" s="11"/>
      <c r="R13087" s="11"/>
      <c r="S13087" s="11"/>
      <c r="T13087" s="11"/>
    </row>
    <row r="13088" spans="8:20" x14ac:dyDescent="0.35">
      <c r="H13088" s="711"/>
      <c r="I13088" s="711"/>
      <c r="J13088" s="711"/>
      <c r="K13088" s="711"/>
      <c r="L13088" s="711"/>
      <c r="Q13088" s="11"/>
      <c r="R13088" s="11"/>
      <c r="S13088" s="11"/>
      <c r="T13088" s="11"/>
    </row>
    <row r="13089" spans="8:20" x14ac:dyDescent="0.35">
      <c r="H13089" s="711"/>
      <c r="I13089" s="711"/>
      <c r="J13089" s="711"/>
      <c r="K13089" s="711"/>
      <c r="L13089" s="711"/>
      <c r="Q13089" s="11"/>
      <c r="R13089" s="11"/>
      <c r="S13089" s="11"/>
      <c r="T13089" s="11"/>
    </row>
    <row r="13090" spans="8:20" x14ac:dyDescent="0.35">
      <c r="H13090" s="711"/>
      <c r="I13090" s="711"/>
      <c r="J13090" s="711"/>
      <c r="K13090" s="711"/>
      <c r="L13090" s="711"/>
      <c r="Q13090" s="11"/>
      <c r="R13090" s="11"/>
      <c r="S13090" s="11"/>
      <c r="T13090" s="11"/>
    </row>
    <row r="13091" spans="8:20" x14ac:dyDescent="0.35">
      <c r="H13091" s="711"/>
      <c r="I13091" s="711"/>
      <c r="J13091" s="711"/>
      <c r="K13091" s="711"/>
      <c r="L13091" s="711"/>
      <c r="Q13091" s="11"/>
      <c r="R13091" s="11"/>
      <c r="S13091" s="11"/>
      <c r="T13091" s="11"/>
    </row>
    <row r="13092" spans="8:20" x14ac:dyDescent="0.35">
      <c r="H13092" s="711"/>
      <c r="I13092" s="711"/>
      <c r="J13092" s="711"/>
      <c r="K13092" s="711"/>
      <c r="L13092" s="711"/>
      <c r="Q13092" s="11"/>
      <c r="R13092" s="11"/>
      <c r="S13092" s="11"/>
      <c r="T13092" s="11"/>
    </row>
    <row r="13093" spans="8:20" x14ac:dyDescent="0.35">
      <c r="H13093" s="711"/>
      <c r="I13093" s="711"/>
      <c r="J13093" s="711"/>
      <c r="K13093" s="711"/>
      <c r="L13093" s="711"/>
      <c r="Q13093" s="11"/>
      <c r="R13093" s="11"/>
      <c r="S13093" s="11"/>
      <c r="T13093" s="11"/>
    </row>
    <row r="13094" spans="8:20" x14ac:dyDescent="0.35">
      <c r="H13094" s="711"/>
      <c r="I13094" s="711"/>
      <c r="J13094" s="711"/>
      <c r="K13094" s="711"/>
      <c r="L13094" s="711"/>
      <c r="Q13094" s="11"/>
      <c r="R13094" s="11"/>
      <c r="S13094" s="11"/>
      <c r="T13094" s="11"/>
    </row>
    <row r="13095" spans="8:20" x14ac:dyDescent="0.35">
      <c r="H13095" s="711"/>
      <c r="I13095" s="711"/>
      <c r="J13095" s="711"/>
      <c r="K13095" s="711"/>
      <c r="L13095" s="711"/>
      <c r="Q13095" s="11"/>
      <c r="R13095" s="11"/>
      <c r="S13095" s="11"/>
      <c r="T13095" s="11"/>
    </row>
    <row r="13096" spans="8:20" x14ac:dyDescent="0.35">
      <c r="H13096" s="711"/>
      <c r="I13096" s="711"/>
      <c r="J13096" s="711"/>
      <c r="K13096" s="711"/>
      <c r="L13096" s="711"/>
      <c r="Q13096" s="11"/>
      <c r="R13096" s="11"/>
      <c r="S13096" s="11"/>
      <c r="T13096" s="11"/>
    </row>
    <row r="13097" spans="8:20" x14ac:dyDescent="0.35">
      <c r="H13097" s="711"/>
      <c r="I13097" s="711"/>
      <c r="J13097" s="711"/>
      <c r="K13097" s="711"/>
      <c r="L13097" s="711"/>
      <c r="Q13097" s="11"/>
      <c r="R13097" s="11"/>
      <c r="S13097" s="11"/>
      <c r="T13097" s="11"/>
    </row>
    <row r="13098" spans="8:20" x14ac:dyDescent="0.35">
      <c r="H13098" s="711"/>
      <c r="I13098" s="711"/>
      <c r="J13098" s="711"/>
      <c r="K13098" s="711"/>
      <c r="L13098" s="711"/>
      <c r="Q13098" s="11"/>
      <c r="R13098" s="11"/>
      <c r="S13098" s="11"/>
      <c r="T13098" s="11"/>
    </row>
    <row r="13099" spans="8:20" x14ac:dyDescent="0.35">
      <c r="H13099" s="711"/>
      <c r="I13099" s="711"/>
      <c r="J13099" s="711"/>
      <c r="K13099" s="711"/>
      <c r="L13099" s="711"/>
      <c r="Q13099" s="11"/>
      <c r="R13099" s="11"/>
      <c r="S13099" s="11"/>
      <c r="T13099" s="11"/>
    </row>
    <row r="13100" spans="8:20" x14ac:dyDescent="0.35">
      <c r="H13100" s="711"/>
      <c r="I13100" s="711"/>
      <c r="J13100" s="711"/>
      <c r="K13100" s="711"/>
      <c r="L13100" s="711"/>
      <c r="Q13100" s="11"/>
      <c r="R13100" s="11"/>
      <c r="S13100" s="11"/>
      <c r="T13100" s="11"/>
    </row>
    <row r="13101" spans="8:20" x14ac:dyDescent="0.35">
      <c r="H13101" s="711"/>
      <c r="I13101" s="711"/>
      <c r="J13101" s="711"/>
      <c r="K13101" s="711"/>
      <c r="L13101" s="711"/>
      <c r="Q13101" s="11"/>
      <c r="R13101" s="11"/>
      <c r="S13101" s="11"/>
      <c r="T13101" s="11"/>
    </row>
    <row r="13102" spans="8:20" x14ac:dyDescent="0.35">
      <c r="H13102" s="711"/>
      <c r="I13102" s="711"/>
      <c r="J13102" s="711"/>
      <c r="K13102" s="711"/>
      <c r="L13102" s="711"/>
      <c r="Q13102" s="11"/>
      <c r="R13102" s="11"/>
      <c r="S13102" s="11"/>
      <c r="T13102" s="11"/>
    </row>
    <row r="13103" spans="8:20" x14ac:dyDescent="0.35">
      <c r="H13103" s="711"/>
      <c r="I13103" s="711"/>
      <c r="J13103" s="711"/>
      <c r="K13103" s="711"/>
      <c r="L13103" s="711"/>
      <c r="Q13103" s="11"/>
      <c r="R13103" s="11"/>
      <c r="S13103" s="11"/>
      <c r="T13103" s="11"/>
    </row>
    <row r="13104" spans="8:20" x14ac:dyDescent="0.35">
      <c r="H13104" s="711"/>
      <c r="I13104" s="711"/>
      <c r="J13104" s="711"/>
      <c r="K13104" s="711"/>
      <c r="L13104" s="711"/>
      <c r="Q13104" s="11"/>
      <c r="R13104" s="11"/>
      <c r="S13104" s="11"/>
      <c r="T13104" s="11"/>
    </row>
    <row r="13105" spans="8:20" x14ac:dyDescent="0.35">
      <c r="H13105" s="711"/>
      <c r="I13105" s="711"/>
      <c r="J13105" s="711"/>
      <c r="K13105" s="711"/>
      <c r="L13105" s="711"/>
      <c r="Q13105" s="11"/>
      <c r="R13105" s="11"/>
      <c r="S13105" s="11"/>
      <c r="T13105" s="11"/>
    </row>
    <row r="13106" spans="8:20" x14ac:dyDescent="0.35">
      <c r="H13106" s="711"/>
      <c r="I13106" s="711"/>
      <c r="J13106" s="711"/>
      <c r="K13106" s="711"/>
      <c r="L13106" s="711"/>
      <c r="Q13106" s="11"/>
      <c r="R13106" s="11"/>
      <c r="S13106" s="11"/>
      <c r="T13106" s="11"/>
    </row>
    <row r="13107" spans="8:20" x14ac:dyDescent="0.35">
      <c r="H13107" s="711"/>
      <c r="I13107" s="711"/>
      <c r="J13107" s="711"/>
      <c r="K13107" s="711"/>
      <c r="L13107" s="711"/>
      <c r="Q13107" s="11"/>
      <c r="R13107" s="11"/>
      <c r="S13107" s="11"/>
      <c r="T13107" s="11"/>
    </row>
    <row r="13108" spans="8:20" x14ac:dyDescent="0.35">
      <c r="H13108" s="711"/>
      <c r="I13108" s="711"/>
      <c r="J13108" s="711"/>
      <c r="K13108" s="711"/>
      <c r="L13108" s="711"/>
      <c r="Q13108" s="11"/>
      <c r="R13108" s="11"/>
      <c r="S13108" s="11"/>
      <c r="T13108" s="11"/>
    </row>
    <row r="13109" spans="8:20" x14ac:dyDescent="0.35">
      <c r="H13109" s="711"/>
      <c r="I13109" s="711"/>
      <c r="J13109" s="711"/>
      <c r="K13109" s="711"/>
      <c r="L13109" s="711"/>
      <c r="Q13109" s="11"/>
      <c r="R13109" s="11"/>
      <c r="S13109" s="11"/>
      <c r="T13109" s="11"/>
    </row>
    <row r="13110" spans="8:20" x14ac:dyDescent="0.35">
      <c r="H13110" s="711"/>
      <c r="I13110" s="711"/>
      <c r="J13110" s="711"/>
      <c r="K13110" s="711"/>
      <c r="L13110" s="711"/>
      <c r="Q13110" s="11"/>
      <c r="R13110" s="11"/>
      <c r="S13110" s="11"/>
      <c r="T13110" s="11"/>
    </row>
    <row r="13111" spans="8:20" x14ac:dyDescent="0.35">
      <c r="H13111" s="711"/>
      <c r="I13111" s="711"/>
      <c r="J13111" s="711"/>
      <c r="K13111" s="711"/>
      <c r="L13111" s="711"/>
      <c r="Q13111" s="11"/>
      <c r="R13111" s="11"/>
      <c r="S13111" s="11"/>
      <c r="T13111" s="11"/>
    </row>
    <row r="13112" spans="8:20" x14ac:dyDescent="0.35">
      <c r="H13112" s="711"/>
      <c r="I13112" s="711"/>
      <c r="J13112" s="711"/>
      <c r="K13112" s="711"/>
      <c r="L13112" s="711"/>
      <c r="Q13112" s="11"/>
      <c r="R13112" s="11"/>
      <c r="S13112" s="11"/>
      <c r="T13112" s="11"/>
    </row>
    <row r="13113" spans="8:20" x14ac:dyDescent="0.35">
      <c r="H13113" s="711"/>
      <c r="I13113" s="711"/>
      <c r="J13113" s="711"/>
      <c r="K13113" s="711"/>
      <c r="L13113" s="711"/>
      <c r="Q13113" s="11"/>
      <c r="R13113" s="11"/>
      <c r="S13113" s="11"/>
      <c r="T13113" s="11"/>
    </row>
    <row r="13114" spans="8:20" x14ac:dyDescent="0.35">
      <c r="H13114" s="711"/>
      <c r="I13114" s="711"/>
      <c r="J13114" s="711"/>
      <c r="K13114" s="711"/>
      <c r="L13114" s="711"/>
      <c r="Q13114" s="11"/>
      <c r="R13114" s="11"/>
      <c r="S13114" s="11"/>
      <c r="T13114" s="11"/>
    </row>
    <row r="13115" spans="8:20" x14ac:dyDescent="0.35">
      <c r="H13115" s="711"/>
      <c r="I13115" s="711"/>
      <c r="J13115" s="711"/>
      <c r="K13115" s="711"/>
      <c r="L13115" s="711"/>
      <c r="Q13115" s="11"/>
      <c r="R13115" s="11"/>
      <c r="S13115" s="11"/>
      <c r="T13115" s="11"/>
    </row>
    <row r="13116" spans="8:20" x14ac:dyDescent="0.35">
      <c r="H13116" s="711"/>
      <c r="I13116" s="711"/>
      <c r="J13116" s="711"/>
      <c r="K13116" s="711"/>
      <c r="L13116" s="711"/>
      <c r="Q13116" s="11"/>
      <c r="R13116" s="11"/>
      <c r="S13116" s="11"/>
      <c r="T13116" s="11"/>
    </row>
    <row r="13117" spans="8:20" x14ac:dyDescent="0.35">
      <c r="H13117" s="711"/>
      <c r="I13117" s="711"/>
      <c r="J13117" s="711"/>
      <c r="K13117" s="711"/>
      <c r="L13117" s="711"/>
      <c r="Q13117" s="11"/>
      <c r="R13117" s="11"/>
      <c r="S13117" s="11"/>
      <c r="T13117" s="11"/>
    </row>
    <row r="13118" spans="8:20" x14ac:dyDescent="0.35">
      <c r="H13118" s="711"/>
      <c r="I13118" s="711"/>
      <c r="J13118" s="711"/>
      <c r="K13118" s="711"/>
      <c r="L13118" s="711"/>
      <c r="Q13118" s="11"/>
      <c r="R13118" s="11"/>
      <c r="S13118" s="11"/>
      <c r="T13118" s="11"/>
    </row>
    <row r="13119" spans="8:20" x14ac:dyDescent="0.35">
      <c r="H13119" s="711"/>
      <c r="I13119" s="711"/>
      <c r="J13119" s="711"/>
      <c r="K13119" s="711"/>
      <c r="L13119" s="711"/>
      <c r="Q13119" s="11"/>
      <c r="R13119" s="11"/>
      <c r="S13119" s="11"/>
      <c r="T13119" s="11"/>
    </row>
    <row r="13120" spans="8:20" x14ac:dyDescent="0.35">
      <c r="H13120" s="711"/>
      <c r="I13120" s="711"/>
      <c r="J13120" s="711"/>
      <c r="K13120" s="711"/>
      <c r="L13120" s="711"/>
      <c r="Q13120" s="11"/>
      <c r="R13120" s="11"/>
      <c r="S13120" s="11"/>
      <c r="T13120" s="11"/>
    </row>
    <row r="13121" spans="8:20" x14ac:dyDescent="0.35">
      <c r="H13121" s="711"/>
      <c r="I13121" s="711"/>
      <c r="J13121" s="711"/>
      <c r="K13121" s="711"/>
      <c r="L13121" s="711"/>
      <c r="Q13121" s="11"/>
      <c r="R13121" s="11"/>
      <c r="S13121" s="11"/>
      <c r="T13121" s="11"/>
    </row>
    <row r="13122" spans="8:20" x14ac:dyDescent="0.35">
      <c r="H13122" s="711"/>
      <c r="I13122" s="711"/>
      <c r="J13122" s="711"/>
      <c r="K13122" s="711"/>
      <c r="L13122" s="711"/>
      <c r="Q13122" s="11"/>
      <c r="R13122" s="11"/>
      <c r="S13122" s="11"/>
      <c r="T13122" s="11"/>
    </row>
    <row r="13123" spans="8:20" x14ac:dyDescent="0.35">
      <c r="H13123" s="711"/>
      <c r="I13123" s="711"/>
      <c r="J13123" s="711"/>
      <c r="K13123" s="711"/>
      <c r="L13123" s="711"/>
      <c r="Q13123" s="11"/>
      <c r="R13123" s="11"/>
      <c r="S13123" s="11"/>
      <c r="T13123" s="11"/>
    </row>
    <row r="13124" spans="8:20" x14ac:dyDescent="0.35">
      <c r="H13124" s="711"/>
      <c r="I13124" s="711"/>
      <c r="J13124" s="711"/>
      <c r="K13124" s="711"/>
      <c r="L13124" s="711"/>
      <c r="Q13124" s="11"/>
      <c r="R13124" s="11"/>
      <c r="S13124" s="11"/>
      <c r="T13124" s="11"/>
    </row>
    <row r="13125" spans="8:20" x14ac:dyDescent="0.35">
      <c r="H13125" s="711"/>
      <c r="I13125" s="711"/>
      <c r="J13125" s="711"/>
      <c r="K13125" s="711"/>
      <c r="L13125" s="711"/>
      <c r="Q13125" s="11"/>
      <c r="R13125" s="11"/>
      <c r="S13125" s="11"/>
      <c r="T13125" s="11"/>
    </row>
    <row r="13126" spans="8:20" x14ac:dyDescent="0.35">
      <c r="H13126" s="711"/>
      <c r="I13126" s="711"/>
      <c r="J13126" s="711"/>
      <c r="K13126" s="711"/>
      <c r="L13126" s="711"/>
      <c r="Q13126" s="11"/>
      <c r="R13126" s="11"/>
      <c r="S13126" s="11"/>
      <c r="T13126" s="11"/>
    </row>
    <row r="13127" spans="8:20" x14ac:dyDescent="0.35">
      <c r="H13127" s="711"/>
      <c r="I13127" s="711"/>
      <c r="J13127" s="711"/>
      <c r="K13127" s="711"/>
      <c r="L13127" s="711"/>
      <c r="Q13127" s="11"/>
      <c r="R13127" s="11"/>
      <c r="S13127" s="11"/>
      <c r="T13127" s="11"/>
    </row>
    <row r="13128" spans="8:20" x14ac:dyDescent="0.35">
      <c r="H13128" s="711"/>
      <c r="I13128" s="711"/>
      <c r="J13128" s="711"/>
      <c r="K13128" s="711"/>
      <c r="L13128" s="711"/>
      <c r="Q13128" s="11"/>
      <c r="R13128" s="11"/>
      <c r="S13128" s="11"/>
      <c r="T13128" s="11"/>
    </row>
    <row r="13129" spans="8:20" x14ac:dyDescent="0.35">
      <c r="H13129" s="711"/>
      <c r="I13129" s="711"/>
      <c r="J13129" s="711"/>
      <c r="K13129" s="711"/>
      <c r="L13129" s="711"/>
      <c r="Q13129" s="11"/>
      <c r="R13129" s="11"/>
      <c r="S13129" s="11"/>
      <c r="T13129" s="11"/>
    </row>
    <row r="13130" spans="8:20" x14ac:dyDescent="0.35">
      <c r="H13130" s="711"/>
      <c r="I13130" s="711"/>
      <c r="J13130" s="711"/>
      <c r="K13130" s="711"/>
      <c r="L13130" s="711"/>
      <c r="Q13130" s="11"/>
      <c r="R13130" s="11"/>
      <c r="S13130" s="11"/>
      <c r="T13130" s="11"/>
    </row>
    <row r="13131" spans="8:20" x14ac:dyDescent="0.35">
      <c r="H13131" s="711"/>
      <c r="I13131" s="711"/>
      <c r="J13131" s="711"/>
      <c r="K13131" s="711"/>
      <c r="L13131" s="711"/>
      <c r="Q13131" s="11"/>
      <c r="R13131" s="11"/>
      <c r="S13131" s="11"/>
      <c r="T13131" s="11"/>
    </row>
    <row r="13132" spans="8:20" x14ac:dyDescent="0.35">
      <c r="H13132" s="711"/>
      <c r="I13132" s="711"/>
      <c r="J13132" s="711"/>
      <c r="K13132" s="711"/>
      <c r="L13132" s="711"/>
      <c r="Q13132" s="11"/>
      <c r="R13132" s="11"/>
      <c r="S13132" s="11"/>
      <c r="T13132" s="11"/>
    </row>
    <row r="13133" spans="8:20" x14ac:dyDescent="0.35">
      <c r="H13133" s="711"/>
      <c r="I13133" s="711"/>
      <c r="J13133" s="711"/>
      <c r="K13133" s="711"/>
      <c r="L13133" s="711"/>
      <c r="Q13133" s="11"/>
      <c r="R13133" s="11"/>
      <c r="S13133" s="11"/>
      <c r="T13133" s="11"/>
    </row>
    <row r="13134" spans="8:20" x14ac:dyDescent="0.35">
      <c r="H13134" s="711"/>
      <c r="I13134" s="711"/>
      <c r="J13134" s="711"/>
      <c r="K13134" s="711"/>
      <c r="L13134" s="711"/>
      <c r="Q13134" s="11"/>
      <c r="R13134" s="11"/>
      <c r="S13134" s="11"/>
      <c r="T13134" s="11"/>
    </row>
    <row r="13135" spans="8:20" x14ac:dyDescent="0.35">
      <c r="H13135" s="711"/>
      <c r="I13135" s="711"/>
      <c r="J13135" s="711"/>
      <c r="K13135" s="711"/>
      <c r="L13135" s="711"/>
      <c r="Q13135" s="11"/>
      <c r="R13135" s="11"/>
      <c r="S13135" s="11"/>
      <c r="T13135" s="11"/>
    </row>
    <row r="13136" spans="8:20" x14ac:dyDescent="0.35">
      <c r="H13136" s="711"/>
      <c r="I13136" s="711"/>
      <c r="J13136" s="711"/>
      <c r="K13136" s="711"/>
      <c r="L13136" s="711"/>
      <c r="Q13136" s="11"/>
      <c r="R13136" s="11"/>
      <c r="S13136" s="11"/>
      <c r="T13136" s="11"/>
    </row>
    <row r="13137" spans="8:20" x14ac:dyDescent="0.35">
      <c r="H13137" s="711"/>
      <c r="I13137" s="711"/>
      <c r="J13137" s="711"/>
      <c r="K13137" s="711"/>
      <c r="L13137" s="711"/>
      <c r="Q13137" s="11"/>
      <c r="R13137" s="11"/>
      <c r="S13137" s="11"/>
      <c r="T13137" s="11"/>
    </row>
    <row r="13138" spans="8:20" x14ac:dyDescent="0.35">
      <c r="H13138" s="711"/>
      <c r="I13138" s="711"/>
      <c r="J13138" s="711"/>
      <c r="K13138" s="711"/>
      <c r="L13138" s="711"/>
      <c r="Q13138" s="11"/>
      <c r="R13138" s="11"/>
      <c r="S13138" s="11"/>
      <c r="T13138" s="11"/>
    </row>
    <row r="13139" spans="8:20" x14ac:dyDescent="0.35">
      <c r="H13139" s="711"/>
      <c r="I13139" s="711"/>
      <c r="J13139" s="711"/>
      <c r="K13139" s="711"/>
      <c r="L13139" s="711"/>
      <c r="Q13139" s="11"/>
      <c r="R13139" s="11"/>
      <c r="S13139" s="11"/>
      <c r="T13139" s="11"/>
    </row>
    <row r="13140" spans="8:20" x14ac:dyDescent="0.35">
      <c r="H13140" s="711"/>
      <c r="I13140" s="711"/>
      <c r="J13140" s="711"/>
      <c r="K13140" s="711"/>
      <c r="L13140" s="711"/>
      <c r="Q13140" s="11"/>
      <c r="R13140" s="11"/>
      <c r="S13140" s="11"/>
      <c r="T13140" s="11"/>
    </row>
    <row r="13141" spans="8:20" x14ac:dyDescent="0.35">
      <c r="H13141" s="711"/>
      <c r="I13141" s="711"/>
      <c r="J13141" s="711"/>
      <c r="K13141" s="711"/>
      <c r="L13141" s="711"/>
      <c r="Q13141" s="11"/>
      <c r="R13141" s="11"/>
      <c r="S13141" s="11"/>
      <c r="T13141" s="11"/>
    </row>
    <row r="13142" spans="8:20" x14ac:dyDescent="0.35">
      <c r="H13142" s="711"/>
      <c r="I13142" s="711"/>
      <c r="J13142" s="711"/>
      <c r="K13142" s="711"/>
      <c r="L13142" s="711"/>
      <c r="Q13142" s="11"/>
      <c r="R13142" s="11"/>
      <c r="S13142" s="11"/>
      <c r="T13142" s="11"/>
    </row>
    <row r="13143" spans="8:20" x14ac:dyDescent="0.35">
      <c r="H13143" s="711"/>
      <c r="I13143" s="711"/>
      <c r="J13143" s="711"/>
      <c r="K13143" s="711"/>
      <c r="L13143" s="711"/>
      <c r="Q13143" s="11"/>
      <c r="R13143" s="11"/>
      <c r="S13143" s="11"/>
      <c r="T13143" s="11"/>
    </row>
    <row r="13144" spans="8:20" x14ac:dyDescent="0.35">
      <c r="H13144" s="711"/>
      <c r="I13144" s="711"/>
      <c r="J13144" s="711"/>
      <c r="K13144" s="711"/>
      <c r="L13144" s="711"/>
      <c r="Q13144" s="11"/>
      <c r="R13144" s="11"/>
      <c r="S13144" s="11"/>
      <c r="T13144" s="11"/>
    </row>
    <row r="13145" spans="8:20" x14ac:dyDescent="0.35">
      <c r="H13145" s="711"/>
      <c r="I13145" s="711"/>
      <c r="J13145" s="711"/>
      <c r="K13145" s="711"/>
      <c r="L13145" s="711"/>
      <c r="Q13145" s="11"/>
      <c r="R13145" s="11"/>
      <c r="S13145" s="11"/>
      <c r="T13145" s="11"/>
    </row>
    <row r="13146" spans="8:20" x14ac:dyDescent="0.35">
      <c r="H13146" s="711"/>
      <c r="I13146" s="711"/>
      <c r="J13146" s="711"/>
      <c r="K13146" s="711"/>
      <c r="L13146" s="711"/>
      <c r="Q13146" s="11"/>
      <c r="R13146" s="11"/>
      <c r="S13146" s="11"/>
      <c r="T13146" s="11"/>
    </row>
    <row r="13147" spans="8:20" x14ac:dyDescent="0.35">
      <c r="H13147" s="711"/>
      <c r="I13147" s="711"/>
      <c r="J13147" s="711"/>
      <c r="K13147" s="711"/>
      <c r="L13147" s="711"/>
      <c r="Q13147" s="11"/>
      <c r="R13147" s="11"/>
      <c r="S13147" s="11"/>
      <c r="T13147" s="11"/>
    </row>
    <row r="13148" spans="8:20" x14ac:dyDescent="0.35">
      <c r="H13148" s="711"/>
      <c r="I13148" s="711"/>
      <c r="J13148" s="711"/>
      <c r="K13148" s="711"/>
      <c r="L13148" s="711"/>
      <c r="Q13148" s="11"/>
      <c r="R13148" s="11"/>
      <c r="S13148" s="11"/>
      <c r="T13148" s="11"/>
    </row>
    <row r="13149" spans="8:20" x14ac:dyDescent="0.35">
      <c r="H13149" s="711"/>
      <c r="I13149" s="711"/>
      <c r="J13149" s="711"/>
      <c r="K13149" s="711"/>
      <c r="L13149" s="711"/>
      <c r="Q13149" s="11"/>
      <c r="R13149" s="11"/>
      <c r="S13149" s="11"/>
      <c r="T13149" s="11"/>
    </row>
    <row r="13150" spans="8:20" x14ac:dyDescent="0.35">
      <c r="H13150" s="711"/>
      <c r="I13150" s="711"/>
      <c r="J13150" s="711"/>
      <c r="K13150" s="711"/>
      <c r="L13150" s="711"/>
      <c r="Q13150" s="11"/>
      <c r="R13150" s="11"/>
      <c r="S13150" s="11"/>
      <c r="T13150" s="11"/>
    </row>
    <row r="13151" spans="8:20" x14ac:dyDescent="0.35">
      <c r="H13151" s="711"/>
      <c r="I13151" s="711"/>
      <c r="J13151" s="711"/>
      <c r="K13151" s="711"/>
      <c r="L13151" s="711"/>
      <c r="Q13151" s="11"/>
      <c r="R13151" s="11"/>
      <c r="S13151" s="11"/>
      <c r="T13151" s="11"/>
    </row>
    <row r="13152" spans="8:20" x14ac:dyDescent="0.35">
      <c r="H13152" s="711"/>
      <c r="I13152" s="711"/>
      <c r="J13152" s="711"/>
      <c r="K13152" s="711"/>
      <c r="L13152" s="711"/>
      <c r="Q13152" s="11"/>
      <c r="R13152" s="11"/>
      <c r="S13152" s="11"/>
      <c r="T13152" s="11"/>
    </row>
    <row r="13153" spans="8:20" x14ac:dyDescent="0.35">
      <c r="H13153" s="711"/>
      <c r="I13153" s="711"/>
      <c r="J13153" s="711"/>
      <c r="K13153" s="711"/>
      <c r="L13153" s="711"/>
      <c r="Q13153" s="11"/>
      <c r="R13153" s="11"/>
      <c r="S13153" s="11"/>
      <c r="T13153" s="11"/>
    </row>
    <row r="13154" spans="8:20" x14ac:dyDescent="0.35">
      <c r="H13154" s="711"/>
      <c r="I13154" s="711"/>
      <c r="J13154" s="711"/>
      <c r="K13154" s="711"/>
      <c r="L13154" s="711"/>
      <c r="Q13154" s="11"/>
      <c r="R13154" s="11"/>
      <c r="S13154" s="11"/>
      <c r="T13154" s="11"/>
    </row>
    <row r="13155" spans="8:20" x14ac:dyDescent="0.35">
      <c r="H13155" s="711"/>
      <c r="I13155" s="711"/>
      <c r="J13155" s="711"/>
      <c r="K13155" s="711"/>
      <c r="L13155" s="711"/>
      <c r="Q13155" s="11"/>
      <c r="R13155" s="11"/>
      <c r="S13155" s="11"/>
      <c r="T13155" s="11"/>
    </row>
    <row r="13156" spans="8:20" x14ac:dyDescent="0.35">
      <c r="H13156" s="711"/>
      <c r="I13156" s="711"/>
      <c r="J13156" s="711"/>
      <c r="K13156" s="711"/>
      <c r="L13156" s="711"/>
      <c r="Q13156" s="11"/>
      <c r="R13156" s="11"/>
      <c r="S13156" s="11"/>
      <c r="T13156" s="11"/>
    </row>
    <row r="13157" spans="8:20" x14ac:dyDescent="0.35">
      <c r="H13157" s="711"/>
      <c r="I13157" s="711"/>
      <c r="J13157" s="711"/>
      <c r="K13157" s="711"/>
      <c r="L13157" s="711"/>
      <c r="Q13157" s="11"/>
      <c r="R13157" s="11"/>
      <c r="S13157" s="11"/>
      <c r="T13157" s="11"/>
    </row>
    <row r="13158" spans="8:20" x14ac:dyDescent="0.35">
      <c r="H13158" s="711"/>
      <c r="I13158" s="711"/>
      <c r="J13158" s="711"/>
      <c r="K13158" s="711"/>
      <c r="L13158" s="711"/>
      <c r="Q13158" s="11"/>
      <c r="R13158" s="11"/>
      <c r="S13158" s="11"/>
      <c r="T13158" s="11"/>
    </row>
    <row r="13159" spans="8:20" x14ac:dyDescent="0.35">
      <c r="H13159" s="711"/>
      <c r="I13159" s="711"/>
      <c r="J13159" s="711"/>
      <c r="K13159" s="711"/>
      <c r="L13159" s="711"/>
      <c r="Q13159" s="11"/>
      <c r="R13159" s="11"/>
      <c r="S13159" s="11"/>
      <c r="T13159" s="11"/>
    </row>
    <row r="13160" spans="8:20" x14ac:dyDescent="0.35">
      <c r="H13160" s="711"/>
      <c r="I13160" s="711"/>
      <c r="J13160" s="711"/>
      <c r="K13160" s="711"/>
      <c r="L13160" s="711"/>
      <c r="Q13160" s="11"/>
      <c r="R13160" s="11"/>
      <c r="S13160" s="11"/>
      <c r="T13160" s="11"/>
    </row>
    <row r="13161" spans="8:20" x14ac:dyDescent="0.35">
      <c r="H13161" s="711"/>
      <c r="I13161" s="711"/>
      <c r="J13161" s="711"/>
      <c r="K13161" s="711"/>
      <c r="L13161" s="711"/>
      <c r="Q13161" s="11"/>
      <c r="R13161" s="11"/>
      <c r="S13161" s="11"/>
      <c r="T13161" s="11"/>
    </row>
    <row r="13162" spans="8:20" x14ac:dyDescent="0.35">
      <c r="H13162" s="711"/>
      <c r="I13162" s="711"/>
      <c r="J13162" s="711"/>
      <c r="K13162" s="711"/>
      <c r="L13162" s="711"/>
      <c r="Q13162" s="11"/>
      <c r="R13162" s="11"/>
      <c r="S13162" s="11"/>
      <c r="T13162" s="11"/>
    </row>
    <row r="13163" spans="8:20" x14ac:dyDescent="0.35">
      <c r="H13163" s="711"/>
      <c r="I13163" s="711"/>
      <c r="J13163" s="711"/>
      <c r="K13163" s="711"/>
      <c r="L13163" s="711"/>
      <c r="Q13163" s="11"/>
      <c r="R13163" s="11"/>
      <c r="S13163" s="11"/>
      <c r="T13163" s="11"/>
    </row>
    <row r="13164" spans="8:20" x14ac:dyDescent="0.35">
      <c r="H13164" s="711"/>
      <c r="I13164" s="711"/>
      <c r="J13164" s="711"/>
      <c r="K13164" s="711"/>
      <c r="L13164" s="711"/>
      <c r="Q13164" s="11"/>
      <c r="R13164" s="11"/>
      <c r="S13164" s="11"/>
      <c r="T13164" s="11"/>
    </row>
    <row r="13165" spans="8:20" x14ac:dyDescent="0.35">
      <c r="H13165" s="711"/>
      <c r="I13165" s="711"/>
      <c r="J13165" s="711"/>
      <c r="K13165" s="711"/>
      <c r="L13165" s="711"/>
      <c r="Q13165" s="11"/>
      <c r="R13165" s="11"/>
      <c r="S13165" s="11"/>
      <c r="T13165" s="11"/>
    </row>
    <row r="13166" spans="8:20" x14ac:dyDescent="0.35">
      <c r="H13166" s="711"/>
      <c r="I13166" s="711"/>
      <c r="J13166" s="711"/>
      <c r="K13166" s="711"/>
      <c r="L13166" s="711"/>
      <c r="Q13166" s="11"/>
      <c r="R13166" s="11"/>
      <c r="S13166" s="11"/>
      <c r="T13166" s="11"/>
    </row>
    <row r="13167" spans="8:20" x14ac:dyDescent="0.35">
      <c r="H13167" s="711"/>
      <c r="I13167" s="711"/>
      <c r="J13167" s="711"/>
      <c r="K13167" s="711"/>
      <c r="L13167" s="711"/>
      <c r="Q13167" s="11"/>
      <c r="R13167" s="11"/>
      <c r="S13167" s="11"/>
      <c r="T13167" s="11"/>
    </row>
    <row r="13168" spans="8:20" x14ac:dyDescent="0.35">
      <c r="H13168" s="711"/>
      <c r="I13168" s="711"/>
      <c r="J13168" s="711"/>
      <c r="K13168" s="711"/>
      <c r="L13168" s="711"/>
      <c r="Q13168" s="11"/>
      <c r="R13168" s="11"/>
      <c r="S13168" s="11"/>
      <c r="T13168" s="11"/>
    </row>
    <row r="13169" spans="8:20" x14ac:dyDescent="0.35">
      <c r="H13169" s="711"/>
      <c r="I13169" s="711"/>
      <c r="J13169" s="711"/>
      <c r="K13169" s="711"/>
      <c r="L13169" s="711"/>
      <c r="Q13169" s="11"/>
      <c r="R13169" s="11"/>
      <c r="S13169" s="11"/>
      <c r="T13169" s="11"/>
    </row>
    <row r="13170" spans="8:20" x14ac:dyDescent="0.35">
      <c r="H13170" s="711"/>
      <c r="I13170" s="711"/>
      <c r="J13170" s="711"/>
      <c r="K13170" s="711"/>
      <c r="L13170" s="711"/>
      <c r="Q13170" s="11"/>
      <c r="R13170" s="11"/>
      <c r="S13170" s="11"/>
      <c r="T13170" s="11"/>
    </row>
    <row r="13171" spans="8:20" x14ac:dyDescent="0.35">
      <c r="H13171" s="711"/>
      <c r="I13171" s="711"/>
      <c r="J13171" s="711"/>
      <c r="K13171" s="711"/>
      <c r="L13171" s="711"/>
      <c r="Q13171" s="11"/>
      <c r="R13171" s="11"/>
      <c r="S13171" s="11"/>
      <c r="T13171" s="11"/>
    </row>
    <row r="13172" spans="8:20" x14ac:dyDescent="0.35">
      <c r="H13172" s="711"/>
      <c r="I13172" s="711"/>
      <c r="J13172" s="711"/>
      <c r="K13172" s="711"/>
      <c r="L13172" s="711"/>
      <c r="Q13172" s="11"/>
      <c r="R13172" s="11"/>
      <c r="S13172" s="11"/>
      <c r="T13172" s="11"/>
    </row>
    <row r="13173" spans="8:20" x14ac:dyDescent="0.35">
      <c r="H13173" s="711"/>
      <c r="I13173" s="711"/>
      <c r="J13173" s="711"/>
      <c r="K13173" s="711"/>
      <c r="L13173" s="711"/>
      <c r="Q13173" s="11"/>
      <c r="R13173" s="11"/>
      <c r="S13173" s="11"/>
      <c r="T13173" s="11"/>
    </row>
    <row r="13174" spans="8:20" x14ac:dyDescent="0.35">
      <c r="H13174" s="711"/>
      <c r="I13174" s="711"/>
      <c r="J13174" s="711"/>
      <c r="K13174" s="711"/>
      <c r="L13174" s="711"/>
      <c r="Q13174" s="11"/>
      <c r="R13174" s="11"/>
      <c r="S13174" s="11"/>
      <c r="T13174" s="11"/>
    </row>
    <row r="13175" spans="8:20" x14ac:dyDescent="0.35">
      <c r="H13175" s="711"/>
      <c r="I13175" s="711"/>
      <c r="J13175" s="711"/>
      <c r="K13175" s="711"/>
      <c r="L13175" s="711"/>
      <c r="Q13175" s="11"/>
      <c r="R13175" s="11"/>
      <c r="S13175" s="11"/>
      <c r="T13175" s="11"/>
    </row>
    <row r="13176" spans="8:20" x14ac:dyDescent="0.35">
      <c r="H13176" s="711"/>
      <c r="I13176" s="711"/>
      <c r="J13176" s="711"/>
      <c r="K13176" s="711"/>
      <c r="L13176" s="711"/>
      <c r="Q13176" s="11"/>
      <c r="R13176" s="11"/>
      <c r="S13176" s="11"/>
      <c r="T13176" s="11"/>
    </row>
    <row r="13177" spans="8:20" x14ac:dyDescent="0.35">
      <c r="H13177" s="711"/>
      <c r="I13177" s="711"/>
      <c r="J13177" s="711"/>
      <c r="K13177" s="711"/>
      <c r="L13177" s="711"/>
      <c r="Q13177" s="11"/>
      <c r="R13177" s="11"/>
      <c r="S13177" s="11"/>
      <c r="T13177" s="11"/>
    </row>
    <row r="13178" spans="8:20" x14ac:dyDescent="0.35">
      <c r="H13178" s="711"/>
      <c r="I13178" s="711"/>
      <c r="J13178" s="711"/>
      <c r="K13178" s="711"/>
      <c r="L13178" s="711"/>
      <c r="Q13178" s="11"/>
      <c r="R13178" s="11"/>
      <c r="S13178" s="11"/>
      <c r="T13178" s="11"/>
    </row>
    <row r="13179" spans="8:20" x14ac:dyDescent="0.35">
      <c r="H13179" s="711"/>
      <c r="I13179" s="711"/>
      <c r="J13179" s="711"/>
      <c r="K13179" s="711"/>
      <c r="L13179" s="711"/>
      <c r="Q13179" s="11"/>
      <c r="R13179" s="11"/>
      <c r="S13179" s="11"/>
      <c r="T13179" s="11"/>
    </row>
    <row r="13180" spans="8:20" x14ac:dyDescent="0.35">
      <c r="H13180" s="711"/>
      <c r="I13180" s="711"/>
      <c r="J13180" s="711"/>
      <c r="K13180" s="711"/>
      <c r="L13180" s="711"/>
      <c r="Q13180" s="11"/>
      <c r="R13180" s="11"/>
      <c r="S13180" s="11"/>
      <c r="T13180" s="11"/>
    </row>
    <row r="13181" spans="8:20" x14ac:dyDescent="0.35">
      <c r="H13181" s="711"/>
      <c r="I13181" s="711"/>
      <c r="J13181" s="711"/>
      <c r="K13181" s="711"/>
      <c r="L13181" s="711"/>
      <c r="Q13181" s="11"/>
      <c r="R13181" s="11"/>
      <c r="S13181" s="11"/>
      <c r="T13181" s="11"/>
    </row>
    <row r="13182" spans="8:20" x14ac:dyDescent="0.35">
      <c r="H13182" s="711"/>
      <c r="I13182" s="711"/>
      <c r="J13182" s="711"/>
      <c r="K13182" s="711"/>
      <c r="L13182" s="711"/>
      <c r="Q13182" s="11"/>
      <c r="R13182" s="11"/>
      <c r="S13182" s="11"/>
      <c r="T13182" s="11"/>
    </row>
    <row r="13183" spans="8:20" x14ac:dyDescent="0.35">
      <c r="H13183" s="711"/>
      <c r="I13183" s="711"/>
      <c r="J13183" s="711"/>
      <c r="K13183" s="711"/>
      <c r="L13183" s="711"/>
      <c r="Q13183" s="11"/>
      <c r="R13183" s="11"/>
      <c r="S13183" s="11"/>
      <c r="T13183" s="11"/>
    </row>
    <row r="13184" spans="8:20" x14ac:dyDescent="0.35">
      <c r="H13184" s="711"/>
      <c r="I13184" s="711"/>
      <c r="J13184" s="711"/>
      <c r="K13184" s="711"/>
      <c r="L13184" s="711"/>
      <c r="Q13184" s="11"/>
      <c r="R13184" s="11"/>
      <c r="S13184" s="11"/>
      <c r="T13184" s="11"/>
    </row>
    <row r="13185" spans="8:20" x14ac:dyDescent="0.35">
      <c r="H13185" s="711"/>
      <c r="I13185" s="711"/>
      <c r="J13185" s="711"/>
      <c r="K13185" s="711"/>
      <c r="L13185" s="711"/>
      <c r="Q13185" s="11"/>
      <c r="R13185" s="11"/>
      <c r="S13185" s="11"/>
      <c r="T13185" s="11"/>
    </row>
    <row r="13186" spans="8:20" x14ac:dyDescent="0.35">
      <c r="H13186" s="711"/>
      <c r="I13186" s="711"/>
      <c r="J13186" s="711"/>
      <c r="K13186" s="711"/>
      <c r="L13186" s="711"/>
      <c r="Q13186" s="11"/>
      <c r="R13186" s="11"/>
      <c r="S13186" s="11"/>
      <c r="T13186" s="11"/>
    </row>
    <row r="13187" spans="8:20" x14ac:dyDescent="0.35">
      <c r="H13187" s="711"/>
      <c r="I13187" s="711"/>
      <c r="J13187" s="711"/>
      <c r="K13187" s="711"/>
      <c r="L13187" s="711"/>
      <c r="Q13187" s="11"/>
      <c r="R13187" s="11"/>
      <c r="S13187" s="11"/>
      <c r="T13187" s="11"/>
    </row>
    <row r="13188" spans="8:20" x14ac:dyDescent="0.35">
      <c r="H13188" s="711"/>
      <c r="I13188" s="711"/>
      <c r="J13188" s="711"/>
      <c r="K13188" s="711"/>
      <c r="L13188" s="711"/>
      <c r="Q13188" s="11"/>
      <c r="R13188" s="11"/>
      <c r="S13188" s="11"/>
      <c r="T13188" s="11"/>
    </row>
    <row r="13189" spans="8:20" x14ac:dyDescent="0.35">
      <c r="H13189" s="711"/>
      <c r="I13189" s="711"/>
      <c r="J13189" s="711"/>
      <c r="K13189" s="711"/>
      <c r="L13189" s="711"/>
      <c r="Q13189" s="11"/>
      <c r="R13189" s="11"/>
      <c r="S13189" s="11"/>
      <c r="T13189" s="11"/>
    </row>
    <row r="13190" spans="8:20" x14ac:dyDescent="0.35">
      <c r="H13190" s="711"/>
      <c r="I13190" s="711"/>
      <c r="J13190" s="711"/>
      <c r="K13190" s="711"/>
      <c r="L13190" s="711"/>
      <c r="Q13190" s="11"/>
      <c r="R13190" s="11"/>
      <c r="S13190" s="11"/>
      <c r="T13190" s="11"/>
    </row>
    <row r="13191" spans="8:20" x14ac:dyDescent="0.35">
      <c r="H13191" s="711"/>
      <c r="I13191" s="711"/>
      <c r="J13191" s="711"/>
      <c r="K13191" s="711"/>
      <c r="L13191" s="711"/>
      <c r="Q13191" s="11"/>
      <c r="R13191" s="11"/>
      <c r="S13191" s="11"/>
      <c r="T13191" s="11"/>
    </row>
    <row r="13192" spans="8:20" x14ac:dyDescent="0.35">
      <c r="H13192" s="711"/>
      <c r="I13192" s="711"/>
      <c r="J13192" s="711"/>
      <c r="K13192" s="711"/>
      <c r="L13192" s="711"/>
      <c r="Q13192" s="11"/>
      <c r="R13192" s="11"/>
      <c r="S13192" s="11"/>
      <c r="T13192" s="11"/>
    </row>
    <row r="13193" spans="8:20" x14ac:dyDescent="0.35">
      <c r="H13193" s="711"/>
      <c r="I13193" s="711"/>
      <c r="J13193" s="711"/>
      <c r="K13193" s="711"/>
      <c r="L13193" s="711"/>
      <c r="Q13193" s="11"/>
      <c r="R13193" s="11"/>
      <c r="S13193" s="11"/>
      <c r="T13193" s="11"/>
    </row>
    <row r="13194" spans="8:20" x14ac:dyDescent="0.35">
      <c r="H13194" s="711"/>
      <c r="I13194" s="711"/>
      <c r="J13194" s="711"/>
      <c r="K13194" s="711"/>
      <c r="L13194" s="711"/>
      <c r="Q13194" s="11"/>
      <c r="R13194" s="11"/>
      <c r="S13194" s="11"/>
      <c r="T13194" s="11"/>
    </row>
    <row r="13195" spans="8:20" x14ac:dyDescent="0.35">
      <c r="H13195" s="711"/>
      <c r="I13195" s="711"/>
      <c r="J13195" s="711"/>
      <c r="K13195" s="711"/>
      <c r="L13195" s="711"/>
      <c r="Q13195" s="11"/>
      <c r="R13195" s="11"/>
      <c r="S13195" s="11"/>
      <c r="T13195" s="11"/>
    </row>
    <row r="13196" spans="8:20" x14ac:dyDescent="0.35">
      <c r="H13196" s="711"/>
      <c r="I13196" s="711"/>
      <c r="J13196" s="711"/>
      <c r="K13196" s="711"/>
      <c r="L13196" s="711"/>
      <c r="Q13196" s="11"/>
      <c r="R13196" s="11"/>
      <c r="S13196" s="11"/>
      <c r="T13196" s="11"/>
    </row>
    <row r="13197" spans="8:20" x14ac:dyDescent="0.35">
      <c r="H13197" s="711"/>
      <c r="I13197" s="711"/>
      <c r="J13197" s="711"/>
      <c r="K13197" s="711"/>
      <c r="L13197" s="711"/>
      <c r="Q13197" s="11"/>
      <c r="R13197" s="11"/>
      <c r="S13197" s="11"/>
      <c r="T13197" s="11"/>
    </row>
    <row r="13198" spans="8:20" x14ac:dyDescent="0.35">
      <c r="H13198" s="711"/>
      <c r="I13198" s="711"/>
      <c r="J13198" s="711"/>
      <c r="K13198" s="711"/>
      <c r="L13198" s="711"/>
      <c r="Q13198" s="11"/>
      <c r="R13198" s="11"/>
      <c r="S13198" s="11"/>
      <c r="T13198" s="11"/>
    </row>
    <row r="13199" spans="8:20" x14ac:dyDescent="0.35">
      <c r="H13199" s="711"/>
      <c r="I13199" s="711"/>
      <c r="J13199" s="711"/>
      <c r="K13199" s="711"/>
      <c r="L13199" s="711"/>
      <c r="Q13199" s="11"/>
      <c r="R13199" s="11"/>
      <c r="S13199" s="11"/>
      <c r="T13199" s="11"/>
    </row>
    <row r="13200" spans="8:20" x14ac:dyDescent="0.35">
      <c r="H13200" s="711"/>
      <c r="I13200" s="711"/>
      <c r="J13200" s="711"/>
      <c r="K13200" s="711"/>
      <c r="L13200" s="711"/>
      <c r="Q13200" s="11"/>
      <c r="R13200" s="11"/>
      <c r="S13200" s="11"/>
      <c r="T13200" s="11"/>
    </row>
    <row r="13201" spans="8:20" x14ac:dyDescent="0.35">
      <c r="H13201" s="711"/>
      <c r="I13201" s="711"/>
      <c r="J13201" s="711"/>
      <c r="K13201" s="711"/>
      <c r="L13201" s="711"/>
      <c r="Q13201" s="11"/>
      <c r="R13201" s="11"/>
      <c r="S13201" s="11"/>
      <c r="T13201" s="11"/>
    </row>
    <row r="13202" spans="8:20" x14ac:dyDescent="0.35">
      <c r="H13202" s="711"/>
      <c r="I13202" s="711"/>
      <c r="J13202" s="711"/>
      <c r="K13202" s="711"/>
      <c r="L13202" s="711"/>
      <c r="Q13202" s="11"/>
      <c r="R13202" s="11"/>
      <c r="S13202" s="11"/>
      <c r="T13202" s="11"/>
    </row>
    <row r="13203" spans="8:20" x14ac:dyDescent="0.35">
      <c r="H13203" s="711"/>
      <c r="I13203" s="711"/>
      <c r="J13203" s="711"/>
      <c r="K13203" s="711"/>
      <c r="L13203" s="711"/>
      <c r="Q13203" s="11"/>
      <c r="R13203" s="11"/>
      <c r="S13203" s="11"/>
      <c r="T13203" s="11"/>
    </row>
    <row r="13204" spans="8:20" x14ac:dyDescent="0.35">
      <c r="H13204" s="711"/>
      <c r="I13204" s="711"/>
      <c r="J13204" s="711"/>
      <c r="K13204" s="711"/>
      <c r="L13204" s="711"/>
      <c r="Q13204" s="11"/>
      <c r="R13204" s="11"/>
      <c r="S13204" s="11"/>
      <c r="T13204" s="11"/>
    </row>
    <row r="13205" spans="8:20" x14ac:dyDescent="0.35">
      <c r="H13205" s="711"/>
      <c r="I13205" s="711"/>
      <c r="J13205" s="711"/>
      <c r="K13205" s="711"/>
      <c r="L13205" s="711"/>
      <c r="Q13205" s="11"/>
      <c r="R13205" s="11"/>
      <c r="S13205" s="11"/>
      <c r="T13205" s="11"/>
    </row>
    <row r="13206" spans="8:20" x14ac:dyDescent="0.35">
      <c r="H13206" s="711"/>
      <c r="I13206" s="711"/>
      <c r="J13206" s="711"/>
      <c r="K13206" s="711"/>
      <c r="L13206" s="711"/>
      <c r="Q13206" s="11"/>
      <c r="R13206" s="11"/>
      <c r="S13206" s="11"/>
      <c r="T13206" s="11"/>
    </row>
    <row r="13207" spans="8:20" x14ac:dyDescent="0.35">
      <c r="H13207" s="711"/>
      <c r="I13207" s="711"/>
      <c r="J13207" s="711"/>
      <c r="K13207" s="711"/>
      <c r="L13207" s="711"/>
      <c r="Q13207" s="11"/>
      <c r="R13207" s="11"/>
      <c r="S13207" s="11"/>
      <c r="T13207" s="11"/>
    </row>
    <row r="13208" spans="8:20" x14ac:dyDescent="0.35">
      <c r="H13208" s="711"/>
      <c r="I13208" s="711"/>
      <c r="J13208" s="711"/>
      <c r="K13208" s="711"/>
      <c r="L13208" s="711"/>
      <c r="Q13208" s="11"/>
      <c r="R13208" s="11"/>
      <c r="S13208" s="11"/>
      <c r="T13208" s="11"/>
    </row>
    <row r="13209" spans="8:20" x14ac:dyDescent="0.35">
      <c r="H13209" s="711"/>
      <c r="I13209" s="711"/>
      <c r="J13209" s="711"/>
      <c r="K13209" s="711"/>
      <c r="L13209" s="711"/>
      <c r="Q13209" s="11"/>
      <c r="R13209" s="11"/>
      <c r="S13209" s="11"/>
      <c r="T13209" s="11"/>
    </row>
    <row r="13210" spans="8:20" x14ac:dyDescent="0.35">
      <c r="H13210" s="711"/>
      <c r="I13210" s="711"/>
      <c r="J13210" s="711"/>
      <c r="K13210" s="711"/>
      <c r="L13210" s="711"/>
      <c r="Q13210" s="11"/>
      <c r="R13210" s="11"/>
      <c r="S13210" s="11"/>
      <c r="T13210" s="11"/>
    </row>
    <row r="13211" spans="8:20" x14ac:dyDescent="0.35">
      <c r="H13211" s="711"/>
      <c r="I13211" s="711"/>
      <c r="J13211" s="711"/>
      <c r="K13211" s="711"/>
      <c r="L13211" s="711"/>
      <c r="Q13211" s="11"/>
      <c r="R13211" s="11"/>
      <c r="S13211" s="11"/>
      <c r="T13211" s="11"/>
    </row>
    <row r="13212" spans="8:20" x14ac:dyDescent="0.35">
      <c r="H13212" s="711"/>
      <c r="I13212" s="711"/>
      <c r="J13212" s="711"/>
      <c r="K13212" s="711"/>
      <c r="L13212" s="711"/>
      <c r="Q13212" s="11"/>
      <c r="R13212" s="11"/>
      <c r="S13212" s="11"/>
      <c r="T13212" s="11"/>
    </row>
    <row r="13213" spans="8:20" x14ac:dyDescent="0.35">
      <c r="H13213" s="711"/>
      <c r="I13213" s="711"/>
      <c r="J13213" s="711"/>
      <c r="K13213" s="711"/>
      <c r="L13213" s="711"/>
      <c r="Q13213" s="11"/>
      <c r="R13213" s="11"/>
      <c r="S13213" s="11"/>
      <c r="T13213" s="11"/>
    </row>
    <row r="13214" spans="8:20" x14ac:dyDescent="0.35">
      <c r="H13214" s="711"/>
      <c r="I13214" s="711"/>
      <c r="J13214" s="711"/>
      <c r="K13214" s="711"/>
      <c r="L13214" s="711"/>
      <c r="Q13214" s="11"/>
      <c r="R13214" s="11"/>
      <c r="S13214" s="11"/>
      <c r="T13214" s="11"/>
    </row>
    <row r="13215" spans="8:20" x14ac:dyDescent="0.35">
      <c r="H13215" s="711"/>
      <c r="I13215" s="711"/>
      <c r="J13215" s="711"/>
      <c r="K13215" s="711"/>
      <c r="L13215" s="711"/>
      <c r="Q13215" s="11"/>
      <c r="R13215" s="11"/>
      <c r="S13215" s="11"/>
      <c r="T13215" s="11"/>
    </row>
    <row r="13216" spans="8:20" x14ac:dyDescent="0.35">
      <c r="H13216" s="711"/>
      <c r="I13216" s="711"/>
      <c r="J13216" s="711"/>
      <c r="K13216" s="711"/>
      <c r="L13216" s="711"/>
      <c r="Q13216" s="11"/>
      <c r="R13216" s="11"/>
      <c r="S13216" s="11"/>
      <c r="T13216" s="11"/>
    </row>
    <row r="13217" spans="8:20" x14ac:dyDescent="0.35">
      <c r="H13217" s="711"/>
      <c r="I13217" s="711"/>
      <c r="J13217" s="711"/>
      <c r="K13217" s="711"/>
      <c r="L13217" s="711"/>
      <c r="Q13217" s="11"/>
      <c r="R13217" s="11"/>
      <c r="S13217" s="11"/>
      <c r="T13217" s="11"/>
    </row>
    <row r="13218" spans="8:20" x14ac:dyDescent="0.35">
      <c r="H13218" s="711"/>
      <c r="I13218" s="711"/>
      <c r="J13218" s="711"/>
      <c r="K13218" s="711"/>
      <c r="L13218" s="711"/>
      <c r="Q13218" s="11"/>
      <c r="R13218" s="11"/>
      <c r="S13218" s="11"/>
      <c r="T13218" s="11"/>
    </row>
    <row r="13219" spans="8:20" x14ac:dyDescent="0.35">
      <c r="H13219" s="711"/>
      <c r="I13219" s="711"/>
      <c r="J13219" s="711"/>
      <c r="K13219" s="711"/>
      <c r="L13219" s="711"/>
      <c r="Q13219" s="11"/>
      <c r="R13219" s="11"/>
      <c r="S13219" s="11"/>
      <c r="T13219" s="11"/>
    </row>
    <row r="13220" spans="8:20" x14ac:dyDescent="0.35">
      <c r="H13220" s="711"/>
      <c r="I13220" s="711"/>
      <c r="J13220" s="711"/>
      <c r="K13220" s="711"/>
      <c r="L13220" s="711"/>
      <c r="Q13220" s="11"/>
      <c r="R13220" s="11"/>
      <c r="S13220" s="11"/>
      <c r="T13220" s="11"/>
    </row>
    <row r="13221" spans="8:20" x14ac:dyDescent="0.35">
      <c r="H13221" s="711"/>
      <c r="I13221" s="711"/>
      <c r="J13221" s="711"/>
      <c r="K13221" s="711"/>
      <c r="L13221" s="711"/>
      <c r="Q13221" s="11"/>
      <c r="R13221" s="11"/>
      <c r="S13221" s="11"/>
      <c r="T13221" s="11"/>
    </row>
    <row r="13222" spans="8:20" x14ac:dyDescent="0.35">
      <c r="H13222" s="711"/>
      <c r="I13222" s="711"/>
      <c r="J13222" s="711"/>
      <c r="K13222" s="711"/>
      <c r="L13222" s="711"/>
      <c r="Q13222" s="11"/>
      <c r="R13222" s="11"/>
      <c r="S13222" s="11"/>
      <c r="T13222" s="11"/>
    </row>
    <row r="13223" spans="8:20" x14ac:dyDescent="0.35">
      <c r="H13223" s="711"/>
      <c r="I13223" s="711"/>
      <c r="J13223" s="711"/>
      <c r="K13223" s="711"/>
      <c r="L13223" s="711"/>
      <c r="Q13223" s="11"/>
      <c r="R13223" s="11"/>
      <c r="S13223" s="11"/>
      <c r="T13223" s="11"/>
    </row>
    <row r="13224" spans="8:20" x14ac:dyDescent="0.35">
      <c r="H13224" s="711"/>
      <c r="I13224" s="711"/>
      <c r="J13224" s="711"/>
      <c r="K13224" s="711"/>
      <c r="L13224" s="711"/>
      <c r="Q13224" s="11"/>
      <c r="R13224" s="11"/>
      <c r="S13224" s="11"/>
      <c r="T13224" s="11"/>
    </row>
    <row r="13225" spans="8:20" x14ac:dyDescent="0.35">
      <c r="H13225" s="711"/>
      <c r="I13225" s="711"/>
      <c r="J13225" s="711"/>
      <c r="K13225" s="711"/>
      <c r="L13225" s="711"/>
      <c r="Q13225" s="11"/>
      <c r="R13225" s="11"/>
      <c r="S13225" s="11"/>
      <c r="T13225" s="11"/>
    </row>
    <row r="13226" spans="8:20" x14ac:dyDescent="0.35">
      <c r="H13226" s="711"/>
      <c r="I13226" s="711"/>
      <c r="J13226" s="711"/>
      <c r="K13226" s="711"/>
      <c r="L13226" s="711"/>
      <c r="Q13226" s="11"/>
      <c r="R13226" s="11"/>
      <c r="S13226" s="11"/>
      <c r="T13226" s="11"/>
    </row>
    <row r="13227" spans="8:20" x14ac:dyDescent="0.35">
      <c r="H13227" s="711"/>
      <c r="I13227" s="711"/>
      <c r="J13227" s="711"/>
      <c r="K13227" s="711"/>
      <c r="L13227" s="711"/>
      <c r="Q13227" s="11"/>
      <c r="R13227" s="11"/>
      <c r="S13227" s="11"/>
      <c r="T13227" s="11"/>
    </row>
    <row r="13228" spans="8:20" x14ac:dyDescent="0.35">
      <c r="H13228" s="711"/>
      <c r="I13228" s="711"/>
      <c r="J13228" s="711"/>
      <c r="K13228" s="711"/>
      <c r="L13228" s="711"/>
      <c r="Q13228" s="11"/>
      <c r="R13228" s="11"/>
      <c r="S13228" s="11"/>
      <c r="T13228" s="11"/>
    </row>
    <row r="13229" spans="8:20" x14ac:dyDescent="0.35">
      <c r="H13229" s="711"/>
      <c r="I13229" s="711"/>
      <c r="J13229" s="711"/>
      <c r="K13229" s="711"/>
      <c r="L13229" s="711"/>
      <c r="Q13229" s="11"/>
      <c r="R13229" s="11"/>
      <c r="S13229" s="11"/>
      <c r="T13229" s="11"/>
    </row>
    <row r="13230" spans="8:20" x14ac:dyDescent="0.35">
      <c r="H13230" s="711"/>
      <c r="I13230" s="711"/>
      <c r="J13230" s="711"/>
      <c r="K13230" s="711"/>
      <c r="L13230" s="711"/>
      <c r="Q13230" s="11"/>
      <c r="R13230" s="11"/>
      <c r="S13230" s="11"/>
      <c r="T13230" s="11"/>
    </row>
    <row r="13231" spans="8:20" x14ac:dyDescent="0.35">
      <c r="H13231" s="711"/>
      <c r="I13231" s="711"/>
      <c r="J13231" s="711"/>
      <c r="K13231" s="711"/>
      <c r="L13231" s="711"/>
      <c r="Q13231" s="11"/>
      <c r="R13231" s="11"/>
      <c r="S13231" s="11"/>
      <c r="T13231" s="11"/>
    </row>
    <row r="13232" spans="8:20" x14ac:dyDescent="0.35">
      <c r="H13232" s="711"/>
      <c r="I13232" s="711"/>
      <c r="J13232" s="711"/>
      <c r="K13232" s="711"/>
      <c r="L13232" s="711"/>
      <c r="Q13232" s="11"/>
      <c r="R13232" s="11"/>
      <c r="S13232" s="11"/>
      <c r="T13232" s="11"/>
    </row>
    <row r="13233" spans="8:20" x14ac:dyDescent="0.35">
      <c r="H13233" s="711"/>
      <c r="I13233" s="711"/>
      <c r="J13233" s="711"/>
      <c r="K13233" s="711"/>
      <c r="L13233" s="711"/>
      <c r="Q13233" s="11"/>
      <c r="R13233" s="11"/>
      <c r="S13233" s="11"/>
      <c r="T13233" s="11"/>
    </row>
    <row r="13234" spans="8:20" x14ac:dyDescent="0.35">
      <c r="H13234" s="711"/>
      <c r="I13234" s="711"/>
      <c r="J13234" s="711"/>
      <c r="K13234" s="711"/>
      <c r="L13234" s="711"/>
      <c r="Q13234" s="11"/>
      <c r="R13234" s="11"/>
      <c r="S13234" s="11"/>
      <c r="T13234" s="11"/>
    </row>
    <row r="13235" spans="8:20" x14ac:dyDescent="0.35">
      <c r="H13235" s="711"/>
      <c r="I13235" s="711"/>
      <c r="J13235" s="711"/>
      <c r="K13235" s="711"/>
      <c r="L13235" s="711"/>
      <c r="Q13235" s="11"/>
      <c r="R13235" s="11"/>
      <c r="S13235" s="11"/>
      <c r="T13235" s="11"/>
    </row>
    <row r="13236" spans="8:20" x14ac:dyDescent="0.35">
      <c r="H13236" s="711"/>
      <c r="I13236" s="711"/>
      <c r="J13236" s="711"/>
      <c r="K13236" s="711"/>
      <c r="L13236" s="711"/>
      <c r="Q13236" s="11"/>
      <c r="R13236" s="11"/>
      <c r="S13236" s="11"/>
      <c r="T13236" s="11"/>
    </row>
    <row r="13237" spans="8:20" x14ac:dyDescent="0.35">
      <c r="H13237" s="711"/>
      <c r="I13237" s="711"/>
      <c r="J13237" s="711"/>
      <c r="K13237" s="711"/>
      <c r="L13237" s="711"/>
      <c r="Q13237" s="11"/>
      <c r="R13237" s="11"/>
      <c r="S13237" s="11"/>
      <c r="T13237" s="11"/>
    </row>
    <row r="13238" spans="8:20" x14ac:dyDescent="0.35">
      <c r="H13238" s="711"/>
      <c r="I13238" s="711"/>
      <c r="J13238" s="711"/>
      <c r="K13238" s="711"/>
      <c r="L13238" s="711"/>
      <c r="Q13238" s="11"/>
      <c r="R13238" s="11"/>
      <c r="S13238" s="11"/>
      <c r="T13238" s="11"/>
    </row>
    <row r="13239" spans="8:20" x14ac:dyDescent="0.35">
      <c r="H13239" s="711"/>
      <c r="I13239" s="711"/>
      <c r="J13239" s="711"/>
      <c r="K13239" s="711"/>
      <c r="L13239" s="711"/>
      <c r="Q13239" s="11"/>
      <c r="R13239" s="11"/>
      <c r="S13239" s="11"/>
      <c r="T13239" s="11"/>
    </row>
    <row r="13240" spans="8:20" x14ac:dyDescent="0.35">
      <c r="H13240" s="711"/>
      <c r="I13240" s="711"/>
      <c r="J13240" s="711"/>
      <c r="K13240" s="711"/>
      <c r="L13240" s="711"/>
      <c r="Q13240" s="11"/>
      <c r="R13240" s="11"/>
      <c r="S13240" s="11"/>
      <c r="T13240" s="11"/>
    </row>
    <row r="13241" spans="8:20" x14ac:dyDescent="0.35">
      <c r="H13241" s="711"/>
      <c r="I13241" s="711"/>
      <c r="J13241" s="711"/>
      <c r="K13241" s="711"/>
      <c r="L13241" s="711"/>
      <c r="Q13241" s="11"/>
      <c r="R13241" s="11"/>
      <c r="S13241" s="11"/>
      <c r="T13241" s="11"/>
    </row>
    <row r="13242" spans="8:20" x14ac:dyDescent="0.35">
      <c r="H13242" s="711"/>
      <c r="I13242" s="711"/>
      <c r="J13242" s="711"/>
      <c r="K13242" s="711"/>
      <c r="L13242" s="711"/>
      <c r="Q13242" s="11"/>
      <c r="R13242" s="11"/>
      <c r="S13242" s="11"/>
      <c r="T13242" s="11"/>
    </row>
    <row r="13243" spans="8:20" x14ac:dyDescent="0.35">
      <c r="H13243" s="711"/>
      <c r="I13243" s="711"/>
      <c r="J13243" s="711"/>
      <c r="K13243" s="711"/>
      <c r="L13243" s="711"/>
      <c r="Q13243" s="11"/>
      <c r="R13243" s="11"/>
      <c r="S13243" s="11"/>
      <c r="T13243" s="11"/>
    </row>
    <row r="13244" spans="8:20" x14ac:dyDescent="0.35">
      <c r="H13244" s="711"/>
      <c r="I13244" s="711"/>
      <c r="J13244" s="711"/>
      <c r="K13244" s="711"/>
      <c r="L13244" s="711"/>
      <c r="Q13244" s="11"/>
      <c r="R13244" s="11"/>
      <c r="S13244" s="11"/>
      <c r="T13244" s="11"/>
    </row>
    <row r="13245" spans="8:20" x14ac:dyDescent="0.35">
      <c r="H13245" s="711"/>
      <c r="I13245" s="711"/>
      <c r="J13245" s="711"/>
      <c r="K13245" s="711"/>
      <c r="L13245" s="711"/>
      <c r="Q13245" s="11"/>
      <c r="R13245" s="11"/>
      <c r="S13245" s="11"/>
      <c r="T13245" s="11"/>
    </row>
    <row r="13246" spans="8:20" x14ac:dyDescent="0.35">
      <c r="H13246" s="711"/>
      <c r="I13246" s="711"/>
      <c r="J13246" s="711"/>
      <c r="K13246" s="711"/>
      <c r="L13246" s="711"/>
      <c r="Q13246" s="11"/>
      <c r="R13246" s="11"/>
      <c r="S13246" s="11"/>
      <c r="T13246" s="11"/>
    </row>
    <row r="13247" spans="8:20" x14ac:dyDescent="0.35">
      <c r="H13247" s="711"/>
      <c r="I13247" s="711"/>
      <c r="J13247" s="711"/>
      <c r="K13247" s="711"/>
      <c r="L13247" s="711"/>
      <c r="Q13247" s="11"/>
      <c r="R13247" s="11"/>
      <c r="S13247" s="11"/>
      <c r="T13247" s="11"/>
    </row>
    <row r="13248" spans="8:20" x14ac:dyDescent="0.35">
      <c r="H13248" s="711"/>
      <c r="I13248" s="711"/>
      <c r="J13248" s="711"/>
      <c r="K13248" s="711"/>
      <c r="L13248" s="711"/>
      <c r="Q13248" s="11"/>
      <c r="R13248" s="11"/>
      <c r="S13248" s="11"/>
      <c r="T13248" s="11"/>
    </row>
    <row r="13249" spans="8:20" x14ac:dyDescent="0.35">
      <c r="H13249" s="711"/>
      <c r="I13249" s="711"/>
      <c r="J13249" s="711"/>
      <c r="K13249" s="711"/>
      <c r="L13249" s="711"/>
      <c r="Q13249" s="11"/>
      <c r="R13249" s="11"/>
      <c r="S13249" s="11"/>
      <c r="T13249" s="11"/>
    </row>
    <row r="13250" spans="8:20" x14ac:dyDescent="0.35">
      <c r="H13250" s="711"/>
      <c r="I13250" s="711"/>
      <c r="J13250" s="711"/>
      <c r="K13250" s="711"/>
      <c r="L13250" s="711"/>
      <c r="Q13250" s="11"/>
      <c r="R13250" s="11"/>
      <c r="S13250" s="11"/>
      <c r="T13250" s="11"/>
    </row>
    <row r="13251" spans="8:20" x14ac:dyDescent="0.35">
      <c r="H13251" s="711"/>
      <c r="I13251" s="711"/>
      <c r="J13251" s="711"/>
      <c r="K13251" s="711"/>
      <c r="L13251" s="711"/>
      <c r="Q13251" s="11"/>
      <c r="R13251" s="11"/>
      <c r="S13251" s="11"/>
      <c r="T13251" s="11"/>
    </row>
    <row r="13252" spans="8:20" x14ac:dyDescent="0.35">
      <c r="H13252" s="711"/>
      <c r="I13252" s="711"/>
      <c r="J13252" s="711"/>
      <c r="K13252" s="711"/>
      <c r="L13252" s="711"/>
      <c r="Q13252" s="11"/>
      <c r="R13252" s="11"/>
      <c r="S13252" s="11"/>
      <c r="T13252" s="11"/>
    </row>
    <row r="13253" spans="8:20" x14ac:dyDescent="0.35">
      <c r="H13253" s="711"/>
      <c r="I13253" s="711"/>
      <c r="J13253" s="711"/>
      <c r="K13253" s="711"/>
      <c r="L13253" s="711"/>
      <c r="Q13253" s="11"/>
      <c r="R13253" s="11"/>
      <c r="S13253" s="11"/>
      <c r="T13253" s="11"/>
    </row>
    <row r="13254" spans="8:20" x14ac:dyDescent="0.35">
      <c r="H13254" s="711"/>
      <c r="I13254" s="711"/>
      <c r="J13254" s="711"/>
      <c r="K13254" s="711"/>
      <c r="L13254" s="711"/>
      <c r="Q13254" s="11"/>
      <c r="R13254" s="11"/>
      <c r="S13254" s="11"/>
      <c r="T13254" s="11"/>
    </row>
    <row r="13255" spans="8:20" x14ac:dyDescent="0.35">
      <c r="H13255" s="711"/>
      <c r="I13255" s="711"/>
      <c r="J13255" s="711"/>
      <c r="K13255" s="711"/>
      <c r="L13255" s="711"/>
      <c r="Q13255" s="11"/>
      <c r="R13255" s="11"/>
      <c r="S13255" s="11"/>
      <c r="T13255" s="11"/>
    </row>
    <row r="13256" spans="8:20" x14ac:dyDescent="0.35">
      <c r="H13256" s="711"/>
      <c r="I13256" s="711"/>
      <c r="J13256" s="711"/>
      <c r="K13256" s="711"/>
      <c r="L13256" s="711"/>
      <c r="Q13256" s="11"/>
      <c r="R13256" s="11"/>
      <c r="S13256" s="11"/>
      <c r="T13256" s="11"/>
    </row>
    <row r="13257" spans="8:20" x14ac:dyDescent="0.35">
      <c r="H13257" s="711"/>
      <c r="I13257" s="711"/>
      <c r="J13257" s="711"/>
      <c r="K13257" s="711"/>
      <c r="L13257" s="711"/>
      <c r="Q13257" s="11"/>
      <c r="R13257" s="11"/>
      <c r="S13257" s="11"/>
      <c r="T13257" s="11"/>
    </row>
    <row r="13258" spans="8:20" x14ac:dyDescent="0.35">
      <c r="H13258" s="711"/>
      <c r="I13258" s="711"/>
      <c r="J13258" s="711"/>
      <c r="K13258" s="711"/>
      <c r="L13258" s="711"/>
      <c r="Q13258" s="11"/>
      <c r="R13258" s="11"/>
      <c r="S13258" s="11"/>
      <c r="T13258" s="11"/>
    </row>
    <row r="13259" spans="8:20" x14ac:dyDescent="0.35">
      <c r="H13259" s="711"/>
      <c r="I13259" s="711"/>
      <c r="J13259" s="711"/>
      <c r="K13259" s="711"/>
      <c r="L13259" s="711"/>
      <c r="Q13259" s="11"/>
      <c r="R13259" s="11"/>
      <c r="S13259" s="11"/>
      <c r="T13259" s="11"/>
    </row>
    <row r="13260" spans="8:20" x14ac:dyDescent="0.35">
      <c r="H13260" s="711"/>
      <c r="I13260" s="711"/>
      <c r="J13260" s="711"/>
      <c r="K13260" s="711"/>
      <c r="L13260" s="711"/>
      <c r="Q13260" s="11"/>
      <c r="R13260" s="11"/>
      <c r="S13260" s="11"/>
      <c r="T13260" s="11"/>
    </row>
    <row r="13261" spans="8:20" x14ac:dyDescent="0.35">
      <c r="H13261" s="711"/>
      <c r="I13261" s="711"/>
      <c r="J13261" s="711"/>
      <c r="K13261" s="711"/>
      <c r="L13261" s="711"/>
      <c r="Q13261" s="11"/>
      <c r="R13261" s="11"/>
      <c r="S13261" s="11"/>
      <c r="T13261" s="11"/>
    </row>
    <row r="13262" spans="8:20" x14ac:dyDescent="0.35">
      <c r="H13262" s="711"/>
      <c r="I13262" s="711"/>
      <c r="J13262" s="711"/>
      <c r="K13262" s="711"/>
      <c r="L13262" s="711"/>
      <c r="Q13262" s="11"/>
      <c r="R13262" s="11"/>
      <c r="S13262" s="11"/>
      <c r="T13262" s="11"/>
    </row>
    <row r="13263" spans="8:20" x14ac:dyDescent="0.35">
      <c r="H13263" s="711"/>
      <c r="I13263" s="711"/>
      <c r="J13263" s="711"/>
      <c r="K13263" s="711"/>
      <c r="L13263" s="711"/>
      <c r="Q13263" s="11"/>
      <c r="R13263" s="11"/>
      <c r="S13263" s="11"/>
      <c r="T13263" s="11"/>
    </row>
    <row r="13264" spans="8:20" x14ac:dyDescent="0.35">
      <c r="H13264" s="711"/>
      <c r="I13264" s="711"/>
      <c r="J13264" s="711"/>
      <c r="K13264" s="711"/>
      <c r="L13264" s="711"/>
      <c r="Q13264" s="11"/>
      <c r="R13264" s="11"/>
      <c r="S13264" s="11"/>
      <c r="T13264" s="11"/>
    </row>
    <row r="13265" spans="8:20" x14ac:dyDescent="0.35">
      <c r="H13265" s="711"/>
      <c r="I13265" s="711"/>
      <c r="J13265" s="711"/>
      <c r="K13265" s="711"/>
      <c r="L13265" s="711"/>
      <c r="Q13265" s="11"/>
      <c r="R13265" s="11"/>
      <c r="S13265" s="11"/>
      <c r="T13265" s="11"/>
    </row>
    <row r="13266" spans="8:20" x14ac:dyDescent="0.35">
      <c r="H13266" s="711"/>
      <c r="I13266" s="711"/>
      <c r="J13266" s="711"/>
      <c r="K13266" s="711"/>
      <c r="L13266" s="711"/>
      <c r="Q13266" s="11"/>
      <c r="R13266" s="11"/>
      <c r="S13266" s="11"/>
      <c r="T13266" s="11"/>
    </row>
    <row r="13267" spans="8:20" x14ac:dyDescent="0.35">
      <c r="H13267" s="711"/>
      <c r="I13267" s="711"/>
      <c r="J13267" s="711"/>
      <c r="K13267" s="711"/>
      <c r="L13267" s="711"/>
      <c r="Q13267" s="11"/>
      <c r="R13267" s="11"/>
      <c r="S13267" s="11"/>
      <c r="T13267" s="11"/>
    </row>
    <row r="13268" spans="8:20" x14ac:dyDescent="0.35">
      <c r="H13268" s="711"/>
      <c r="I13268" s="711"/>
      <c r="J13268" s="711"/>
      <c r="K13268" s="711"/>
      <c r="L13268" s="711"/>
      <c r="Q13268" s="11"/>
      <c r="R13268" s="11"/>
      <c r="S13268" s="11"/>
      <c r="T13268" s="11"/>
    </row>
    <row r="13269" spans="8:20" x14ac:dyDescent="0.35">
      <c r="H13269" s="711"/>
      <c r="I13269" s="711"/>
      <c r="J13269" s="711"/>
      <c r="K13269" s="711"/>
      <c r="L13269" s="711"/>
      <c r="Q13269" s="11"/>
      <c r="R13269" s="11"/>
      <c r="S13269" s="11"/>
      <c r="T13269" s="11"/>
    </row>
    <row r="13270" spans="8:20" x14ac:dyDescent="0.35">
      <c r="H13270" s="711"/>
      <c r="I13270" s="711"/>
      <c r="J13270" s="711"/>
      <c r="K13270" s="711"/>
      <c r="L13270" s="711"/>
      <c r="Q13270" s="11"/>
      <c r="R13270" s="11"/>
      <c r="S13270" s="11"/>
      <c r="T13270" s="11"/>
    </row>
    <row r="13271" spans="8:20" x14ac:dyDescent="0.35">
      <c r="H13271" s="711"/>
      <c r="I13271" s="711"/>
      <c r="J13271" s="711"/>
      <c r="K13271" s="711"/>
      <c r="L13271" s="711"/>
      <c r="Q13271" s="11"/>
      <c r="R13271" s="11"/>
      <c r="S13271" s="11"/>
      <c r="T13271" s="11"/>
    </row>
    <row r="13272" spans="8:20" x14ac:dyDescent="0.35">
      <c r="H13272" s="711"/>
      <c r="I13272" s="711"/>
      <c r="J13272" s="711"/>
      <c r="K13272" s="711"/>
      <c r="L13272" s="711"/>
      <c r="Q13272" s="11"/>
      <c r="R13272" s="11"/>
      <c r="S13272" s="11"/>
      <c r="T13272" s="11"/>
    </row>
    <row r="13273" spans="8:20" x14ac:dyDescent="0.35">
      <c r="H13273" s="711"/>
      <c r="I13273" s="711"/>
      <c r="J13273" s="711"/>
      <c r="K13273" s="711"/>
      <c r="L13273" s="711"/>
      <c r="Q13273" s="11"/>
      <c r="R13273" s="11"/>
      <c r="S13273" s="11"/>
      <c r="T13273" s="11"/>
    </row>
    <row r="13274" spans="8:20" x14ac:dyDescent="0.35">
      <c r="H13274" s="711"/>
      <c r="I13274" s="711"/>
      <c r="J13274" s="711"/>
      <c r="K13274" s="711"/>
      <c r="L13274" s="711"/>
      <c r="Q13274" s="11"/>
      <c r="R13274" s="11"/>
      <c r="S13274" s="11"/>
      <c r="T13274" s="11"/>
    </row>
    <row r="13275" spans="8:20" x14ac:dyDescent="0.35">
      <c r="H13275" s="711"/>
      <c r="I13275" s="711"/>
      <c r="J13275" s="711"/>
      <c r="K13275" s="711"/>
      <c r="L13275" s="711"/>
      <c r="Q13275" s="11"/>
      <c r="R13275" s="11"/>
      <c r="S13275" s="11"/>
      <c r="T13275" s="11"/>
    </row>
    <row r="13276" spans="8:20" x14ac:dyDescent="0.35">
      <c r="H13276" s="711"/>
      <c r="I13276" s="711"/>
      <c r="J13276" s="711"/>
      <c r="K13276" s="711"/>
      <c r="L13276" s="711"/>
      <c r="Q13276" s="11"/>
      <c r="R13276" s="11"/>
      <c r="S13276" s="11"/>
      <c r="T13276" s="11"/>
    </row>
    <row r="13277" spans="8:20" x14ac:dyDescent="0.35">
      <c r="H13277" s="711"/>
      <c r="I13277" s="711"/>
      <c r="J13277" s="711"/>
      <c r="K13277" s="711"/>
      <c r="L13277" s="711"/>
      <c r="Q13277" s="11"/>
      <c r="R13277" s="11"/>
      <c r="S13277" s="11"/>
      <c r="T13277" s="11"/>
    </row>
    <row r="13278" spans="8:20" x14ac:dyDescent="0.35">
      <c r="H13278" s="711"/>
      <c r="I13278" s="711"/>
      <c r="J13278" s="711"/>
      <c r="K13278" s="711"/>
      <c r="L13278" s="711"/>
      <c r="Q13278" s="11"/>
      <c r="R13278" s="11"/>
      <c r="S13278" s="11"/>
      <c r="T13278" s="11"/>
    </row>
    <row r="13279" spans="8:20" x14ac:dyDescent="0.35">
      <c r="H13279" s="711"/>
      <c r="I13279" s="711"/>
      <c r="J13279" s="711"/>
      <c r="K13279" s="711"/>
      <c r="L13279" s="711"/>
      <c r="Q13279" s="11"/>
      <c r="R13279" s="11"/>
      <c r="S13279" s="11"/>
      <c r="T13279" s="11"/>
    </row>
    <row r="13280" spans="8:20" x14ac:dyDescent="0.35">
      <c r="H13280" s="711"/>
      <c r="I13280" s="711"/>
      <c r="J13280" s="711"/>
      <c r="K13280" s="711"/>
      <c r="L13280" s="711"/>
      <c r="Q13280" s="11"/>
      <c r="R13280" s="11"/>
      <c r="S13280" s="11"/>
      <c r="T13280" s="11"/>
    </row>
    <row r="13281" spans="8:20" x14ac:dyDescent="0.35">
      <c r="H13281" s="711"/>
      <c r="I13281" s="711"/>
      <c r="J13281" s="711"/>
      <c r="K13281" s="711"/>
      <c r="L13281" s="711"/>
      <c r="Q13281" s="11"/>
      <c r="R13281" s="11"/>
      <c r="S13281" s="11"/>
      <c r="T13281" s="11"/>
    </row>
    <row r="13282" spans="8:20" x14ac:dyDescent="0.35">
      <c r="H13282" s="711"/>
      <c r="I13282" s="711"/>
      <c r="J13282" s="711"/>
      <c r="K13282" s="711"/>
      <c r="L13282" s="711"/>
      <c r="Q13282" s="11"/>
      <c r="R13282" s="11"/>
      <c r="S13282" s="11"/>
      <c r="T13282" s="11"/>
    </row>
    <row r="13283" spans="8:20" x14ac:dyDescent="0.35">
      <c r="H13283" s="711"/>
      <c r="I13283" s="711"/>
      <c r="J13283" s="711"/>
      <c r="K13283" s="711"/>
      <c r="L13283" s="711"/>
      <c r="Q13283" s="11"/>
      <c r="R13283" s="11"/>
      <c r="S13283" s="11"/>
      <c r="T13283" s="11"/>
    </row>
    <row r="13284" spans="8:20" x14ac:dyDescent="0.35">
      <c r="H13284" s="711"/>
      <c r="I13284" s="711"/>
      <c r="J13284" s="711"/>
      <c r="K13284" s="711"/>
      <c r="L13284" s="711"/>
      <c r="Q13284" s="11"/>
      <c r="R13284" s="11"/>
      <c r="S13284" s="11"/>
      <c r="T13284" s="11"/>
    </row>
    <row r="13285" spans="8:20" x14ac:dyDescent="0.35">
      <c r="H13285" s="711"/>
      <c r="I13285" s="711"/>
      <c r="J13285" s="711"/>
      <c r="K13285" s="711"/>
      <c r="L13285" s="711"/>
      <c r="Q13285" s="11"/>
      <c r="R13285" s="11"/>
      <c r="S13285" s="11"/>
      <c r="T13285" s="11"/>
    </row>
    <row r="13286" spans="8:20" x14ac:dyDescent="0.35">
      <c r="H13286" s="711"/>
      <c r="I13286" s="711"/>
      <c r="J13286" s="711"/>
      <c r="K13286" s="711"/>
      <c r="L13286" s="711"/>
      <c r="Q13286" s="11"/>
      <c r="R13286" s="11"/>
      <c r="S13286" s="11"/>
      <c r="T13286" s="11"/>
    </row>
    <row r="13287" spans="8:20" x14ac:dyDescent="0.35">
      <c r="H13287" s="711"/>
      <c r="I13287" s="711"/>
      <c r="J13287" s="711"/>
      <c r="K13287" s="711"/>
      <c r="L13287" s="711"/>
      <c r="Q13287" s="11"/>
      <c r="R13287" s="11"/>
      <c r="S13287" s="11"/>
      <c r="T13287" s="11"/>
    </row>
    <row r="13288" spans="8:20" x14ac:dyDescent="0.35">
      <c r="H13288" s="711"/>
      <c r="I13288" s="711"/>
      <c r="J13288" s="711"/>
      <c r="K13288" s="711"/>
      <c r="L13288" s="711"/>
      <c r="Q13288" s="11"/>
      <c r="R13288" s="11"/>
      <c r="S13288" s="11"/>
      <c r="T13288" s="11"/>
    </row>
    <row r="13289" spans="8:20" x14ac:dyDescent="0.35">
      <c r="H13289" s="711"/>
      <c r="I13289" s="711"/>
      <c r="J13289" s="711"/>
      <c r="K13289" s="711"/>
      <c r="L13289" s="711"/>
      <c r="Q13289" s="11"/>
      <c r="R13289" s="11"/>
      <c r="S13289" s="11"/>
      <c r="T13289" s="11"/>
    </row>
    <row r="13290" spans="8:20" x14ac:dyDescent="0.35">
      <c r="H13290" s="711"/>
      <c r="I13290" s="711"/>
      <c r="J13290" s="711"/>
      <c r="K13290" s="711"/>
      <c r="L13290" s="711"/>
      <c r="Q13290" s="11"/>
      <c r="R13290" s="11"/>
      <c r="S13290" s="11"/>
      <c r="T13290" s="11"/>
    </row>
    <row r="13291" spans="8:20" x14ac:dyDescent="0.35">
      <c r="H13291" s="711"/>
      <c r="I13291" s="711"/>
      <c r="J13291" s="711"/>
      <c r="K13291" s="711"/>
      <c r="L13291" s="711"/>
      <c r="Q13291" s="11"/>
      <c r="R13291" s="11"/>
      <c r="S13291" s="11"/>
      <c r="T13291" s="11"/>
    </row>
    <row r="13292" spans="8:20" x14ac:dyDescent="0.35">
      <c r="H13292" s="711"/>
      <c r="I13292" s="711"/>
      <c r="J13292" s="711"/>
      <c r="K13292" s="711"/>
      <c r="L13292" s="711"/>
      <c r="Q13292" s="11"/>
      <c r="R13292" s="11"/>
      <c r="S13292" s="11"/>
      <c r="T13292" s="11"/>
    </row>
    <row r="13293" spans="8:20" x14ac:dyDescent="0.35">
      <c r="H13293" s="711"/>
      <c r="I13293" s="711"/>
      <c r="J13293" s="711"/>
      <c r="K13293" s="711"/>
      <c r="L13293" s="711"/>
      <c r="Q13293" s="11"/>
      <c r="R13293" s="11"/>
      <c r="S13293" s="11"/>
      <c r="T13293" s="11"/>
    </row>
    <row r="13294" spans="8:20" x14ac:dyDescent="0.35">
      <c r="H13294" s="711"/>
      <c r="I13294" s="711"/>
      <c r="J13294" s="711"/>
      <c r="K13294" s="711"/>
      <c r="L13294" s="711"/>
      <c r="Q13294" s="11"/>
      <c r="R13294" s="11"/>
      <c r="S13294" s="11"/>
      <c r="T13294" s="11"/>
    </row>
    <row r="13295" spans="8:20" x14ac:dyDescent="0.35">
      <c r="H13295" s="711"/>
      <c r="I13295" s="711"/>
      <c r="J13295" s="711"/>
      <c r="K13295" s="711"/>
      <c r="L13295" s="711"/>
      <c r="Q13295" s="11"/>
      <c r="R13295" s="11"/>
      <c r="S13295" s="11"/>
      <c r="T13295" s="11"/>
    </row>
    <row r="13296" spans="8:20" x14ac:dyDescent="0.35">
      <c r="H13296" s="711"/>
      <c r="I13296" s="711"/>
      <c r="J13296" s="711"/>
      <c r="K13296" s="711"/>
      <c r="L13296" s="711"/>
      <c r="Q13296" s="11"/>
      <c r="R13296" s="11"/>
      <c r="S13296" s="11"/>
      <c r="T13296" s="11"/>
    </row>
    <row r="13297" spans="8:20" x14ac:dyDescent="0.35">
      <c r="H13297" s="711"/>
      <c r="I13297" s="711"/>
      <c r="J13297" s="711"/>
      <c r="K13297" s="711"/>
      <c r="L13297" s="711"/>
      <c r="Q13297" s="11"/>
      <c r="R13297" s="11"/>
      <c r="S13297" s="11"/>
      <c r="T13297" s="11"/>
    </row>
    <row r="13298" spans="8:20" x14ac:dyDescent="0.35">
      <c r="H13298" s="711"/>
      <c r="I13298" s="711"/>
      <c r="J13298" s="711"/>
      <c r="K13298" s="711"/>
      <c r="L13298" s="711"/>
      <c r="Q13298" s="11"/>
      <c r="R13298" s="11"/>
      <c r="S13298" s="11"/>
      <c r="T13298" s="11"/>
    </row>
    <row r="13299" spans="8:20" x14ac:dyDescent="0.35">
      <c r="H13299" s="711"/>
      <c r="I13299" s="711"/>
      <c r="J13299" s="711"/>
      <c r="K13299" s="711"/>
      <c r="L13299" s="711"/>
      <c r="Q13299" s="11"/>
      <c r="R13299" s="11"/>
      <c r="S13299" s="11"/>
      <c r="T13299" s="11"/>
    </row>
    <row r="13300" spans="8:20" x14ac:dyDescent="0.35">
      <c r="H13300" s="711"/>
      <c r="I13300" s="711"/>
      <c r="J13300" s="711"/>
      <c r="K13300" s="711"/>
      <c r="L13300" s="711"/>
      <c r="Q13300" s="11"/>
      <c r="R13300" s="11"/>
      <c r="S13300" s="11"/>
      <c r="T13300" s="11"/>
    </row>
    <row r="13301" spans="8:20" x14ac:dyDescent="0.35">
      <c r="H13301" s="711"/>
      <c r="I13301" s="711"/>
      <c r="J13301" s="711"/>
      <c r="K13301" s="711"/>
      <c r="L13301" s="711"/>
      <c r="Q13301" s="11"/>
      <c r="R13301" s="11"/>
      <c r="S13301" s="11"/>
      <c r="T13301" s="11"/>
    </row>
    <row r="13302" spans="8:20" x14ac:dyDescent="0.35">
      <c r="H13302" s="711"/>
      <c r="I13302" s="711"/>
      <c r="J13302" s="711"/>
      <c r="K13302" s="711"/>
      <c r="L13302" s="711"/>
      <c r="Q13302" s="11"/>
      <c r="R13302" s="11"/>
      <c r="S13302" s="11"/>
      <c r="T13302" s="11"/>
    </row>
    <row r="13303" spans="8:20" x14ac:dyDescent="0.35">
      <c r="H13303" s="711"/>
      <c r="I13303" s="711"/>
      <c r="J13303" s="711"/>
      <c r="K13303" s="711"/>
      <c r="L13303" s="711"/>
      <c r="Q13303" s="11"/>
      <c r="R13303" s="11"/>
      <c r="S13303" s="11"/>
      <c r="T13303" s="11"/>
    </row>
    <row r="13304" spans="8:20" x14ac:dyDescent="0.35">
      <c r="H13304" s="711"/>
      <c r="I13304" s="711"/>
      <c r="J13304" s="711"/>
      <c r="K13304" s="711"/>
      <c r="L13304" s="711"/>
      <c r="Q13304" s="11"/>
      <c r="R13304" s="11"/>
      <c r="S13304" s="11"/>
      <c r="T13304" s="11"/>
    </row>
    <row r="13305" spans="8:20" x14ac:dyDescent="0.35">
      <c r="H13305" s="711"/>
      <c r="I13305" s="711"/>
      <c r="J13305" s="711"/>
      <c r="K13305" s="711"/>
      <c r="L13305" s="711"/>
      <c r="Q13305" s="11"/>
      <c r="R13305" s="11"/>
      <c r="S13305" s="11"/>
      <c r="T13305" s="11"/>
    </row>
    <row r="13306" spans="8:20" x14ac:dyDescent="0.35">
      <c r="H13306" s="711"/>
      <c r="I13306" s="711"/>
      <c r="J13306" s="711"/>
      <c r="K13306" s="711"/>
      <c r="L13306" s="711"/>
      <c r="Q13306" s="11"/>
      <c r="R13306" s="11"/>
      <c r="S13306" s="11"/>
      <c r="T13306" s="11"/>
    </row>
    <row r="13307" spans="8:20" x14ac:dyDescent="0.35">
      <c r="H13307" s="711"/>
      <c r="I13307" s="711"/>
      <c r="J13307" s="711"/>
      <c r="K13307" s="711"/>
      <c r="L13307" s="711"/>
      <c r="Q13307" s="11"/>
      <c r="R13307" s="11"/>
      <c r="S13307" s="11"/>
      <c r="T13307" s="11"/>
    </row>
    <row r="13308" spans="8:20" x14ac:dyDescent="0.35">
      <c r="H13308" s="711"/>
      <c r="I13308" s="711"/>
      <c r="J13308" s="711"/>
      <c r="K13308" s="711"/>
      <c r="L13308" s="711"/>
      <c r="Q13308" s="11"/>
      <c r="R13308" s="11"/>
      <c r="S13308" s="11"/>
      <c r="T13308" s="11"/>
    </row>
    <row r="13309" spans="8:20" x14ac:dyDescent="0.35">
      <c r="H13309" s="711"/>
      <c r="I13309" s="711"/>
      <c r="J13309" s="711"/>
      <c r="K13309" s="711"/>
      <c r="L13309" s="711"/>
      <c r="Q13309" s="11"/>
      <c r="R13309" s="11"/>
      <c r="S13309" s="11"/>
      <c r="T13309" s="11"/>
    </row>
    <row r="13310" spans="8:20" x14ac:dyDescent="0.35">
      <c r="H13310" s="711"/>
      <c r="I13310" s="711"/>
      <c r="J13310" s="711"/>
      <c r="K13310" s="711"/>
      <c r="L13310" s="711"/>
      <c r="Q13310" s="11"/>
      <c r="R13310" s="11"/>
      <c r="S13310" s="11"/>
      <c r="T13310" s="11"/>
    </row>
    <row r="13311" spans="8:20" x14ac:dyDescent="0.35">
      <c r="H13311" s="711"/>
      <c r="I13311" s="711"/>
      <c r="J13311" s="711"/>
      <c r="K13311" s="711"/>
      <c r="L13311" s="711"/>
      <c r="Q13311" s="11"/>
      <c r="R13311" s="11"/>
      <c r="S13311" s="11"/>
      <c r="T13311" s="11"/>
    </row>
    <row r="13312" spans="8:20" x14ac:dyDescent="0.35">
      <c r="H13312" s="711"/>
      <c r="I13312" s="711"/>
      <c r="J13312" s="711"/>
      <c r="K13312" s="711"/>
      <c r="L13312" s="711"/>
      <c r="Q13312" s="11"/>
      <c r="R13312" s="11"/>
      <c r="S13312" s="11"/>
      <c r="T13312" s="11"/>
    </row>
    <row r="13313" spans="8:20" x14ac:dyDescent="0.35">
      <c r="H13313" s="711"/>
      <c r="I13313" s="711"/>
      <c r="J13313" s="711"/>
      <c r="K13313" s="711"/>
      <c r="L13313" s="711"/>
      <c r="Q13313" s="11"/>
      <c r="R13313" s="11"/>
      <c r="S13313" s="11"/>
      <c r="T13313" s="11"/>
    </row>
    <row r="13314" spans="8:20" x14ac:dyDescent="0.35">
      <c r="H13314" s="711"/>
      <c r="I13314" s="711"/>
      <c r="J13314" s="711"/>
      <c r="K13314" s="711"/>
      <c r="L13314" s="711"/>
      <c r="Q13314" s="11"/>
      <c r="R13314" s="11"/>
      <c r="S13314" s="11"/>
      <c r="T13314" s="11"/>
    </row>
    <row r="13315" spans="8:20" x14ac:dyDescent="0.35">
      <c r="H13315" s="711"/>
      <c r="I13315" s="711"/>
      <c r="J13315" s="711"/>
      <c r="K13315" s="711"/>
      <c r="L13315" s="711"/>
      <c r="Q13315" s="11"/>
      <c r="R13315" s="11"/>
      <c r="S13315" s="11"/>
      <c r="T13315" s="11"/>
    </row>
    <row r="13316" spans="8:20" x14ac:dyDescent="0.35">
      <c r="H13316" s="711"/>
      <c r="I13316" s="711"/>
      <c r="J13316" s="711"/>
      <c r="K13316" s="711"/>
      <c r="L13316" s="711"/>
      <c r="Q13316" s="11"/>
      <c r="R13316" s="11"/>
      <c r="S13316" s="11"/>
      <c r="T13316" s="11"/>
    </row>
    <row r="13317" spans="8:20" x14ac:dyDescent="0.35">
      <c r="H13317" s="711"/>
      <c r="I13317" s="711"/>
      <c r="J13317" s="711"/>
      <c r="K13317" s="711"/>
      <c r="L13317" s="711"/>
      <c r="Q13317" s="11"/>
      <c r="R13317" s="11"/>
      <c r="S13317" s="11"/>
      <c r="T13317" s="11"/>
    </row>
    <row r="13318" spans="8:20" x14ac:dyDescent="0.35">
      <c r="H13318" s="711"/>
      <c r="I13318" s="711"/>
      <c r="J13318" s="711"/>
      <c r="K13318" s="711"/>
      <c r="L13318" s="711"/>
      <c r="Q13318" s="11"/>
      <c r="R13318" s="11"/>
      <c r="S13318" s="11"/>
      <c r="T13318" s="11"/>
    </row>
    <row r="13319" spans="8:20" x14ac:dyDescent="0.35">
      <c r="H13319" s="711"/>
      <c r="I13319" s="711"/>
      <c r="J13319" s="711"/>
      <c r="K13319" s="711"/>
      <c r="L13319" s="711"/>
      <c r="Q13319" s="11"/>
      <c r="R13319" s="11"/>
      <c r="S13319" s="11"/>
      <c r="T13319" s="11"/>
    </row>
    <row r="13320" spans="8:20" x14ac:dyDescent="0.35">
      <c r="H13320" s="711"/>
      <c r="I13320" s="711"/>
      <c r="J13320" s="711"/>
      <c r="K13320" s="711"/>
      <c r="L13320" s="711"/>
      <c r="Q13320" s="11"/>
      <c r="R13320" s="11"/>
      <c r="S13320" s="11"/>
      <c r="T13320" s="11"/>
    </row>
    <row r="13321" spans="8:20" x14ac:dyDescent="0.35">
      <c r="H13321" s="711"/>
      <c r="I13321" s="711"/>
      <c r="J13321" s="711"/>
      <c r="K13321" s="711"/>
      <c r="L13321" s="711"/>
      <c r="Q13321" s="11"/>
      <c r="R13321" s="11"/>
      <c r="S13321" s="11"/>
      <c r="T13321" s="11"/>
    </row>
    <row r="13322" spans="8:20" x14ac:dyDescent="0.35">
      <c r="H13322" s="711"/>
      <c r="I13322" s="711"/>
      <c r="J13322" s="711"/>
      <c r="K13322" s="711"/>
      <c r="L13322" s="711"/>
      <c r="Q13322" s="11"/>
      <c r="R13322" s="11"/>
      <c r="S13322" s="11"/>
      <c r="T13322" s="11"/>
    </row>
    <row r="13323" spans="8:20" x14ac:dyDescent="0.35">
      <c r="H13323" s="711"/>
      <c r="I13323" s="711"/>
      <c r="J13323" s="711"/>
      <c r="K13323" s="711"/>
      <c r="L13323" s="711"/>
      <c r="Q13323" s="11"/>
      <c r="R13323" s="11"/>
      <c r="S13323" s="11"/>
      <c r="T13323" s="11"/>
    </row>
    <row r="13324" spans="8:20" x14ac:dyDescent="0.35">
      <c r="H13324" s="711"/>
      <c r="I13324" s="711"/>
      <c r="J13324" s="711"/>
      <c r="K13324" s="711"/>
      <c r="L13324" s="711"/>
      <c r="Q13324" s="11"/>
      <c r="R13324" s="11"/>
      <c r="S13324" s="11"/>
      <c r="T13324" s="11"/>
    </row>
    <row r="13325" spans="8:20" x14ac:dyDescent="0.35">
      <c r="H13325" s="711"/>
      <c r="I13325" s="711"/>
      <c r="J13325" s="711"/>
      <c r="K13325" s="711"/>
      <c r="L13325" s="711"/>
      <c r="Q13325" s="11"/>
      <c r="R13325" s="11"/>
      <c r="S13325" s="11"/>
      <c r="T13325" s="11"/>
    </row>
    <row r="13326" spans="8:20" x14ac:dyDescent="0.35">
      <c r="H13326" s="711"/>
      <c r="I13326" s="711"/>
      <c r="J13326" s="711"/>
      <c r="K13326" s="711"/>
      <c r="L13326" s="711"/>
      <c r="Q13326" s="11"/>
      <c r="R13326" s="11"/>
      <c r="S13326" s="11"/>
      <c r="T13326" s="11"/>
    </row>
    <row r="13327" spans="8:20" x14ac:dyDescent="0.35">
      <c r="H13327" s="711"/>
      <c r="I13327" s="711"/>
      <c r="J13327" s="711"/>
      <c r="K13327" s="711"/>
      <c r="L13327" s="711"/>
      <c r="Q13327" s="11"/>
      <c r="R13327" s="11"/>
      <c r="S13327" s="11"/>
      <c r="T13327" s="11"/>
    </row>
    <row r="13328" spans="8:20" x14ac:dyDescent="0.35">
      <c r="H13328" s="711"/>
      <c r="I13328" s="711"/>
      <c r="J13328" s="711"/>
      <c r="K13328" s="711"/>
      <c r="L13328" s="711"/>
      <c r="Q13328" s="11"/>
      <c r="R13328" s="11"/>
      <c r="S13328" s="11"/>
      <c r="T13328" s="11"/>
    </row>
    <row r="13329" spans="8:20" x14ac:dyDescent="0.35">
      <c r="H13329" s="711"/>
      <c r="I13329" s="711"/>
      <c r="J13329" s="711"/>
      <c r="K13329" s="711"/>
      <c r="L13329" s="711"/>
      <c r="Q13329" s="11"/>
      <c r="R13329" s="11"/>
      <c r="S13329" s="11"/>
      <c r="T13329" s="11"/>
    </row>
    <row r="13330" spans="8:20" x14ac:dyDescent="0.35">
      <c r="H13330" s="711"/>
      <c r="I13330" s="711"/>
      <c r="J13330" s="711"/>
      <c r="K13330" s="711"/>
      <c r="L13330" s="711"/>
      <c r="Q13330" s="11"/>
      <c r="R13330" s="11"/>
      <c r="S13330" s="11"/>
      <c r="T13330" s="11"/>
    </row>
    <row r="13331" spans="8:20" x14ac:dyDescent="0.35">
      <c r="H13331" s="711"/>
      <c r="I13331" s="711"/>
      <c r="J13331" s="711"/>
      <c r="K13331" s="711"/>
      <c r="L13331" s="711"/>
      <c r="Q13331" s="11"/>
      <c r="R13331" s="11"/>
      <c r="S13331" s="11"/>
      <c r="T13331" s="11"/>
    </row>
    <row r="13332" spans="8:20" x14ac:dyDescent="0.35">
      <c r="H13332" s="711"/>
      <c r="I13332" s="711"/>
      <c r="J13332" s="711"/>
      <c r="K13332" s="711"/>
      <c r="L13332" s="711"/>
      <c r="Q13332" s="11"/>
      <c r="R13332" s="11"/>
      <c r="S13332" s="11"/>
      <c r="T13332" s="11"/>
    </row>
    <row r="13333" spans="8:20" x14ac:dyDescent="0.35">
      <c r="H13333" s="711"/>
      <c r="I13333" s="711"/>
      <c r="J13333" s="711"/>
      <c r="K13333" s="711"/>
      <c r="L13333" s="711"/>
      <c r="Q13333" s="11"/>
      <c r="R13333" s="11"/>
      <c r="S13333" s="11"/>
      <c r="T13333" s="11"/>
    </row>
    <row r="13334" spans="8:20" x14ac:dyDescent="0.35">
      <c r="H13334" s="711"/>
      <c r="I13334" s="711"/>
      <c r="J13334" s="711"/>
      <c r="K13334" s="711"/>
      <c r="L13334" s="711"/>
      <c r="Q13334" s="11"/>
      <c r="R13334" s="11"/>
      <c r="S13334" s="11"/>
      <c r="T13334" s="11"/>
    </row>
    <row r="13335" spans="8:20" x14ac:dyDescent="0.35">
      <c r="H13335" s="711"/>
      <c r="I13335" s="711"/>
      <c r="J13335" s="711"/>
      <c r="K13335" s="711"/>
      <c r="L13335" s="711"/>
      <c r="Q13335" s="11"/>
      <c r="R13335" s="11"/>
      <c r="S13335" s="11"/>
      <c r="T13335" s="11"/>
    </row>
    <row r="13336" spans="8:20" x14ac:dyDescent="0.35">
      <c r="H13336" s="711"/>
      <c r="I13336" s="711"/>
      <c r="J13336" s="711"/>
      <c r="K13336" s="711"/>
      <c r="L13336" s="711"/>
      <c r="Q13336" s="11"/>
      <c r="R13336" s="11"/>
      <c r="S13336" s="11"/>
      <c r="T13336" s="11"/>
    </row>
    <row r="13337" spans="8:20" x14ac:dyDescent="0.35">
      <c r="H13337" s="711"/>
      <c r="I13337" s="711"/>
      <c r="J13337" s="711"/>
      <c r="K13337" s="711"/>
      <c r="L13337" s="711"/>
      <c r="Q13337" s="11"/>
      <c r="R13337" s="11"/>
      <c r="S13337" s="11"/>
      <c r="T13337" s="11"/>
    </row>
    <row r="13338" spans="8:20" x14ac:dyDescent="0.35">
      <c r="H13338" s="711"/>
      <c r="I13338" s="711"/>
      <c r="J13338" s="711"/>
      <c r="K13338" s="711"/>
      <c r="L13338" s="711"/>
      <c r="Q13338" s="11"/>
      <c r="R13338" s="11"/>
      <c r="S13338" s="11"/>
      <c r="T13338" s="11"/>
    </row>
    <row r="13339" spans="8:20" x14ac:dyDescent="0.35">
      <c r="H13339" s="711"/>
      <c r="I13339" s="711"/>
      <c r="J13339" s="711"/>
      <c r="K13339" s="711"/>
      <c r="L13339" s="711"/>
      <c r="Q13339" s="11"/>
      <c r="R13339" s="11"/>
      <c r="S13339" s="11"/>
      <c r="T13339" s="11"/>
    </row>
    <row r="13340" spans="8:20" x14ac:dyDescent="0.35">
      <c r="H13340" s="711"/>
      <c r="I13340" s="711"/>
      <c r="J13340" s="711"/>
      <c r="K13340" s="711"/>
      <c r="L13340" s="711"/>
      <c r="Q13340" s="11"/>
      <c r="R13340" s="11"/>
      <c r="S13340" s="11"/>
      <c r="T13340" s="11"/>
    </row>
    <row r="13341" spans="8:20" x14ac:dyDescent="0.35">
      <c r="H13341" s="711"/>
      <c r="I13341" s="711"/>
      <c r="J13341" s="711"/>
      <c r="K13341" s="711"/>
      <c r="L13341" s="711"/>
      <c r="Q13341" s="11"/>
      <c r="R13341" s="11"/>
      <c r="S13341" s="11"/>
      <c r="T13341" s="11"/>
    </row>
    <row r="13342" spans="8:20" x14ac:dyDescent="0.35">
      <c r="H13342" s="711"/>
      <c r="I13342" s="711"/>
      <c r="J13342" s="711"/>
      <c r="K13342" s="711"/>
      <c r="L13342" s="711"/>
      <c r="Q13342" s="11"/>
      <c r="R13342" s="11"/>
      <c r="S13342" s="11"/>
      <c r="T13342" s="11"/>
    </row>
    <row r="13343" spans="8:20" x14ac:dyDescent="0.35">
      <c r="H13343" s="711"/>
      <c r="I13343" s="711"/>
      <c r="J13343" s="711"/>
      <c r="K13343" s="711"/>
      <c r="L13343" s="711"/>
      <c r="Q13343" s="11"/>
      <c r="R13343" s="11"/>
      <c r="S13343" s="11"/>
      <c r="T13343" s="11"/>
    </row>
    <row r="13344" spans="8:20" x14ac:dyDescent="0.35">
      <c r="H13344" s="711"/>
      <c r="I13344" s="711"/>
      <c r="J13344" s="711"/>
      <c r="K13344" s="711"/>
      <c r="L13344" s="711"/>
      <c r="Q13344" s="11"/>
      <c r="R13344" s="11"/>
      <c r="S13344" s="11"/>
      <c r="T13344" s="11"/>
    </row>
    <row r="13345" spans="8:20" x14ac:dyDescent="0.35">
      <c r="H13345" s="711"/>
      <c r="I13345" s="711"/>
      <c r="J13345" s="711"/>
      <c r="K13345" s="711"/>
      <c r="L13345" s="711"/>
      <c r="Q13345" s="11"/>
      <c r="R13345" s="11"/>
      <c r="S13345" s="11"/>
      <c r="T13345" s="11"/>
    </row>
    <row r="13346" spans="8:20" x14ac:dyDescent="0.35">
      <c r="H13346" s="711"/>
      <c r="I13346" s="711"/>
      <c r="J13346" s="711"/>
      <c r="K13346" s="711"/>
      <c r="L13346" s="711"/>
      <c r="Q13346" s="11"/>
      <c r="R13346" s="11"/>
      <c r="S13346" s="11"/>
      <c r="T13346" s="11"/>
    </row>
    <row r="13347" spans="8:20" x14ac:dyDescent="0.35">
      <c r="H13347" s="711"/>
      <c r="I13347" s="711"/>
      <c r="J13347" s="711"/>
      <c r="K13347" s="711"/>
      <c r="L13347" s="711"/>
      <c r="Q13347" s="11"/>
      <c r="R13347" s="11"/>
      <c r="S13347" s="11"/>
      <c r="T13347" s="11"/>
    </row>
    <row r="13348" spans="8:20" x14ac:dyDescent="0.35">
      <c r="H13348" s="711"/>
      <c r="I13348" s="711"/>
      <c r="J13348" s="711"/>
      <c r="K13348" s="711"/>
      <c r="L13348" s="711"/>
      <c r="Q13348" s="11"/>
      <c r="R13348" s="11"/>
      <c r="S13348" s="11"/>
      <c r="T13348" s="11"/>
    </row>
    <row r="13349" spans="8:20" x14ac:dyDescent="0.35">
      <c r="H13349" s="711"/>
      <c r="I13349" s="711"/>
      <c r="J13349" s="711"/>
      <c r="K13349" s="711"/>
      <c r="L13349" s="711"/>
      <c r="Q13349" s="11"/>
      <c r="R13349" s="11"/>
      <c r="S13349" s="11"/>
      <c r="T13349" s="11"/>
    </row>
    <row r="13350" spans="8:20" x14ac:dyDescent="0.35">
      <c r="H13350" s="711"/>
      <c r="I13350" s="711"/>
      <c r="J13350" s="711"/>
      <c r="K13350" s="711"/>
      <c r="L13350" s="711"/>
      <c r="Q13350" s="11"/>
      <c r="R13350" s="11"/>
      <c r="S13350" s="11"/>
      <c r="T13350" s="11"/>
    </row>
    <row r="13351" spans="8:20" x14ac:dyDescent="0.35">
      <c r="H13351" s="711"/>
      <c r="I13351" s="711"/>
      <c r="J13351" s="711"/>
      <c r="K13351" s="711"/>
      <c r="L13351" s="711"/>
      <c r="Q13351" s="11"/>
      <c r="R13351" s="11"/>
      <c r="S13351" s="11"/>
      <c r="T13351" s="11"/>
    </row>
    <row r="13352" spans="8:20" x14ac:dyDescent="0.35">
      <c r="H13352" s="711"/>
      <c r="I13352" s="711"/>
      <c r="J13352" s="711"/>
      <c r="K13352" s="711"/>
      <c r="L13352" s="711"/>
      <c r="Q13352" s="11"/>
      <c r="R13352" s="11"/>
      <c r="S13352" s="11"/>
      <c r="T13352" s="11"/>
    </row>
    <row r="13353" spans="8:20" x14ac:dyDescent="0.35">
      <c r="H13353" s="711"/>
      <c r="I13353" s="711"/>
      <c r="J13353" s="711"/>
      <c r="K13353" s="711"/>
      <c r="L13353" s="711"/>
      <c r="Q13353" s="11"/>
      <c r="R13353" s="11"/>
      <c r="S13353" s="11"/>
      <c r="T13353" s="11"/>
    </row>
    <row r="13354" spans="8:20" x14ac:dyDescent="0.35">
      <c r="H13354" s="711"/>
      <c r="I13354" s="711"/>
      <c r="J13354" s="711"/>
      <c r="K13354" s="711"/>
      <c r="L13354" s="711"/>
      <c r="Q13354" s="11"/>
      <c r="R13354" s="11"/>
      <c r="S13354" s="11"/>
      <c r="T13354" s="11"/>
    </row>
    <row r="13355" spans="8:20" x14ac:dyDescent="0.35">
      <c r="H13355" s="711"/>
      <c r="I13355" s="711"/>
      <c r="J13355" s="711"/>
      <c r="K13355" s="711"/>
      <c r="L13355" s="711"/>
      <c r="Q13355" s="11"/>
      <c r="R13355" s="11"/>
      <c r="S13355" s="11"/>
      <c r="T13355" s="11"/>
    </row>
    <row r="13356" spans="8:20" x14ac:dyDescent="0.35">
      <c r="H13356" s="711"/>
      <c r="I13356" s="711"/>
      <c r="J13356" s="711"/>
      <c r="K13356" s="711"/>
      <c r="L13356" s="711"/>
      <c r="Q13356" s="11"/>
      <c r="R13356" s="11"/>
      <c r="S13356" s="11"/>
      <c r="T13356" s="11"/>
    </row>
    <row r="13357" spans="8:20" x14ac:dyDescent="0.35">
      <c r="H13357" s="711"/>
      <c r="I13357" s="711"/>
      <c r="J13357" s="711"/>
      <c r="K13357" s="711"/>
      <c r="L13357" s="711"/>
      <c r="Q13357" s="11"/>
      <c r="R13357" s="11"/>
      <c r="S13357" s="11"/>
      <c r="T13357" s="11"/>
    </row>
    <row r="13358" spans="8:20" x14ac:dyDescent="0.35">
      <c r="H13358" s="711"/>
      <c r="I13358" s="711"/>
      <c r="J13358" s="711"/>
      <c r="K13358" s="711"/>
      <c r="L13358" s="711"/>
      <c r="Q13358" s="11"/>
      <c r="R13358" s="11"/>
      <c r="S13358" s="11"/>
      <c r="T13358" s="11"/>
    </row>
    <row r="13359" spans="8:20" x14ac:dyDescent="0.35">
      <c r="H13359" s="711"/>
      <c r="I13359" s="711"/>
      <c r="J13359" s="711"/>
      <c r="K13359" s="711"/>
      <c r="L13359" s="711"/>
      <c r="Q13359" s="11"/>
      <c r="R13359" s="11"/>
      <c r="S13359" s="11"/>
      <c r="T13359" s="11"/>
    </row>
    <row r="13360" spans="8:20" x14ac:dyDescent="0.35">
      <c r="H13360" s="711"/>
      <c r="I13360" s="711"/>
      <c r="J13360" s="711"/>
      <c r="K13360" s="711"/>
      <c r="L13360" s="711"/>
      <c r="Q13360" s="11"/>
      <c r="R13360" s="11"/>
      <c r="S13360" s="11"/>
      <c r="T13360" s="11"/>
    </row>
    <row r="13361" spans="8:20" x14ac:dyDescent="0.35">
      <c r="H13361" s="711"/>
      <c r="I13361" s="711"/>
      <c r="J13361" s="711"/>
      <c r="K13361" s="711"/>
      <c r="L13361" s="711"/>
      <c r="Q13361" s="11"/>
      <c r="R13361" s="11"/>
      <c r="S13361" s="11"/>
      <c r="T13361" s="11"/>
    </row>
    <row r="13362" spans="8:20" x14ac:dyDescent="0.35">
      <c r="H13362" s="711"/>
      <c r="I13362" s="711"/>
      <c r="J13362" s="711"/>
      <c r="K13362" s="711"/>
      <c r="L13362" s="711"/>
      <c r="Q13362" s="11"/>
      <c r="R13362" s="11"/>
      <c r="S13362" s="11"/>
      <c r="T13362" s="11"/>
    </row>
    <row r="13363" spans="8:20" x14ac:dyDescent="0.35">
      <c r="H13363" s="711"/>
      <c r="I13363" s="711"/>
      <c r="J13363" s="711"/>
      <c r="K13363" s="711"/>
      <c r="L13363" s="711"/>
      <c r="Q13363" s="11"/>
      <c r="R13363" s="11"/>
      <c r="S13363" s="11"/>
      <c r="T13363" s="11"/>
    </row>
    <row r="13364" spans="8:20" x14ac:dyDescent="0.35">
      <c r="H13364" s="711"/>
      <c r="I13364" s="711"/>
      <c r="J13364" s="711"/>
      <c r="K13364" s="711"/>
      <c r="L13364" s="711"/>
      <c r="Q13364" s="11"/>
      <c r="R13364" s="11"/>
      <c r="S13364" s="11"/>
      <c r="T13364" s="11"/>
    </row>
    <row r="13365" spans="8:20" x14ac:dyDescent="0.35">
      <c r="H13365" s="711"/>
      <c r="I13365" s="711"/>
      <c r="J13365" s="711"/>
      <c r="K13365" s="711"/>
      <c r="L13365" s="711"/>
      <c r="Q13365" s="11"/>
      <c r="R13365" s="11"/>
      <c r="S13365" s="11"/>
      <c r="T13365" s="11"/>
    </row>
    <row r="13366" spans="8:20" x14ac:dyDescent="0.35">
      <c r="H13366" s="711"/>
      <c r="I13366" s="711"/>
      <c r="J13366" s="711"/>
      <c r="K13366" s="711"/>
      <c r="L13366" s="711"/>
      <c r="Q13366" s="11"/>
      <c r="R13366" s="11"/>
      <c r="S13366" s="11"/>
      <c r="T13366" s="11"/>
    </row>
    <row r="13367" spans="8:20" x14ac:dyDescent="0.35">
      <c r="H13367" s="711"/>
      <c r="I13367" s="711"/>
      <c r="J13367" s="711"/>
      <c r="K13367" s="711"/>
      <c r="L13367" s="711"/>
      <c r="Q13367" s="11"/>
      <c r="R13367" s="11"/>
      <c r="S13367" s="11"/>
      <c r="T13367" s="11"/>
    </row>
    <row r="13368" spans="8:20" x14ac:dyDescent="0.35">
      <c r="H13368" s="711"/>
      <c r="I13368" s="711"/>
      <c r="J13368" s="711"/>
      <c r="K13368" s="711"/>
      <c r="L13368" s="711"/>
      <c r="Q13368" s="11"/>
      <c r="R13368" s="11"/>
      <c r="S13368" s="11"/>
      <c r="T13368" s="11"/>
    </row>
    <row r="13369" spans="8:20" x14ac:dyDescent="0.35">
      <c r="H13369" s="711"/>
      <c r="I13369" s="711"/>
      <c r="J13369" s="711"/>
      <c r="K13369" s="711"/>
      <c r="L13369" s="711"/>
      <c r="Q13369" s="11"/>
      <c r="R13369" s="11"/>
      <c r="S13369" s="11"/>
      <c r="T13369" s="11"/>
    </row>
    <row r="13370" spans="8:20" x14ac:dyDescent="0.35">
      <c r="H13370" s="711"/>
      <c r="I13370" s="711"/>
      <c r="J13370" s="711"/>
      <c r="K13370" s="711"/>
      <c r="L13370" s="711"/>
      <c r="Q13370" s="11"/>
      <c r="R13370" s="11"/>
      <c r="S13370" s="11"/>
      <c r="T13370" s="11"/>
    </row>
    <row r="13371" spans="8:20" x14ac:dyDescent="0.35">
      <c r="H13371" s="711"/>
      <c r="I13371" s="711"/>
      <c r="J13371" s="711"/>
      <c r="K13371" s="711"/>
      <c r="L13371" s="711"/>
      <c r="Q13371" s="11"/>
      <c r="R13371" s="11"/>
      <c r="S13371" s="11"/>
      <c r="T13371" s="11"/>
    </row>
    <row r="13372" spans="8:20" x14ac:dyDescent="0.35">
      <c r="H13372" s="711"/>
      <c r="I13372" s="711"/>
      <c r="J13372" s="711"/>
      <c r="K13372" s="711"/>
      <c r="L13372" s="711"/>
      <c r="Q13372" s="11"/>
      <c r="R13372" s="11"/>
      <c r="S13372" s="11"/>
      <c r="T13372" s="11"/>
    </row>
    <row r="13373" spans="8:20" x14ac:dyDescent="0.35">
      <c r="H13373" s="711"/>
      <c r="I13373" s="711"/>
      <c r="J13373" s="711"/>
      <c r="K13373" s="711"/>
      <c r="L13373" s="711"/>
      <c r="Q13373" s="11"/>
      <c r="R13373" s="11"/>
      <c r="S13373" s="11"/>
      <c r="T13373" s="11"/>
    </row>
    <row r="13374" spans="8:20" x14ac:dyDescent="0.35">
      <c r="H13374" s="711"/>
      <c r="I13374" s="711"/>
      <c r="J13374" s="711"/>
      <c r="K13374" s="711"/>
      <c r="L13374" s="711"/>
      <c r="Q13374" s="11"/>
      <c r="R13374" s="11"/>
      <c r="S13374" s="11"/>
      <c r="T13374" s="11"/>
    </row>
    <row r="13375" spans="8:20" x14ac:dyDescent="0.35">
      <c r="H13375" s="711"/>
      <c r="I13375" s="711"/>
      <c r="J13375" s="711"/>
      <c r="K13375" s="711"/>
      <c r="L13375" s="711"/>
      <c r="Q13375" s="11"/>
      <c r="R13375" s="11"/>
      <c r="S13375" s="11"/>
      <c r="T13375" s="11"/>
    </row>
    <row r="13376" spans="8:20" x14ac:dyDescent="0.35">
      <c r="H13376" s="711"/>
      <c r="I13376" s="711"/>
      <c r="J13376" s="711"/>
      <c r="K13376" s="711"/>
      <c r="L13376" s="711"/>
      <c r="Q13376" s="11"/>
      <c r="R13376" s="11"/>
      <c r="S13376" s="11"/>
      <c r="T13376" s="11"/>
    </row>
    <row r="13377" spans="8:20" x14ac:dyDescent="0.35">
      <c r="H13377" s="711"/>
      <c r="I13377" s="711"/>
      <c r="J13377" s="711"/>
      <c r="K13377" s="711"/>
      <c r="L13377" s="711"/>
      <c r="Q13377" s="11"/>
      <c r="R13377" s="11"/>
      <c r="S13377" s="11"/>
      <c r="T13377" s="11"/>
    </row>
    <row r="13378" spans="8:20" x14ac:dyDescent="0.35">
      <c r="H13378" s="711"/>
      <c r="I13378" s="711"/>
      <c r="J13378" s="711"/>
      <c r="K13378" s="711"/>
      <c r="L13378" s="711"/>
      <c r="Q13378" s="11"/>
      <c r="R13378" s="11"/>
      <c r="S13378" s="11"/>
      <c r="T13378" s="11"/>
    </row>
    <row r="13379" spans="8:20" x14ac:dyDescent="0.35">
      <c r="H13379" s="711"/>
      <c r="I13379" s="711"/>
      <c r="J13379" s="711"/>
      <c r="K13379" s="711"/>
      <c r="L13379" s="711"/>
      <c r="Q13379" s="11"/>
      <c r="R13379" s="11"/>
      <c r="S13379" s="11"/>
      <c r="T13379" s="11"/>
    </row>
    <row r="13380" spans="8:20" x14ac:dyDescent="0.35">
      <c r="H13380" s="711"/>
      <c r="I13380" s="711"/>
      <c r="J13380" s="711"/>
      <c r="K13380" s="711"/>
      <c r="L13380" s="711"/>
      <c r="Q13380" s="11"/>
      <c r="R13380" s="11"/>
      <c r="S13380" s="11"/>
      <c r="T13380" s="11"/>
    </row>
    <row r="13381" spans="8:20" x14ac:dyDescent="0.35">
      <c r="H13381" s="711"/>
      <c r="I13381" s="711"/>
      <c r="J13381" s="711"/>
      <c r="K13381" s="711"/>
      <c r="L13381" s="711"/>
      <c r="Q13381" s="11"/>
      <c r="R13381" s="11"/>
      <c r="S13381" s="11"/>
      <c r="T13381" s="11"/>
    </row>
    <row r="13382" spans="8:20" x14ac:dyDescent="0.35">
      <c r="H13382" s="711"/>
      <c r="I13382" s="711"/>
      <c r="J13382" s="711"/>
      <c r="K13382" s="711"/>
      <c r="L13382" s="711"/>
      <c r="Q13382" s="11"/>
      <c r="R13382" s="11"/>
      <c r="S13382" s="11"/>
      <c r="T13382" s="11"/>
    </row>
    <row r="13383" spans="8:20" x14ac:dyDescent="0.35">
      <c r="H13383" s="711"/>
      <c r="I13383" s="711"/>
      <c r="J13383" s="711"/>
      <c r="K13383" s="711"/>
      <c r="L13383" s="711"/>
      <c r="Q13383" s="11"/>
      <c r="R13383" s="11"/>
      <c r="S13383" s="11"/>
      <c r="T13383" s="11"/>
    </row>
    <row r="13384" spans="8:20" x14ac:dyDescent="0.35">
      <c r="H13384" s="711"/>
      <c r="I13384" s="711"/>
      <c r="J13384" s="711"/>
      <c r="K13384" s="711"/>
      <c r="L13384" s="711"/>
      <c r="Q13384" s="11"/>
      <c r="R13384" s="11"/>
      <c r="S13384" s="11"/>
      <c r="T13384" s="11"/>
    </row>
    <row r="13385" spans="8:20" x14ac:dyDescent="0.35">
      <c r="H13385" s="711"/>
      <c r="I13385" s="711"/>
      <c r="J13385" s="711"/>
      <c r="K13385" s="711"/>
      <c r="L13385" s="711"/>
      <c r="Q13385" s="11"/>
      <c r="R13385" s="11"/>
      <c r="S13385" s="11"/>
      <c r="T13385" s="11"/>
    </row>
    <row r="13386" spans="8:20" x14ac:dyDescent="0.35">
      <c r="H13386" s="711"/>
      <c r="I13386" s="711"/>
      <c r="J13386" s="711"/>
      <c r="K13386" s="711"/>
      <c r="L13386" s="711"/>
      <c r="Q13386" s="11"/>
      <c r="R13386" s="11"/>
      <c r="S13386" s="11"/>
      <c r="T13386" s="11"/>
    </row>
    <row r="13387" spans="8:20" x14ac:dyDescent="0.35">
      <c r="H13387" s="711"/>
      <c r="I13387" s="711"/>
      <c r="J13387" s="711"/>
      <c r="K13387" s="711"/>
      <c r="L13387" s="711"/>
      <c r="Q13387" s="11"/>
      <c r="R13387" s="11"/>
      <c r="S13387" s="11"/>
      <c r="T13387" s="11"/>
    </row>
    <row r="13388" spans="8:20" x14ac:dyDescent="0.35">
      <c r="H13388" s="711"/>
      <c r="I13388" s="711"/>
      <c r="J13388" s="711"/>
      <c r="K13388" s="711"/>
      <c r="L13388" s="711"/>
      <c r="Q13388" s="11"/>
      <c r="R13388" s="11"/>
      <c r="S13388" s="11"/>
      <c r="T13388" s="11"/>
    </row>
    <row r="13389" spans="8:20" x14ac:dyDescent="0.35">
      <c r="H13389" s="711"/>
      <c r="I13389" s="711"/>
      <c r="J13389" s="711"/>
      <c r="K13389" s="711"/>
      <c r="L13389" s="711"/>
      <c r="Q13389" s="11"/>
      <c r="R13389" s="11"/>
      <c r="S13389" s="11"/>
      <c r="T13389" s="11"/>
    </row>
    <row r="13390" spans="8:20" x14ac:dyDescent="0.35">
      <c r="H13390" s="711"/>
      <c r="I13390" s="711"/>
      <c r="J13390" s="711"/>
      <c r="K13390" s="711"/>
      <c r="L13390" s="711"/>
      <c r="Q13390" s="11"/>
      <c r="R13390" s="11"/>
      <c r="S13390" s="11"/>
      <c r="T13390" s="11"/>
    </row>
    <row r="13391" spans="8:20" x14ac:dyDescent="0.35">
      <c r="H13391" s="711"/>
      <c r="I13391" s="711"/>
      <c r="J13391" s="711"/>
      <c r="K13391" s="711"/>
      <c r="L13391" s="711"/>
      <c r="Q13391" s="11"/>
      <c r="R13391" s="11"/>
      <c r="S13391" s="11"/>
      <c r="T13391" s="11"/>
    </row>
    <row r="13392" spans="8:20" x14ac:dyDescent="0.35">
      <c r="H13392" s="711"/>
      <c r="I13392" s="711"/>
      <c r="J13392" s="711"/>
      <c r="K13392" s="711"/>
      <c r="L13392" s="711"/>
      <c r="Q13392" s="11"/>
      <c r="R13392" s="11"/>
      <c r="S13392" s="11"/>
      <c r="T13392" s="11"/>
    </row>
    <row r="13393" spans="8:20" x14ac:dyDescent="0.35">
      <c r="H13393" s="711"/>
      <c r="I13393" s="711"/>
      <c r="J13393" s="711"/>
      <c r="K13393" s="711"/>
      <c r="L13393" s="711"/>
      <c r="Q13393" s="11"/>
      <c r="R13393" s="11"/>
      <c r="S13393" s="11"/>
      <c r="T13393" s="11"/>
    </row>
    <row r="13394" spans="8:20" x14ac:dyDescent="0.35">
      <c r="H13394" s="711"/>
      <c r="I13394" s="711"/>
      <c r="J13394" s="711"/>
      <c r="K13394" s="711"/>
      <c r="L13394" s="711"/>
      <c r="Q13394" s="11"/>
      <c r="R13394" s="11"/>
      <c r="S13394" s="11"/>
      <c r="T13394" s="11"/>
    </row>
    <row r="13395" spans="8:20" x14ac:dyDescent="0.35">
      <c r="H13395" s="711"/>
      <c r="I13395" s="711"/>
      <c r="J13395" s="711"/>
      <c r="K13395" s="711"/>
      <c r="L13395" s="711"/>
      <c r="Q13395" s="11"/>
      <c r="R13395" s="11"/>
      <c r="S13395" s="11"/>
      <c r="T13395" s="11"/>
    </row>
    <row r="13396" spans="8:20" x14ac:dyDescent="0.35">
      <c r="H13396" s="711"/>
      <c r="I13396" s="711"/>
      <c r="J13396" s="711"/>
      <c r="K13396" s="711"/>
      <c r="L13396" s="711"/>
      <c r="Q13396" s="11"/>
      <c r="R13396" s="11"/>
      <c r="S13396" s="11"/>
      <c r="T13396" s="11"/>
    </row>
    <row r="13397" spans="8:20" x14ac:dyDescent="0.35">
      <c r="H13397" s="711"/>
      <c r="I13397" s="711"/>
      <c r="J13397" s="711"/>
      <c r="K13397" s="711"/>
      <c r="L13397" s="711"/>
      <c r="Q13397" s="11"/>
      <c r="R13397" s="11"/>
      <c r="S13397" s="11"/>
      <c r="T13397" s="11"/>
    </row>
    <row r="13398" spans="8:20" x14ac:dyDescent="0.35">
      <c r="H13398" s="711"/>
      <c r="I13398" s="711"/>
      <c r="J13398" s="711"/>
      <c r="K13398" s="711"/>
      <c r="L13398" s="711"/>
      <c r="Q13398" s="11"/>
      <c r="R13398" s="11"/>
      <c r="S13398" s="11"/>
      <c r="T13398" s="11"/>
    </row>
    <row r="13399" spans="8:20" x14ac:dyDescent="0.35">
      <c r="H13399" s="711"/>
      <c r="I13399" s="711"/>
      <c r="J13399" s="711"/>
      <c r="K13399" s="711"/>
      <c r="L13399" s="711"/>
      <c r="Q13399" s="11"/>
      <c r="R13399" s="11"/>
      <c r="S13399" s="11"/>
      <c r="T13399" s="11"/>
    </row>
    <row r="13400" spans="8:20" x14ac:dyDescent="0.35">
      <c r="H13400" s="711"/>
      <c r="I13400" s="711"/>
      <c r="J13400" s="711"/>
      <c r="K13400" s="711"/>
      <c r="L13400" s="711"/>
      <c r="Q13400" s="11"/>
      <c r="R13400" s="11"/>
      <c r="S13400" s="11"/>
      <c r="T13400" s="11"/>
    </row>
    <row r="13401" spans="8:20" x14ac:dyDescent="0.35">
      <c r="H13401" s="711"/>
      <c r="I13401" s="711"/>
      <c r="J13401" s="711"/>
      <c r="K13401" s="711"/>
      <c r="L13401" s="711"/>
      <c r="Q13401" s="11"/>
      <c r="R13401" s="11"/>
      <c r="S13401" s="11"/>
      <c r="T13401" s="11"/>
    </row>
    <row r="13402" spans="8:20" x14ac:dyDescent="0.35">
      <c r="H13402" s="711"/>
      <c r="I13402" s="711"/>
      <c r="J13402" s="711"/>
      <c r="K13402" s="711"/>
      <c r="L13402" s="711"/>
      <c r="Q13402" s="11"/>
      <c r="R13402" s="11"/>
      <c r="S13402" s="11"/>
      <c r="T13402" s="11"/>
    </row>
    <row r="13403" spans="8:20" x14ac:dyDescent="0.35">
      <c r="H13403" s="711"/>
      <c r="I13403" s="711"/>
      <c r="J13403" s="711"/>
      <c r="K13403" s="711"/>
      <c r="L13403" s="711"/>
      <c r="Q13403" s="11"/>
      <c r="R13403" s="11"/>
      <c r="S13403" s="11"/>
      <c r="T13403" s="11"/>
    </row>
    <row r="13404" spans="8:20" x14ac:dyDescent="0.35">
      <c r="H13404" s="711"/>
      <c r="I13404" s="711"/>
      <c r="J13404" s="711"/>
      <c r="K13404" s="711"/>
      <c r="L13404" s="711"/>
      <c r="Q13404" s="11"/>
      <c r="R13404" s="11"/>
      <c r="S13404" s="11"/>
      <c r="T13404" s="11"/>
    </row>
    <row r="13405" spans="8:20" x14ac:dyDescent="0.35">
      <c r="H13405" s="711"/>
      <c r="I13405" s="711"/>
      <c r="J13405" s="711"/>
      <c r="K13405" s="711"/>
      <c r="L13405" s="711"/>
      <c r="Q13405" s="11"/>
      <c r="R13405" s="11"/>
      <c r="S13405" s="11"/>
      <c r="T13405" s="11"/>
    </row>
    <row r="13406" spans="8:20" x14ac:dyDescent="0.35">
      <c r="H13406" s="711"/>
      <c r="I13406" s="711"/>
      <c r="J13406" s="711"/>
      <c r="K13406" s="711"/>
      <c r="L13406" s="711"/>
      <c r="Q13406" s="11"/>
      <c r="R13406" s="11"/>
      <c r="S13406" s="11"/>
      <c r="T13406" s="11"/>
    </row>
    <row r="13407" spans="8:20" x14ac:dyDescent="0.35">
      <c r="H13407" s="711"/>
      <c r="I13407" s="711"/>
      <c r="J13407" s="711"/>
      <c r="K13407" s="711"/>
      <c r="L13407" s="711"/>
      <c r="Q13407" s="11"/>
      <c r="R13407" s="11"/>
      <c r="S13407" s="11"/>
      <c r="T13407" s="11"/>
    </row>
    <row r="13408" spans="8:20" x14ac:dyDescent="0.35">
      <c r="H13408" s="711"/>
      <c r="I13408" s="711"/>
      <c r="J13408" s="711"/>
      <c r="K13408" s="711"/>
      <c r="L13408" s="711"/>
      <c r="Q13408" s="11"/>
      <c r="R13408" s="11"/>
      <c r="S13408" s="11"/>
      <c r="T13408" s="11"/>
    </row>
    <row r="13409" spans="8:20" x14ac:dyDescent="0.35">
      <c r="H13409" s="711"/>
      <c r="I13409" s="711"/>
      <c r="J13409" s="711"/>
      <c r="K13409" s="711"/>
      <c r="L13409" s="711"/>
      <c r="Q13409" s="11"/>
      <c r="R13409" s="11"/>
      <c r="S13409" s="11"/>
      <c r="T13409" s="11"/>
    </row>
    <row r="13410" spans="8:20" x14ac:dyDescent="0.35">
      <c r="H13410" s="711"/>
      <c r="I13410" s="711"/>
      <c r="J13410" s="711"/>
      <c r="K13410" s="711"/>
      <c r="L13410" s="711"/>
      <c r="Q13410" s="11"/>
      <c r="R13410" s="11"/>
      <c r="S13410" s="11"/>
      <c r="T13410" s="11"/>
    </row>
    <row r="13411" spans="8:20" x14ac:dyDescent="0.35">
      <c r="H13411" s="711"/>
      <c r="I13411" s="711"/>
      <c r="J13411" s="711"/>
      <c r="K13411" s="711"/>
      <c r="L13411" s="711"/>
      <c r="Q13411" s="11"/>
      <c r="R13411" s="11"/>
      <c r="S13411" s="11"/>
      <c r="T13411" s="11"/>
    </row>
    <row r="13412" spans="8:20" x14ac:dyDescent="0.35">
      <c r="H13412" s="711"/>
      <c r="I13412" s="711"/>
      <c r="J13412" s="711"/>
      <c r="K13412" s="711"/>
      <c r="L13412" s="711"/>
      <c r="Q13412" s="11"/>
      <c r="R13412" s="11"/>
      <c r="S13412" s="11"/>
      <c r="T13412" s="11"/>
    </row>
    <row r="13413" spans="8:20" x14ac:dyDescent="0.35">
      <c r="H13413" s="711"/>
      <c r="I13413" s="711"/>
      <c r="J13413" s="711"/>
      <c r="K13413" s="711"/>
      <c r="L13413" s="711"/>
      <c r="Q13413" s="11"/>
      <c r="R13413" s="11"/>
      <c r="S13413" s="11"/>
      <c r="T13413" s="11"/>
    </row>
    <row r="13414" spans="8:20" x14ac:dyDescent="0.35">
      <c r="H13414" s="711"/>
      <c r="I13414" s="711"/>
      <c r="J13414" s="711"/>
      <c r="K13414" s="711"/>
      <c r="L13414" s="711"/>
      <c r="Q13414" s="11"/>
      <c r="R13414" s="11"/>
      <c r="S13414" s="11"/>
      <c r="T13414" s="11"/>
    </row>
    <row r="13415" spans="8:20" x14ac:dyDescent="0.35">
      <c r="H13415" s="711"/>
      <c r="I13415" s="711"/>
      <c r="J13415" s="711"/>
      <c r="K13415" s="711"/>
      <c r="L13415" s="711"/>
      <c r="Q13415" s="11"/>
      <c r="R13415" s="11"/>
      <c r="S13415" s="11"/>
      <c r="T13415" s="11"/>
    </row>
    <row r="13416" spans="8:20" x14ac:dyDescent="0.35">
      <c r="H13416" s="711"/>
      <c r="I13416" s="711"/>
      <c r="J13416" s="711"/>
      <c r="K13416" s="711"/>
      <c r="L13416" s="711"/>
      <c r="Q13416" s="11"/>
      <c r="R13416" s="11"/>
      <c r="S13416" s="11"/>
      <c r="T13416" s="11"/>
    </row>
    <row r="13417" spans="8:20" x14ac:dyDescent="0.35">
      <c r="H13417" s="711"/>
      <c r="I13417" s="711"/>
      <c r="J13417" s="711"/>
      <c r="K13417" s="711"/>
      <c r="L13417" s="711"/>
      <c r="Q13417" s="11"/>
      <c r="R13417" s="11"/>
      <c r="S13417" s="11"/>
      <c r="T13417" s="11"/>
    </row>
    <row r="13418" spans="8:20" x14ac:dyDescent="0.35">
      <c r="H13418" s="711"/>
      <c r="I13418" s="711"/>
      <c r="J13418" s="711"/>
      <c r="K13418" s="711"/>
      <c r="L13418" s="711"/>
      <c r="Q13418" s="11"/>
      <c r="R13418" s="11"/>
      <c r="S13418" s="11"/>
      <c r="T13418" s="11"/>
    </row>
    <row r="13419" spans="8:20" x14ac:dyDescent="0.35">
      <c r="H13419" s="711"/>
      <c r="I13419" s="711"/>
      <c r="J13419" s="711"/>
      <c r="K13419" s="711"/>
      <c r="L13419" s="711"/>
      <c r="Q13419" s="11"/>
      <c r="R13419" s="11"/>
      <c r="S13419" s="11"/>
      <c r="T13419" s="11"/>
    </row>
    <row r="13420" spans="8:20" x14ac:dyDescent="0.35">
      <c r="H13420" s="711"/>
      <c r="I13420" s="711"/>
      <c r="J13420" s="711"/>
      <c r="K13420" s="711"/>
      <c r="L13420" s="711"/>
      <c r="Q13420" s="11"/>
      <c r="R13420" s="11"/>
      <c r="S13420" s="11"/>
      <c r="T13420" s="11"/>
    </row>
    <row r="13421" spans="8:20" x14ac:dyDescent="0.35">
      <c r="H13421" s="711"/>
      <c r="I13421" s="711"/>
      <c r="J13421" s="711"/>
      <c r="K13421" s="711"/>
      <c r="L13421" s="711"/>
      <c r="Q13421" s="11"/>
      <c r="R13421" s="11"/>
      <c r="S13421" s="11"/>
      <c r="T13421" s="11"/>
    </row>
    <row r="13422" spans="8:20" x14ac:dyDescent="0.35">
      <c r="H13422" s="711"/>
      <c r="I13422" s="711"/>
      <c r="J13422" s="711"/>
      <c r="K13422" s="711"/>
      <c r="L13422" s="711"/>
      <c r="Q13422" s="11"/>
      <c r="R13422" s="11"/>
      <c r="S13422" s="11"/>
      <c r="T13422" s="11"/>
    </row>
    <row r="13423" spans="8:20" x14ac:dyDescent="0.35">
      <c r="H13423" s="711"/>
      <c r="I13423" s="711"/>
      <c r="J13423" s="711"/>
      <c r="K13423" s="711"/>
      <c r="L13423" s="711"/>
      <c r="Q13423" s="11"/>
      <c r="R13423" s="11"/>
      <c r="S13423" s="11"/>
      <c r="T13423" s="11"/>
    </row>
    <row r="13424" spans="8:20" x14ac:dyDescent="0.35">
      <c r="H13424" s="711"/>
      <c r="I13424" s="711"/>
      <c r="J13424" s="711"/>
      <c r="K13424" s="711"/>
      <c r="L13424" s="711"/>
      <c r="Q13424" s="11"/>
      <c r="R13424" s="11"/>
      <c r="S13424" s="11"/>
      <c r="T13424" s="11"/>
    </row>
    <row r="13425" spans="8:20" x14ac:dyDescent="0.35">
      <c r="H13425" s="711"/>
      <c r="I13425" s="711"/>
      <c r="J13425" s="711"/>
      <c r="K13425" s="711"/>
      <c r="L13425" s="711"/>
      <c r="Q13425" s="11"/>
      <c r="R13425" s="11"/>
      <c r="S13425" s="11"/>
      <c r="T13425" s="11"/>
    </row>
    <row r="13426" spans="8:20" x14ac:dyDescent="0.35">
      <c r="H13426" s="711"/>
      <c r="I13426" s="711"/>
      <c r="J13426" s="711"/>
      <c r="K13426" s="711"/>
      <c r="L13426" s="711"/>
      <c r="Q13426" s="11"/>
      <c r="R13426" s="11"/>
      <c r="S13426" s="11"/>
      <c r="T13426" s="11"/>
    </row>
    <row r="13427" spans="8:20" x14ac:dyDescent="0.35">
      <c r="H13427" s="711"/>
      <c r="I13427" s="711"/>
      <c r="J13427" s="711"/>
      <c r="K13427" s="711"/>
      <c r="L13427" s="711"/>
      <c r="Q13427" s="11"/>
      <c r="R13427" s="11"/>
      <c r="S13427" s="11"/>
      <c r="T13427" s="11"/>
    </row>
    <row r="13428" spans="8:20" x14ac:dyDescent="0.35">
      <c r="H13428" s="711"/>
      <c r="I13428" s="711"/>
      <c r="J13428" s="711"/>
      <c r="K13428" s="711"/>
      <c r="L13428" s="711"/>
      <c r="Q13428" s="11"/>
      <c r="R13428" s="11"/>
      <c r="S13428" s="11"/>
      <c r="T13428" s="11"/>
    </row>
    <row r="13429" spans="8:20" x14ac:dyDescent="0.35">
      <c r="H13429" s="711"/>
      <c r="I13429" s="711"/>
      <c r="J13429" s="711"/>
      <c r="K13429" s="711"/>
      <c r="L13429" s="711"/>
      <c r="Q13429" s="11"/>
      <c r="R13429" s="11"/>
      <c r="S13429" s="11"/>
      <c r="T13429" s="11"/>
    </row>
    <row r="13430" spans="8:20" x14ac:dyDescent="0.35">
      <c r="H13430" s="711"/>
      <c r="I13430" s="711"/>
      <c r="J13430" s="711"/>
      <c r="K13430" s="711"/>
      <c r="L13430" s="711"/>
      <c r="Q13430" s="11"/>
      <c r="R13430" s="11"/>
      <c r="S13430" s="11"/>
      <c r="T13430" s="11"/>
    </row>
    <row r="13431" spans="8:20" x14ac:dyDescent="0.35">
      <c r="H13431" s="711"/>
      <c r="I13431" s="711"/>
      <c r="J13431" s="711"/>
      <c r="K13431" s="711"/>
      <c r="L13431" s="711"/>
      <c r="Q13431" s="11"/>
      <c r="R13431" s="11"/>
      <c r="S13431" s="11"/>
      <c r="T13431" s="11"/>
    </row>
    <row r="13432" spans="8:20" x14ac:dyDescent="0.35">
      <c r="H13432" s="711"/>
      <c r="I13432" s="711"/>
      <c r="J13432" s="711"/>
      <c r="K13432" s="711"/>
      <c r="L13432" s="711"/>
      <c r="Q13432" s="11"/>
      <c r="R13432" s="11"/>
      <c r="S13432" s="11"/>
      <c r="T13432" s="11"/>
    </row>
    <row r="13433" spans="8:20" x14ac:dyDescent="0.35">
      <c r="H13433" s="711"/>
      <c r="I13433" s="711"/>
      <c r="J13433" s="711"/>
      <c r="K13433" s="711"/>
      <c r="L13433" s="711"/>
      <c r="Q13433" s="11"/>
      <c r="R13433" s="11"/>
      <c r="S13433" s="11"/>
      <c r="T13433" s="11"/>
    </row>
    <row r="13434" spans="8:20" x14ac:dyDescent="0.35">
      <c r="H13434" s="711"/>
      <c r="I13434" s="711"/>
      <c r="J13434" s="711"/>
      <c r="K13434" s="711"/>
      <c r="L13434" s="711"/>
      <c r="Q13434" s="11"/>
      <c r="R13434" s="11"/>
      <c r="S13434" s="11"/>
      <c r="T13434" s="11"/>
    </row>
    <row r="13435" spans="8:20" x14ac:dyDescent="0.35">
      <c r="H13435" s="711"/>
      <c r="I13435" s="711"/>
      <c r="J13435" s="711"/>
      <c r="K13435" s="711"/>
      <c r="L13435" s="711"/>
      <c r="Q13435" s="11"/>
      <c r="R13435" s="11"/>
      <c r="S13435" s="11"/>
      <c r="T13435" s="11"/>
    </row>
    <row r="13436" spans="8:20" x14ac:dyDescent="0.35">
      <c r="H13436" s="711"/>
      <c r="I13436" s="711"/>
      <c r="J13436" s="711"/>
      <c r="K13436" s="711"/>
      <c r="L13436" s="711"/>
      <c r="Q13436" s="11"/>
      <c r="R13436" s="11"/>
      <c r="S13436" s="11"/>
      <c r="T13436" s="11"/>
    </row>
    <row r="13437" spans="8:20" x14ac:dyDescent="0.35">
      <c r="H13437" s="711"/>
      <c r="I13437" s="711"/>
      <c r="J13437" s="711"/>
      <c r="K13437" s="711"/>
      <c r="L13437" s="711"/>
      <c r="Q13437" s="11"/>
      <c r="R13437" s="11"/>
      <c r="S13437" s="11"/>
      <c r="T13437" s="11"/>
    </row>
    <row r="13438" spans="8:20" x14ac:dyDescent="0.35">
      <c r="H13438" s="711"/>
      <c r="I13438" s="711"/>
      <c r="J13438" s="711"/>
      <c r="K13438" s="711"/>
      <c r="L13438" s="711"/>
      <c r="Q13438" s="11"/>
      <c r="R13438" s="11"/>
      <c r="S13438" s="11"/>
      <c r="T13438" s="11"/>
    </row>
    <row r="13439" spans="8:20" x14ac:dyDescent="0.35">
      <c r="H13439" s="711"/>
      <c r="I13439" s="711"/>
      <c r="J13439" s="711"/>
      <c r="K13439" s="711"/>
      <c r="L13439" s="711"/>
      <c r="Q13439" s="11"/>
      <c r="R13439" s="11"/>
      <c r="S13439" s="11"/>
      <c r="T13439" s="11"/>
    </row>
    <row r="13440" spans="8:20" x14ac:dyDescent="0.35">
      <c r="H13440" s="711"/>
      <c r="I13440" s="711"/>
      <c r="J13440" s="711"/>
      <c r="K13440" s="711"/>
      <c r="L13440" s="711"/>
      <c r="Q13440" s="11"/>
      <c r="R13440" s="11"/>
      <c r="S13440" s="11"/>
      <c r="T13440" s="11"/>
    </row>
    <row r="13441" spans="8:20" x14ac:dyDescent="0.35">
      <c r="H13441" s="711"/>
      <c r="I13441" s="711"/>
      <c r="J13441" s="711"/>
      <c r="K13441" s="711"/>
      <c r="L13441" s="711"/>
      <c r="Q13441" s="11"/>
      <c r="R13441" s="11"/>
      <c r="S13441" s="11"/>
      <c r="T13441" s="11"/>
    </row>
    <row r="13442" spans="8:20" x14ac:dyDescent="0.35">
      <c r="H13442" s="711"/>
      <c r="I13442" s="711"/>
      <c r="J13442" s="711"/>
      <c r="K13442" s="711"/>
      <c r="L13442" s="711"/>
      <c r="Q13442" s="11"/>
      <c r="R13442" s="11"/>
      <c r="S13442" s="11"/>
      <c r="T13442" s="11"/>
    </row>
    <row r="13443" spans="8:20" x14ac:dyDescent="0.35">
      <c r="H13443" s="711"/>
      <c r="I13443" s="711"/>
      <c r="J13443" s="711"/>
      <c r="K13443" s="711"/>
      <c r="L13443" s="711"/>
      <c r="Q13443" s="11"/>
      <c r="R13443" s="11"/>
      <c r="S13443" s="11"/>
      <c r="T13443" s="11"/>
    </row>
    <row r="13444" spans="8:20" x14ac:dyDescent="0.35">
      <c r="H13444" s="711"/>
      <c r="I13444" s="711"/>
      <c r="J13444" s="711"/>
      <c r="K13444" s="711"/>
      <c r="L13444" s="711"/>
      <c r="Q13444" s="11"/>
      <c r="R13444" s="11"/>
      <c r="S13444" s="11"/>
      <c r="T13444" s="11"/>
    </row>
    <row r="13445" spans="8:20" x14ac:dyDescent="0.35">
      <c r="H13445" s="711"/>
      <c r="I13445" s="711"/>
      <c r="J13445" s="711"/>
      <c r="K13445" s="711"/>
      <c r="L13445" s="711"/>
      <c r="Q13445" s="11"/>
      <c r="R13445" s="11"/>
      <c r="S13445" s="11"/>
      <c r="T13445" s="11"/>
    </row>
    <row r="13446" spans="8:20" x14ac:dyDescent="0.35">
      <c r="H13446" s="711"/>
      <c r="I13446" s="711"/>
      <c r="J13446" s="711"/>
      <c r="K13446" s="711"/>
      <c r="L13446" s="711"/>
      <c r="Q13446" s="11"/>
      <c r="R13446" s="11"/>
      <c r="S13446" s="11"/>
      <c r="T13446" s="11"/>
    </row>
    <row r="13447" spans="8:20" x14ac:dyDescent="0.35">
      <c r="H13447" s="711"/>
      <c r="I13447" s="711"/>
      <c r="J13447" s="711"/>
      <c r="K13447" s="711"/>
      <c r="L13447" s="711"/>
      <c r="Q13447" s="11"/>
      <c r="R13447" s="11"/>
      <c r="S13447" s="11"/>
      <c r="T13447" s="11"/>
    </row>
    <row r="13448" spans="8:20" x14ac:dyDescent="0.35">
      <c r="H13448" s="711"/>
      <c r="I13448" s="711"/>
      <c r="J13448" s="711"/>
      <c r="K13448" s="711"/>
      <c r="L13448" s="711"/>
      <c r="Q13448" s="11"/>
      <c r="R13448" s="11"/>
      <c r="S13448" s="11"/>
      <c r="T13448" s="11"/>
    </row>
    <row r="13449" spans="8:20" x14ac:dyDescent="0.35">
      <c r="H13449" s="711"/>
      <c r="I13449" s="711"/>
      <c r="J13449" s="711"/>
      <c r="K13449" s="711"/>
      <c r="L13449" s="711"/>
      <c r="Q13449" s="11"/>
      <c r="R13449" s="11"/>
      <c r="S13449" s="11"/>
      <c r="T13449" s="11"/>
    </row>
    <row r="13450" spans="8:20" x14ac:dyDescent="0.35">
      <c r="H13450" s="711"/>
      <c r="I13450" s="711"/>
      <c r="J13450" s="711"/>
      <c r="K13450" s="711"/>
      <c r="L13450" s="711"/>
      <c r="Q13450" s="11"/>
      <c r="R13450" s="11"/>
      <c r="S13450" s="11"/>
      <c r="T13450" s="11"/>
    </row>
    <row r="13451" spans="8:20" x14ac:dyDescent="0.35">
      <c r="H13451" s="711"/>
      <c r="I13451" s="711"/>
      <c r="J13451" s="711"/>
      <c r="K13451" s="711"/>
      <c r="L13451" s="711"/>
      <c r="Q13451" s="11"/>
      <c r="R13451" s="11"/>
      <c r="S13451" s="11"/>
      <c r="T13451" s="11"/>
    </row>
    <row r="13452" spans="8:20" x14ac:dyDescent="0.35">
      <c r="H13452" s="711"/>
      <c r="I13452" s="711"/>
      <c r="J13452" s="711"/>
      <c r="K13452" s="711"/>
      <c r="L13452" s="711"/>
      <c r="Q13452" s="11"/>
      <c r="R13452" s="11"/>
      <c r="S13452" s="11"/>
      <c r="T13452" s="11"/>
    </row>
    <row r="13453" spans="8:20" x14ac:dyDescent="0.35">
      <c r="H13453" s="711"/>
      <c r="I13453" s="711"/>
      <c r="J13453" s="711"/>
      <c r="K13453" s="711"/>
      <c r="L13453" s="711"/>
      <c r="Q13453" s="11"/>
      <c r="R13453" s="11"/>
      <c r="S13453" s="11"/>
      <c r="T13453" s="11"/>
    </row>
    <row r="13454" spans="8:20" x14ac:dyDescent="0.35">
      <c r="H13454" s="711"/>
      <c r="I13454" s="711"/>
      <c r="J13454" s="711"/>
      <c r="K13454" s="711"/>
      <c r="L13454" s="711"/>
      <c r="Q13454" s="11"/>
      <c r="R13454" s="11"/>
      <c r="S13454" s="11"/>
      <c r="T13454" s="11"/>
    </row>
    <row r="13455" spans="8:20" x14ac:dyDescent="0.35">
      <c r="H13455" s="711"/>
      <c r="I13455" s="711"/>
      <c r="J13455" s="711"/>
      <c r="K13455" s="711"/>
      <c r="L13455" s="711"/>
      <c r="Q13455" s="11"/>
      <c r="R13455" s="11"/>
      <c r="S13455" s="11"/>
      <c r="T13455" s="11"/>
    </row>
    <row r="13456" spans="8:20" x14ac:dyDescent="0.35">
      <c r="H13456" s="711"/>
      <c r="I13456" s="711"/>
      <c r="J13456" s="711"/>
      <c r="K13456" s="711"/>
      <c r="L13456" s="711"/>
      <c r="Q13456" s="11"/>
      <c r="R13456" s="11"/>
      <c r="S13456" s="11"/>
      <c r="T13456" s="11"/>
    </row>
    <row r="13457" spans="8:20" x14ac:dyDescent="0.35">
      <c r="H13457" s="711"/>
      <c r="I13457" s="711"/>
      <c r="J13457" s="711"/>
      <c r="K13457" s="711"/>
      <c r="L13457" s="711"/>
      <c r="Q13457" s="11"/>
      <c r="R13457" s="11"/>
      <c r="S13457" s="11"/>
      <c r="T13457" s="11"/>
    </row>
    <row r="13458" spans="8:20" x14ac:dyDescent="0.35">
      <c r="H13458" s="711"/>
      <c r="I13458" s="711"/>
      <c r="J13458" s="711"/>
      <c r="K13458" s="711"/>
      <c r="L13458" s="711"/>
      <c r="Q13458" s="11"/>
      <c r="R13458" s="11"/>
      <c r="S13458" s="11"/>
      <c r="T13458" s="11"/>
    </row>
    <row r="13459" spans="8:20" x14ac:dyDescent="0.35">
      <c r="H13459" s="711"/>
      <c r="I13459" s="711"/>
      <c r="J13459" s="711"/>
      <c r="K13459" s="711"/>
      <c r="L13459" s="711"/>
      <c r="Q13459" s="11"/>
      <c r="R13459" s="11"/>
      <c r="S13459" s="11"/>
      <c r="T13459" s="11"/>
    </row>
    <row r="13460" spans="8:20" x14ac:dyDescent="0.35">
      <c r="H13460" s="711"/>
      <c r="I13460" s="711"/>
      <c r="J13460" s="711"/>
      <c r="K13460" s="711"/>
      <c r="L13460" s="711"/>
      <c r="Q13460" s="11"/>
      <c r="R13460" s="11"/>
      <c r="S13460" s="11"/>
      <c r="T13460" s="11"/>
    </row>
    <row r="13461" spans="8:20" x14ac:dyDescent="0.35">
      <c r="H13461" s="711"/>
      <c r="I13461" s="711"/>
      <c r="J13461" s="711"/>
      <c r="K13461" s="711"/>
      <c r="L13461" s="711"/>
      <c r="Q13461" s="11"/>
      <c r="R13461" s="11"/>
      <c r="S13461" s="11"/>
      <c r="T13461" s="11"/>
    </row>
    <row r="13462" spans="8:20" x14ac:dyDescent="0.35">
      <c r="H13462" s="711"/>
      <c r="I13462" s="711"/>
      <c r="J13462" s="711"/>
      <c r="K13462" s="711"/>
      <c r="L13462" s="711"/>
      <c r="Q13462" s="11"/>
      <c r="R13462" s="11"/>
      <c r="S13462" s="11"/>
      <c r="T13462" s="11"/>
    </row>
    <row r="13463" spans="8:20" x14ac:dyDescent="0.35">
      <c r="H13463" s="711"/>
      <c r="I13463" s="711"/>
      <c r="J13463" s="711"/>
      <c r="K13463" s="711"/>
      <c r="L13463" s="711"/>
      <c r="Q13463" s="11"/>
      <c r="R13463" s="11"/>
      <c r="S13463" s="11"/>
      <c r="T13463" s="11"/>
    </row>
    <row r="13464" spans="8:20" x14ac:dyDescent="0.35">
      <c r="H13464" s="711"/>
      <c r="I13464" s="711"/>
      <c r="J13464" s="711"/>
      <c r="K13464" s="711"/>
      <c r="L13464" s="711"/>
      <c r="Q13464" s="11"/>
      <c r="R13464" s="11"/>
      <c r="S13464" s="11"/>
      <c r="T13464" s="11"/>
    </row>
    <row r="13465" spans="8:20" x14ac:dyDescent="0.35">
      <c r="H13465" s="711"/>
      <c r="I13465" s="711"/>
      <c r="J13465" s="711"/>
      <c r="K13465" s="711"/>
      <c r="L13465" s="711"/>
      <c r="Q13465" s="11"/>
      <c r="R13465" s="11"/>
      <c r="S13465" s="11"/>
      <c r="T13465" s="11"/>
    </row>
    <row r="13466" spans="8:20" x14ac:dyDescent="0.35">
      <c r="H13466" s="711"/>
      <c r="I13466" s="711"/>
      <c r="J13466" s="711"/>
      <c r="K13466" s="711"/>
      <c r="L13466" s="711"/>
      <c r="Q13466" s="11"/>
      <c r="R13466" s="11"/>
      <c r="S13466" s="11"/>
      <c r="T13466" s="11"/>
    </row>
    <row r="13467" spans="8:20" x14ac:dyDescent="0.35">
      <c r="H13467" s="711"/>
      <c r="I13467" s="711"/>
      <c r="J13467" s="711"/>
      <c r="K13467" s="711"/>
      <c r="L13467" s="711"/>
      <c r="Q13467" s="11"/>
      <c r="R13467" s="11"/>
      <c r="S13467" s="11"/>
      <c r="T13467" s="11"/>
    </row>
    <row r="13468" spans="8:20" x14ac:dyDescent="0.35">
      <c r="H13468" s="711"/>
      <c r="I13468" s="711"/>
      <c r="J13468" s="711"/>
      <c r="K13468" s="711"/>
      <c r="L13468" s="711"/>
      <c r="Q13468" s="11"/>
      <c r="R13468" s="11"/>
      <c r="S13468" s="11"/>
      <c r="T13468" s="11"/>
    </row>
    <row r="13469" spans="8:20" x14ac:dyDescent="0.35">
      <c r="H13469" s="711"/>
      <c r="I13469" s="711"/>
      <c r="J13469" s="711"/>
      <c r="K13469" s="711"/>
      <c r="L13469" s="711"/>
      <c r="Q13469" s="11"/>
      <c r="R13469" s="11"/>
      <c r="S13469" s="11"/>
      <c r="T13469" s="11"/>
    </row>
    <row r="13470" spans="8:20" x14ac:dyDescent="0.35">
      <c r="H13470" s="711"/>
      <c r="I13470" s="711"/>
      <c r="J13470" s="711"/>
      <c r="K13470" s="711"/>
      <c r="L13470" s="711"/>
      <c r="Q13470" s="11"/>
      <c r="R13470" s="11"/>
      <c r="S13470" s="11"/>
      <c r="T13470" s="11"/>
    </row>
    <row r="13471" spans="8:20" x14ac:dyDescent="0.35">
      <c r="H13471" s="711"/>
      <c r="I13471" s="711"/>
      <c r="J13471" s="711"/>
      <c r="K13471" s="711"/>
      <c r="L13471" s="711"/>
      <c r="Q13471" s="11"/>
      <c r="R13471" s="11"/>
      <c r="S13471" s="11"/>
      <c r="T13471" s="11"/>
    </row>
    <row r="13472" spans="8:20" x14ac:dyDescent="0.35">
      <c r="H13472" s="711"/>
      <c r="I13472" s="711"/>
      <c r="J13472" s="711"/>
      <c r="K13472" s="711"/>
      <c r="L13472" s="711"/>
      <c r="Q13472" s="11"/>
      <c r="R13472" s="11"/>
      <c r="S13472" s="11"/>
      <c r="T13472" s="11"/>
    </row>
    <row r="13473" spans="8:20" x14ac:dyDescent="0.35">
      <c r="H13473" s="711"/>
      <c r="I13473" s="711"/>
      <c r="J13473" s="711"/>
      <c r="K13473" s="711"/>
      <c r="L13473" s="711"/>
      <c r="Q13473" s="11"/>
      <c r="R13473" s="11"/>
      <c r="S13473" s="11"/>
      <c r="T13473" s="11"/>
    </row>
    <row r="13474" spans="8:20" x14ac:dyDescent="0.35">
      <c r="H13474" s="711"/>
      <c r="I13474" s="711"/>
      <c r="J13474" s="711"/>
      <c r="K13474" s="711"/>
      <c r="L13474" s="711"/>
      <c r="Q13474" s="11"/>
      <c r="R13474" s="11"/>
      <c r="S13474" s="11"/>
      <c r="T13474" s="11"/>
    </row>
    <row r="13475" spans="8:20" x14ac:dyDescent="0.35">
      <c r="H13475" s="711"/>
      <c r="I13475" s="711"/>
      <c r="J13475" s="711"/>
      <c r="K13475" s="711"/>
      <c r="L13475" s="711"/>
      <c r="Q13475" s="11"/>
      <c r="R13475" s="11"/>
      <c r="S13475" s="11"/>
      <c r="T13475" s="11"/>
    </row>
    <row r="13476" spans="8:20" x14ac:dyDescent="0.35">
      <c r="H13476" s="711"/>
      <c r="I13476" s="711"/>
      <c r="J13476" s="711"/>
      <c r="K13476" s="711"/>
      <c r="L13476" s="711"/>
      <c r="Q13476" s="11"/>
      <c r="R13476" s="11"/>
      <c r="S13476" s="11"/>
      <c r="T13476" s="11"/>
    </row>
    <row r="13477" spans="8:20" x14ac:dyDescent="0.35">
      <c r="H13477" s="711"/>
      <c r="I13477" s="711"/>
      <c r="J13477" s="711"/>
      <c r="K13477" s="711"/>
      <c r="L13477" s="711"/>
      <c r="Q13477" s="11"/>
      <c r="R13477" s="11"/>
      <c r="S13477" s="11"/>
      <c r="T13477" s="11"/>
    </row>
    <row r="13478" spans="8:20" x14ac:dyDescent="0.35">
      <c r="H13478" s="711"/>
      <c r="I13478" s="711"/>
      <c r="J13478" s="711"/>
      <c r="K13478" s="711"/>
      <c r="L13478" s="711"/>
      <c r="Q13478" s="11"/>
      <c r="R13478" s="11"/>
      <c r="S13478" s="11"/>
      <c r="T13478" s="11"/>
    </row>
    <row r="13479" spans="8:20" x14ac:dyDescent="0.35">
      <c r="H13479" s="711"/>
      <c r="I13479" s="711"/>
      <c r="J13479" s="711"/>
      <c r="K13479" s="711"/>
      <c r="L13479" s="711"/>
      <c r="Q13479" s="11"/>
      <c r="R13479" s="11"/>
      <c r="S13479" s="11"/>
      <c r="T13479" s="11"/>
    </row>
    <row r="13480" spans="8:20" x14ac:dyDescent="0.35">
      <c r="H13480" s="711"/>
      <c r="I13480" s="711"/>
      <c r="J13480" s="711"/>
      <c r="K13480" s="711"/>
      <c r="L13480" s="711"/>
      <c r="Q13480" s="11"/>
      <c r="R13480" s="11"/>
      <c r="S13480" s="11"/>
      <c r="T13480" s="11"/>
    </row>
    <row r="13481" spans="8:20" x14ac:dyDescent="0.35">
      <c r="H13481" s="711"/>
      <c r="I13481" s="711"/>
      <c r="J13481" s="711"/>
      <c r="K13481" s="711"/>
      <c r="L13481" s="711"/>
      <c r="Q13481" s="11"/>
      <c r="R13481" s="11"/>
      <c r="S13481" s="11"/>
      <c r="T13481" s="11"/>
    </row>
    <row r="13482" spans="8:20" x14ac:dyDescent="0.35">
      <c r="H13482" s="711"/>
      <c r="I13482" s="711"/>
      <c r="J13482" s="711"/>
      <c r="K13482" s="711"/>
      <c r="L13482" s="711"/>
      <c r="Q13482" s="11"/>
      <c r="R13482" s="11"/>
      <c r="S13482" s="11"/>
      <c r="T13482" s="11"/>
    </row>
    <row r="13483" spans="8:20" x14ac:dyDescent="0.35">
      <c r="H13483" s="711"/>
      <c r="I13483" s="711"/>
      <c r="J13483" s="711"/>
      <c r="K13483" s="711"/>
      <c r="L13483" s="711"/>
      <c r="Q13483" s="11"/>
      <c r="R13483" s="11"/>
      <c r="S13483" s="11"/>
      <c r="T13483" s="11"/>
    </row>
    <row r="13484" spans="8:20" x14ac:dyDescent="0.35">
      <c r="H13484" s="711"/>
      <c r="I13484" s="711"/>
      <c r="J13484" s="711"/>
      <c r="K13484" s="711"/>
      <c r="L13484" s="711"/>
      <c r="Q13484" s="11"/>
      <c r="R13484" s="11"/>
      <c r="S13484" s="11"/>
      <c r="T13484" s="11"/>
    </row>
    <row r="13485" spans="8:20" x14ac:dyDescent="0.35">
      <c r="H13485" s="711"/>
      <c r="I13485" s="711"/>
      <c r="J13485" s="711"/>
      <c r="K13485" s="711"/>
      <c r="L13485" s="711"/>
      <c r="Q13485" s="11"/>
      <c r="R13485" s="11"/>
      <c r="S13485" s="11"/>
      <c r="T13485" s="11"/>
    </row>
    <row r="13486" spans="8:20" x14ac:dyDescent="0.35">
      <c r="H13486" s="711"/>
      <c r="I13486" s="711"/>
      <c r="J13486" s="711"/>
      <c r="K13486" s="711"/>
      <c r="L13486" s="711"/>
      <c r="Q13486" s="11"/>
      <c r="R13486" s="11"/>
      <c r="S13486" s="11"/>
      <c r="T13486" s="11"/>
    </row>
    <row r="13487" spans="8:20" x14ac:dyDescent="0.35">
      <c r="H13487" s="711"/>
      <c r="I13487" s="711"/>
      <c r="J13487" s="711"/>
      <c r="K13487" s="711"/>
      <c r="L13487" s="711"/>
      <c r="Q13487" s="11"/>
      <c r="R13487" s="11"/>
      <c r="S13487" s="11"/>
      <c r="T13487" s="11"/>
    </row>
    <row r="13488" spans="8:20" x14ac:dyDescent="0.35">
      <c r="H13488" s="711"/>
      <c r="I13488" s="711"/>
      <c r="J13488" s="711"/>
      <c r="K13488" s="711"/>
      <c r="L13488" s="711"/>
      <c r="Q13488" s="11"/>
      <c r="R13488" s="11"/>
      <c r="S13488" s="11"/>
      <c r="T13488" s="11"/>
    </row>
    <row r="13489" spans="8:20" x14ac:dyDescent="0.35">
      <c r="H13489" s="711"/>
      <c r="I13489" s="711"/>
      <c r="J13489" s="711"/>
      <c r="K13489" s="711"/>
      <c r="L13489" s="711"/>
      <c r="Q13489" s="11"/>
      <c r="R13489" s="11"/>
      <c r="S13489" s="11"/>
      <c r="T13489" s="11"/>
    </row>
    <row r="13490" spans="8:20" x14ac:dyDescent="0.35">
      <c r="H13490" s="711"/>
      <c r="I13490" s="711"/>
      <c r="J13490" s="711"/>
      <c r="K13490" s="711"/>
      <c r="L13490" s="711"/>
      <c r="Q13490" s="11"/>
      <c r="R13490" s="11"/>
      <c r="S13490" s="11"/>
      <c r="T13490" s="11"/>
    </row>
    <row r="13491" spans="8:20" x14ac:dyDescent="0.35">
      <c r="H13491" s="711"/>
      <c r="I13491" s="711"/>
      <c r="J13491" s="711"/>
      <c r="K13491" s="711"/>
      <c r="L13491" s="711"/>
      <c r="Q13491" s="11"/>
      <c r="R13491" s="11"/>
      <c r="S13491" s="11"/>
      <c r="T13491" s="11"/>
    </row>
    <row r="13492" spans="8:20" x14ac:dyDescent="0.35">
      <c r="H13492" s="711"/>
      <c r="I13492" s="711"/>
      <c r="J13492" s="711"/>
      <c r="K13492" s="711"/>
      <c r="L13492" s="711"/>
      <c r="Q13492" s="11"/>
      <c r="R13492" s="11"/>
      <c r="S13492" s="11"/>
      <c r="T13492" s="11"/>
    </row>
    <row r="13493" spans="8:20" x14ac:dyDescent="0.35">
      <c r="H13493" s="711"/>
      <c r="I13493" s="711"/>
      <c r="J13493" s="711"/>
      <c r="K13493" s="711"/>
      <c r="L13493" s="711"/>
      <c r="Q13493" s="11"/>
      <c r="R13493" s="11"/>
      <c r="S13493" s="11"/>
      <c r="T13493" s="11"/>
    </row>
    <row r="13494" spans="8:20" x14ac:dyDescent="0.35">
      <c r="H13494" s="711"/>
      <c r="I13494" s="711"/>
      <c r="J13494" s="711"/>
      <c r="K13494" s="711"/>
      <c r="L13494" s="711"/>
      <c r="Q13494" s="11"/>
      <c r="R13494" s="11"/>
      <c r="S13494" s="11"/>
      <c r="T13494" s="11"/>
    </row>
    <row r="13495" spans="8:20" x14ac:dyDescent="0.35">
      <c r="H13495" s="711"/>
      <c r="I13495" s="711"/>
      <c r="J13495" s="711"/>
      <c r="K13495" s="711"/>
      <c r="L13495" s="711"/>
      <c r="Q13495" s="11"/>
      <c r="R13495" s="11"/>
      <c r="S13495" s="11"/>
      <c r="T13495" s="11"/>
    </row>
    <row r="13496" spans="8:20" x14ac:dyDescent="0.35">
      <c r="H13496" s="711"/>
      <c r="I13496" s="711"/>
      <c r="J13496" s="711"/>
      <c r="K13496" s="711"/>
      <c r="L13496" s="711"/>
      <c r="Q13496" s="11"/>
      <c r="R13496" s="11"/>
      <c r="S13496" s="11"/>
      <c r="T13496" s="11"/>
    </row>
    <row r="13497" spans="8:20" x14ac:dyDescent="0.35">
      <c r="H13497" s="711"/>
      <c r="I13497" s="711"/>
      <c r="J13497" s="711"/>
      <c r="K13497" s="711"/>
      <c r="L13497" s="711"/>
      <c r="Q13497" s="11"/>
      <c r="R13497" s="11"/>
      <c r="S13497" s="11"/>
      <c r="T13497" s="11"/>
    </row>
    <row r="13498" spans="8:20" x14ac:dyDescent="0.35">
      <c r="H13498" s="711"/>
      <c r="I13498" s="711"/>
      <c r="J13498" s="711"/>
      <c r="K13498" s="711"/>
      <c r="L13498" s="711"/>
      <c r="Q13498" s="11"/>
      <c r="R13498" s="11"/>
      <c r="S13498" s="11"/>
      <c r="T13498" s="11"/>
    </row>
    <row r="13499" spans="8:20" x14ac:dyDescent="0.35">
      <c r="H13499" s="711"/>
      <c r="I13499" s="711"/>
      <c r="J13499" s="711"/>
      <c r="K13499" s="711"/>
      <c r="L13499" s="711"/>
      <c r="Q13499" s="11"/>
      <c r="R13499" s="11"/>
      <c r="S13499" s="11"/>
      <c r="T13499" s="11"/>
    </row>
    <row r="13500" spans="8:20" x14ac:dyDescent="0.35">
      <c r="H13500" s="711"/>
      <c r="I13500" s="711"/>
      <c r="J13500" s="711"/>
      <c r="K13500" s="711"/>
      <c r="L13500" s="711"/>
      <c r="Q13500" s="11"/>
      <c r="R13500" s="11"/>
      <c r="S13500" s="11"/>
      <c r="T13500" s="11"/>
    </row>
    <row r="13501" spans="8:20" x14ac:dyDescent="0.35">
      <c r="H13501" s="711"/>
      <c r="I13501" s="711"/>
      <c r="J13501" s="711"/>
      <c r="K13501" s="711"/>
      <c r="L13501" s="711"/>
      <c r="Q13501" s="11"/>
      <c r="R13501" s="11"/>
      <c r="S13501" s="11"/>
      <c r="T13501" s="11"/>
    </row>
    <row r="13502" spans="8:20" x14ac:dyDescent="0.35">
      <c r="H13502" s="711"/>
      <c r="I13502" s="711"/>
      <c r="J13502" s="711"/>
      <c r="K13502" s="711"/>
      <c r="L13502" s="711"/>
      <c r="Q13502" s="11"/>
      <c r="R13502" s="11"/>
      <c r="S13502" s="11"/>
      <c r="T13502" s="11"/>
    </row>
    <row r="13503" spans="8:20" x14ac:dyDescent="0.35">
      <c r="H13503" s="711"/>
      <c r="I13503" s="711"/>
      <c r="J13503" s="711"/>
      <c r="K13503" s="711"/>
      <c r="L13503" s="711"/>
      <c r="Q13503" s="11"/>
      <c r="R13503" s="11"/>
      <c r="S13503" s="11"/>
      <c r="T13503" s="11"/>
    </row>
    <row r="13504" spans="8:20" x14ac:dyDescent="0.35">
      <c r="H13504" s="711"/>
      <c r="I13504" s="711"/>
      <c r="J13504" s="711"/>
      <c r="K13504" s="711"/>
      <c r="L13504" s="711"/>
      <c r="Q13504" s="11"/>
      <c r="R13504" s="11"/>
      <c r="S13504" s="11"/>
      <c r="T13504" s="11"/>
    </row>
    <row r="13505" spans="8:20" x14ac:dyDescent="0.35">
      <c r="H13505" s="711"/>
      <c r="I13505" s="711"/>
      <c r="J13505" s="711"/>
      <c r="K13505" s="711"/>
      <c r="L13505" s="711"/>
      <c r="Q13505" s="11"/>
      <c r="R13505" s="11"/>
      <c r="S13505" s="11"/>
      <c r="T13505" s="11"/>
    </row>
    <row r="13506" spans="8:20" x14ac:dyDescent="0.35">
      <c r="H13506" s="711"/>
      <c r="I13506" s="711"/>
      <c r="J13506" s="711"/>
      <c r="K13506" s="711"/>
      <c r="L13506" s="711"/>
      <c r="Q13506" s="11"/>
      <c r="R13506" s="11"/>
      <c r="S13506" s="11"/>
      <c r="T13506" s="11"/>
    </row>
    <row r="13507" spans="8:20" x14ac:dyDescent="0.35">
      <c r="H13507" s="711"/>
      <c r="I13507" s="711"/>
      <c r="J13507" s="711"/>
      <c r="K13507" s="711"/>
      <c r="L13507" s="711"/>
      <c r="Q13507" s="11"/>
      <c r="R13507" s="11"/>
      <c r="S13507" s="11"/>
      <c r="T13507" s="11"/>
    </row>
    <row r="13508" spans="8:20" x14ac:dyDescent="0.35">
      <c r="H13508" s="711"/>
      <c r="I13508" s="711"/>
      <c r="J13508" s="711"/>
      <c r="K13508" s="711"/>
      <c r="L13508" s="711"/>
      <c r="Q13508" s="11"/>
      <c r="R13508" s="11"/>
      <c r="S13508" s="11"/>
      <c r="T13508" s="11"/>
    </row>
    <row r="13509" spans="8:20" x14ac:dyDescent="0.35">
      <c r="H13509" s="711"/>
      <c r="I13509" s="711"/>
      <c r="J13509" s="711"/>
      <c r="K13509" s="711"/>
      <c r="L13509" s="711"/>
      <c r="Q13509" s="11"/>
      <c r="R13509" s="11"/>
      <c r="S13509" s="11"/>
      <c r="T13509" s="11"/>
    </row>
    <row r="13510" spans="8:20" x14ac:dyDescent="0.35">
      <c r="H13510" s="711"/>
      <c r="I13510" s="711"/>
      <c r="J13510" s="711"/>
      <c r="K13510" s="711"/>
      <c r="L13510" s="711"/>
      <c r="Q13510" s="11"/>
      <c r="R13510" s="11"/>
      <c r="S13510" s="11"/>
      <c r="T13510" s="11"/>
    </row>
    <row r="13511" spans="8:20" x14ac:dyDescent="0.35">
      <c r="H13511" s="711"/>
      <c r="I13511" s="711"/>
      <c r="J13511" s="711"/>
      <c r="K13511" s="711"/>
      <c r="L13511" s="711"/>
      <c r="Q13511" s="11"/>
      <c r="R13511" s="11"/>
      <c r="S13511" s="11"/>
      <c r="T13511" s="11"/>
    </row>
    <row r="13512" spans="8:20" x14ac:dyDescent="0.35">
      <c r="H13512" s="711"/>
      <c r="I13512" s="711"/>
      <c r="J13512" s="711"/>
      <c r="K13512" s="711"/>
      <c r="L13512" s="711"/>
      <c r="Q13512" s="11"/>
      <c r="R13512" s="11"/>
      <c r="S13512" s="11"/>
      <c r="T13512" s="11"/>
    </row>
    <row r="13513" spans="8:20" x14ac:dyDescent="0.35">
      <c r="H13513" s="711"/>
      <c r="I13513" s="711"/>
      <c r="J13513" s="711"/>
      <c r="K13513" s="711"/>
      <c r="L13513" s="711"/>
      <c r="Q13513" s="11"/>
      <c r="R13513" s="11"/>
      <c r="S13513" s="11"/>
      <c r="T13513" s="11"/>
    </row>
    <row r="13514" spans="8:20" x14ac:dyDescent="0.35">
      <c r="H13514" s="711"/>
      <c r="I13514" s="711"/>
      <c r="J13514" s="711"/>
      <c r="K13514" s="711"/>
      <c r="L13514" s="711"/>
      <c r="Q13514" s="11"/>
      <c r="R13514" s="11"/>
      <c r="S13514" s="11"/>
      <c r="T13514" s="11"/>
    </row>
    <row r="13515" spans="8:20" x14ac:dyDescent="0.35">
      <c r="H13515" s="711"/>
      <c r="I13515" s="711"/>
      <c r="J13515" s="711"/>
      <c r="K13515" s="711"/>
      <c r="L13515" s="711"/>
      <c r="Q13515" s="11"/>
      <c r="R13515" s="11"/>
      <c r="S13515" s="11"/>
      <c r="T13515" s="11"/>
    </row>
    <row r="13516" spans="8:20" x14ac:dyDescent="0.35">
      <c r="H13516" s="711"/>
      <c r="I13516" s="711"/>
      <c r="J13516" s="711"/>
      <c r="K13516" s="711"/>
      <c r="L13516" s="711"/>
      <c r="Q13516" s="11"/>
      <c r="R13516" s="11"/>
      <c r="S13516" s="11"/>
      <c r="T13516" s="11"/>
    </row>
    <row r="13517" spans="8:20" x14ac:dyDescent="0.35">
      <c r="H13517" s="711"/>
      <c r="I13517" s="711"/>
      <c r="J13517" s="711"/>
      <c r="K13517" s="711"/>
      <c r="L13517" s="711"/>
      <c r="Q13517" s="11"/>
      <c r="R13517" s="11"/>
      <c r="S13517" s="11"/>
      <c r="T13517" s="11"/>
    </row>
    <row r="13518" spans="8:20" x14ac:dyDescent="0.35">
      <c r="H13518" s="711"/>
      <c r="I13518" s="711"/>
      <c r="J13518" s="711"/>
      <c r="K13518" s="711"/>
      <c r="L13518" s="711"/>
      <c r="Q13518" s="11"/>
      <c r="R13518" s="11"/>
      <c r="S13518" s="11"/>
      <c r="T13518" s="11"/>
    </row>
    <row r="13519" spans="8:20" x14ac:dyDescent="0.35">
      <c r="H13519" s="711"/>
      <c r="I13519" s="711"/>
      <c r="J13519" s="711"/>
      <c r="K13519" s="711"/>
      <c r="L13519" s="711"/>
      <c r="Q13519" s="11"/>
      <c r="R13519" s="11"/>
      <c r="S13519" s="11"/>
      <c r="T13519" s="11"/>
    </row>
    <row r="13520" spans="8:20" x14ac:dyDescent="0.35">
      <c r="H13520" s="711"/>
      <c r="I13520" s="711"/>
      <c r="J13520" s="711"/>
      <c r="K13520" s="711"/>
      <c r="L13520" s="711"/>
      <c r="Q13520" s="11"/>
      <c r="R13520" s="11"/>
      <c r="S13520" s="11"/>
      <c r="T13520" s="11"/>
    </row>
    <row r="13521" spans="8:20" x14ac:dyDescent="0.35">
      <c r="H13521" s="711"/>
      <c r="I13521" s="711"/>
      <c r="J13521" s="711"/>
      <c r="K13521" s="711"/>
      <c r="L13521" s="711"/>
      <c r="Q13521" s="11"/>
      <c r="R13521" s="11"/>
      <c r="S13521" s="11"/>
      <c r="T13521" s="11"/>
    </row>
    <row r="13522" spans="8:20" x14ac:dyDescent="0.35">
      <c r="H13522" s="711"/>
      <c r="I13522" s="711"/>
      <c r="J13522" s="711"/>
      <c r="K13522" s="711"/>
      <c r="L13522" s="711"/>
      <c r="Q13522" s="11"/>
      <c r="R13522" s="11"/>
      <c r="S13522" s="11"/>
      <c r="T13522" s="11"/>
    </row>
    <row r="13523" spans="8:20" x14ac:dyDescent="0.35">
      <c r="H13523" s="711"/>
      <c r="I13523" s="711"/>
      <c r="J13523" s="711"/>
      <c r="K13523" s="711"/>
      <c r="L13523" s="711"/>
      <c r="Q13523" s="11"/>
      <c r="R13523" s="11"/>
      <c r="S13523" s="11"/>
      <c r="T13523" s="11"/>
    </row>
    <row r="13524" spans="8:20" x14ac:dyDescent="0.35">
      <c r="H13524" s="711"/>
      <c r="I13524" s="711"/>
      <c r="J13524" s="711"/>
      <c r="K13524" s="711"/>
      <c r="L13524" s="711"/>
      <c r="Q13524" s="11"/>
      <c r="R13524" s="11"/>
      <c r="S13524" s="11"/>
      <c r="T13524" s="11"/>
    </row>
    <row r="13525" spans="8:20" x14ac:dyDescent="0.35">
      <c r="H13525" s="711"/>
      <c r="I13525" s="711"/>
      <c r="J13525" s="711"/>
      <c r="K13525" s="711"/>
      <c r="L13525" s="711"/>
      <c r="Q13525" s="11"/>
      <c r="R13525" s="11"/>
      <c r="S13525" s="11"/>
      <c r="T13525" s="11"/>
    </row>
    <row r="13526" spans="8:20" x14ac:dyDescent="0.35">
      <c r="H13526" s="711"/>
      <c r="I13526" s="711"/>
      <c r="J13526" s="711"/>
      <c r="K13526" s="711"/>
      <c r="L13526" s="711"/>
      <c r="Q13526" s="11"/>
      <c r="R13526" s="11"/>
      <c r="S13526" s="11"/>
      <c r="T13526" s="11"/>
    </row>
    <row r="13527" spans="8:20" x14ac:dyDescent="0.35">
      <c r="H13527" s="711"/>
      <c r="I13527" s="711"/>
      <c r="J13527" s="711"/>
      <c r="K13527" s="711"/>
      <c r="L13527" s="711"/>
      <c r="Q13527" s="11"/>
      <c r="R13527" s="11"/>
      <c r="S13527" s="11"/>
      <c r="T13527" s="11"/>
    </row>
    <row r="13528" spans="8:20" x14ac:dyDescent="0.35">
      <c r="H13528" s="711"/>
      <c r="I13528" s="711"/>
      <c r="J13528" s="711"/>
      <c r="K13528" s="711"/>
      <c r="L13528" s="711"/>
      <c r="Q13528" s="11"/>
      <c r="R13528" s="11"/>
      <c r="S13528" s="11"/>
      <c r="T13528" s="11"/>
    </row>
    <row r="13529" spans="8:20" x14ac:dyDescent="0.35">
      <c r="H13529" s="711"/>
      <c r="I13529" s="711"/>
      <c r="J13529" s="711"/>
      <c r="K13529" s="711"/>
      <c r="L13529" s="711"/>
      <c r="Q13529" s="11"/>
      <c r="R13529" s="11"/>
      <c r="S13529" s="11"/>
      <c r="T13529" s="11"/>
    </row>
    <row r="13530" spans="8:20" x14ac:dyDescent="0.35">
      <c r="H13530" s="711"/>
      <c r="I13530" s="711"/>
      <c r="J13530" s="711"/>
      <c r="K13530" s="711"/>
      <c r="L13530" s="711"/>
      <c r="Q13530" s="11"/>
      <c r="R13530" s="11"/>
      <c r="S13530" s="11"/>
      <c r="T13530" s="11"/>
    </row>
    <row r="13531" spans="8:20" x14ac:dyDescent="0.35">
      <c r="H13531" s="711"/>
      <c r="I13531" s="711"/>
      <c r="J13531" s="711"/>
      <c r="K13531" s="711"/>
      <c r="L13531" s="711"/>
      <c r="Q13531" s="11"/>
      <c r="R13531" s="11"/>
      <c r="S13531" s="11"/>
      <c r="T13531" s="11"/>
    </row>
    <row r="13532" spans="8:20" x14ac:dyDescent="0.35">
      <c r="H13532" s="711"/>
      <c r="I13532" s="711"/>
      <c r="J13532" s="711"/>
      <c r="K13532" s="711"/>
      <c r="L13532" s="711"/>
      <c r="Q13532" s="11"/>
      <c r="R13532" s="11"/>
      <c r="S13532" s="11"/>
      <c r="T13532" s="11"/>
    </row>
    <row r="13533" spans="8:20" x14ac:dyDescent="0.35">
      <c r="H13533" s="711"/>
      <c r="I13533" s="711"/>
      <c r="J13533" s="711"/>
      <c r="K13533" s="711"/>
      <c r="L13533" s="711"/>
      <c r="Q13533" s="11"/>
      <c r="R13533" s="11"/>
      <c r="S13533" s="11"/>
      <c r="T13533" s="11"/>
    </row>
    <row r="13534" spans="8:20" x14ac:dyDescent="0.35">
      <c r="H13534" s="711"/>
      <c r="I13534" s="711"/>
      <c r="J13534" s="711"/>
      <c r="K13534" s="711"/>
      <c r="L13534" s="711"/>
      <c r="Q13534" s="11"/>
      <c r="R13534" s="11"/>
      <c r="S13534" s="11"/>
      <c r="T13534" s="11"/>
    </row>
    <row r="13535" spans="8:20" x14ac:dyDescent="0.35">
      <c r="H13535" s="711"/>
      <c r="I13535" s="711"/>
      <c r="J13535" s="711"/>
      <c r="K13535" s="711"/>
      <c r="L13535" s="711"/>
      <c r="Q13535" s="11"/>
      <c r="R13535" s="11"/>
      <c r="S13535" s="11"/>
      <c r="T13535" s="11"/>
    </row>
    <row r="13536" spans="8:20" x14ac:dyDescent="0.35">
      <c r="H13536" s="711"/>
      <c r="I13536" s="711"/>
      <c r="J13536" s="711"/>
      <c r="K13536" s="711"/>
      <c r="L13536" s="711"/>
      <c r="Q13536" s="11"/>
      <c r="R13536" s="11"/>
      <c r="S13536" s="11"/>
      <c r="T13536" s="11"/>
    </row>
    <row r="13537" spans="8:20" x14ac:dyDescent="0.35">
      <c r="H13537" s="711"/>
      <c r="I13537" s="711"/>
      <c r="J13537" s="711"/>
      <c r="K13537" s="711"/>
      <c r="L13537" s="711"/>
      <c r="Q13537" s="11"/>
      <c r="R13537" s="11"/>
      <c r="S13537" s="11"/>
      <c r="T13537" s="11"/>
    </row>
    <row r="13538" spans="8:20" x14ac:dyDescent="0.35">
      <c r="H13538" s="711"/>
      <c r="I13538" s="711"/>
      <c r="J13538" s="711"/>
      <c r="K13538" s="711"/>
      <c r="L13538" s="711"/>
      <c r="Q13538" s="11"/>
      <c r="R13538" s="11"/>
      <c r="S13538" s="11"/>
      <c r="T13538" s="11"/>
    </row>
    <row r="13539" spans="8:20" x14ac:dyDescent="0.35">
      <c r="H13539" s="711"/>
      <c r="I13539" s="711"/>
      <c r="J13539" s="711"/>
      <c r="K13539" s="711"/>
      <c r="L13539" s="711"/>
      <c r="Q13539" s="11"/>
      <c r="R13539" s="11"/>
      <c r="S13539" s="11"/>
      <c r="T13539" s="11"/>
    </row>
    <row r="13540" spans="8:20" x14ac:dyDescent="0.35">
      <c r="H13540" s="711"/>
      <c r="I13540" s="711"/>
      <c r="J13540" s="711"/>
      <c r="K13540" s="711"/>
      <c r="L13540" s="711"/>
      <c r="Q13540" s="11"/>
      <c r="R13540" s="11"/>
      <c r="S13540" s="11"/>
      <c r="T13540" s="11"/>
    </row>
    <row r="13541" spans="8:20" x14ac:dyDescent="0.35">
      <c r="H13541" s="711"/>
      <c r="I13541" s="711"/>
      <c r="J13541" s="711"/>
      <c r="K13541" s="711"/>
      <c r="L13541" s="711"/>
      <c r="Q13541" s="11"/>
      <c r="R13541" s="11"/>
      <c r="S13541" s="11"/>
      <c r="T13541" s="11"/>
    </row>
    <row r="13542" spans="8:20" x14ac:dyDescent="0.35">
      <c r="H13542" s="711"/>
      <c r="I13542" s="711"/>
      <c r="J13542" s="711"/>
      <c r="K13542" s="711"/>
      <c r="L13542" s="711"/>
      <c r="Q13542" s="11"/>
      <c r="R13542" s="11"/>
      <c r="S13542" s="11"/>
      <c r="T13542" s="11"/>
    </row>
    <row r="13543" spans="8:20" x14ac:dyDescent="0.35">
      <c r="H13543" s="711"/>
      <c r="I13543" s="711"/>
      <c r="J13543" s="711"/>
      <c r="K13543" s="711"/>
      <c r="L13543" s="711"/>
      <c r="Q13543" s="11"/>
      <c r="R13543" s="11"/>
      <c r="S13543" s="11"/>
      <c r="T13543" s="11"/>
    </row>
    <row r="13544" spans="8:20" x14ac:dyDescent="0.35">
      <c r="H13544" s="711"/>
      <c r="I13544" s="711"/>
      <c r="J13544" s="711"/>
      <c r="K13544" s="711"/>
      <c r="L13544" s="711"/>
      <c r="Q13544" s="11"/>
      <c r="R13544" s="11"/>
      <c r="S13544" s="11"/>
      <c r="T13544" s="11"/>
    </row>
    <row r="13545" spans="8:20" x14ac:dyDescent="0.35">
      <c r="H13545" s="711"/>
      <c r="I13545" s="711"/>
      <c r="J13545" s="711"/>
      <c r="K13545" s="711"/>
      <c r="L13545" s="711"/>
      <c r="Q13545" s="11"/>
      <c r="R13545" s="11"/>
      <c r="S13545" s="11"/>
      <c r="T13545" s="11"/>
    </row>
    <row r="13546" spans="8:20" x14ac:dyDescent="0.35">
      <c r="H13546" s="711"/>
      <c r="I13546" s="711"/>
      <c r="J13546" s="711"/>
      <c r="K13546" s="711"/>
      <c r="L13546" s="711"/>
      <c r="Q13546" s="11"/>
      <c r="R13546" s="11"/>
      <c r="S13546" s="11"/>
      <c r="T13546" s="11"/>
    </row>
    <row r="13547" spans="8:20" x14ac:dyDescent="0.35">
      <c r="H13547" s="711"/>
      <c r="I13547" s="711"/>
      <c r="J13547" s="711"/>
      <c r="K13547" s="711"/>
      <c r="L13547" s="711"/>
      <c r="Q13547" s="11"/>
      <c r="R13547" s="11"/>
      <c r="S13547" s="11"/>
      <c r="T13547" s="11"/>
    </row>
    <row r="13548" spans="8:20" x14ac:dyDescent="0.35">
      <c r="H13548" s="711"/>
      <c r="I13548" s="711"/>
      <c r="J13548" s="711"/>
      <c r="K13548" s="711"/>
      <c r="L13548" s="711"/>
      <c r="Q13548" s="11"/>
      <c r="R13548" s="11"/>
      <c r="S13548" s="11"/>
      <c r="T13548" s="11"/>
    </row>
    <row r="13549" spans="8:20" x14ac:dyDescent="0.35">
      <c r="H13549" s="711"/>
      <c r="I13549" s="711"/>
      <c r="J13549" s="711"/>
      <c r="K13549" s="711"/>
      <c r="L13549" s="711"/>
      <c r="Q13549" s="11"/>
      <c r="R13549" s="11"/>
      <c r="S13549" s="11"/>
      <c r="T13549" s="11"/>
    </row>
    <row r="13550" spans="8:20" x14ac:dyDescent="0.35">
      <c r="H13550" s="711"/>
      <c r="I13550" s="711"/>
      <c r="J13550" s="711"/>
      <c r="K13550" s="711"/>
      <c r="L13550" s="711"/>
      <c r="Q13550" s="11"/>
      <c r="R13550" s="11"/>
      <c r="S13550" s="11"/>
      <c r="T13550" s="11"/>
    </row>
    <row r="13551" spans="8:20" x14ac:dyDescent="0.35">
      <c r="H13551" s="711"/>
      <c r="I13551" s="711"/>
      <c r="J13551" s="711"/>
      <c r="K13551" s="711"/>
      <c r="L13551" s="711"/>
      <c r="Q13551" s="11"/>
      <c r="R13551" s="11"/>
      <c r="S13551" s="11"/>
      <c r="T13551" s="11"/>
    </row>
    <row r="13552" spans="8:20" x14ac:dyDescent="0.35">
      <c r="H13552" s="711"/>
      <c r="I13552" s="711"/>
      <c r="J13552" s="711"/>
      <c r="K13552" s="711"/>
      <c r="L13552" s="711"/>
      <c r="Q13552" s="11"/>
      <c r="R13552" s="11"/>
      <c r="S13552" s="11"/>
      <c r="T13552" s="11"/>
    </row>
    <row r="13553" spans="8:20" x14ac:dyDescent="0.35">
      <c r="H13553" s="711"/>
      <c r="I13553" s="711"/>
      <c r="J13553" s="711"/>
      <c r="K13553" s="711"/>
      <c r="L13553" s="711"/>
      <c r="Q13553" s="11"/>
      <c r="R13553" s="11"/>
      <c r="S13553" s="11"/>
      <c r="T13553" s="11"/>
    </row>
    <row r="13554" spans="8:20" x14ac:dyDescent="0.35">
      <c r="H13554" s="711"/>
      <c r="I13554" s="711"/>
      <c r="J13554" s="711"/>
      <c r="K13554" s="711"/>
      <c r="L13554" s="711"/>
      <c r="Q13554" s="11"/>
      <c r="R13554" s="11"/>
      <c r="S13554" s="11"/>
      <c r="T13554" s="11"/>
    </row>
    <row r="13555" spans="8:20" x14ac:dyDescent="0.35">
      <c r="H13555" s="711"/>
      <c r="I13555" s="711"/>
      <c r="J13555" s="711"/>
      <c r="K13555" s="711"/>
      <c r="L13555" s="711"/>
      <c r="Q13555" s="11"/>
      <c r="R13555" s="11"/>
      <c r="S13555" s="11"/>
      <c r="T13555" s="11"/>
    </row>
    <row r="13556" spans="8:20" x14ac:dyDescent="0.35">
      <c r="H13556" s="711"/>
      <c r="I13556" s="711"/>
      <c r="J13556" s="711"/>
      <c r="K13556" s="711"/>
      <c r="L13556" s="711"/>
      <c r="Q13556" s="11"/>
      <c r="R13556" s="11"/>
      <c r="S13556" s="11"/>
      <c r="T13556" s="11"/>
    </row>
    <row r="13557" spans="8:20" x14ac:dyDescent="0.35">
      <c r="H13557" s="711"/>
      <c r="I13557" s="711"/>
      <c r="J13557" s="711"/>
      <c r="K13557" s="711"/>
      <c r="L13557" s="711"/>
      <c r="Q13557" s="11"/>
      <c r="R13557" s="11"/>
      <c r="S13557" s="11"/>
      <c r="T13557" s="11"/>
    </row>
    <row r="13558" spans="8:20" x14ac:dyDescent="0.35">
      <c r="H13558" s="711"/>
      <c r="I13558" s="711"/>
      <c r="J13558" s="711"/>
      <c r="K13558" s="711"/>
      <c r="L13558" s="711"/>
      <c r="Q13558" s="11"/>
      <c r="R13558" s="11"/>
      <c r="S13558" s="11"/>
      <c r="T13558" s="11"/>
    </row>
    <row r="13559" spans="8:20" x14ac:dyDescent="0.35">
      <c r="H13559" s="711"/>
      <c r="I13559" s="711"/>
      <c r="J13559" s="711"/>
      <c r="K13559" s="711"/>
      <c r="L13559" s="711"/>
      <c r="Q13559" s="11"/>
      <c r="R13559" s="11"/>
      <c r="S13559" s="11"/>
      <c r="T13559" s="11"/>
    </row>
    <row r="13560" spans="8:20" x14ac:dyDescent="0.35">
      <c r="H13560" s="711"/>
      <c r="I13560" s="711"/>
      <c r="J13560" s="711"/>
      <c r="K13560" s="711"/>
      <c r="L13560" s="711"/>
      <c r="Q13560" s="11"/>
      <c r="R13560" s="11"/>
      <c r="S13560" s="11"/>
      <c r="T13560" s="11"/>
    </row>
    <row r="13561" spans="8:20" x14ac:dyDescent="0.35">
      <c r="H13561" s="711"/>
      <c r="I13561" s="711"/>
      <c r="J13561" s="711"/>
      <c r="K13561" s="711"/>
      <c r="L13561" s="711"/>
      <c r="Q13561" s="11"/>
      <c r="R13561" s="11"/>
      <c r="S13561" s="11"/>
      <c r="T13561" s="11"/>
    </row>
    <row r="13562" spans="8:20" x14ac:dyDescent="0.35">
      <c r="H13562" s="711"/>
      <c r="I13562" s="711"/>
      <c r="J13562" s="711"/>
      <c r="K13562" s="711"/>
      <c r="L13562" s="711"/>
      <c r="Q13562" s="11"/>
      <c r="R13562" s="11"/>
      <c r="S13562" s="11"/>
      <c r="T13562" s="11"/>
    </row>
    <row r="13563" spans="8:20" x14ac:dyDescent="0.35">
      <c r="H13563" s="711"/>
      <c r="I13563" s="711"/>
      <c r="J13563" s="711"/>
      <c r="K13563" s="711"/>
      <c r="L13563" s="711"/>
      <c r="Q13563" s="11"/>
      <c r="R13563" s="11"/>
      <c r="S13563" s="11"/>
      <c r="T13563" s="11"/>
    </row>
    <row r="13564" spans="8:20" x14ac:dyDescent="0.35">
      <c r="H13564" s="711"/>
      <c r="I13564" s="711"/>
      <c r="J13564" s="711"/>
      <c r="K13564" s="711"/>
      <c r="L13564" s="711"/>
      <c r="Q13564" s="11"/>
      <c r="R13564" s="11"/>
      <c r="S13564" s="11"/>
      <c r="T13564" s="11"/>
    </row>
    <row r="13565" spans="8:20" x14ac:dyDescent="0.35">
      <c r="H13565" s="711"/>
      <c r="I13565" s="711"/>
      <c r="J13565" s="711"/>
      <c r="K13565" s="711"/>
      <c r="L13565" s="711"/>
      <c r="Q13565" s="11"/>
      <c r="R13565" s="11"/>
      <c r="S13565" s="11"/>
      <c r="T13565" s="11"/>
    </row>
    <row r="13566" spans="8:20" x14ac:dyDescent="0.35">
      <c r="H13566" s="711"/>
      <c r="I13566" s="711"/>
      <c r="J13566" s="711"/>
      <c r="K13566" s="711"/>
      <c r="L13566" s="711"/>
      <c r="Q13566" s="11"/>
      <c r="R13566" s="11"/>
      <c r="S13566" s="11"/>
      <c r="T13566" s="11"/>
    </row>
    <row r="13567" spans="8:20" x14ac:dyDescent="0.35">
      <c r="H13567" s="711"/>
      <c r="I13567" s="711"/>
      <c r="J13567" s="711"/>
      <c r="K13567" s="711"/>
      <c r="L13567" s="711"/>
      <c r="Q13567" s="11"/>
      <c r="R13567" s="11"/>
      <c r="S13567" s="11"/>
      <c r="T13567" s="11"/>
    </row>
    <row r="13568" spans="8:20" x14ac:dyDescent="0.35">
      <c r="H13568" s="711"/>
      <c r="I13568" s="711"/>
      <c r="J13568" s="711"/>
      <c r="K13568" s="711"/>
      <c r="L13568" s="711"/>
      <c r="Q13568" s="11"/>
      <c r="R13568" s="11"/>
      <c r="S13568" s="11"/>
      <c r="T13568" s="11"/>
    </row>
    <row r="13569" spans="8:20" x14ac:dyDescent="0.35">
      <c r="H13569" s="711"/>
      <c r="I13569" s="711"/>
      <c r="J13569" s="711"/>
      <c r="K13569" s="711"/>
      <c r="L13569" s="711"/>
      <c r="Q13569" s="11"/>
      <c r="R13569" s="11"/>
      <c r="S13569" s="11"/>
      <c r="T13569" s="11"/>
    </row>
    <row r="13570" spans="8:20" x14ac:dyDescent="0.35">
      <c r="H13570" s="711"/>
      <c r="I13570" s="711"/>
      <c r="J13570" s="711"/>
      <c r="K13570" s="711"/>
      <c r="L13570" s="711"/>
      <c r="Q13570" s="11"/>
      <c r="R13570" s="11"/>
      <c r="S13570" s="11"/>
      <c r="T13570" s="11"/>
    </row>
    <row r="13571" spans="8:20" x14ac:dyDescent="0.35">
      <c r="H13571" s="711"/>
      <c r="I13571" s="711"/>
      <c r="J13571" s="711"/>
      <c r="K13571" s="711"/>
      <c r="L13571" s="711"/>
      <c r="Q13571" s="11"/>
      <c r="R13571" s="11"/>
      <c r="S13571" s="11"/>
      <c r="T13571" s="11"/>
    </row>
    <row r="13572" spans="8:20" x14ac:dyDescent="0.35">
      <c r="H13572" s="711"/>
      <c r="I13572" s="711"/>
      <c r="J13572" s="711"/>
      <c r="K13572" s="711"/>
      <c r="L13572" s="711"/>
      <c r="Q13572" s="11"/>
      <c r="R13572" s="11"/>
      <c r="S13572" s="11"/>
      <c r="T13572" s="11"/>
    </row>
    <row r="13573" spans="8:20" x14ac:dyDescent="0.35">
      <c r="H13573" s="711"/>
      <c r="I13573" s="711"/>
      <c r="J13573" s="711"/>
      <c r="K13573" s="711"/>
      <c r="L13573" s="711"/>
      <c r="Q13573" s="11"/>
      <c r="R13573" s="11"/>
      <c r="S13573" s="11"/>
      <c r="T13573" s="11"/>
    </row>
    <row r="13574" spans="8:20" x14ac:dyDescent="0.35">
      <c r="H13574" s="711"/>
      <c r="I13574" s="711"/>
      <c r="J13574" s="711"/>
      <c r="K13574" s="711"/>
      <c r="L13574" s="711"/>
      <c r="Q13574" s="11"/>
      <c r="R13574" s="11"/>
      <c r="S13574" s="11"/>
      <c r="T13574" s="11"/>
    </row>
    <row r="13575" spans="8:20" x14ac:dyDescent="0.35">
      <c r="H13575" s="711"/>
      <c r="I13575" s="711"/>
      <c r="J13575" s="711"/>
      <c r="K13575" s="711"/>
      <c r="L13575" s="711"/>
      <c r="Q13575" s="11"/>
      <c r="R13575" s="11"/>
      <c r="S13575" s="11"/>
      <c r="T13575" s="11"/>
    </row>
    <row r="13576" spans="8:20" x14ac:dyDescent="0.35">
      <c r="H13576" s="711"/>
      <c r="I13576" s="711"/>
      <c r="J13576" s="711"/>
      <c r="K13576" s="711"/>
      <c r="L13576" s="711"/>
      <c r="Q13576" s="11"/>
      <c r="R13576" s="11"/>
      <c r="S13576" s="11"/>
      <c r="T13576" s="11"/>
    </row>
    <row r="13577" spans="8:20" x14ac:dyDescent="0.35">
      <c r="H13577" s="711"/>
      <c r="I13577" s="711"/>
      <c r="J13577" s="711"/>
      <c r="K13577" s="711"/>
      <c r="L13577" s="711"/>
      <c r="Q13577" s="11"/>
      <c r="R13577" s="11"/>
      <c r="S13577" s="11"/>
      <c r="T13577" s="11"/>
    </row>
    <row r="13578" spans="8:20" x14ac:dyDescent="0.35">
      <c r="H13578" s="711"/>
      <c r="I13578" s="711"/>
      <c r="J13578" s="711"/>
      <c r="K13578" s="711"/>
      <c r="L13578" s="711"/>
      <c r="Q13578" s="11"/>
      <c r="R13578" s="11"/>
      <c r="S13578" s="11"/>
      <c r="T13578" s="11"/>
    </row>
    <row r="13579" spans="8:20" x14ac:dyDescent="0.35">
      <c r="H13579" s="711"/>
      <c r="I13579" s="711"/>
      <c r="J13579" s="711"/>
      <c r="K13579" s="711"/>
      <c r="L13579" s="711"/>
      <c r="Q13579" s="11"/>
      <c r="R13579" s="11"/>
      <c r="S13579" s="11"/>
      <c r="T13579" s="11"/>
    </row>
    <row r="13580" spans="8:20" x14ac:dyDescent="0.35">
      <c r="H13580" s="711"/>
      <c r="I13580" s="711"/>
      <c r="J13580" s="711"/>
      <c r="K13580" s="711"/>
      <c r="L13580" s="711"/>
      <c r="Q13580" s="11"/>
      <c r="R13580" s="11"/>
      <c r="S13580" s="11"/>
      <c r="T13580" s="11"/>
    </row>
    <row r="13581" spans="8:20" x14ac:dyDescent="0.35">
      <c r="H13581" s="711"/>
      <c r="I13581" s="711"/>
      <c r="J13581" s="711"/>
      <c r="K13581" s="711"/>
      <c r="L13581" s="711"/>
      <c r="Q13581" s="11"/>
      <c r="R13581" s="11"/>
      <c r="S13581" s="11"/>
      <c r="T13581" s="11"/>
    </row>
    <row r="13582" spans="8:20" x14ac:dyDescent="0.35">
      <c r="H13582" s="711"/>
      <c r="I13582" s="711"/>
      <c r="J13582" s="711"/>
      <c r="K13582" s="711"/>
      <c r="L13582" s="711"/>
      <c r="Q13582" s="11"/>
      <c r="R13582" s="11"/>
      <c r="S13582" s="11"/>
      <c r="T13582" s="11"/>
    </row>
    <row r="13583" spans="8:20" x14ac:dyDescent="0.35">
      <c r="H13583" s="711"/>
      <c r="I13583" s="711"/>
      <c r="J13583" s="711"/>
      <c r="K13583" s="711"/>
      <c r="L13583" s="711"/>
      <c r="Q13583" s="11"/>
      <c r="R13583" s="11"/>
      <c r="S13583" s="11"/>
      <c r="T13583" s="11"/>
    </row>
    <row r="13584" spans="8:20" x14ac:dyDescent="0.35">
      <c r="H13584" s="711"/>
      <c r="I13584" s="711"/>
      <c r="J13584" s="711"/>
      <c r="K13584" s="711"/>
      <c r="L13584" s="711"/>
      <c r="Q13584" s="11"/>
      <c r="R13584" s="11"/>
      <c r="S13584" s="11"/>
      <c r="T13584" s="11"/>
    </row>
    <row r="13585" spans="8:20" x14ac:dyDescent="0.35">
      <c r="H13585" s="711"/>
      <c r="I13585" s="711"/>
      <c r="J13585" s="711"/>
      <c r="K13585" s="711"/>
      <c r="L13585" s="711"/>
      <c r="Q13585" s="11"/>
      <c r="R13585" s="11"/>
      <c r="S13585" s="11"/>
      <c r="T13585" s="11"/>
    </row>
    <row r="13586" spans="8:20" x14ac:dyDescent="0.35">
      <c r="H13586" s="711"/>
      <c r="I13586" s="711"/>
      <c r="J13586" s="711"/>
      <c r="K13586" s="711"/>
      <c r="L13586" s="711"/>
      <c r="Q13586" s="11"/>
      <c r="R13586" s="11"/>
      <c r="S13586" s="11"/>
      <c r="T13586" s="11"/>
    </row>
    <row r="13587" spans="8:20" x14ac:dyDescent="0.35">
      <c r="H13587" s="711"/>
      <c r="I13587" s="711"/>
      <c r="J13587" s="711"/>
      <c r="K13587" s="711"/>
      <c r="L13587" s="711"/>
      <c r="Q13587" s="11"/>
      <c r="R13587" s="11"/>
      <c r="S13587" s="11"/>
      <c r="T13587" s="11"/>
    </row>
    <row r="13588" spans="8:20" x14ac:dyDescent="0.35">
      <c r="H13588" s="711"/>
      <c r="I13588" s="711"/>
      <c r="J13588" s="711"/>
      <c r="K13588" s="711"/>
      <c r="L13588" s="711"/>
      <c r="Q13588" s="11"/>
      <c r="R13588" s="11"/>
      <c r="S13588" s="11"/>
      <c r="T13588" s="11"/>
    </row>
    <row r="13589" spans="8:20" x14ac:dyDescent="0.35">
      <c r="H13589" s="711"/>
      <c r="I13589" s="711"/>
      <c r="J13589" s="711"/>
      <c r="K13589" s="711"/>
      <c r="L13589" s="711"/>
      <c r="Q13589" s="11"/>
      <c r="R13589" s="11"/>
      <c r="S13589" s="11"/>
      <c r="T13589" s="11"/>
    </row>
    <row r="13590" spans="8:20" x14ac:dyDescent="0.35">
      <c r="H13590" s="711"/>
      <c r="I13590" s="711"/>
      <c r="J13590" s="711"/>
      <c r="K13590" s="711"/>
      <c r="L13590" s="711"/>
      <c r="Q13590" s="11"/>
      <c r="R13590" s="11"/>
      <c r="S13590" s="11"/>
      <c r="T13590" s="11"/>
    </row>
    <row r="13591" spans="8:20" x14ac:dyDescent="0.35">
      <c r="H13591" s="711"/>
      <c r="I13591" s="711"/>
      <c r="J13591" s="711"/>
      <c r="K13591" s="711"/>
      <c r="L13591" s="711"/>
      <c r="Q13591" s="11"/>
      <c r="R13591" s="11"/>
      <c r="S13591" s="11"/>
      <c r="T13591" s="11"/>
    </row>
    <row r="13592" spans="8:20" x14ac:dyDescent="0.35">
      <c r="H13592" s="711"/>
      <c r="I13592" s="711"/>
      <c r="J13592" s="711"/>
      <c r="K13592" s="711"/>
      <c r="L13592" s="711"/>
      <c r="Q13592" s="11"/>
      <c r="R13592" s="11"/>
      <c r="S13592" s="11"/>
      <c r="T13592" s="11"/>
    </row>
    <row r="13593" spans="8:20" x14ac:dyDescent="0.35">
      <c r="H13593" s="711"/>
      <c r="I13593" s="711"/>
      <c r="J13593" s="711"/>
      <c r="K13593" s="711"/>
      <c r="L13593" s="711"/>
      <c r="Q13593" s="11"/>
      <c r="R13593" s="11"/>
      <c r="S13593" s="11"/>
      <c r="T13593" s="11"/>
    </row>
    <row r="13594" spans="8:20" x14ac:dyDescent="0.35">
      <c r="H13594" s="711"/>
      <c r="I13594" s="711"/>
      <c r="J13594" s="711"/>
      <c r="K13594" s="711"/>
      <c r="L13594" s="711"/>
      <c r="Q13594" s="11"/>
      <c r="R13594" s="11"/>
      <c r="S13594" s="11"/>
      <c r="T13594" s="11"/>
    </row>
    <row r="13595" spans="8:20" x14ac:dyDescent="0.35">
      <c r="H13595" s="711"/>
      <c r="I13595" s="711"/>
      <c r="J13595" s="711"/>
      <c r="K13595" s="711"/>
      <c r="L13595" s="711"/>
      <c r="Q13595" s="11"/>
      <c r="R13595" s="11"/>
      <c r="S13595" s="11"/>
      <c r="T13595" s="11"/>
    </row>
    <row r="13596" spans="8:20" x14ac:dyDescent="0.35">
      <c r="H13596" s="711"/>
      <c r="I13596" s="711"/>
      <c r="J13596" s="711"/>
      <c r="K13596" s="711"/>
      <c r="L13596" s="711"/>
      <c r="Q13596" s="11"/>
      <c r="R13596" s="11"/>
      <c r="S13596" s="11"/>
      <c r="T13596" s="11"/>
    </row>
    <row r="13597" spans="8:20" x14ac:dyDescent="0.35">
      <c r="H13597" s="711"/>
      <c r="I13597" s="711"/>
      <c r="J13597" s="711"/>
      <c r="K13597" s="711"/>
      <c r="L13597" s="711"/>
      <c r="Q13597" s="11"/>
      <c r="R13597" s="11"/>
      <c r="S13597" s="11"/>
      <c r="T13597" s="11"/>
    </row>
    <row r="13598" spans="8:20" x14ac:dyDescent="0.35">
      <c r="H13598" s="711"/>
      <c r="I13598" s="711"/>
      <c r="J13598" s="711"/>
      <c r="K13598" s="711"/>
      <c r="L13598" s="711"/>
      <c r="Q13598" s="11"/>
      <c r="R13598" s="11"/>
      <c r="S13598" s="11"/>
      <c r="T13598" s="11"/>
    </row>
    <row r="13599" spans="8:20" x14ac:dyDescent="0.35">
      <c r="H13599" s="711"/>
      <c r="I13599" s="711"/>
      <c r="J13599" s="711"/>
      <c r="K13599" s="711"/>
      <c r="L13599" s="711"/>
      <c r="Q13599" s="11"/>
      <c r="R13599" s="11"/>
      <c r="S13599" s="11"/>
      <c r="T13599" s="11"/>
    </row>
    <row r="13600" spans="8:20" x14ac:dyDescent="0.35">
      <c r="H13600" s="711"/>
      <c r="I13600" s="711"/>
      <c r="J13600" s="711"/>
      <c r="K13600" s="711"/>
      <c r="L13600" s="711"/>
      <c r="Q13600" s="11"/>
      <c r="R13600" s="11"/>
      <c r="S13600" s="11"/>
      <c r="T13600" s="11"/>
    </row>
    <row r="13601" spans="8:20" x14ac:dyDescent="0.35">
      <c r="H13601" s="711"/>
      <c r="I13601" s="711"/>
      <c r="J13601" s="711"/>
      <c r="K13601" s="711"/>
      <c r="L13601" s="711"/>
      <c r="Q13601" s="11"/>
      <c r="R13601" s="11"/>
      <c r="S13601" s="11"/>
      <c r="T13601" s="11"/>
    </row>
    <row r="13602" spans="8:20" x14ac:dyDescent="0.35">
      <c r="H13602" s="711"/>
      <c r="I13602" s="711"/>
      <c r="J13602" s="711"/>
      <c r="K13602" s="711"/>
      <c r="L13602" s="711"/>
      <c r="Q13602" s="11"/>
      <c r="R13602" s="11"/>
      <c r="S13602" s="11"/>
      <c r="T13602" s="11"/>
    </row>
    <row r="13603" spans="8:20" x14ac:dyDescent="0.35">
      <c r="H13603" s="711"/>
      <c r="I13603" s="711"/>
      <c r="J13603" s="711"/>
      <c r="K13603" s="711"/>
      <c r="L13603" s="711"/>
      <c r="Q13603" s="11"/>
      <c r="R13603" s="11"/>
      <c r="S13603" s="11"/>
      <c r="T13603" s="11"/>
    </row>
    <row r="13604" spans="8:20" x14ac:dyDescent="0.35">
      <c r="H13604" s="711"/>
      <c r="I13604" s="711"/>
      <c r="J13604" s="711"/>
      <c r="K13604" s="711"/>
      <c r="L13604" s="711"/>
      <c r="Q13604" s="11"/>
      <c r="R13604" s="11"/>
      <c r="S13604" s="11"/>
      <c r="T13604" s="11"/>
    </row>
    <row r="13605" spans="8:20" x14ac:dyDescent="0.35">
      <c r="H13605" s="711"/>
      <c r="I13605" s="711"/>
      <c r="J13605" s="711"/>
      <c r="K13605" s="711"/>
      <c r="L13605" s="711"/>
      <c r="Q13605" s="11"/>
      <c r="R13605" s="11"/>
      <c r="S13605" s="11"/>
      <c r="T13605" s="11"/>
    </row>
    <row r="13606" spans="8:20" x14ac:dyDescent="0.35">
      <c r="H13606" s="711"/>
      <c r="I13606" s="711"/>
      <c r="J13606" s="711"/>
      <c r="K13606" s="711"/>
      <c r="L13606" s="711"/>
      <c r="Q13606" s="11"/>
      <c r="R13606" s="11"/>
      <c r="S13606" s="11"/>
      <c r="T13606" s="11"/>
    </row>
    <row r="13607" spans="8:20" x14ac:dyDescent="0.35">
      <c r="H13607" s="711"/>
      <c r="I13607" s="711"/>
      <c r="J13607" s="711"/>
      <c r="K13607" s="711"/>
      <c r="L13607" s="711"/>
      <c r="Q13607" s="11"/>
      <c r="R13607" s="11"/>
      <c r="S13607" s="11"/>
      <c r="T13607" s="11"/>
    </row>
    <row r="13608" spans="8:20" x14ac:dyDescent="0.35">
      <c r="H13608" s="711"/>
      <c r="I13608" s="711"/>
      <c r="J13608" s="711"/>
      <c r="K13608" s="711"/>
      <c r="L13608" s="711"/>
      <c r="Q13608" s="11"/>
      <c r="R13608" s="11"/>
      <c r="S13608" s="11"/>
      <c r="T13608" s="11"/>
    </row>
    <row r="13609" spans="8:20" x14ac:dyDescent="0.35">
      <c r="H13609" s="711"/>
      <c r="I13609" s="711"/>
      <c r="J13609" s="711"/>
      <c r="K13609" s="711"/>
      <c r="L13609" s="711"/>
      <c r="Q13609" s="11"/>
      <c r="R13609" s="11"/>
      <c r="S13609" s="11"/>
      <c r="T13609" s="11"/>
    </row>
    <row r="13610" spans="8:20" x14ac:dyDescent="0.35">
      <c r="H13610" s="711"/>
      <c r="I13610" s="711"/>
      <c r="J13610" s="711"/>
      <c r="K13610" s="711"/>
      <c r="L13610" s="711"/>
      <c r="Q13610" s="11"/>
      <c r="R13610" s="11"/>
      <c r="S13610" s="11"/>
      <c r="T13610" s="11"/>
    </row>
    <row r="13611" spans="8:20" x14ac:dyDescent="0.35">
      <c r="H13611" s="711"/>
      <c r="I13611" s="711"/>
      <c r="J13611" s="711"/>
      <c r="K13611" s="711"/>
      <c r="L13611" s="711"/>
      <c r="Q13611" s="11"/>
      <c r="R13611" s="11"/>
      <c r="S13611" s="11"/>
      <c r="T13611" s="11"/>
    </row>
    <row r="13612" spans="8:20" x14ac:dyDescent="0.35">
      <c r="H13612" s="711"/>
      <c r="I13612" s="711"/>
      <c r="J13612" s="711"/>
      <c r="K13612" s="711"/>
      <c r="L13612" s="711"/>
      <c r="Q13612" s="11"/>
      <c r="R13612" s="11"/>
      <c r="S13612" s="11"/>
      <c r="T13612" s="11"/>
    </row>
    <row r="13613" spans="8:20" x14ac:dyDescent="0.35">
      <c r="H13613" s="711"/>
      <c r="I13613" s="711"/>
      <c r="J13613" s="711"/>
      <c r="K13613" s="711"/>
      <c r="L13613" s="711"/>
      <c r="Q13613" s="11"/>
      <c r="R13613" s="11"/>
      <c r="S13613" s="11"/>
      <c r="T13613" s="11"/>
    </row>
    <row r="13614" spans="8:20" x14ac:dyDescent="0.35">
      <c r="H13614" s="711"/>
      <c r="I13614" s="711"/>
      <c r="J13614" s="711"/>
      <c r="K13614" s="711"/>
      <c r="L13614" s="711"/>
      <c r="Q13614" s="11"/>
      <c r="R13614" s="11"/>
      <c r="S13614" s="11"/>
      <c r="T13614" s="11"/>
    </row>
    <row r="13615" spans="8:20" x14ac:dyDescent="0.35">
      <c r="H13615" s="711"/>
      <c r="I13615" s="711"/>
      <c r="J13615" s="711"/>
      <c r="K13615" s="711"/>
      <c r="L13615" s="711"/>
      <c r="Q13615" s="11"/>
      <c r="R13615" s="11"/>
      <c r="S13615" s="11"/>
      <c r="T13615" s="11"/>
    </row>
    <row r="13616" spans="8:20" x14ac:dyDescent="0.35">
      <c r="H13616" s="711"/>
      <c r="I13616" s="711"/>
      <c r="J13616" s="711"/>
      <c r="K13616" s="711"/>
      <c r="L13616" s="711"/>
      <c r="Q13616" s="11"/>
      <c r="R13616" s="11"/>
      <c r="S13616" s="11"/>
      <c r="T13616" s="11"/>
    </row>
    <row r="13617" spans="8:20" x14ac:dyDescent="0.35">
      <c r="H13617" s="711"/>
      <c r="I13617" s="711"/>
      <c r="J13617" s="711"/>
      <c r="K13617" s="711"/>
      <c r="L13617" s="711"/>
      <c r="Q13617" s="11"/>
      <c r="R13617" s="11"/>
      <c r="S13617" s="11"/>
      <c r="T13617" s="11"/>
    </row>
    <row r="13618" spans="8:20" x14ac:dyDescent="0.35">
      <c r="H13618" s="711"/>
      <c r="I13618" s="711"/>
      <c r="J13618" s="711"/>
      <c r="K13618" s="711"/>
      <c r="L13618" s="711"/>
      <c r="Q13618" s="11"/>
      <c r="R13618" s="11"/>
      <c r="S13618" s="11"/>
      <c r="T13618" s="11"/>
    </row>
    <row r="13619" spans="8:20" x14ac:dyDescent="0.35">
      <c r="H13619" s="711"/>
      <c r="I13619" s="711"/>
      <c r="J13619" s="711"/>
      <c r="K13619" s="711"/>
      <c r="L13619" s="711"/>
      <c r="Q13619" s="11"/>
      <c r="R13619" s="11"/>
      <c r="S13619" s="11"/>
      <c r="T13619" s="11"/>
    </row>
    <row r="13620" spans="8:20" x14ac:dyDescent="0.35">
      <c r="H13620" s="711"/>
      <c r="I13620" s="711"/>
      <c r="J13620" s="711"/>
      <c r="K13620" s="711"/>
      <c r="L13620" s="711"/>
      <c r="Q13620" s="11"/>
      <c r="R13620" s="11"/>
      <c r="S13620" s="11"/>
      <c r="T13620" s="11"/>
    </row>
    <row r="13621" spans="8:20" x14ac:dyDescent="0.35">
      <c r="H13621" s="711"/>
      <c r="I13621" s="711"/>
      <c r="J13621" s="711"/>
      <c r="K13621" s="711"/>
      <c r="L13621" s="711"/>
      <c r="Q13621" s="11"/>
      <c r="R13621" s="11"/>
      <c r="S13621" s="11"/>
      <c r="T13621" s="11"/>
    </row>
    <row r="13622" spans="8:20" x14ac:dyDescent="0.35">
      <c r="H13622" s="711"/>
      <c r="I13622" s="711"/>
      <c r="J13622" s="711"/>
      <c r="K13622" s="711"/>
      <c r="L13622" s="711"/>
      <c r="Q13622" s="11"/>
      <c r="R13622" s="11"/>
      <c r="S13622" s="11"/>
      <c r="T13622" s="11"/>
    </row>
    <row r="13623" spans="8:20" x14ac:dyDescent="0.35">
      <c r="H13623" s="711"/>
      <c r="I13623" s="711"/>
      <c r="J13623" s="711"/>
      <c r="K13623" s="711"/>
      <c r="L13623" s="711"/>
      <c r="Q13623" s="11"/>
      <c r="R13623" s="11"/>
      <c r="S13623" s="11"/>
      <c r="T13623" s="11"/>
    </row>
    <row r="13624" spans="8:20" x14ac:dyDescent="0.35">
      <c r="H13624" s="711"/>
      <c r="I13624" s="711"/>
      <c r="J13624" s="711"/>
      <c r="K13624" s="711"/>
      <c r="L13624" s="711"/>
      <c r="Q13624" s="11"/>
      <c r="R13624" s="11"/>
      <c r="S13624" s="11"/>
      <c r="T13624" s="11"/>
    </row>
    <row r="13625" spans="8:20" x14ac:dyDescent="0.35">
      <c r="H13625" s="711"/>
      <c r="I13625" s="711"/>
      <c r="J13625" s="711"/>
      <c r="K13625" s="711"/>
      <c r="L13625" s="711"/>
      <c r="Q13625" s="11"/>
      <c r="R13625" s="11"/>
      <c r="S13625" s="11"/>
      <c r="T13625" s="11"/>
    </row>
    <row r="13626" spans="8:20" x14ac:dyDescent="0.35">
      <c r="H13626" s="711"/>
      <c r="I13626" s="711"/>
      <c r="J13626" s="711"/>
      <c r="K13626" s="711"/>
      <c r="L13626" s="711"/>
      <c r="Q13626" s="11"/>
      <c r="R13626" s="11"/>
      <c r="S13626" s="11"/>
      <c r="T13626" s="11"/>
    </row>
    <row r="13627" spans="8:20" x14ac:dyDescent="0.35">
      <c r="H13627" s="711"/>
      <c r="I13627" s="711"/>
      <c r="J13627" s="711"/>
      <c r="K13627" s="711"/>
      <c r="L13627" s="711"/>
      <c r="Q13627" s="11"/>
      <c r="R13627" s="11"/>
      <c r="S13627" s="11"/>
      <c r="T13627" s="11"/>
    </row>
    <row r="13628" spans="8:20" x14ac:dyDescent="0.35">
      <c r="H13628" s="711"/>
      <c r="I13628" s="711"/>
      <c r="J13628" s="711"/>
      <c r="K13628" s="711"/>
      <c r="L13628" s="711"/>
      <c r="Q13628" s="11"/>
      <c r="R13628" s="11"/>
      <c r="S13628" s="11"/>
      <c r="T13628" s="11"/>
    </row>
    <row r="13629" spans="8:20" x14ac:dyDescent="0.35">
      <c r="H13629" s="711"/>
      <c r="I13629" s="711"/>
      <c r="J13629" s="711"/>
      <c r="K13629" s="711"/>
      <c r="L13629" s="711"/>
      <c r="Q13629" s="11"/>
      <c r="R13629" s="11"/>
      <c r="S13629" s="11"/>
      <c r="T13629" s="11"/>
    </row>
    <row r="13630" spans="8:20" x14ac:dyDescent="0.35">
      <c r="H13630" s="711"/>
      <c r="I13630" s="711"/>
      <c r="J13630" s="711"/>
      <c r="K13630" s="711"/>
      <c r="L13630" s="711"/>
      <c r="Q13630" s="11"/>
      <c r="R13630" s="11"/>
      <c r="S13630" s="11"/>
      <c r="T13630" s="11"/>
    </row>
    <row r="13631" spans="8:20" x14ac:dyDescent="0.35">
      <c r="H13631" s="711"/>
      <c r="I13631" s="711"/>
      <c r="J13631" s="711"/>
      <c r="K13631" s="711"/>
      <c r="L13631" s="711"/>
      <c r="Q13631" s="11"/>
      <c r="R13631" s="11"/>
      <c r="S13631" s="11"/>
      <c r="T13631" s="11"/>
    </row>
    <row r="13632" spans="8:20" x14ac:dyDescent="0.35">
      <c r="H13632" s="711"/>
      <c r="I13632" s="711"/>
      <c r="J13632" s="711"/>
      <c r="K13632" s="711"/>
      <c r="L13632" s="711"/>
      <c r="Q13632" s="11"/>
      <c r="R13632" s="11"/>
      <c r="S13632" s="11"/>
      <c r="T13632" s="11"/>
    </row>
    <row r="13633" spans="8:20" x14ac:dyDescent="0.35">
      <c r="H13633" s="711"/>
      <c r="I13633" s="711"/>
      <c r="J13633" s="711"/>
      <c r="K13633" s="711"/>
      <c r="L13633" s="711"/>
      <c r="Q13633" s="11"/>
      <c r="R13633" s="11"/>
      <c r="S13633" s="11"/>
      <c r="T13633" s="11"/>
    </row>
    <row r="13634" spans="8:20" x14ac:dyDescent="0.35">
      <c r="H13634" s="711"/>
      <c r="I13634" s="711"/>
      <c r="J13634" s="711"/>
      <c r="K13634" s="711"/>
      <c r="L13634" s="711"/>
      <c r="Q13634" s="11"/>
      <c r="R13634" s="11"/>
      <c r="S13634" s="11"/>
      <c r="T13634" s="11"/>
    </row>
    <row r="13635" spans="8:20" x14ac:dyDescent="0.35">
      <c r="H13635" s="711"/>
      <c r="I13635" s="711"/>
      <c r="J13635" s="711"/>
      <c r="K13635" s="711"/>
      <c r="L13635" s="711"/>
      <c r="Q13635" s="11"/>
      <c r="R13635" s="11"/>
      <c r="S13635" s="11"/>
      <c r="T13635" s="11"/>
    </row>
    <row r="13636" spans="8:20" x14ac:dyDescent="0.35">
      <c r="H13636" s="711"/>
      <c r="I13636" s="711"/>
      <c r="J13636" s="711"/>
      <c r="K13636" s="711"/>
      <c r="L13636" s="711"/>
      <c r="Q13636" s="11"/>
      <c r="R13636" s="11"/>
      <c r="S13636" s="11"/>
      <c r="T13636" s="11"/>
    </row>
    <row r="13637" spans="8:20" x14ac:dyDescent="0.35">
      <c r="H13637" s="711"/>
      <c r="I13637" s="711"/>
      <c r="J13637" s="711"/>
      <c r="K13637" s="711"/>
      <c r="L13637" s="711"/>
      <c r="Q13637" s="11"/>
      <c r="R13637" s="11"/>
      <c r="S13637" s="11"/>
      <c r="T13637" s="11"/>
    </row>
    <row r="13638" spans="8:20" x14ac:dyDescent="0.35">
      <c r="H13638" s="711"/>
      <c r="I13638" s="711"/>
      <c r="J13638" s="711"/>
      <c r="K13638" s="711"/>
      <c r="L13638" s="711"/>
      <c r="Q13638" s="11"/>
      <c r="R13638" s="11"/>
      <c r="S13638" s="11"/>
      <c r="T13638" s="11"/>
    </row>
    <row r="13639" spans="8:20" x14ac:dyDescent="0.35">
      <c r="H13639" s="711"/>
      <c r="I13639" s="711"/>
      <c r="J13639" s="711"/>
      <c r="K13639" s="711"/>
      <c r="L13639" s="711"/>
      <c r="Q13639" s="11"/>
      <c r="R13639" s="11"/>
      <c r="S13639" s="11"/>
      <c r="T13639" s="11"/>
    </row>
    <row r="13640" spans="8:20" x14ac:dyDescent="0.35">
      <c r="H13640" s="711"/>
      <c r="I13640" s="711"/>
      <c r="J13640" s="711"/>
      <c r="K13640" s="711"/>
      <c r="L13640" s="711"/>
      <c r="Q13640" s="11"/>
      <c r="R13640" s="11"/>
      <c r="S13640" s="11"/>
      <c r="T13640" s="11"/>
    </row>
    <row r="13641" spans="8:20" x14ac:dyDescent="0.35">
      <c r="H13641" s="711"/>
      <c r="I13641" s="711"/>
      <c r="J13641" s="711"/>
      <c r="K13641" s="711"/>
      <c r="L13641" s="711"/>
      <c r="Q13641" s="11"/>
      <c r="R13641" s="11"/>
      <c r="S13641" s="11"/>
      <c r="T13641" s="11"/>
    </row>
    <row r="13642" spans="8:20" x14ac:dyDescent="0.35">
      <c r="H13642" s="711"/>
      <c r="I13642" s="711"/>
      <c r="J13642" s="711"/>
      <c r="K13642" s="711"/>
      <c r="L13642" s="711"/>
      <c r="Q13642" s="11"/>
      <c r="R13642" s="11"/>
      <c r="S13642" s="11"/>
      <c r="T13642" s="11"/>
    </row>
    <row r="13643" spans="8:20" x14ac:dyDescent="0.35">
      <c r="H13643" s="711"/>
      <c r="I13643" s="711"/>
      <c r="J13643" s="711"/>
      <c r="K13643" s="711"/>
      <c r="L13643" s="711"/>
      <c r="Q13643" s="11"/>
      <c r="R13643" s="11"/>
      <c r="S13643" s="11"/>
      <c r="T13643" s="11"/>
    </row>
    <row r="13644" spans="8:20" x14ac:dyDescent="0.35">
      <c r="H13644" s="711"/>
      <c r="I13644" s="711"/>
      <c r="J13644" s="711"/>
      <c r="K13644" s="711"/>
      <c r="L13644" s="711"/>
      <c r="Q13644" s="11"/>
      <c r="R13644" s="11"/>
      <c r="S13644" s="11"/>
      <c r="T13644" s="11"/>
    </row>
    <row r="13645" spans="8:20" x14ac:dyDescent="0.35">
      <c r="H13645" s="711"/>
      <c r="I13645" s="711"/>
      <c r="J13645" s="711"/>
      <c r="K13645" s="711"/>
      <c r="L13645" s="711"/>
      <c r="Q13645" s="11"/>
      <c r="R13645" s="11"/>
      <c r="S13645" s="11"/>
      <c r="T13645" s="11"/>
    </row>
    <row r="13646" spans="8:20" x14ac:dyDescent="0.35">
      <c r="H13646" s="711"/>
      <c r="I13646" s="711"/>
      <c r="J13646" s="711"/>
      <c r="K13646" s="711"/>
      <c r="L13646" s="711"/>
      <c r="Q13646" s="11"/>
      <c r="R13646" s="11"/>
      <c r="S13646" s="11"/>
      <c r="T13646" s="11"/>
    </row>
    <row r="13647" spans="8:20" x14ac:dyDescent="0.35">
      <c r="H13647" s="711"/>
      <c r="I13647" s="711"/>
      <c r="J13647" s="711"/>
      <c r="K13647" s="711"/>
      <c r="L13647" s="711"/>
      <c r="Q13647" s="11"/>
      <c r="R13647" s="11"/>
      <c r="S13647" s="11"/>
      <c r="T13647" s="11"/>
    </row>
    <row r="13648" spans="8:20" x14ac:dyDescent="0.35">
      <c r="H13648" s="711"/>
      <c r="I13648" s="711"/>
      <c r="J13648" s="711"/>
      <c r="K13648" s="711"/>
      <c r="L13648" s="711"/>
      <c r="Q13648" s="11"/>
      <c r="R13648" s="11"/>
      <c r="S13648" s="11"/>
      <c r="T13648" s="11"/>
    </row>
    <row r="13649" spans="8:20" x14ac:dyDescent="0.35">
      <c r="H13649" s="711"/>
      <c r="I13649" s="711"/>
      <c r="J13649" s="711"/>
      <c r="K13649" s="711"/>
      <c r="L13649" s="711"/>
      <c r="Q13649" s="11"/>
      <c r="R13649" s="11"/>
      <c r="S13649" s="11"/>
      <c r="T13649" s="11"/>
    </row>
    <row r="13650" spans="8:20" x14ac:dyDescent="0.35">
      <c r="H13650" s="711"/>
      <c r="I13650" s="711"/>
      <c r="J13650" s="711"/>
      <c r="K13650" s="711"/>
      <c r="L13650" s="711"/>
      <c r="Q13650" s="11"/>
      <c r="R13650" s="11"/>
      <c r="S13650" s="11"/>
      <c r="T13650" s="11"/>
    </row>
    <row r="13651" spans="8:20" x14ac:dyDescent="0.35">
      <c r="H13651" s="711"/>
      <c r="I13651" s="711"/>
      <c r="J13651" s="711"/>
      <c r="K13651" s="711"/>
      <c r="L13651" s="711"/>
      <c r="Q13651" s="11"/>
      <c r="R13651" s="11"/>
      <c r="S13651" s="11"/>
      <c r="T13651" s="11"/>
    </row>
    <row r="13652" spans="8:20" x14ac:dyDescent="0.35">
      <c r="H13652" s="711"/>
      <c r="I13652" s="711"/>
      <c r="J13652" s="711"/>
      <c r="K13652" s="711"/>
      <c r="L13652" s="711"/>
      <c r="Q13652" s="11"/>
      <c r="R13652" s="11"/>
      <c r="S13652" s="11"/>
      <c r="T13652" s="11"/>
    </row>
    <row r="13653" spans="8:20" x14ac:dyDescent="0.35">
      <c r="H13653" s="711"/>
      <c r="I13653" s="711"/>
      <c r="J13653" s="711"/>
      <c r="K13653" s="711"/>
      <c r="L13653" s="711"/>
      <c r="Q13653" s="11"/>
      <c r="R13653" s="11"/>
      <c r="S13653" s="11"/>
      <c r="T13653" s="11"/>
    </row>
    <row r="13654" spans="8:20" x14ac:dyDescent="0.35">
      <c r="H13654" s="711"/>
      <c r="I13654" s="711"/>
      <c r="J13654" s="711"/>
      <c r="K13654" s="711"/>
      <c r="L13654" s="711"/>
      <c r="Q13654" s="11"/>
      <c r="R13654" s="11"/>
      <c r="S13654" s="11"/>
      <c r="T13654" s="11"/>
    </row>
    <row r="13655" spans="8:20" x14ac:dyDescent="0.35">
      <c r="H13655" s="711"/>
      <c r="I13655" s="711"/>
      <c r="J13655" s="711"/>
      <c r="K13655" s="711"/>
      <c r="L13655" s="711"/>
      <c r="Q13655" s="11"/>
      <c r="R13655" s="11"/>
      <c r="S13655" s="11"/>
      <c r="T13655" s="11"/>
    </row>
    <row r="13656" spans="8:20" x14ac:dyDescent="0.35">
      <c r="H13656" s="711"/>
      <c r="I13656" s="711"/>
      <c r="J13656" s="711"/>
      <c r="K13656" s="711"/>
      <c r="L13656" s="711"/>
      <c r="Q13656" s="11"/>
      <c r="R13656" s="11"/>
      <c r="S13656" s="11"/>
      <c r="T13656" s="11"/>
    </row>
    <row r="13657" spans="8:20" x14ac:dyDescent="0.35">
      <c r="H13657" s="711"/>
      <c r="I13657" s="711"/>
      <c r="J13657" s="711"/>
      <c r="K13657" s="711"/>
      <c r="L13657" s="711"/>
      <c r="Q13657" s="11"/>
      <c r="R13657" s="11"/>
      <c r="S13657" s="11"/>
      <c r="T13657" s="11"/>
    </row>
    <row r="13658" spans="8:20" x14ac:dyDescent="0.35">
      <c r="H13658" s="711"/>
      <c r="I13658" s="711"/>
      <c r="J13658" s="711"/>
      <c r="K13658" s="711"/>
      <c r="L13658" s="711"/>
      <c r="Q13658" s="11"/>
      <c r="R13658" s="11"/>
      <c r="S13658" s="11"/>
      <c r="T13658" s="11"/>
    </row>
    <row r="13659" spans="8:20" x14ac:dyDescent="0.35">
      <c r="H13659" s="711"/>
      <c r="I13659" s="711"/>
      <c r="J13659" s="711"/>
      <c r="K13659" s="711"/>
      <c r="L13659" s="711"/>
      <c r="Q13659" s="11"/>
      <c r="R13659" s="11"/>
      <c r="S13659" s="11"/>
      <c r="T13659" s="11"/>
    </row>
    <row r="13660" spans="8:20" x14ac:dyDescent="0.35">
      <c r="H13660" s="711"/>
      <c r="I13660" s="711"/>
      <c r="J13660" s="711"/>
      <c r="K13660" s="711"/>
      <c r="L13660" s="711"/>
      <c r="Q13660" s="11"/>
      <c r="R13660" s="11"/>
      <c r="S13660" s="11"/>
      <c r="T13660" s="11"/>
    </row>
    <row r="13661" spans="8:20" x14ac:dyDescent="0.35">
      <c r="H13661" s="711"/>
      <c r="I13661" s="711"/>
      <c r="J13661" s="711"/>
      <c r="K13661" s="711"/>
      <c r="L13661" s="711"/>
      <c r="Q13661" s="11"/>
      <c r="R13661" s="11"/>
      <c r="S13661" s="11"/>
      <c r="T13661" s="11"/>
    </row>
    <row r="13662" spans="8:20" x14ac:dyDescent="0.35">
      <c r="H13662" s="711"/>
      <c r="I13662" s="711"/>
      <c r="J13662" s="711"/>
      <c r="K13662" s="711"/>
      <c r="L13662" s="711"/>
      <c r="Q13662" s="11"/>
      <c r="R13662" s="11"/>
      <c r="S13662" s="11"/>
      <c r="T13662" s="11"/>
    </row>
    <row r="13663" spans="8:20" x14ac:dyDescent="0.35">
      <c r="H13663" s="711"/>
      <c r="I13663" s="711"/>
      <c r="J13663" s="711"/>
      <c r="K13663" s="711"/>
      <c r="L13663" s="711"/>
      <c r="Q13663" s="11"/>
      <c r="R13663" s="11"/>
      <c r="S13663" s="11"/>
      <c r="T13663" s="11"/>
    </row>
    <row r="13664" spans="8:20" x14ac:dyDescent="0.35">
      <c r="H13664" s="711"/>
      <c r="I13664" s="711"/>
      <c r="J13664" s="711"/>
      <c r="K13664" s="711"/>
      <c r="L13664" s="711"/>
      <c r="Q13664" s="11"/>
      <c r="R13664" s="11"/>
      <c r="S13664" s="11"/>
      <c r="T13664" s="11"/>
    </row>
    <row r="13665" spans="8:20" x14ac:dyDescent="0.35">
      <c r="H13665" s="711"/>
      <c r="I13665" s="711"/>
      <c r="J13665" s="711"/>
      <c r="K13665" s="711"/>
      <c r="L13665" s="711"/>
      <c r="Q13665" s="11"/>
      <c r="R13665" s="11"/>
      <c r="S13665" s="11"/>
      <c r="T13665" s="11"/>
    </row>
    <row r="13666" spans="8:20" x14ac:dyDescent="0.35">
      <c r="H13666" s="711"/>
      <c r="I13666" s="711"/>
      <c r="J13666" s="711"/>
      <c r="K13666" s="711"/>
      <c r="L13666" s="711"/>
      <c r="Q13666" s="11"/>
      <c r="R13666" s="11"/>
      <c r="S13666" s="11"/>
      <c r="T13666" s="11"/>
    </row>
    <row r="13667" spans="8:20" x14ac:dyDescent="0.35">
      <c r="H13667" s="711"/>
      <c r="I13667" s="711"/>
      <c r="J13667" s="711"/>
      <c r="K13667" s="711"/>
      <c r="L13667" s="711"/>
      <c r="Q13667" s="11"/>
      <c r="R13667" s="11"/>
      <c r="S13667" s="11"/>
      <c r="T13667" s="11"/>
    </row>
    <row r="13668" spans="8:20" x14ac:dyDescent="0.35">
      <c r="H13668" s="711"/>
      <c r="I13668" s="711"/>
      <c r="J13668" s="711"/>
      <c r="K13668" s="711"/>
      <c r="L13668" s="711"/>
      <c r="Q13668" s="11"/>
      <c r="R13668" s="11"/>
      <c r="S13668" s="11"/>
      <c r="T13668" s="11"/>
    </row>
    <row r="13669" spans="8:20" x14ac:dyDescent="0.35">
      <c r="H13669" s="711"/>
      <c r="I13669" s="711"/>
      <c r="J13669" s="711"/>
      <c r="K13669" s="711"/>
      <c r="L13669" s="711"/>
      <c r="Q13669" s="11"/>
      <c r="R13669" s="11"/>
      <c r="S13669" s="11"/>
      <c r="T13669" s="11"/>
    </row>
    <row r="13670" spans="8:20" x14ac:dyDescent="0.35">
      <c r="H13670" s="711"/>
      <c r="I13670" s="711"/>
      <c r="J13670" s="711"/>
      <c r="K13670" s="711"/>
      <c r="L13670" s="711"/>
      <c r="Q13670" s="11"/>
      <c r="R13670" s="11"/>
      <c r="S13670" s="11"/>
      <c r="T13670" s="11"/>
    </row>
    <row r="13671" spans="8:20" x14ac:dyDescent="0.35">
      <c r="H13671" s="711"/>
      <c r="I13671" s="711"/>
      <c r="J13671" s="711"/>
      <c r="K13671" s="711"/>
      <c r="L13671" s="711"/>
      <c r="Q13671" s="11"/>
      <c r="R13671" s="11"/>
      <c r="S13671" s="11"/>
      <c r="T13671" s="11"/>
    </row>
    <row r="13672" spans="8:20" x14ac:dyDescent="0.35">
      <c r="H13672" s="711"/>
      <c r="I13672" s="711"/>
      <c r="J13672" s="711"/>
      <c r="K13672" s="711"/>
      <c r="L13672" s="711"/>
      <c r="Q13672" s="11"/>
      <c r="R13672" s="11"/>
      <c r="S13672" s="11"/>
      <c r="T13672" s="11"/>
    </row>
    <row r="13673" spans="8:20" x14ac:dyDescent="0.35">
      <c r="H13673" s="711"/>
      <c r="I13673" s="711"/>
      <c r="J13673" s="711"/>
      <c r="K13673" s="711"/>
      <c r="L13673" s="711"/>
      <c r="Q13673" s="11"/>
      <c r="R13673" s="11"/>
      <c r="S13673" s="11"/>
      <c r="T13673" s="11"/>
    </row>
    <row r="13674" spans="8:20" x14ac:dyDescent="0.35">
      <c r="H13674" s="711"/>
      <c r="I13674" s="711"/>
      <c r="J13674" s="711"/>
      <c r="K13674" s="711"/>
      <c r="L13674" s="711"/>
      <c r="Q13674" s="11"/>
      <c r="R13674" s="11"/>
      <c r="S13674" s="11"/>
      <c r="T13674" s="11"/>
    </row>
    <row r="13675" spans="8:20" x14ac:dyDescent="0.35">
      <c r="H13675" s="711"/>
      <c r="I13675" s="711"/>
      <c r="J13675" s="711"/>
      <c r="K13675" s="711"/>
      <c r="L13675" s="711"/>
      <c r="Q13675" s="11"/>
      <c r="R13675" s="11"/>
      <c r="S13675" s="11"/>
      <c r="T13675" s="11"/>
    </row>
    <row r="13676" spans="8:20" x14ac:dyDescent="0.35">
      <c r="H13676" s="711"/>
      <c r="I13676" s="711"/>
      <c r="J13676" s="711"/>
      <c r="K13676" s="711"/>
      <c r="L13676" s="711"/>
      <c r="Q13676" s="11"/>
      <c r="R13676" s="11"/>
      <c r="S13676" s="11"/>
      <c r="T13676" s="11"/>
    </row>
    <row r="13677" spans="8:20" x14ac:dyDescent="0.35">
      <c r="H13677" s="711"/>
      <c r="I13677" s="711"/>
      <c r="J13677" s="711"/>
      <c r="K13677" s="711"/>
      <c r="L13677" s="711"/>
      <c r="Q13677" s="11"/>
      <c r="R13677" s="11"/>
      <c r="S13677" s="11"/>
      <c r="T13677" s="11"/>
    </row>
    <row r="13678" spans="8:20" x14ac:dyDescent="0.35">
      <c r="H13678" s="711"/>
      <c r="I13678" s="711"/>
      <c r="J13678" s="711"/>
      <c r="K13678" s="711"/>
      <c r="L13678" s="711"/>
      <c r="Q13678" s="11"/>
      <c r="R13678" s="11"/>
      <c r="S13678" s="11"/>
      <c r="T13678" s="11"/>
    </row>
    <row r="13679" spans="8:20" x14ac:dyDescent="0.35">
      <c r="H13679" s="711"/>
      <c r="I13679" s="711"/>
      <c r="J13679" s="711"/>
      <c r="K13679" s="711"/>
      <c r="L13679" s="711"/>
      <c r="Q13679" s="11"/>
      <c r="R13679" s="11"/>
      <c r="S13679" s="11"/>
      <c r="T13679" s="11"/>
    </row>
    <row r="13680" spans="8:20" x14ac:dyDescent="0.35">
      <c r="H13680" s="711"/>
      <c r="I13680" s="711"/>
      <c r="J13680" s="711"/>
      <c r="K13680" s="711"/>
      <c r="L13680" s="711"/>
      <c r="Q13680" s="11"/>
      <c r="R13680" s="11"/>
      <c r="S13680" s="11"/>
      <c r="T13680" s="11"/>
    </row>
    <row r="13681" spans="8:20" x14ac:dyDescent="0.35">
      <c r="H13681" s="711"/>
      <c r="I13681" s="711"/>
      <c r="J13681" s="711"/>
      <c r="K13681" s="711"/>
      <c r="L13681" s="711"/>
      <c r="Q13681" s="11"/>
      <c r="R13681" s="11"/>
      <c r="S13681" s="11"/>
      <c r="T13681" s="11"/>
    </row>
    <row r="13682" spans="8:20" x14ac:dyDescent="0.35">
      <c r="H13682" s="711"/>
      <c r="I13682" s="711"/>
      <c r="J13682" s="711"/>
      <c r="K13682" s="711"/>
      <c r="L13682" s="711"/>
      <c r="Q13682" s="11"/>
      <c r="R13682" s="11"/>
      <c r="S13682" s="11"/>
      <c r="T13682" s="11"/>
    </row>
    <row r="13683" spans="8:20" x14ac:dyDescent="0.35">
      <c r="H13683" s="711"/>
      <c r="I13683" s="711"/>
      <c r="J13683" s="711"/>
      <c r="K13683" s="711"/>
      <c r="L13683" s="711"/>
      <c r="Q13683" s="11"/>
      <c r="R13683" s="11"/>
      <c r="S13683" s="11"/>
      <c r="T13683" s="11"/>
    </row>
    <row r="13684" spans="8:20" x14ac:dyDescent="0.35">
      <c r="H13684" s="711"/>
      <c r="I13684" s="711"/>
      <c r="J13684" s="711"/>
      <c r="K13684" s="711"/>
      <c r="L13684" s="711"/>
      <c r="Q13684" s="11"/>
      <c r="R13684" s="11"/>
      <c r="S13684" s="11"/>
      <c r="T13684" s="11"/>
    </row>
    <row r="13685" spans="8:20" x14ac:dyDescent="0.35">
      <c r="H13685" s="711"/>
      <c r="I13685" s="711"/>
      <c r="J13685" s="711"/>
      <c r="K13685" s="711"/>
      <c r="L13685" s="711"/>
      <c r="Q13685" s="11"/>
      <c r="R13685" s="11"/>
      <c r="S13685" s="11"/>
      <c r="T13685" s="11"/>
    </row>
    <row r="13686" spans="8:20" x14ac:dyDescent="0.35">
      <c r="H13686" s="711"/>
      <c r="I13686" s="711"/>
      <c r="J13686" s="711"/>
      <c r="K13686" s="711"/>
      <c r="L13686" s="711"/>
      <c r="Q13686" s="11"/>
      <c r="R13686" s="11"/>
      <c r="S13686" s="11"/>
      <c r="T13686" s="11"/>
    </row>
    <row r="13687" spans="8:20" x14ac:dyDescent="0.35">
      <c r="H13687" s="711"/>
      <c r="I13687" s="711"/>
      <c r="J13687" s="711"/>
      <c r="K13687" s="711"/>
      <c r="L13687" s="711"/>
      <c r="Q13687" s="11"/>
      <c r="R13687" s="11"/>
      <c r="S13687" s="11"/>
      <c r="T13687" s="11"/>
    </row>
    <row r="13688" spans="8:20" x14ac:dyDescent="0.35">
      <c r="H13688" s="711"/>
      <c r="I13688" s="711"/>
      <c r="J13688" s="711"/>
      <c r="K13688" s="711"/>
      <c r="L13688" s="711"/>
      <c r="Q13688" s="11"/>
      <c r="R13688" s="11"/>
      <c r="S13688" s="11"/>
      <c r="T13688" s="11"/>
    </row>
    <row r="13689" spans="8:20" x14ac:dyDescent="0.35">
      <c r="H13689" s="711"/>
      <c r="I13689" s="711"/>
      <c r="J13689" s="711"/>
      <c r="K13689" s="711"/>
      <c r="L13689" s="711"/>
      <c r="Q13689" s="11"/>
      <c r="R13689" s="11"/>
      <c r="S13689" s="11"/>
      <c r="T13689" s="11"/>
    </row>
    <row r="13690" spans="8:20" x14ac:dyDescent="0.35">
      <c r="H13690" s="711"/>
      <c r="I13690" s="711"/>
      <c r="J13690" s="711"/>
      <c r="K13690" s="711"/>
      <c r="L13690" s="711"/>
      <c r="Q13690" s="11"/>
      <c r="R13690" s="11"/>
      <c r="S13690" s="11"/>
      <c r="T13690" s="11"/>
    </row>
    <row r="13691" spans="8:20" x14ac:dyDescent="0.35">
      <c r="H13691" s="711"/>
      <c r="I13691" s="711"/>
      <c r="J13691" s="711"/>
      <c r="K13691" s="711"/>
      <c r="L13691" s="711"/>
      <c r="Q13691" s="11"/>
      <c r="R13691" s="11"/>
      <c r="S13691" s="11"/>
      <c r="T13691" s="11"/>
    </row>
    <row r="13692" spans="8:20" x14ac:dyDescent="0.35">
      <c r="H13692" s="711"/>
      <c r="I13692" s="711"/>
      <c r="J13692" s="711"/>
      <c r="K13692" s="711"/>
      <c r="L13692" s="711"/>
      <c r="Q13692" s="11"/>
      <c r="R13692" s="11"/>
      <c r="S13692" s="11"/>
      <c r="T13692" s="11"/>
    </row>
    <row r="13693" spans="8:20" x14ac:dyDescent="0.35">
      <c r="H13693" s="711"/>
      <c r="I13693" s="711"/>
      <c r="J13693" s="711"/>
      <c r="K13693" s="711"/>
      <c r="L13693" s="711"/>
      <c r="Q13693" s="11"/>
      <c r="R13693" s="11"/>
      <c r="S13693" s="11"/>
      <c r="T13693" s="11"/>
    </row>
    <row r="13694" spans="8:20" x14ac:dyDescent="0.35">
      <c r="H13694" s="711"/>
      <c r="I13694" s="711"/>
      <c r="J13694" s="711"/>
      <c r="K13694" s="711"/>
      <c r="L13694" s="711"/>
      <c r="Q13694" s="11"/>
      <c r="R13694" s="11"/>
      <c r="S13694" s="11"/>
      <c r="T13694" s="11"/>
    </row>
    <row r="13695" spans="8:20" x14ac:dyDescent="0.35">
      <c r="H13695" s="711"/>
      <c r="I13695" s="711"/>
      <c r="J13695" s="711"/>
      <c r="K13695" s="711"/>
      <c r="L13695" s="711"/>
      <c r="Q13695" s="11"/>
      <c r="R13695" s="11"/>
      <c r="S13695" s="11"/>
      <c r="T13695" s="11"/>
    </row>
    <row r="13696" spans="8:20" x14ac:dyDescent="0.35">
      <c r="H13696" s="711"/>
      <c r="I13696" s="711"/>
      <c r="J13696" s="711"/>
      <c r="K13696" s="711"/>
      <c r="L13696" s="711"/>
      <c r="Q13696" s="11"/>
      <c r="R13696" s="11"/>
      <c r="S13696" s="11"/>
      <c r="T13696" s="11"/>
    </row>
    <row r="13697" spans="8:20" x14ac:dyDescent="0.35">
      <c r="H13697" s="711"/>
      <c r="I13697" s="711"/>
      <c r="J13697" s="711"/>
      <c r="K13697" s="711"/>
      <c r="L13697" s="711"/>
      <c r="Q13697" s="11"/>
      <c r="R13697" s="11"/>
      <c r="S13697" s="11"/>
      <c r="T13697" s="11"/>
    </row>
    <row r="13698" spans="8:20" x14ac:dyDescent="0.35">
      <c r="H13698" s="711"/>
      <c r="I13698" s="711"/>
      <c r="J13698" s="711"/>
      <c r="K13698" s="711"/>
      <c r="L13698" s="711"/>
      <c r="Q13698" s="11"/>
      <c r="R13698" s="11"/>
      <c r="S13698" s="11"/>
      <c r="T13698" s="11"/>
    </row>
    <row r="13699" spans="8:20" x14ac:dyDescent="0.35">
      <c r="H13699" s="711"/>
      <c r="I13699" s="711"/>
      <c r="J13699" s="711"/>
      <c r="K13699" s="711"/>
      <c r="L13699" s="711"/>
      <c r="Q13699" s="11"/>
      <c r="R13699" s="11"/>
      <c r="S13699" s="11"/>
      <c r="T13699" s="11"/>
    </row>
    <row r="13700" spans="8:20" x14ac:dyDescent="0.35">
      <c r="H13700" s="711"/>
      <c r="I13700" s="711"/>
      <c r="J13700" s="711"/>
      <c r="K13700" s="711"/>
      <c r="L13700" s="711"/>
      <c r="Q13700" s="11"/>
      <c r="R13700" s="11"/>
      <c r="S13700" s="11"/>
      <c r="T13700" s="11"/>
    </row>
    <row r="13701" spans="8:20" x14ac:dyDescent="0.35">
      <c r="H13701" s="711"/>
      <c r="I13701" s="711"/>
      <c r="J13701" s="711"/>
      <c r="K13701" s="711"/>
      <c r="L13701" s="711"/>
      <c r="Q13701" s="11"/>
      <c r="R13701" s="11"/>
      <c r="S13701" s="11"/>
      <c r="T13701" s="11"/>
    </row>
    <row r="13702" spans="8:20" x14ac:dyDescent="0.35">
      <c r="H13702" s="711"/>
      <c r="I13702" s="711"/>
      <c r="J13702" s="711"/>
      <c r="K13702" s="711"/>
      <c r="L13702" s="711"/>
      <c r="Q13702" s="11"/>
      <c r="R13702" s="11"/>
      <c r="S13702" s="11"/>
      <c r="T13702" s="11"/>
    </row>
    <row r="13703" spans="8:20" x14ac:dyDescent="0.35">
      <c r="H13703" s="711"/>
      <c r="I13703" s="711"/>
      <c r="J13703" s="711"/>
      <c r="K13703" s="711"/>
      <c r="L13703" s="711"/>
      <c r="Q13703" s="11"/>
      <c r="R13703" s="11"/>
      <c r="S13703" s="11"/>
      <c r="T13703" s="11"/>
    </row>
    <row r="13704" spans="8:20" x14ac:dyDescent="0.35">
      <c r="H13704" s="711"/>
      <c r="I13704" s="711"/>
      <c r="J13704" s="711"/>
      <c r="K13704" s="711"/>
      <c r="L13704" s="711"/>
      <c r="Q13704" s="11"/>
      <c r="R13704" s="11"/>
      <c r="S13704" s="11"/>
      <c r="T13704" s="11"/>
    </row>
    <row r="13705" spans="8:20" x14ac:dyDescent="0.35">
      <c r="H13705" s="711"/>
      <c r="I13705" s="711"/>
      <c r="J13705" s="711"/>
      <c r="K13705" s="711"/>
      <c r="L13705" s="711"/>
      <c r="Q13705" s="11"/>
      <c r="R13705" s="11"/>
      <c r="S13705" s="11"/>
      <c r="T13705" s="11"/>
    </row>
    <row r="13706" spans="8:20" x14ac:dyDescent="0.35">
      <c r="H13706" s="711"/>
      <c r="I13706" s="711"/>
      <c r="J13706" s="711"/>
      <c r="K13706" s="711"/>
      <c r="L13706" s="711"/>
      <c r="Q13706" s="11"/>
      <c r="R13706" s="11"/>
      <c r="S13706" s="11"/>
      <c r="T13706" s="11"/>
    </row>
    <row r="13707" spans="8:20" x14ac:dyDescent="0.35">
      <c r="H13707" s="711"/>
      <c r="I13707" s="711"/>
      <c r="J13707" s="711"/>
      <c r="K13707" s="711"/>
      <c r="L13707" s="711"/>
      <c r="Q13707" s="11"/>
      <c r="R13707" s="11"/>
      <c r="S13707" s="11"/>
      <c r="T13707" s="11"/>
    </row>
    <row r="13708" spans="8:20" x14ac:dyDescent="0.35">
      <c r="H13708" s="711"/>
      <c r="I13708" s="711"/>
      <c r="J13708" s="711"/>
      <c r="K13708" s="711"/>
      <c r="L13708" s="711"/>
      <c r="Q13708" s="11"/>
      <c r="R13708" s="11"/>
      <c r="S13708" s="11"/>
      <c r="T13708" s="11"/>
    </row>
    <row r="13709" spans="8:20" x14ac:dyDescent="0.35">
      <c r="H13709" s="711"/>
      <c r="I13709" s="711"/>
      <c r="J13709" s="711"/>
      <c r="K13709" s="711"/>
      <c r="L13709" s="711"/>
      <c r="Q13709" s="11"/>
      <c r="R13709" s="11"/>
      <c r="S13709" s="11"/>
      <c r="T13709" s="11"/>
    </row>
    <row r="13710" spans="8:20" x14ac:dyDescent="0.35">
      <c r="H13710" s="711"/>
      <c r="I13710" s="711"/>
      <c r="J13710" s="711"/>
      <c r="K13710" s="711"/>
      <c r="L13710" s="711"/>
      <c r="Q13710" s="11"/>
      <c r="R13710" s="11"/>
      <c r="S13710" s="11"/>
      <c r="T13710" s="11"/>
    </row>
    <row r="13711" spans="8:20" x14ac:dyDescent="0.35">
      <c r="H13711" s="711"/>
      <c r="I13711" s="711"/>
      <c r="J13711" s="711"/>
      <c r="K13711" s="711"/>
      <c r="L13711" s="711"/>
      <c r="Q13711" s="11"/>
      <c r="R13711" s="11"/>
      <c r="S13711" s="11"/>
      <c r="T13711" s="11"/>
    </row>
    <row r="13712" spans="8:20" x14ac:dyDescent="0.35">
      <c r="H13712" s="711"/>
      <c r="I13712" s="711"/>
      <c r="J13712" s="711"/>
      <c r="K13712" s="711"/>
      <c r="L13712" s="711"/>
      <c r="Q13712" s="11"/>
      <c r="R13712" s="11"/>
      <c r="S13712" s="11"/>
      <c r="T13712" s="11"/>
    </row>
    <row r="13713" spans="8:20" x14ac:dyDescent="0.35">
      <c r="H13713" s="711"/>
      <c r="I13713" s="711"/>
      <c r="J13713" s="711"/>
      <c r="K13713" s="711"/>
      <c r="L13713" s="711"/>
      <c r="Q13713" s="11"/>
      <c r="R13713" s="11"/>
      <c r="S13713" s="11"/>
      <c r="T13713" s="11"/>
    </row>
    <row r="13714" spans="8:20" x14ac:dyDescent="0.35">
      <c r="H13714" s="711"/>
      <c r="I13714" s="711"/>
      <c r="J13714" s="711"/>
      <c r="K13714" s="711"/>
      <c r="L13714" s="711"/>
      <c r="Q13714" s="11"/>
      <c r="R13714" s="11"/>
      <c r="S13714" s="11"/>
      <c r="T13714" s="11"/>
    </row>
    <row r="13715" spans="8:20" x14ac:dyDescent="0.35">
      <c r="H13715" s="711"/>
      <c r="I13715" s="711"/>
      <c r="J13715" s="711"/>
      <c r="K13715" s="711"/>
      <c r="L13715" s="711"/>
      <c r="Q13715" s="11"/>
      <c r="R13715" s="11"/>
      <c r="S13715" s="11"/>
      <c r="T13715" s="11"/>
    </row>
    <row r="13716" spans="8:20" x14ac:dyDescent="0.35">
      <c r="H13716" s="711"/>
      <c r="I13716" s="711"/>
      <c r="J13716" s="711"/>
      <c r="K13716" s="711"/>
      <c r="L13716" s="711"/>
      <c r="Q13716" s="11"/>
      <c r="R13716" s="11"/>
      <c r="S13716" s="11"/>
      <c r="T13716" s="11"/>
    </row>
    <row r="13717" spans="8:20" x14ac:dyDescent="0.35">
      <c r="H13717" s="711"/>
      <c r="I13717" s="711"/>
      <c r="J13717" s="711"/>
      <c r="K13717" s="711"/>
      <c r="L13717" s="711"/>
      <c r="Q13717" s="11"/>
      <c r="R13717" s="11"/>
      <c r="S13717" s="11"/>
      <c r="T13717" s="11"/>
    </row>
    <row r="13718" spans="8:20" x14ac:dyDescent="0.35">
      <c r="H13718" s="711"/>
      <c r="I13718" s="711"/>
      <c r="J13718" s="711"/>
      <c r="K13718" s="711"/>
      <c r="L13718" s="711"/>
      <c r="Q13718" s="11"/>
      <c r="R13718" s="11"/>
      <c r="S13718" s="11"/>
      <c r="T13718" s="11"/>
    </row>
    <row r="13719" spans="8:20" x14ac:dyDescent="0.35">
      <c r="H13719" s="711"/>
      <c r="I13719" s="711"/>
      <c r="J13719" s="711"/>
      <c r="K13719" s="711"/>
      <c r="L13719" s="711"/>
      <c r="Q13719" s="11"/>
      <c r="R13719" s="11"/>
      <c r="S13719" s="11"/>
      <c r="T13719" s="11"/>
    </row>
    <row r="13720" spans="8:20" x14ac:dyDescent="0.35">
      <c r="H13720" s="711"/>
      <c r="I13720" s="711"/>
      <c r="J13720" s="711"/>
      <c r="K13720" s="711"/>
      <c r="L13720" s="711"/>
      <c r="Q13720" s="11"/>
      <c r="R13720" s="11"/>
      <c r="S13720" s="11"/>
      <c r="T13720" s="11"/>
    </row>
    <row r="13721" spans="8:20" x14ac:dyDescent="0.35">
      <c r="H13721" s="711"/>
      <c r="I13721" s="711"/>
      <c r="J13721" s="711"/>
      <c r="K13721" s="711"/>
      <c r="L13721" s="711"/>
      <c r="Q13721" s="11"/>
      <c r="R13721" s="11"/>
      <c r="S13721" s="11"/>
      <c r="T13721" s="11"/>
    </row>
    <row r="13722" spans="8:20" x14ac:dyDescent="0.35">
      <c r="H13722" s="711"/>
      <c r="I13722" s="711"/>
      <c r="J13722" s="711"/>
      <c r="K13722" s="711"/>
      <c r="L13722" s="711"/>
      <c r="Q13722" s="11"/>
      <c r="R13722" s="11"/>
      <c r="S13722" s="11"/>
      <c r="T13722" s="11"/>
    </row>
    <row r="13723" spans="8:20" x14ac:dyDescent="0.35">
      <c r="H13723" s="711"/>
      <c r="I13723" s="711"/>
      <c r="J13723" s="711"/>
      <c r="K13723" s="711"/>
      <c r="L13723" s="711"/>
      <c r="Q13723" s="11"/>
      <c r="R13723" s="11"/>
      <c r="S13723" s="11"/>
      <c r="T13723" s="11"/>
    </row>
    <row r="13724" spans="8:20" x14ac:dyDescent="0.35">
      <c r="H13724" s="711"/>
      <c r="I13724" s="711"/>
      <c r="J13724" s="711"/>
      <c r="K13724" s="711"/>
      <c r="L13724" s="711"/>
      <c r="Q13724" s="11"/>
      <c r="R13724" s="11"/>
      <c r="S13724" s="11"/>
      <c r="T13724" s="11"/>
    </row>
    <row r="13725" spans="8:20" x14ac:dyDescent="0.35">
      <c r="H13725" s="711"/>
      <c r="I13725" s="711"/>
      <c r="J13725" s="711"/>
      <c r="K13725" s="711"/>
      <c r="L13725" s="711"/>
      <c r="Q13725" s="11"/>
      <c r="R13725" s="11"/>
      <c r="S13725" s="11"/>
      <c r="T13725" s="11"/>
    </row>
    <row r="13726" spans="8:20" x14ac:dyDescent="0.35">
      <c r="H13726" s="711"/>
      <c r="I13726" s="711"/>
      <c r="J13726" s="711"/>
      <c r="K13726" s="711"/>
      <c r="L13726" s="711"/>
      <c r="Q13726" s="11"/>
      <c r="R13726" s="11"/>
      <c r="S13726" s="11"/>
      <c r="T13726" s="11"/>
    </row>
    <row r="13727" spans="8:20" x14ac:dyDescent="0.35">
      <c r="H13727" s="711"/>
      <c r="I13727" s="711"/>
      <c r="J13727" s="711"/>
      <c r="K13727" s="711"/>
      <c r="L13727" s="711"/>
      <c r="Q13727" s="11"/>
      <c r="R13727" s="11"/>
      <c r="S13727" s="11"/>
      <c r="T13727" s="11"/>
    </row>
    <row r="13728" spans="8:20" x14ac:dyDescent="0.35">
      <c r="H13728" s="711"/>
      <c r="I13728" s="711"/>
      <c r="J13728" s="711"/>
      <c r="K13728" s="711"/>
      <c r="L13728" s="711"/>
      <c r="Q13728" s="11"/>
      <c r="R13728" s="11"/>
      <c r="S13728" s="11"/>
      <c r="T13728" s="11"/>
    </row>
    <row r="13729" spans="8:20" x14ac:dyDescent="0.35">
      <c r="H13729" s="711"/>
      <c r="I13729" s="711"/>
      <c r="J13729" s="711"/>
      <c r="K13729" s="711"/>
      <c r="L13729" s="711"/>
      <c r="Q13729" s="11"/>
      <c r="R13729" s="11"/>
      <c r="S13729" s="11"/>
      <c r="T13729" s="11"/>
    </row>
    <row r="13730" spans="8:20" x14ac:dyDescent="0.35">
      <c r="H13730" s="711"/>
      <c r="I13730" s="711"/>
      <c r="J13730" s="711"/>
      <c r="K13730" s="711"/>
      <c r="L13730" s="711"/>
      <c r="Q13730" s="11"/>
      <c r="R13730" s="11"/>
      <c r="S13730" s="11"/>
      <c r="T13730" s="11"/>
    </row>
    <row r="13731" spans="8:20" x14ac:dyDescent="0.35">
      <c r="H13731" s="711"/>
      <c r="I13731" s="711"/>
      <c r="J13731" s="711"/>
      <c r="K13731" s="711"/>
      <c r="L13731" s="711"/>
      <c r="Q13731" s="11"/>
      <c r="R13731" s="11"/>
      <c r="S13731" s="11"/>
      <c r="T13731" s="11"/>
    </row>
    <row r="13732" spans="8:20" x14ac:dyDescent="0.35">
      <c r="H13732" s="711"/>
      <c r="I13732" s="711"/>
      <c r="J13732" s="711"/>
      <c r="K13732" s="711"/>
      <c r="L13732" s="711"/>
      <c r="Q13732" s="11"/>
      <c r="R13732" s="11"/>
      <c r="S13732" s="11"/>
      <c r="T13732" s="11"/>
    </row>
    <row r="13733" spans="8:20" x14ac:dyDescent="0.35">
      <c r="H13733" s="711"/>
      <c r="I13733" s="711"/>
      <c r="J13733" s="711"/>
      <c r="K13733" s="711"/>
      <c r="L13733" s="711"/>
      <c r="Q13733" s="11"/>
      <c r="R13733" s="11"/>
      <c r="S13733" s="11"/>
      <c r="T13733" s="11"/>
    </row>
    <row r="13734" spans="8:20" x14ac:dyDescent="0.35">
      <c r="H13734" s="711"/>
      <c r="I13734" s="711"/>
      <c r="J13734" s="711"/>
      <c r="K13734" s="711"/>
      <c r="L13734" s="711"/>
      <c r="Q13734" s="11"/>
      <c r="R13734" s="11"/>
      <c r="S13734" s="11"/>
      <c r="T13734" s="11"/>
    </row>
    <row r="13735" spans="8:20" x14ac:dyDescent="0.35">
      <c r="H13735" s="711"/>
      <c r="I13735" s="711"/>
      <c r="J13735" s="711"/>
      <c r="K13735" s="711"/>
      <c r="L13735" s="711"/>
      <c r="Q13735" s="11"/>
      <c r="R13735" s="11"/>
      <c r="S13735" s="11"/>
      <c r="T13735" s="11"/>
    </row>
    <row r="13736" spans="8:20" x14ac:dyDescent="0.35">
      <c r="H13736" s="711"/>
      <c r="I13736" s="711"/>
      <c r="J13736" s="711"/>
      <c r="K13736" s="711"/>
      <c r="L13736" s="711"/>
      <c r="Q13736" s="11"/>
      <c r="R13736" s="11"/>
      <c r="S13736" s="11"/>
      <c r="T13736" s="11"/>
    </row>
    <row r="13737" spans="8:20" x14ac:dyDescent="0.35">
      <c r="H13737" s="711"/>
      <c r="I13737" s="711"/>
      <c r="J13737" s="711"/>
      <c r="K13737" s="711"/>
      <c r="L13737" s="711"/>
      <c r="Q13737" s="11"/>
      <c r="R13737" s="11"/>
      <c r="S13737" s="11"/>
      <c r="T13737" s="11"/>
    </row>
    <row r="13738" spans="8:20" x14ac:dyDescent="0.35">
      <c r="H13738" s="711"/>
      <c r="I13738" s="711"/>
      <c r="J13738" s="711"/>
      <c r="K13738" s="711"/>
      <c r="L13738" s="711"/>
      <c r="Q13738" s="11"/>
      <c r="R13738" s="11"/>
      <c r="S13738" s="11"/>
      <c r="T13738" s="11"/>
    </row>
    <row r="13739" spans="8:20" x14ac:dyDescent="0.35">
      <c r="H13739" s="711"/>
      <c r="I13739" s="711"/>
      <c r="J13739" s="711"/>
      <c r="K13739" s="711"/>
      <c r="L13739" s="711"/>
      <c r="Q13739" s="11"/>
      <c r="R13739" s="11"/>
      <c r="S13739" s="11"/>
      <c r="T13739" s="11"/>
    </row>
    <row r="13740" spans="8:20" x14ac:dyDescent="0.35">
      <c r="H13740" s="711"/>
      <c r="I13740" s="711"/>
      <c r="J13740" s="711"/>
      <c r="K13740" s="711"/>
      <c r="L13740" s="711"/>
      <c r="Q13740" s="11"/>
      <c r="R13740" s="11"/>
      <c r="S13740" s="11"/>
      <c r="T13740" s="11"/>
    </row>
    <row r="13741" spans="8:20" x14ac:dyDescent="0.35">
      <c r="H13741" s="711"/>
      <c r="I13741" s="711"/>
      <c r="J13741" s="711"/>
      <c r="K13741" s="711"/>
      <c r="L13741" s="711"/>
      <c r="Q13741" s="11"/>
      <c r="R13741" s="11"/>
      <c r="S13741" s="11"/>
      <c r="T13741" s="11"/>
    </row>
    <row r="13742" spans="8:20" x14ac:dyDescent="0.35">
      <c r="H13742" s="711"/>
      <c r="I13742" s="711"/>
      <c r="J13742" s="711"/>
      <c r="K13742" s="711"/>
      <c r="L13742" s="711"/>
      <c r="Q13742" s="11"/>
      <c r="R13742" s="11"/>
      <c r="S13742" s="11"/>
      <c r="T13742" s="11"/>
    </row>
    <row r="13743" spans="8:20" x14ac:dyDescent="0.35">
      <c r="H13743" s="711"/>
      <c r="I13743" s="711"/>
      <c r="J13743" s="711"/>
      <c r="K13743" s="711"/>
      <c r="L13743" s="711"/>
      <c r="Q13743" s="11"/>
      <c r="R13743" s="11"/>
      <c r="S13743" s="11"/>
      <c r="T13743" s="11"/>
    </row>
    <row r="13744" spans="8:20" x14ac:dyDescent="0.35">
      <c r="H13744" s="711"/>
      <c r="I13744" s="711"/>
      <c r="J13744" s="711"/>
      <c r="K13744" s="711"/>
      <c r="L13744" s="711"/>
      <c r="Q13744" s="11"/>
      <c r="R13744" s="11"/>
      <c r="S13744" s="11"/>
      <c r="T13744" s="11"/>
    </row>
    <row r="13745" spans="8:20" x14ac:dyDescent="0.35">
      <c r="H13745" s="711"/>
      <c r="I13745" s="711"/>
      <c r="J13745" s="711"/>
      <c r="K13745" s="711"/>
      <c r="L13745" s="711"/>
      <c r="Q13745" s="11"/>
      <c r="R13745" s="11"/>
      <c r="S13745" s="11"/>
      <c r="T13745" s="11"/>
    </row>
    <row r="13746" spans="8:20" x14ac:dyDescent="0.35">
      <c r="H13746" s="711"/>
      <c r="I13746" s="711"/>
      <c r="J13746" s="711"/>
      <c r="K13746" s="711"/>
      <c r="L13746" s="711"/>
      <c r="Q13746" s="11"/>
      <c r="R13746" s="11"/>
      <c r="S13746" s="11"/>
      <c r="T13746" s="11"/>
    </row>
    <row r="13747" spans="8:20" x14ac:dyDescent="0.35">
      <c r="H13747" s="711"/>
      <c r="I13747" s="711"/>
      <c r="J13747" s="711"/>
      <c r="K13747" s="711"/>
      <c r="L13747" s="711"/>
      <c r="Q13747" s="11"/>
      <c r="R13747" s="11"/>
      <c r="S13747" s="11"/>
      <c r="T13747" s="11"/>
    </row>
    <row r="13748" spans="8:20" x14ac:dyDescent="0.35">
      <c r="H13748" s="711"/>
      <c r="I13748" s="711"/>
      <c r="J13748" s="711"/>
      <c r="K13748" s="711"/>
      <c r="L13748" s="711"/>
      <c r="Q13748" s="11"/>
      <c r="R13748" s="11"/>
      <c r="S13748" s="11"/>
      <c r="T13748" s="11"/>
    </row>
    <row r="13749" spans="8:20" x14ac:dyDescent="0.35">
      <c r="H13749" s="711"/>
      <c r="I13749" s="711"/>
      <c r="J13749" s="711"/>
      <c r="K13749" s="711"/>
      <c r="L13749" s="711"/>
      <c r="Q13749" s="11"/>
      <c r="R13749" s="11"/>
      <c r="S13749" s="11"/>
      <c r="T13749" s="11"/>
    </row>
    <row r="13750" spans="8:20" x14ac:dyDescent="0.35">
      <c r="H13750" s="711"/>
      <c r="I13750" s="711"/>
      <c r="J13750" s="711"/>
      <c r="K13750" s="711"/>
      <c r="L13750" s="711"/>
      <c r="Q13750" s="11"/>
      <c r="R13750" s="11"/>
      <c r="S13750" s="11"/>
      <c r="T13750" s="11"/>
    </row>
    <row r="13751" spans="8:20" x14ac:dyDescent="0.35">
      <c r="H13751" s="711"/>
      <c r="I13751" s="711"/>
      <c r="J13751" s="711"/>
      <c r="K13751" s="711"/>
      <c r="L13751" s="711"/>
      <c r="Q13751" s="11"/>
      <c r="R13751" s="11"/>
      <c r="S13751" s="11"/>
      <c r="T13751" s="11"/>
    </row>
    <row r="13752" spans="8:20" x14ac:dyDescent="0.35">
      <c r="H13752" s="711"/>
      <c r="I13752" s="711"/>
      <c r="J13752" s="711"/>
      <c r="K13752" s="711"/>
      <c r="L13752" s="711"/>
      <c r="Q13752" s="11"/>
      <c r="R13752" s="11"/>
      <c r="S13752" s="11"/>
      <c r="T13752" s="11"/>
    </row>
    <row r="13753" spans="8:20" x14ac:dyDescent="0.35">
      <c r="H13753" s="711"/>
      <c r="I13753" s="711"/>
      <c r="J13753" s="711"/>
      <c r="K13753" s="711"/>
      <c r="L13753" s="711"/>
      <c r="Q13753" s="11"/>
      <c r="R13753" s="11"/>
      <c r="S13753" s="11"/>
      <c r="T13753" s="11"/>
    </row>
    <row r="13754" spans="8:20" x14ac:dyDescent="0.35">
      <c r="H13754" s="711"/>
      <c r="I13754" s="711"/>
      <c r="J13754" s="711"/>
      <c r="K13754" s="711"/>
      <c r="L13754" s="711"/>
      <c r="Q13754" s="11"/>
      <c r="R13754" s="11"/>
      <c r="S13754" s="11"/>
      <c r="T13754" s="11"/>
    </row>
    <row r="13755" spans="8:20" x14ac:dyDescent="0.35">
      <c r="H13755" s="711"/>
      <c r="I13755" s="711"/>
      <c r="J13755" s="711"/>
      <c r="K13755" s="711"/>
      <c r="L13755" s="711"/>
      <c r="Q13755" s="11"/>
      <c r="R13755" s="11"/>
      <c r="S13755" s="11"/>
      <c r="T13755" s="11"/>
    </row>
    <row r="13756" spans="8:20" x14ac:dyDescent="0.35">
      <c r="H13756" s="711"/>
      <c r="I13756" s="711"/>
      <c r="J13756" s="711"/>
      <c r="K13756" s="711"/>
      <c r="L13756" s="711"/>
      <c r="Q13756" s="11"/>
      <c r="R13756" s="11"/>
      <c r="S13756" s="11"/>
      <c r="T13756" s="11"/>
    </row>
    <row r="13757" spans="8:20" x14ac:dyDescent="0.35">
      <c r="H13757" s="711"/>
      <c r="I13757" s="711"/>
      <c r="J13757" s="711"/>
      <c r="K13757" s="711"/>
      <c r="L13757" s="711"/>
      <c r="Q13757" s="11"/>
      <c r="R13757" s="11"/>
      <c r="S13757" s="11"/>
      <c r="T13757" s="11"/>
    </row>
    <row r="13758" spans="8:20" x14ac:dyDescent="0.35">
      <c r="H13758" s="711"/>
      <c r="I13758" s="711"/>
      <c r="J13758" s="711"/>
      <c r="K13758" s="711"/>
      <c r="L13758" s="711"/>
      <c r="Q13758" s="11"/>
      <c r="R13758" s="11"/>
      <c r="S13758" s="11"/>
      <c r="T13758" s="11"/>
    </row>
    <row r="13759" spans="8:20" x14ac:dyDescent="0.35">
      <c r="H13759" s="711"/>
      <c r="I13759" s="711"/>
      <c r="J13759" s="711"/>
      <c r="K13759" s="711"/>
      <c r="L13759" s="711"/>
      <c r="Q13759" s="11"/>
      <c r="R13759" s="11"/>
      <c r="S13759" s="11"/>
      <c r="T13759" s="11"/>
    </row>
    <row r="13760" spans="8:20" x14ac:dyDescent="0.35">
      <c r="H13760" s="711"/>
      <c r="I13760" s="711"/>
      <c r="J13760" s="711"/>
      <c r="K13760" s="711"/>
      <c r="L13760" s="711"/>
      <c r="Q13760" s="11"/>
      <c r="R13760" s="11"/>
      <c r="S13760" s="11"/>
      <c r="T13760" s="11"/>
    </row>
    <row r="13761" spans="8:20" x14ac:dyDescent="0.35">
      <c r="H13761" s="711"/>
      <c r="I13761" s="711"/>
      <c r="J13761" s="711"/>
      <c r="K13761" s="711"/>
      <c r="L13761" s="711"/>
      <c r="Q13761" s="11"/>
      <c r="R13761" s="11"/>
      <c r="S13761" s="11"/>
      <c r="T13761" s="11"/>
    </row>
    <row r="13762" spans="8:20" x14ac:dyDescent="0.35">
      <c r="H13762" s="711"/>
      <c r="I13762" s="711"/>
      <c r="J13762" s="711"/>
      <c r="K13762" s="711"/>
      <c r="L13762" s="711"/>
      <c r="Q13762" s="11"/>
      <c r="R13762" s="11"/>
      <c r="S13762" s="11"/>
      <c r="T13762" s="11"/>
    </row>
    <row r="13763" spans="8:20" x14ac:dyDescent="0.35">
      <c r="H13763" s="711"/>
      <c r="I13763" s="711"/>
      <c r="J13763" s="711"/>
      <c r="K13763" s="711"/>
      <c r="L13763" s="711"/>
      <c r="Q13763" s="11"/>
      <c r="R13763" s="11"/>
      <c r="S13763" s="11"/>
      <c r="T13763" s="11"/>
    </row>
    <row r="13764" spans="8:20" x14ac:dyDescent="0.35">
      <c r="H13764" s="711"/>
      <c r="I13764" s="711"/>
      <c r="J13764" s="711"/>
      <c r="K13764" s="711"/>
      <c r="L13764" s="711"/>
      <c r="Q13764" s="11"/>
      <c r="R13764" s="11"/>
      <c r="S13764" s="11"/>
      <c r="T13764" s="11"/>
    </row>
    <row r="13765" spans="8:20" x14ac:dyDescent="0.35">
      <c r="H13765" s="711"/>
      <c r="I13765" s="711"/>
      <c r="J13765" s="711"/>
      <c r="K13765" s="711"/>
      <c r="L13765" s="711"/>
      <c r="Q13765" s="11"/>
      <c r="R13765" s="11"/>
      <c r="S13765" s="11"/>
      <c r="T13765" s="11"/>
    </row>
    <row r="13766" spans="8:20" x14ac:dyDescent="0.35">
      <c r="H13766" s="711"/>
      <c r="I13766" s="711"/>
      <c r="J13766" s="711"/>
      <c r="K13766" s="711"/>
      <c r="L13766" s="711"/>
      <c r="Q13766" s="11"/>
      <c r="R13766" s="11"/>
      <c r="S13766" s="11"/>
      <c r="T13766" s="11"/>
    </row>
    <row r="13767" spans="8:20" x14ac:dyDescent="0.35">
      <c r="H13767" s="711"/>
      <c r="I13767" s="711"/>
      <c r="J13767" s="711"/>
      <c r="K13767" s="711"/>
      <c r="L13767" s="711"/>
      <c r="Q13767" s="11"/>
      <c r="R13767" s="11"/>
      <c r="S13767" s="11"/>
      <c r="T13767" s="11"/>
    </row>
    <row r="13768" spans="8:20" x14ac:dyDescent="0.35">
      <c r="H13768" s="711"/>
      <c r="I13768" s="711"/>
      <c r="J13768" s="711"/>
      <c r="K13768" s="711"/>
      <c r="L13768" s="711"/>
      <c r="Q13768" s="11"/>
      <c r="R13768" s="11"/>
      <c r="S13768" s="11"/>
      <c r="T13768" s="11"/>
    </row>
    <row r="13769" spans="8:20" x14ac:dyDescent="0.35">
      <c r="H13769" s="711"/>
      <c r="I13769" s="711"/>
      <c r="J13769" s="711"/>
      <c r="K13769" s="711"/>
      <c r="L13769" s="711"/>
      <c r="Q13769" s="11"/>
      <c r="R13769" s="11"/>
      <c r="S13769" s="11"/>
      <c r="T13769" s="11"/>
    </row>
    <row r="13770" spans="8:20" x14ac:dyDescent="0.35">
      <c r="H13770" s="711"/>
      <c r="I13770" s="711"/>
      <c r="J13770" s="711"/>
      <c r="K13770" s="711"/>
      <c r="L13770" s="711"/>
      <c r="Q13770" s="11"/>
      <c r="R13770" s="11"/>
      <c r="S13770" s="11"/>
      <c r="T13770" s="11"/>
    </row>
    <row r="13771" spans="8:20" x14ac:dyDescent="0.35">
      <c r="H13771" s="711"/>
      <c r="I13771" s="711"/>
      <c r="J13771" s="711"/>
      <c r="K13771" s="711"/>
      <c r="L13771" s="711"/>
      <c r="Q13771" s="11"/>
      <c r="R13771" s="11"/>
      <c r="S13771" s="11"/>
      <c r="T13771" s="11"/>
    </row>
    <row r="13772" spans="8:20" x14ac:dyDescent="0.35">
      <c r="H13772" s="711"/>
      <c r="I13772" s="711"/>
      <c r="J13772" s="711"/>
      <c r="K13772" s="711"/>
      <c r="L13772" s="711"/>
      <c r="Q13772" s="11"/>
      <c r="R13772" s="11"/>
      <c r="S13772" s="11"/>
      <c r="T13772" s="11"/>
    </row>
    <row r="13773" spans="8:20" x14ac:dyDescent="0.35">
      <c r="H13773" s="711"/>
      <c r="I13773" s="711"/>
      <c r="J13773" s="711"/>
      <c r="K13773" s="711"/>
      <c r="L13773" s="711"/>
      <c r="Q13773" s="11"/>
      <c r="R13773" s="11"/>
      <c r="S13773" s="11"/>
      <c r="T13773" s="11"/>
    </row>
    <row r="13774" spans="8:20" x14ac:dyDescent="0.35">
      <c r="H13774" s="711"/>
      <c r="I13774" s="711"/>
      <c r="J13774" s="711"/>
      <c r="K13774" s="711"/>
      <c r="L13774" s="711"/>
      <c r="Q13774" s="11"/>
      <c r="R13774" s="11"/>
      <c r="S13774" s="11"/>
      <c r="T13774" s="11"/>
    </row>
    <row r="13775" spans="8:20" x14ac:dyDescent="0.35">
      <c r="H13775" s="711"/>
      <c r="I13775" s="711"/>
      <c r="J13775" s="711"/>
      <c r="K13775" s="711"/>
      <c r="L13775" s="711"/>
      <c r="Q13775" s="11"/>
      <c r="R13775" s="11"/>
      <c r="S13775" s="11"/>
      <c r="T13775" s="11"/>
    </row>
    <row r="13776" spans="8:20" x14ac:dyDescent="0.35">
      <c r="H13776" s="711"/>
      <c r="I13776" s="711"/>
      <c r="J13776" s="711"/>
      <c r="K13776" s="711"/>
      <c r="L13776" s="711"/>
      <c r="Q13776" s="11"/>
      <c r="R13776" s="11"/>
      <c r="S13776" s="11"/>
      <c r="T13776" s="11"/>
    </row>
    <row r="13777" spans="8:20" x14ac:dyDescent="0.35">
      <c r="H13777" s="711"/>
      <c r="I13777" s="711"/>
      <c r="J13777" s="711"/>
      <c r="K13777" s="711"/>
      <c r="L13777" s="711"/>
      <c r="Q13777" s="11"/>
      <c r="R13777" s="11"/>
      <c r="S13777" s="11"/>
      <c r="T13777" s="11"/>
    </row>
    <row r="13778" spans="8:20" x14ac:dyDescent="0.35">
      <c r="H13778" s="711"/>
      <c r="I13778" s="711"/>
      <c r="J13778" s="711"/>
      <c r="K13778" s="711"/>
      <c r="L13778" s="711"/>
      <c r="Q13778" s="11"/>
      <c r="R13778" s="11"/>
      <c r="S13778" s="11"/>
      <c r="T13778" s="11"/>
    </row>
    <row r="13779" spans="8:20" x14ac:dyDescent="0.35">
      <c r="H13779" s="711"/>
      <c r="I13779" s="711"/>
      <c r="J13779" s="711"/>
      <c r="K13779" s="711"/>
      <c r="L13779" s="711"/>
      <c r="Q13779" s="11"/>
      <c r="R13779" s="11"/>
      <c r="S13779" s="11"/>
      <c r="T13779" s="11"/>
    </row>
    <row r="13780" spans="8:20" x14ac:dyDescent="0.35">
      <c r="H13780" s="711"/>
      <c r="I13780" s="711"/>
      <c r="J13780" s="711"/>
      <c r="K13780" s="711"/>
      <c r="L13780" s="711"/>
      <c r="Q13780" s="11"/>
      <c r="R13780" s="11"/>
      <c r="S13780" s="11"/>
      <c r="T13780" s="11"/>
    </row>
    <row r="13781" spans="8:20" x14ac:dyDescent="0.35">
      <c r="H13781" s="711"/>
      <c r="I13781" s="711"/>
      <c r="J13781" s="711"/>
      <c r="K13781" s="711"/>
      <c r="L13781" s="711"/>
      <c r="Q13781" s="11"/>
      <c r="R13781" s="11"/>
      <c r="S13781" s="11"/>
      <c r="T13781" s="11"/>
    </row>
    <row r="13782" spans="8:20" x14ac:dyDescent="0.35">
      <c r="H13782" s="711"/>
      <c r="I13782" s="711"/>
      <c r="J13782" s="711"/>
      <c r="K13782" s="711"/>
      <c r="L13782" s="711"/>
      <c r="Q13782" s="11"/>
      <c r="R13782" s="11"/>
      <c r="S13782" s="11"/>
      <c r="T13782" s="11"/>
    </row>
    <row r="13783" spans="8:20" x14ac:dyDescent="0.35">
      <c r="H13783" s="711"/>
      <c r="I13783" s="711"/>
      <c r="J13783" s="711"/>
      <c r="K13783" s="711"/>
      <c r="L13783" s="711"/>
      <c r="Q13783" s="11"/>
      <c r="R13783" s="11"/>
      <c r="S13783" s="11"/>
      <c r="T13783" s="11"/>
    </row>
    <row r="13784" spans="8:20" x14ac:dyDescent="0.35">
      <c r="H13784" s="711"/>
      <c r="I13784" s="711"/>
      <c r="J13784" s="711"/>
      <c r="K13784" s="711"/>
      <c r="L13784" s="711"/>
      <c r="Q13784" s="11"/>
      <c r="R13784" s="11"/>
      <c r="S13784" s="11"/>
      <c r="T13784" s="11"/>
    </row>
    <row r="13785" spans="8:20" x14ac:dyDescent="0.35">
      <c r="H13785" s="711"/>
      <c r="I13785" s="711"/>
      <c r="J13785" s="711"/>
      <c r="K13785" s="711"/>
      <c r="L13785" s="711"/>
      <c r="Q13785" s="11"/>
      <c r="R13785" s="11"/>
      <c r="S13785" s="11"/>
      <c r="T13785" s="11"/>
    </row>
    <row r="13786" spans="8:20" x14ac:dyDescent="0.35">
      <c r="H13786" s="711"/>
      <c r="I13786" s="711"/>
      <c r="J13786" s="711"/>
      <c r="K13786" s="711"/>
      <c r="L13786" s="711"/>
      <c r="Q13786" s="11"/>
      <c r="R13786" s="11"/>
      <c r="S13786" s="11"/>
      <c r="T13786" s="11"/>
    </row>
    <row r="13787" spans="8:20" x14ac:dyDescent="0.35">
      <c r="H13787" s="711"/>
      <c r="I13787" s="711"/>
      <c r="J13787" s="711"/>
      <c r="K13787" s="711"/>
      <c r="L13787" s="711"/>
      <c r="Q13787" s="11"/>
      <c r="R13787" s="11"/>
      <c r="S13787" s="11"/>
      <c r="T13787" s="11"/>
    </row>
    <row r="13788" spans="8:20" x14ac:dyDescent="0.35">
      <c r="H13788" s="711"/>
      <c r="I13788" s="711"/>
      <c r="J13788" s="711"/>
      <c r="K13788" s="711"/>
      <c r="L13788" s="711"/>
      <c r="Q13788" s="11"/>
      <c r="R13788" s="11"/>
      <c r="S13788" s="11"/>
      <c r="T13788" s="11"/>
    </row>
    <row r="13789" spans="8:20" x14ac:dyDescent="0.35">
      <c r="H13789" s="711"/>
      <c r="I13789" s="711"/>
      <c r="J13789" s="711"/>
      <c r="K13789" s="711"/>
      <c r="L13789" s="711"/>
      <c r="Q13789" s="11"/>
      <c r="R13789" s="11"/>
      <c r="S13789" s="11"/>
      <c r="T13789" s="11"/>
    </row>
    <row r="13790" spans="8:20" x14ac:dyDescent="0.35">
      <c r="H13790" s="711"/>
      <c r="I13790" s="711"/>
      <c r="J13790" s="711"/>
      <c r="K13790" s="711"/>
      <c r="L13790" s="711"/>
      <c r="Q13790" s="11"/>
      <c r="R13790" s="11"/>
      <c r="S13790" s="11"/>
      <c r="T13790" s="11"/>
    </row>
    <row r="13791" spans="8:20" x14ac:dyDescent="0.35">
      <c r="H13791" s="711"/>
      <c r="I13791" s="711"/>
      <c r="J13791" s="711"/>
      <c r="K13791" s="711"/>
      <c r="L13791" s="711"/>
      <c r="Q13791" s="11"/>
      <c r="R13791" s="11"/>
      <c r="S13791" s="11"/>
      <c r="T13791" s="11"/>
    </row>
    <row r="13792" spans="8:20" x14ac:dyDescent="0.35">
      <c r="H13792" s="711"/>
      <c r="I13792" s="711"/>
      <c r="J13792" s="711"/>
      <c r="K13792" s="711"/>
      <c r="L13792" s="711"/>
      <c r="Q13792" s="11"/>
      <c r="R13792" s="11"/>
      <c r="S13792" s="11"/>
      <c r="T13792" s="11"/>
    </row>
    <row r="13793" spans="8:20" x14ac:dyDescent="0.35">
      <c r="H13793" s="711"/>
      <c r="I13793" s="711"/>
      <c r="J13793" s="711"/>
      <c r="K13793" s="711"/>
      <c r="L13793" s="711"/>
      <c r="Q13793" s="11"/>
      <c r="R13793" s="11"/>
      <c r="S13793" s="11"/>
      <c r="T13793" s="11"/>
    </row>
    <row r="13794" spans="8:20" x14ac:dyDescent="0.35">
      <c r="H13794" s="711"/>
      <c r="I13794" s="711"/>
      <c r="J13794" s="711"/>
      <c r="K13794" s="711"/>
      <c r="L13794" s="711"/>
      <c r="Q13794" s="11"/>
      <c r="R13794" s="11"/>
      <c r="S13794" s="11"/>
      <c r="T13794" s="11"/>
    </row>
    <row r="13795" spans="8:20" x14ac:dyDescent="0.35">
      <c r="H13795" s="711"/>
      <c r="I13795" s="711"/>
      <c r="J13795" s="711"/>
      <c r="K13795" s="711"/>
      <c r="L13795" s="711"/>
      <c r="Q13795" s="11"/>
      <c r="R13795" s="11"/>
      <c r="S13795" s="11"/>
      <c r="T13795" s="11"/>
    </row>
    <row r="13796" spans="8:20" x14ac:dyDescent="0.35">
      <c r="H13796" s="711"/>
      <c r="I13796" s="711"/>
      <c r="J13796" s="711"/>
      <c r="K13796" s="711"/>
      <c r="L13796" s="711"/>
      <c r="Q13796" s="11"/>
      <c r="R13796" s="11"/>
      <c r="S13796" s="11"/>
      <c r="T13796" s="11"/>
    </row>
    <row r="13797" spans="8:20" x14ac:dyDescent="0.35">
      <c r="H13797" s="711"/>
      <c r="I13797" s="711"/>
      <c r="J13797" s="711"/>
      <c r="K13797" s="711"/>
      <c r="L13797" s="711"/>
      <c r="Q13797" s="11"/>
      <c r="R13797" s="11"/>
      <c r="S13797" s="11"/>
      <c r="T13797" s="11"/>
    </row>
    <row r="13798" spans="8:20" x14ac:dyDescent="0.35">
      <c r="H13798" s="711"/>
      <c r="I13798" s="711"/>
      <c r="J13798" s="711"/>
      <c r="K13798" s="711"/>
      <c r="L13798" s="711"/>
      <c r="Q13798" s="11"/>
      <c r="R13798" s="11"/>
      <c r="S13798" s="11"/>
      <c r="T13798" s="11"/>
    </row>
    <row r="13799" spans="8:20" x14ac:dyDescent="0.35">
      <c r="H13799" s="711"/>
      <c r="I13799" s="711"/>
      <c r="J13799" s="711"/>
      <c r="K13799" s="711"/>
      <c r="L13799" s="711"/>
      <c r="Q13799" s="11"/>
      <c r="R13799" s="11"/>
      <c r="S13799" s="11"/>
      <c r="T13799" s="11"/>
    </row>
    <row r="13800" spans="8:20" x14ac:dyDescent="0.35">
      <c r="H13800" s="711"/>
      <c r="I13800" s="711"/>
      <c r="J13800" s="711"/>
      <c r="K13800" s="711"/>
      <c r="L13800" s="711"/>
      <c r="Q13800" s="11"/>
      <c r="R13800" s="11"/>
      <c r="S13800" s="11"/>
      <c r="T13800" s="11"/>
    </row>
    <row r="13801" spans="8:20" x14ac:dyDescent="0.35">
      <c r="H13801" s="711"/>
      <c r="I13801" s="711"/>
      <c r="J13801" s="711"/>
      <c r="K13801" s="711"/>
      <c r="L13801" s="711"/>
      <c r="Q13801" s="11"/>
      <c r="R13801" s="11"/>
      <c r="S13801" s="11"/>
      <c r="T13801" s="11"/>
    </row>
    <row r="13802" spans="8:20" x14ac:dyDescent="0.35">
      <c r="H13802" s="711"/>
      <c r="I13802" s="711"/>
      <c r="J13802" s="711"/>
      <c r="K13802" s="711"/>
      <c r="L13802" s="711"/>
      <c r="Q13802" s="11"/>
      <c r="R13802" s="11"/>
      <c r="S13802" s="11"/>
      <c r="T13802" s="11"/>
    </row>
    <row r="13803" spans="8:20" x14ac:dyDescent="0.35">
      <c r="H13803" s="711"/>
      <c r="I13803" s="711"/>
      <c r="J13803" s="711"/>
      <c r="K13803" s="711"/>
      <c r="L13803" s="711"/>
      <c r="Q13803" s="11"/>
      <c r="R13803" s="11"/>
      <c r="S13803" s="11"/>
      <c r="T13803" s="11"/>
    </row>
    <row r="13804" spans="8:20" x14ac:dyDescent="0.35">
      <c r="H13804" s="711"/>
      <c r="I13804" s="711"/>
      <c r="J13804" s="711"/>
      <c r="K13804" s="711"/>
      <c r="L13804" s="711"/>
      <c r="Q13804" s="11"/>
      <c r="R13804" s="11"/>
      <c r="S13804" s="11"/>
      <c r="T13804" s="11"/>
    </row>
    <row r="13805" spans="8:20" x14ac:dyDescent="0.35">
      <c r="H13805" s="711"/>
      <c r="I13805" s="711"/>
      <c r="J13805" s="711"/>
      <c r="K13805" s="711"/>
      <c r="L13805" s="711"/>
      <c r="Q13805" s="11"/>
      <c r="R13805" s="11"/>
      <c r="S13805" s="11"/>
      <c r="T13805" s="11"/>
    </row>
    <row r="13806" spans="8:20" x14ac:dyDescent="0.35">
      <c r="H13806" s="711"/>
      <c r="I13806" s="711"/>
      <c r="J13806" s="711"/>
      <c r="K13806" s="711"/>
      <c r="L13806" s="711"/>
      <c r="Q13806" s="11"/>
      <c r="R13806" s="11"/>
      <c r="S13806" s="11"/>
      <c r="T13806" s="11"/>
    </row>
    <row r="13807" spans="8:20" x14ac:dyDescent="0.35">
      <c r="H13807" s="711"/>
      <c r="I13807" s="711"/>
      <c r="J13807" s="711"/>
      <c r="K13807" s="711"/>
      <c r="L13807" s="711"/>
      <c r="Q13807" s="11"/>
      <c r="R13807" s="11"/>
      <c r="S13807" s="11"/>
      <c r="T13807" s="11"/>
    </row>
    <row r="13808" spans="8:20" x14ac:dyDescent="0.35">
      <c r="H13808" s="711"/>
      <c r="I13808" s="711"/>
      <c r="J13808" s="711"/>
      <c r="K13808" s="711"/>
      <c r="L13808" s="711"/>
      <c r="Q13808" s="11"/>
      <c r="R13808" s="11"/>
      <c r="S13808" s="11"/>
      <c r="T13808" s="11"/>
    </row>
    <row r="13809" spans="8:20" x14ac:dyDescent="0.35">
      <c r="H13809" s="711"/>
      <c r="I13809" s="711"/>
      <c r="J13809" s="711"/>
      <c r="K13809" s="711"/>
      <c r="L13809" s="711"/>
      <c r="Q13809" s="11"/>
      <c r="R13809" s="11"/>
      <c r="S13809" s="11"/>
      <c r="T13809" s="11"/>
    </row>
    <row r="13810" spans="8:20" x14ac:dyDescent="0.35">
      <c r="H13810" s="711"/>
      <c r="I13810" s="711"/>
      <c r="J13810" s="711"/>
      <c r="K13810" s="711"/>
      <c r="L13810" s="711"/>
      <c r="Q13810" s="11"/>
      <c r="R13810" s="11"/>
      <c r="S13810" s="11"/>
      <c r="T13810" s="11"/>
    </row>
    <row r="13811" spans="8:20" x14ac:dyDescent="0.35">
      <c r="H13811" s="711"/>
      <c r="I13811" s="711"/>
      <c r="J13811" s="711"/>
      <c r="K13811" s="711"/>
      <c r="L13811" s="711"/>
      <c r="Q13811" s="11"/>
      <c r="R13811" s="11"/>
      <c r="S13811" s="11"/>
      <c r="T13811" s="11"/>
    </row>
    <row r="13812" spans="8:20" x14ac:dyDescent="0.35">
      <c r="H13812" s="711"/>
      <c r="I13812" s="711"/>
      <c r="J13812" s="711"/>
      <c r="K13812" s="711"/>
      <c r="L13812" s="711"/>
      <c r="Q13812" s="11"/>
      <c r="R13812" s="11"/>
      <c r="S13812" s="11"/>
      <c r="T13812" s="11"/>
    </row>
    <row r="13813" spans="8:20" x14ac:dyDescent="0.35">
      <c r="H13813" s="711"/>
      <c r="I13813" s="711"/>
      <c r="J13813" s="711"/>
      <c r="K13813" s="711"/>
      <c r="L13813" s="711"/>
      <c r="Q13813" s="11"/>
      <c r="R13813" s="11"/>
      <c r="S13813" s="11"/>
      <c r="T13813" s="11"/>
    </row>
    <row r="13814" spans="8:20" x14ac:dyDescent="0.35">
      <c r="H13814" s="711"/>
      <c r="I13814" s="711"/>
      <c r="J13814" s="711"/>
      <c r="K13814" s="711"/>
      <c r="L13814" s="711"/>
      <c r="Q13814" s="11"/>
      <c r="R13814" s="11"/>
      <c r="S13814" s="11"/>
      <c r="T13814" s="11"/>
    </row>
    <row r="13815" spans="8:20" x14ac:dyDescent="0.35">
      <c r="H13815" s="711"/>
      <c r="I13815" s="711"/>
      <c r="J13815" s="711"/>
      <c r="K13815" s="711"/>
      <c r="L13815" s="711"/>
      <c r="Q13815" s="11"/>
      <c r="R13815" s="11"/>
      <c r="S13815" s="11"/>
      <c r="T13815" s="11"/>
    </row>
    <row r="13816" spans="8:20" x14ac:dyDescent="0.35">
      <c r="H13816" s="711"/>
      <c r="I13816" s="711"/>
      <c r="J13816" s="711"/>
      <c r="K13816" s="711"/>
      <c r="L13816" s="711"/>
      <c r="Q13816" s="11"/>
      <c r="R13816" s="11"/>
      <c r="S13816" s="11"/>
      <c r="T13816" s="11"/>
    </row>
    <row r="13817" spans="8:20" x14ac:dyDescent="0.35">
      <c r="H13817" s="711"/>
      <c r="I13817" s="711"/>
      <c r="J13817" s="711"/>
      <c r="K13817" s="711"/>
      <c r="L13817" s="711"/>
      <c r="Q13817" s="11"/>
      <c r="R13817" s="11"/>
      <c r="S13817" s="11"/>
      <c r="T13817" s="11"/>
    </row>
    <row r="13818" spans="8:20" x14ac:dyDescent="0.35">
      <c r="H13818" s="711"/>
      <c r="I13818" s="711"/>
      <c r="J13818" s="711"/>
      <c r="K13818" s="711"/>
      <c r="L13818" s="711"/>
      <c r="Q13818" s="11"/>
      <c r="R13818" s="11"/>
      <c r="S13818" s="11"/>
      <c r="T13818" s="11"/>
    </row>
    <row r="13819" spans="8:20" x14ac:dyDescent="0.35">
      <c r="H13819" s="711"/>
      <c r="I13819" s="711"/>
      <c r="J13819" s="711"/>
      <c r="K13819" s="711"/>
      <c r="L13819" s="711"/>
      <c r="Q13819" s="11"/>
      <c r="R13819" s="11"/>
      <c r="S13819" s="11"/>
      <c r="T13819" s="11"/>
    </row>
    <row r="13820" spans="8:20" x14ac:dyDescent="0.35">
      <c r="H13820" s="711"/>
      <c r="I13820" s="711"/>
      <c r="J13820" s="711"/>
      <c r="K13820" s="711"/>
      <c r="L13820" s="711"/>
      <c r="Q13820" s="11"/>
      <c r="R13820" s="11"/>
      <c r="S13820" s="11"/>
      <c r="T13820" s="11"/>
    </row>
    <row r="13821" spans="8:20" x14ac:dyDescent="0.35">
      <c r="H13821" s="711"/>
      <c r="I13821" s="711"/>
      <c r="J13821" s="711"/>
      <c r="K13821" s="711"/>
      <c r="L13821" s="711"/>
      <c r="Q13821" s="11"/>
      <c r="R13821" s="11"/>
      <c r="S13821" s="11"/>
      <c r="T13821" s="11"/>
    </row>
    <row r="13822" spans="8:20" x14ac:dyDescent="0.35">
      <c r="H13822" s="711"/>
      <c r="I13822" s="711"/>
      <c r="J13822" s="711"/>
      <c r="K13822" s="711"/>
      <c r="L13822" s="711"/>
      <c r="Q13822" s="11"/>
      <c r="R13822" s="11"/>
      <c r="S13822" s="11"/>
      <c r="T13822" s="11"/>
    </row>
    <row r="13823" spans="8:20" x14ac:dyDescent="0.35">
      <c r="H13823" s="711"/>
      <c r="I13823" s="711"/>
      <c r="J13823" s="711"/>
      <c r="K13823" s="711"/>
      <c r="L13823" s="711"/>
      <c r="Q13823" s="11"/>
      <c r="R13823" s="11"/>
      <c r="S13823" s="11"/>
      <c r="T13823" s="11"/>
    </row>
    <row r="13824" spans="8:20" x14ac:dyDescent="0.35">
      <c r="H13824" s="711"/>
      <c r="I13824" s="711"/>
      <c r="J13824" s="711"/>
      <c r="K13824" s="711"/>
      <c r="L13824" s="711"/>
      <c r="Q13824" s="11"/>
      <c r="R13824" s="11"/>
      <c r="S13824" s="11"/>
      <c r="T13824" s="11"/>
    </row>
    <row r="13825" spans="8:20" x14ac:dyDescent="0.35">
      <c r="H13825" s="711"/>
      <c r="I13825" s="711"/>
      <c r="J13825" s="711"/>
      <c r="K13825" s="711"/>
      <c r="L13825" s="711"/>
      <c r="Q13825" s="11"/>
      <c r="R13825" s="11"/>
      <c r="S13825" s="11"/>
      <c r="T13825" s="11"/>
    </row>
    <row r="13826" spans="8:20" x14ac:dyDescent="0.35">
      <c r="H13826" s="711"/>
      <c r="I13826" s="711"/>
      <c r="J13826" s="711"/>
      <c r="K13826" s="711"/>
      <c r="L13826" s="711"/>
      <c r="Q13826" s="11"/>
      <c r="R13826" s="11"/>
      <c r="S13826" s="11"/>
      <c r="T13826" s="11"/>
    </row>
    <row r="13827" spans="8:20" x14ac:dyDescent="0.35">
      <c r="H13827" s="711"/>
      <c r="I13827" s="711"/>
      <c r="J13827" s="711"/>
      <c r="K13827" s="711"/>
      <c r="L13827" s="711"/>
      <c r="Q13827" s="11"/>
      <c r="R13827" s="11"/>
      <c r="S13827" s="11"/>
      <c r="T13827" s="11"/>
    </row>
    <row r="13828" spans="8:20" x14ac:dyDescent="0.35">
      <c r="H13828" s="711"/>
      <c r="I13828" s="711"/>
      <c r="J13828" s="711"/>
      <c r="K13828" s="711"/>
      <c r="L13828" s="711"/>
      <c r="Q13828" s="11"/>
      <c r="R13828" s="11"/>
      <c r="S13828" s="11"/>
      <c r="T13828" s="11"/>
    </row>
    <row r="13829" spans="8:20" x14ac:dyDescent="0.35">
      <c r="H13829" s="711"/>
      <c r="I13829" s="711"/>
      <c r="J13829" s="711"/>
      <c r="K13829" s="711"/>
      <c r="L13829" s="711"/>
      <c r="Q13829" s="11"/>
      <c r="R13829" s="11"/>
      <c r="S13829" s="11"/>
      <c r="T13829" s="11"/>
    </row>
    <row r="13830" spans="8:20" x14ac:dyDescent="0.35">
      <c r="H13830" s="711"/>
      <c r="I13830" s="711"/>
      <c r="J13830" s="711"/>
      <c r="K13830" s="711"/>
      <c r="L13830" s="711"/>
      <c r="Q13830" s="11"/>
      <c r="R13830" s="11"/>
      <c r="S13830" s="11"/>
      <c r="T13830" s="11"/>
    </row>
    <row r="13831" spans="8:20" x14ac:dyDescent="0.35">
      <c r="H13831" s="711"/>
      <c r="I13831" s="711"/>
      <c r="J13831" s="711"/>
      <c r="K13831" s="711"/>
      <c r="L13831" s="711"/>
      <c r="Q13831" s="11"/>
      <c r="R13831" s="11"/>
      <c r="S13831" s="11"/>
      <c r="T13831" s="11"/>
    </row>
    <row r="13832" spans="8:20" x14ac:dyDescent="0.35">
      <c r="H13832" s="711"/>
      <c r="I13832" s="711"/>
      <c r="J13832" s="711"/>
      <c r="K13832" s="711"/>
      <c r="L13832" s="711"/>
      <c r="Q13832" s="11"/>
      <c r="R13832" s="11"/>
      <c r="S13832" s="11"/>
      <c r="T13832" s="11"/>
    </row>
    <row r="13833" spans="8:20" x14ac:dyDescent="0.35">
      <c r="H13833" s="711"/>
      <c r="I13833" s="711"/>
      <c r="J13833" s="711"/>
      <c r="K13833" s="711"/>
      <c r="L13833" s="711"/>
      <c r="Q13833" s="11"/>
      <c r="R13833" s="11"/>
      <c r="S13833" s="11"/>
      <c r="T13833" s="11"/>
    </row>
    <row r="13834" spans="8:20" x14ac:dyDescent="0.35">
      <c r="H13834" s="711"/>
      <c r="I13834" s="711"/>
      <c r="J13834" s="711"/>
      <c r="K13834" s="711"/>
      <c r="L13834" s="711"/>
      <c r="Q13834" s="11"/>
      <c r="R13834" s="11"/>
      <c r="S13834" s="11"/>
      <c r="T13834" s="11"/>
    </row>
    <row r="13835" spans="8:20" x14ac:dyDescent="0.35">
      <c r="H13835" s="711"/>
      <c r="I13835" s="711"/>
      <c r="J13835" s="711"/>
      <c r="K13835" s="711"/>
      <c r="L13835" s="711"/>
      <c r="Q13835" s="11"/>
      <c r="R13835" s="11"/>
      <c r="S13835" s="11"/>
      <c r="T13835" s="11"/>
    </row>
    <row r="13836" spans="8:20" x14ac:dyDescent="0.35">
      <c r="H13836" s="711"/>
      <c r="I13836" s="711"/>
      <c r="J13836" s="711"/>
      <c r="K13836" s="711"/>
      <c r="L13836" s="711"/>
      <c r="Q13836" s="11"/>
      <c r="R13836" s="11"/>
      <c r="S13836" s="11"/>
      <c r="T13836" s="11"/>
    </row>
    <row r="13837" spans="8:20" x14ac:dyDescent="0.35">
      <c r="H13837" s="711"/>
      <c r="I13837" s="711"/>
      <c r="J13837" s="711"/>
      <c r="K13837" s="711"/>
      <c r="L13837" s="711"/>
      <c r="Q13837" s="11"/>
      <c r="R13837" s="11"/>
      <c r="S13837" s="11"/>
      <c r="T13837" s="11"/>
    </row>
    <row r="13838" spans="8:20" x14ac:dyDescent="0.35">
      <c r="H13838" s="711"/>
      <c r="I13838" s="711"/>
      <c r="J13838" s="711"/>
      <c r="K13838" s="711"/>
      <c r="L13838" s="711"/>
      <c r="Q13838" s="11"/>
      <c r="R13838" s="11"/>
      <c r="S13838" s="11"/>
      <c r="T13838" s="11"/>
    </row>
    <row r="13839" spans="8:20" x14ac:dyDescent="0.35">
      <c r="H13839" s="711"/>
      <c r="I13839" s="711"/>
      <c r="J13839" s="711"/>
      <c r="K13839" s="711"/>
      <c r="L13839" s="711"/>
      <c r="Q13839" s="11"/>
      <c r="R13839" s="11"/>
      <c r="S13839" s="11"/>
      <c r="T13839" s="11"/>
    </row>
    <row r="13840" spans="8:20" x14ac:dyDescent="0.35">
      <c r="H13840" s="711"/>
      <c r="I13840" s="711"/>
      <c r="J13840" s="711"/>
      <c r="K13840" s="711"/>
      <c r="L13840" s="711"/>
      <c r="Q13840" s="11"/>
      <c r="R13840" s="11"/>
      <c r="S13840" s="11"/>
      <c r="T13840" s="11"/>
    </row>
    <row r="13841" spans="8:20" x14ac:dyDescent="0.35">
      <c r="H13841" s="711"/>
      <c r="I13841" s="711"/>
      <c r="J13841" s="711"/>
      <c r="K13841" s="711"/>
      <c r="L13841" s="711"/>
      <c r="Q13841" s="11"/>
      <c r="R13841" s="11"/>
      <c r="S13841" s="11"/>
      <c r="T13841" s="11"/>
    </row>
    <row r="13842" spans="8:20" x14ac:dyDescent="0.35">
      <c r="H13842" s="711"/>
      <c r="I13842" s="711"/>
      <c r="J13842" s="711"/>
      <c r="K13842" s="711"/>
      <c r="L13842" s="711"/>
      <c r="Q13842" s="11"/>
      <c r="R13842" s="11"/>
      <c r="S13842" s="11"/>
      <c r="T13842" s="11"/>
    </row>
    <row r="13843" spans="8:20" x14ac:dyDescent="0.35">
      <c r="H13843" s="711"/>
      <c r="I13843" s="711"/>
      <c r="J13843" s="711"/>
      <c r="K13843" s="711"/>
      <c r="L13843" s="711"/>
      <c r="Q13843" s="11"/>
      <c r="R13843" s="11"/>
      <c r="S13843" s="11"/>
      <c r="T13843" s="11"/>
    </row>
    <row r="13844" spans="8:20" x14ac:dyDescent="0.35">
      <c r="H13844" s="711"/>
      <c r="I13844" s="711"/>
      <c r="J13844" s="711"/>
      <c r="K13844" s="711"/>
      <c r="L13844" s="711"/>
      <c r="Q13844" s="11"/>
      <c r="R13844" s="11"/>
      <c r="S13844" s="11"/>
      <c r="T13844" s="11"/>
    </row>
    <row r="13845" spans="8:20" x14ac:dyDescent="0.35">
      <c r="H13845" s="711"/>
      <c r="I13845" s="711"/>
      <c r="J13845" s="711"/>
      <c r="K13845" s="711"/>
      <c r="L13845" s="711"/>
      <c r="Q13845" s="11"/>
      <c r="R13845" s="11"/>
      <c r="S13845" s="11"/>
      <c r="T13845" s="11"/>
    </row>
    <row r="13846" spans="8:20" x14ac:dyDescent="0.35">
      <c r="H13846" s="711"/>
      <c r="I13846" s="711"/>
      <c r="J13846" s="711"/>
      <c r="K13846" s="711"/>
      <c r="L13846" s="711"/>
      <c r="Q13846" s="11"/>
      <c r="R13846" s="11"/>
      <c r="S13846" s="11"/>
      <c r="T13846" s="11"/>
    </row>
    <row r="13847" spans="8:20" x14ac:dyDescent="0.35">
      <c r="H13847" s="711"/>
      <c r="I13847" s="711"/>
      <c r="J13847" s="711"/>
      <c r="K13847" s="711"/>
      <c r="L13847" s="711"/>
      <c r="Q13847" s="11"/>
      <c r="R13847" s="11"/>
      <c r="S13847" s="11"/>
      <c r="T13847" s="11"/>
    </row>
    <row r="13848" spans="8:20" x14ac:dyDescent="0.35">
      <c r="H13848" s="711"/>
      <c r="I13848" s="711"/>
      <c r="J13848" s="711"/>
      <c r="K13848" s="711"/>
      <c r="L13848" s="711"/>
      <c r="Q13848" s="11"/>
      <c r="R13848" s="11"/>
      <c r="S13848" s="11"/>
      <c r="T13848" s="11"/>
    </row>
    <row r="13849" spans="8:20" x14ac:dyDescent="0.35">
      <c r="H13849" s="711"/>
      <c r="I13849" s="711"/>
      <c r="J13849" s="711"/>
      <c r="K13849" s="711"/>
      <c r="L13849" s="711"/>
      <c r="Q13849" s="11"/>
      <c r="R13849" s="11"/>
      <c r="S13849" s="11"/>
      <c r="T13849" s="11"/>
    </row>
    <row r="13850" spans="8:20" x14ac:dyDescent="0.35">
      <c r="H13850" s="711"/>
      <c r="I13850" s="711"/>
      <c r="J13850" s="711"/>
      <c r="K13850" s="711"/>
      <c r="L13850" s="711"/>
      <c r="Q13850" s="11"/>
      <c r="R13850" s="11"/>
      <c r="S13850" s="11"/>
      <c r="T13850" s="11"/>
    </row>
    <row r="13851" spans="8:20" x14ac:dyDescent="0.35">
      <c r="H13851" s="711"/>
      <c r="I13851" s="711"/>
      <c r="J13851" s="711"/>
      <c r="K13851" s="711"/>
      <c r="L13851" s="711"/>
      <c r="Q13851" s="11"/>
      <c r="R13851" s="11"/>
      <c r="S13851" s="11"/>
      <c r="T13851" s="11"/>
    </row>
    <row r="13852" spans="8:20" x14ac:dyDescent="0.35">
      <c r="H13852" s="711"/>
      <c r="I13852" s="711"/>
      <c r="J13852" s="711"/>
      <c r="K13852" s="711"/>
      <c r="L13852" s="711"/>
      <c r="Q13852" s="11"/>
      <c r="R13852" s="11"/>
      <c r="S13852" s="11"/>
      <c r="T13852" s="11"/>
    </row>
    <row r="13853" spans="8:20" x14ac:dyDescent="0.35">
      <c r="H13853" s="711"/>
      <c r="I13853" s="711"/>
      <c r="J13853" s="711"/>
      <c r="K13853" s="711"/>
      <c r="L13853" s="711"/>
      <c r="Q13853" s="11"/>
      <c r="R13853" s="11"/>
      <c r="S13853" s="11"/>
      <c r="T13853" s="11"/>
    </row>
    <row r="13854" spans="8:20" x14ac:dyDescent="0.35">
      <c r="H13854" s="711"/>
      <c r="I13854" s="711"/>
      <c r="J13854" s="711"/>
      <c r="K13854" s="711"/>
      <c r="L13854" s="711"/>
      <c r="Q13854" s="11"/>
      <c r="R13854" s="11"/>
      <c r="S13854" s="11"/>
      <c r="T13854" s="11"/>
    </row>
    <row r="13855" spans="8:20" x14ac:dyDescent="0.35">
      <c r="H13855" s="711"/>
      <c r="I13855" s="711"/>
      <c r="J13855" s="711"/>
      <c r="K13855" s="711"/>
      <c r="L13855" s="711"/>
      <c r="Q13855" s="11"/>
      <c r="R13855" s="11"/>
      <c r="S13855" s="11"/>
      <c r="T13855" s="11"/>
    </row>
    <row r="13856" spans="8:20" x14ac:dyDescent="0.35">
      <c r="H13856" s="711"/>
      <c r="I13856" s="711"/>
      <c r="J13856" s="711"/>
      <c r="K13856" s="711"/>
      <c r="L13856" s="711"/>
      <c r="Q13856" s="11"/>
      <c r="R13856" s="11"/>
      <c r="S13856" s="11"/>
      <c r="T13856" s="11"/>
    </row>
    <row r="13857" spans="8:20" x14ac:dyDescent="0.35">
      <c r="H13857" s="711"/>
      <c r="I13857" s="711"/>
      <c r="J13857" s="711"/>
      <c r="K13857" s="711"/>
      <c r="L13857" s="711"/>
      <c r="Q13857" s="11"/>
      <c r="R13857" s="11"/>
      <c r="S13857" s="11"/>
      <c r="T13857" s="11"/>
    </row>
    <row r="13858" spans="8:20" x14ac:dyDescent="0.35">
      <c r="H13858" s="711"/>
      <c r="I13858" s="711"/>
      <c r="J13858" s="711"/>
      <c r="K13858" s="711"/>
      <c r="L13858" s="711"/>
      <c r="Q13858" s="11"/>
      <c r="R13858" s="11"/>
      <c r="S13858" s="11"/>
      <c r="T13858" s="11"/>
    </row>
    <row r="13859" spans="8:20" x14ac:dyDescent="0.35">
      <c r="H13859" s="711"/>
      <c r="I13859" s="711"/>
      <c r="J13859" s="711"/>
      <c r="K13859" s="711"/>
      <c r="L13859" s="711"/>
      <c r="Q13859" s="11"/>
      <c r="R13859" s="11"/>
      <c r="S13859" s="11"/>
      <c r="T13859" s="11"/>
    </row>
    <row r="13860" spans="8:20" x14ac:dyDescent="0.35">
      <c r="H13860" s="711"/>
      <c r="I13860" s="711"/>
      <c r="J13860" s="711"/>
      <c r="K13860" s="711"/>
      <c r="L13860" s="711"/>
      <c r="Q13860" s="11"/>
      <c r="R13860" s="11"/>
      <c r="S13860" s="11"/>
      <c r="T13860" s="11"/>
    </row>
    <row r="13861" spans="8:20" x14ac:dyDescent="0.35">
      <c r="H13861" s="711"/>
      <c r="I13861" s="711"/>
      <c r="J13861" s="711"/>
      <c r="K13861" s="711"/>
      <c r="L13861" s="711"/>
      <c r="Q13861" s="11"/>
      <c r="R13861" s="11"/>
      <c r="S13861" s="11"/>
      <c r="T13861" s="11"/>
    </row>
    <row r="13862" spans="8:20" x14ac:dyDescent="0.35">
      <c r="H13862" s="711"/>
      <c r="I13862" s="711"/>
      <c r="J13862" s="711"/>
      <c r="K13862" s="711"/>
      <c r="L13862" s="711"/>
      <c r="Q13862" s="11"/>
      <c r="R13862" s="11"/>
      <c r="S13862" s="11"/>
      <c r="T13862" s="11"/>
    </row>
    <row r="13863" spans="8:20" x14ac:dyDescent="0.35">
      <c r="H13863" s="711"/>
      <c r="I13863" s="711"/>
      <c r="J13863" s="711"/>
      <c r="K13863" s="711"/>
      <c r="L13863" s="711"/>
      <c r="Q13863" s="11"/>
      <c r="R13863" s="11"/>
      <c r="S13863" s="11"/>
      <c r="T13863" s="11"/>
    </row>
    <row r="13864" spans="8:20" x14ac:dyDescent="0.35">
      <c r="H13864" s="711"/>
      <c r="I13864" s="711"/>
      <c r="J13864" s="711"/>
      <c r="K13864" s="711"/>
      <c r="L13864" s="711"/>
      <c r="Q13864" s="11"/>
      <c r="R13864" s="11"/>
      <c r="S13864" s="11"/>
      <c r="T13864" s="11"/>
    </row>
    <row r="13865" spans="8:20" x14ac:dyDescent="0.35">
      <c r="H13865" s="711"/>
      <c r="I13865" s="711"/>
      <c r="J13865" s="711"/>
      <c r="K13865" s="711"/>
      <c r="L13865" s="711"/>
      <c r="Q13865" s="11"/>
      <c r="R13865" s="11"/>
      <c r="S13865" s="11"/>
      <c r="T13865" s="11"/>
    </row>
    <row r="13866" spans="8:20" x14ac:dyDescent="0.35">
      <c r="H13866" s="711"/>
      <c r="I13866" s="711"/>
      <c r="J13866" s="711"/>
      <c r="K13866" s="711"/>
      <c r="L13866" s="711"/>
      <c r="Q13866" s="11"/>
      <c r="R13866" s="11"/>
      <c r="S13866" s="11"/>
      <c r="T13866" s="11"/>
    </row>
    <row r="13867" spans="8:20" x14ac:dyDescent="0.35">
      <c r="H13867" s="711"/>
      <c r="I13867" s="711"/>
      <c r="J13867" s="711"/>
      <c r="K13867" s="711"/>
      <c r="L13867" s="711"/>
      <c r="Q13867" s="11"/>
      <c r="R13867" s="11"/>
      <c r="S13867" s="11"/>
      <c r="T13867" s="11"/>
    </row>
    <row r="13868" spans="8:20" x14ac:dyDescent="0.35">
      <c r="H13868" s="711"/>
      <c r="I13868" s="711"/>
      <c r="J13868" s="711"/>
      <c r="K13868" s="711"/>
      <c r="L13868" s="711"/>
      <c r="Q13868" s="11"/>
      <c r="R13868" s="11"/>
      <c r="S13868" s="11"/>
      <c r="T13868" s="11"/>
    </row>
    <row r="13869" spans="8:20" x14ac:dyDescent="0.35">
      <c r="H13869" s="711"/>
      <c r="I13869" s="711"/>
      <c r="J13869" s="711"/>
      <c r="K13869" s="711"/>
      <c r="L13869" s="711"/>
      <c r="Q13869" s="11"/>
      <c r="R13869" s="11"/>
      <c r="S13869" s="11"/>
      <c r="T13869" s="11"/>
    </row>
    <row r="13870" spans="8:20" x14ac:dyDescent="0.35">
      <c r="H13870" s="711"/>
      <c r="I13870" s="711"/>
      <c r="J13870" s="711"/>
      <c r="K13870" s="711"/>
      <c r="L13870" s="711"/>
      <c r="Q13870" s="11"/>
      <c r="R13870" s="11"/>
      <c r="S13870" s="11"/>
      <c r="T13870" s="11"/>
    </row>
    <row r="13871" spans="8:20" x14ac:dyDescent="0.35">
      <c r="H13871" s="711"/>
      <c r="I13871" s="711"/>
      <c r="J13871" s="711"/>
      <c r="K13871" s="711"/>
      <c r="L13871" s="711"/>
      <c r="Q13871" s="11"/>
      <c r="R13871" s="11"/>
      <c r="S13871" s="11"/>
      <c r="T13871" s="11"/>
    </row>
    <row r="13872" spans="8:20" x14ac:dyDescent="0.35">
      <c r="H13872" s="711"/>
      <c r="I13872" s="711"/>
      <c r="J13872" s="711"/>
      <c r="K13872" s="711"/>
      <c r="L13872" s="711"/>
      <c r="Q13872" s="11"/>
      <c r="R13872" s="11"/>
      <c r="S13872" s="11"/>
      <c r="T13872" s="11"/>
    </row>
    <row r="13873" spans="8:20" x14ac:dyDescent="0.35">
      <c r="H13873" s="711"/>
      <c r="I13873" s="711"/>
      <c r="J13873" s="711"/>
      <c r="K13873" s="711"/>
      <c r="L13873" s="711"/>
      <c r="Q13873" s="11"/>
      <c r="R13873" s="11"/>
      <c r="S13873" s="11"/>
      <c r="T13873" s="11"/>
    </row>
    <row r="13874" spans="8:20" x14ac:dyDescent="0.35">
      <c r="H13874" s="711"/>
      <c r="I13874" s="711"/>
      <c r="J13874" s="711"/>
      <c r="K13874" s="711"/>
      <c r="L13874" s="711"/>
      <c r="Q13874" s="11"/>
      <c r="R13874" s="11"/>
      <c r="S13874" s="11"/>
      <c r="T13874" s="11"/>
    </row>
    <row r="13875" spans="8:20" x14ac:dyDescent="0.35">
      <c r="H13875" s="711"/>
      <c r="I13875" s="711"/>
      <c r="J13875" s="711"/>
      <c r="K13875" s="711"/>
      <c r="L13875" s="711"/>
      <c r="Q13875" s="11"/>
      <c r="R13875" s="11"/>
      <c r="S13875" s="11"/>
      <c r="T13875" s="11"/>
    </row>
    <row r="13876" spans="8:20" x14ac:dyDescent="0.35">
      <c r="H13876" s="711"/>
      <c r="I13876" s="711"/>
      <c r="J13876" s="711"/>
      <c r="K13876" s="711"/>
      <c r="L13876" s="711"/>
      <c r="Q13876" s="11"/>
      <c r="R13876" s="11"/>
      <c r="S13876" s="11"/>
      <c r="T13876" s="11"/>
    </row>
    <row r="13877" spans="8:20" x14ac:dyDescent="0.35">
      <c r="H13877" s="711"/>
      <c r="I13877" s="711"/>
      <c r="J13877" s="711"/>
      <c r="K13877" s="711"/>
      <c r="L13877" s="711"/>
      <c r="Q13877" s="11"/>
      <c r="R13877" s="11"/>
      <c r="S13877" s="11"/>
      <c r="T13877" s="11"/>
    </row>
    <row r="13878" spans="8:20" x14ac:dyDescent="0.35">
      <c r="H13878" s="711"/>
      <c r="I13878" s="711"/>
      <c r="J13878" s="711"/>
      <c r="K13878" s="711"/>
      <c r="L13878" s="711"/>
      <c r="Q13878" s="11"/>
      <c r="R13878" s="11"/>
      <c r="S13878" s="11"/>
      <c r="T13878" s="11"/>
    </row>
    <row r="13879" spans="8:20" x14ac:dyDescent="0.35">
      <c r="H13879" s="711"/>
      <c r="I13879" s="711"/>
      <c r="J13879" s="711"/>
      <c r="K13879" s="711"/>
      <c r="L13879" s="711"/>
      <c r="Q13879" s="11"/>
      <c r="R13879" s="11"/>
      <c r="S13879" s="11"/>
      <c r="T13879" s="11"/>
    </row>
    <row r="13880" spans="8:20" x14ac:dyDescent="0.35">
      <c r="H13880" s="711"/>
      <c r="I13880" s="711"/>
      <c r="J13880" s="711"/>
      <c r="K13880" s="711"/>
      <c r="L13880" s="711"/>
      <c r="Q13880" s="11"/>
      <c r="R13880" s="11"/>
      <c r="S13880" s="11"/>
      <c r="T13880" s="11"/>
    </row>
    <row r="13881" spans="8:20" x14ac:dyDescent="0.35">
      <c r="H13881" s="711"/>
      <c r="I13881" s="711"/>
      <c r="J13881" s="711"/>
      <c r="K13881" s="711"/>
      <c r="L13881" s="711"/>
      <c r="Q13881" s="11"/>
      <c r="R13881" s="11"/>
      <c r="S13881" s="11"/>
      <c r="T13881" s="11"/>
    </row>
    <row r="13882" spans="8:20" x14ac:dyDescent="0.35">
      <c r="H13882" s="711"/>
      <c r="I13882" s="711"/>
      <c r="J13882" s="711"/>
      <c r="K13882" s="711"/>
      <c r="L13882" s="711"/>
      <c r="Q13882" s="11"/>
      <c r="R13882" s="11"/>
      <c r="S13882" s="11"/>
      <c r="T13882" s="11"/>
    </row>
    <row r="13883" spans="8:20" x14ac:dyDescent="0.35">
      <c r="H13883" s="711"/>
      <c r="I13883" s="711"/>
      <c r="J13883" s="711"/>
      <c r="K13883" s="711"/>
      <c r="L13883" s="711"/>
      <c r="Q13883" s="11"/>
      <c r="R13883" s="11"/>
      <c r="S13883" s="11"/>
      <c r="T13883" s="11"/>
    </row>
    <row r="13884" spans="8:20" x14ac:dyDescent="0.35">
      <c r="H13884" s="711"/>
      <c r="I13884" s="711"/>
      <c r="J13884" s="711"/>
      <c r="K13884" s="711"/>
      <c r="L13884" s="711"/>
      <c r="Q13884" s="11"/>
      <c r="R13884" s="11"/>
      <c r="S13884" s="11"/>
      <c r="T13884" s="11"/>
    </row>
    <row r="13885" spans="8:20" x14ac:dyDescent="0.35">
      <c r="H13885" s="711"/>
      <c r="I13885" s="711"/>
      <c r="J13885" s="711"/>
      <c r="K13885" s="711"/>
      <c r="L13885" s="711"/>
      <c r="Q13885" s="11"/>
      <c r="R13885" s="11"/>
      <c r="S13885" s="11"/>
      <c r="T13885" s="11"/>
    </row>
    <row r="13886" spans="8:20" x14ac:dyDescent="0.35">
      <c r="H13886" s="711"/>
      <c r="I13886" s="711"/>
      <c r="J13886" s="711"/>
      <c r="K13886" s="711"/>
      <c r="L13886" s="711"/>
      <c r="Q13886" s="11"/>
      <c r="R13886" s="11"/>
      <c r="S13886" s="11"/>
      <c r="T13886" s="11"/>
    </row>
    <row r="13887" spans="8:20" x14ac:dyDescent="0.35">
      <c r="H13887" s="711"/>
      <c r="I13887" s="711"/>
      <c r="J13887" s="711"/>
      <c r="K13887" s="711"/>
      <c r="L13887" s="711"/>
      <c r="Q13887" s="11"/>
      <c r="R13887" s="11"/>
      <c r="S13887" s="11"/>
      <c r="T13887" s="11"/>
    </row>
    <row r="13888" spans="8:20" x14ac:dyDescent="0.35">
      <c r="H13888" s="711"/>
      <c r="I13888" s="711"/>
      <c r="J13888" s="711"/>
      <c r="K13888" s="711"/>
      <c r="L13888" s="711"/>
      <c r="Q13888" s="11"/>
      <c r="R13888" s="11"/>
      <c r="S13888" s="11"/>
      <c r="T13888" s="11"/>
    </row>
    <row r="13889" spans="8:20" x14ac:dyDescent="0.35">
      <c r="H13889" s="711"/>
      <c r="I13889" s="711"/>
      <c r="J13889" s="711"/>
      <c r="K13889" s="711"/>
      <c r="L13889" s="711"/>
      <c r="Q13889" s="11"/>
      <c r="R13889" s="11"/>
      <c r="S13889" s="11"/>
      <c r="T13889" s="11"/>
    </row>
    <row r="13890" spans="8:20" x14ac:dyDescent="0.35">
      <c r="H13890" s="711"/>
      <c r="I13890" s="711"/>
      <c r="J13890" s="711"/>
      <c r="K13890" s="711"/>
      <c r="L13890" s="711"/>
      <c r="Q13890" s="11"/>
      <c r="R13890" s="11"/>
      <c r="S13890" s="11"/>
      <c r="T13890" s="11"/>
    </row>
    <row r="13891" spans="8:20" x14ac:dyDescent="0.35">
      <c r="H13891" s="711"/>
      <c r="I13891" s="711"/>
      <c r="J13891" s="711"/>
      <c r="K13891" s="711"/>
      <c r="L13891" s="711"/>
      <c r="Q13891" s="11"/>
      <c r="R13891" s="11"/>
      <c r="S13891" s="11"/>
      <c r="T13891" s="11"/>
    </row>
    <row r="13892" spans="8:20" x14ac:dyDescent="0.35">
      <c r="H13892" s="711"/>
      <c r="I13892" s="711"/>
      <c r="J13892" s="711"/>
      <c r="K13892" s="711"/>
      <c r="L13892" s="711"/>
      <c r="Q13892" s="11"/>
      <c r="R13892" s="11"/>
      <c r="S13892" s="11"/>
      <c r="T13892" s="11"/>
    </row>
    <row r="13893" spans="8:20" x14ac:dyDescent="0.35">
      <c r="H13893" s="711"/>
      <c r="I13893" s="711"/>
      <c r="J13893" s="711"/>
      <c r="K13893" s="711"/>
      <c r="L13893" s="711"/>
      <c r="Q13893" s="11"/>
      <c r="R13893" s="11"/>
      <c r="S13893" s="11"/>
      <c r="T13893" s="11"/>
    </row>
    <row r="13894" spans="8:20" x14ac:dyDescent="0.35">
      <c r="H13894" s="711"/>
      <c r="I13894" s="711"/>
      <c r="J13894" s="711"/>
      <c r="K13894" s="711"/>
      <c r="L13894" s="711"/>
      <c r="Q13894" s="11"/>
      <c r="R13894" s="11"/>
      <c r="S13894" s="11"/>
      <c r="T13894" s="11"/>
    </row>
    <row r="13895" spans="8:20" x14ac:dyDescent="0.35">
      <c r="H13895" s="711"/>
      <c r="I13895" s="711"/>
      <c r="J13895" s="711"/>
      <c r="K13895" s="711"/>
      <c r="L13895" s="711"/>
      <c r="Q13895" s="11"/>
      <c r="R13895" s="11"/>
      <c r="S13895" s="11"/>
      <c r="T13895" s="11"/>
    </row>
    <row r="13896" spans="8:20" x14ac:dyDescent="0.35">
      <c r="H13896" s="711"/>
      <c r="I13896" s="711"/>
      <c r="J13896" s="711"/>
      <c r="K13896" s="711"/>
      <c r="L13896" s="711"/>
      <c r="Q13896" s="11"/>
      <c r="R13896" s="11"/>
      <c r="S13896" s="11"/>
      <c r="T13896" s="11"/>
    </row>
    <row r="13897" spans="8:20" x14ac:dyDescent="0.35">
      <c r="H13897" s="711"/>
      <c r="I13897" s="711"/>
      <c r="J13897" s="711"/>
      <c r="K13897" s="711"/>
      <c r="L13897" s="711"/>
      <c r="Q13897" s="11"/>
      <c r="R13897" s="11"/>
      <c r="S13897" s="11"/>
      <c r="T13897" s="11"/>
    </row>
    <row r="13898" spans="8:20" x14ac:dyDescent="0.35">
      <c r="H13898" s="711"/>
      <c r="I13898" s="711"/>
      <c r="J13898" s="711"/>
      <c r="K13898" s="711"/>
      <c r="L13898" s="711"/>
      <c r="Q13898" s="11"/>
      <c r="R13898" s="11"/>
      <c r="S13898" s="11"/>
      <c r="T13898" s="11"/>
    </row>
    <row r="13899" spans="8:20" x14ac:dyDescent="0.35">
      <c r="H13899" s="711"/>
      <c r="I13899" s="711"/>
      <c r="J13899" s="711"/>
      <c r="K13899" s="711"/>
      <c r="L13899" s="711"/>
      <c r="Q13899" s="11"/>
      <c r="R13899" s="11"/>
      <c r="S13899" s="11"/>
      <c r="T13899" s="11"/>
    </row>
    <row r="13900" spans="8:20" x14ac:dyDescent="0.35">
      <c r="H13900" s="711"/>
      <c r="I13900" s="711"/>
      <c r="J13900" s="711"/>
      <c r="K13900" s="711"/>
      <c r="L13900" s="711"/>
      <c r="Q13900" s="11"/>
      <c r="R13900" s="11"/>
      <c r="S13900" s="11"/>
      <c r="T13900" s="11"/>
    </row>
    <row r="13901" spans="8:20" x14ac:dyDescent="0.35">
      <c r="H13901" s="711"/>
      <c r="I13901" s="711"/>
      <c r="J13901" s="711"/>
      <c r="K13901" s="711"/>
      <c r="L13901" s="711"/>
      <c r="Q13901" s="11"/>
      <c r="R13901" s="11"/>
      <c r="S13901" s="11"/>
      <c r="T13901" s="11"/>
    </row>
    <row r="13902" spans="8:20" x14ac:dyDescent="0.35">
      <c r="H13902" s="711"/>
      <c r="I13902" s="711"/>
      <c r="J13902" s="711"/>
      <c r="K13902" s="711"/>
      <c r="L13902" s="711"/>
      <c r="Q13902" s="11"/>
      <c r="R13902" s="11"/>
      <c r="S13902" s="11"/>
      <c r="T13902" s="11"/>
    </row>
    <row r="13903" spans="8:20" x14ac:dyDescent="0.35">
      <c r="H13903" s="711"/>
      <c r="I13903" s="711"/>
      <c r="J13903" s="711"/>
      <c r="K13903" s="711"/>
      <c r="L13903" s="711"/>
      <c r="Q13903" s="11"/>
      <c r="R13903" s="11"/>
      <c r="S13903" s="11"/>
      <c r="T13903" s="11"/>
    </row>
    <row r="13904" spans="8:20" x14ac:dyDescent="0.35">
      <c r="H13904" s="711"/>
      <c r="I13904" s="711"/>
      <c r="J13904" s="711"/>
      <c r="K13904" s="711"/>
      <c r="L13904" s="711"/>
      <c r="Q13904" s="11"/>
      <c r="R13904" s="11"/>
      <c r="S13904" s="11"/>
      <c r="T13904" s="11"/>
    </row>
    <row r="13905" spans="8:20" x14ac:dyDescent="0.35">
      <c r="H13905" s="711"/>
      <c r="I13905" s="711"/>
      <c r="J13905" s="711"/>
      <c r="K13905" s="711"/>
      <c r="L13905" s="711"/>
      <c r="Q13905" s="11"/>
      <c r="R13905" s="11"/>
      <c r="S13905" s="11"/>
      <c r="T13905" s="11"/>
    </row>
    <row r="13906" spans="8:20" x14ac:dyDescent="0.35">
      <c r="H13906" s="711"/>
      <c r="I13906" s="711"/>
      <c r="J13906" s="711"/>
      <c r="K13906" s="711"/>
      <c r="L13906" s="711"/>
      <c r="Q13906" s="11"/>
      <c r="R13906" s="11"/>
      <c r="S13906" s="11"/>
      <c r="T13906" s="11"/>
    </row>
    <row r="13907" spans="8:20" x14ac:dyDescent="0.35">
      <c r="H13907" s="711"/>
      <c r="I13907" s="711"/>
      <c r="J13907" s="711"/>
      <c r="K13907" s="711"/>
      <c r="L13907" s="711"/>
      <c r="Q13907" s="11"/>
      <c r="R13907" s="11"/>
      <c r="S13907" s="11"/>
      <c r="T13907" s="11"/>
    </row>
    <row r="13908" spans="8:20" x14ac:dyDescent="0.35">
      <c r="H13908" s="711"/>
      <c r="I13908" s="711"/>
      <c r="J13908" s="711"/>
      <c r="K13908" s="711"/>
      <c r="L13908" s="711"/>
      <c r="Q13908" s="11"/>
      <c r="R13908" s="11"/>
      <c r="S13908" s="11"/>
      <c r="T13908" s="11"/>
    </row>
    <row r="13909" spans="8:20" x14ac:dyDescent="0.35">
      <c r="H13909" s="711"/>
      <c r="I13909" s="711"/>
      <c r="J13909" s="711"/>
      <c r="K13909" s="711"/>
      <c r="L13909" s="711"/>
      <c r="Q13909" s="11"/>
      <c r="R13909" s="11"/>
      <c r="S13909" s="11"/>
      <c r="T13909" s="11"/>
    </row>
    <row r="13910" spans="8:20" x14ac:dyDescent="0.35">
      <c r="H13910" s="711"/>
      <c r="I13910" s="711"/>
      <c r="J13910" s="711"/>
      <c r="K13910" s="711"/>
      <c r="L13910" s="711"/>
      <c r="Q13910" s="11"/>
      <c r="R13910" s="11"/>
      <c r="S13910" s="11"/>
      <c r="T13910" s="11"/>
    </row>
    <row r="13911" spans="8:20" x14ac:dyDescent="0.35">
      <c r="H13911" s="711"/>
      <c r="I13911" s="711"/>
      <c r="J13911" s="711"/>
      <c r="K13911" s="711"/>
      <c r="L13911" s="711"/>
      <c r="Q13911" s="11"/>
      <c r="R13911" s="11"/>
      <c r="S13911" s="11"/>
      <c r="T13911" s="11"/>
    </row>
    <row r="13912" spans="8:20" x14ac:dyDescent="0.35">
      <c r="H13912" s="711"/>
      <c r="I13912" s="711"/>
      <c r="J13912" s="711"/>
      <c r="K13912" s="711"/>
      <c r="L13912" s="711"/>
      <c r="Q13912" s="11"/>
      <c r="R13912" s="11"/>
      <c r="S13912" s="11"/>
      <c r="T13912" s="11"/>
    </row>
    <row r="13913" spans="8:20" x14ac:dyDescent="0.35">
      <c r="H13913" s="711"/>
      <c r="I13913" s="711"/>
      <c r="J13913" s="711"/>
      <c r="K13913" s="711"/>
      <c r="L13913" s="711"/>
      <c r="Q13913" s="11"/>
      <c r="R13913" s="11"/>
      <c r="S13913" s="11"/>
      <c r="T13913" s="11"/>
    </row>
    <row r="13914" spans="8:20" x14ac:dyDescent="0.35">
      <c r="H13914" s="711"/>
      <c r="I13914" s="711"/>
      <c r="J13914" s="711"/>
      <c r="K13914" s="711"/>
      <c r="L13914" s="711"/>
      <c r="Q13914" s="11"/>
      <c r="R13914" s="11"/>
      <c r="S13914" s="11"/>
      <c r="T13914" s="11"/>
    </row>
    <row r="13915" spans="8:20" x14ac:dyDescent="0.35">
      <c r="H13915" s="711"/>
      <c r="I13915" s="711"/>
      <c r="J13915" s="711"/>
      <c r="K13915" s="711"/>
      <c r="L13915" s="711"/>
      <c r="Q13915" s="11"/>
      <c r="R13915" s="11"/>
      <c r="S13915" s="11"/>
      <c r="T13915" s="11"/>
    </row>
    <row r="13916" spans="8:20" x14ac:dyDescent="0.35">
      <c r="H13916" s="711"/>
      <c r="I13916" s="711"/>
      <c r="J13916" s="711"/>
      <c r="K13916" s="711"/>
      <c r="L13916" s="711"/>
      <c r="Q13916" s="11"/>
      <c r="R13916" s="11"/>
      <c r="S13916" s="11"/>
      <c r="T13916" s="11"/>
    </row>
    <row r="13917" spans="8:20" x14ac:dyDescent="0.35">
      <c r="H13917" s="711"/>
      <c r="I13917" s="711"/>
      <c r="J13917" s="711"/>
      <c r="K13917" s="711"/>
      <c r="L13917" s="711"/>
      <c r="Q13917" s="11"/>
      <c r="R13917" s="11"/>
      <c r="S13917" s="11"/>
      <c r="T13917" s="11"/>
    </row>
    <row r="13918" spans="8:20" x14ac:dyDescent="0.35">
      <c r="H13918" s="711"/>
      <c r="I13918" s="711"/>
      <c r="J13918" s="711"/>
      <c r="K13918" s="711"/>
      <c r="L13918" s="711"/>
      <c r="Q13918" s="11"/>
      <c r="R13918" s="11"/>
      <c r="S13918" s="11"/>
      <c r="T13918" s="11"/>
    </row>
    <row r="13919" spans="8:20" x14ac:dyDescent="0.35">
      <c r="H13919" s="711"/>
      <c r="I13919" s="711"/>
      <c r="J13919" s="711"/>
      <c r="K13919" s="711"/>
      <c r="L13919" s="711"/>
      <c r="Q13919" s="11"/>
      <c r="R13919" s="11"/>
      <c r="S13919" s="11"/>
      <c r="T13919" s="11"/>
    </row>
    <row r="13920" spans="8:20" x14ac:dyDescent="0.35">
      <c r="H13920" s="711"/>
      <c r="I13920" s="711"/>
      <c r="J13920" s="711"/>
      <c r="K13920" s="711"/>
      <c r="L13920" s="711"/>
      <c r="Q13920" s="11"/>
      <c r="R13920" s="11"/>
      <c r="S13920" s="11"/>
      <c r="T13920" s="11"/>
    </row>
    <row r="13921" spans="8:20" x14ac:dyDescent="0.35">
      <c r="H13921" s="711"/>
      <c r="I13921" s="711"/>
      <c r="J13921" s="711"/>
      <c r="K13921" s="711"/>
      <c r="L13921" s="711"/>
      <c r="Q13921" s="11"/>
      <c r="R13921" s="11"/>
      <c r="S13921" s="11"/>
      <c r="T13921" s="11"/>
    </row>
    <row r="13922" spans="8:20" x14ac:dyDescent="0.35">
      <c r="H13922" s="711"/>
      <c r="I13922" s="711"/>
      <c r="J13922" s="711"/>
      <c r="K13922" s="711"/>
      <c r="L13922" s="711"/>
      <c r="Q13922" s="11"/>
      <c r="R13922" s="11"/>
      <c r="S13922" s="11"/>
      <c r="T13922" s="11"/>
    </row>
    <row r="13923" spans="8:20" x14ac:dyDescent="0.35">
      <c r="H13923" s="711"/>
      <c r="I13923" s="711"/>
      <c r="J13923" s="711"/>
      <c r="K13923" s="711"/>
      <c r="L13923" s="711"/>
      <c r="Q13923" s="11"/>
      <c r="R13923" s="11"/>
      <c r="S13923" s="11"/>
      <c r="T13923" s="11"/>
    </row>
    <row r="13924" spans="8:20" x14ac:dyDescent="0.35">
      <c r="H13924" s="711"/>
      <c r="I13924" s="711"/>
      <c r="J13924" s="711"/>
      <c r="K13924" s="711"/>
      <c r="L13924" s="711"/>
      <c r="Q13924" s="11"/>
      <c r="R13924" s="11"/>
      <c r="S13924" s="11"/>
      <c r="T13924" s="11"/>
    </row>
    <row r="13925" spans="8:20" x14ac:dyDescent="0.35">
      <c r="H13925" s="711"/>
      <c r="I13925" s="711"/>
      <c r="J13925" s="711"/>
      <c r="K13925" s="711"/>
      <c r="L13925" s="711"/>
      <c r="Q13925" s="11"/>
      <c r="R13925" s="11"/>
      <c r="S13925" s="11"/>
      <c r="T13925" s="11"/>
    </row>
    <row r="13926" spans="8:20" x14ac:dyDescent="0.35">
      <c r="H13926" s="711"/>
      <c r="I13926" s="711"/>
      <c r="J13926" s="711"/>
      <c r="K13926" s="711"/>
      <c r="L13926" s="711"/>
      <c r="Q13926" s="11"/>
      <c r="R13926" s="11"/>
      <c r="S13926" s="11"/>
      <c r="T13926" s="11"/>
    </row>
    <row r="13927" spans="8:20" x14ac:dyDescent="0.35">
      <c r="H13927" s="711"/>
      <c r="I13927" s="711"/>
      <c r="J13927" s="711"/>
      <c r="K13927" s="711"/>
      <c r="L13927" s="711"/>
      <c r="Q13927" s="11"/>
      <c r="R13927" s="11"/>
      <c r="S13927" s="11"/>
      <c r="T13927" s="11"/>
    </row>
    <row r="13928" spans="8:20" x14ac:dyDescent="0.35">
      <c r="H13928" s="711"/>
      <c r="I13928" s="711"/>
      <c r="J13928" s="711"/>
      <c r="K13928" s="711"/>
      <c r="L13928" s="711"/>
      <c r="Q13928" s="11"/>
      <c r="R13928" s="11"/>
      <c r="S13928" s="11"/>
      <c r="T13928" s="11"/>
    </row>
    <row r="13929" spans="8:20" x14ac:dyDescent="0.35">
      <c r="H13929" s="711"/>
      <c r="I13929" s="711"/>
      <c r="J13929" s="711"/>
      <c r="K13929" s="711"/>
      <c r="L13929" s="711"/>
      <c r="Q13929" s="11"/>
      <c r="R13929" s="11"/>
      <c r="S13929" s="11"/>
      <c r="T13929" s="11"/>
    </row>
    <row r="13930" spans="8:20" x14ac:dyDescent="0.35">
      <c r="H13930" s="711"/>
      <c r="I13930" s="711"/>
      <c r="J13930" s="711"/>
      <c r="K13930" s="711"/>
      <c r="L13930" s="711"/>
      <c r="Q13930" s="11"/>
      <c r="R13930" s="11"/>
      <c r="S13930" s="11"/>
      <c r="T13930" s="11"/>
    </row>
    <row r="13931" spans="8:20" x14ac:dyDescent="0.35">
      <c r="H13931" s="711"/>
      <c r="I13931" s="711"/>
      <c r="J13931" s="711"/>
      <c r="K13931" s="711"/>
      <c r="L13931" s="711"/>
      <c r="Q13931" s="11"/>
      <c r="R13931" s="11"/>
      <c r="S13931" s="11"/>
      <c r="T13931" s="11"/>
    </row>
    <row r="13932" spans="8:20" x14ac:dyDescent="0.35">
      <c r="H13932" s="711"/>
      <c r="I13932" s="711"/>
      <c r="J13932" s="711"/>
      <c r="K13932" s="711"/>
      <c r="L13932" s="711"/>
      <c r="Q13932" s="11"/>
      <c r="R13932" s="11"/>
      <c r="S13932" s="11"/>
      <c r="T13932" s="11"/>
    </row>
    <row r="13933" spans="8:20" x14ac:dyDescent="0.35">
      <c r="H13933" s="711"/>
      <c r="I13933" s="711"/>
      <c r="J13933" s="711"/>
      <c r="K13933" s="711"/>
      <c r="L13933" s="711"/>
      <c r="Q13933" s="11"/>
      <c r="R13933" s="11"/>
      <c r="S13933" s="11"/>
      <c r="T13933" s="11"/>
    </row>
    <row r="13934" spans="8:20" x14ac:dyDescent="0.35">
      <c r="H13934" s="711"/>
      <c r="I13934" s="711"/>
      <c r="J13934" s="711"/>
      <c r="K13934" s="711"/>
      <c r="L13934" s="711"/>
      <c r="Q13934" s="11"/>
      <c r="R13934" s="11"/>
      <c r="S13934" s="11"/>
      <c r="T13934" s="11"/>
    </row>
    <row r="13935" spans="8:20" x14ac:dyDescent="0.35">
      <c r="H13935" s="711"/>
      <c r="I13935" s="711"/>
      <c r="J13935" s="711"/>
      <c r="K13935" s="711"/>
      <c r="L13935" s="711"/>
      <c r="Q13935" s="11"/>
      <c r="R13935" s="11"/>
      <c r="S13935" s="11"/>
      <c r="T13935" s="11"/>
    </row>
    <row r="13936" spans="8:20" x14ac:dyDescent="0.35">
      <c r="H13936" s="711"/>
      <c r="I13936" s="711"/>
      <c r="J13936" s="711"/>
      <c r="K13936" s="711"/>
      <c r="L13936" s="711"/>
      <c r="Q13936" s="11"/>
      <c r="R13936" s="11"/>
      <c r="S13936" s="11"/>
      <c r="T13936" s="11"/>
    </row>
    <row r="13937" spans="8:20" x14ac:dyDescent="0.35">
      <c r="H13937" s="711"/>
      <c r="I13937" s="711"/>
      <c r="J13937" s="711"/>
      <c r="K13937" s="711"/>
      <c r="L13937" s="711"/>
      <c r="Q13937" s="11"/>
      <c r="R13937" s="11"/>
      <c r="S13937" s="11"/>
      <c r="T13937" s="11"/>
    </row>
    <row r="13938" spans="8:20" x14ac:dyDescent="0.35">
      <c r="H13938" s="711"/>
      <c r="I13938" s="711"/>
      <c r="J13938" s="711"/>
      <c r="K13938" s="711"/>
      <c r="L13938" s="711"/>
      <c r="Q13938" s="11"/>
      <c r="R13938" s="11"/>
      <c r="S13938" s="11"/>
      <c r="T13938" s="11"/>
    </row>
    <row r="13939" spans="8:20" x14ac:dyDescent="0.35">
      <c r="H13939" s="711"/>
      <c r="I13939" s="711"/>
      <c r="J13939" s="711"/>
      <c r="K13939" s="711"/>
      <c r="L13939" s="711"/>
      <c r="Q13939" s="11"/>
      <c r="R13939" s="11"/>
      <c r="S13939" s="11"/>
      <c r="T13939" s="11"/>
    </row>
    <row r="13940" spans="8:20" x14ac:dyDescent="0.35">
      <c r="H13940" s="711"/>
      <c r="I13940" s="711"/>
      <c r="J13940" s="711"/>
      <c r="K13940" s="711"/>
      <c r="L13940" s="711"/>
      <c r="Q13940" s="11"/>
      <c r="R13940" s="11"/>
      <c r="S13940" s="11"/>
      <c r="T13940" s="11"/>
    </row>
    <row r="13941" spans="8:20" x14ac:dyDescent="0.35">
      <c r="H13941" s="711"/>
      <c r="I13941" s="711"/>
      <c r="J13941" s="711"/>
      <c r="K13941" s="711"/>
      <c r="L13941" s="711"/>
      <c r="Q13941" s="11"/>
      <c r="R13941" s="11"/>
      <c r="S13941" s="11"/>
      <c r="T13941" s="11"/>
    </row>
    <row r="13942" spans="8:20" x14ac:dyDescent="0.35">
      <c r="H13942" s="711"/>
      <c r="I13942" s="711"/>
      <c r="J13942" s="711"/>
      <c r="K13942" s="711"/>
      <c r="L13942" s="711"/>
      <c r="Q13942" s="11"/>
      <c r="R13942" s="11"/>
      <c r="S13942" s="11"/>
      <c r="T13942" s="11"/>
    </row>
    <row r="13943" spans="8:20" x14ac:dyDescent="0.35">
      <c r="H13943" s="711"/>
      <c r="I13943" s="711"/>
      <c r="J13943" s="711"/>
      <c r="K13943" s="711"/>
      <c r="L13943" s="711"/>
      <c r="Q13943" s="11"/>
      <c r="R13943" s="11"/>
      <c r="S13943" s="11"/>
      <c r="T13943" s="11"/>
    </row>
    <row r="13944" spans="8:20" x14ac:dyDescent="0.35">
      <c r="H13944" s="711"/>
      <c r="I13944" s="711"/>
      <c r="J13944" s="711"/>
      <c r="K13944" s="711"/>
      <c r="L13944" s="711"/>
      <c r="Q13944" s="11"/>
      <c r="R13944" s="11"/>
      <c r="S13944" s="11"/>
      <c r="T13944" s="11"/>
    </row>
    <row r="13945" spans="8:20" x14ac:dyDescent="0.35">
      <c r="H13945" s="711"/>
      <c r="I13945" s="711"/>
      <c r="J13945" s="711"/>
      <c r="K13945" s="711"/>
      <c r="L13945" s="711"/>
      <c r="Q13945" s="11"/>
      <c r="R13945" s="11"/>
      <c r="S13945" s="11"/>
      <c r="T13945" s="11"/>
    </row>
    <row r="13946" spans="8:20" x14ac:dyDescent="0.35">
      <c r="H13946" s="711"/>
      <c r="I13946" s="711"/>
      <c r="J13946" s="711"/>
      <c r="K13946" s="711"/>
      <c r="L13946" s="711"/>
      <c r="Q13946" s="11"/>
      <c r="R13946" s="11"/>
      <c r="S13946" s="11"/>
      <c r="T13946" s="11"/>
    </row>
    <row r="13947" spans="8:20" x14ac:dyDescent="0.35">
      <c r="H13947" s="711"/>
      <c r="I13947" s="711"/>
      <c r="J13947" s="711"/>
      <c r="K13947" s="711"/>
      <c r="L13947" s="711"/>
      <c r="Q13947" s="11"/>
      <c r="R13947" s="11"/>
      <c r="S13947" s="11"/>
      <c r="T13947" s="11"/>
    </row>
    <row r="13948" spans="8:20" x14ac:dyDescent="0.35">
      <c r="H13948" s="711"/>
      <c r="I13948" s="711"/>
      <c r="J13948" s="711"/>
      <c r="K13948" s="711"/>
      <c r="L13948" s="711"/>
      <c r="Q13948" s="11"/>
      <c r="R13948" s="11"/>
      <c r="S13948" s="11"/>
      <c r="T13948" s="11"/>
    </row>
    <row r="13949" spans="8:20" x14ac:dyDescent="0.35">
      <c r="H13949" s="711"/>
      <c r="I13949" s="711"/>
      <c r="J13949" s="711"/>
      <c r="K13949" s="711"/>
      <c r="L13949" s="711"/>
      <c r="Q13949" s="11"/>
      <c r="R13949" s="11"/>
      <c r="S13949" s="11"/>
      <c r="T13949" s="11"/>
    </row>
    <row r="13950" spans="8:20" x14ac:dyDescent="0.35">
      <c r="H13950" s="711"/>
      <c r="I13950" s="711"/>
      <c r="J13950" s="711"/>
      <c r="K13950" s="711"/>
      <c r="L13950" s="711"/>
      <c r="Q13950" s="11"/>
      <c r="R13950" s="11"/>
      <c r="S13950" s="11"/>
      <c r="T13950" s="11"/>
    </row>
    <row r="13951" spans="8:20" x14ac:dyDescent="0.35">
      <c r="H13951" s="711"/>
      <c r="I13951" s="711"/>
      <c r="J13951" s="711"/>
      <c r="K13951" s="711"/>
      <c r="L13951" s="711"/>
      <c r="Q13951" s="11"/>
      <c r="R13951" s="11"/>
      <c r="S13951" s="11"/>
      <c r="T13951" s="11"/>
    </row>
    <row r="13952" spans="8:20" x14ac:dyDescent="0.35">
      <c r="H13952" s="711"/>
      <c r="I13952" s="711"/>
      <c r="J13952" s="711"/>
      <c r="K13952" s="711"/>
      <c r="L13952" s="711"/>
      <c r="Q13952" s="11"/>
      <c r="R13952" s="11"/>
      <c r="S13952" s="11"/>
      <c r="T13952" s="11"/>
    </row>
    <row r="13953" spans="8:20" x14ac:dyDescent="0.35">
      <c r="H13953" s="711"/>
      <c r="I13953" s="711"/>
      <c r="J13953" s="711"/>
      <c r="K13953" s="711"/>
      <c r="L13953" s="711"/>
      <c r="Q13953" s="11"/>
      <c r="R13953" s="11"/>
      <c r="S13953" s="11"/>
      <c r="T13953" s="11"/>
    </row>
    <row r="13954" spans="8:20" x14ac:dyDescent="0.35">
      <c r="H13954" s="711"/>
      <c r="I13954" s="711"/>
      <c r="J13954" s="711"/>
      <c r="K13954" s="711"/>
      <c r="L13954" s="711"/>
      <c r="Q13954" s="11"/>
      <c r="R13954" s="11"/>
      <c r="S13954" s="11"/>
      <c r="T13954" s="11"/>
    </row>
    <row r="13955" spans="8:20" x14ac:dyDescent="0.35">
      <c r="H13955" s="711"/>
      <c r="I13955" s="711"/>
      <c r="J13955" s="711"/>
      <c r="K13955" s="711"/>
      <c r="L13955" s="711"/>
      <c r="Q13955" s="11"/>
      <c r="R13955" s="11"/>
      <c r="S13955" s="11"/>
      <c r="T13955" s="11"/>
    </row>
    <row r="13956" spans="8:20" x14ac:dyDescent="0.35">
      <c r="H13956" s="711"/>
      <c r="I13956" s="711"/>
      <c r="J13956" s="711"/>
      <c r="K13956" s="711"/>
      <c r="L13956" s="711"/>
      <c r="Q13956" s="11"/>
      <c r="R13956" s="11"/>
      <c r="S13956" s="11"/>
      <c r="T13956" s="11"/>
    </row>
    <row r="13957" spans="8:20" x14ac:dyDescent="0.35">
      <c r="H13957" s="711"/>
      <c r="I13957" s="711"/>
      <c r="J13957" s="711"/>
      <c r="K13957" s="711"/>
      <c r="L13957" s="711"/>
      <c r="Q13957" s="11"/>
      <c r="R13957" s="11"/>
      <c r="S13957" s="11"/>
      <c r="T13957" s="11"/>
    </row>
    <row r="13958" spans="8:20" x14ac:dyDescent="0.35">
      <c r="H13958" s="711"/>
      <c r="I13958" s="711"/>
      <c r="J13958" s="711"/>
      <c r="K13958" s="711"/>
      <c r="L13958" s="711"/>
      <c r="Q13958" s="11"/>
      <c r="R13958" s="11"/>
      <c r="S13958" s="11"/>
      <c r="T13958" s="11"/>
    </row>
    <row r="13959" spans="8:20" x14ac:dyDescent="0.35">
      <c r="H13959" s="711"/>
      <c r="I13959" s="711"/>
      <c r="J13959" s="711"/>
      <c r="K13959" s="711"/>
      <c r="L13959" s="711"/>
      <c r="Q13959" s="11"/>
      <c r="R13959" s="11"/>
      <c r="S13959" s="11"/>
      <c r="T13959" s="11"/>
    </row>
    <row r="13960" spans="8:20" x14ac:dyDescent="0.35">
      <c r="H13960" s="711"/>
      <c r="I13960" s="711"/>
      <c r="J13960" s="711"/>
      <c r="K13960" s="711"/>
      <c r="L13960" s="711"/>
      <c r="Q13960" s="11"/>
      <c r="R13960" s="11"/>
      <c r="S13960" s="11"/>
      <c r="T13960" s="11"/>
    </row>
    <row r="13961" spans="8:20" x14ac:dyDescent="0.35">
      <c r="H13961" s="711"/>
      <c r="I13961" s="711"/>
      <c r="J13961" s="711"/>
      <c r="K13961" s="711"/>
      <c r="L13961" s="711"/>
      <c r="Q13961" s="11"/>
      <c r="R13961" s="11"/>
      <c r="S13961" s="11"/>
      <c r="T13961" s="11"/>
    </row>
    <row r="13962" spans="8:20" x14ac:dyDescent="0.35">
      <c r="H13962" s="711"/>
      <c r="I13962" s="711"/>
      <c r="J13962" s="711"/>
      <c r="K13962" s="711"/>
      <c r="L13962" s="711"/>
      <c r="Q13962" s="11"/>
      <c r="R13962" s="11"/>
      <c r="S13962" s="11"/>
      <c r="T13962" s="11"/>
    </row>
    <row r="13963" spans="8:20" x14ac:dyDescent="0.35">
      <c r="H13963" s="711"/>
      <c r="I13963" s="711"/>
      <c r="J13963" s="711"/>
      <c r="K13963" s="711"/>
      <c r="L13963" s="711"/>
      <c r="Q13963" s="11"/>
      <c r="R13963" s="11"/>
      <c r="S13963" s="11"/>
      <c r="T13963" s="11"/>
    </row>
    <row r="13964" spans="8:20" x14ac:dyDescent="0.35">
      <c r="H13964" s="711"/>
      <c r="I13964" s="711"/>
      <c r="J13964" s="711"/>
      <c r="K13964" s="711"/>
      <c r="L13964" s="711"/>
      <c r="Q13964" s="11"/>
      <c r="R13964" s="11"/>
      <c r="S13964" s="11"/>
      <c r="T13964" s="11"/>
    </row>
    <row r="13965" spans="8:20" x14ac:dyDescent="0.35">
      <c r="H13965" s="711"/>
      <c r="I13965" s="711"/>
      <c r="J13965" s="711"/>
      <c r="K13965" s="711"/>
      <c r="L13965" s="711"/>
      <c r="Q13965" s="11"/>
      <c r="R13965" s="11"/>
      <c r="S13965" s="11"/>
      <c r="T13965" s="11"/>
    </row>
    <row r="13966" spans="8:20" x14ac:dyDescent="0.35">
      <c r="H13966" s="711"/>
      <c r="I13966" s="711"/>
      <c r="J13966" s="711"/>
      <c r="K13966" s="711"/>
      <c r="L13966" s="711"/>
      <c r="Q13966" s="11"/>
      <c r="R13966" s="11"/>
      <c r="S13966" s="11"/>
      <c r="T13966" s="11"/>
    </row>
    <row r="13967" spans="8:20" x14ac:dyDescent="0.35">
      <c r="H13967" s="711"/>
      <c r="I13967" s="711"/>
      <c r="J13967" s="711"/>
      <c r="K13967" s="711"/>
      <c r="L13967" s="711"/>
      <c r="Q13967" s="11"/>
      <c r="R13967" s="11"/>
      <c r="S13967" s="11"/>
      <c r="T13967" s="11"/>
    </row>
    <row r="13968" spans="8:20" x14ac:dyDescent="0.35">
      <c r="H13968" s="711"/>
      <c r="I13968" s="711"/>
      <c r="J13968" s="711"/>
      <c r="K13968" s="711"/>
      <c r="L13968" s="711"/>
      <c r="Q13968" s="11"/>
      <c r="R13968" s="11"/>
      <c r="S13968" s="11"/>
      <c r="T13968" s="11"/>
    </row>
    <row r="13969" spans="8:20" x14ac:dyDescent="0.35">
      <c r="H13969" s="711"/>
      <c r="I13969" s="711"/>
      <c r="J13969" s="711"/>
      <c r="K13969" s="711"/>
      <c r="L13969" s="711"/>
      <c r="Q13969" s="11"/>
      <c r="R13969" s="11"/>
      <c r="S13969" s="11"/>
      <c r="T13969" s="11"/>
    </row>
    <row r="13970" spans="8:20" x14ac:dyDescent="0.35">
      <c r="H13970" s="711"/>
      <c r="I13970" s="711"/>
      <c r="J13970" s="711"/>
      <c r="K13970" s="711"/>
      <c r="L13970" s="711"/>
      <c r="Q13970" s="11"/>
      <c r="R13970" s="11"/>
      <c r="S13970" s="11"/>
      <c r="T13970" s="11"/>
    </row>
    <row r="13971" spans="8:20" x14ac:dyDescent="0.35">
      <c r="H13971" s="711"/>
      <c r="I13971" s="711"/>
      <c r="J13971" s="711"/>
      <c r="K13971" s="711"/>
      <c r="L13971" s="711"/>
      <c r="Q13971" s="11"/>
      <c r="R13971" s="11"/>
      <c r="S13971" s="11"/>
      <c r="T13971" s="11"/>
    </row>
    <row r="13972" spans="8:20" x14ac:dyDescent="0.35">
      <c r="H13972" s="711"/>
      <c r="I13972" s="711"/>
      <c r="J13972" s="711"/>
      <c r="K13972" s="711"/>
      <c r="L13972" s="711"/>
      <c r="Q13972" s="11"/>
      <c r="R13972" s="11"/>
      <c r="S13972" s="11"/>
      <c r="T13972" s="11"/>
    </row>
    <row r="13973" spans="8:20" x14ac:dyDescent="0.35">
      <c r="H13973" s="711"/>
      <c r="I13973" s="711"/>
      <c r="J13973" s="711"/>
      <c r="K13973" s="711"/>
      <c r="L13973" s="711"/>
      <c r="Q13973" s="11"/>
      <c r="R13973" s="11"/>
      <c r="S13973" s="11"/>
      <c r="T13973" s="11"/>
    </row>
    <row r="13974" spans="8:20" x14ac:dyDescent="0.35">
      <c r="H13974" s="711"/>
      <c r="I13974" s="711"/>
      <c r="J13974" s="711"/>
      <c r="K13974" s="711"/>
      <c r="L13974" s="711"/>
      <c r="Q13974" s="11"/>
      <c r="R13974" s="11"/>
      <c r="S13974" s="11"/>
      <c r="T13974" s="11"/>
    </row>
    <row r="13975" spans="8:20" x14ac:dyDescent="0.35">
      <c r="H13975" s="711"/>
      <c r="I13975" s="711"/>
      <c r="J13975" s="711"/>
      <c r="K13975" s="711"/>
      <c r="L13975" s="711"/>
      <c r="Q13975" s="11"/>
      <c r="R13975" s="11"/>
      <c r="S13975" s="11"/>
      <c r="T13975" s="11"/>
    </row>
    <row r="13976" spans="8:20" x14ac:dyDescent="0.35">
      <c r="H13976" s="711"/>
      <c r="I13976" s="711"/>
      <c r="J13976" s="711"/>
      <c r="K13976" s="711"/>
      <c r="L13976" s="711"/>
      <c r="Q13976" s="11"/>
      <c r="R13976" s="11"/>
      <c r="S13976" s="11"/>
      <c r="T13976" s="11"/>
    </row>
    <row r="13977" spans="8:20" x14ac:dyDescent="0.35">
      <c r="H13977" s="711"/>
      <c r="I13977" s="711"/>
      <c r="J13977" s="711"/>
      <c r="K13977" s="711"/>
      <c r="L13977" s="711"/>
      <c r="Q13977" s="11"/>
      <c r="R13977" s="11"/>
      <c r="S13977" s="11"/>
      <c r="T13977" s="11"/>
    </row>
    <row r="13978" spans="8:20" x14ac:dyDescent="0.35">
      <c r="H13978" s="711"/>
      <c r="I13978" s="711"/>
      <c r="J13978" s="711"/>
      <c r="K13978" s="711"/>
      <c r="L13978" s="711"/>
      <c r="Q13978" s="11"/>
      <c r="R13978" s="11"/>
      <c r="S13978" s="11"/>
      <c r="T13978" s="11"/>
    </row>
    <row r="13979" spans="8:20" x14ac:dyDescent="0.35">
      <c r="H13979" s="711"/>
      <c r="I13979" s="711"/>
      <c r="J13979" s="711"/>
      <c r="K13979" s="711"/>
      <c r="L13979" s="711"/>
      <c r="Q13979" s="11"/>
      <c r="R13979" s="11"/>
      <c r="S13979" s="11"/>
      <c r="T13979" s="11"/>
    </row>
    <row r="13980" spans="8:20" x14ac:dyDescent="0.35">
      <c r="H13980" s="711"/>
      <c r="I13980" s="711"/>
      <c r="J13980" s="711"/>
      <c r="K13980" s="711"/>
      <c r="L13980" s="711"/>
      <c r="Q13980" s="11"/>
      <c r="R13980" s="11"/>
      <c r="S13980" s="11"/>
      <c r="T13980" s="11"/>
    </row>
    <row r="13981" spans="8:20" x14ac:dyDescent="0.35">
      <c r="H13981" s="711"/>
      <c r="I13981" s="711"/>
      <c r="J13981" s="711"/>
      <c r="K13981" s="711"/>
      <c r="L13981" s="711"/>
      <c r="Q13981" s="11"/>
      <c r="R13981" s="11"/>
      <c r="S13981" s="11"/>
      <c r="T13981" s="11"/>
    </row>
    <row r="13982" spans="8:20" x14ac:dyDescent="0.35">
      <c r="H13982" s="711"/>
      <c r="I13982" s="711"/>
      <c r="J13982" s="711"/>
      <c r="K13982" s="711"/>
      <c r="L13982" s="711"/>
      <c r="Q13982" s="11"/>
      <c r="R13982" s="11"/>
      <c r="S13982" s="11"/>
      <c r="T13982" s="11"/>
    </row>
    <row r="13983" spans="8:20" x14ac:dyDescent="0.35">
      <c r="H13983" s="711"/>
      <c r="I13983" s="711"/>
      <c r="J13983" s="711"/>
      <c r="K13983" s="711"/>
      <c r="L13983" s="711"/>
      <c r="Q13983" s="11"/>
      <c r="R13983" s="11"/>
      <c r="S13983" s="11"/>
      <c r="T13983" s="11"/>
    </row>
    <row r="13984" spans="8:20" x14ac:dyDescent="0.35">
      <c r="H13984" s="711"/>
      <c r="I13984" s="711"/>
      <c r="J13984" s="711"/>
      <c r="K13984" s="711"/>
      <c r="L13984" s="711"/>
      <c r="Q13984" s="11"/>
      <c r="R13984" s="11"/>
      <c r="S13984" s="11"/>
      <c r="T13984" s="11"/>
    </row>
    <row r="13985" spans="8:20" x14ac:dyDescent="0.35">
      <c r="H13985" s="711"/>
      <c r="I13985" s="711"/>
      <c r="J13985" s="711"/>
      <c r="K13985" s="711"/>
      <c r="L13985" s="711"/>
      <c r="Q13985" s="11"/>
      <c r="R13985" s="11"/>
      <c r="S13985" s="11"/>
      <c r="T13985" s="11"/>
    </row>
    <row r="13986" spans="8:20" x14ac:dyDescent="0.35">
      <c r="H13986" s="711"/>
      <c r="I13986" s="711"/>
      <c r="J13986" s="711"/>
      <c r="K13986" s="711"/>
      <c r="L13986" s="711"/>
      <c r="Q13986" s="11"/>
      <c r="R13986" s="11"/>
      <c r="S13986" s="11"/>
      <c r="T13986" s="11"/>
    </row>
    <row r="13987" spans="8:20" x14ac:dyDescent="0.35">
      <c r="H13987" s="711"/>
      <c r="I13987" s="711"/>
      <c r="J13987" s="711"/>
      <c r="K13987" s="711"/>
      <c r="L13987" s="711"/>
      <c r="Q13987" s="11"/>
      <c r="R13987" s="11"/>
      <c r="S13987" s="11"/>
      <c r="T13987" s="11"/>
    </row>
    <row r="13988" spans="8:20" x14ac:dyDescent="0.35">
      <c r="H13988" s="711"/>
      <c r="I13988" s="711"/>
      <c r="J13988" s="711"/>
      <c r="K13988" s="711"/>
      <c r="L13988" s="711"/>
      <c r="Q13988" s="11"/>
      <c r="R13988" s="11"/>
      <c r="S13988" s="11"/>
      <c r="T13988" s="11"/>
    </row>
    <row r="13989" spans="8:20" x14ac:dyDescent="0.35">
      <c r="H13989" s="711"/>
      <c r="I13989" s="711"/>
      <c r="J13989" s="711"/>
      <c r="K13989" s="711"/>
      <c r="L13989" s="711"/>
      <c r="Q13989" s="11"/>
      <c r="R13989" s="11"/>
      <c r="S13989" s="11"/>
      <c r="T13989" s="11"/>
    </row>
    <row r="13990" spans="8:20" x14ac:dyDescent="0.35">
      <c r="H13990" s="711"/>
      <c r="I13990" s="711"/>
      <c r="J13990" s="711"/>
      <c r="K13990" s="711"/>
      <c r="L13990" s="711"/>
      <c r="Q13990" s="11"/>
      <c r="R13990" s="11"/>
      <c r="S13990" s="11"/>
      <c r="T13990" s="11"/>
    </row>
    <row r="13991" spans="8:20" x14ac:dyDescent="0.35">
      <c r="H13991" s="711"/>
      <c r="I13991" s="711"/>
      <c r="J13991" s="711"/>
      <c r="K13991" s="711"/>
      <c r="L13991" s="711"/>
      <c r="Q13991" s="11"/>
      <c r="R13991" s="11"/>
      <c r="S13991" s="11"/>
      <c r="T13991" s="11"/>
    </row>
    <row r="13992" spans="8:20" x14ac:dyDescent="0.35">
      <c r="H13992" s="711"/>
      <c r="I13992" s="711"/>
      <c r="J13992" s="711"/>
      <c r="K13992" s="711"/>
      <c r="L13992" s="711"/>
      <c r="Q13992" s="11"/>
      <c r="R13992" s="11"/>
      <c r="S13992" s="11"/>
      <c r="T13992" s="11"/>
    </row>
    <row r="13993" spans="8:20" x14ac:dyDescent="0.35">
      <c r="H13993" s="711"/>
      <c r="I13993" s="711"/>
      <c r="J13993" s="711"/>
      <c r="K13993" s="711"/>
      <c r="L13993" s="711"/>
      <c r="Q13993" s="11"/>
      <c r="R13993" s="11"/>
      <c r="S13993" s="11"/>
      <c r="T13993" s="11"/>
    </row>
    <row r="13994" spans="8:20" x14ac:dyDescent="0.35">
      <c r="H13994" s="711"/>
      <c r="I13994" s="711"/>
      <c r="J13994" s="711"/>
      <c r="K13994" s="711"/>
      <c r="L13994" s="711"/>
      <c r="Q13994" s="11"/>
      <c r="R13994" s="11"/>
      <c r="S13994" s="11"/>
      <c r="T13994" s="11"/>
    </row>
    <row r="13995" spans="8:20" x14ac:dyDescent="0.35">
      <c r="H13995" s="711"/>
      <c r="I13995" s="711"/>
      <c r="J13995" s="711"/>
      <c r="K13995" s="711"/>
      <c r="L13995" s="711"/>
      <c r="Q13995" s="11"/>
      <c r="R13995" s="11"/>
      <c r="S13995" s="11"/>
      <c r="T13995" s="11"/>
    </row>
    <row r="13996" spans="8:20" x14ac:dyDescent="0.35">
      <c r="H13996" s="711"/>
      <c r="I13996" s="711"/>
      <c r="J13996" s="711"/>
      <c r="K13996" s="711"/>
      <c r="L13996" s="711"/>
      <c r="Q13996" s="11"/>
      <c r="R13996" s="11"/>
      <c r="S13996" s="11"/>
      <c r="T13996" s="11"/>
    </row>
    <row r="13997" spans="8:20" x14ac:dyDescent="0.35">
      <c r="H13997" s="711"/>
      <c r="I13997" s="711"/>
      <c r="J13997" s="711"/>
      <c r="K13997" s="711"/>
      <c r="L13997" s="711"/>
      <c r="Q13997" s="11"/>
      <c r="R13997" s="11"/>
      <c r="S13997" s="11"/>
      <c r="T13997" s="11"/>
    </row>
    <row r="13998" spans="8:20" x14ac:dyDescent="0.35">
      <c r="H13998" s="711"/>
      <c r="I13998" s="711"/>
      <c r="J13998" s="711"/>
      <c r="K13998" s="711"/>
      <c r="L13998" s="711"/>
      <c r="Q13998" s="11"/>
      <c r="R13998" s="11"/>
      <c r="S13998" s="11"/>
      <c r="T13998" s="11"/>
    </row>
    <row r="13999" spans="8:20" x14ac:dyDescent="0.35">
      <c r="H13999" s="711"/>
      <c r="I13999" s="711"/>
      <c r="J13999" s="711"/>
      <c r="K13999" s="711"/>
      <c r="L13999" s="711"/>
      <c r="Q13999" s="11"/>
      <c r="R13999" s="11"/>
      <c r="S13999" s="11"/>
      <c r="T13999" s="11"/>
    </row>
    <row r="14000" spans="8:20" x14ac:dyDescent="0.35">
      <c r="H14000" s="711"/>
      <c r="I14000" s="711"/>
      <c r="J14000" s="711"/>
      <c r="K14000" s="711"/>
      <c r="L14000" s="711"/>
      <c r="Q14000" s="11"/>
      <c r="R14000" s="11"/>
      <c r="S14000" s="11"/>
      <c r="T14000" s="11"/>
    </row>
    <row r="14001" spans="8:20" x14ac:dyDescent="0.35">
      <c r="H14001" s="711"/>
      <c r="I14001" s="711"/>
      <c r="J14001" s="711"/>
      <c r="K14001" s="711"/>
      <c r="L14001" s="711"/>
      <c r="Q14001" s="11"/>
      <c r="R14001" s="11"/>
      <c r="S14001" s="11"/>
      <c r="T14001" s="11"/>
    </row>
    <row r="14002" spans="8:20" x14ac:dyDescent="0.35">
      <c r="H14002" s="711"/>
      <c r="I14002" s="711"/>
      <c r="J14002" s="711"/>
      <c r="K14002" s="711"/>
      <c r="L14002" s="711"/>
      <c r="Q14002" s="11"/>
      <c r="R14002" s="11"/>
      <c r="S14002" s="11"/>
      <c r="T14002" s="11"/>
    </row>
    <row r="14003" spans="8:20" x14ac:dyDescent="0.35">
      <c r="H14003" s="711"/>
      <c r="I14003" s="711"/>
      <c r="J14003" s="711"/>
      <c r="K14003" s="711"/>
      <c r="L14003" s="711"/>
      <c r="Q14003" s="11"/>
      <c r="R14003" s="11"/>
      <c r="S14003" s="11"/>
      <c r="T14003" s="11"/>
    </row>
    <row r="14004" spans="8:20" x14ac:dyDescent="0.35">
      <c r="H14004" s="711"/>
      <c r="I14004" s="711"/>
      <c r="J14004" s="711"/>
      <c r="K14004" s="711"/>
      <c r="L14004" s="711"/>
      <c r="Q14004" s="11"/>
      <c r="R14004" s="11"/>
      <c r="S14004" s="11"/>
      <c r="T14004" s="11"/>
    </row>
    <row r="14005" spans="8:20" x14ac:dyDescent="0.35">
      <c r="H14005" s="711"/>
      <c r="I14005" s="711"/>
      <c r="J14005" s="711"/>
      <c r="K14005" s="711"/>
      <c r="L14005" s="711"/>
      <c r="Q14005" s="11"/>
      <c r="R14005" s="11"/>
      <c r="S14005" s="11"/>
      <c r="T14005" s="11"/>
    </row>
    <row r="14006" spans="8:20" x14ac:dyDescent="0.35">
      <c r="H14006" s="711"/>
      <c r="I14006" s="711"/>
      <c r="J14006" s="711"/>
      <c r="K14006" s="711"/>
      <c r="L14006" s="711"/>
      <c r="Q14006" s="11"/>
      <c r="R14006" s="11"/>
      <c r="S14006" s="11"/>
      <c r="T14006" s="11"/>
    </row>
    <row r="14007" spans="8:20" x14ac:dyDescent="0.35">
      <c r="H14007" s="711"/>
      <c r="I14007" s="711"/>
      <c r="J14007" s="711"/>
      <c r="K14007" s="711"/>
      <c r="L14007" s="711"/>
      <c r="Q14007" s="11"/>
      <c r="R14007" s="11"/>
      <c r="S14007" s="11"/>
      <c r="T14007" s="11"/>
    </row>
    <row r="14008" spans="8:20" x14ac:dyDescent="0.35">
      <c r="H14008" s="711"/>
      <c r="I14008" s="711"/>
      <c r="J14008" s="711"/>
      <c r="K14008" s="711"/>
      <c r="L14008" s="711"/>
      <c r="Q14008" s="11"/>
      <c r="R14008" s="11"/>
      <c r="S14008" s="11"/>
      <c r="T14008" s="11"/>
    </row>
    <row r="14009" spans="8:20" x14ac:dyDescent="0.35">
      <c r="H14009" s="711"/>
      <c r="I14009" s="711"/>
      <c r="J14009" s="711"/>
      <c r="K14009" s="711"/>
      <c r="L14009" s="711"/>
      <c r="Q14009" s="11"/>
      <c r="R14009" s="11"/>
      <c r="S14009" s="11"/>
      <c r="T14009" s="11"/>
    </row>
    <row r="14010" spans="8:20" x14ac:dyDescent="0.35">
      <c r="H14010" s="711"/>
      <c r="I14010" s="711"/>
      <c r="J14010" s="711"/>
      <c r="K14010" s="711"/>
      <c r="L14010" s="711"/>
      <c r="Q14010" s="11"/>
      <c r="R14010" s="11"/>
      <c r="S14010" s="11"/>
      <c r="T14010" s="11"/>
    </row>
    <row r="14011" spans="8:20" x14ac:dyDescent="0.35">
      <c r="H14011" s="711"/>
      <c r="I14011" s="711"/>
      <c r="J14011" s="711"/>
      <c r="K14011" s="711"/>
      <c r="L14011" s="711"/>
      <c r="Q14011" s="11"/>
      <c r="R14011" s="11"/>
      <c r="S14011" s="11"/>
      <c r="T14011" s="11"/>
    </row>
    <row r="14012" spans="8:20" x14ac:dyDescent="0.35">
      <c r="H14012" s="711"/>
      <c r="I14012" s="711"/>
      <c r="J14012" s="711"/>
      <c r="K14012" s="711"/>
      <c r="L14012" s="711"/>
      <c r="Q14012" s="11"/>
      <c r="R14012" s="11"/>
      <c r="S14012" s="11"/>
      <c r="T14012" s="11"/>
    </row>
    <row r="14013" spans="8:20" x14ac:dyDescent="0.35">
      <c r="H14013" s="711"/>
      <c r="I14013" s="711"/>
      <c r="J14013" s="711"/>
      <c r="K14013" s="711"/>
      <c r="L14013" s="711"/>
      <c r="Q14013" s="11"/>
      <c r="R14013" s="11"/>
      <c r="S14013" s="11"/>
      <c r="T14013" s="11"/>
    </row>
    <row r="14014" spans="8:20" x14ac:dyDescent="0.35">
      <c r="H14014" s="711"/>
      <c r="I14014" s="711"/>
      <c r="J14014" s="711"/>
      <c r="K14014" s="711"/>
      <c r="L14014" s="711"/>
      <c r="Q14014" s="11"/>
      <c r="R14014" s="11"/>
      <c r="S14014" s="11"/>
      <c r="T14014" s="11"/>
    </row>
    <row r="14015" spans="8:20" x14ac:dyDescent="0.35">
      <c r="H14015" s="711"/>
      <c r="I14015" s="711"/>
      <c r="J14015" s="711"/>
      <c r="K14015" s="711"/>
      <c r="L14015" s="711"/>
      <c r="Q14015" s="11"/>
      <c r="R14015" s="11"/>
      <c r="S14015" s="11"/>
      <c r="T14015" s="11"/>
    </row>
    <row r="14016" spans="8:20" x14ac:dyDescent="0.35">
      <c r="H14016" s="711"/>
      <c r="I14016" s="711"/>
      <c r="J14016" s="711"/>
      <c r="K14016" s="711"/>
      <c r="L14016" s="711"/>
      <c r="Q14016" s="11"/>
      <c r="R14016" s="11"/>
      <c r="S14016" s="11"/>
      <c r="T14016" s="11"/>
    </row>
    <row r="14017" spans="8:20" x14ac:dyDescent="0.35">
      <c r="H14017" s="711"/>
      <c r="I14017" s="711"/>
      <c r="J14017" s="711"/>
      <c r="K14017" s="711"/>
      <c r="L14017" s="711"/>
      <c r="Q14017" s="11"/>
      <c r="R14017" s="11"/>
      <c r="S14017" s="11"/>
      <c r="T14017" s="11"/>
    </row>
    <row r="14018" spans="8:20" x14ac:dyDescent="0.35">
      <c r="H14018" s="711"/>
      <c r="I14018" s="711"/>
      <c r="J14018" s="711"/>
      <c r="K14018" s="711"/>
      <c r="L14018" s="711"/>
      <c r="Q14018" s="11"/>
      <c r="R14018" s="11"/>
      <c r="S14018" s="11"/>
      <c r="T14018" s="11"/>
    </row>
    <row r="14019" spans="8:20" x14ac:dyDescent="0.35">
      <c r="H14019" s="711"/>
      <c r="I14019" s="711"/>
      <c r="J14019" s="711"/>
      <c r="K14019" s="711"/>
      <c r="L14019" s="711"/>
      <c r="Q14019" s="11"/>
      <c r="R14019" s="11"/>
      <c r="S14019" s="11"/>
      <c r="T14019" s="11"/>
    </row>
    <row r="14020" spans="8:20" x14ac:dyDescent="0.35">
      <c r="H14020" s="711"/>
      <c r="I14020" s="711"/>
      <c r="J14020" s="711"/>
      <c r="K14020" s="711"/>
      <c r="L14020" s="711"/>
      <c r="Q14020" s="11"/>
      <c r="R14020" s="11"/>
      <c r="S14020" s="11"/>
      <c r="T14020" s="11"/>
    </row>
    <row r="14021" spans="8:20" x14ac:dyDescent="0.35">
      <c r="H14021" s="711"/>
      <c r="I14021" s="711"/>
      <c r="J14021" s="711"/>
      <c r="K14021" s="711"/>
      <c r="L14021" s="711"/>
      <c r="Q14021" s="11"/>
      <c r="R14021" s="11"/>
      <c r="S14021" s="11"/>
      <c r="T14021" s="11"/>
    </row>
    <row r="14022" spans="8:20" x14ac:dyDescent="0.35">
      <c r="H14022" s="711"/>
      <c r="I14022" s="711"/>
      <c r="J14022" s="711"/>
      <c r="K14022" s="711"/>
      <c r="L14022" s="711"/>
      <c r="Q14022" s="11"/>
      <c r="R14022" s="11"/>
      <c r="S14022" s="11"/>
      <c r="T14022" s="11"/>
    </row>
    <row r="14023" spans="8:20" x14ac:dyDescent="0.35">
      <c r="H14023" s="711"/>
      <c r="I14023" s="711"/>
      <c r="J14023" s="711"/>
      <c r="K14023" s="711"/>
      <c r="L14023" s="711"/>
      <c r="Q14023" s="11"/>
      <c r="R14023" s="11"/>
      <c r="S14023" s="11"/>
      <c r="T14023" s="11"/>
    </row>
    <row r="14024" spans="8:20" x14ac:dyDescent="0.35">
      <c r="H14024" s="711"/>
      <c r="I14024" s="711"/>
      <c r="J14024" s="711"/>
      <c r="K14024" s="711"/>
      <c r="L14024" s="711"/>
      <c r="Q14024" s="11"/>
      <c r="R14024" s="11"/>
      <c r="S14024" s="11"/>
      <c r="T14024" s="11"/>
    </row>
    <row r="14025" spans="8:20" x14ac:dyDescent="0.35">
      <c r="H14025" s="711"/>
      <c r="I14025" s="711"/>
      <c r="J14025" s="711"/>
      <c r="K14025" s="711"/>
      <c r="L14025" s="711"/>
      <c r="Q14025" s="11"/>
      <c r="R14025" s="11"/>
      <c r="S14025" s="11"/>
      <c r="T14025" s="11"/>
    </row>
    <row r="14026" spans="8:20" x14ac:dyDescent="0.35">
      <c r="H14026" s="711"/>
      <c r="I14026" s="711"/>
      <c r="J14026" s="711"/>
      <c r="K14026" s="711"/>
      <c r="L14026" s="711"/>
      <c r="Q14026" s="11"/>
      <c r="R14026" s="11"/>
      <c r="S14026" s="11"/>
      <c r="T14026" s="11"/>
    </row>
    <row r="14027" spans="8:20" x14ac:dyDescent="0.35">
      <c r="H14027" s="711"/>
      <c r="I14027" s="711"/>
      <c r="J14027" s="711"/>
      <c r="K14027" s="711"/>
      <c r="L14027" s="711"/>
      <c r="Q14027" s="11"/>
      <c r="R14027" s="11"/>
      <c r="S14027" s="11"/>
      <c r="T14027" s="11"/>
    </row>
    <row r="14028" spans="8:20" x14ac:dyDescent="0.35">
      <c r="H14028" s="711"/>
      <c r="I14028" s="711"/>
      <c r="J14028" s="711"/>
      <c r="K14028" s="711"/>
      <c r="L14028" s="711"/>
      <c r="Q14028" s="11"/>
      <c r="R14028" s="11"/>
      <c r="S14028" s="11"/>
      <c r="T14028" s="11"/>
    </row>
    <row r="14029" spans="8:20" x14ac:dyDescent="0.35">
      <c r="H14029" s="711"/>
      <c r="I14029" s="711"/>
      <c r="J14029" s="711"/>
      <c r="K14029" s="711"/>
      <c r="L14029" s="711"/>
      <c r="Q14029" s="11"/>
      <c r="R14029" s="11"/>
      <c r="S14029" s="11"/>
      <c r="T14029" s="11"/>
    </row>
    <row r="14030" spans="8:20" x14ac:dyDescent="0.35">
      <c r="H14030" s="711"/>
      <c r="I14030" s="711"/>
      <c r="J14030" s="711"/>
      <c r="K14030" s="711"/>
      <c r="L14030" s="711"/>
      <c r="Q14030" s="11"/>
      <c r="R14030" s="11"/>
      <c r="S14030" s="11"/>
      <c r="T14030" s="11"/>
    </row>
    <row r="14031" spans="8:20" x14ac:dyDescent="0.35">
      <c r="H14031" s="711"/>
      <c r="I14031" s="711"/>
      <c r="J14031" s="711"/>
      <c r="K14031" s="711"/>
      <c r="L14031" s="711"/>
      <c r="Q14031" s="11"/>
      <c r="R14031" s="11"/>
      <c r="S14031" s="11"/>
      <c r="T14031" s="11"/>
    </row>
    <row r="14032" spans="8:20" x14ac:dyDescent="0.35">
      <c r="H14032" s="711"/>
      <c r="I14032" s="711"/>
      <c r="J14032" s="711"/>
      <c r="K14032" s="711"/>
      <c r="L14032" s="711"/>
      <c r="Q14032" s="11"/>
      <c r="R14032" s="11"/>
      <c r="S14032" s="11"/>
      <c r="T14032" s="11"/>
    </row>
    <row r="14033" spans="8:20" x14ac:dyDescent="0.35">
      <c r="H14033" s="711"/>
      <c r="I14033" s="711"/>
      <c r="J14033" s="711"/>
      <c r="K14033" s="711"/>
      <c r="L14033" s="711"/>
      <c r="Q14033" s="11"/>
      <c r="R14033" s="11"/>
      <c r="S14033" s="11"/>
      <c r="T14033" s="11"/>
    </row>
    <row r="14034" spans="8:20" x14ac:dyDescent="0.35">
      <c r="H14034" s="711"/>
      <c r="I14034" s="711"/>
      <c r="J14034" s="711"/>
      <c r="K14034" s="711"/>
      <c r="L14034" s="711"/>
      <c r="Q14034" s="11"/>
      <c r="R14034" s="11"/>
      <c r="S14034" s="11"/>
      <c r="T14034" s="11"/>
    </row>
    <row r="14035" spans="8:20" x14ac:dyDescent="0.35">
      <c r="H14035" s="711"/>
      <c r="I14035" s="711"/>
      <c r="J14035" s="711"/>
      <c r="K14035" s="711"/>
      <c r="L14035" s="711"/>
      <c r="Q14035" s="11"/>
      <c r="R14035" s="11"/>
      <c r="S14035" s="11"/>
      <c r="T14035" s="11"/>
    </row>
    <row r="14036" spans="8:20" x14ac:dyDescent="0.35">
      <c r="H14036" s="711"/>
      <c r="I14036" s="711"/>
      <c r="J14036" s="711"/>
      <c r="K14036" s="711"/>
      <c r="L14036" s="711"/>
      <c r="Q14036" s="11"/>
      <c r="R14036" s="11"/>
      <c r="S14036" s="11"/>
      <c r="T14036" s="11"/>
    </row>
    <row r="14037" spans="8:20" x14ac:dyDescent="0.35">
      <c r="H14037" s="711"/>
      <c r="I14037" s="711"/>
      <c r="J14037" s="711"/>
      <c r="K14037" s="711"/>
      <c r="L14037" s="711"/>
      <c r="Q14037" s="11"/>
      <c r="R14037" s="11"/>
      <c r="S14037" s="11"/>
      <c r="T14037" s="11"/>
    </row>
    <row r="14038" spans="8:20" x14ac:dyDescent="0.35">
      <c r="H14038" s="711"/>
      <c r="I14038" s="711"/>
      <c r="J14038" s="711"/>
      <c r="K14038" s="711"/>
      <c r="L14038" s="711"/>
      <c r="Q14038" s="11"/>
      <c r="R14038" s="11"/>
      <c r="S14038" s="11"/>
      <c r="T14038" s="11"/>
    </row>
    <row r="14039" spans="8:20" x14ac:dyDescent="0.35">
      <c r="H14039" s="711"/>
      <c r="I14039" s="711"/>
      <c r="J14039" s="711"/>
      <c r="K14039" s="711"/>
      <c r="L14039" s="711"/>
      <c r="Q14039" s="11"/>
      <c r="R14039" s="11"/>
      <c r="S14039" s="11"/>
      <c r="T14039" s="11"/>
    </row>
    <row r="14040" spans="8:20" x14ac:dyDescent="0.35">
      <c r="H14040" s="711"/>
      <c r="I14040" s="711"/>
      <c r="J14040" s="711"/>
      <c r="K14040" s="711"/>
      <c r="L14040" s="711"/>
      <c r="Q14040" s="11"/>
      <c r="R14040" s="11"/>
      <c r="S14040" s="11"/>
      <c r="T14040" s="11"/>
    </row>
    <row r="14041" spans="8:20" x14ac:dyDescent="0.35">
      <c r="H14041" s="711"/>
      <c r="I14041" s="711"/>
      <c r="J14041" s="711"/>
      <c r="K14041" s="711"/>
      <c r="L14041" s="711"/>
      <c r="Q14041" s="11"/>
      <c r="R14041" s="11"/>
      <c r="S14041" s="11"/>
      <c r="T14041" s="11"/>
    </row>
    <row r="14042" spans="8:20" x14ac:dyDescent="0.35">
      <c r="H14042" s="711"/>
      <c r="I14042" s="711"/>
      <c r="J14042" s="711"/>
      <c r="K14042" s="711"/>
      <c r="L14042" s="711"/>
      <c r="Q14042" s="11"/>
      <c r="R14042" s="11"/>
      <c r="S14042" s="11"/>
      <c r="T14042" s="11"/>
    </row>
    <row r="14043" spans="8:20" x14ac:dyDescent="0.35">
      <c r="H14043" s="711"/>
      <c r="I14043" s="711"/>
      <c r="J14043" s="711"/>
      <c r="K14043" s="711"/>
      <c r="L14043" s="711"/>
      <c r="Q14043" s="11"/>
      <c r="R14043" s="11"/>
      <c r="S14043" s="11"/>
      <c r="T14043" s="11"/>
    </row>
    <row r="14044" spans="8:20" x14ac:dyDescent="0.35">
      <c r="H14044" s="711"/>
      <c r="I14044" s="711"/>
      <c r="J14044" s="711"/>
      <c r="K14044" s="711"/>
      <c r="L14044" s="711"/>
      <c r="Q14044" s="11"/>
      <c r="R14044" s="11"/>
      <c r="S14044" s="11"/>
      <c r="T14044" s="11"/>
    </row>
    <row r="14045" spans="8:20" x14ac:dyDescent="0.35">
      <c r="H14045" s="711"/>
      <c r="I14045" s="711"/>
      <c r="J14045" s="711"/>
      <c r="K14045" s="711"/>
      <c r="L14045" s="711"/>
      <c r="Q14045" s="11"/>
      <c r="R14045" s="11"/>
      <c r="S14045" s="11"/>
      <c r="T14045" s="11"/>
    </row>
    <row r="14046" spans="8:20" x14ac:dyDescent="0.35">
      <c r="H14046" s="711"/>
      <c r="I14046" s="711"/>
      <c r="J14046" s="711"/>
      <c r="K14046" s="711"/>
      <c r="L14046" s="711"/>
      <c r="Q14046" s="11"/>
      <c r="R14046" s="11"/>
      <c r="S14046" s="11"/>
      <c r="T14046" s="11"/>
    </row>
    <row r="14047" spans="8:20" x14ac:dyDescent="0.35">
      <c r="H14047" s="711"/>
      <c r="I14047" s="711"/>
      <c r="J14047" s="711"/>
      <c r="K14047" s="711"/>
      <c r="L14047" s="711"/>
      <c r="Q14047" s="11"/>
      <c r="R14047" s="11"/>
      <c r="S14047" s="11"/>
      <c r="T14047" s="11"/>
    </row>
    <row r="14048" spans="8:20" x14ac:dyDescent="0.35">
      <c r="H14048" s="711"/>
      <c r="I14048" s="711"/>
      <c r="J14048" s="711"/>
      <c r="K14048" s="711"/>
      <c r="L14048" s="711"/>
      <c r="Q14048" s="11"/>
      <c r="R14048" s="11"/>
      <c r="S14048" s="11"/>
      <c r="T14048" s="11"/>
    </row>
    <row r="14049" spans="8:20" x14ac:dyDescent="0.35">
      <c r="H14049" s="711"/>
      <c r="I14049" s="711"/>
      <c r="J14049" s="711"/>
      <c r="K14049" s="711"/>
      <c r="L14049" s="711"/>
      <c r="Q14049" s="11"/>
      <c r="R14049" s="11"/>
      <c r="S14049" s="11"/>
      <c r="T14049" s="11"/>
    </row>
    <row r="14050" spans="8:20" x14ac:dyDescent="0.35">
      <c r="H14050" s="711"/>
      <c r="I14050" s="711"/>
      <c r="J14050" s="711"/>
      <c r="K14050" s="711"/>
      <c r="L14050" s="711"/>
      <c r="Q14050" s="11"/>
      <c r="R14050" s="11"/>
      <c r="S14050" s="11"/>
      <c r="T14050" s="11"/>
    </row>
    <row r="14051" spans="8:20" x14ac:dyDescent="0.35">
      <c r="H14051" s="711"/>
      <c r="I14051" s="711"/>
      <c r="J14051" s="711"/>
      <c r="K14051" s="711"/>
      <c r="L14051" s="711"/>
      <c r="Q14051" s="11"/>
      <c r="R14051" s="11"/>
      <c r="S14051" s="11"/>
      <c r="T14051" s="11"/>
    </row>
    <row r="14052" spans="8:20" x14ac:dyDescent="0.35">
      <c r="H14052" s="711"/>
      <c r="I14052" s="711"/>
      <c r="J14052" s="711"/>
      <c r="K14052" s="711"/>
      <c r="L14052" s="711"/>
      <c r="Q14052" s="11"/>
      <c r="R14052" s="11"/>
      <c r="S14052" s="11"/>
      <c r="T14052" s="11"/>
    </row>
    <row r="14053" spans="8:20" x14ac:dyDescent="0.35">
      <c r="H14053" s="711"/>
      <c r="I14053" s="711"/>
      <c r="J14053" s="711"/>
      <c r="K14053" s="711"/>
      <c r="L14053" s="711"/>
      <c r="Q14053" s="11"/>
      <c r="R14053" s="11"/>
      <c r="S14053" s="11"/>
      <c r="T14053" s="11"/>
    </row>
    <row r="14054" spans="8:20" x14ac:dyDescent="0.35">
      <c r="H14054" s="711"/>
      <c r="I14054" s="711"/>
      <c r="J14054" s="711"/>
      <c r="K14054" s="711"/>
      <c r="L14054" s="711"/>
      <c r="Q14054" s="11"/>
      <c r="R14054" s="11"/>
      <c r="S14054" s="11"/>
      <c r="T14054" s="11"/>
    </row>
    <row r="14055" spans="8:20" x14ac:dyDescent="0.35">
      <c r="H14055" s="711"/>
      <c r="I14055" s="711"/>
      <c r="J14055" s="711"/>
      <c r="K14055" s="711"/>
      <c r="L14055" s="711"/>
      <c r="Q14055" s="11"/>
      <c r="R14055" s="11"/>
      <c r="S14055" s="11"/>
      <c r="T14055" s="11"/>
    </row>
    <row r="14056" spans="8:20" x14ac:dyDescent="0.35">
      <c r="H14056" s="711"/>
      <c r="I14056" s="711"/>
      <c r="J14056" s="711"/>
      <c r="K14056" s="711"/>
      <c r="L14056" s="711"/>
      <c r="Q14056" s="11"/>
      <c r="R14056" s="11"/>
      <c r="S14056" s="11"/>
      <c r="T14056" s="11"/>
    </row>
    <row r="14057" spans="8:20" x14ac:dyDescent="0.35">
      <c r="H14057" s="711"/>
      <c r="I14057" s="711"/>
      <c r="J14057" s="711"/>
      <c r="K14057" s="711"/>
      <c r="L14057" s="711"/>
      <c r="Q14057" s="11"/>
      <c r="R14057" s="11"/>
      <c r="S14057" s="11"/>
      <c r="T14057" s="11"/>
    </row>
    <row r="14058" spans="8:20" x14ac:dyDescent="0.35">
      <c r="H14058" s="711"/>
      <c r="I14058" s="711"/>
      <c r="J14058" s="711"/>
      <c r="K14058" s="711"/>
      <c r="L14058" s="711"/>
      <c r="Q14058" s="11"/>
      <c r="R14058" s="11"/>
      <c r="S14058" s="11"/>
      <c r="T14058" s="11"/>
    </row>
    <row r="14059" spans="8:20" x14ac:dyDescent="0.35">
      <c r="H14059" s="711"/>
      <c r="I14059" s="711"/>
      <c r="J14059" s="711"/>
      <c r="K14059" s="711"/>
      <c r="L14059" s="711"/>
      <c r="Q14059" s="11"/>
      <c r="R14059" s="11"/>
      <c r="S14059" s="11"/>
      <c r="T14059" s="11"/>
    </row>
    <row r="14060" spans="8:20" x14ac:dyDescent="0.35">
      <c r="H14060" s="711"/>
      <c r="I14060" s="711"/>
      <c r="J14060" s="711"/>
      <c r="K14060" s="711"/>
      <c r="L14060" s="711"/>
      <c r="Q14060" s="11"/>
      <c r="R14060" s="11"/>
      <c r="S14060" s="11"/>
      <c r="T14060" s="11"/>
    </row>
    <row r="14061" spans="8:20" x14ac:dyDescent="0.35">
      <c r="H14061" s="711"/>
      <c r="I14061" s="711"/>
      <c r="J14061" s="711"/>
      <c r="K14061" s="711"/>
      <c r="L14061" s="711"/>
      <c r="Q14061" s="11"/>
      <c r="R14061" s="11"/>
      <c r="S14061" s="11"/>
      <c r="T14061" s="11"/>
    </row>
    <row r="14062" spans="8:20" x14ac:dyDescent="0.35">
      <c r="H14062" s="711"/>
      <c r="I14062" s="711"/>
      <c r="J14062" s="711"/>
      <c r="K14062" s="711"/>
      <c r="L14062" s="711"/>
      <c r="Q14062" s="11"/>
      <c r="R14062" s="11"/>
      <c r="S14062" s="11"/>
      <c r="T14062" s="11"/>
    </row>
    <row r="14063" spans="8:20" x14ac:dyDescent="0.35">
      <c r="H14063" s="711"/>
      <c r="I14063" s="711"/>
      <c r="J14063" s="711"/>
      <c r="K14063" s="711"/>
      <c r="L14063" s="711"/>
      <c r="Q14063" s="11"/>
      <c r="R14063" s="11"/>
      <c r="S14063" s="11"/>
      <c r="T14063" s="11"/>
    </row>
    <row r="14064" spans="8:20" x14ac:dyDescent="0.35">
      <c r="H14064" s="711"/>
      <c r="I14064" s="711"/>
      <c r="J14064" s="711"/>
      <c r="K14064" s="711"/>
      <c r="L14064" s="711"/>
      <c r="Q14064" s="11"/>
      <c r="R14064" s="11"/>
      <c r="S14064" s="11"/>
      <c r="T14064" s="11"/>
    </row>
    <row r="14065" spans="8:20" x14ac:dyDescent="0.35">
      <c r="H14065" s="711"/>
      <c r="I14065" s="711"/>
      <c r="J14065" s="711"/>
      <c r="K14065" s="711"/>
      <c r="L14065" s="711"/>
      <c r="Q14065" s="11"/>
      <c r="R14065" s="11"/>
      <c r="S14065" s="11"/>
      <c r="T14065" s="11"/>
    </row>
    <row r="14066" spans="8:20" x14ac:dyDescent="0.35">
      <c r="H14066" s="711"/>
      <c r="I14066" s="711"/>
      <c r="J14066" s="711"/>
      <c r="K14066" s="711"/>
      <c r="L14066" s="711"/>
      <c r="Q14066" s="11"/>
      <c r="R14066" s="11"/>
      <c r="S14066" s="11"/>
      <c r="T14066" s="11"/>
    </row>
    <row r="14067" spans="8:20" x14ac:dyDescent="0.35">
      <c r="H14067" s="711"/>
      <c r="I14067" s="711"/>
      <c r="J14067" s="711"/>
      <c r="K14067" s="711"/>
      <c r="L14067" s="711"/>
      <c r="Q14067" s="11"/>
      <c r="R14067" s="11"/>
      <c r="S14067" s="11"/>
      <c r="T14067" s="11"/>
    </row>
    <row r="14068" spans="8:20" x14ac:dyDescent="0.35">
      <c r="H14068" s="711"/>
      <c r="I14068" s="711"/>
      <c r="J14068" s="711"/>
      <c r="K14068" s="711"/>
      <c r="L14068" s="711"/>
      <c r="Q14068" s="11"/>
      <c r="R14068" s="11"/>
      <c r="S14068" s="11"/>
      <c r="T14068" s="11"/>
    </row>
    <row r="14069" spans="8:20" x14ac:dyDescent="0.35">
      <c r="H14069" s="711"/>
      <c r="I14069" s="711"/>
      <c r="J14069" s="711"/>
      <c r="K14069" s="711"/>
      <c r="L14069" s="711"/>
      <c r="Q14069" s="11"/>
      <c r="R14069" s="11"/>
      <c r="S14069" s="11"/>
      <c r="T14069" s="11"/>
    </row>
    <row r="14070" spans="8:20" x14ac:dyDescent="0.35">
      <c r="H14070" s="711"/>
      <c r="I14070" s="711"/>
      <c r="J14070" s="711"/>
      <c r="K14070" s="711"/>
      <c r="L14070" s="711"/>
      <c r="Q14070" s="11"/>
      <c r="R14070" s="11"/>
      <c r="S14070" s="11"/>
      <c r="T14070" s="11"/>
    </row>
    <row r="14071" spans="8:20" x14ac:dyDescent="0.35">
      <c r="H14071" s="711"/>
      <c r="I14071" s="711"/>
      <c r="J14071" s="711"/>
      <c r="K14071" s="711"/>
      <c r="L14071" s="711"/>
      <c r="Q14071" s="11"/>
      <c r="R14071" s="11"/>
      <c r="S14071" s="11"/>
      <c r="T14071" s="11"/>
    </row>
    <row r="14072" spans="8:20" x14ac:dyDescent="0.35">
      <c r="H14072" s="711"/>
      <c r="I14072" s="711"/>
      <c r="J14072" s="711"/>
      <c r="K14072" s="711"/>
      <c r="L14072" s="711"/>
      <c r="Q14072" s="11"/>
      <c r="R14072" s="11"/>
      <c r="S14072" s="11"/>
      <c r="T14072" s="11"/>
    </row>
    <row r="14073" spans="8:20" x14ac:dyDescent="0.35">
      <c r="H14073" s="711"/>
      <c r="I14073" s="711"/>
      <c r="J14073" s="711"/>
      <c r="K14073" s="711"/>
      <c r="L14073" s="711"/>
      <c r="Q14073" s="11"/>
      <c r="R14073" s="11"/>
      <c r="S14073" s="11"/>
      <c r="T14073" s="11"/>
    </row>
    <row r="14074" spans="8:20" x14ac:dyDescent="0.35">
      <c r="H14074" s="711"/>
      <c r="I14074" s="711"/>
      <c r="J14074" s="711"/>
      <c r="K14074" s="711"/>
      <c r="L14074" s="711"/>
      <c r="Q14074" s="11"/>
      <c r="R14074" s="11"/>
      <c r="S14074" s="11"/>
      <c r="T14074" s="11"/>
    </row>
    <row r="14075" spans="8:20" x14ac:dyDescent="0.35">
      <c r="H14075" s="711"/>
      <c r="I14075" s="711"/>
      <c r="J14075" s="711"/>
      <c r="K14075" s="711"/>
      <c r="L14075" s="711"/>
      <c r="Q14075" s="11"/>
      <c r="R14075" s="11"/>
      <c r="S14075" s="11"/>
      <c r="T14075" s="11"/>
    </row>
    <row r="14076" spans="8:20" x14ac:dyDescent="0.35">
      <c r="H14076" s="711"/>
      <c r="I14076" s="711"/>
      <c r="J14076" s="711"/>
      <c r="K14076" s="711"/>
      <c r="L14076" s="711"/>
      <c r="Q14076" s="11"/>
      <c r="R14076" s="11"/>
      <c r="S14076" s="11"/>
      <c r="T14076" s="11"/>
    </row>
    <row r="14077" spans="8:20" x14ac:dyDescent="0.35">
      <c r="H14077" s="711"/>
      <c r="I14077" s="711"/>
      <c r="J14077" s="711"/>
      <c r="K14077" s="711"/>
      <c r="L14077" s="711"/>
      <c r="Q14077" s="11"/>
      <c r="R14077" s="11"/>
      <c r="S14077" s="11"/>
      <c r="T14077" s="11"/>
    </row>
    <row r="14078" spans="8:20" x14ac:dyDescent="0.35">
      <c r="H14078" s="711"/>
      <c r="I14078" s="711"/>
      <c r="J14078" s="711"/>
      <c r="K14078" s="711"/>
      <c r="L14078" s="711"/>
      <c r="Q14078" s="11"/>
      <c r="R14078" s="11"/>
      <c r="S14078" s="11"/>
      <c r="T14078" s="11"/>
    </row>
    <row r="14079" spans="8:20" x14ac:dyDescent="0.35">
      <c r="H14079" s="711"/>
      <c r="I14079" s="711"/>
      <c r="J14079" s="711"/>
      <c r="K14079" s="711"/>
      <c r="L14079" s="711"/>
      <c r="Q14079" s="11"/>
      <c r="R14079" s="11"/>
      <c r="S14079" s="11"/>
      <c r="T14079" s="11"/>
    </row>
    <row r="14080" spans="8:20" x14ac:dyDescent="0.35">
      <c r="H14080" s="711"/>
      <c r="I14080" s="711"/>
      <c r="J14080" s="711"/>
      <c r="K14080" s="711"/>
      <c r="L14080" s="711"/>
      <c r="Q14080" s="11"/>
      <c r="R14080" s="11"/>
      <c r="S14080" s="11"/>
      <c r="T14080" s="11"/>
    </row>
    <row r="14081" spans="8:20" x14ac:dyDescent="0.35">
      <c r="H14081" s="711"/>
      <c r="I14081" s="711"/>
      <c r="J14081" s="711"/>
      <c r="K14081" s="711"/>
      <c r="L14081" s="711"/>
      <c r="Q14081" s="11"/>
      <c r="R14081" s="11"/>
      <c r="S14081" s="11"/>
      <c r="T14081" s="11"/>
    </row>
    <row r="14082" spans="8:20" x14ac:dyDescent="0.35">
      <c r="H14082" s="711"/>
      <c r="I14082" s="711"/>
      <c r="J14082" s="711"/>
      <c r="K14082" s="711"/>
      <c r="L14082" s="711"/>
      <c r="Q14082" s="11"/>
      <c r="R14082" s="11"/>
      <c r="S14082" s="11"/>
      <c r="T14082" s="11"/>
    </row>
    <row r="14083" spans="8:20" x14ac:dyDescent="0.35">
      <c r="H14083" s="711"/>
      <c r="I14083" s="711"/>
      <c r="J14083" s="711"/>
      <c r="K14083" s="711"/>
      <c r="L14083" s="711"/>
      <c r="Q14083" s="11"/>
      <c r="R14083" s="11"/>
      <c r="S14083" s="11"/>
      <c r="T14083" s="11"/>
    </row>
    <row r="14084" spans="8:20" x14ac:dyDescent="0.35">
      <c r="H14084" s="711"/>
      <c r="I14084" s="711"/>
      <c r="J14084" s="711"/>
      <c r="K14084" s="711"/>
      <c r="L14084" s="711"/>
      <c r="Q14084" s="11"/>
      <c r="R14084" s="11"/>
      <c r="S14084" s="11"/>
      <c r="T14084" s="11"/>
    </row>
    <row r="14085" spans="8:20" x14ac:dyDescent="0.35">
      <c r="H14085" s="711"/>
      <c r="I14085" s="711"/>
      <c r="J14085" s="711"/>
      <c r="K14085" s="711"/>
      <c r="L14085" s="711"/>
      <c r="Q14085" s="11"/>
      <c r="R14085" s="11"/>
      <c r="S14085" s="11"/>
      <c r="T14085" s="11"/>
    </row>
    <row r="14086" spans="8:20" x14ac:dyDescent="0.35">
      <c r="H14086" s="711"/>
      <c r="I14086" s="711"/>
      <c r="J14086" s="711"/>
      <c r="K14086" s="711"/>
      <c r="L14086" s="711"/>
      <c r="Q14086" s="11"/>
      <c r="R14086" s="11"/>
      <c r="S14086" s="11"/>
      <c r="T14086" s="11"/>
    </row>
    <row r="14087" spans="8:20" x14ac:dyDescent="0.35">
      <c r="H14087" s="711"/>
      <c r="I14087" s="711"/>
      <c r="J14087" s="711"/>
      <c r="K14087" s="711"/>
      <c r="L14087" s="711"/>
      <c r="Q14087" s="11"/>
      <c r="R14087" s="11"/>
      <c r="S14087" s="11"/>
      <c r="T14087" s="11"/>
    </row>
    <row r="14088" spans="8:20" x14ac:dyDescent="0.35">
      <c r="H14088" s="711"/>
      <c r="I14088" s="711"/>
      <c r="J14088" s="711"/>
      <c r="K14088" s="711"/>
      <c r="L14088" s="711"/>
      <c r="Q14088" s="11"/>
      <c r="R14088" s="11"/>
      <c r="S14088" s="11"/>
      <c r="T14088" s="11"/>
    </row>
    <row r="14089" spans="8:20" x14ac:dyDescent="0.35">
      <c r="H14089" s="711"/>
      <c r="I14089" s="711"/>
      <c r="J14089" s="711"/>
      <c r="K14089" s="711"/>
      <c r="L14089" s="711"/>
      <c r="Q14089" s="11"/>
      <c r="R14089" s="11"/>
      <c r="S14089" s="11"/>
      <c r="T14089" s="11"/>
    </row>
    <row r="14090" spans="8:20" x14ac:dyDescent="0.35">
      <c r="H14090" s="711"/>
      <c r="I14090" s="711"/>
      <c r="J14090" s="711"/>
      <c r="K14090" s="711"/>
      <c r="L14090" s="711"/>
      <c r="Q14090" s="11"/>
      <c r="R14090" s="11"/>
      <c r="S14090" s="11"/>
      <c r="T14090" s="11"/>
    </row>
    <row r="14091" spans="8:20" x14ac:dyDescent="0.35">
      <c r="H14091" s="711"/>
      <c r="I14091" s="711"/>
      <c r="J14091" s="711"/>
      <c r="K14091" s="711"/>
      <c r="L14091" s="711"/>
      <c r="Q14091" s="11"/>
      <c r="R14091" s="11"/>
      <c r="S14091" s="11"/>
      <c r="T14091" s="11"/>
    </row>
    <row r="14092" spans="8:20" x14ac:dyDescent="0.35">
      <c r="H14092" s="711"/>
      <c r="I14092" s="711"/>
      <c r="J14092" s="711"/>
      <c r="K14092" s="711"/>
      <c r="L14092" s="711"/>
      <c r="Q14092" s="11"/>
      <c r="R14092" s="11"/>
      <c r="S14092" s="11"/>
      <c r="T14092" s="11"/>
    </row>
    <row r="14093" spans="8:20" x14ac:dyDescent="0.35">
      <c r="H14093" s="711"/>
      <c r="I14093" s="711"/>
      <c r="J14093" s="711"/>
      <c r="K14093" s="711"/>
      <c r="L14093" s="711"/>
      <c r="Q14093" s="11"/>
      <c r="R14093" s="11"/>
      <c r="S14093" s="11"/>
      <c r="T14093" s="11"/>
    </row>
    <row r="14094" spans="8:20" x14ac:dyDescent="0.35">
      <c r="H14094" s="711"/>
      <c r="I14094" s="711"/>
      <c r="J14094" s="711"/>
      <c r="K14094" s="711"/>
      <c r="L14094" s="711"/>
      <c r="Q14094" s="11"/>
      <c r="R14094" s="11"/>
      <c r="S14094" s="11"/>
      <c r="T14094" s="11"/>
    </row>
    <row r="14095" spans="8:20" x14ac:dyDescent="0.35">
      <c r="H14095" s="711"/>
      <c r="I14095" s="711"/>
      <c r="J14095" s="711"/>
      <c r="K14095" s="711"/>
      <c r="L14095" s="711"/>
      <c r="Q14095" s="11"/>
      <c r="R14095" s="11"/>
      <c r="S14095" s="11"/>
      <c r="T14095" s="11"/>
    </row>
    <row r="14096" spans="8:20" x14ac:dyDescent="0.35">
      <c r="H14096" s="711"/>
      <c r="I14096" s="711"/>
      <c r="J14096" s="711"/>
      <c r="K14096" s="711"/>
      <c r="L14096" s="711"/>
      <c r="Q14096" s="11"/>
      <c r="R14096" s="11"/>
      <c r="S14096" s="11"/>
      <c r="T14096" s="11"/>
    </row>
    <row r="14097" spans="8:20" x14ac:dyDescent="0.35">
      <c r="H14097" s="711"/>
      <c r="I14097" s="711"/>
      <c r="J14097" s="711"/>
      <c r="K14097" s="711"/>
      <c r="L14097" s="711"/>
      <c r="Q14097" s="11"/>
      <c r="R14097" s="11"/>
      <c r="S14097" s="11"/>
      <c r="T14097" s="11"/>
    </row>
    <row r="14098" spans="8:20" x14ac:dyDescent="0.35">
      <c r="H14098" s="711"/>
      <c r="I14098" s="711"/>
      <c r="J14098" s="711"/>
      <c r="K14098" s="711"/>
      <c r="L14098" s="711"/>
      <c r="Q14098" s="11"/>
      <c r="R14098" s="11"/>
      <c r="S14098" s="11"/>
      <c r="T14098" s="11"/>
    </row>
    <row r="14099" spans="8:20" x14ac:dyDescent="0.35">
      <c r="H14099" s="711"/>
      <c r="I14099" s="711"/>
      <c r="J14099" s="711"/>
      <c r="K14099" s="711"/>
      <c r="L14099" s="711"/>
      <c r="Q14099" s="11"/>
      <c r="R14099" s="11"/>
      <c r="S14099" s="11"/>
      <c r="T14099" s="11"/>
    </row>
    <row r="14100" spans="8:20" x14ac:dyDescent="0.35">
      <c r="H14100" s="711"/>
      <c r="I14100" s="711"/>
      <c r="J14100" s="711"/>
      <c r="K14100" s="711"/>
      <c r="L14100" s="711"/>
      <c r="Q14100" s="11"/>
      <c r="R14100" s="11"/>
      <c r="S14100" s="11"/>
      <c r="T14100" s="11"/>
    </row>
    <row r="14101" spans="8:20" x14ac:dyDescent="0.35">
      <c r="H14101" s="711"/>
      <c r="I14101" s="711"/>
      <c r="J14101" s="711"/>
      <c r="K14101" s="711"/>
      <c r="L14101" s="711"/>
      <c r="Q14101" s="11"/>
      <c r="R14101" s="11"/>
      <c r="S14101" s="11"/>
      <c r="T14101" s="11"/>
    </row>
    <row r="14102" spans="8:20" x14ac:dyDescent="0.35">
      <c r="H14102" s="711"/>
      <c r="I14102" s="711"/>
      <c r="J14102" s="711"/>
      <c r="K14102" s="711"/>
      <c r="L14102" s="711"/>
      <c r="Q14102" s="11"/>
      <c r="R14102" s="11"/>
      <c r="S14102" s="11"/>
      <c r="T14102" s="11"/>
    </row>
    <row r="14103" spans="8:20" x14ac:dyDescent="0.35">
      <c r="H14103" s="711"/>
      <c r="I14103" s="711"/>
      <c r="J14103" s="711"/>
      <c r="K14103" s="711"/>
      <c r="L14103" s="711"/>
      <c r="Q14103" s="11"/>
      <c r="R14103" s="11"/>
      <c r="S14103" s="11"/>
      <c r="T14103" s="11"/>
    </row>
    <row r="14104" spans="8:20" x14ac:dyDescent="0.35">
      <c r="H14104" s="711"/>
      <c r="I14104" s="711"/>
      <c r="J14104" s="711"/>
      <c r="K14104" s="711"/>
      <c r="L14104" s="711"/>
      <c r="Q14104" s="11"/>
      <c r="R14104" s="11"/>
      <c r="S14104" s="11"/>
      <c r="T14104" s="11"/>
    </row>
    <row r="14105" spans="8:20" x14ac:dyDescent="0.35">
      <c r="H14105" s="711"/>
      <c r="I14105" s="711"/>
      <c r="J14105" s="711"/>
      <c r="K14105" s="711"/>
      <c r="L14105" s="711"/>
      <c r="Q14105" s="11"/>
      <c r="R14105" s="11"/>
      <c r="S14105" s="11"/>
      <c r="T14105" s="11"/>
    </row>
    <row r="14106" spans="8:20" x14ac:dyDescent="0.35">
      <c r="H14106" s="711"/>
      <c r="I14106" s="711"/>
      <c r="J14106" s="711"/>
      <c r="K14106" s="711"/>
      <c r="L14106" s="711"/>
      <c r="Q14106" s="11"/>
      <c r="R14106" s="11"/>
      <c r="S14106" s="11"/>
      <c r="T14106" s="11"/>
    </row>
    <row r="14107" spans="8:20" x14ac:dyDescent="0.35">
      <c r="H14107" s="711"/>
      <c r="I14107" s="711"/>
      <c r="J14107" s="711"/>
      <c r="K14107" s="711"/>
      <c r="L14107" s="711"/>
      <c r="Q14107" s="11"/>
      <c r="R14107" s="11"/>
      <c r="S14107" s="11"/>
      <c r="T14107" s="11"/>
    </row>
    <row r="14108" spans="8:20" x14ac:dyDescent="0.35">
      <c r="H14108" s="711"/>
      <c r="I14108" s="711"/>
      <c r="J14108" s="711"/>
      <c r="K14108" s="711"/>
      <c r="L14108" s="711"/>
      <c r="Q14108" s="11"/>
      <c r="R14108" s="11"/>
      <c r="S14108" s="11"/>
      <c r="T14108" s="11"/>
    </row>
    <row r="14109" spans="8:20" x14ac:dyDescent="0.35">
      <c r="H14109" s="711"/>
      <c r="I14109" s="711"/>
      <c r="J14109" s="711"/>
      <c r="K14109" s="711"/>
      <c r="L14109" s="711"/>
      <c r="Q14109" s="11"/>
      <c r="R14109" s="11"/>
      <c r="S14109" s="11"/>
      <c r="T14109" s="11"/>
    </row>
    <row r="14110" spans="8:20" x14ac:dyDescent="0.35">
      <c r="H14110" s="711"/>
      <c r="I14110" s="711"/>
      <c r="J14110" s="711"/>
      <c r="K14110" s="711"/>
      <c r="L14110" s="711"/>
      <c r="Q14110" s="11"/>
      <c r="R14110" s="11"/>
      <c r="S14110" s="11"/>
      <c r="T14110" s="11"/>
    </row>
    <row r="14111" spans="8:20" x14ac:dyDescent="0.35">
      <c r="H14111" s="711"/>
      <c r="I14111" s="711"/>
      <c r="J14111" s="711"/>
      <c r="K14111" s="711"/>
      <c r="L14111" s="711"/>
      <c r="Q14111" s="11"/>
      <c r="R14111" s="11"/>
      <c r="S14111" s="11"/>
      <c r="T14111" s="11"/>
    </row>
    <row r="14112" spans="8:20" x14ac:dyDescent="0.35">
      <c r="H14112" s="711"/>
      <c r="I14112" s="711"/>
      <c r="J14112" s="711"/>
      <c r="K14112" s="711"/>
      <c r="L14112" s="711"/>
      <c r="Q14112" s="11"/>
      <c r="R14112" s="11"/>
      <c r="S14112" s="11"/>
      <c r="T14112" s="11"/>
    </row>
    <row r="14113" spans="8:20" x14ac:dyDescent="0.35">
      <c r="H14113" s="711"/>
      <c r="I14113" s="711"/>
      <c r="J14113" s="711"/>
      <c r="K14113" s="711"/>
      <c r="L14113" s="711"/>
      <c r="Q14113" s="11"/>
      <c r="R14113" s="11"/>
      <c r="S14113" s="11"/>
      <c r="T14113" s="11"/>
    </row>
    <row r="14114" spans="8:20" x14ac:dyDescent="0.35">
      <c r="H14114" s="711"/>
      <c r="I14114" s="711"/>
      <c r="J14114" s="711"/>
      <c r="K14114" s="711"/>
      <c r="L14114" s="711"/>
      <c r="Q14114" s="11"/>
      <c r="R14114" s="11"/>
      <c r="S14114" s="11"/>
      <c r="T14114" s="11"/>
    </row>
    <row r="14115" spans="8:20" x14ac:dyDescent="0.35">
      <c r="H14115" s="711"/>
      <c r="I14115" s="711"/>
      <c r="J14115" s="711"/>
      <c r="K14115" s="711"/>
      <c r="L14115" s="711"/>
      <c r="Q14115" s="11"/>
      <c r="R14115" s="11"/>
      <c r="S14115" s="11"/>
      <c r="T14115" s="11"/>
    </row>
    <row r="14116" spans="8:20" x14ac:dyDescent="0.35">
      <c r="H14116" s="711"/>
      <c r="I14116" s="711"/>
      <c r="J14116" s="711"/>
      <c r="K14116" s="711"/>
      <c r="L14116" s="711"/>
      <c r="Q14116" s="11"/>
      <c r="R14116" s="11"/>
      <c r="S14116" s="11"/>
      <c r="T14116" s="11"/>
    </row>
    <row r="14117" spans="8:20" x14ac:dyDescent="0.35">
      <c r="H14117" s="711"/>
      <c r="I14117" s="711"/>
      <c r="J14117" s="711"/>
      <c r="K14117" s="711"/>
      <c r="L14117" s="711"/>
      <c r="Q14117" s="11"/>
      <c r="R14117" s="11"/>
      <c r="S14117" s="11"/>
      <c r="T14117" s="11"/>
    </row>
    <row r="14118" spans="8:20" x14ac:dyDescent="0.35">
      <c r="H14118" s="711"/>
      <c r="I14118" s="711"/>
      <c r="J14118" s="711"/>
      <c r="K14118" s="711"/>
      <c r="L14118" s="711"/>
      <c r="Q14118" s="11"/>
      <c r="R14118" s="11"/>
      <c r="S14118" s="11"/>
      <c r="T14118" s="11"/>
    </row>
    <row r="14119" spans="8:20" x14ac:dyDescent="0.35">
      <c r="H14119" s="711"/>
      <c r="I14119" s="711"/>
      <c r="J14119" s="711"/>
      <c r="K14119" s="711"/>
      <c r="L14119" s="711"/>
      <c r="Q14119" s="11"/>
      <c r="R14119" s="11"/>
      <c r="S14119" s="11"/>
      <c r="T14119" s="11"/>
    </row>
    <row r="14120" spans="8:20" x14ac:dyDescent="0.35">
      <c r="H14120" s="711"/>
      <c r="I14120" s="711"/>
      <c r="J14120" s="711"/>
      <c r="K14120" s="711"/>
      <c r="L14120" s="711"/>
      <c r="Q14120" s="11"/>
      <c r="R14120" s="11"/>
      <c r="S14120" s="11"/>
      <c r="T14120" s="11"/>
    </row>
    <row r="14121" spans="8:20" x14ac:dyDescent="0.35">
      <c r="H14121" s="711"/>
      <c r="I14121" s="711"/>
      <c r="J14121" s="711"/>
      <c r="K14121" s="711"/>
      <c r="L14121" s="711"/>
      <c r="Q14121" s="11"/>
      <c r="R14121" s="11"/>
      <c r="S14121" s="11"/>
      <c r="T14121" s="11"/>
    </row>
    <row r="14122" spans="8:20" x14ac:dyDescent="0.35">
      <c r="H14122" s="711"/>
      <c r="I14122" s="711"/>
      <c r="J14122" s="711"/>
      <c r="K14122" s="711"/>
      <c r="L14122" s="711"/>
      <c r="Q14122" s="11"/>
      <c r="R14122" s="11"/>
      <c r="S14122" s="11"/>
      <c r="T14122" s="11"/>
    </row>
    <row r="14123" spans="8:20" x14ac:dyDescent="0.35">
      <c r="H14123" s="711"/>
      <c r="I14123" s="711"/>
      <c r="J14123" s="711"/>
      <c r="K14123" s="711"/>
      <c r="L14123" s="711"/>
      <c r="Q14123" s="11"/>
      <c r="R14123" s="11"/>
      <c r="S14123" s="11"/>
      <c r="T14123" s="11"/>
    </row>
    <row r="14124" spans="8:20" x14ac:dyDescent="0.35">
      <c r="H14124" s="711"/>
      <c r="I14124" s="711"/>
      <c r="J14124" s="711"/>
      <c r="K14124" s="711"/>
      <c r="L14124" s="711"/>
      <c r="Q14124" s="11"/>
      <c r="R14124" s="11"/>
      <c r="S14124" s="11"/>
      <c r="T14124" s="11"/>
    </row>
    <row r="14125" spans="8:20" x14ac:dyDescent="0.35">
      <c r="H14125" s="711"/>
      <c r="I14125" s="711"/>
      <c r="J14125" s="711"/>
      <c r="K14125" s="711"/>
      <c r="L14125" s="711"/>
      <c r="Q14125" s="11"/>
      <c r="R14125" s="11"/>
      <c r="S14125" s="11"/>
      <c r="T14125" s="11"/>
    </row>
    <row r="14126" spans="8:20" x14ac:dyDescent="0.35">
      <c r="H14126" s="711"/>
      <c r="I14126" s="711"/>
      <c r="J14126" s="711"/>
      <c r="K14126" s="711"/>
      <c r="L14126" s="711"/>
      <c r="Q14126" s="11"/>
      <c r="R14126" s="11"/>
      <c r="S14126" s="11"/>
      <c r="T14126" s="11"/>
    </row>
    <row r="14127" spans="8:20" x14ac:dyDescent="0.35">
      <c r="H14127" s="711"/>
      <c r="I14127" s="711"/>
      <c r="J14127" s="711"/>
      <c r="K14127" s="711"/>
      <c r="L14127" s="711"/>
      <c r="Q14127" s="11"/>
      <c r="R14127" s="11"/>
      <c r="S14127" s="11"/>
      <c r="T14127" s="11"/>
    </row>
    <row r="14128" spans="8:20" x14ac:dyDescent="0.35">
      <c r="H14128" s="711"/>
      <c r="I14128" s="711"/>
      <c r="J14128" s="711"/>
      <c r="K14128" s="711"/>
      <c r="L14128" s="711"/>
      <c r="Q14128" s="11"/>
      <c r="R14128" s="11"/>
      <c r="S14128" s="11"/>
      <c r="T14128" s="11"/>
    </row>
    <row r="14129" spans="8:20" x14ac:dyDescent="0.35">
      <c r="H14129" s="711"/>
      <c r="I14129" s="711"/>
      <c r="J14129" s="711"/>
      <c r="K14129" s="711"/>
      <c r="L14129" s="711"/>
      <c r="Q14129" s="11"/>
      <c r="R14129" s="11"/>
      <c r="S14129" s="11"/>
      <c r="T14129" s="11"/>
    </row>
    <row r="14130" spans="8:20" x14ac:dyDescent="0.35">
      <c r="H14130" s="711"/>
      <c r="I14130" s="711"/>
      <c r="J14130" s="711"/>
      <c r="K14130" s="711"/>
      <c r="L14130" s="711"/>
      <c r="Q14130" s="11"/>
      <c r="R14130" s="11"/>
      <c r="S14130" s="11"/>
      <c r="T14130" s="11"/>
    </row>
    <row r="14131" spans="8:20" x14ac:dyDescent="0.35">
      <c r="H14131" s="711"/>
      <c r="I14131" s="711"/>
      <c r="J14131" s="711"/>
      <c r="K14131" s="711"/>
      <c r="L14131" s="711"/>
      <c r="Q14131" s="11"/>
      <c r="R14131" s="11"/>
      <c r="S14131" s="11"/>
      <c r="T14131" s="11"/>
    </row>
    <row r="14132" spans="8:20" x14ac:dyDescent="0.35">
      <c r="H14132" s="711"/>
      <c r="I14132" s="711"/>
      <c r="J14132" s="711"/>
      <c r="K14132" s="711"/>
      <c r="L14132" s="711"/>
      <c r="Q14132" s="11"/>
      <c r="R14132" s="11"/>
      <c r="S14132" s="11"/>
      <c r="T14132" s="11"/>
    </row>
    <row r="14133" spans="8:20" x14ac:dyDescent="0.35">
      <c r="H14133" s="711"/>
      <c r="I14133" s="711"/>
      <c r="J14133" s="711"/>
      <c r="K14133" s="711"/>
      <c r="L14133" s="711"/>
      <c r="Q14133" s="11"/>
      <c r="R14133" s="11"/>
      <c r="S14133" s="11"/>
      <c r="T14133" s="11"/>
    </row>
    <row r="14134" spans="8:20" x14ac:dyDescent="0.35">
      <c r="H14134" s="711"/>
      <c r="I14134" s="711"/>
      <c r="J14134" s="711"/>
      <c r="K14134" s="711"/>
      <c r="L14134" s="711"/>
      <c r="Q14134" s="11"/>
      <c r="R14134" s="11"/>
      <c r="S14134" s="11"/>
      <c r="T14134" s="11"/>
    </row>
    <row r="14135" spans="8:20" x14ac:dyDescent="0.35">
      <c r="H14135" s="711"/>
      <c r="I14135" s="711"/>
      <c r="J14135" s="711"/>
      <c r="K14135" s="711"/>
      <c r="L14135" s="711"/>
      <c r="Q14135" s="11"/>
      <c r="R14135" s="11"/>
      <c r="S14135" s="11"/>
      <c r="T14135" s="11"/>
    </row>
    <row r="14136" spans="8:20" x14ac:dyDescent="0.35">
      <c r="H14136" s="711"/>
      <c r="I14136" s="711"/>
      <c r="J14136" s="711"/>
      <c r="K14136" s="711"/>
      <c r="L14136" s="711"/>
      <c r="Q14136" s="11"/>
      <c r="R14136" s="11"/>
      <c r="S14136" s="11"/>
      <c r="T14136" s="11"/>
    </row>
    <row r="14137" spans="8:20" x14ac:dyDescent="0.35">
      <c r="H14137" s="711"/>
      <c r="I14137" s="711"/>
      <c r="J14137" s="711"/>
      <c r="K14137" s="711"/>
      <c r="L14137" s="711"/>
      <c r="Q14137" s="11"/>
      <c r="R14137" s="11"/>
      <c r="S14137" s="11"/>
      <c r="T14137" s="11"/>
    </row>
    <row r="14138" spans="8:20" x14ac:dyDescent="0.35">
      <c r="H14138" s="711"/>
      <c r="I14138" s="711"/>
      <c r="J14138" s="711"/>
      <c r="K14138" s="711"/>
      <c r="L14138" s="711"/>
      <c r="Q14138" s="11"/>
      <c r="R14138" s="11"/>
      <c r="S14138" s="11"/>
      <c r="T14138" s="11"/>
    </row>
    <row r="14139" spans="8:20" x14ac:dyDescent="0.35">
      <c r="H14139" s="711"/>
      <c r="I14139" s="711"/>
      <c r="J14139" s="711"/>
      <c r="K14139" s="711"/>
      <c r="L14139" s="711"/>
      <c r="Q14139" s="11"/>
      <c r="R14139" s="11"/>
      <c r="S14139" s="11"/>
      <c r="T14139" s="11"/>
    </row>
    <row r="14140" spans="8:20" x14ac:dyDescent="0.35">
      <c r="H14140" s="711"/>
      <c r="I14140" s="711"/>
      <c r="J14140" s="711"/>
      <c r="K14140" s="711"/>
      <c r="L14140" s="711"/>
      <c r="Q14140" s="11"/>
      <c r="R14140" s="11"/>
      <c r="S14140" s="11"/>
      <c r="T14140" s="11"/>
    </row>
    <row r="14141" spans="8:20" x14ac:dyDescent="0.35">
      <c r="H14141" s="711"/>
      <c r="I14141" s="711"/>
      <c r="J14141" s="711"/>
      <c r="K14141" s="711"/>
      <c r="L14141" s="711"/>
      <c r="Q14141" s="11"/>
      <c r="R14141" s="11"/>
      <c r="S14141" s="11"/>
      <c r="T14141" s="11"/>
    </row>
    <row r="14142" spans="8:20" x14ac:dyDescent="0.35">
      <c r="H14142" s="711"/>
      <c r="I14142" s="711"/>
      <c r="J14142" s="711"/>
      <c r="K14142" s="711"/>
      <c r="L14142" s="711"/>
      <c r="Q14142" s="11"/>
      <c r="R14142" s="11"/>
      <c r="S14142" s="11"/>
      <c r="T14142" s="11"/>
    </row>
    <row r="14143" spans="8:20" x14ac:dyDescent="0.35">
      <c r="H14143" s="711"/>
      <c r="I14143" s="711"/>
      <c r="J14143" s="711"/>
      <c r="K14143" s="711"/>
      <c r="L14143" s="711"/>
      <c r="Q14143" s="11"/>
      <c r="R14143" s="11"/>
      <c r="S14143" s="11"/>
      <c r="T14143" s="11"/>
    </row>
    <row r="14144" spans="8:20" x14ac:dyDescent="0.35">
      <c r="H14144" s="711"/>
      <c r="I14144" s="711"/>
      <c r="J14144" s="711"/>
      <c r="K14144" s="711"/>
      <c r="L14144" s="711"/>
      <c r="Q14144" s="11"/>
      <c r="R14144" s="11"/>
      <c r="S14144" s="11"/>
      <c r="T14144" s="11"/>
    </row>
    <row r="14145" spans="8:20" x14ac:dyDescent="0.35">
      <c r="H14145" s="711"/>
      <c r="I14145" s="711"/>
      <c r="J14145" s="711"/>
      <c r="K14145" s="711"/>
      <c r="L14145" s="711"/>
      <c r="Q14145" s="11"/>
      <c r="R14145" s="11"/>
      <c r="S14145" s="11"/>
      <c r="T14145" s="11"/>
    </row>
    <row r="14146" spans="8:20" x14ac:dyDescent="0.35">
      <c r="H14146" s="711"/>
      <c r="I14146" s="711"/>
      <c r="J14146" s="711"/>
      <c r="K14146" s="711"/>
      <c r="L14146" s="711"/>
      <c r="Q14146" s="11"/>
      <c r="R14146" s="11"/>
      <c r="S14146" s="11"/>
      <c r="T14146" s="11"/>
    </row>
    <row r="14147" spans="8:20" x14ac:dyDescent="0.35">
      <c r="H14147" s="711"/>
      <c r="I14147" s="711"/>
      <c r="J14147" s="711"/>
      <c r="K14147" s="711"/>
      <c r="L14147" s="711"/>
      <c r="Q14147" s="11"/>
      <c r="R14147" s="11"/>
      <c r="S14147" s="11"/>
      <c r="T14147" s="11"/>
    </row>
    <row r="14148" spans="8:20" x14ac:dyDescent="0.35">
      <c r="H14148" s="711"/>
      <c r="I14148" s="711"/>
      <c r="J14148" s="711"/>
      <c r="K14148" s="711"/>
      <c r="L14148" s="711"/>
      <c r="Q14148" s="11"/>
      <c r="R14148" s="11"/>
      <c r="S14148" s="11"/>
      <c r="T14148" s="11"/>
    </row>
    <row r="14149" spans="8:20" x14ac:dyDescent="0.35">
      <c r="H14149" s="711"/>
      <c r="I14149" s="711"/>
      <c r="J14149" s="711"/>
      <c r="K14149" s="711"/>
      <c r="L14149" s="711"/>
      <c r="Q14149" s="11"/>
      <c r="R14149" s="11"/>
      <c r="S14149" s="11"/>
      <c r="T14149" s="11"/>
    </row>
    <row r="14150" spans="8:20" x14ac:dyDescent="0.35">
      <c r="H14150" s="711"/>
      <c r="I14150" s="711"/>
      <c r="J14150" s="711"/>
      <c r="K14150" s="711"/>
      <c r="L14150" s="711"/>
      <c r="Q14150" s="11"/>
      <c r="R14150" s="11"/>
      <c r="S14150" s="11"/>
      <c r="T14150" s="11"/>
    </row>
    <row r="14151" spans="8:20" x14ac:dyDescent="0.35">
      <c r="H14151" s="711"/>
      <c r="I14151" s="711"/>
      <c r="J14151" s="711"/>
      <c r="K14151" s="711"/>
      <c r="L14151" s="711"/>
      <c r="Q14151" s="11"/>
      <c r="R14151" s="11"/>
      <c r="S14151" s="11"/>
      <c r="T14151" s="11"/>
    </row>
    <row r="14152" spans="8:20" x14ac:dyDescent="0.35">
      <c r="H14152" s="711"/>
      <c r="I14152" s="711"/>
      <c r="J14152" s="711"/>
      <c r="K14152" s="711"/>
      <c r="L14152" s="711"/>
      <c r="Q14152" s="11"/>
      <c r="R14152" s="11"/>
      <c r="S14152" s="11"/>
      <c r="T14152" s="11"/>
    </row>
    <row r="14153" spans="8:20" x14ac:dyDescent="0.35">
      <c r="H14153" s="711"/>
      <c r="I14153" s="711"/>
      <c r="J14153" s="711"/>
      <c r="K14153" s="711"/>
      <c r="L14153" s="711"/>
      <c r="Q14153" s="11"/>
      <c r="R14153" s="11"/>
      <c r="S14153" s="11"/>
      <c r="T14153" s="11"/>
    </row>
    <row r="14154" spans="8:20" x14ac:dyDescent="0.35">
      <c r="H14154" s="711"/>
      <c r="I14154" s="711"/>
      <c r="J14154" s="711"/>
      <c r="K14154" s="711"/>
      <c r="L14154" s="711"/>
      <c r="Q14154" s="11"/>
      <c r="R14154" s="11"/>
      <c r="S14154" s="11"/>
      <c r="T14154" s="11"/>
    </row>
    <row r="14155" spans="8:20" x14ac:dyDescent="0.35">
      <c r="H14155" s="711"/>
      <c r="I14155" s="711"/>
      <c r="J14155" s="711"/>
      <c r="K14155" s="711"/>
      <c r="L14155" s="711"/>
      <c r="Q14155" s="11"/>
      <c r="R14155" s="11"/>
      <c r="S14155" s="11"/>
      <c r="T14155" s="11"/>
    </row>
    <row r="14156" spans="8:20" x14ac:dyDescent="0.35">
      <c r="H14156" s="711"/>
      <c r="I14156" s="711"/>
      <c r="J14156" s="711"/>
      <c r="K14156" s="711"/>
      <c r="L14156" s="711"/>
      <c r="Q14156" s="11"/>
      <c r="R14156" s="11"/>
      <c r="S14156" s="11"/>
      <c r="T14156" s="11"/>
    </row>
    <row r="14157" spans="8:20" x14ac:dyDescent="0.35">
      <c r="H14157" s="711"/>
      <c r="I14157" s="711"/>
      <c r="J14157" s="711"/>
      <c r="K14157" s="711"/>
      <c r="L14157" s="711"/>
      <c r="Q14157" s="11"/>
      <c r="R14157" s="11"/>
      <c r="S14157" s="11"/>
      <c r="T14157" s="11"/>
    </row>
    <row r="14158" spans="8:20" x14ac:dyDescent="0.35">
      <c r="H14158" s="711"/>
      <c r="I14158" s="711"/>
      <c r="J14158" s="711"/>
      <c r="K14158" s="711"/>
      <c r="L14158" s="711"/>
      <c r="Q14158" s="11"/>
      <c r="R14158" s="11"/>
      <c r="S14158" s="11"/>
      <c r="T14158" s="11"/>
    </row>
    <row r="14159" spans="8:20" x14ac:dyDescent="0.35">
      <c r="H14159" s="711"/>
      <c r="I14159" s="711"/>
      <c r="J14159" s="711"/>
      <c r="K14159" s="711"/>
      <c r="L14159" s="711"/>
      <c r="Q14159" s="11"/>
      <c r="R14159" s="11"/>
      <c r="S14159" s="11"/>
      <c r="T14159" s="11"/>
    </row>
    <row r="14160" spans="8:20" x14ac:dyDescent="0.35">
      <c r="H14160" s="711"/>
      <c r="I14160" s="711"/>
      <c r="J14160" s="711"/>
      <c r="K14160" s="711"/>
      <c r="L14160" s="711"/>
      <c r="Q14160" s="11"/>
      <c r="R14160" s="11"/>
      <c r="S14160" s="11"/>
      <c r="T14160" s="11"/>
    </row>
    <row r="14161" spans="8:20" x14ac:dyDescent="0.35">
      <c r="H14161" s="711"/>
      <c r="I14161" s="711"/>
      <c r="J14161" s="711"/>
      <c r="K14161" s="711"/>
      <c r="L14161" s="711"/>
      <c r="Q14161" s="11"/>
      <c r="R14161" s="11"/>
      <c r="S14161" s="11"/>
      <c r="T14161" s="11"/>
    </row>
    <row r="14162" spans="8:20" x14ac:dyDescent="0.35">
      <c r="H14162" s="711"/>
      <c r="I14162" s="711"/>
      <c r="J14162" s="711"/>
      <c r="K14162" s="711"/>
      <c r="L14162" s="711"/>
      <c r="Q14162" s="11"/>
      <c r="R14162" s="11"/>
      <c r="S14162" s="11"/>
      <c r="T14162" s="11"/>
    </row>
    <row r="14163" spans="8:20" x14ac:dyDescent="0.35">
      <c r="H14163" s="711"/>
      <c r="I14163" s="711"/>
      <c r="J14163" s="711"/>
      <c r="K14163" s="711"/>
      <c r="L14163" s="711"/>
      <c r="Q14163" s="11"/>
      <c r="R14163" s="11"/>
      <c r="S14163" s="11"/>
      <c r="T14163" s="11"/>
    </row>
    <row r="14164" spans="8:20" x14ac:dyDescent="0.35">
      <c r="H14164" s="711"/>
      <c r="I14164" s="711"/>
      <c r="J14164" s="711"/>
      <c r="K14164" s="711"/>
      <c r="L14164" s="711"/>
      <c r="Q14164" s="11"/>
      <c r="R14164" s="11"/>
      <c r="S14164" s="11"/>
      <c r="T14164" s="11"/>
    </row>
    <row r="14165" spans="8:20" x14ac:dyDescent="0.35">
      <c r="H14165" s="711"/>
      <c r="I14165" s="711"/>
      <c r="J14165" s="711"/>
      <c r="K14165" s="711"/>
      <c r="L14165" s="711"/>
      <c r="Q14165" s="11"/>
      <c r="R14165" s="11"/>
      <c r="S14165" s="11"/>
      <c r="T14165" s="11"/>
    </row>
    <row r="14166" spans="8:20" x14ac:dyDescent="0.35">
      <c r="H14166" s="711"/>
      <c r="I14166" s="711"/>
      <c r="J14166" s="711"/>
      <c r="K14166" s="711"/>
      <c r="L14166" s="711"/>
      <c r="Q14166" s="11"/>
      <c r="R14166" s="11"/>
      <c r="S14166" s="11"/>
      <c r="T14166" s="11"/>
    </row>
    <row r="14167" spans="8:20" x14ac:dyDescent="0.35">
      <c r="H14167" s="711"/>
      <c r="I14167" s="711"/>
      <c r="J14167" s="711"/>
      <c r="K14167" s="711"/>
      <c r="L14167" s="711"/>
      <c r="Q14167" s="11"/>
      <c r="R14167" s="11"/>
      <c r="S14167" s="11"/>
      <c r="T14167" s="11"/>
    </row>
    <row r="14168" spans="8:20" x14ac:dyDescent="0.35">
      <c r="H14168" s="711"/>
      <c r="I14168" s="711"/>
      <c r="J14168" s="711"/>
      <c r="K14168" s="711"/>
      <c r="L14168" s="711"/>
      <c r="Q14168" s="11"/>
      <c r="R14168" s="11"/>
      <c r="S14168" s="11"/>
      <c r="T14168" s="11"/>
    </row>
    <row r="14169" spans="8:20" x14ac:dyDescent="0.35">
      <c r="H14169" s="711"/>
      <c r="I14169" s="711"/>
      <c r="J14169" s="711"/>
      <c r="K14169" s="711"/>
      <c r="L14169" s="711"/>
      <c r="Q14169" s="11"/>
      <c r="R14169" s="11"/>
      <c r="S14169" s="11"/>
      <c r="T14169" s="11"/>
    </row>
    <row r="14170" spans="8:20" x14ac:dyDescent="0.35">
      <c r="H14170" s="711"/>
      <c r="I14170" s="711"/>
      <c r="J14170" s="711"/>
      <c r="K14170" s="711"/>
      <c r="L14170" s="711"/>
      <c r="Q14170" s="11"/>
      <c r="R14170" s="11"/>
      <c r="S14170" s="11"/>
      <c r="T14170" s="11"/>
    </row>
    <row r="14171" spans="8:20" x14ac:dyDescent="0.35">
      <c r="H14171" s="711"/>
      <c r="I14171" s="711"/>
      <c r="J14171" s="711"/>
      <c r="K14171" s="711"/>
      <c r="L14171" s="711"/>
      <c r="Q14171" s="11"/>
      <c r="R14171" s="11"/>
      <c r="S14171" s="11"/>
      <c r="T14171" s="11"/>
    </row>
    <row r="14172" spans="8:20" x14ac:dyDescent="0.35">
      <c r="H14172" s="711"/>
      <c r="I14172" s="711"/>
      <c r="J14172" s="711"/>
      <c r="K14172" s="711"/>
      <c r="L14172" s="711"/>
      <c r="Q14172" s="11"/>
      <c r="R14172" s="11"/>
      <c r="S14172" s="11"/>
      <c r="T14172" s="11"/>
    </row>
    <row r="14173" spans="8:20" x14ac:dyDescent="0.35">
      <c r="H14173" s="711"/>
      <c r="I14173" s="711"/>
      <c r="J14173" s="711"/>
      <c r="K14173" s="711"/>
      <c r="L14173" s="711"/>
      <c r="Q14173" s="11"/>
      <c r="R14173" s="11"/>
      <c r="S14173" s="11"/>
      <c r="T14173" s="11"/>
    </row>
    <row r="14174" spans="8:20" x14ac:dyDescent="0.35">
      <c r="H14174" s="711"/>
      <c r="I14174" s="711"/>
      <c r="J14174" s="711"/>
      <c r="K14174" s="711"/>
      <c r="L14174" s="711"/>
      <c r="Q14174" s="11"/>
      <c r="R14174" s="11"/>
      <c r="S14174" s="11"/>
      <c r="T14174" s="11"/>
    </row>
    <row r="14175" spans="8:20" x14ac:dyDescent="0.35">
      <c r="H14175" s="711"/>
      <c r="I14175" s="711"/>
      <c r="J14175" s="711"/>
      <c r="K14175" s="711"/>
      <c r="L14175" s="711"/>
      <c r="Q14175" s="11"/>
      <c r="R14175" s="11"/>
      <c r="S14175" s="11"/>
      <c r="T14175" s="11"/>
    </row>
    <row r="14176" spans="8:20" x14ac:dyDescent="0.35">
      <c r="H14176" s="711"/>
      <c r="I14176" s="711"/>
      <c r="J14176" s="711"/>
      <c r="K14176" s="711"/>
      <c r="L14176" s="711"/>
      <c r="Q14176" s="11"/>
      <c r="R14176" s="11"/>
      <c r="S14176" s="11"/>
      <c r="T14176" s="11"/>
    </row>
    <row r="14177" spans="8:20" x14ac:dyDescent="0.35">
      <c r="H14177" s="711"/>
      <c r="I14177" s="711"/>
      <c r="J14177" s="711"/>
      <c r="K14177" s="711"/>
      <c r="L14177" s="711"/>
      <c r="Q14177" s="11"/>
      <c r="R14177" s="11"/>
      <c r="S14177" s="11"/>
      <c r="T14177" s="11"/>
    </row>
    <row r="14178" spans="8:20" x14ac:dyDescent="0.35">
      <c r="H14178" s="711"/>
      <c r="I14178" s="711"/>
      <c r="J14178" s="711"/>
      <c r="K14178" s="711"/>
      <c r="L14178" s="711"/>
      <c r="Q14178" s="11"/>
      <c r="R14178" s="11"/>
      <c r="S14178" s="11"/>
      <c r="T14178" s="11"/>
    </row>
    <row r="14179" spans="8:20" x14ac:dyDescent="0.35">
      <c r="H14179" s="711"/>
      <c r="I14179" s="711"/>
      <c r="J14179" s="711"/>
      <c r="K14179" s="711"/>
      <c r="L14179" s="711"/>
      <c r="Q14179" s="11"/>
      <c r="R14179" s="11"/>
      <c r="S14179" s="11"/>
      <c r="T14179" s="11"/>
    </row>
    <row r="14180" spans="8:20" x14ac:dyDescent="0.35">
      <c r="H14180" s="711"/>
      <c r="I14180" s="711"/>
      <c r="J14180" s="711"/>
      <c r="K14180" s="711"/>
      <c r="L14180" s="711"/>
      <c r="Q14180" s="11"/>
      <c r="R14180" s="11"/>
      <c r="S14180" s="11"/>
      <c r="T14180" s="11"/>
    </row>
    <row r="14181" spans="8:20" x14ac:dyDescent="0.35">
      <c r="H14181" s="711"/>
      <c r="I14181" s="711"/>
      <c r="J14181" s="711"/>
      <c r="K14181" s="711"/>
      <c r="L14181" s="711"/>
      <c r="Q14181" s="11"/>
      <c r="R14181" s="11"/>
      <c r="S14181" s="11"/>
      <c r="T14181" s="11"/>
    </row>
    <row r="14182" spans="8:20" x14ac:dyDescent="0.35">
      <c r="H14182" s="711"/>
      <c r="I14182" s="711"/>
      <c r="J14182" s="711"/>
      <c r="K14182" s="711"/>
      <c r="L14182" s="711"/>
      <c r="Q14182" s="11"/>
      <c r="R14182" s="11"/>
      <c r="S14182" s="11"/>
      <c r="T14182" s="11"/>
    </row>
    <row r="14183" spans="8:20" x14ac:dyDescent="0.35">
      <c r="H14183" s="711"/>
      <c r="I14183" s="711"/>
      <c r="J14183" s="711"/>
      <c r="K14183" s="711"/>
      <c r="L14183" s="711"/>
      <c r="Q14183" s="11"/>
      <c r="R14183" s="11"/>
      <c r="S14183" s="11"/>
      <c r="T14183" s="11"/>
    </row>
    <row r="14184" spans="8:20" x14ac:dyDescent="0.35">
      <c r="H14184" s="711"/>
      <c r="I14184" s="711"/>
      <c r="J14184" s="711"/>
      <c r="K14184" s="711"/>
      <c r="L14184" s="711"/>
      <c r="Q14184" s="11"/>
      <c r="R14184" s="11"/>
      <c r="S14184" s="11"/>
      <c r="T14184" s="11"/>
    </row>
    <row r="14185" spans="8:20" x14ac:dyDescent="0.35">
      <c r="H14185" s="711"/>
      <c r="I14185" s="711"/>
      <c r="J14185" s="711"/>
      <c r="K14185" s="711"/>
      <c r="L14185" s="711"/>
      <c r="Q14185" s="11"/>
      <c r="R14185" s="11"/>
      <c r="S14185" s="11"/>
      <c r="T14185" s="11"/>
    </row>
    <row r="14186" spans="8:20" x14ac:dyDescent="0.35">
      <c r="H14186" s="711"/>
      <c r="I14186" s="711"/>
      <c r="J14186" s="711"/>
      <c r="K14186" s="711"/>
      <c r="L14186" s="711"/>
      <c r="Q14186" s="11"/>
      <c r="R14186" s="11"/>
      <c r="S14186" s="11"/>
      <c r="T14186" s="11"/>
    </row>
    <row r="14187" spans="8:20" x14ac:dyDescent="0.35">
      <c r="H14187" s="711"/>
      <c r="I14187" s="711"/>
      <c r="J14187" s="711"/>
      <c r="K14187" s="711"/>
      <c r="L14187" s="711"/>
      <c r="Q14187" s="11"/>
      <c r="R14187" s="11"/>
      <c r="S14187" s="11"/>
      <c r="T14187" s="11"/>
    </row>
    <row r="14188" spans="8:20" x14ac:dyDescent="0.35">
      <c r="H14188" s="711"/>
      <c r="I14188" s="711"/>
      <c r="J14188" s="711"/>
      <c r="K14188" s="711"/>
      <c r="L14188" s="711"/>
      <c r="Q14188" s="11"/>
      <c r="R14188" s="11"/>
      <c r="S14188" s="11"/>
      <c r="T14188" s="11"/>
    </row>
    <row r="14189" spans="8:20" x14ac:dyDescent="0.35">
      <c r="H14189" s="711"/>
      <c r="I14189" s="711"/>
      <c r="J14189" s="711"/>
      <c r="K14189" s="711"/>
      <c r="L14189" s="711"/>
      <c r="Q14189" s="11"/>
      <c r="R14189" s="11"/>
      <c r="S14189" s="11"/>
      <c r="T14189" s="11"/>
    </row>
    <row r="14190" spans="8:20" x14ac:dyDescent="0.35">
      <c r="H14190" s="711"/>
      <c r="I14190" s="711"/>
      <c r="J14190" s="711"/>
      <c r="K14190" s="711"/>
      <c r="L14190" s="711"/>
      <c r="Q14190" s="11"/>
      <c r="R14190" s="11"/>
      <c r="S14190" s="11"/>
      <c r="T14190" s="11"/>
    </row>
    <row r="14191" spans="8:20" x14ac:dyDescent="0.35">
      <c r="H14191" s="711"/>
      <c r="I14191" s="711"/>
      <c r="J14191" s="711"/>
      <c r="K14191" s="711"/>
      <c r="L14191" s="711"/>
      <c r="Q14191" s="11"/>
      <c r="R14191" s="11"/>
      <c r="S14191" s="11"/>
      <c r="T14191" s="11"/>
    </row>
    <row r="14192" spans="8:20" x14ac:dyDescent="0.35">
      <c r="H14192" s="711"/>
      <c r="I14192" s="711"/>
      <c r="J14192" s="711"/>
      <c r="K14192" s="711"/>
      <c r="L14192" s="711"/>
      <c r="Q14192" s="11"/>
      <c r="R14192" s="11"/>
      <c r="S14192" s="11"/>
      <c r="T14192" s="11"/>
    </row>
    <row r="14193" spans="8:20" x14ac:dyDescent="0.35">
      <c r="H14193" s="711"/>
      <c r="I14193" s="711"/>
      <c r="J14193" s="711"/>
      <c r="K14193" s="711"/>
      <c r="L14193" s="711"/>
      <c r="Q14193" s="11"/>
      <c r="R14193" s="11"/>
      <c r="S14193" s="11"/>
      <c r="T14193" s="11"/>
    </row>
    <row r="14194" spans="8:20" x14ac:dyDescent="0.35">
      <c r="H14194" s="711"/>
      <c r="I14194" s="711"/>
      <c r="J14194" s="711"/>
      <c r="K14194" s="711"/>
      <c r="L14194" s="711"/>
      <c r="Q14194" s="11"/>
      <c r="R14194" s="11"/>
      <c r="S14194" s="11"/>
      <c r="T14194" s="11"/>
    </row>
    <row r="14195" spans="8:20" x14ac:dyDescent="0.35">
      <c r="H14195" s="711"/>
      <c r="I14195" s="711"/>
      <c r="J14195" s="711"/>
      <c r="K14195" s="711"/>
      <c r="L14195" s="711"/>
      <c r="Q14195" s="11"/>
      <c r="R14195" s="11"/>
      <c r="S14195" s="11"/>
      <c r="T14195" s="11"/>
    </row>
    <row r="14196" spans="8:20" x14ac:dyDescent="0.35">
      <c r="H14196" s="711"/>
      <c r="I14196" s="711"/>
      <c r="J14196" s="711"/>
      <c r="K14196" s="711"/>
      <c r="L14196" s="711"/>
      <c r="Q14196" s="11"/>
      <c r="R14196" s="11"/>
      <c r="S14196" s="11"/>
      <c r="T14196" s="11"/>
    </row>
    <row r="14197" spans="8:20" x14ac:dyDescent="0.35">
      <c r="H14197" s="711"/>
      <c r="I14197" s="711"/>
      <c r="J14197" s="711"/>
      <c r="K14197" s="711"/>
      <c r="L14197" s="711"/>
      <c r="Q14197" s="11"/>
      <c r="R14197" s="11"/>
      <c r="S14197" s="11"/>
      <c r="T14197" s="11"/>
    </row>
    <row r="14198" spans="8:20" x14ac:dyDescent="0.35">
      <c r="H14198" s="711"/>
      <c r="I14198" s="711"/>
      <c r="J14198" s="711"/>
      <c r="K14198" s="711"/>
      <c r="L14198" s="711"/>
      <c r="Q14198" s="11"/>
      <c r="R14198" s="11"/>
      <c r="S14198" s="11"/>
      <c r="T14198" s="11"/>
    </row>
    <row r="14199" spans="8:20" x14ac:dyDescent="0.35">
      <c r="H14199" s="711"/>
      <c r="I14199" s="711"/>
      <c r="J14199" s="711"/>
      <c r="K14199" s="711"/>
      <c r="L14199" s="711"/>
      <c r="Q14199" s="11"/>
      <c r="R14199" s="11"/>
      <c r="S14199" s="11"/>
      <c r="T14199" s="11"/>
    </row>
    <row r="14200" spans="8:20" x14ac:dyDescent="0.35">
      <c r="H14200" s="711"/>
      <c r="I14200" s="711"/>
      <c r="J14200" s="711"/>
      <c r="K14200" s="711"/>
      <c r="L14200" s="711"/>
      <c r="Q14200" s="11"/>
      <c r="R14200" s="11"/>
      <c r="S14200" s="11"/>
      <c r="T14200" s="11"/>
    </row>
    <row r="14201" spans="8:20" x14ac:dyDescent="0.35">
      <c r="H14201" s="711"/>
      <c r="I14201" s="711"/>
      <c r="J14201" s="711"/>
      <c r="K14201" s="711"/>
      <c r="L14201" s="711"/>
      <c r="Q14201" s="11"/>
      <c r="R14201" s="11"/>
      <c r="S14201" s="11"/>
      <c r="T14201" s="11"/>
    </row>
    <row r="14202" spans="8:20" x14ac:dyDescent="0.35">
      <c r="H14202" s="711"/>
      <c r="I14202" s="711"/>
      <c r="J14202" s="711"/>
      <c r="K14202" s="711"/>
      <c r="L14202" s="711"/>
      <c r="Q14202" s="11"/>
      <c r="R14202" s="11"/>
      <c r="S14202" s="11"/>
      <c r="T14202" s="11"/>
    </row>
    <row r="14203" spans="8:20" x14ac:dyDescent="0.35">
      <c r="H14203" s="711"/>
      <c r="I14203" s="711"/>
      <c r="J14203" s="711"/>
      <c r="K14203" s="711"/>
      <c r="L14203" s="711"/>
      <c r="Q14203" s="11"/>
      <c r="R14203" s="11"/>
      <c r="S14203" s="11"/>
      <c r="T14203" s="11"/>
    </row>
    <row r="14204" spans="8:20" x14ac:dyDescent="0.35">
      <c r="H14204" s="711"/>
      <c r="I14204" s="711"/>
      <c r="J14204" s="711"/>
      <c r="K14204" s="711"/>
      <c r="L14204" s="711"/>
      <c r="Q14204" s="11"/>
      <c r="R14204" s="11"/>
      <c r="S14204" s="11"/>
      <c r="T14204" s="11"/>
    </row>
    <row r="14205" spans="8:20" x14ac:dyDescent="0.35">
      <c r="H14205" s="711"/>
      <c r="I14205" s="711"/>
      <c r="J14205" s="711"/>
      <c r="K14205" s="711"/>
      <c r="L14205" s="711"/>
      <c r="Q14205" s="11"/>
      <c r="R14205" s="11"/>
      <c r="S14205" s="11"/>
      <c r="T14205" s="11"/>
    </row>
    <row r="14206" spans="8:20" x14ac:dyDescent="0.35">
      <c r="H14206" s="711"/>
      <c r="I14206" s="711"/>
      <c r="J14206" s="711"/>
      <c r="K14206" s="711"/>
      <c r="L14206" s="711"/>
      <c r="Q14206" s="11"/>
      <c r="R14206" s="11"/>
      <c r="S14206" s="11"/>
      <c r="T14206" s="11"/>
    </row>
    <row r="14207" spans="8:20" x14ac:dyDescent="0.35">
      <c r="H14207" s="711"/>
      <c r="I14207" s="711"/>
      <c r="J14207" s="711"/>
      <c r="K14207" s="711"/>
      <c r="L14207" s="711"/>
      <c r="Q14207" s="11"/>
      <c r="R14207" s="11"/>
      <c r="S14207" s="11"/>
      <c r="T14207" s="11"/>
    </row>
    <row r="14208" spans="8:20" x14ac:dyDescent="0.35">
      <c r="H14208" s="711"/>
      <c r="I14208" s="711"/>
      <c r="J14208" s="711"/>
      <c r="K14208" s="711"/>
      <c r="L14208" s="711"/>
      <c r="Q14208" s="11"/>
      <c r="R14208" s="11"/>
      <c r="S14208" s="11"/>
      <c r="T14208" s="11"/>
    </row>
    <row r="14209" spans="8:20" x14ac:dyDescent="0.35">
      <c r="H14209" s="711"/>
      <c r="I14209" s="711"/>
      <c r="J14209" s="711"/>
      <c r="K14209" s="711"/>
      <c r="L14209" s="711"/>
      <c r="Q14209" s="11"/>
      <c r="R14209" s="11"/>
      <c r="S14209" s="11"/>
      <c r="T14209" s="11"/>
    </row>
    <row r="14210" spans="8:20" x14ac:dyDescent="0.35">
      <c r="H14210" s="711"/>
      <c r="I14210" s="711"/>
      <c r="J14210" s="711"/>
      <c r="K14210" s="711"/>
      <c r="L14210" s="711"/>
      <c r="Q14210" s="11"/>
      <c r="R14210" s="11"/>
      <c r="S14210" s="11"/>
      <c r="T14210" s="11"/>
    </row>
    <row r="14211" spans="8:20" x14ac:dyDescent="0.35">
      <c r="H14211" s="711"/>
      <c r="I14211" s="711"/>
      <c r="J14211" s="711"/>
      <c r="K14211" s="711"/>
      <c r="L14211" s="711"/>
      <c r="Q14211" s="11"/>
      <c r="R14211" s="11"/>
      <c r="S14211" s="11"/>
      <c r="T14211" s="11"/>
    </row>
    <row r="14212" spans="8:20" x14ac:dyDescent="0.35">
      <c r="H14212" s="711"/>
      <c r="I14212" s="711"/>
      <c r="J14212" s="711"/>
      <c r="K14212" s="711"/>
      <c r="L14212" s="711"/>
      <c r="Q14212" s="11"/>
      <c r="R14212" s="11"/>
      <c r="S14212" s="11"/>
      <c r="T14212" s="11"/>
    </row>
    <row r="14213" spans="8:20" x14ac:dyDescent="0.35">
      <c r="H14213" s="711"/>
      <c r="I14213" s="711"/>
      <c r="J14213" s="711"/>
      <c r="K14213" s="711"/>
      <c r="L14213" s="711"/>
      <c r="Q14213" s="11"/>
      <c r="R14213" s="11"/>
      <c r="S14213" s="11"/>
      <c r="T14213" s="11"/>
    </row>
    <row r="14214" spans="8:20" x14ac:dyDescent="0.35">
      <c r="H14214" s="711"/>
      <c r="I14214" s="711"/>
      <c r="J14214" s="711"/>
      <c r="K14214" s="711"/>
      <c r="L14214" s="711"/>
      <c r="Q14214" s="11"/>
      <c r="R14214" s="11"/>
      <c r="S14214" s="11"/>
      <c r="T14214" s="11"/>
    </row>
    <row r="14215" spans="8:20" x14ac:dyDescent="0.35">
      <c r="H14215" s="711"/>
      <c r="I14215" s="711"/>
      <c r="J14215" s="711"/>
      <c r="K14215" s="711"/>
      <c r="L14215" s="711"/>
      <c r="Q14215" s="11"/>
      <c r="R14215" s="11"/>
      <c r="S14215" s="11"/>
      <c r="T14215" s="11"/>
    </row>
    <row r="14216" spans="8:20" x14ac:dyDescent="0.35">
      <c r="H14216" s="711"/>
      <c r="I14216" s="711"/>
      <c r="J14216" s="711"/>
      <c r="K14216" s="711"/>
      <c r="L14216" s="711"/>
      <c r="Q14216" s="11"/>
      <c r="R14216" s="11"/>
      <c r="S14216" s="11"/>
      <c r="T14216" s="11"/>
    </row>
    <row r="14217" spans="8:20" x14ac:dyDescent="0.35">
      <c r="H14217" s="711"/>
      <c r="I14217" s="711"/>
      <c r="J14217" s="711"/>
      <c r="K14217" s="711"/>
      <c r="L14217" s="711"/>
      <c r="Q14217" s="11"/>
      <c r="R14217" s="11"/>
      <c r="S14217" s="11"/>
      <c r="T14217" s="11"/>
    </row>
    <row r="14218" spans="8:20" x14ac:dyDescent="0.35">
      <c r="H14218" s="711"/>
      <c r="I14218" s="711"/>
      <c r="J14218" s="711"/>
      <c r="K14218" s="711"/>
      <c r="L14218" s="711"/>
      <c r="Q14218" s="11"/>
      <c r="R14218" s="11"/>
      <c r="S14218" s="11"/>
      <c r="T14218" s="11"/>
    </row>
    <row r="14219" spans="8:20" x14ac:dyDescent="0.35">
      <c r="H14219" s="711"/>
      <c r="I14219" s="711"/>
      <c r="J14219" s="711"/>
      <c r="K14219" s="711"/>
      <c r="L14219" s="711"/>
      <c r="Q14219" s="11"/>
      <c r="R14219" s="11"/>
      <c r="S14219" s="11"/>
      <c r="T14219" s="11"/>
    </row>
    <row r="14220" spans="8:20" x14ac:dyDescent="0.35">
      <c r="H14220" s="711"/>
      <c r="I14220" s="711"/>
      <c r="J14220" s="711"/>
      <c r="K14220" s="711"/>
      <c r="L14220" s="711"/>
      <c r="Q14220" s="11"/>
      <c r="R14220" s="11"/>
      <c r="S14220" s="11"/>
      <c r="T14220" s="11"/>
    </row>
    <row r="14221" spans="8:20" x14ac:dyDescent="0.35">
      <c r="H14221" s="711"/>
      <c r="I14221" s="711"/>
      <c r="J14221" s="711"/>
      <c r="K14221" s="711"/>
      <c r="L14221" s="711"/>
      <c r="Q14221" s="11"/>
      <c r="R14221" s="11"/>
      <c r="S14221" s="11"/>
      <c r="T14221" s="11"/>
    </row>
    <row r="14222" spans="8:20" x14ac:dyDescent="0.35">
      <c r="H14222" s="711"/>
      <c r="I14222" s="711"/>
      <c r="J14222" s="711"/>
      <c r="K14222" s="711"/>
      <c r="L14222" s="711"/>
      <c r="Q14222" s="11"/>
      <c r="R14222" s="11"/>
      <c r="S14222" s="11"/>
      <c r="T14222" s="11"/>
    </row>
    <row r="14223" spans="8:20" x14ac:dyDescent="0.35">
      <c r="H14223" s="711"/>
      <c r="I14223" s="711"/>
      <c r="J14223" s="711"/>
      <c r="K14223" s="711"/>
      <c r="L14223" s="711"/>
      <c r="Q14223" s="11"/>
      <c r="R14223" s="11"/>
      <c r="S14223" s="11"/>
      <c r="T14223" s="11"/>
    </row>
    <row r="14224" spans="8:20" x14ac:dyDescent="0.35">
      <c r="H14224" s="711"/>
      <c r="I14224" s="711"/>
      <c r="J14224" s="711"/>
      <c r="K14224" s="711"/>
      <c r="L14224" s="711"/>
      <c r="Q14224" s="11"/>
      <c r="R14224" s="11"/>
      <c r="S14224" s="11"/>
      <c r="T14224" s="11"/>
    </row>
    <row r="14225" spans="8:20" x14ac:dyDescent="0.35">
      <c r="H14225" s="711"/>
      <c r="I14225" s="711"/>
      <c r="J14225" s="711"/>
      <c r="K14225" s="711"/>
      <c r="L14225" s="711"/>
      <c r="Q14225" s="11"/>
      <c r="R14225" s="11"/>
      <c r="S14225" s="11"/>
      <c r="T14225" s="11"/>
    </row>
    <row r="14226" spans="8:20" x14ac:dyDescent="0.35">
      <c r="H14226" s="711"/>
      <c r="I14226" s="711"/>
      <c r="J14226" s="711"/>
      <c r="K14226" s="711"/>
      <c r="L14226" s="711"/>
      <c r="Q14226" s="11"/>
      <c r="R14226" s="11"/>
      <c r="S14226" s="11"/>
      <c r="T14226" s="11"/>
    </row>
    <row r="14227" spans="8:20" x14ac:dyDescent="0.35">
      <c r="H14227" s="711"/>
      <c r="I14227" s="711"/>
      <c r="J14227" s="711"/>
      <c r="K14227" s="711"/>
      <c r="L14227" s="711"/>
      <c r="Q14227" s="11"/>
      <c r="R14227" s="11"/>
      <c r="S14227" s="11"/>
      <c r="T14227" s="11"/>
    </row>
    <row r="14228" spans="8:20" x14ac:dyDescent="0.35">
      <c r="H14228" s="711"/>
      <c r="I14228" s="711"/>
      <c r="J14228" s="711"/>
      <c r="K14228" s="711"/>
      <c r="L14228" s="711"/>
      <c r="Q14228" s="11"/>
      <c r="R14228" s="11"/>
      <c r="S14228" s="11"/>
      <c r="T14228" s="11"/>
    </row>
    <row r="14229" spans="8:20" x14ac:dyDescent="0.35">
      <c r="H14229" s="711"/>
      <c r="I14229" s="711"/>
      <c r="J14229" s="711"/>
      <c r="K14229" s="711"/>
      <c r="L14229" s="711"/>
      <c r="Q14229" s="11"/>
      <c r="R14229" s="11"/>
      <c r="S14229" s="11"/>
      <c r="T14229" s="11"/>
    </row>
    <row r="14230" spans="8:20" x14ac:dyDescent="0.35">
      <c r="H14230" s="711"/>
      <c r="I14230" s="711"/>
      <c r="J14230" s="711"/>
      <c r="K14230" s="711"/>
      <c r="L14230" s="711"/>
      <c r="Q14230" s="11"/>
      <c r="R14230" s="11"/>
      <c r="S14230" s="11"/>
      <c r="T14230" s="11"/>
    </row>
    <row r="14231" spans="8:20" x14ac:dyDescent="0.35">
      <c r="H14231" s="711"/>
      <c r="I14231" s="711"/>
      <c r="J14231" s="711"/>
      <c r="K14231" s="711"/>
      <c r="L14231" s="711"/>
      <c r="Q14231" s="11"/>
      <c r="R14231" s="11"/>
      <c r="S14231" s="11"/>
      <c r="T14231" s="11"/>
    </row>
    <row r="14232" spans="8:20" x14ac:dyDescent="0.35">
      <c r="H14232" s="711"/>
      <c r="I14232" s="711"/>
      <c r="J14232" s="711"/>
      <c r="K14232" s="711"/>
      <c r="L14232" s="711"/>
      <c r="Q14232" s="11"/>
      <c r="R14232" s="11"/>
      <c r="S14232" s="11"/>
      <c r="T14232" s="11"/>
    </row>
    <row r="14233" spans="8:20" x14ac:dyDescent="0.35">
      <c r="H14233" s="711"/>
      <c r="I14233" s="711"/>
      <c r="J14233" s="711"/>
      <c r="K14233" s="711"/>
      <c r="L14233" s="711"/>
      <c r="Q14233" s="11"/>
      <c r="R14233" s="11"/>
      <c r="S14233" s="11"/>
      <c r="T14233" s="11"/>
    </row>
    <row r="14234" spans="8:20" x14ac:dyDescent="0.35">
      <c r="H14234" s="711"/>
      <c r="I14234" s="711"/>
      <c r="J14234" s="711"/>
      <c r="K14234" s="711"/>
      <c r="L14234" s="711"/>
      <c r="Q14234" s="11"/>
      <c r="R14234" s="11"/>
      <c r="S14234" s="11"/>
      <c r="T14234" s="11"/>
    </row>
    <row r="14235" spans="8:20" x14ac:dyDescent="0.35">
      <c r="H14235" s="711"/>
      <c r="I14235" s="711"/>
      <c r="J14235" s="711"/>
      <c r="K14235" s="711"/>
      <c r="L14235" s="711"/>
      <c r="Q14235" s="11"/>
      <c r="R14235" s="11"/>
      <c r="S14235" s="11"/>
      <c r="T14235" s="11"/>
    </row>
    <row r="14236" spans="8:20" x14ac:dyDescent="0.35">
      <c r="H14236" s="711"/>
      <c r="I14236" s="711"/>
      <c r="J14236" s="711"/>
      <c r="K14236" s="711"/>
      <c r="L14236" s="711"/>
      <c r="Q14236" s="11"/>
      <c r="R14236" s="11"/>
      <c r="S14236" s="11"/>
      <c r="T14236" s="11"/>
    </row>
    <row r="14237" spans="8:20" x14ac:dyDescent="0.35">
      <c r="H14237" s="711"/>
      <c r="I14237" s="711"/>
      <c r="J14237" s="711"/>
      <c r="K14237" s="711"/>
      <c r="L14237" s="711"/>
      <c r="Q14237" s="11"/>
      <c r="R14237" s="11"/>
      <c r="S14237" s="11"/>
      <c r="T14237" s="11"/>
    </row>
    <row r="14238" spans="8:20" x14ac:dyDescent="0.35">
      <c r="H14238" s="711"/>
      <c r="I14238" s="711"/>
      <c r="J14238" s="711"/>
      <c r="K14238" s="711"/>
      <c r="L14238" s="711"/>
      <c r="Q14238" s="11"/>
      <c r="R14238" s="11"/>
      <c r="S14238" s="11"/>
      <c r="T14238" s="11"/>
    </row>
    <row r="14239" spans="8:20" x14ac:dyDescent="0.35">
      <c r="H14239" s="711"/>
      <c r="I14239" s="711"/>
      <c r="J14239" s="711"/>
      <c r="K14239" s="711"/>
      <c r="L14239" s="711"/>
      <c r="Q14239" s="11"/>
      <c r="R14239" s="11"/>
      <c r="S14239" s="11"/>
      <c r="T14239" s="11"/>
    </row>
    <row r="14240" spans="8:20" x14ac:dyDescent="0.35">
      <c r="H14240" s="711"/>
      <c r="I14240" s="711"/>
      <c r="J14240" s="711"/>
      <c r="K14240" s="711"/>
      <c r="L14240" s="711"/>
      <c r="Q14240" s="11"/>
      <c r="R14240" s="11"/>
      <c r="S14240" s="11"/>
      <c r="T14240" s="11"/>
    </row>
    <row r="14241" spans="8:20" x14ac:dyDescent="0.35">
      <c r="H14241" s="711"/>
      <c r="I14241" s="711"/>
      <c r="J14241" s="711"/>
      <c r="K14241" s="711"/>
      <c r="L14241" s="711"/>
      <c r="Q14241" s="11"/>
      <c r="R14241" s="11"/>
      <c r="S14241" s="11"/>
      <c r="T14241" s="11"/>
    </row>
    <row r="14242" spans="8:20" x14ac:dyDescent="0.35">
      <c r="H14242" s="711"/>
      <c r="I14242" s="711"/>
      <c r="J14242" s="711"/>
      <c r="K14242" s="711"/>
      <c r="L14242" s="711"/>
      <c r="Q14242" s="11"/>
      <c r="R14242" s="11"/>
      <c r="S14242" s="11"/>
      <c r="T14242" s="11"/>
    </row>
    <row r="14243" spans="8:20" x14ac:dyDescent="0.35">
      <c r="H14243" s="711"/>
      <c r="I14243" s="711"/>
      <c r="J14243" s="711"/>
      <c r="K14243" s="711"/>
      <c r="L14243" s="711"/>
      <c r="Q14243" s="11"/>
      <c r="R14243" s="11"/>
      <c r="S14243" s="11"/>
      <c r="T14243" s="11"/>
    </row>
    <row r="14244" spans="8:20" x14ac:dyDescent="0.35">
      <c r="H14244" s="711"/>
      <c r="I14244" s="711"/>
      <c r="J14244" s="711"/>
      <c r="K14244" s="711"/>
      <c r="L14244" s="711"/>
      <c r="Q14244" s="11"/>
      <c r="R14244" s="11"/>
      <c r="S14244" s="11"/>
      <c r="T14244" s="11"/>
    </row>
    <row r="14245" spans="8:20" x14ac:dyDescent="0.35">
      <c r="H14245" s="711"/>
      <c r="I14245" s="711"/>
      <c r="J14245" s="711"/>
      <c r="K14245" s="711"/>
      <c r="L14245" s="711"/>
      <c r="Q14245" s="11"/>
      <c r="R14245" s="11"/>
      <c r="S14245" s="11"/>
      <c r="T14245" s="11"/>
    </row>
    <row r="14246" spans="8:20" x14ac:dyDescent="0.35">
      <c r="H14246" s="711"/>
      <c r="I14246" s="711"/>
      <c r="J14246" s="711"/>
      <c r="K14246" s="711"/>
      <c r="L14246" s="711"/>
      <c r="Q14246" s="11"/>
      <c r="R14246" s="11"/>
      <c r="S14246" s="11"/>
      <c r="T14246" s="11"/>
    </row>
    <row r="14247" spans="8:20" x14ac:dyDescent="0.35">
      <c r="H14247" s="711"/>
      <c r="I14247" s="711"/>
      <c r="J14247" s="711"/>
      <c r="K14247" s="711"/>
      <c r="L14247" s="711"/>
      <c r="Q14247" s="11"/>
      <c r="R14247" s="11"/>
      <c r="S14247" s="11"/>
      <c r="T14247" s="11"/>
    </row>
    <row r="14248" spans="8:20" x14ac:dyDescent="0.35">
      <c r="H14248" s="711"/>
      <c r="I14248" s="711"/>
      <c r="J14248" s="711"/>
      <c r="K14248" s="711"/>
      <c r="L14248" s="711"/>
      <c r="Q14248" s="11"/>
      <c r="R14248" s="11"/>
      <c r="S14248" s="11"/>
      <c r="T14248" s="11"/>
    </row>
    <row r="14249" spans="8:20" x14ac:dyDescent="0.35">
      <c r="H14249" s="711"/>
      <c r="I14249" s="711"/>
      <c r="J14249" s="711"/>
      <c r="K14249" s="711"/>
      <c r="L14249" s="711"/>
      <c r="Q14249" s="11"/>
      <c r="R14249" s="11"/>
      <c r="S14249" s="11"/>
      <c r="T14249" s="11"/>
    </row>
    <row r="14250" spans="8:20" x14ac:dyDescent="0.35">
      <c r="H14250" s="711"/>
      <c r="I14250" s="711"/>
      <c r="J14250" s="711"/>
      <c r="K14250" s="711"/>
      <c r="L14250" s="711"/>
      <c r="Q14250" s="11"/>
      <c r="R14250" s="11"/>
      <c r="S14250" s="11"/>
      <c r="T14250" s="11"/>
    </row>
    <row r="14251" spans="8:20" x14ac:dyDescent="0.35">
      <c r="H14251" s="711"/>
      <c r="I14251" s="711"/>
      <c r="J14251" s="711"/>
      <c r="K14251" s="711"/>
      <c r="L14251" s="711"/>
      <c r="Q14251" s="11"/>
      <c r="R14251" s="11"/>
      <c r="S14251" s="11"/>
      <c r="T14251" s="11"/>
    </row>
    <row r="14252" spans="8:20" x14ac:dyDescent="0.35">
      <c r="H14252" s="711"/>
      <c r="I14252" s="711"/>
      <c r="J14252" s="711"/>
      <c r="K14252" s="711"/>
      <c r="L14252" s="711"/>
      <c r="Q14252" s="11"/>
      <c r="R14252" s="11"/>
      <c r="S14252" s="11"/>
      <c r="T14252" s="11"/>
    </row>
    <row r="14253" spans="8:20" x14ac:dyDescent="0.35">
      <c r="H14253" s="711"/>
      <c r="I14253" s="711"/>
      <c r="J14253" s="711"/>
      <c r="K14253" s="711"/>
      <c r="L14253" s="711"/>
      <c r="Q14253" s="11"/>
      <c r="R14253" s="11"/>
      <c r="S14253" s="11"/>
      <c r="T14253" s="11"/>
    </row>
    <row r="14254" spans="8:20" x14ac:dyDescent="0.35">
      <c r="H14254" s="711"/>
      <c r="I14254" s="711"/>
      <c r="J14254" s="711"/>
      <c r="K14254" s="711"/>
      <c r="L14254" s="711"/>
      <c r="Q14254" s="11"/>
      <c r="R14254" s="11"/>
      <c r="S14254" s="11"/>
      <c r="T14254" s="11"/>
    </row>
    <row r="14255" spans="8:20" x14ac:dyDescent="0.35">
      <c r="H14255" s="711"/>
      <c r="I14255" s="711"/>
      <c r="J14255" s="711"/>
      <c r="K14255" s="711"/>
      <c r="L14255" s="711"/>
      <c r="Q14255" s="11"/>
      <c r="R14255" s="11"/>
      <c r="S14255" s="11"/>
      <c r="T14255" s="11"/>
    </row>
    <row r="14256" spans="8:20" x14ac:dyDescent="0.35">
      <c r="H14256" s="711"/>
      <c r="I14256" s="711"/>
      <c r="J14256" s="711"/>
      <c r="K14256" s="711"/>
      <c r="L14256" s="711"/>
      <c r="Q14256" s="11"/>
      <c r="R14256" s="11"/>
      <c r="S14256" s="11"/>
      <c r="T14256" s="11"/>
    </row>
    <row r="14257" spans="8:20" x14ac:dyDescent="0.35">
      <c r="H14257" s="711"/>
      <c r="I14257" s="711"/>
      <c r="J14257" s="711"/>
      <c r="K14257" s="711"/>
      <c r="L14257" s="711"/>
      <c r="Q14257" s="11"/>
      <c r="R14257" s="11"/>
      <c r="S14257" s="11"/>
      <c r="T14257" s="11"/>
    </row>
    <row r="14258" spans="8:20" x14ac:dyDescent="0.35">
      <c r="H14258" s="711"/>
      <c r="I14258" s="711"/>
      <c r="J14258" s="711"/>
      <c r="K14258" s="711"/>
      <c r="L14258" s="711"/>
      <c r="Q14258" s="11"/>
      <c r="R14258" s="11"/>
      <c r="S14258" s="11"/>
      <c r="T14258" s="11"/>
    </row>
    <row r="14259" spans="8:20" x14ac:dyDescent="0.35">
      <c r="H14259" s="711"/>
      <c r="I14259" s="711"/>
      <c r="J14259" s="711"/>
      <c r="K14259" s="711"/>
      <c r="L14259" s="711"/>
      <c r="Q14259" s="11"/>
      <c r="R14259" s="11"/>
      <c r="S14259" s="11"/>
      <c r="T14259" s="11"/>
    </row>
    <row r="14260" spans="8:20" x14ac:dyDescent="0.35">
      <c r="H14260" s="711"/>
      <c r="I14260" s="711"/>
      <c r="J14260" s="711"/>
      <c r="K14260" s="711"/>
      <c r="L14260" s="711"/>
      <c r="Q14260" s="11"/>
      <c r="R14260" s="11"/>
      <c r="S14260" s="11"/>
      <c r="T14260" s="11"/>
    </row>
    <row r="14261" spans="8:20" x14ac:dyDescent="0.35">
      <c r="H14261" s="711"/>
      <c r="I14261" s="711"/>
      <c r="J14261" s="711"/>
      <c r="K14261" s="711"/>
      <c r="L14261" s="711"/>
      <c r="Q14261" s="11"/>
      <c r="R14261" s="11"/>
      <c r="S14261" s="11"/>
      <c r="T14261" s="11"/>
    </row>
    <row r="14262" spans="8:20" x14ac:dyDescent="0.35">
      <c r="H14262" s="711"/>
      <c r="I14262" s="711"/>
      <c r="J14262" s="711"/>
      <c r="K14262" s="711"/>
      <c r="L14262" s="711"/>
      <c r="Q14262" s="11"/>
      <c r="R14262" s="11"/>
      <c r="S14262" s="11"/>
      <c r="T14262" s="11"/>
    </row>
    <row r="14263" spans="8:20" x14ac:dyDescent="0.35">
      <c r="H14263" s="711"/>
      <c r="I14263" s="711"/>
      <c r="J14263" s="711"/>
      <c r="K14263" s="711"/>
      <c r="L14263" s="711"/>
      <c r="Q14263" s="11"/>
      <c r="R14263" s="11"/>
      <c r="S14263" s="11"/>
      <c r="T14263" s="11"/>
    </row>
    <row r="14264" spans="8:20" x14ac:dyDescent="0.35">
      <c r="H14264" s="711"/>
      <c r="I14264" s="711"/>
      <c r="J14264" s="711"/>
      <c r="K14264" s="711"/>
      <c r="L14264" s="711"/>
      <c r="Q14264" s="11"/>
      <c r="R14264" s="11"/>
      <c r="S14264" s="11"/>
      <c r="T14264" s="11"/>
    </row>
    <row r="14265" spans="8:20" x14ac:dyDescent="0.35">
      <c r="H14265" s="711"/>
      <c r="I14265" s="711"/>
      <c r="J14265" s="711"/>
      <c r="K14265" s="711"/>
      <c r="L14265" s="711"/>
      <c r="Q14265" s="11"/>
      <c r="R14265" s="11"/>
      <c r="S14265" s="11"/>
      <c r="T14265" s="11"/>
    </row>
    <row r="14266" spans="8:20" x14ac:dyDescent="0.35">
      <c r="H14266" s="711"/>
      <c r="I14266" s="711"/>
      <c r="J14266" s="711"/>
      <c r="K14266" s="711"/>
      <c r="L14266" s="711"/>
      <c r="Q14266" s="11"/>
      <c r="R14266" s="11"/>
      <c r="S14266" s="11"/>
      <c r="T14266" s="11"/>
    </row>
    <row r="14267" spans="8:20" x14ac:dyDescent="0.35">
      <c r="H14267" s="711"/>
      <c r="I14267" s="711"/>
      <c r="J14267" s="711"/>
      <c r="K14267" s="711"/>
      <c r="L14267" s="711"/>
      <c r="Q14267" s="11"/>
      <c r="R14267" s="11"/>
      <c r="S14267" s="11"/>
      <c r="T14267" s="11"/>
    </row>
    <row r="14268" spans="8:20" x14ac:dyDescent="0.35">
      <c r="H14268" s="711"/>
      <c r="I14268" s="711"/>
      <c r="J14268" s="711"/>
      <c r="K14268" s="711"/>
      <c r="L14268" s="711"/>
      <c r="Q14268" s="11"/>
      <c r="R14268" s="11"/>
      <c r="S14268" s="11"/>
      <c r="T14268" s="11"/>
    </row>
    <row r="14269" spans="8:20" x14ac:dyDescent="0.35">
      <c r="H14269" s="711"/>
      <c r="I14269" s="711"/>
      <c r="J14269" s="711"/>
      <c r="K14269" s="711"/>
      <c r="L14269" s="711"/>
      <c r="Q14269" s="11"/>
      <c r="R14269" s="11"/>
      <c r="S14269" s="11"/>
      <c r="T14269" s="11"/>
    </row>
    <row r="14270" spans="8:20" x14ac:dyDescent="0.35">
      <c r="H14270" s="711"/>
      <c r="I14270" s="711"/>
      <c r="J14270" s="711"/>
      <c r="K14270" s="711"/>
      <c r="L14270" s="711"/>
      <c r="Q14270" s="11"/>
      <c r="R14270" s="11"/>
      <c r="S14270" s="11"/>
      <c r="T14270" s="11"/>
    </row>
    <row r="14271" spans="8:20" x14ac:dyDescent="0.35">
      <c r="H14271" s="711"/>
      <c r="I14271" s="711"/>
      <c r="J14271" s="711"/>
      <c r="K14271" s="711"/>
      <c r="L14271" s="711"/>
      <c r="Q14271" s="11"/>
      <c r="R14271" s="11"/>
      <c r="S14271" s="11"/>
      <c r="T14271" s="11"/>
    </row>
    <row r="14272" spans="8:20" x14ac:dyDescent="0.35">
      <c r="H14272" s="711"/>
      <c r="I14272" s="711"/>
      <c r="J14272" s="711"/>
      <c r="K14272" s="711"/>
      <c r="L14272" s="711"/>
      <c r="Q14272" s="11"/>
      <c r="R14272" s="11"/>
      <c r="S14272" s="11"/>
      <c r="T14272" s="11"/>
    </row>
    <row r="14273" spans="8:20" x14ac:dyDescent="0.35">
      <c r="H14273" s="711"/>
      <c r="I14273" s="711"/>
      <c r="J14273" s="711"/>
      <c r="K14273" s="711"/>
      <c r="L14273" s="711"/>
      <c r="Q14273" s="11"/>
      <c r="R14273" s="11"/>
      <c r="S14273" s="11"/>
      <c r="T14273" s="11"/>
    </row>
    <row r="14274" spans="8:20" x14ac:dyDescent="0.35">
      <c r="H14274" s="711"/>
      <c r="I14274" s="711"/>
      <c r="J14274" s="711"/>
      <c r="K14274" s="711"/>
      <c r="L14274" s="711"/>
      <c r="Q14274" s="11"/>
      <c r="R14274" s="11"/>
      <c r="S14274" s="11"/>
      <c r="T14274" s="11"/>
    </row>
    <row r="14275" spans="8:20" x14ac:dyDescent="0.35">
      <c r="H14275" s="711"/>
      <c r="I14275" s="711"/>
      <c r="J14275" s="711"/>
      <c r="K14275" s="711"/>
      <c r="L14275" s="711"/>
      <c r="Q14275" s="11"/>
      <c r="R14275" s="11"/>
      <c r="S14275" s="11"/>
      <c r="T14275" s="11"/>
    </row>
    <row r="14276" spans="8:20" x14ac:dyDescent="0.35">
      <c r="H14276" s="711"/>
      <c r="I14276" s="711"/>
      <c r="J14276" s="711"/>
      <c r="K14276" s="711"/>
      <c r="L14276" s="711"/>
      <c r="Q14276" s="11"/>
      <c r="R14276" s="11"/>
      <c r="S14276" s="11"/>
      <c r="T14276" s="11"/>
    </row>
    <row r="14277" spans="8:20" x14ac:dyDescent="0.35">
      <c r="H14277" s="711"/>
      <c r="I14277" s="711"/>
      <c r="J14277" s="711"/>
      <c r="K14277" s="711"/>
      <c r="L14277" s="711"/>
      <c r="Q14277" s="11"/>
      <c r="R14277" s="11"/>
      <c r="S14277" s="11"/>
      <c r="T14277" s="11"/>
    </row>
    <row r="14278" spans="8:20" x14ac:dyDescent="0.35">
      <c r="H14278" s="711"/>
      <c r="I14278" s="711"/>
      <c r="J14278" s="711"/>
      <c r="K14278" s="711"/>
      <c r="L14278" s="711"/>
      <c r="Q14278" s="11"/>
      <c r="R14278" s="11"/>
      <c r="S14278" s="11"/>
      <c r="T14278" s="11"/>
    </row>
    <row r="14279" spans="8:20" x14ac:dyDescent="0.35">
      <c r="H14279" s="711"/>
      <c r="I14279" s="711"/>
      <c r="J14279" s="711"/>
      <c r="K14279" s="711"/>
      <c r="L14279" s="711"/>
      <c r="Q14279" s="11"/>
      <c r="R14279" s="11"/>
      <c r="S14279" s="11"/>
      <c r="T14279" s="11"/>
    </row>
    <row r="14280" spans="8:20" x14ac:dyDescent="0.35">
      <c r="H14280" s="711"/>
      <c r="I14280" s="711"/>
      <c r="J14280" s="711"/>
      <c r="K14280" s="711"/>
      <c r="L14280" s="711"/>
      <c r="Q14280" s="11"/>
      <c r="R14280" s="11"/>
      <c r="S14280" s="11"/>
      <c r="T14280" s="11"/>
    </row>
    <row r="14281" spans="8:20" x14ac:dyDescent="0.35">
      <c r="H14281" s="711"/>
      <c r="I14281" s="711"/>
      <c r="J14281" s="711"/>
      <c r="K14281" s="711"/>
      <c r="L14281" s="711"/>
      <c r="Q14281" s="11"/>
      <c r="R14281" s="11"/>
      <c r="S14281" s="11"/>
      <c r="T14281" s="11"/>
    </row>
    <row r="14282" spans="8:20" x14ac:dyDescent="0.35">
      <c r="H14282" s="711"/>
      <c r="I14282" s="711"/>
      <c r="J14282" s="711"/>
      <c r="K14282" s="711"/>
      <c r="L14282" s="711"/>
      <c r="Q14282" s="11"/>
      <c r="R14282" s="11"/>
      <c r="S14282" s="11"/>
      <c r="T14282" s="11"/>
    </row>
    <row r="14283" spans="8:20" x14ac:dyDescent="0.35">
      <c r="H14283" s="711"/>
      <c r="I14283" s="711"/>
      <c r="J14283" s="711"/>
      <c r="K14283" s="711"/>
      <c r="L14283" s="711"/>
      <c r="Q14283" s="11"/>
      <c r="R14283" s="11"/>
      <c r="S14283" s="11"/>
      <c r="T14283" s="11"/>
    </row>
    <row r="14284" spans="8:20" x14ac:dyDescent="0.35">
      <c r="H14284" s="711"/>
      <c r="I14284" s="711"/>
      <c r="J14284" s="711"/>
      <c r="K14284" s="711"/>
      <c r="L14284" s="711"/>
      <c r="Q14284" s="11"/>
      <c r="R14284" s="11"/>
      <c r="S14284" s="11"/>
      <c r="T14284" s="11"/>
    </row>
    <row r="14285" spans="8:20" x14ac:dyDescent="0.35">
      <c r="H14285" s="711"/>
      <c r="I14285" s="711"/>
      <c r="J14285" s="711"/>
      <c r="K14285" s="711"/>
      <c r="L14285" s="711"/>
      <c r="Q14285" s="11"/>
      <c r="R14285" s="11"/>
      <c r="S14285" s="11"/>
      <c r="T14285" s="11"/>
    </row>
    <row r="14286" spans="8:20" x14ac:dyDescent="0.35">
      <c r="H14286" s="711"/>
      <c r="I14286" s="711"/>
      <c r="J14286" s="711"/>
      <c r="K14286" s="711"/>
      <c r="L14286" s="711"/>
      <c r="Q14286" s="11"/>
      <c r="R14286" s="11"/>
      <c r="S14286" s="11"/>
      <c r="T14286" s="11"/>
    </row>
    <row r="14287" spans="8:20" x14ac:dyDescent="0.35">
      <c r="H14287" s="711"/>
      <c r="I14287" s="711"/>
      <c r="J14287" s="711"/>
      <c r="K14287" s="711"/>
      <c r="L14287" s="711"/>
      <c r="Q14287" s="11"/>
      <c r="R14287" s="11"/>
      <c r="S14287" s="11"/>
      <c r="T14287" s="11"/>
    </row>
    <row r="14288" spans="8:20" x14ac:dyDescent="0.35">
      <c r="H14288" s="711"/>
      <c r="I14288" s="711"/>
      <c r="J14288" s="711"/>
      <c r="K14288" s="711"/>
      <c r="L14288" s="711"/>
      <c r="Q14288" s="11"/>
      <c r="R14288" s="11"/>
      <c r="S14288" s="11"/>
      <c r="T14288" s="11"/>
    </row>
    <row r="14289" spans="8:20" x14ac:dyDescent="0.35">
      <c r="H14289" s="711"/>
      <c r="I14289" s="711"/>
      <c r="J14289" s="711"/>
      <c r="K14289" s="711"/>
      <c r="L14289" s="711"/>
      <c r="Q14289" s="11"/>
      <c r="R14289" s="11"/>
      <c r="S14289" s="11"/>
      <c r="T14289" s="11"/>
    </row>
    <row r="14290" spans="8:20" x14ac:dyDescent="0.35">
      <c r="H14290" s="711"/>
      <c r="I14290" s="711"/>
      <c r="J14290" s="711"/>
      <c r="K14290" s="711"/>
      <c r="L14290" s="711"/>
      <c r="Q14290" s="11"/>
      <c r="R14290" s="11"/>
      <c r="S14290" s="11"/>
      <c r="T14290" s="11"/>
    </row>
    <row r="14291" spans="8:20" x14ac:dyDescent="0.35">
      <c r="H14291" s="711"/>
      <c r="I14291" s="711"/>
      <c r="J14291" s="711"/>
      <c r="K14291" s="711"/>
      <c r="L14291" s="711"/>
      <c r="Q14291" s="11"/>
      <c r="R14291" s="11"/>
      <c r="S14291" s="11"/>
      <c r="T14291" s="11"/>
    </row>
    <row r="14292" spans="8:20" x14ac:dyDescent="0.35">
      <c r="H14292" s="711"/>
      <c r="I14292" s="711"/>
      <c r="J14292" s="711"/>
      <c r="K14292" s="711"/>
      <c r="L14292" s="711"/>
      <c r="Q14292" s="11"/>
      <c r="R14292" s="11"/>
      <c r="S14292" s="11"/>
      <c r="T14292" s="11"/>
    </row>
    <row r="14293" spans="8:20" x14ac:dyDescent="0.35">
      <c r="H14293" s="711"/>
      <c r="I14293" s="711"/>
      <c r="J14293" s="711"/>
      <c r="K14293" s="711"/>
      <c r="L14293" s="711"/>
      <c r="Q14293" s="11"/>
      <c r="R14293" s="11"/>
      <c r="S14293" s="11"/>
      <c r="T14293" s="11"/>
    </row>
    <row r="14294" spans="8:20" x14ac:dyDescent="0.35">
      <c r="H14294" s="711"/>
      <c r="I14294" s="711"/>
      <c r="J14294" s="711"/>
      <c r="K14294" s="711"/>
      <c r="L14294" s="711"/>
      <c r="Q14294" s="11"/>
      <c r="R14294" s="11"/>
      <c r="S14294" s="11"/>
      <c r="T14294" s="11"/>
    </row>
    <row r="14295" spans="8:20" x14ac:dyDescent="0.35">
      <c r="H14295" s="711"/>
      <c r="I14295" s="711"/>
      <c r="J14295" s="711"/>
      <c r="K14295" s="711"/>
      <c r="L14295" s="711"/>
      <c r="Q14295" s="11"/>
      <c r="R14295" s="11"/>
      <c r="S14295" s="11"/>
      <c r="T14295" s="11"/>
    </row>
    <row r="14296" spans="8:20" x14ac:dyDescent="0.35">
      <c r="H14296" s="711"/>
      <c r="I14296" s="711"/>
      <c r="J14296" s="711"/>
      <c r="K14296" s="711"/>
      <c r="L14296" s="711"/>
      <c r="Q14296" s="11"/>
      <c r="R14296" s="11"/>
      <c r="S14296" s="11"/>
      <c r="T14296" s="11"/>
    </row>
    <row r="14297" spans="8:20" x14ac:dyDescent="0.35">
      <c r="H14297" s="711"/>
      <c r="I14297" s="711"/>
      <c r="J14297" s="711"/>
      <c r="K14297" s="711"/>
      <c r="L14297" s="711"/>
      <c r="Q14297" s="11"/>
      <c r="R14297" s="11"/>
      <c r="S14297" s="11"/>
      <c r="T14297" s="11"/>
    </row>
    <row r="14298" spans="8:20" x14ac:dyDescent="0.35">
      <c r="H14298" s="711"/>
      <c r="I14298" s="711"/>
      <c r="J14298" s="711"/>
      <c r="K14298" s="711"/>
      <c r="L14298" s="711"/>
      <c r="Q14298" s="11"/>
      <c r="R14298" s="11"/>
      <c r="S14298" s="11"/>
      <c r="T14298" s="11"/>
    </row>
    <row r="14299" spans="8:20" x14ac:dyDescent="0.35">
      <c r="H14299" s="711"/>
      <c r="I14299" s="711"/>
      <c r="J14299" s="711"/>
      <c r="K14299" s="711"/>
      <c r="L14299" s="711"/>
      <c r="Q14299" s="11"/>
      <c r="R14299" s="11"/>
      <c r="S14299" s="11"/>
      <c r="T14299" s="11"/>
    </row>
    <row r="14300" spans="8:20" x14ac:dyDescent="0.35">
      <c r="H14300" s="711"/>
      <c r="I14300" s="711"/>
      <c r="J14300" s="711"/>
      <c r="K14300" s="711"/>
      <c r="L14300" s="711"/>
      <c r="Q14300" s="11"/>
      <c r="R14300" s="11"/>
      <c r="S14300" s="11"/>
      <c r="T14300" s="11"/>
    </row>
    <row r="14301" spans="8:20" x14ac:dyDescent="0.35">
      <c r="H14301" s="711"/>
      <c r="I14301" s="711"/>
      <c r="J14301" s="711"/>
      <c r="K14301" s="711"/>
      <c r="L14301" s="711"/>
      <c r="Q14301" s="11"/>
      <c r="R14301" s="11"/>
      <c r="S14301" s="11"/>
      <c r="T14301" s="11"/>
    </row>
    <row r="14302" spans="8:20" x14ac:dyDescent="0.35">
      <c r="H14302" s="711"/>
      <c r="I14302" s="711"/>
      <c r="J14302" s="711"/>
      <c r="K14302" s="711"/>
      <c r="L14302" s="711"/>
      <c r="Q14302" s="11"/>
      <c r="R14302" s="11"/>
      <c r="S14302" s="11"/>
      <c r="T14302" s="11"/>
    </row>
    <row r="14303" spans="8:20" x14ac:dyDescent="0.35">
      <c r="H14303" s="711"/>
      <c r="I14303" s="711"/>
      <c r="J14303" s="711"/>
      <c r="K14303" s="711"/>
      <c r="L14303" s="711"/>
      <c r="Q14303" s="11"/>
      <c r="R14303" s="11"/>
      <c r="S14303" s="11"/>
      <c r="T14303" s="11"/>
    </row>
    <row r="14304" spans="8:20" x14ac:dyDescent="0.35">
      <c r="H14304" s="711"/>
      <c r="I14304" s="711"/>
      <c r="J14304" s="711"/>
      <c r="K14304" s="711"/>
      <c r="L14304" s="711"/>
      <c r="Q14304" s="11"/>
      <c r="R14304" s="11"/>
      <c r="S14304" s="11"/>
      <c r="T14304" s="11"/>
    </row>
    <row r="14305" spans="8:20" x14ac:dyDescent="0.35">
      <c r="H14305" s="711"/>
      <c r="I14305" s="711"/>
      <c r="J14305" s="711"/>
      <c r="K14305" s="711"/>
      <c r="L14305" s="711"/>
      <c r="Q14305" s="11"/>
      <c r="R14305" s="11"/>
      <c r="S14305" s="11"/>
      <c r="T14305" s="11"/>
    </row>
    <row r="14306" spans="8:20" x14ac:dyDescent="0.35">
      <c r="H14306" s="711"/>
      <c r="I14306" s="711"/>
      <c r="J14306" s="711"/>
      <c r="K14306" s="711"/>
      <c r="L14306" s="711"/>
      <c r="Q14306" s="11"/>
      <c r="R14306" s="11"/>
      <c r="S14306" s="11"/>
      <c r="T14306" s="11"/>
    </row>
    <row r="14307" spans="8:20" x14ac:dyDescent="0.35">
      <c r="H14307" s="711"/>
      <c r="I14307" s="711"/>
      <c r="J14307" s="711"/>
      <c r="K14307" s="711"/>
      <c r="L14307" s="711"/>
      <c r="Q14307" s="11"/>
      <c r="R14307" s="11"/>
      <c r="S14307" s="11"/>
      <c r="T14307" s="11"/>
    </row>
    <row r="14308" spans="8:20" x14ac:dyDescent="0.35">
      <c r="H14308" s="711"/>
      <c r="I14308" s="711"/>
      <c r="J14308" s="711"/>
      <c r="K14308" s="711"/>
      <c r="L14308" s="711"/>
      <c r="Q14308" s="11"/>
      <c r="R14308" s="11"/>
      <c r="S14308" s="11"/>
      <c r="T14308" s="11"/>
    </row>
    <row r="14309" spans="8:20" x14ac:dyDescent="0.35">
      <c r="H14309" s="711"/>
      <c r="I14309" s="711"/>
      <c r="J14309" s="711"/>
      <c r="K14309" s="711"/>
      <c r="L14309" s="711"/>
      <c r="Q14309" s="11"/>
      <c r="R14309" s="11"/>
      <c r="S14309" s="11"/>
      <c r="T14309" s="11"/>
    </row>
    <row r="14310" spans="8:20" x14ac:dyDescent="0.35">
      <c r="H14310" s="711"/>
      <c r="I14310" s="711"/>
      <c r="J14310" s="711"/>
      <c r="K14310" s="711"/>
      <c r="L14310" s="711"/>
      <c r="Q14310" s="11"/>
      <c r="R14310" s="11"/>
      <c r="S14310" s="11"/>
      <c r="T14310" s="11"/>
    </row>
    <row r="14311" spans="8:20" x14ac:dyDescent="0.35">
      <c r="H14311" s="711"/>
      <c r="I14311" s="711"/>
      <c r="J14311" s="711"/>
      <c r="K14311" s="711"/>
      <c r="L14311" s="711"/>
      <c r="Q14311" s="11"/>
      <c r="R14311" s="11"/>
      <c r="S14311" s="11"/>
      <c r="T14311" s="11"/>
    </row>
    <row r="14312" spans="8:20" x14ac:dyDescent="0.35">
      <c r="H14312" s="711"/>
      <c r="I14312" s="711"/>
      <c r="J14312" s="711"/>
      <c r="K14312" s="711"/>
      <c r="L14312" s="711"/>
      <c r="Q14312" s="11"/>
      <c r="R14312" s="11"/>
      <c r="S14312" s="11"/>
      <c r="T14312" s="11"/>
    </row>
    <row r="14313" spans="8:20" x14ac:dyDescent="0.35">
      <c r="H14313" s="711"/>
      <c r="I14313" s="711"/>
      <c r="J14313" s="711"/>
      <c r="K14313" s="711"/>
      <c r="L14313" s="711"/>
      <c r="Q14313" s="11"/>
      <c r="R14313" s="11"/>
      <c r="S14313" s="11"/>
      <c r="T14313" s="11"/>
    </row>
    <row r="14314" spans="8:20" x14ac:dyDescent="0.35">
      <c r="H14314" s="711"/>
      <c r="I14314" s="711"/>
      <c r="J14314" s="711"/>
      <c r="K14314" s="711"/>
      <c r="L14314" s="711"/>
      <c r="Q14314" s="11"/>
      <c r="R14314" s="11"/>
      <c r="S14314" s="11"/>
      <c r="T14314" s="11"/>
    </row>
    <row r="14315" spans="8:20" x14ac:dyDescent="0.35">
      <c r="H14315" s="711"/>
      <c r="I14315" s="711"/>
      <c r="J14315" s="711"/>
      <c r="K14315" s="711"/>
      <c r="L14315" s="711"/>
      <c r="Q14315" s="11"/>
      <c r="R14315" s="11"/>
      <c r="S14315" s="11"/>
      <c r="T14315" s="11"/>
    </row>
    <row r="14316" spans="8:20" x14ac:dyDescent="0.35">
      <c r="H14316" s="711"/>
      <c r="I14316" s="711"/>
      <c r="J14316" s="711"/>
      <c r="K14316" s="711"/>
      <c r="L14316" s="711"/>
      <c r="Q14316" s="11"/>
      <c r="R14316" s="11"/>
      <c r="S14316" s="11"/>
      <c r="T14316" s="11"/>
    </row>
    <row r="14317" spans="8:20" x14ac:dyDescent="0.35">
      <c r="H14317" s="711"/>
      <c r="I14317" s="711"/>
      <c r="J14317" s="711"/>
      <c r="K14317" s="711"/>
      <c r="L14317" s="711"/>
      <c r="Q14317" s="11"/>
      <c r="R14317" s="11"/>
      <c r="S14317" s="11"/>
      <c r="T14317" s="11"/>
    </row>
    <row r="14318" spans="8:20" x14ac:dyDescent="0.35">
      <c r="H14318" s="711"/>
      <c r="I14318" s="711"/>
      <c r="J14318" s="711"/>
      <c r="K14318" s="711"/>
      <c r="L14318" s="711"/>
      <c r="Q14318" s="11"/>
      <c r="R14318" s="11"/>
      <c r="S14318" s="11"/>
      <c r="T14318" s="11"/>
    </row>
    <row r="14319" spans="8:20" x14ac:dyDescent="0.35">
      <c r="H14319" s="711"/>
      <c r="I14319" s="711"/>
      <c r="J14319" s="711"/>
      <c r="K14319" s="711"/>
      <c r="L14319" s="711"/>
      <c r="Q14319" s="11"/>
      <c r="R14319" s="11"/>
      <c r="S14319" s="11"/>
      <c r="T14319" s="11"/>
    </row>
    <row r="14320" spans="8:20" x14ac:dyDescent="0.35">
      <c r="H14320" s="711"/>
      <c r="I14320" s="711"/>
      <c r="J14320" s="711"/>
      <c r="K14320" s="711"/>
      <c r="L14320" s="711"/>
      <c r="Q14320" s="11"/>
      <c r="R14320" s="11"/>
      <c r="S14320" s="11"/>
      <c r="T14320" s="11"/>
    </row>
    <row r="14321" spans="8:20" x14ac:dyDescent="0.35">
      <c r="H14321" s="711"/>
      <c r="I14321" s="711"/>
      <c r="J14321" s="711"/>
      <c r="K14321" s="711"/>
      <c r="L14321" s="711"/>
      <c r="Q14321" s="11"/>
      <c r="R14321" s="11"/>
      <c r="S14321" s="11"/>
      <c r="T14321" s="11"/>
    </row>
    <row r="14322" spans="8:20" x14ac:dyDescent="0.35">
      <c r="H14322" s="711"/>
      <c r="I14322" s="711"/>
      <c r="J14322" s="711"/>
      <c r="K14322" s="711"/>
      <c r="L14322" s="711"/>
      <c r="Q14322" s="11"/>
      <c r="R14322" s="11"/>
      <c r="S14322" s="11"/>
      <c r="T14322" s="11"/>
    </row>
    <row r="14323" spans="8:20" x14ac:dyDescent="0.35">
      <c r="H14323" s="711"/>
      <c r="I14323" s="711"/>
      <c r="J14323" s="711"/>
      <c r="K14323" s="711"/>
      <c r="L14323" s="711"/>
      <c r="Q14323" s="11"/>
      <c r="R14323" s="11"/>
      <c r="S14323" s="11"/>
      <c r="T14323" s="11"/>
    </row>
    <row r="14324" spans="8:20" x14ac:dyDescent="0.35">
      <c r="H14324" s="711"/>
      <c r="I14324" s="711"/>
      <c r="J14324" s="711"/>
      <c r="K14324" s="711"/>
      <c r="L14324" s="711"/>
      <c r="Q14324" s="11"/>
      <c r="R14324" s="11"/>
      <c r="S14324" s="11"/>
      <c r="T14324" s="11"/>
    </row>
    <row r="14325" spans="8:20" x14ac:dyDescent="0.35">
      <c r="H14325" s="711"/>
      <c r="I14325" s="711"/>
      <c r="J14325" s="711"/>
      <c r="K14325" s="711"/>
      <c r="L14325" s="711"/>
      <c r="Q14325" s="11"/>
      <c r="R14325" s="11"/>
      <c r="S14325" s="11"/>
      <c r="T14325" s="11"/>
    </row>
    <row r="14326" spans="8:20" x14ac:dyDescent="0.35">
      <c r="H14326" s="711"/>
      <c r="I14326" s="711"/>
      <c r="J14326" s="711"/>
      <c r="K14326" s="711"/>
      <c r="L14326" s="711"/>
      <c r="Q14326" s="11"/>
      <c r="R14326" s="11"/>
      <c r="S14326" s="11"/>
      <c r="T14326" s="11"/>
    </row>
    <row r="14327" spans="8:20" x14ac:dyDescent="0.35">
      <c r="H14327" s="711"/>
      <c r="I14327" s="711"/>
      <c r="J14327" s="711"/>
      <c r="K14327" s="711"/>
      <c r="L14327" s="711"/>
      <c r="Q14327" s="11"/>
      <c r="R14327" s="11"/>
      <c r="S14327" s="11"/>
      <c r="T14327" s="11"/>
    </row>
    <row r="14328" spans="8:20" x14ac:dyDescent="0.35">
      <c r="H14328" s="711"/>
      <c r="I14328" s="711"/>
      <c r="J14328" s="711"/>
      <c r="K14328" s="711"/>
      <c r="L14328" s="711"/>
      <c r="Q14328" s="11"/>
      <c r="R14328" s="11"/>
      <c r="S14328" s="11"/>
      <c r="T14328" s="11"/>
    </row>
    <row r="14329" spans="8:20" x14ac:dyDescent="0.35">
      <c r="H14329" s="711"/>
      <c r="I14329" s="711"/>
      <c r="J14329" s="711"/>
      <c r="K14329" s="711"/>
      <c r="L14329" s="711"/>
      <c r="Q14329" s="11"/>
      <c r="R14329" s="11"/>
      <c r="S14329" s="11"/>
      <c r="T14329" s="11"/>
    </row>
    <row r="14330" spans="8:20" x14ac:dyDescent="0.35">
      <c r="H14330" s="711"/>
      <c r="I14330" s="711"/>
      <c r="J14330" s="711"/>
      <c r="K14330" s="711"/>
      <c r="L14330" s="711"/>
      <c r="Q14330" s="11"/>
      <c r="R14330" s="11"/>
      <c r="S14330" s="11"/>
      <c r="T14330" s="11"/>
    </row>
    <row r="14331" spans="8:20" x14ac:dyDescent="0.35">
      <c r="H14331" s="711"/>
      <c r="I14331" s="711"/>
      <c r="J14331" s="711"/>
      <c r="K14331" s="711"/>
      <c r="L14331" s="711"/>
      <c r="Q14331" s="11"/>
      <c r="R14331" s="11"/>
      <c r="S14331" s="11"/>
      <c r="T14331" s="11"/>
    </row>
    <row r="14332" spans="8:20" x14ac:dyDescent="0.35">
      <c r="H14332" s="711"/>
      <c r="I14332" s="711"/>
      <c r="J14332" s="711"/>
      <c r="K14332" s="711"/>
      <c r="L14332" s="711"/>
      <c r="Q14332" s="11"/>
      <c r="R14332" s="11"/>
      <c r="S14332" s="11"/>
      <c r="T14332" s="11"/>
    </row>
    <row r="14333" spans="8:20" x14ac:dyDescent="0.35">
      <c r="H14333" s="711"/>
      <c r="I14333" s="711"/>
      <c r="J14333" s="711"/>
      <c r="K14333" s="711"/>
      <c r="L14333" s="711"/>
      <c r="Q14333" s="11"/>
      <c r="R14333" s="11"/>
      <c r="S14333" s="11"/>
      <c r="T14333" s="11"/>
    </row>
    <row r="14334" spans="8:20" x14ac:dyDescent="0.35">
      <c r="H14334" s="711"/>
      <c r="I14334" s="711"/>
      <c r="J14334" s="711"/>
      <c r="K14334" s="711"/>
      <c r="L14334" s="711"/>
      <c r="Q14334" s="11"/>
      <c r="R14334" s="11"/>
      <c r="S14334" s="11"/>
      <c r="T14334" s="11"/>
    </row>
    <row r="14335" spans="8:20" x14ac:dyDescent="0.35">
      <c r="H14335" s="711"/>
      <c r="I14335" s="711"/>
      <c r="J14335" s="711"/>
      <c r="K14335" s="711"/>
      <c r="L14335" s="711"/>
      <c r="Q14335" s="11"/>
      <c r="R14335" s="11"/>
      <c r="S14335" s="11"/>
      <c r="T14335" s="11"/>
    </row>
    <row r="14336" spans="8:20" x14ac:dyDescent="0.35">
      <c r="H14336" s="711"/>
      <c r="I14336" s="711"/>
      <c r="J14336" s="711"/>
      <c r="K14336" s="711"/>
      <c r="L14336" s="711"/>
      <c r="Q14336" s="11"/>
      <c r="R14336" s="11"/>
      <c r="S14336" s="11"/>
      <c r="T14336" s="11"/>
    </row>
    <row r="14337" spans="8:20" x14ac:dyDescent="0.35">
      <c r="H14337" s="711"/>
      <c r="I14337" s="711"/>
      <c r="J14337" s="711"/>
      <c r="K14337" s="711"/>
      <c r="L14337" s="711"/>
      <c r="Q14337" s="11"/>
      <c r="R14337" s="11"/>
      <c r="S14337" s="11"/>
      <c r="T14337" s="11"/>
    </row>
    <row r="14338" spans="8:20" x14ac:dyDescent="0.35">
      <c r="H14338" s="711"/>
      <c r="I14338" s="711"/>
      <c r="J14338" s="711"/>
      <c r="K14338" s="711"/>
      <c r="L14338" s="711"/>
      <c r="Q14338" s="11"/>
      <c r="R14338" s="11"/>
      <c r="S14338" s="11"/>
      <c r="T14338" s="11"/>
    </row>
    <row r="14339" spans="8:20" x14ac:dyDescent="0.35">
      <c r="H14339" s="711"/>
      <c r="I14339" s="711"/>
      <c r="J14339" s="711"/>
      <c r="K14339" s="711"/>
      <c r="L14339" s="711"/>
      <c r="Q14339" s="11"/>
      <c r="R14339" s="11"/>
      <c r="S14339" s="11"/>
      <c r="T14339" s="11"/>
    </row>
    <row r="14340" spans="8:20" x14ac:dyDescent="0.35">
      <c r="H14340" s="711"/>
      <c r="I14340" s="711"/>
      <c r="J14340" s="711"/>
      <c r="K14340" s="711"/>
      <c r="L14340" s="711"/>
      <c r="Q14340" s="11"/>
      <c r="R14340" s="11"/>
      <c r="S14340" s="11"/>
      <c r="T14340" s="11"/>
    </row>
    <row r="14341" spans="8:20" x14ac:dyDescent="0.35">
      <c r="H14341" s="711"/>
      <c r="I14341" s="711"/>
      <c r="J14341" s="711"/>
      <c r="K14341" s="711"/>
      <c r="L14341" s="711"/>
      <c r="Q14341" s="11"/>
      <c r="R14341" s="11"/>
      <c r="S14341" s="11"/>
      <c r="T14341" s="11"/>
    </row>
    <row r="14342" spans="8:20" x14ac:dyDescent="0.35">
      <c r="H14342" s="711"/>
      <c r="I14342" s="711"/>
      <c r="J14342" s="711"/>
      <c r="K14342" s="711"/>
      <c r="L14342" s="711"/>
      <c r="Q14342" s="11"/>
      <c r="R14342" s="11"/>
      <c r="S14342" s="11"/>
      <c r="T14342" s="11"/>
    </row>
    <row r="14343" spans="8:20" x14ac:dyDescent="0.35">
      <c r="H14343" s="711"/>
      <c r="I14343" s="711"/>
      <c r="J14343" s="711"/>
      <c r="K14343" s="711"/>
      <c r="L14343" s="711"/>
      <c r="Q14343" s="11"/>
      <c r="R14343" s="11"/>
      <c r="S14343" s="11"/>
      <c r="T14343" s="11"/>
    </row>
    <row r="14344" spans="8:20" x14ac:dyDescent="0.35">
      <c r="H14344" s="711"/>
      <c r="I14344" s="711"/>
      <c r="J14344" s="711"/>
      <c r="K14344" s="711"/>
      <c r="L14344" s="711"/>
      <c r="Q14344" s="11"/>
      <c r="R14344" s="11"/>
      <c r="S14344" s="11"/>
      <c r="T14344" s="11"/>
    </row>
    <row r="14345" spans="8:20" x14ac:dyDescent="0.35">
      <c r="H14345" s="711"/>
      <c r="I14345" s="711"/>
      <c r="J14345" s="711"/>
      <c r="K14345" s="711"/>
      <c r="L14345" s="711"/>
      <c r="Q14345" s="11"/>
      <c r="R14345" s="11"/>
      <c r="S14345" s="11"/>
      <c r="T14345" s="11"/>
    </row>
    <row r="14346" spans="8:20" x14ac:dyDescent="0.35">
      <c r="H14346" s="711"/>
      <c r="I14346" s="711"/>
      <c r="J14346" s="711"/>
      <c r="K14346" s="711"/>
      <c r="L14346" s="711"/>
      <c r="Q14346" s="11"/>
      <c r="R14346" s="11"/>
      <c r="S14346" s="11"/>
      <c r="T14346" s="11"/>
    </row>
    <row r="14347" spans="8:20" x14ac:dyDescent="0.35">
      <c r="H14347" s="711"/>
      <c r="I14347" s="711"/>
      <c r="J14347" s="711"/>
      <c r="K14347" s="711"/>
      <c r="L14347" s="711"/>
      <c r="Q14347" s="11"/>
      <c r="R14347" s="11"/>
      <c r="S14347" s="11"/>
      <c r="T14347" s="11"/>
    </row>
    <row r="14348" spans="8:20" x14ac:dyDescent="0.35">
      <c r="H14348" s="711"/>
      <c r="I14348" s="711"/>
      <c r="J14348" s="711"/>
      <c r="K14348" s="711"/>
      <c r="L14348" s="711"/>
      <c r="Q14348" s="11"/>
      <c r="R14348" s="11"/>
      <c r="S14348" s="11"/>
      <c r="T14348" s="11"/>
    </row>
    <row r="14349" spans="8:20" x14ac:dyDescent="0.35">
      <c r="H14349" s="711"/>
      <c r="I14349" s="711"/>
      <c r="J14349" s="711"/>
      <c r="K14349" s="711"/>
      <c r="L14349" s="711"/>
      <c r="Q14349" s="11"/>
      <c r="R14349" s="11"/>
      <c r="S14349" s="11"/>
      <c r="T14349" s="11"/>
    </row>
    <row r="14350" spans="8:20" x14ac:dyDescent="0.35">
      <c r="H14350" s="711"/>
      <c r="I14350" s="711"/>
      <c r="J14350" s="711"/>
      <c r="K14350" s="711"/>
      <c r="L14350" s="711"/>
      <c r="Q14350" s="11"/>
      <c r="R14350" s="11"/>
      <c r="S14350" s="11"/>
      <c r="T14350" s="11"/>
    </row>
    <row r="14351" spans="8:20" x14ac:dyDescent="0.35">
      <c r="H14351" s="711"/>
      <c r="I14351" s="711"/>
      <c r="J14351" s="711"/>
      <c r="K14351" s="711"/>
      <c r="L14351" s="711"/>
      <c r="Q14351" s="11"/>
      <c r="R14351" s="11"/>
      <c r="S14351" s="11"/>
      <c r="T14351" s="11"/>
    </row>
    <row r="14352" spans="8:20" x14ac:dyDescent="0.35">
      <c r="H14352" s="711"/>
      <c r="I14352" s="711"/>
      <c r="J14352" s="711"/>
      <c r="K14352" s="711"/>
      <c r="L14352" s="711"/>
      <c r="Q14352" s="11"/>
      <c r="R14352" s="11"/>
      <c r="S14352" s="11"/>
      <c r="T14352" s="11"/>
    </row>
    <row r="14353" spans="8:20" x14ac:dyDescent="0.35">
      <c r="H14353" s="711"/>
      <c r="I14353" s="711"/>
      <c r="J14353" s="711"/>
      <c r="K14353" s="711"/>
      <c r="L14353" s="711"/>
      <c r="Q14353" s="11"/>
      <c r="R14353" s="11"/>
      <c r="S14353" s="11"/>
      <c r="T14353" s="11"/>
    </row>
    <row r="14354" spans="8:20" x14ac:dyDescent="0.35">
      <c r="H14354" s="711"/>
      <c r="I14354" s="711"/>
      <c r="J14354" s="711"/>
      <c r="K14354" s="711"/>
      <c r="L14354" s="711"/>
      <c r="Q14354" s="11"/>
      <c r="R14354" s="11"/>
      <c r="S14354" s="11"/>
      <c r="T14354" s="11"/>
    </row>
    <row r="14355" spans="8:20" x14ac:dyDescent="0.35">
      <c r="H14355" s="711"/>
      <c r="I14355" s="711"/>
      <c r="J14355" s="711"/>
      <c r="K14355" s="711"/>
      <c r="L14355" s="711"/>
      <c r="Q14355" s="11"/>
      <c r="R14355" s="11"/>
      <c r="S14355" s="11"/>
      <c r="T14355" s="11"/>
    </row>
    <row r="14356" spans="8:20" x14ac:dyDescent="0.35">
      <c r="H14356" s="711"/>
      <c r="I14356" s="711"/>
      <c r="J14356" s="711"/>
      <c r="K14356" s="711"/>
      <c r="L14356" s="711"/>
      <c r="Q14356" s="11"/>
      <c r="R14356" s="11"/>
      <c r="S14356" s="11"/>
      <c r="T14356" s="11"/>
    </row>
    <row r="14357" spans="8:20" x14ac:dyDescent="0.35">
      <c r="H14357" s="711"/>
      <c r="I14357" s="711"/>
      <c r="J14357" s="711"/>
      <c r="K14357" s="711"/>
      <c r="L14357" s="711"/>
      <c r="Q14357" s="11"/>
      <c r="R14357" s="11"/>
      <c r="S14357" s="11"/>
      <c r="T14357" s="11"/>
    </row>
    <row r="14358" spans="8:20" x14ac:dyDescent="0.35">
      <c r="H14358" s="711"/>
      <c r="I14358" s="711"/>
      <c r="J14358" s="711"/>
      <c r="K14358" s="711"/>
      <c r="L14358" s="711"/>
      <c r="Q14358" s="11"/>
      <c r="R14358" s="11"/>
      <c r="S14358" s="11"/>
      <c r="T14358" s="11"/>
    </row>
    <row r="14359" spans="8:20" x14ac:dyDescent="0.35">
      <c r="H14359" s="711"/>
      <c r="I14359" s="711"/>
      <c r="J14359" s="711"/>
      <c r="K14359" s="711"/>
      <c r="L14359" s="711"/>
      <c r="Q14359" s="11"/>
      <c r="R14359" s="11"/>
      <c r="S14359" s="11"/>
      <c r="T14359" s="11"/>
    </row>
    <row r="14360" spans="8:20" x14ac:dyDescent="0.35">
      <c r="H14360" s="711"/>
      <c r="I14360" s="711"/>
      <c r="J14360" s="711"/>
      <c r="K14360" s="711"/>
      <c r="L14360" s="711"/>
      <c r="Q14360" s="11"/>
      <c r="R14360" s="11"/>
      <c r="S14360" s="11"/>
      <c r="T14360" s="11"/>
    </row>
    <row r="14361" spans="8:20" x14ac:dyDescent="0.35">
      <c r="H14361" s="711"/>
      <c r="I14361" s="711"/>
      <c r="J14361" s="711"/>
      <c r="K14361" s="711"/>
      <c r="L14361" s="711"/>
      <c r="Q14361" s="11"/>
      <c r="R14361" s="11"/>
      <c r="S14361" s="11"/>
      <c r="T14361" s="11"/>
    </row>
    <row r="14362" spans="8:20" x14ac:dyDescent="0.35">
      <c r="H14362" s="711"/>
      <c r="I14362" s="711"/>
      <c r="J14362" s="711"/>
      <c r="K14362" s="711"/>
      <c r="L14362" s="711"/>
      <c r="Q14362" s="11"/>
      <c r="R14362" s="11"/>
      <c r="S14362" s="11"/>
      <c r="T14362" s="11"/>
    </row>
    <row r="14363" spans="8:20" x14ac:dyDescent="0.35">
      <c r="H14363" s="711"/>
      <c r="I14363" s="711"/>
      <c r="J14363" s="711"/>
      <c r="K14363" s="711"/>
      <c r="L14363" s="711"/>
      <c r="Q14363" s="11"/>
      <c r="R14363" s="11"/>
      <c r="S14363" s="11"/>
      <c r="T14363" s="11"/>
    </row>
    <row r="14364" spans="8:20" x14ac:dyDescent="0.35">
      <c r="H14364" s="711"/>
      <c r="I14364" s="711"/>
      <c r="J14364" s="711"/>
      <c r="K14364" s="711"/>
      <c r="L14364" s="711"/>
      <c r="Q14364" s="11"/>
      <c r="R14364" s="11"/>
      <c r="S14364" s="11"/>
      <c r="T14364" s="11"/>
    </row>
    <row r="14365" spans="8:20" x14ac:dyDescent="0.35">
      <c r="H14365" s="711"/>
      <c r="I14365" s="711"/>
      <c r="J14365" s="711"/>
      <c r="K14365" s="711"/>
      <c r="L14365" s="711"/>
      <c r="Q14365" s="11"/>
      <c r="R14365" s="11"/>
      <c r="S14365" s="11"/>
      <c r="T14365" s="11"/>
    </row>
    <row r="14366" spans="8:20" x14ac:dyDescent="0.35">
      <c r="H14366" s="711"/>
      <c r="I14366" s="711"/>
      <c r="J14366" s="711"/>
      <c r="K14366" s="711"/>
      <c r="L14366" s="711"/>
      <c r="Q14366" s="11"/>
      <c r="R14366" s="11"/>
      <c r="S14366" s="11"/>
      <c r="T14366" s="11"/>
    </row>
    <row r="14367" spans="8:20" x14ac:dyDescent="0.35">
      <c r="H14367" s="711"/>
      <c r="I14367" s="711"/>
      <c r="J14367" s="711"/>
      <c r="K14367" s="711"/>
      <c r="L14367" s="711"/>
      <c r="Q14367" s="11"/>
      <c r="R14367" s="11"/>
      <c r="S14367" s="11"/>
      <c r="T14367" s="11"/>
    </row>
    <row r="14368" spans="8:20" x14ac:dyDescent="0.35">
      <c r="H14368" s="711"/>
      <c r="I14368" s="711"/>
      <c r="J14368" s="711"/>
      <c r="K14368" s="711"/>
      <c r="L14368" s="711"/>
      <c r="Q14368" s="11"/>
      <c r="R14368" s="11"/>
      <c r="S14368" s="11"/>
      <c r="T14368" s="11"/>
    </row>
    <row r="14369" spans="8:20" x14ac:dyDescent="0.35">
      <c r="H14369" s="711"/>
      <c r="I14369" s="711"/>
      <c r="J14369" s="711"/>
      <c r="K14369" s="711"/>
      <c r="L14369" s="711"/>
      <c r="Q14369" s="11"/>
      <c r="R14369" s="11"/>
      <c r="S14369" s="11"/>
      <c r="T14369" s="11"/>
    </row>
    <row r="14370" spans="8:20" x14ac:dyDescent="0.35">
      <c r="H14370" s="711"/>
      <c r="I14370" s="711"/>
      <c r="J14370" s="711"/>
      <c r="K14370" s="711"/>
      <c r="L14370" s="711"/>
      <c r="Q14370" s="11"/>
      <c r="R14370" s="11"/>
      <c r="S14370" s="11"/>
      <c r="T14370" s="11"/>
    </row>
    <row r="14371" spans="8:20" x14ac:dyDescent="0.35">
      <c r="H14371" s="711"/>
      <c r="I14371" s="711"/>
      <c r="J14371" s="711"/>
      <c r="K14371" s="711"/>
      <c r="L14371" s="711"/>
      <c r="Q14371" s="11"/>
      <c r="R14371" s="11"/>
      <c r="S14371" s="11"/>
      <c r="T14371" s="11"/>
    </row>
    <row r="14372" spans="8:20" x14ac:dyDescent="0.35">
      <c r="H14372" s="711"/>
      <c r="I14372" s="711"/>
      <c r="J14372" s="711"/>
      <c r="K14372" s="711"/>
      <c r="L14372" s="711"/>
      <c r="Q14372" s="11"/>
      <c r="R14372" s="11"/>
      <c r="S14372" s="11"/>
      <c r="T14372" s="11"/>
    </row>
    <row r="14373" spans="8:20" x14ac:dyDescent="0.35">
      <c r="H14373" s="711"/>
      <c r="I14373" s="711"/>
      <c r="J14373" s="711"/>
      <c r="K14373" s="711"/>
      <c r="L14373" s="711"/>
      <c r="Q14373" s="11"/>
      <c r="R14373" s="11"/>
      <c r="S14373" s="11"/>
      <c r="T14373" s="11"/>
    </row>
    <row r="14374" spans="8:20" x14ac:dyDescent="0.35">
      <c r="H14374" s="711"/>
      <c r="I14374" s="711"/>
      <c r="J14374" s="711"/>
      <c r="K14374" s="711"/>
      <c r="L14374" s="711"/>
      <c r="Q14374" s="11"/>
      <c r="R14374" s="11"/>
      <c r="S14374" s="11"/>
      <c r="T14374" s="11"/>
    </row>
    <row r="14375" spans="8:20" x14ac:dyDescent="0.35">
      <c r="H14375" s="711"/>
      <c r="I14375" s="711"/>
      <c r="J14375" s="711"/>
      <c r="K14375" s="711"/>
      <c r="L14375" s="711"/>
      <c r="Q14375" s="11"/>
      <c r="R14375" s="11"/>
      <c r="S14375" s="11"/>
      <c r="T14375" s="11"/>
    </row>
    <row r="14376" spans="8:20" x14ac:dyDescent="0.35">
      <c r="H14376" s="711"/>
      <c r="I14376" s="711"/>
      <c r="J14376" s="711"/>
      <c r="K14376" s="711"/>
      <c r="L14376" s="711"/>
      <c r="Q14376" s="11"/>
      <c r="R14376" s="11"/>
      <c r="S14376" s="11"/>
      <c r="T14376" s="11"/>
    </row>
    <row r="14377" spans="8:20" x14ac:dyDescent="0.35">
      <c r="H14377" s="711"/>
      <c r="I14377" s="711"/>
      <c r="J14377" s="711"/>
      <c r="K14377" s="711"/>
      <c r="L14377" s="711"/>
      <c r="Q14377" s="11"/>
      <c r="R14377" s="11"/>
      <c r="S14377" s="11"/>
      <c r="T14377" s="11"/>
    </row>
    <row r="14378" spans="8:20" x14ac:dyDescent="0.35">
      <c r="H14378" s="711"/>
      <c r="I14378" s="711"/>
      <c r="J14378" s="711"/>
      <c r="K14378" s="711"/>
      <c r="L14378" s="711"/>
      <c r="Q14378" s="11"/>
      <c r="R14378" s="11"/>
      <c r="S14378" s="11"/>
      <c r="T14378" s="11"/>
    </row>
    <row r="14379" spans="8:20" x14ac:dyDescent="0.35">
      <c r="H14379" s="711"/>
      <c r="I14379" s="711"/>
      <c r="J14379" s="711"/>
      <c r="K14379" s="711"/>
      <c r="L14379" s="711"/>
      <c r="Q14379" s="11"/>
      <c r="R14379" s="11"/>
      <c r="S14379" s="11"/>
      <c r="T14379" s="11"/>
    </row>
    <row r="14380" spans="8:20" x14ac:dyDescent="0.35">
      <c r="H14380" s="711"/>
      <c r="I14380" s="711"/>
      <c r="J14380" s="711"/>
      <c r="K14380" s="711"/>
      <c r="L14380" s="711"/>
      <c r="Q14380" s="11"/>
      <c r="R14380" s="11"/>
      <c r="S14380" s="11"/>
      <c r="T14380" s="11"/>
    </row>
    <row r="14381" spans="8:20" x14ac:dyDescent="0.35">
      <c r="H14381" s="711"/>
      <c r="I14381" s="711"/>
      <c r="J14381" s="711"/>
      <c r="K14381" s="711"/>
      <c r="L14381" s="711"/>
      <c r="Q14381" s="11"/>
      <c r="R14381" s="11"/>
      <c r="S14381" s="11"/>
      <c r="T14381" s="11"/>
    </row>
    <row r="14382" spans="8:20" x14ac:dyDescent="0.35">
      <c r="H14382" s="711"/>
      <c r="I14382" s="711"/>
      <c r="J14382" s="711"/>
      <c r="K14382" s="711"/>
      <c r="L14382" s="711"/>
      <c r="Q14382" s="11"/>
      <c r="R14382" s="11"/>
      <c r="S14382" s="11"/>
      <c r="T14382" s="11"/>
    </row>
    <row r="14383" spans="8:20" x14ac:dyDescent="0.35">
      <c r="H14383" s="711"/>
      <c r="I14383" s="711"/>
      <c r="J14383" s="711"/>
      <c r="K14383" s="711"/>
      <c r="L14383" s="711"/>
      <c r="Q14383" s="11"/>
      <c r="R14383" s="11"/>
      <c r="S14383" s="11"/>
      <c r="T14383" s="11"/>
    </row>
    <row r="14384" spans="8:20" x14ac:dyDescent="0.35">
      <c r="H14384" s="711"/>
      <c r="I14384" s="711"/>
      <c r="J14384" s="711"/>
      <c r="K14384" s="711"/>
      <c r="L14384" s="711"/>
      <c r="Q14384" s="11"/>
      <c r="R14384" s="11"/>
      <c r="S14384" s="11"/>
      <c r="T14384" s="11"/>
    </row>
    <row r="14385" spans="8:20" x14ac:dyDescent="0.35">
      <c r="H14385" s="711"/>
      <c r="I14385" s="711"/>
      <c r="J14385" s="711"/>
      <c r="K14385" s="711"/>
      <c r="L14385" s="711"/>
      <c r="Q14385" s="11"/>
      <c r="R14385" s="11"/>
      <c r="S14385" s="11"/>
      <c r="T14385" s="11"/>
    </row>
    <row r="14386" spans="8:20" x14ac:dyDescent="0.35">
      <c r="H14386" s="711"/>
      <c r="I14386" s="711"/>
      <c r="J14386" s="711"/>
      <c r="K14386" s="711"/>
      <c r="L14386" s="711"/>
      <c r="Q14386" s="11"/>
      <c r="R14386" s="11"/>
      <c r="S14386" s="11"/>
      <c r="T14386" s="11"/>
    </row>
    <row r="14387" spans="8:20" x14ac:dyDescent="0.35">
      <c r="H14387" s="711"/>
      <c r="I14387" s="711"/>
      <c r="J14387" s="711"/>
      <c r="K14387" s="711"/>
      <c r="L14387" s="711"/>
      <c r="Q14387" s="11"/>
      <c r="R14387" s="11"/>
      <c r="S14387" s="11"/>
      <c r="T14387" s="11"/>
    </row>
    <row r="14388" spans="8:20" x14ac:dyDescent="0.35">
      <c r="H14388" s="711"/>
      <c r="I14388" s="711"/>
      <c r="J14388" s="711"/>
      <c r="K14388" s="711"/>
      <c r="L14388" s="711"/>
      <c r="Q14388" s="11"/>
      <c r="R14388" s="11"/>
      <c r="S14388" s="11"/>
      <c r="T14388" s="11"/>
    </row>
    <row r="14389" spans="8:20" x14ac:dyDescent="0.35">
      <c r="H14389" s="711"/>
      <c r="I14389" s="711"/>
      <c r="J14389" s="711"/>
      <c r="K14389" s="711"/>
      <c r="L14389" s="711"/>
      <c r="Q14389" s="11"/>
      <c r="R14389" s="11"/>
      <c r="S14389" s="11"/>
      <c r="T14389" s="11"/>
    </row>
    <row r="14390" spans="8:20" x14ac:dyDescent="0.35">
      <c r="H14390" s="711"/>
      <c r="I14390" s="711"/>
      <c r="J14390" s="711"/>
      <c r="K14390" s="711"/>
      <c r="L14390" s="711"/>
      <c r="Q14390" s="11"/>
      <c r="R14390" s="11"/>
      <c r="S14390" s="11"/>
      <c r="T14390" s="11"/>
    </row>
    <row r="14391" spans="8:20" x14ac:dyDescent="0.35">
      <c r="H14391" s="711"/>
      <c r="I14391" s="711"/>
      <c r="J14391" s="711"/>
      <c r="K14391" s="711"/>
      <c r="L14391" s="711"/>
      <c r="Q14391" s="11"/>
      <c r="R14391" s="11"/>
      <c r="S14391" s="11"/>
      <c r="T14391" s="11"/>
    </row>
    <row r="14392" spans="8:20" x14ac:dyDescent="0.35">
      <c r="H14392" s="711"/>
      <c r="I14392" s="711"/>
      <c r="J14392" s="711"/>
      <c r="K14392" s="711"/>
      <c r="L14392" s="711"/>
      <c r="Q14392" s="11"/>
      <c r="R14392" s="11"/>
      <c r="S14392" s="11"/>
      <c r="T14392" s="11"/>
    </row>
    <row r="14393" spans="8:20" x14ac:dyDescent="0.35">
      <c r="H14393" s="711"/>
      <c r="I14393" s="711"/>
      <c r="J14393" s="711"/>
      <c r="K14393" s="711"/>
      <c r="L14393" s="711"/>
      <c r="Q14393" s="11"/>
      <c r="R14393" s="11"/>
      <c r="S14393" s="11"/>
      <c r="T14393" s="11"/>
    </row>
    <row r="14394" spans="8:20" x14ac:dyDescent="0.35">
      <c r="H14394" s="711"/>
      <c r="I14394" s="711"/>
      <c r="J14394" s="711"/>
      <c r="K14394" s="711"/>
      <c r="L14394" s="711"/>
      <c r="Q14394" s="11"/>
      <c r="R14394" s="11"/>
      <c r="S14394" s="11"/>
      <c r="T14394" s="11"/>
    </row>
    <row r="14395" spans="8:20" x14ac:dyDescent="0.35">
      <c r="H14395" s="711"/>
      <c r="I14395" s="711"/>
      <c r="J14395" s="711"/>
      <c r="K14395" s="711"/>
      <c r="L14395" s="711"/>
      <c r="Q14395" s="11"/>
      <c r="R14395" s="11"/>
      <c r="S14395" s="11"/>
      <c r="T14395" s="11"/>
    </row>
    <row r="14396" spans="8:20" x14ac:dyDescent="0.35">
      <c r="H14396" s="711"/>
      <c r="I14396" s="711"/>
      <c r="J14396" s="711"/>
      <c r="K14396" s="711"/>
      <c r="L14396" s="711"/>
      <c r="Q14396" s="11"/>
      <c r="R14396" s="11"/>
      <c r="S14396" s="11"/>
      <c r="T14396" s="11"/>
    </row>
    <row r="14397" spans="8:20" x14ac:dyDescent="0.35">
      <c r="H14397" s="711"/>
      <c r="I14397" s="711"/>
      <c r="J14397" s="711"/>
      <c r="K14397" s="711"/>
      <c r="L14397" s="711"/>
      <c r="Q14397" s="11"/>
      <c r="R14397" s="11"/>
      <c r="S14397" s="11"/>
      <c r="T14397" s="11"/>
    </row>
    <row r="14398" spans="8:20" x14ac:dyDescent="0.35">
      <c r="H14398" s="711"/>
      <c r="I14398" s="711"/>
      <c r="J14398" s="711"/>
      <c r="K14398" s="711"/>
      <c r="L14398" s="711"/>
      <c r="Q14398" s="11"/>
      <c r="R14398" s="11"/>
      <c r="S14398" s="11"/>
      <c r="T14398" s="11"/>
    </row>
    <row r="14399" spans="8:20" x14ac:dyDescent="0.35">
      <c r="H14399" s="711"/>
      <c r="I14399" s="711"/>
      <c r="J14399" s="711"/>
      <c r="K14399" s="711"/>
      <c r="L14399" s="711"/>
      <c r="Q14399" s="11"/>
      <c r="R14399" s="11"/>
      <c r="S14399" s="11"/>
      <c r="T14399" s="11"/>
    </row>
    <row r="14400" spans="8:20" x14ac:dyDescent="0.35">
      <c r="H14400" s="711"/>
      <c r="I14400" s="711"/>
      <c r="J14400" s="711"/>
      <c r="K14400" s="711"/>
      <c r="L14400" s="711"/>
      <c r="Q14400" s="11"/>
      <c r="R14400" s="11"/>
      <c r="S14400" s="11"/>
      <c r="T14400" s="11"/>
    </row>
    <row r="14401" spans="8:20" x14ac:dyDescent="0.35">
      <c r="H14401" s="711"/>
      <c r="I14401" s="711"/>
      <c r="J14401" s="711"/>
      <c r="K14401" s="711"/>
      <c r="L14401" s="711"/>
      <c r="Q14401" s="11"/>
      <c r="R14401" s="11"/>
      <c r="S14401" s="11"/>
      <c r="T14401" s="11"/>
    </row>
    <row r="14402" spans="8:20" x14ac:dyDescent="0.35">
      <c r="H14402" s="711"/>
      <c r="I14402" s="711"/>
      <c r="J14402" s="711"/>
      <c r="K14402" s="711"/>
      <c r="L14402" s="711"/>
      <c r="Q14402" s="11"/>
      <c r="R14402" s="11"/>
      <c r="S14402" s="11"/>
      <c r="T14402" s="11"/>
    </row>
    <row r="14403" spans="8:20" x14ac:dyDescent="0.35">
      <c r="H14403" s="711"/>
      <c r="I14403" s="711"/>
      <c r="J14403" s="711"/>
      <c r="K14403" s="711"/>
      <c r="L14403" s="711"/>
      <c r="Q14403" s="11"/>
      <c r="R14403" s="11"/>
      <c r="S14403" s="11"/>
      <c r="T14403" s="11"/>
    </row>
    <row r="14404" spans="8:20" x14ac:dyDescent="0.35">
      <c r="H14404" s="711"/>
      <c r="I14404" s="711"/>
      <c r="J14404" s="711"/>
      <c r="K14404" s="711"/>
      <c r="L14404" s="711"/>
      <c r="Q14404" s="11"/>
      <c r="R14404" s="11"/>
      <c r="S14404" s="11"/>
      <c r="T14404" s="11"/>
    </row>
    <row r="14405" spans="8:20" x14ac:dyDescent="0.35">
      <c r="H14405" s="711"/>
      <c r="I14405" s="711"/>
      <c r="J14405" s="711"/>
      <c r="K14405" s="711"/>
      <c r="L14405" s="711"/>
      <c r="Q14405" s="11"/>
      <c r="R14405" s="11"/>
      <c r="S14405" s="11"/>
      <c r="T14405" s="11"/>
    </row>
    <row r="14406" spans="8:20" x14ac:dyDescent="0.35">
      <c r="H14406" s="711"/>
      <c r="I14406" s="711"/>
      <c r="J14406" s="711"/>
      <c r="K14406" s="711"/>
      <c r="L14406" s="711"/>
      <c r="Q14406" s="11"/>
      <c r="R14406" s="11"/>
      <c r="S14406" s="11"/>
      <c r="T14406" s="11"/>
    </row>
    <row r="14407" spans="8:20" x14ac:dyDescent="0.35">
      <c r="H14407" s="711"/>
      <c r="I14407" s="711"/>
      <c r="J14407" s="711"/>
      <c r="K14407" s="711"/>
      <c r="L14407" s="711"/>
      <c r="Q14407" s="11"/>
      <c r="R14407" s="11"/>
      <c r="S14407" s="11"/>
      <c r="T14407" s="11"/>
    </row>
    <row r="14408" spans="8:20" x14ac:dyDescent="0.35">
      <c r="H14408" s="711"/>
      <c r="I14408" s="711"/>
      <c r="J14408" s="711"/>
      <c r="K14408" s="711"/>
      <c r="L14408" s="711"/>
      <c r="Q14408" s="11"/>
      <c r="R14408" s="11"/>
      <c r="S14408" s="11"/>
      <c r="T14408" s="11"/>
    </row>
    <row r="14409" spans="8:20" x14ac:dyDescent="0.35">
      <c r="H14409" s="711"/>
      <c r="I14409" s="711"/>
      <c r="J14409" s="711"/>
      <c r="K14409" s="711"/>
      <c r="L14409" s="711"/>
      <c r="Q14409" s="11"/>
      <c r="R14409" s="11"/>
      <c r="S14409" s="11"/>
      <c r="T14409" s="11"/>
    </row>
    <row r="14410" spans="8:20" x14ac:dyDescent="0.35">
      <c r="H14410" s="711"/>
      <c r="I14410" s="711"/>
      <c r="J14410" s="711"/>
      <c r="K14410" s="711"/>
      <c r="L14410" s="711"/>
      <c r="Q14410" s="11"/>
      <c r="R14410" s="11"/>
      <c r="S14410" s="11"/>
      <c r="T14410" s="11"/>
    </row>
    <row r="14411" spans="8:20" x14ac:dyDescent="0.35">
      <c r="H14411" s="711"/>
      <c r="I14411" s="711"/>
      <c r="J14411" s="711"/>
      <c r="K14411" s="711"/>
      <c r="L14411" s="711"/>
      <c r="Q14411" s="11"/>
      <c r="R14411" s="11"/>
      <c r="S14411" s="11"/>
      <c r="T14411" s="11"/>
    </row>
    <row r="14412" spans="8:20" x14ac:dyDescent="0.35">
      <c r="H14412" s="711"/>
      <c r="I14412" s="711"/>
      <c r="J14412" s="711"/>
      <c r="K14412" s="711"/>
      <c r="L14412" s="711"/>
      <c r="Q14412" s="11"/>
      <c r="R14412" s="11"/>
      <c r="S14412" s="11"/>
      <c r="T14412" s="11"/>
    </row>
    <row r="14413" spans="8:20" x14ac:dyDescent="0.35">
      <c r="H14413" s="711"/>
      <c r="I14413" s="711"/>
      <c r="J14413" s="711"/>
      <c r="K14413" s="711"/>
      <c r="L14413" s="711"/>
      <c r="Q14413" s="11"/>
      <c r="R14413" s="11"/>
      <c r="S14413" s="11"/>
      <c r="T14413" s="11"/>
    </row>
    <row r="14414" spans="8:20" x14ac:dyDescent="0.35">
      <c r="H14414" s="711"/>
      <c r="I14414" s="711"/>
      <c r="J14414" s="711"/>
      <c r="K14414" s="711"/>
      <c r="L14414" s="711"/>
      <c r="Q14414" s="11"/>
      <c r="R14414" s="11"/>
      <c r="S14414" s="11"/>
      <c r="T14414" s="11"/>
    </row>
    <row r="14415" spans="8:20" x14ac:dyDescent="0.35">
      <c r="H14415" s="711"/>
      <c r="I14415" s="711"/>
      <c r="J14415" s="711"/>
      <c r="K14415" s="711"/>
      <c r="L14415" s="711"/>
      <c r="Q14415" s="11"/>
      <c r="R14415" s="11"/>
      <c r="S14415" s="11"/>
      <c r="T14415" s="11"/>
    </row>
    <row r="14416" spans="8:20" x14ac:dyDescent="0.35">
      <c r="H14416" s="711"/>
      <c r="I14416" s="711"/>
      <c r="J14416" s="711"/>
      <c r="K14416" s="711"/>
      <c r="L14416" s="711"/>
      <c r="Q14416" s="11"/>
      <c r="R14416" s="11"/>
      <c r="S14416" s="11"/>
      <c r="T14416" s="11"/>
    </row>
    <row r="14417" spans="8:20" x14ac:dyDescent="0.35">
      <c r="H14417" s="711"/>
      <c r="I14417" s="711"/>
      <c r="J14417" s="711"/>
      <c r="K14417" s="711"/>
      <c r="L14417" s="711"/>
      <c r="Q14417" s="11"/>
      <c r="R14417" s="11"/>
      <c r="S14417" s="11"/>
      <c r="T14417" s="11"/>
    </row>
    <row r="14418" spans="8:20" x14ac:dyDescent="0.35">
      <c r="H14418" s="711"/>
      <c r="I14418" s="711"/>
      <c r="J14418" s="711"/>
      <c r="K14418" s="711"/>
      <c r="L14418" s="711"/>
      <c r="Q14418" s="11"/>
      <c r="R14418" s="11"/>
      <c r="S14418" s="11"/>
      <c r="T14418" s="11"/>
    </row>
    <row r="14419" spans="8:20" x14ac:dyDescent="0.35">
      <c r="H14419" s="711"/>
      <c r="I14419" s="711"/>
      <c r="J14419" s="711"/>
      <c r="K14419" s="711"/>
      <c r="L14419" s="711"/>
      <c r="Q14419" s="11"/>
      <c r="R14419" s="11"/>
      <c r="S14419" s="11"/>
      <c r="T14419" s="11"/>
    </row>
    <row r="14420" spans="8:20" x14ac:dyDescent="0.35">
      <c r="H14420" s="711"/>
      <c r="I14420" s="711"/>
      <c r="J14420" s="711"/>
      <c r="K14420" s="711"/>
      <c r="L14420" s="711"/>
      <c r="Q14420" s="11"/>
      <c r="R14420" s="11"/>
      <c r="S14420" s="11"/>
      <c r="T14420" s="11"/>
    </row>
    <row r="14421" spans="8:20" x14ac:dyDescent="0.35">
      <c r="H14421" s="711"/>
      <c r="I14421" s="711"/>
      <c r="J14421" s="711"/>
      <c r="K14421" s="711"/>
      <c r="L14421" s="711"/>
      <c r="Q14421" s="11"/>
      <c r="R14421" s="11"/>
      <c r="S14421" s="11"/>
      <c r="T14421" s="11"/>
    </row>
    <row r="14422" spans="8:20" x14ac:dyDescent="0.35">
      <c r="H14422" s="711"/>
      <c r="I14422" s="711"/>
      <c r="J14422" s="711"/>
      <c r="K14422" s="711"/>
      <c r="L14422" s="711"/>
      <c r="Q14422" s="11"/>
      <c r="R14422" s="11"/>
      <c r="S14422" s="11"/>
      <c r="T14422" s="11"/>
    </row>
    <row r="14423" spans="8:20" x14ac:dyDescent="0.35">
      <c r="H14423" s="711"/>
      <c r="I14423" s="711"/>
      <c r="J14423" s="711"/>
      <c r="K14423" s="711"/>
      <c r="L14423" s="711"/>
      <c r="Q14423" s="11"/>
      <c r="R14423" s="11"/>
      <c r="S14423" s="11"/>
      <c r="T14423" s="11"/>
    </row>
    <row r="14424" spans="8:20" x14ac:dyDescent="0.35">
      <c r="H14424" s="711"/>
      <c r="I14424" s="711"/>
      <c r="J14424" s="711"/>
      <c r="K14424" s="711"/>
      <c r="L14424" s="711"/>
      <c r="Q14424" s="11"/>
      <c r="R14424" s="11"/>
      <c r="S14424" s="11"/>
      <c r="T14424" s="11"/>
    </row>
    <row r="14425" spans="8:20" x14ac:dyDescent="0.35">
      <c r="H14425" s="711"/>
      <c r="I14425" s="711"/>
      <c r="J14425" s="711"/>
      <c r="K14425" s="711"/>
      <c r="L14425" s="711"/>
      <c r="Q14425" s="11"/>
      <c r="R14425" s="11"/>
      <c r="S14425" s="11"/>
      <c r="T14425" s="11"/>
    </row>
    <row r="14426" spans="8:20" x14ac:dyDescent="0.35">
      <c r="H14426" s="711"/>
      <c r="I14426" s="711"/>
      <c r="J14426" s="711"/>
      <c r="K14426" s="711"/>
      <c r="L14426" s="711"/>
      <c r="Q14426" s="11"/>
      <c r="R14426" s="11"/>
      <c r="S14426" s="11"/>
      <c r="T14426" s="11"/>
    </row>
    <row r="14427" spans="8:20" x14ac:dyDescent="0.35">
      <c r="H14427" s="711"/>
      <c r="I14427" s="711"/>
      <c r="J14427" s="711"/>
      <c r="K14427" s="711"/>
      <c r="L14427" s="711"/>
      <c r="Q14427" s="11"/>
      <c r="R14427" s="11"/>
      <c r="S14427" s="11"/>
      <c r="T14427" s="11"/>
    </row>
    <row r="14428" spans="8:20" x14ac:dyDescent="0.35">
      <c r="H14428" s="711"/>
      <c r="I14428" s="711"/>
      <c r="J14428" s="711"/>
      <c r="K14428" s="711"/>
      <c r="L14428" s="711"/>
      <c r="Q14428" s="11"/>
      <c r="R14428" s="11"/>
      <c r="S14428" s="11"/>
      <c r="T14428" s="11"/>
    </row>
    <row r="14429" spans="8:20" x14ac:dyDescent="0.35">
      <c r="H14429" s="711"/>
      <c r="I14429" s="711"/>
      <c r="J14429" s="711"/>
      <c r="K14429" s="711"/>
      <c r="L14429" s="711"/>
      <c r="Q14429" s="11"/>
      <c r="R14429" s="11"/>
      <c r="S14429" s="11"/>
      <c r="T14429" s="11"/>
    </row>
    <row r="14430" spans="8:20" x14ac:dyDescent="0.35">
      <c r="H14430" s="711"/>
      <c r="I14430" s="711"/>
      <c r="J14430" s="711"/>
      <c r="K14430" s="711"/>
      <c r="L14430" s="711"/>
      <c r="Q14430" s="11"/>
      <c r="R14430" s="11"/>
      <c r="S14430" s="11"/>
      <c r="T14430" s="11"/>
    </row>
    <row r="14431" spans="8:20" x14ac:dyDescent="0.35">
      <c r="H14431" s="711"/>
      <c r="I14431" s="711"/>
      <c r="J14431" s="711"/>
      <c r="K14431" s="711"/>
      <c r="L14431" s="711"/>
      <c r="Q14431" s="11"/>
      <c r="R14431" s="11"/>
      <c r="S14431" s="11"/>
      <c r="T14431" s="11"/>
    </row>
    <row r="14432" spans="8:20" x14ac:dyDescent="0.35">
      <c r="H14432" s="711"/>
      <c r="I14432" s="711"/>
      <c r="J14432" s="711"/>
      <c r="K14432" s="711"/>
      <c r="L14432" s="711"/>
      <c r="Q14432" s="11"/>
      <c r="R14432" s="11"/>
      <c r="S14432" s="11"/>
      <c r="T14432" s="11"/>
    </row>
    <row r="14433" spans="8:20" x14ac:dyDescent="0.35">
      <c r="H14433" s="711"/>
      <c r="I14433" s="711"/>
      <c r="J14433" s="711"/>
      <c r="K14433" s="711"/>
      <c r="L14433" s="711"/>
      <c r="Q14433" s="11"/>
      <c r="R14433" s="11"/>
      <c r="S14433" s="11"/>
      <c r="T14433" s="11"/>
    </row>
    <row r="14434" spans="8:20" x14ac:dyDescent="0.35">
      <c r="H14434" s="711"/>
      <c r="I14434" s="711"/>
      <c r="J14434" s="711"/>
      <c r="K14434" s="711"/>
      <c r="L14434" s="711"/>
      <c r="Q14434" s="11"/>
      <c r="R14434" s="11"/>
      <c r="S14434" s="11"/>
      <c r="T14434" s="11"/>
    </row>
    <row r="14435" spans="8:20" x14ac:dyDescent="0.35">
      <c r="H14435" s="711"/>
      <c r="I14435" s="711"/>
      <c r="J14435" s="711"/>
      <c r="K14435" s="711"/>
      <c r="L14435" s="711"/>
      <c r="Q14435" s="11"/>
      <c r="R14435" s="11"/>
      <c r="S14435" s="11"/>
      <c r="T14435" s="11"/>
    </row>
    <row r="14436" spans="8:20" x14ac:dyDescent="0.35">
      <c r="H14436" s="711"/>
      <c r="I14436" s="711"/>
      <c r="J14436" s="711"/>
      <c r="K14436" s="711"/>
      <c r="L14436" s="711"/>
      <c r="Q14436" s="11"/>
      <c r="R14436" s="11"/>
      <c r="S14436" s="11"/>
      <c r="T14436" s="11"/>
    </row>
    <row r="14437" spans="8:20" x14ac:dyDescent="0.35">
      <c r="H14437" s="711"/>
      <c r="I14437" s="711"/>
      <c r="J14437" s="711"/>
      <c r="K14437" s="711"/>
      <c r="L14437" s="711"/>
      <c r="Q14437" s="11"/>
      <c r="R14437" s="11"/>
      <c r="S14437" s="11"/>
      <c r="T14437" s="11"/>
    </row>
    <row r="14438" spans="8:20" x14ac:dyDescent="0.35">
      <c r="H14438" s="711"/>
      <c r="I14438" s="711"/>
      <c r="J14438" s="711"/>
      <c r="K14438" s="711"/>
      <c r="L14438" s="711"/>
      <c r="Q14438" s="11"/>
      <c r="R14438" s="11"/>
      <c r="S14438" s="11"/>
      <c r="T14438" s="11"/>
    </row>
    <row r="14439" spans="8:20" x14ac:dyDescent="0.35">
      <c r="H14439" s="711"/>
      <c r="I14439" s="711"/>
      <c r="J14439" s="711"/>
      <c r="K14439" s="711"/>
      <c r="L14439" s="711"/>
      <c r="Q14439" s="11"/>
      <c r="R14439" s="11"/>
      <c r="S14439" s="11"/>
      <c r="T14439" s="11"/>
    </row>
    <row r="14440" spans="8:20" x14ac:dyDescent="0.35">
      <c r="H14440" s="711"/>
      <c r="I14440" s="711"/>
      <c r="J14440" s="711"/>
      <c r="K14440" s="711"/>
      <c r="L14440" s="711"/>
      <c r="Q14440" s="11"/>
      <c r="R14440" s="11"/>
      <c r="S14440" s="11"/>
      <c r="T14440" s="11"/>
    </row>
    <row r="14441" spans="8:20" x14ac:dyDescent="0.35">
      <c r="H14441" s="711"/>
      <c r="I14441" s="711"/>
      <c r="J14441" s="711"/>
      <c r="K14441" s="711"/>
      <c r="L14441" s="711"/>
      <c r="Q14441" s="11"/>
      <c r="R14441" s="11"/>
      <c r="S14441" s="11"/>
      <c r="T14441" s="11"/>
    </row>
    <row r="14442" spans="8:20" x14ac:dyDescent="0.35">
      <c r="H14442" s="711"/>
      <c r="I14442" s="711"/>
      <c r="J14442" s="711"/>
      <c r="K14442" s="711"/>
      <c r="L14442" s="711"/>
      <c r="Q14442" s="11"/>
      <c r="R14442" s="11"/>
      <c r="S14442" s="11"/>
      <c r="T14442" s="11"/>
    </row>
    <row r="14443" spans="8:20" x14ac:dyDescent="0.35">
      <c r="H14443" s="711"/>
      <c r="I14443" s="711"/>
      <c r="J14443" s="711"/>
      <c r="K14443" s="711"/>
      <c r="L14443" s="711"/>
      <c r="Q14443" s="11"/>
      <c r="R14443" s="11"/>
      <c r="S14443" s="11"/>
      <c r="T14443" s="11"/>
    </row>
    <row r="14444" spans="8:20" x14ac:dyDescent="0.35">
      <c r="H14444" s="711"/>
      <c r="I14444" s="711"/>
      <c r="J14444" s="711"/>
      <c r="K14444" s="711"/>
      <c r="L14444" s="711"/>
      <c r="Q14444" s="11"/>
      <c r="R14444" s="11"/>
      <c r="S14444" s="11"/>
      <c r="T14444" s="11"/>
    </row>
    <row r="14445" spans="8:20" x14ac:dyDescent="0.35">
      <c r="H14445" s="711"/>
      <c r="I14445" s="711"/>
      <c r="J14445" s="711"/>
      <c r="K14445" s="711"/>
      <c r="L14445" s="711"/>
      <c r="Q14445" s="11"/>
      <c r="R14445" s="11"/>
      <c r="S14445" s="11"/>
      <c r="T14445" s="11"/>
    </row>
    <row r="14446" spans="8:20" x14ac:dyDescent="0.35">
      <c r="H14446" s="711"/>
      <c r="I14446" s="711"/>
      <c r="J14446" s="711"/>
      <c r="K14446" s="711"/>
      <c r="L14446" s="711"/>
      <c r="Q14446" s="11"/>
      <c r="R14446" s="11"/>
      <c r="S14446" s="11"/>
      <c r="T14446" s="11"/>
    </row>
    <row r="14447" spans="8:20" x14ac:dyDescent="0.35">
      <c r="H14447" s="711"/>
      <c r="I14447" s="711"/>
      <c r="J14447" s="711"/>
      <c r="K14447" s="711"/>
      <c r="L14447" s="711"/>
      <c r="Q14447" s="11"/>
      <c r="R14447" s="11"/>
      <c r="S14447" s="11"/>
      <c r="T14447" s="11"/>
    </row>
    <row r="14448" spans="8:20" x14ac:dyDescent="0.35">
      <c r="H14448" s="711"/>
      <c r="I14448" s="711"/>
      <c r="J14448" s="711"/>
      <c r="K14448" s="711"/>
      <c r="L14448" s="711"/>
      <c r="Q14448" s="11"/>
      <c r="R14448" s="11"/>
      <c r="S14448" s="11"/>
      <c r="T14448" s="11"/>
    </row>
    <row r="14449" spans="8:20" x14ac:dyDescent="0.35">
      <c r="H14449" s="711"/>
      <c r="I14449" s="711"/>
      <c r="J14449" s="711"/>
      <c r="K14449" s="711"/>
      <c r="L14449" s="711"/>
      <c r="Q14449" s="11"/>
      <c r="R14449" s="11"/>
      <c r="S14449" s="11"/>
      <c r="T14449" s="11"/>
    </row>
    <row r="14450" spans="8:20" x14ac:dyDescent="0.35">
      <c r="H14450" s="711"/>
      <c r="I14450" s="711"/>
      <c r="J14450" s="711"/>
      <c r="K14450" s="711"/>
      <c r="L14450" s="711"/>
      <c r="Q14450" s="11"/>
      <c r="R14450" s="11"/>
      <c r="S14450" s="11"/>
      <c r="T14450" s="11"/>
    </row>
    <row r="14451" spans="8:20" x14ac:dyDescent="0.35">
      <c r="H14451" s="711"/>
      <c r="I14451" s="711"/>
      <c r="J14451" s="711"/>
      <c r="K14451" s="711"/>
      <c r="L14451" s="711"/>
      <c r="Q14451" s="11"/>
      <c r="R14451" s="11"/>
      <c r="S14451" s="11"/>
      <c r="T14451" s="11"/>
    </row>
    <row r="14452" spans="8:20" x14ac:dyDescent="0.35">
      <c r="H14452" s="711"/>
      <c r="I14452" s="711"/>
      <c r="J14452" s="711"/>
      <c r="K14452" s="711"/>
      <c r="L14452" s="711"/>
      <c r="Q14452" s="11"/>
      <c r="R14452" s="11"/>
      <c r="S14452" s="11"/>
      <c r="T14452" s="11"/>
    </row>
    <row r="14453" spans="8:20" x14ac:dyDescent="0.35">
      <c r="H14453" s="711"/>
      <c r="I14453" s="711"/>
      <c r="J14453" s="711"/>
      <c r="K14453" s="711"/>
      <c r="L14453" s="711"/>
      <c r="Q14453" s="11"/>
      <c r="R14453" s="11"/>
      <c r="S14453" s="11"/>
      <c r="T14453" s="11"/>
    </row>
    <row r="14454" spans="8:20" x14ac:dyDescent="0.35">
      <c r="H14454" s="711"/>
      <c r="I14454" s="711"/>
      <c r="J14454" s="711"/>
      <c r="K14454" s="711"/>
      <c r="L14454" s="711"/>
      <c r="Q14454" s="11"/>
      <c r="R14454" s="11"/>
      <c r="S14454" s="11"/>
      <c r="T14454" s="11"/>
    </row>
    <row r="14455" spans="8:20" x14ac:dyDescent="0.35">
      <c r="H14455" s="711"/>
      <c r="I14455" s="711"/>
      <c r="J14455" s="711"/>
      <c r="K14455" s="711"/>
      <c r="L14455" s="711"/>
      <c r="Q14455" s="11"/>
      <c r="R14455" s="11"/>
      <c r="S14455" s="11"/>
      <c r="T14455" s="11"/>
    </row>
    <row r="14456" spans="8:20" x14ac:dyDescent="0.35">
      <c r="H14456" s="711"/>
      <c r="I14456" s="711"/>
      <c r="J14456" s="711"/>
      <c r="K14456" s="711"/>
      <c r="L14456" s="711"/>
      <c r="Q14456" s="11"/>
      <c r="R14456" s="11"/>
      <c r="S14456" s="11"/>
      <c r="T14456" s="11"/>
    </row>
    <row r="14457" spans="8:20" x14ac:dyDescent="0.35">
      <c r="H14457" s="711"/>
      <c r="I14457" s="711"/>
      <c r="J14457" s="711"/>
      <c r="K14457" s="711"/>
      <c r="L14457" s="711"/>
      <c r="Q14457" s="11"/>
      <c r="R14457" s="11"/>
      <c r="S14457" s="11"/>
      <c r="T14457" s="11"/>
    </row>
    <row r="14458" spans="8:20" x14ac:dyDescent="0.35">
      <c r="H14458" s="711"/>
      <c r="I14458" s="711"/>
      <c r="J14458" s="711"/>
      <c r="K14458" s="711"/>
      <c r="L14458" s="711"/>
      <c r="Q14458" s="11"/>
      <c r="R14458" s="11"/>
      <c r="S14458" s="11"/>
      <c r="T14458" s="11"/>
    </row>
    <row r="14459" spans="8:20" x14ac:dyDescent="0.35">
      <c r="H14459" s="711"/>
      <c r="I14459" s="711"/>
      <c r="J14459" s="711"/>
      <c r="K14459" s="711"/>
      <c r="L14459" s="711"/>
      <c r="Q14459" s="11"/>
      <c r="R14459" s="11"/>
      <c r="S14459" s="11"/>
      <c r="T14459" s="11"/>
    </row>
    <row r="14460" spans="8:20" x14ac:dyDescent="0.35">
      <c r="H14460" s="711"/>
      <c r="I14460" s="711"/>
      <c r="J14460" s="711"/>
      <c r="K14460" s="711"/>
      <c r="L14460" s="711"/>
      <c r="Q14460" s="11"/>
      <c r="R14460" s="11"/>
      <c r="S14460" s="11"/>
      <c r="T14460" s="11"/>
    </row>
    <row r="14461" spans="8:20" x14ac:dyDescent="0.35">
      <c r="H14461" s="711"/>
      <c r="I14461" s="711"/>
      <c r="J14461" s="711"/>
      <c r="K14461" s="711"/>
      <c r="L14461" s="711"/>
      <c r="Q14461" s="11"/>
      <c r="R14461" s="11"/>
      <c r="S14461" s="11"/>
      <c r="T14461" s="11"/>
    </row>
    <row r="14462" spans="8:20" x14ac:dyDescent="0.35">
      <c r="H14462" s="711"/>
      <c r="I14462" s="711"/>
      <c r="J14462" s="711"/>
      <c r="K14462" s="711"/>
      <c r="L14462" s="711"/>
      <c r="Q14462" s="11"/>
      <c r="R14462" s="11"/>
      <c r="S14462" s="11"/>
      <c r="T14462" s="11"/>
    </row>
    <row r="14463" spans="8:20" x14ac:dyDescent="0.35">
      <c r="H14463" s="711"/>
      <c r="I14463" s="711"/>
      <c r="J14463" s="711"/>
      <c r="K14463" s="711"/>
      <c r="L14463" s="711"/>
      <c r="Q14463" s="11"/>
      <c r="R14463" s="11"/>
      <c r="S14463" s="11"/>
      <c r="T14463" s="11"/>
    </row>
    <row r="14464" spans="8:20" x14ac:dyDescent="0.35">
      <c r="H14464" s="711"/>
      <c r="I14464" s="711"/>
      <c r="J14464" s="711"/>
      <c r="K14464" s="711"/>
      <c r="L14464" s="711"/>
      <c r="Q14464" s="11"/>
      <c r="R14464" s="11"/>
      <c r="S14464" s="11"/>
      <c r="T14464" s="11"/>
    </row>
    <row r="14465" spans="8:20" x14ac:dyDescent="0.35">
      <c r="H14465" s="711"/>
      <c r="I14465" s="711"/>
      <c r="J14465" s="711"/>
      <c r="K14465" s="711"/>
      <c r="L14465" s="711"/>
      <c r="Q14465" s="11"/>
      <c r="R14465" s="11"/>
      <c r="S14465" s="11"/>
      <c r="T14465" s="11"/>
    </row>
    <row r="14466" spans="8:20" x14ac:dyDescent="0.35">
      <c r="H14466" s="711"/>
      <c r="I14466" s="711"/>
      <c r="J14466" s="711"/>
      <c r="K14466" s="711"/>
      <c r="L14466" s="711"/>
      <c r="Q14466" s="11"/>
      <c r="R14466" s="11"/>
      <c r="S14466" s="11"/>
      <c r="T14466" s="11"/>
    </row>
    <row r="14467" spans="8:20" x14ac:dyDescent="0.35">
      <c r="H14467" s="711"/>
      <c r="I14467" s="711"/>
      <c r="J14467" s="711"/>
      <c r="K14467" s="711"/>
      <c r="L14467" s="711"/>
      <c r="Q14467" s="11"/>
      <c r="R14467" s="11"/>
      <c r="S14467" s="11"/>
      <c r="T14467" s="11"/>
    </row>
    <row r="14468" spans="8:20" x14ac:dyDescent="0.35">
      <c r="H14468" s="711"/>
      <c r="I14468" s="711"/>
      <c r="J14468" s="711"/>
      <c r="K14468" s="711"/>
      <c r="L14468" s="711"/>
      <c r="Q14468" s="11"/>
      <c r="R14468" s="11"/>
      <c r="S14468" s="11"/>
      <c r="T14468" s="11"/>
    </row>
    <row r="14469" spans="8:20" x14ac:dyDescent="0.35">
      <c r="H14469" s="711"/>
      <c r="I14469" s="711"/>
      <c r="J14469" s="711"/>
      <c r="K14469" s="711"/>
      <c r="L14469" s="711"/>
      <c r="Q14469" s="11"/>
      <c r="R14469" s="11"/>
      <c r="S14469" s="11"/>
      <c r="T14469" s="11"/>
    </row>
    <row r="14470" spans="8:20" x14ac:dyDescent="0.35">
      <c r="H14470" s="711"/>
      <c r="I14470" s="711"/>
      <c r="J14470" s="711"/>
      <c r="K14470" s="711"/>
      <c r="L14470" s="711"/>
      <c r="Q14470" s="11"/>
      <c r="R14470" s="11"/>
      <c r="S14470" s="11"/>
      <c r="T14470" s="11"/>
    </row>
    <row r="14471" spans="8:20" x14ac:dyDescent="0.35">
      <c r="H14471" s="711"/>
      <c r="I14471" s="711"/>
      <c r="J14471" s="711"/>
      <c r="K14471" s="711"/>
      <c r="L14471" s="711"/>
      <c r="Q14471" s="11"/>
      <c r="R14471" s="11"/>
      <c r="S14471" s="11"/>
      <c r="T14471" s="11"/>
    </row>
    <row r="14472" spans="8:20" x14ac:dyDescent="0.35">
      <c r="H14472" s="711"/>
      <c r="I14472" s="711"/>
      <c r="J14472" s="711"/>
      <c r="K14472" s="711"/>
      <c r="L14472" s="711"/>
      <c r="Q14472" s="11"/>
      <c r="R14472" s="11"/>
      <c r="S14472" s="11"/>
      <c r="T14472" s="11"/>
    </row>
    <row r="14473" spans="8:20" x14ac:dyDescent="0.35">
      <c r="H14473" s="711"/>
      <c r="I14473" s="711"/>
      <c r="J14473" s="711"/>
      <c r="K14473" s="711"/>
      <c r="L14473" s="711"/>
      <c r="Q14473" s="11"/>
      <c r="R14473" s="11"/>
      <c r="S14473" s="11"/>
      <c r="T14473" s="11"/>
    </row>
    <row r="14474" spans="8:20" x14ac:dyDescent="0.35">
      <c r="H14474" s="711"/>
      <c r="I14474" s="711"/>
      <c r="J14474" s="711"/>
      <c r="K14474" s="711"/>
      <c r="L14474" s="711"/>
      <c r="Q14474" s="11"/>
      <c r="R14474" s="11"/>
      <c r="S14474" s="11"/>
      <c r="T14474" s="11"/>
    </row>
    <row r="14475" spans="8:20" x14ac:dyDescent="0.35">
      <c r="H14475" s="711"/>
      <c r="I14475" s="711"/>
      <c r="J14475" s="711"/>
      <c r="K14475" s="711"/>
      <c r="L14475" s="711"/>
      <c r="Q14475" s="11"/>
      <c r="R14475" s="11"/>
      <c r="S14475" s="11"/>
      <c r="T14475" s="11"/>
    </row>
    <row r="14476" spans="8:20" x14ac:dyDescent="0.35">
      <c r="H14476" s="711"/>
      <c r="I14476" s="711"/>
      <c r="J14476" s="711"/>
      <c r="K14476" s="711"/>
      <c r="L14476" s="711"/>
      <c r="Q14476" s="11"/>
      <c r="R14476" s="11"/>
      <c r="S14476" s="11"/>
      <c r="T14476" s="11"/>
    </row>
    <row r="14477" spans="8:20" x14ac:dyDescent="0.35">
      <c r="H14477" s="711"/>
      <c r="I14477" s="711"/>
      <c r="J14477" s="711"/>
      <c r="K14477" s="711"/>
      <c r="L14477" s="711"/>
      <c r="Q14477" s="11"/>
      <c r="R14477" s="11"/>
      <c r="S14477" s="11"/>
      <c r="T14477" s="11"/>
    </row>
    <row r="14478" spans="8:20" x14ac:dyDescent="0.35">
      <c r="H14478" s="711"/>
      <c r="I14478" s="711"/>
      <c r="J14478" s="711"/>
      <c r="K14478" s="711"/>
      <c r="L14478" s="711"/>
      <c r="Q14478" s="11"/>
      <c r="R14478" s="11"/>
      <c r="S14478" s="11"/>
      <c r="T14478" s="11"/>
    </row>
    <row r="14479" spans="8:20" x14ac:dyDescent="0.35">
      <c r="H14479" s="711"/>
      <c r="I14479" s="711"/>
      <c r="J14479" s="711"/>
      <c r="K14479" s="711"/>
      <c r="L14479" s="711"/>
      <c r="Q14479" s="11"/>
      <c r="R14479" s="11"/>
      <c r="S14479" s="11"/>
      <c r="T14479" s="11"/>
    </row>
    <row r="14480" spans="8:20" x14ac:dyDescent="0.35">
      <c r="H14480" s="711"/>
      <c r="I14480" s="711"/>
      <c r="J14480" s="711"/>
      <c r="K14480" s="711"/>
      <c r="L14480" s="711"/>
      <c r="Q14480" s="11"/>
      <c r="R14480" s="11"/>
      <c r="S14480" s="11"/>
      <c r="T14480" s="11"/>
    </row>
    <row r="14481" spans="8:20" x14ac:dyDescent="0.35">
      <c r="H14481" s="711"/>
      <c r="I14481" s="711"/>
      <c r="J14481" s="711"/>
      <c r="K14481" s="711"/>
      <c r="L14481" s="711"/>
      <c r="Q14481" s="11"/>
      <c r="R14481" s="11"/>
      <c r="S14481" s="11"/>
      <c r="T14481" s="11"/>
    </row>
    <row r="14482" spans="8:20" x14ac:dyDescent="0.35">
      <c r="H14482" s="711"/>
      <c r="I14482" s="711"/>
      <c r="J14482" s="711"/>
      <c r="K14482" s="711"/>
      <c r="L14482" s="711"/>
      <c r="Q14482" s="11"/>
      <c r="R14482" s="11"/>
      <c r="S14482" s="11"/>
      <c r="T14482" s="11"/>
    </row>
    <row r="14483" spans="8:20" x14ac:dyDescent="0.35">
      <c r="H14483" s="711"/>
      <c r="I14483" s="711"/>
      <c r="J14483" s="711"/>
      <c r="K14483" s="711"/>
      <c r="L14483" s="711"/>
      <c r="Q14483" s="11"/>
      <c r="R14483" s="11"/>
      <c r="S14483" s="11"/>
      <c r="T14483" s="11"/>
    </row>
    <row r="14484" spans="8:20" x14ac:dyDescent="0.35">
      <c r="H14484" s="711"/>
      <c r="I14484" s="711"/>
      <c r="J14484" s="711"/>
      <c r="K14484" s="711"/>
      <c r="L14484" s="711"/>
      <c r="Q14484" s="11"/>
      <c r="R14484" s="11"/>
      <c r="S14484" s="11"/>
      <c r="T14484" s="11"/>
    </row>
    <row r="14485" spans="8:20" x14ac:dyDescent="0.35">
      <c r="H14485" s="711"/>
      <c r="I14485" s="711"/>
      <c r="J14485" s="711"/>
      <c r="K14485" s="711"/>
      <c r="L14485" s="711"/>
      <c r="Q14485" s="11"/>
      <c r="R14485" s="11"/>
      <c r="S14485" s="11"/>
      <c r="T14485" s="11"/>
    </row>
    <row r="14486" spans="8:20" x14ac:dyDescent="0.35">
      <c r="H14486" s="711"/>
      <c r="I14486" s="711"/>
      <c r="J14486" s="711"/>
      <c r="K14486" s="711"/>
      <c r="L14486" s="711"/>
      <c r="Q14486" s="11"/>
      <c r="R14486" s="11"/>
      <c r="S14486" s="11"/>
      <c r="T14486" s="11"/>
    </row>
    <row r="14487" spans="8:20" x14ac:dyDescent="0.35">
      <c r="H14487" s="711"/>
      <c r="I14487" s="711"/>
      <c r="J14487" s="711"/>
      <c r="K14487" s="711"/>
      <c r="L14487" s="711"/>
      <c r="Q14487" s="11"/>
      <c r="R14487" s="11"/>
      <c r="S14487" s="11"/>
      <c r="T14487" s="11"/>
    </row>
    <row r="14488" spans="8:20" x14ac:dyDescent="0.35">
      <c r="H14488" s="711"/>
      <c r="I14488" s="711"/>
      <c r="J14488" s="711"/>
      <c r="K14488" s="711"/>
      <c r="L14488" s="711"/>
      <c r="Q14488" s="11"/>
      <c r="R14488" s="11"/>
      <c r="S14488" s="11"/>
      <c r="T14488" s="11"/>
    </row>
    <row r="14489" spans="8:20" x14ac:dyDescent="0.35">
      <c r="H14489" s="711"/>
      <c r="I14489" s="711"/>
      <c r="J14489" s="711"/>
      <c r="K14489" s="711"/>
      <c r="L14489" s="711"/>
      <c r="Q14489" s="11"/>
      <c r="R14489" s="11"/>
      <c r="S14489" s="11"/>
      <c r="T14489" s="11"/>
    </row>
    <row r="14490" spans="8:20" x14ac:dyDescent="0.35">
      <c r="H14490" s="711"/>
      <c r="I14490" s="711"/>
      <c r="J14490" s="711"/>
      <c r="K14490" s="711"/>
      <c r="L14490" s="711"/>
      <c r="Q14490" s="11"/>
      <c r="R14490" s="11"/>
      <c r="S14490" s="11"/>
      <c r="T14490" s="11"/>
    </row>
    <row r="14491" spans="8:20" x14ac:dyDescent="0.35">
      <c r="H14491" s="711"/>
      <c r="I14491" s="711"/>
      <c r="J14491" s="711"/>
      <c r="K14491" s="711"/>
      <c r="L14491" s="711"/>
      <c r="Q14491" s="11"/>
      <c r="R14491" s="11"/>
      <c r="S14491" s="11"/>
      <c r="T14491" s="11"/>
    </row>
    <row r="14492" spans="8:20" x14ac:dyDescent="0.35">
      <c r="H14492" s="711"/>
      <c r="I14492" s="711"/>
      <c r="J14492" s="711"/>
      <c r="K14492" s="711"/>
      <c r="L14492" s="711"/>
      <c r="Q14492" s="11"/>
      <c r="R14492" s="11"/>
      <c r="S14492" s="11"/>
      <c r="T14492" s="11"/>
    </row>
    <row r="14493" spans="8:20" x14ac:dyDescent="0.35">
      <c r="H14493" s="711"/>
      <c r="I14493" s="711"/>
      <c r="J14493" s="711"/>
      <c r="K14493" s="711"/>
      <c r="L14493" s="711"/>
      <c r="Q14493" s="11"/>
      <c r="R14493" s="11"/>
      <c r="S14493" s="11"/>
      <c r="T14493" s="11"/>
    </row>
    <row r="14494" spans="8:20" x14ac:dyDescent="0.35">
      <c r="H14494" s="711"/>
      <c r="I14494" s="711"/>
      <c r="J14494" s="711"/>
      <c r="K14494" s="711"/>
      <c r="L14494" s="711"/>
      <c r="Q14494" s="11"/>
      <c r="R14494" s="11"/>
      <c r="S14494" s="11"/>
      <c r="T14494" s="11"/>
    </row>
    <row r="14495" spans="8:20" x14ac:dyDescent="0.35">
      <c r="H14495" s="711"/>
      <c r="I14495" s="711"/>
      <c r="J14495" s="711"/>
      <c r="K14495" s="711"/>
      <c r="L14495" s="711"/>
      <c r="Q14495" s="11"/>
      <c r="R14495" s="11"/>
      <c r="S14495" s="11"/>
      <c r="T14495" s="11"/>
    </row>
    <row r="14496" spans="8:20" x14ac:dyDescent="0.35">
      <c r="H14496" s="711"/>
      <c r="I14496" s="711"/>
      <c r="J14496" s="711"/>
      <c r="K14496" s="711"/>
      <c r="L14496" s="711"/>
      <c r="Q14496" s="11"/>
      <c r="R14496" s="11"/>
      <c r="S14496" s="11"/>
      <c r="T14496" s="11"/>
    </row>
    <row r="14497" spans="8:20" x14ac:dyDescent="0.35">
      <c r="H14497" s="711"/>
      <c r="I14497" s="711"/>
      <c r="J14497" s="711"/>
      <c r="K14497" s="711"/>
      <c r="L14497" s="711"/>
      <c r="Q14497" s="11"/>
      <c r="R14497" s="11"/>
      <c r="S14497" s="11"/>
      <c r="T14497" s="11"/>
    </row>
    <row r="14498" spans="8:20" x14ac:dyDescent="0.35">
      <c r="H14498" s="711"/>
      <c r="I14498" s="711"/>
      <c r="J14498" s="711"/>
      <c r="K14498" s="711"/>
      <c r="L14498" s="711"/>
      <c r="Q14498" s="11"/>
      <c r="R14498" s="11"/>
      <c r="S14498" s="11"/>
      <c r="T14498" s="11"/>
    </row>
    <row r="14499" spans="8:20" x14ac:dyDescent="0.35">
      <c r="H14499" s="711"/>
      <c r="I14499" s="711"/>
      <c r="J14499" s="711"/>
      <c r="K14499" s="711"/>
      <c r="L14499" s="711"/>
      <c r="Q14499" s="11"/>
      <c r="R14499" s="11"/>
      <c r="S14499" s="11"/>
      <c r="T14499" s="11"/>
    </row>
    <row r="14500" spans="8:20" x14ac:dyDescent="0.35">
      <c r="H14500" s="711"/>
      <c r="I14500" s="711"/>
      <c r="J14500" s="711"/>
      <c r="K14500" s="711"/>
      <c r="L14500" s="711"/>
      <c r="Q14500" s="11"/>
      <c r="R14500" s="11"/>
      <c r="S14500" s="11"/>
      <c r="T14500" s="11"/>
    </row>
    <row r="14501" spans="8:20" x14ac:dyDescent="0.35">
      <c r="H14501" s="711"/>
      <c r="I14501" s="711"/>
      <c r="J14501" s="711"/>
      <c r="K14501" s="711"/>
      <c r="L14501" s="711"/>
      <c r="Q14501" s="11"/>
      <c r="R14501" s="11"/>
      <c r="S14501" s="11"/>
      <c r="T14501" s="11"/>
    </row>
    <row r="14502" spans="8:20" x14ac:dyDescent="0.35">
      <c r="H14502" s="711"/>
      <c r="I14502" s="711"/>
      <c r="J14502" s="711"/>
      <c r="K14502" s="711"/>
      <c r="L14502" s="711"/>
      <c r="Q14502" s="11"/>
      <c r="R14502" s="11"/>
      <c r="S14502" s="11"/>
      <c r="T14502" s="11"/>
    </row>
    <row r="14503" spans="8:20" x14ac:dyDescent="0.35">
      <c r="H14503" s="711"/>
      <c r="I14503" s="711"/>
      <c r="J14503" s="711"/>
      <c r="K14503" s="711"/>
      <c r="L14503" s="711"/>
      <c r="Q14503" s="11"/>
      <c r="R14503" s="11"/>
      <c r="S14503" s="11"/>
      <c r="T14503" s="11"/>
    </row>
    <row r="14504" spans="8:20" x14ac:dyDescent="0.35">
      <c r="H14504" s="711"/>
      <c r="I14504" s="711"/>
      <c r="J14504" s="711"/>
      <c r="K14504" s="711"/>
      <c r="L14504" s="711"/>
      <c r="Q14504" s="11"/>
      <c r="R14504" s="11"/>
      <c r="S14504" s="11"/>
      <c r="T14504" s="11"/>
    </row>
    <row r="14505" spans="8:20" x14ac:dyDescent="0.35">
      <c r="H14505" s="711"/>
      <c r="I14505" s="711"/>
      <c r="J14505" s="711"/>
      <c r="K14505" s="711"/>
      <c r="L14505" s="711"/>
      <c r="Q14505" s="11"/>
      <c r="R14505" s="11"/>
      <c r="S14505" s="11"/>
      <c r="T14505" s="11"/>
    </row>
    <row r="14506" spans="8:20" x14ac:dyDescent="0.35">
      <c r="H14506" s="711"/>
      <c r="I14506" s="711"/>
      <c r="J14506" s="711"/>
      <c r="K14506" s="711"/>
      <c r="L14506" s="711"/>
      <c r="Q14506" s="11"/>
      <c r="R14506" s="11"/>
      <c r="S14506" s="11"/>
      <c r="T14506" s="11"/>
    </row>
    <row r="14507" spans="8:20" x14ac:dyDescent="0.35">
      <c r="H14507" s="711"/>
      <c r="I14507" s="711"/>
      <c r="J14507" s="711"/>
      <c r="K14507" s="711"/>
      <c r="L14507" s="711"/>
      <c r="Q14507" s="11"/>
      <c r="R14507" s="11"/>
      <c r="S14507" s="11"/>
      <c r="T14507" s="11"/>
    </row>
    <row r="14508" spans="8:20" x14ac:dyDescent="0.35">
      <c r="H14508" s="711"/>
      <c r="I14508" s="711"/>
      <c r="J14508" s="711"/>
      <c r="K14508" s="711"/>
      <c r="L14508" s="711"/>
      <c r="Q14508" s="11"/>
      <c r="R14508" s="11"/>
      <c r="S14508" s="11"/>
      <c r="T14508" s="11"/>
    </row>
    <row r="14509" spans="8:20" x14ac:dyDescent="0.35">
      <c r="H14509" s="711"/>
      <c r="I14509" s="711"/>
      <c r="J14509" s="711"/>
      <c r="K14509" s="711"/>
      <c r="L14509" s="711"/>
      <c r="Q14509" s="11"/>
      <c r="R14509" s="11"/>
      <c r="S14509" s="11"/>
      <c r="T14509" s="11"/>
    </row>
    <row r="14510" spans="8:20" x14ac:dyDescent="0.35">
      <c r="H14510" s="711"/>
      <c r="I14510" s="711"/>
      <c r="J14510" s="711"/>
      <c r="K14510" s="711"/>
      <c r="L14510" s="711"/>
      <c r="Q14510" s="11"/>
      <c r="R14510" s="11"/>
      <c r="S14510" s="11"/>
      <c r="T14510" s="11"/>
    </row>
    <row r="14511" spans="8:20" x14ac:dyDescent="0.35">
      <c r="H14511" s="711"/>
      <c r="I14511" s="711"/>
      <c r="J14511" s="711"/>
      <c r="K14511" s="711"/>
      <c r="L14511" s="711"/>
      <c r="Q14511" s="11"/>
      <c r="R14511" s="11"/>
      <c r="S14511" s="11"/>
      <c r="T14511" s="11"/>
    </row>
    <row r="14512" spans="8:20" x14ac:dyDescent="0.35">
      <c r="H14512" s="711"/>
      <c r="I14512" s="711"/>
      <c r="J14512" s="711"/>
      <c r="K14512" s="711"/>
      <c r="L14512" s="711"/>
      <c r="Q14512" s="11"/>
      <c r="R14512" s="11"/>
      <c r="S14512" s="11"/>
      <c r="T14512" s="11"/>
    </row>
    <row r="14513" spans="8:20" x14ac:dyDescent="0.35">
      <c r="H14513" s="711"/>
      <c r="I14513" s="711"/>
      <c r="J14513" s="711"/>
      <c r="K14513" s="711"/>
      <c r="L14513" s="711"/>
      <c r="Q14513" s="11"/>
      <c r="R14513" s="11"/>
      <c r="S14513" s="11"/>
      <c r="T14513" s="11"/>
    </row>
    <row r="14514" spans="8:20" x14ac:dyDescent="0.35">
      <c r="H14514" s="711"/>
      <c r="I14514" s="711"/>
      <c r="J14514" s="711"/>
      <c r="K14514" s="711"/>
      <c r="L14514" s="711"/>
      <c r="Q14514" s="11"/>
      <c r="R14514" s="11"/>
      <c r="S14514" s="11"/>
      <c r="T14514" s="11"/>
    </row>
    <row r="14515" spans="8:20" x14ac:dyDescent="0.35">
      <c r="H14515" s="711"/>
      <c r="I14515" s="711"/>
      <c r="J14515" s="711"/>
      <c r="K14515" s="711"/>
      <c r="L14515" s="711"/>
      <c r="Q14515" s="11"/>
      <c r="R14515" s="11"/>
      <c r="S14515" s="11"/>
      <c r="T14515" s="11"/>
    </row>
    <row r="14516" spans="8:20" x14ac:dyDescent="0.35">
      <c r="H14516" s="711"/>
      <c r="I14516" s="711"/>
      <c r="J14516" s="711"/>
      <c r="K14516" s="711"/>
      <c r="L14516" s="711"/>
      <c r="Q14516" s="11"/>
      <c r="R14516" s="11"/>
      <c r="S14516" s="11"/>
      <c r="T14516" s="11"/>
    </row>
    <row r="14517" spans="8:20" x14ac:dyDescent="0.35">
      <c r="H14517" s="711"/>
      <c r="I14517" s="711"/>
      <c r="J14517" s="711"/>
      <c r="K14517" s="711"/>
      <c r="L14517" s="711"/>
      <c r="Q14517" s="11"/>
      <c r="R14517" s="11"/>
      <c r="S14517" s="11"/>
      <c r="T14517" s="11"/>
    </row>
    <row r="14518" spans="8:20" x14ac:dyDescent="0.35">
      <c r="H14518" s="711"/>
      <c r="I14518" s="711"/>
      <c r="J14518" s="711"/>
      <c r="K14518" s="711"/>
      <c r="L14518" s="711"/>
      <c r="Q14518" s="11"/>
      <c r="R14518" s="11"/>
      <c r="S14518" s="11"/>
      <c r="T14518" s="11"/>
    </row>
    <row r="14519" spans="8:20" x14ac:dyDescent="0.35">
      <c r="H14519" s="711"/>
      <c r="I14519" s="711"/>
      <c r="J14519" s="711"/>
      <c r="K14519" s="711"/>
      <c r="L14519" s="711"/>
      <c r="Q14519" s="11"/>
      <c r="R14519" s="11"/>
      <c r="S14519" s="11"/>
      <c r="T14519" s="11"/>
    </row>
    <row r="14520" spans="8:20" x14ac:dyDescent="0.35">
      <c r="H14520" s="711"/>
      <c r="I14520" s="711"/>
      <c r="J14520" s="711"/>
      <c r="K14520" s="711"/>
      <c r="L14520" s="711"/>
      <c r="Q14520" s="11"/>
      <c r="R14520" s="11"/>
      <c r="S14520" s="11"/>
      <c r="T14520" s="11"/>
    </row>
    <row r="14521" spans="8:20" x14ac:dyDescent="0.35">
      <c r="H14521" s="711"/>
      <c r="I14521" s="711"/>
      <c r="J14521" s="711"/>
      <c r="K14521" s="711"/>
      <c r="L14521" s="711"/>
      <c r="Q14521" s="11"/>
      <c r="R14521" s="11"/>
      <c r="S14521" s="11"/>
      <c r="T14521" s="11"/>
    </row>
    <row r="14522" spans="8:20" x14ac:dyDescent="0.35">
      <c r="H14522" s="711"/>
      <c r="I14522" s="711"/>
      <c r="J14522" s="711"/>
      <c r="K14522" s="711"/>
      <c r="L14522" s="711"/>
      <c r="Q14522" s="11"/>
      <c r="R14522" s="11"/>
      <c r="S14522" s="11"/>
      <c r="T14522" s="11"/>
    </row>
    <row r="14523" spans="8:20" x14ac:dyDescent="0.35">
      <c r="H14523" s="711"/>
      <c r="I14523" s="711"/>
      <c r="J14523" s="711"/>
      <c r="K14523" s="711"/>
      <c r="L14523" s="711"/>
      <c r="Q14523" s="11"/>
      <c r="R14523" s="11"/>
      <c r="S14523" s="11"/>
      <c r="T14523" s="11"/>
    </row>
    <row r="14524" spans="8:20" x14ac:dyDescent="0.35">
      <c r="H14524" s="711"/>
      <c r="I14524" s="711"/>
      <c r="J14524" s="711"/>
      <c r="K14524" s="711"/>
      <c r="L14524" s="711"/>
      <c r="Q14524" s="11"/>
      <c r="R14524" s="11"/>
      <c r="S14524" s="11"/>
      <c r="T14524" s="11"/>
    </row>
    <row r="14525" spans="8:20" x14ac:dyDescent="0.35">
      <c r="H14525" s="711"/>
      <c r="I14525" s="711"/>
      <c r="J14525" s="711"/>
      <c r="K14525" s="711"/>
      <c r="L14525" s="711"/>
      <c r="Q14525" s="11"/>
      <c r="R14525" s="11"/>
      <c r="S14525" s="11"/>
      <c r="T14525" s="11"/>
    </row>
    <row r="14526" spans="8:20" x14ac:dyDescent="0.35">
      <c r="H14526" s="711"/>
      <c r="I14526" s="711"/>
      <c r="J14526" s="711"/>
      <c r="K14526" s="711"/>
      <c r="L14526" s="711"/>
      <c r="Q14526" s="11"/>
      <c r="R14526" s="11"/>
      <c r="S14526" s="11"/>
      <c r="T14526" s="11"/>
    </row>
    <row r="14527" spans="8:20" x14ac:dyDescent="0.35">
      <c r="H14527" s="711"/>
      <c r="I14527" s="711"/>
      <c r="J14527" s="711"/>
      <c r="K14527" s="711"/>
      <c r="L14527" s="711"/>
      <c r="Q14527" s="11"/>
      <c r="R14527" s="11"/>
      <c r="S14527" s="11"/>
      <c r="T14527" s="11"/>
    </row>
    <row r="14528" spans="8:20" x14ac:dyDescent="0.35">
      <c r="H14528" s="711"/>
      <c r="I14528" s="711"/>
      <c r="J14528" s="711"/>
      <c r="K14528" s="711"/>
      <c r="L14528" s="711"/>
      <c r="Q14528" s="11"/>
      <c r="R14528" s="11"/>
      <c r="S14528" s="11"/>
      <c r="T14528" s="11"/>
    </row>
    <row r="14529" spans="8:20" x14ac:dyDescent="0.35">
      <c r="H14529" s="711"/>
      <c r="I14529" s="711"/>
      <c r="J14529" s="711"/>
      <c r="K14529" s="711"/>
      <c r="L14529" s="711"/>
      <c r="Q14529" s="11"/>
      <c r="R14529" s="11"/>
      <c r="S14529" s="11"/>
      <c r="T14529" s="11"/>
    </row>
    <row r="14530" spans="8:20" x14ac:dyDescent="0.35">
      <c r="H14530" s="711"/>
      <c r="I14530" s="711"/>
      <c r="J14530" s="711"/>
      <c r="K14530" s="711"/>
      <c r="L14530" s="711"/>
      <c r="Q14530" s="11"/>
      <c r="R14530" s="11"/>
      <c r="S14530" s="11"/>
      <c r="T14530" s="11"/>
    </row>
    <row r="14531" spans="8:20" x14ac:dyDescent="0.35">
      <c r="H14531" s="711"/>
      <c r="I14531" s="711"/>
      <c r="J14531" s="711"/>
      <c r="K14531" s="711"/>
      <c r="L14531" s="711"/>
      <c r="Q14531" s="11"/>
      <c r="R14531" s="11"/>
      <c r="S14531" s="11"/>
      <c r="T14531" s="11"/>
    </row>
    <row r="14532" spans="8:20" x14ac:dyDescent="0.35">
      <c r="H14532" s="711"/>
      <c r="I14532" s="711"/>
      <c r="J14532" s="711"/>
      <c r="K14532" s="711"/>
      <c r="L14532" s="711"/>
      <c r="Q14532" s="11"/>
      <c r="R14532" s="11"/>
      <c r="S14532" s="11"/>
      <c r="T14532" s="11"/>
    </row>
    <row r="14533" spans="8:20" x14ac:dyDescent="0.35">
      <c r="H14533" s="711"/>
      <c r="I14533" s="711"/>
      <c r="J14533" s="711"/>
      <c r="K14533" s="711"/>
      <c r="L14533" s="711"/>
      <c r="Q14533" s="11"/>
      <c r="R14533" s="11"/>
      <c r="S14533" s="11"/>
      <c r="T14533" s="11"/>
    </row>
    <row r="14534" spans="8:20" x14ac:dyDescent="0.35">
      <c r="H14534" s="711"/>
      <c r="I14534" s="711"/>
      <c r="J14534" s="711"/>
      <c r="K14534" s="711"/>
      <c r="L14534" s="711"/>
      <c r="Q14534" s="11"/>
      <c r="R14534" s="11"/>
      <c r="S14534" s="11"/>
      <c r="T14534" s="11"/>
    </row>
    <row r="14535" spans="8:20" x14ac:dyDescent="0.35">
      <c r="H14535" s="711"/>
      <c r="I14535" s="711"/>
      <c r="J14535" s="711"/>
      <c r="K14535" s="711"/>
      <c r="L14535" s="711"/>
      <c r="Q14535" s="11"/>
      <c r="R14535" s="11"/>
      <c r="S14535" s="11"/>
      <c r="T14535" s="11"/>
    </row>
    <row r="14536" spans="8:20" x14ac:dyDescent="0.35">
      <c r="H14536" s="711"/>
      <c r="I14536" s="711"/>
      <c r="J14536" s="711"/>
      <c r="K14536" s="711"/>
      <c r="L14536" s="711"/>
      <c r="Q14536" s="11"/>
      <c r="R14536" s="11"/>
      <c r="S14536" s="11"/>
      <c r="T14536" s="11"/>
    </row>
    <row r="14537" spans="8:20" x14ac:dyDescent="0.35">
      <c r="H14537" s="711"/>
      <c r="I14537" s="711"/>
      <c r="J14537" s="711"/>
      <c r="K14537" s="711"/>
      <c r="L14537" s="711"/>
      <c r="Q14537" s="11"/>
      <c r="R14537" s="11"/>
      <c r="S14537" s="11"/>
      <c r="T14537" s="11"/>
    </row>
    <row r="14538" spans="8:20" x14ac:dyDescent="0.35">
      <c r="H14538" s="711"/>
      <c r="I14538" s="711"/>
      <c r="J14538" s="711"/>
      <c r="K14538" s="711"/>
      <c r="L14538" s="711"/>
      <c r="Q14538" s="11"/>
      <c r="R14538" s="11"/>
      <c r="S14538" s="11"/>
      <c r="T14538" s="11"/>
    </row>
    <row r="14539" spans="8:20" x14ac:dyDescent="0.35">
      <c r="H14539" s="711"/>
      <c r="I14539" s="711"/>
      <c r="J14539" s="711"/>
      <c r="K14539" s="711"/>
      <c r="L14539" s="711"/>
      <c r="Q14539" s="11"/>
      <c r="R14539" s="11"/>
      <c r="S14539" s="11"/>
      <c r="T14539" s="11"/>
    </row>
    <row r="14540" spans="8:20" x14ac:dyDescent="0.35">
      <c r="H14540" s="711"/>
      <c r="I14540" s="711"/>
      <c r="J14540" s="711"/>
      <c r="K14540" s="711"/>
      <c r="L14540" s="711"/>
      <c r="Q14540" s="11"/>
      <c r="R14540" s="11"/>
      <c r="S14540" s="11"/>
      <c r="T14540" s="11"/>
    </row>
    <row r="14541" spans="8:20" x14ac:dyDescent="0.35">
      <c r="H14541" s="711"/>
      <c r="I14541" s="711"/>
      <c r="J14541" s="711"/>
      <c r="K14541" s="711"/>
      <c r="L14541" s="711"/>
      <c r="Q14541" s="11"/>
      <c r="R14541" s="11"/>
      <c r="S14541" s="11"/>
      <c r="T14541" s="11"/>
    </row>
    <row r="14542" spans="8:20" x14ac:dyDescent="0.35">
      <c r="H14542" s="711"/>
      <c r="I14542" s="711"/>
      <c r="J14542" s="711"/>
      <c r="K14542" s="711"/>
      <c r="L14542" s="711"/>
      <c r="Q14542" s="11"/>
      <c r="R14542" s="11"/>
      <c r="S14542" s="11"/>
      <c r="T14542" s="11"/>
    </row>
    <row r="14543" spans="8:20" x14ac:dyDescent="0.35">
      <c r="H14543" s="711"/>
      <c r="I14543" s="711"/>
      <c r="J14543" s="711"/>
      <c r="K14543" s="711"/>
      <c r="L14543" s="711"/>
      <c r="Q14543" s="11"/>
      <c r="R14543" s="11"/>
      <c r="S14543" s="11"/>
      <c r="T14543" s="11"/>
    </row>
    <row r="14544" spans="8:20" x14ac:dyDescent="0.35">
      <c r="H14544" s="711"/>
      <c r="I14544" s="711"/>
      <c r="J14544" s="711"/>
      <c r="K14544" s="711"/>
      <c r="L14544" s="711"/>
      <c r="Q14544" s="11"/>
      <c r="R14544" s="11"/>
      <c r="S14544" s="11"/>
      <c r="T14544" s="11"/>
    </row>
    <row r="14545" spans="8:20" x14ac:dyDescent="0.35">
      <c r="H14545" s="711"/>
      <c r="I14545" s="711"/>
      <c r="J14545" s="711"/>
      <c r="K14545" s="711"/>
      <c r="L14545" s="711"/>
      <c r="Q14545" s="11"/>
      <c r="R14545" s="11"/>
      <c r="S14545" s="11"/>
      <c r="T14545" s="11"/>
    </row>
    <row r="14546" spans="8:20" x14ac:dyDescent="0.35">
      <c r="H14546" s="711"/>
      <c r="I14546" s="711"/>
      <c r="J14546" s="711"/>
      <c r="K14546" s="711"/>
      <c r="L14546" s="711"/>
      <c r="Q14546" s="11"/>
      <c r="R14546" s="11"/>
      <c r="S14546" s="11"/>
      <c r="T14546" s="11"/>
    </row>
    <row r="14547" spans="8:20" x14ac:dyDescent="0.35">
      <c r="H14547" s="711"/>
      <c r="I14547" s="711"/>
      <c r="J14547" s="711"/>
      <c r="K14547" s="711"/>
      <c r="L14547" s="711"/>
      <c r="Q14547" s="11"/>
      <c r="R14547" s="11"/>
      <c r="S14547" s="11"/>
      <c r="T14547" s="11"/>
    </row>
    <row r="14548" spans="8:20" x14ac:dyDescent="0.35">
      <c r="H14548" s="711"/>
      <c r="I14548" s="711"/>
      <c r="J14548" s="711"/>
      <c r="K14548" s="711"/>
      <c r="L14548" s="711"/>
      <c r="Q14548" s="11"/>
      <c r="R14548" s="11"/>
      <c r="S14548" s="11"/>
      <c r="T14548" s="11"/>
    </row>
    <row r="14549" spans="8:20" x14ac:dyDescent="0.35">
      <c r="H14549" s="711"/>
      <c r="I14549" s="711"/>
      <c r="J14549" s="711"/>
      <c r="K14549" s="711"/>
      <c r="L14549" s="711"/>
      <c r="Q14549" s="11"/>
      <c r="R14549" s="11"/>
      <c r="S14549" s="11"/>
      <c r="T14549" s="11"/>
    </row>
    <row r="14550" spans="8:20" x14ac:dyDescent="0.35">
      <c r="H14550" s="711"/>
      <c r="I14550" s="711"/>
      <c r="J14550" s="711"/>
      <c r="K14550" s="711"/>
      <c r="L14550" s="711"/>
      <c r="Q14550" s="11"/>
      <c r="R14550" s="11"/>
      <c r="S14550" s="11"/>
      <c r="T14550" s="11"/>
    </row>
    <row r="14551" spans="8:20" x14ac:dyDescent="0.35">
      <c r="H14551" s="711"/>
      <c r="I14551" s="711"/>
      <c r="J14551" s="711"/>
      <c r="K14551" s="711"/>
      <c r="L14551" s="711"/>
      <c r="Q14551" s="11"/>
      <c r="R14551" s="11"/>
      <c r="S14551" s="11"/>
      <c r="T14551" s="11"/>
    </row>
    <row r="14552" spans="8:20" x14ac:dyDescent="0.35">
      <c r="H14552" s="711"/>
      <c r="I14552" s="711"/>
      <c r="J14552" s="711"/>
      <c r="K14552" s="711"/>
      <c r="L14552" s="711"/>
      <c r="Q14552" s="11"/>
      <c r="R14552" s="11"/>
      <c r="S14552" s="11"/>
      <c r="T14552" s="11"/>
    </row>
    <row r="14553" spans="8:20" x14ac:dyDescent="0.35">
      <c r="H14553" s="711"/>
      <c r="I14553" s="711"/>
      <c r="J14553" s="711"/>
      <c r="K14553" s="711"/>
      <c r="L14553" s="711"/>
      <c r="Q14553" s="11"/>
      <c r="R14553" s="11"/>
      <c r="S14553" s="11"/>
      <c r="T14553" s="11"/>
    </row>
    <row r="14554" spans="8:20" x14ac:dyDescent="0.35">
      <c r="H14554" s="711"/>
      <c r="I14554" s="711"/>
      <c r="J14554" s="711"/>
      <c r="K14554" s="711"/>
      <c r="L14554" s="711"/>
      <c r="Q14554" s="11"/>
      <c r="R14554" s="11"/>
      <c r="S14554" s="11"/>
      <c r="T14554" s="11"/>
    </row>
    <row r="14555" spans="8:20" x14ac:dyDescent="0.35">
      <c r="H14555" s="711"/>
      <c r="I14555" s="711"/>
      <c r="J14555" s="711"/>
      <c r="K14555" s="711"/>
      <c r="L14555" s="711"/>
      <c r="Q14555" s="11"/>
      <c r="R14555" s="11"/>
      <c r="S14555" s="11"/>
      <c r="T14555" s="11"/>
    </row>
    <row r="14556" spans="8:20" x14ac:dyDescent="0.35">
      <c r="H14556" s="711"/>
      <c r="I14556" s="711"/>
      <c r="J14556" s="711"/>
      <c r="K14556" s="711"/>
      <c r="L14556" s="711"/>
      <c r="Q14556" s="11"/>
      <c r="R14556" s="11"/>
      <c r="S14556" s="11"/>
      <c r="T14556" s="11"/>
    </row>
    <row r="14557" spans="8:20" x14ac:dyDescent="0.35">
      <c r="H14557" s="711"/>
      <c r="I14557" s="711"/>
      <c r="J14557" s="711"/>
      <c r="K14557" s="711"/>
      <c r="L14557" s="711"/>
      <c r="Q14557" s="11"/>
      <c r="R14557" s="11"/>
      <c r="S14557" s="11"/>
      <c r="T14557" s="11"/>
    </row>
    <row r="14558" spans="8:20" x14ac:dyDescent="0.35">
      <c r="H14558" s="711"/>
      <c r="I14558" s="711"/>
      <c r="J14558" s="711"/>
      <c r="K14558" s="711"/>
      <c r="L14558" s="711"/>
      <c r="Q14558" s="11"/>
      <c r="R14558" s="11"/>
      <c r="S14558" s="11"/>
      <c r="T14558" s="11"/>
    </row>
    <row r="14559" spans="8:20" x14ac:dyDescent="0.35">
      <c r="H14559" s="711"/>
      <c r="I14559" s="711"/>
      <c r="J14559" s="711"/>
      <c r="K14559" s="711"/>
      <c r="L14559" s="711"/>
      <c r="Q14559" s="11"/>
      <c r="R14559" s="11"/>
      <c r="S14559" s="11"/>
      <c r="T14559" s="11"/>
    </row>
    <row r="14560" spans="8:20" x14ac:dyDescent="0.35">
      <c r="H14560" s="711"/>
      <c r="I14560" s="711"/>
      <c r="J14560" s="711"/>
      <c r="K14560" s="711"/>
      <c r="L14560" s="711"/>
      <c r="Q14560" s="11"/>
      <c r="R14560" s="11"/>
      <c r="S14560" s="11"/>
      <c r="T14560" s="11"/>
    </row>
    <row r="14561" spans="8:20" x14ac:dyDescent="0.35">
      <c r="H14561" s="711"/>
      <c r="I14561" s="711"/>
      <c r="J14561" s="711"/>
      <c r="K14561" s="711"/>
      <c r="L14561" s="711"/>
      <c r="Q14561" s="11"/>
      <c r="R14561" s="11"/>
      <c r="S14561" s="11"/>
      <c r="T14561" s="11"/>
    </row>
    <row r="14562" spans="8:20" x14ac:dyDescent="0.35">
      <c r="H14562" s="711"/>
      <c r="I14562" s="711"/>
      <c r="J14562" s="711"/>
      <c r="K14562" s="711"/>
      <c r="L14562" s="711"/>
      <c r="Q14562" s="11"/>
      <c r="R14562" s="11"/>
      <c r="S14562" s="11"/>
      <c r="T14562" s="11"/>
    </row>
    <row r="14563" spans="8:20" x14ac:dyDescent="0.35">
      <c r="H14563" s="711"/>
      <c r="I14563" s="711"/>
      <c r="J14563" s="711"/>
      <c r="K14563" s="711"/>
      <c r="L14563" s="711"/>
      <c r="Q14563" s="11"/>
      <c r="R14563" s="11"/>
      <c r="S14563" s="11"/>
      <c r="T14563" s="11"/>
    </row>
    <row r="14564" spans="8:20" x14ac:dyDescent="0.35">
      <c r="H14564" s="711"/>
      <c r="I14564" s="711"/>
      <c r="J14564" s="711"/>
      <c r="K14564" s="711"/>
      <c r="L14564" s="711"/>
      <c r="Q14564" s="11"/>
      <c r="R14564" s="11"/>
      <c r="S14564" s="11"/>
      <c r="T14564" s="11"/>
    </row>
    <row r="14565" spans="8:20" x14ac:dyDescent="0.35">
      <c r="H14565" s="711"/>
      <c r="I14565" s="711"/>
      <c r="J14565" s="711"/>
      <c r="K14565" s="711"/>
      <c r="L14565" s="711"/>
      <c r="Q14565" s="11"/>
      <c r="R14565" s="11"/>
      <c r="S14565" s="11"/>
      <c r="T14565" s="11"/>
    </row>
    <row r="14566" spans="8:20" x14ac:dyDescent="0.35">
      <c r="H14566" s="711"/>
      <c r="I14566" s="711"/>
      <c r="J14566" s="711"/>
      <c r="K14566" s="711"/>
      <c r="L14566" s="711"/>
      <c r="Q14566" s="11"/>
      <c r="R14566" s="11"/>
      <c r="S14566" s="11"/>
      <c r="T14566" s="11"/>
    </row>
    <row r="14567" spans="8:20" x14ac:dyDescent="0.35">
      <c r="H14567" s="711"/>
      <c r="I14567" s="711"/>
      <c r="J14567" s="711"/>
      <c r="K14567" s="711"/>
      <c r="L14567" s="711"/>
      <c r="Q14567" s="11"/>
      <c r="R14567" s="11"/>
      <c r="S14567" s="11"/>
      <c r="T14567" s="11"/>
    </row>
    <row r="14568" spans="8:20" x14ac:dyDescent="0.35">
      <c r="H14568" s="711"/>
      <c r="I14568" s="711"/>
      <c r="J14568" s="711"/>
      <c r="K14568" s="711"/>
      <c r="L14568" s="711"/>
      <c r="Q14568" s="11"/>
      <c r="R14568" s="11"/>
      <c r="S14568" s="11"/>
      <c r="T14568" s="11"/>
    </row>
    <row r="14569" spans="8:20" x14ac:dyDescent="0.35">
      <c r="H14569" s="711"/>
      <c r="I14569" s="711"/>
      <c r="J14569" s="711"/>
      <c r="K14569" s="711"/>
      <c r="L14569" s="711"/>
      <c r="Q14569" s="11"/>
      <c r="R14569" s="11"/>
      <c r="S14569" s="11"/>
      <c r="T14569" s="11"/>
    </row>
    <row r="14570" spans="8:20" x14ac:dyDescent="0.35">
      <c r="H14570" s="711"/>
      <c r="I14570" s="711"/>
      <c r="J14570" s="711"/>
      <c r="K14570" s="711"/>
      <c r="L14570" s="711"/>
      <c r="Q14570" s="11"/>
      <c r="R14570" s="11"/>
      <c r="S14570" s="11"/>
      <c r="T14570" s="11"/>
    </row>
    <row r="14571" spans="8:20" x14ac:dyDescent="0.35">
      <c r="H14571" s="711"/>
      <c r="I14571" s="711"/>
      <c r="J14571" s="711"/>
      <c r="K14571" s="711"/>
      <c r="L14571" s="711"/>
      <c r="Q14571" s="11"/>
      <c r="R14571" s="11"/>
      <c r="S14571" s="11"/>
      <c r="T14571" s="11"/>
    </row>
    <row r="14572" spans="8:20" x14ac:dyDescent="0.35">
      <c r="H14572" s="711"/>
      <c r="I14572" s="711"/>
      <c r="J14572" s="711"/>
      <c r="K14572" s="711"/>
      <c r="L14572" s="711"/>
      <c r="Q14572" s="11"/>
      <c r="R14572" s="11"/>
      <c r="S14572" s="11"/>
      <c r="T14572" s="11"/>
    </row>
    <row r="14573" spans="8:20" x14ac:dyDescent="0.35">
      <c r="H14573" s="711"/>
      <c r="I14573" s="711"/>
      <c r="J14573" s="711"/>
      <c r="K14573" s="711"/>
      <c r="L14573" s="711"/>
      <c r="Q14573" s="11"/>
      <c r="R14573" s="11"/>
      <c r="S14573" s="11"/>
      <c r="T14573" s="11"/>
    </row>
    <row r="14574" spans="8:20" x14ac:dyDescent="0.35">
      <c r="H14574" s="711"/>
      <c r="I14574" s="711"/>
      <c r="J14574" s="711"/>
      <c r="K14574" s="711"/>
      <c r="L14574" s="711"/>
      <c r="Q14574" s="11"/>
      <c r="R14574" s="11"/>
      <c r="S14574" s="11"/>
      <c r="T14574" s="11"/>
    </row>
    <row r="14575" spans="8:20" x14ac:dyDescent="0.35">
      <c r="H14575" s="711"/>
      <c r="I14575" s="711"/>
      <c r="J14575" s="711"/>
      <c r="K14575" s="711"/>
      <c r="L14575" s="711"/>
      <c r="Q14575" s="11"/>
      <c r="R14575" s="11"/>
      <c r="S14575" s="11"/>
      <c r="T14575" s="11"/>
    </row>
    <row r="14576" spans="8:20" x14ac:dyDescent="0.35">
      <c r="H14576" s="711"/>
      <c r="I14576" s="711"/>
      <c r="J14576" s="711"/>
      <c r="K14576" s="711"/>
      <c r="L14576" s="711"/>
      <c r="Q14576" s="11"/>
      <c r="R14576" s="11"/>
      <c r="S14576" s="11"/>
      <c r="T14576" s="11"/>
    </row>
    <row r="14577" spans="8:20" x14ac:dyDescent="0.35">
      <c r="H14577" s="711"/>
      <c r="I14577" s="711"/>
      <c r="J14577" s="711"/>
      <c r="K14577" s="711"/>
      <c r="L14577" s="711"/>
      <c r="Q14577" s="11"/>
      <c r="R14577" s="11"/>
      <c r="S14577" s="11"/>
      <c r="T14577" s="11"/>
    </row>
    <row r="14578" spans="8:20" x14ac:dyDescent="0.35">
      <c r="H14578" s="711"/>
      <c r="I14578" s="711"/>
      <c r="J14578" s="711"/>
      <c r="K14578" s="711"/>
      <c r="L14578" s="711"/>
      <c r="Q14578" s="11"/>
      <c r="R14578" s="11"/>
      <c r="S14578" s="11"/>
      <c r="T14578" s="11"/>
    </row>
    <row r="14579" spans="8:20" x14ac:dyDescent="0.35">
      <c r="H14579" s="711"/>
      <c r="I14579" s="711"/>
      <c r="J14579" s="711"/>
      <c r="K14579" s="711"/>
      <c r="L14579" s="711"/>
      <c r="Q14579" s="11"/>
      <c r="R14579" s="11"/>
      <c r="S14579" s="11"/>
      <c r="T14579" s="11"/>
    </row>
    <row r="14580" spans="8:20" x14ac:dyDescent="0.35">
      <c r="H14580" s="711"/>
      <c r="I14580" s="711"/>
      <c r="J14580" s="711"/>
      <c r="K14580" s="711"/>
      <c r="L14580" s="711"/>
      <c r="Q14580" s="11"/>
      <c r="R14580" s="11"/>
      <c r="S14580" s="11"/>
      <c r="T14580" s="11"/>
    </row>
    <row r="14581" spans="8:20" x14ac:dyDescent="0.35">
      <c r="H14581" s="711"/>
      <c r="I14581" s="711"/>
      <c r="J14581" s="711"/>
      <c r="K14581" s="711"/>
      <c r="L14581" s="711"/>
      <c r="Q14581" s="11"/>
      <c r="R14581" s="11"/>
      <c r="S14581" s="11"/>
      <c r="T14581" s="11"/>
    </row>
    <row r="14582" spans="8:20" x14ac:dyDescent="0.35">
      <c r="H14582" s="711"/>
      <c r="I14582" s="711"/>
      <c r="J14582" s="711"/>
      <c r="K14582" s="711"/>
      <c r="L14582" s="711"/>
      <c r="Q14582" s="11"/>
      <c r="R14582" s="11"/>
      <c r="S14582" s="11"/>
      <c r="T14582" s="11"/>
    </row>
    <row r="14583" spans="8:20" x14ac:dyDescent="0.35">
      <c r="H14583" s="711"/>
      <c r="I14583" s="711"/>
      <c r="J14583" s="711"/>
      <c r="K14583" s="711"/>
      <c r="L14583" s="711"/>
      <c r="Q14583" s="11"/>
      <c r="R14583" s="11"/>
      <c r="S14583" s="11"/>
      <c r="T14583" s="11"/>
    </row>
    <row r="14584" spans="8:20" x14ac:dyDescent="0.35">
      <c r="H14584" s="711"/>
      <c r="I14584" s="711"/>
      <c r="J14584" s="711"/>
      <c r="K14584" s="711"/>
      <c r="L14584" s="711"/>
      <c r="Q14584" s="11"/>
      <c r="R14584" s="11"/>
      <c r="S14584" s="11"/>
      <c r="T14584" s="11"/>
    </row>
    <row r="14585" spans="8:20" x14ac:dyDescent="0.35">
      <c r="H14585" s="711"/>
      <c r="I14585" s="711"/>
      <c r="J14585" s="711"/>
      <c r="K14585" s="711"/>
      <c r="L14585" s="711"/>
      <c r="Q14585" s="11"/>
      <c r="R14585" s="11"/>
      <c r="S14585" s="11"/>
      <c r="T14585" s="11"/>
    </row>
    <row r="14586" spans="8:20" x14ac:dyDescent="0.35">
      <c r="H14586" s="711"/>
      <c r="I14586" s="711"/>
      <c r="J14586" s="711"/>
      <c r="K14586" s="711"/>
      <c r="L14586" s="711"/>
      <c r="Q14586" s="11"/>
      <c r="R14586" s="11"/>
      <c r="S14586" s="11"/>
      <c r="T14586" s="11"/>
    </row>
    <row r="14587" spans="8:20" x14ac:dyDescent="0.35">
      <c r="H14587" s="711"/>
      <c r="I14587" s="711"/>
      <c r="J14587" s="711"/>
      <c r="K14587" s="711"/>
      <c r="L14587" s="711"/>
      <c r="Q14587" s="11"/>
      <c r="R14587" s="11"/>
      <c r="S14587" s="11"/>
      <c r="T14587" s="11"/>
    </row>
    <row r="14588" spans="8:20" x14ac:dyDescent="0.35">
      <c r="H14588" s="711"/>
      <c r="I14588" s="711"/>
      <c r="J14588" s="711"/>
      <c r="K14588" s="711"/>
      <c r="L14588" s="711"/>
      <c r="Q14588" s="11"/>
      <c r="R14588" s="11"/>
      <c r="S14588" s="11"/>
      <c r="T14588" s="11"/>
    </row>
    <row r="14589" spans="8:20" x14ac:dyDescent="0.35">
      <c r="H14589" s="711"/>
      <c r="I14589" s="711"/>
      <c r="J14589" s="711"/>
      <c r="K14589" s="711"/>
      <c r="L14589" s="711"/>
      <c r="Q14589" s="11"/>
      <c r="R14589" s="11"/>
      <c r="S14589" s="11"/>
      <c r="T14589" s="11"/>
    </row>
    <row r="14590" spans="8:20" x14ac:dyDescent="0.35">
      <c r="H14590" s="711"/>
      <c r="I14590" s="711"/>
      <c r="J14590" s="711"/>
      <c r="K14590" s="711"/>
      <c r="L14590" s="711"/>
      <c r="Q14590" s="11"/>
      <c r="R14590" s="11"/>
      <c r="S14590" s="11"/>
      <c r="T14590" s="11"/>
    </row>
    <row r="14591" spans="8:20" x14ac:dyDescent="0.35">
      <c r="H14591" s="711"/>
      <c r="I14591" s="711"/>
      <c r="J14591" s="711"/>
      <c r="K14591" s="711"/>
      <c r="L14591" s="711"/>
      <c r="Q14591" s="11"/>
      <c r="R14591" s="11"/>
      <c r="S14591" s="11"/>
      <c r="T14591" s="11"/>
    </row>
    <row r="14592" spans="8:20" x14ac:dyDescent="0.35">
      <c r="H14592" s="711"/>
      <c r="I14592" s="711"/>
      <c r="J14592" s="711"/>
      <c r="K14592" s="711"/>
      <c r="L14592" s="711"/>
      <c r="Q14592" s="11"/>
      <c r="R14592" s="11"/>
      <c r="S14592" s="11"/>
      <c r="T14592" s="11"/>
    </row>
    <row r="14593" spans="8:20" x14ac:dyDescent="0.35">
      <c r="H14593" s="711"/>
      <c r="I14593" s="711"/>
      <c r="J14593" s="711"/>
      <c r="K14593" s="711"/>
      <c r="L14593" s="711"/>
      <c r="Q14593" s="11"/>
      <c r="R14593" s="11"/>
      <c r="S14593" s="11"/>
      <c r="T14593" s="11"/>
    </row>
    <row r="14594" spans="8:20" x14ac:dyDescent="0.35">
      <c r="H14594" s="711"/>
      <c r="I14594" s="711"/>
      <c r="J14594" s="711"/>
      <c r="K14594" s="711"/>
      <c r="L14594" s="711"/>
      <c r="Q14594" s="11"/>
      <c r="R14594" s="11"/>
      <c r="S14594" s="11"/>
      <c r="T14594" s="11"/>
    </row>
    <row r="14595" spans="8:20" x14ac:dyDescent="0.35">
      <c r="H14595" s="711"/>
      <c r="I14595" s="711"/>
      <c r="J14595" s="711"/>
      <c r="K14595" s="711"/>
      <c r="L14595" s="711"/>
      <c r="Q14595" s="11"/>
      <c r="R14595" s="11"/>
      <c r="S14595" s="11"/>
      <c r="T14595" s="11"/>
    </row>
    <row r="14596" spans="8:20" x14ac:dyDescent="0.35">
      <c r="H14596" s="711"/>
      <c r="I14596" s="711"/>
      <c r="J14596" s="711"/>
      <c r="K14596" s="711"/>
      <c r="L14596" s="711"/>
      <c r="Q14596" s="11"/>
      <c r="R14596" s="11"/>
      <c r="S14596" s="11"/>
      <c r="T14596" s="11"/>
    </row>
    <row r="14597" spans="8:20" x14ac:dyDescent="0.35">
      <c r="H14597" s="711"/>
      <c r="I14597" s="711"/>
      <c r="J14597" s="711"/>
      <c r="K14597" s="711"/>
      <c r="L14597" s="711"/>
      <c r="Q14597" s="11"/>
      <c r="R14597" s="11"/>
      <c r="S14597" s="11"/>
      <c r="T14597" s="11"/>
    </row>
    <row r="14598" spans="8:20" x14ac:dyDescent="0.35">
      <c r="H14598" s="711"/>
      <c r="I14598" s="711"/>
      <c r="J14598" s="711"/>
      <c r="K14598" s="711"/>
      <c r="L14598" s="711"/>
      <c r="Q14598" s="11"/>
      <c r="R14598" s="11"/>
      <c r="S14598" s="11"/>
      <c r="T14598" s="11"/>
    </row>
    <row r="14599" spans="8:20" x14ac:dyDescent="0.35">
      <c r="H14599" s="711"/>
      <c r="I14599" s="711"/>
      <c r="J14599" s="711"/>
      <c r="K14599" s="711"/>
      <c r="L14599" s="711"/>
      <c r="Q14599" s="11"/>
      <c r="R14599" s="11"/>
      <c r="S14599" s="11"/>
      <c r="T14599" s="11"/>
    </row>
    <row r="14600" spans="8:20" x14ac:dyDescent="0.35">
      <c r="H14600" s="711"/>
      <c r="I14600" s="711"/>
      <c r="J14600" s="711"/>
      <c r="K14600" s="711"/>
      <c r="L14600" s="711"/>
      <c r="Q14600" s="11"/>
      <c r="R14600" s="11"/>
      <c r="S14600" s="11"/>
      <c r="T14600" s="11"/>
    </row>
    <row r="14601" spans="8:20" x14ac:dyDescent="0.35">
      <c r="H14601" s="711"/>
      <c r="I14601" s="711"/>
      <c r="J14601" s="711"/>
      <c r="K14601" s="711"/>
      <c r="L14601" s="711"/>
      <c r="Q14601" s="11"/>
      <c r="R14601" s="11"/>
      <c r="S14601" s="11"/>
      <c r="T14601" s="11"/>
    </row>
    <row r="14602" spans="8:20" x14ac:dyDescent="0.35">
      <c r="H14602" s="711"/>
      <c r="I14602" s="711"/>
      <c r="J14602" s="711"/>
      <c r="K14602" s="711"/>
      <c r="L14602" s="711"/>
      <c r="Q14602" s="11"/>
      <c r="R14602" s="11"/>
      <c r="S14602" s="11"/>
      <c r="T14602" s="11"/>
    </row>
    <row r="14603" spans="8:20" x14ac:dyDescent="0.35">
      <c r="H14603" s="711"/>
      <c r="I14603" s="711"/>
      <c r="J14603" s="711"/>
      <c r="K14603" s="711"/>
      <c r="L14603" s="711"/>
      <c r="Q14603" s="11"/>
      <c r="R14603" s="11"/>
      <c r="S14603" s="11"/>
      <c r="T14603" s="11"/>
    </row>
    <row r="14604" spans="8:20" x14ac:dyDescent="0.35">
      <c r="H14604" s="711"/>
      <c r="I14604" s="711"/>
      <c r="J14604" s="711"/>
      <c r="K14604" s="711"/>
      <c r="L14604" s="711"/>
      <c r="Q14604" s="11"/>
      <c r="R14604" s="11"/>
      <c r="S14604" s="11"/>
      <c r="T14604" s="11"/>
    </row>
    <row r="14605" spans="8:20" x14ac:dyDescent="0.35">
      <c r="H14605" s="711"/>
      <c r="I14605" s="711"/>
      <c r="J14605" s="711"/>
      <c r="K14605" s="711"/>
      <c r="L14605" s="711"/>
      <c r="Q14605" s="11"/>
      <c r="R14605" s="11"/>
      <c r="S14605" s="11"/>
      <c r="T14605" s="11"/>
    </row>
    <row r="14606" spans="8:20" x14ac:dyDescent="0.35">
      <c r="H14606" s="711"/>
      <c r="I14606" s="711"/>
      <c r="J14606" s="711"/>
      <c r="K14606" s="711"/>
      <c r="L14606" s="711"/>
      <c r="Q14606" s="11"/>
      <c r="R14606" s="11"/>
      <c r="S14606" s="11"/>
      <c r="T14606" s="11"/>
    </row>
    <row r="14607" spans="8:20" x14ac:dyDescent="0.35">
      <c r="H14607" s="711"/>
      <c r="I14607" s="711"/>
      <c r="J14607" s="711"/>
      <c r="K14607" s="711"/>
      <c r="L14607" s="711"/>
      <c r="Q14607" s="11"/>
      <c r="R14607" s="11"/>
      <c r="S14607" s="11"/>
      <c r="T14607" s="11"/>
    </row>
    <row r="14608" spans="8:20" x14ac:dyDescent="0.35">
      <c r="H14608" s="711"/>
      <c r="I14608" s="711"/>
      <c r="J14608" s="711"/>
      <c r="K14608" s="711"/>
      <c r="L14608" s="711"/>
      <c r="Q14608" s="11"/>
      <c r="R14608" s="11"/>
      <c r="S14608" s="11"/>
      <c r="T14608" s="11"/>
    </row>
    <row r="14609" spans="8:20" x14ac:dyDescent="0.35">
      <c r="H14609" s="711"/>
      <c r="I14609" s="711"/>
      <c r="J14609" s="711"/>
      <c r="K14609" s="711"/>
      <c r="L14609" s="711"/>
      <c r="Q14609" s="11"/>
      <c r="R14609" s="11"/>
      <c r="S14609" s="11"/>
      <c r="T14609" s="11"/>
    </row>
    <row r="14610" spans="8:20" x14ac:dyDescent="0.35">
      <c r="H14610" s="711"/>
      <c r="I14610" s="711"/>
      <c r="J14610" s="711"/>
      <c r="K14610" s="711"/>
      <c r="L14610" s="711"/>
      <c r="Q14610" s="11"/>
      <c r="R14610" s="11"/>
      <c r="S14610" s="11"/>
      <c r="T14610" s="11"/>
    </row>
    <row r="14611" spans="8:20" x14ac:dyDescent="0.35">
      <c r="H14611" s="711"/>
      <c r="I14611" s="711"/>
      <c r="J14611" s="711"/>
      <c r="K14611" s="711"/>
      <c r="L14611" s="711"/>
      <c r="Q14611" s="11"/>
      <c r="R14611" s="11"/>
      <c r="S14611" s="11"/>
      <c r="T14611" s="11"/>
    </row>
    <row r="14612" spans="8:20" x14ac:dyDescent="0.35">
      <c r="H14612" s="711"/>
      <c r="I14612" s="711"/>
      <c r="J14612" s="711"/>
      <c r="K14612" s="711"/>
      <c r="L14612" s="711"/>
      <c r="Q14612" s="11"/>
      <c r="R14612" s="11"/>
      <c r="S14612" s="11"/>
      <c r="T14612" s="11"/>
    </row>
    <row r="14613" spans="8:20" x14ac:dyDescent="0.35">
      <c r="H14613" s="711"/>
      <c r="I14613" s="711"/>
      <c r="J14613" s="711"/>
      <c r="K14613" s="711"/>
      <c r="L14613" s="711"/>
      <c r="Q14613" s="11"/>
      <c r="R14613" s="11"/>
      <c r="S14613" s="11"/>
      <c r="T14613" s="11"/>
    </row>
    <row r="14614" spans="8:20" x14ac:dyDescent="0.35">
      <c r="H14614" s="711"/>
      <c r="I14614" s="711"/>
      <c r="J14614" s="711"/>
      <c r="K14614" s="711"/>
      <c r="L14614" s="711"/>
      <c r="Q14614" s="11"/>
      <c r="R14614" s="11"/>
      <c r="S14614" s="11"/>
      <c r="T14614" s="11"/>
    </row>
    <row r="14615" spans="8:20" x14ac:dyDescent="0.35">
      <c r="H14615" s="711"/>
      <c r="I14615" s="711"/>
      <c r="J14615" s="711"/>
      <c r="K14615" s="711"/>
      <c r="L14615" s="711"/>
      <c r="Q14615" s="11"/>
      <c r="R14615" s="11"/>
      <c r="S14615" s="11"/>
      <c r="T14615" s="11"/>
    </row>
    <row r="14616" spans="8:20" x14ac:dyDescent="0.35">
      <c r="H14616" s="711"/>
      <c r="I14616" s="711"/>
      <c r="J14616" s="711"/>
      <c r="K14616" s="711"/>
      <c r="L14616" s="711"/>
      <c r="Q14616" s="11"/>
      <c r="R14616" s="11"/>
      <c r="S14616" s="11"/>
      <c r="T14616" s="11"/>
    </row>
    <row r="14617" spans="8:20" x14ac:dyDescent="0.35">
      <c r="H14617" s="711"/>
      <c r="I14617" s="711"/>
      <c r="J14617" s="711"/>
      <c r="K14617" s="711"/>
      <c r="L14617" s="711"/>
      <c r="Q14617" s="11"/>
      <c r="R14617" s="11"/>
      <c r="S14617" s="11"/>
      <c r="T14617" s="11"/>
    </row>
    <row r="14618" spans="8:20" x14ac:dyDescent="0.35">
      <c r="H14618" s="711"/>
      <c r="I14618" s="711"/>
      <c r="J14618" s="711"/>
      <c r="K14618" s="711"/>
      <c r="L14618" s="711"/>
      <c r="Q14618" s="11"/>
      <c r="R14618" s="11"/>
      <c r="S14618" s="11"/>
      <c r="T14618" s="11"/>
    </row>
    <row r="14619" spans="8:20" x14ac:dyDescent="0.35">
      <c r="H14619" s="711"/>
      <c r="I14619" s="711"/>
      <c r="J14619" s="711"/>
      <c r="K14619" s="711"/>
      <c r="L14619" s="711"/>
      <c r="Q14619" s="11"/>
      <c r="R14619" s="11"/>
      <c r="S14619" s="11"/>
      <c r="T14619" s="11"/>
    </row>
    <row r="14620" spans="8:20" x14ac:dyDescent="0.35">
      <c r="H14620" s="711"/>
      <c r="I14620" s="711"/>
      <c r="J14620" s="711"/>
      <c r="K14620" s="711"/>
      <c r="L14620" s="711"/>
      <c r="Q14620" s="11"/>
      <c r="R14620" s="11"/>
      <c r="S14620" s="11"/>
      <c r="T14620" s="11"/>
    </row>
    <row r="14621" spans="8:20" x14ac:dyDescent="0.35">
      <c r="H14621" s="711"/>
      <c r="I14621" s="711"/>
      <c r="J14621" s="711"/>
      <c r="K14621" s="711"/>
      <c r="L14621" s="711"/>
      <c r="Q14621" s="11"/>
      <c r="R14621" s="11"/>
      <c r="S14621" s="11"/>
      <c r="T14621" s="11"/>
    </row>
    <row r="14622" spans="8:20" x14ac:dyDescent="0.35">
      <c r="H14622" s="711"/>
      <c r="I14622" s="711"/>
      <c r="J14622" s="711"/>
      <c r="K14622" s="711"/>
      <c r="L14622" s="711"/>
      <c r="Q14622" s="11"/>
      <c r="R14622" s="11"/>
      <c r="S14622" s="11"/>
      <c r="T14622" s="11"/>
    </row>
    <row r="14623" spans="8:20" x14ac:dyDescent="0.35">
      <c r="H14623" s="711"/>
      <c r="I14623" s="711"/>
      <c r="J14623" s="711"/>
      <c r="K14623" s="711"/>
      <c r="L14623" s="711"/>
      <c r="Q14623" s="11"/>
      <c r="R14623" s="11"/>
      <c r="S14623" s="11"/>
      <c r="T14623" s="11"/>
    </row>
    <row r="14624" spans="8:20" x14ac:dyDescent="0.35">
      <c r="H14624" s="711"/>
      <c r="I14624" s="711"/>
      <c r="J14624" s="711"/>
      <c r="K14624" s="711"/>
      <c r="L14624" s="711"/>
      <c r="Q14624" s="11"/>
      <c r="R14624" s="11"/>
      <c r="S14624" s="11"/>
      <c r="T14624" s="11"/>
    </row>
    <row r="14625" spans="8:20" x14ac:dyDescent="0.35">
      <c r="H14625" s="711"/>
      <c r="I14625" s="711"/>
      <c r="J14625" s="711"/>
      <c r="K14625" s="711"/>
      <c r="L14625" s="711"/>
      <c r="Q14625" s="11"/>
      <c r="R14625" s="11"/>
      <c r="S14625" s="11"/>
      <c r="T14625" s="11"/>
    </row>
    <row r="14626" spans="8:20" x14ac:dyDescent="0.35">
      <c r="H14626" s="711"/>
      <c r="I14626" s="711"/>
      <c r="J14626" s="711"/>
      <c r="K14626" s="711"/>
      <c r="L14626" s="711"/>
      <c r="Q14626" s="11"/>
      <c r="R14626" s="11"/>
      <c r="S14626" s="11"/>
      <c r="T14626" s="11"/>
    </row>
    <row r="14627" spans="8:20" x14ac:dyDescent="0.35">
      <c r="H14627" s="711"/>
      <c r="I14627" s="711"/>
      <c r="J14627" s="711"/>
      <c r="K14627" s="711"/>
      <c r="L14627" s="711"/>
      <c r="Q14627" s="11"/>
      <c r="R14627" s="11"/>
      <c r="S14627" s="11"/>
      <c r="T14627" s="11"/>
    </row>
    <row r="14628" spans="8:20" x14ac:dyDescent="0.35">
      <c r="H14628" s="711"/>
      <c r="I14628" s="711"/>
      <c r="J14628" s="711"/>
      <c r="K14628" s="711"/>
      <c r="L14628" s="711"/>
      <c r="Q14628" s="11"/>
      <c r="R14628" s="11"/>
      <c r="S14628" s="11"/>
      <c r="T14628" s="11"/>
    </row>
    <row r="14629" spans="8:20" x14ac:dyDescent="0.35">
      <c r="H14629" s="711"/>
      <c r="I14629" s="711"/>
      <c r="J14629" s="711"/>
      <c r="K14629" s="711"/>
      <c r="L14629" s="711"/>
      <c r="Q14629" s="11"/>
      <c r="R14629" s="11"/>
      <c r="S14629" s="11"/>
      <c r="T14629" s="11"/>
    </row>
    <row r="14630" spans="8:20" x14ac:dyDescent="0.35">
      <c r="H14630" s="711"/>
      <c r="I14630" s="711"/>
      <c r="J14630" s="711"/>
      <c r="K14630" s="711"/>
      <c r="L14630" s="711"/>
      <c r="Q14630" s="11"/>
      <c r="R14630" s="11"/>
      <c r="S14630" s="11"/>
      <c r="T14630" s="11"/>
    </row>
    <row r="14631" spans="8:20" x14ac:dyDescent="0.35">
      <c r="H14631" s="711"/>
      <c r="I14631" s="711"/>
      <c r="J14631" s="711"/>
      <c r="K14631" s="711"/>
      <c r="L14631" s="711"/>
      <c r="Q14631" s="11"/>
      <c r="R14631" s="11"/>
      <c r="S14631" s="11"/>
      <c r="T14631" s="11"/>
    </row>
    <row r="14632" spans="8:20" x14ac:dyDescent="0.35">
      <c r="H14632" s="711"/>
      <c r="I14632" s="711"/>
      <c r="J14632" s="711"/>
      <c r="K14632" s="711"/>
      <c r="L14632" s="711"/>
      <c r="Q14632" s="11"/>
      <c r="R14632" s="11"/>
      <c r="S14632" s="11"/>
      <c r="T14632" s="11"/>
    </row>
    <row r="14633" spans="8:20" x14ac:dyDescent="0.35">
      <c r="H14633" s="711"/>
      <c r="I14633" s="711"/>
      <c r="J14633" s="711"/>
      <c r="K14633" s="711"/>
      <c r="L14633" s="711"/>
      <c r="Q14633" s="11"/>
      <c r="R14633" s="11"/>
      <c r="S14633" s="11"/>
      <c r="T14633" s="11"/>
    </row>
    <row r="14634" spans="8:20" x14ac:dyDescent="0.35">
      <c r="H14634" s="711"/>
      <c r="I14634" s="711"/>
      <c r="J14634" s="711"/>
      <c r="K14634" s="711"/>
      <c r="L14634" s="711"/>
      <c r="Q14634" s="11"/>
      <c r="R14634" s="11"/>
      <c r="S14634" s="11"/>
      <c r="T14634" s="11"/>
    </row>
    <row r="14635" spans="8:20" x14ac:dyDescent="0.35">
      <c r="H14635" s="711"/>
      <c r="I14635" s="711"/>
      <c r="J14635" s="711"/>
      <c r="K14635" s="711"/>
      <c r="L14635" s="711"/>
      <c r="Q14635" s="11"/>
      <c r="R14635" s="11"/>
      <c r="S14635" s="11"/>
      <c r="T14635" s="11"/>
    </row>
    <row r="14636" spans="8:20" x14ac:dyDescent="0.35">
      <c r="H14636" s="711"/>
      <c r="I14636" s="711"/>
      <c r="J14636" s="711"/>
      <c r="K14636" s="711"/>
      <c r="L14636" s="711"/>
      <c r="Q14636" s="11"/>
      <c r="R14636" s="11"/>
      <c r="S14636" s="11"/>
      <c r="T14636" s="11"/>
    </row>
    <row r="14637" spans="8:20" x14ac:dyDescent="0.35">
      <c r="H14637" s="711"/>
      <c r="I14637" s="711"/>
      <c r="J14637" s="711"/>
      <c r="K14637" s="711"/>
      <c r="L14637" s="711"/>
      <c r="Q14637" s="11"/>
      <c r="R14637" s="11"/>
      <c r="S14637" s="11"/>
      <c r="T14637" s="11"/>
    </row>
    <row r="14638" spans="8:20" x14ac:dyDescent="0.35">
      <c r="H14638" s="711"/>
      <c r="I14638" s="711"/>
      <c r="J14638" s="711"/>
      <c r="K14638" s="711"/>
      <c r="L14638" s="711"/>
      <c r="Q14638" s="11"/>
      <c r="R14638" s="11"/>
      <c r="S14638" s="11"/>
      <c r="T14638" s="11"/>
    </row>
    <row r="14639" spans="8:20" x14ac:dyDescent="0.35">
      <c r="H14639" s="711"/>
      <c r="I14639" s="711"/>
      <c r="J14639" s="711"/>
      <c r="K14639" s="711"/>
      <c r="L14639" s="711"/>
      <c r="Q14639" s="11"/>
      <c r="R14639" s="11"/>
      <c r="S14639" s="11"/>
      <c r="T14639" s="11"/>
    </row>
    <row r="14640" spans="8:20" x14ac:dyDescent="0.35">
      <c r="H14640" s="711"/>
      <c r="I14640" s="711"/>
      <c r="J14640" s="711"/>
      <c r="K14640" s="711"/>
      <c r="L14640" s="711"/>
      <c r="Q14640" s="11"/>
      <c r="R14640" s="11"/>
      <c r="S14640" s="11"/>
      <c r="T14640" s="11"/>
    </row>
    <row r="14641" spans="8:20" x14ac:dyDescent="0.35">
      <c r="H14641" s="711"/>
      <c r="I14641" s="711"/>
      <c r="J14641" s="711"/>
      <c r="K14641" s="711"/>
      <c r="L14641" s="711"/>
      <c r="Q14641" s="11"/>
      <c r="R14641" s="11"/>
      <c r="S14641" s="11"/>
      <c r="T14641" s="11"/>
    </row>
    <row r="14642" spans="8:20" x14ac:dyDescent="0.35">
      <c r="H14642" s="711"/>
      <c r="I14642" s="711"/>
      <c r="J14642" s="711"/>
      <c r="K14642" s="711"/>
      <c r="L14642" s="711"/>
      <c r="Q14642" s="11"/>
      <c r="R14642" s="11"/>
      <c r="S14642" s="11"/>
      <c r="T14642" s="11"/>
    </row>
    <row r="14643" spans="8:20" x14ac:dyDescent="0.35">
      <c r="H14643" s="711"/>
      <c r="I14643" s="711"/>
      <c r="J14643" s="711"/>
      <c r="K14643" s="711"/>
      <c r="L14643" s="711"/>
      <c r="Q14643" s="11"/>
      <c r="R14643" s="11"/>
      <c r="S14643" s="11"/>
      <c r="T14643" s="11"/>
    </row>
    <row r="14644" spans="8:20" x14ac:dyDescent="0.35">
      <c r="H14644" s="711"/>
      <c r="I14644" s="711"/>
      <c r="J14644" s="711"/>
      <c r="K14644" s="711"/>
      <c r="L14644" s="711"/>
      <c r="Q14644" s="11"/>
      <c r="R14644" s="11"/>
      <c r="S14644" s="11"/>
      <c r="T14644" s="11"/>
    </row>
    <row r="14645" spans="8:20" x14ac:dyDescent="0.35">
      <c r="H14645" s="711"/>
      <c r="I14645" s="711"/>
      <c r="J14645" s="711"/>
      <c r="K14645" s="711"/>
      <c r="L14645" s="711"/>
      <c r="Q14645" s="11"/>
      <c r="R14645" s="11"/>
      <c r="S14645" s="11"/>
      <c r="T14645" s="11"/>
    </row>
    <row r="14646" spans="8:20" x14ac:dyDescent="0.35">
      <c r="H14646" s="711"/>
      <c r="I14646" s="711"/>
      <c r="J14646" s="711"/>
      <c r="K14646" s="711"/>
      <c r="L14646" s="711"/>
      <c r="Q14646" s="11"/>
      <c r="R14646" s="11"/>
      <c r="S14646" s="11"/>
      <c r="T14646" s="11"/>
    </row>
    <row r="14647" spans="8:20" x14ac:dyDescent="0.35">
      <c r="H14647" s="711"/>
      <c r="I14647" s="711"/>
      <c r="J14647" s="711"/>
      <c r="K14647" s="711"/>
      <c r="L14647" s="711"/>
      <c r="Q14647" s="11"/>
      <c r="R14647" s="11"/>
      <c r="S14647" s="11"/>
      <c r="T14647" s="11"/>
    </row>
    <row r="14648" spans="8:20" x14ac:dyDescent="0.35">
      <c r="H14648" s="711"/>
      <c r="I14648" s="711"/>
      <c r="J14648" s="711"/>
      <c r="K14648" s="711"/>
      <c r="L14648" s="711"/>
      <c r="Q14648" s="11"/>
      <c r="R14648" s="11"/>
      <c r="S14648" s="11"/>
      <c r="T14648" s="11"/>
    </row>
    <row r="14649" spans="8:20" x14ac:dyDescent="0.35">
      <c r="H14649" s="711"/>
      <c r="I14649" s="711"/>
      <c r="J14649" s="711"/>
      <c r="K14649" s="711"/>
      <c r="L14649" s="711"/>
      <c r="Q14649" s="11"/>
      <c r="R14649" s="11"/>
      <c r="S14649" s="11"/>
      <c r="T14649" s="11"/>
    </row>
    <row r="14650" spans="8:20" x14ac:dyDescent="0.35">
      <c r="H14650" s="711"/>
      <c r="I14650" s="711"/>
      <c r="J14650" s="711"/>
      <c r="K14650" s="711"/>
      <c r="L14650" s="711"/>
      <c r="Q14650" s="11"/>
      <c r="R14650" s="11"/>
      <c r="S14650" s="11"/>
      <c r="T14650" s="11"/>
    </row>
    <row r="14651" spans="8:20" x14ac:dyDescent="0.35">
      <c r="H14651" s="711"/>
      <c r="I14651" s="711"/>
      <c r="J14651" s="711"/>
      <c r="K14651" s="711"/>
      <c r="L14651" s="711"/>
      <c r="Q14651" s="11"/>
      <c r="R14651" s="11"/>
      <c r="S14651" s="11"/>
      <c r="T14651" s="11"/>
    </row>
    <row r="14652" spans="8:20" x14ac:dyDescent="0.35">
      <c r="H14652" s="711"/>
      <c r="I14652" s="711"/>
      <c r="J14652" s="711"/>
      <c r="K14652" s="711"/>
      <c r="L14652" s="711"/>
      <c r="Q14652" s="11"/>
      <c r="R14652" s="11"/>
      <c r="S14652" s="11"/>
      <c r="T14652" s="11"/>
    </row>
    <row r="14653" spans="8:20" x14ac:dyDescent="0.35">
      <c r="H14653" s="711"/>
      <c r="I14653" s="711"/>
      <c r="J14653" s="711"/>
      <c r="K14653" s="711"/>
      <c r="L14653" s="711"/>
      <c r="Q14653" s="11"/>
      <c r="R14653" s="11"/>
      <c r="S14653" s="11"/>
      <c r="T14653" s="11"/>
    </row>
    <row r="14654" spans="8:20" x14ac:dyDescent="0.35">
      <c r="H14654" s="711"/>
      <c r="I14654" s="711"/>
      <c r="J14654" s="711"/>
      <c r="K14654" s="711"/>
      <c r="L14654" s="711"/>
      <c r="Q14654" s="11"/>
      <c r="R14654" s="11"/>
      <c r="S14654" s="11"/>
      <c r="T14654" s="11"/>
    </row>
    <row r="14655" spans="8:20" x14ac:dyDescent="0.35">
      <c r="H14655" s="711"/>
      <c r="I14655" s="711"/>
      <c r="J14655" s="711"/>
      <c r="K14655" s="711"/>
      <c r="L14655" s="711"/>
      <c r="Q14655" s="11"/>
      <c r="R14655" s="11"/>
      <c r="S14655" s="11"/>
      <c r="T14655" s="11"/>
    </row>
    <row r="14656" spans="8:20" x14ac:dyDescent="0.35">
      <c r="H14656" s="711"/>
      <c r="I14656" s="711"/>
      <c r="J14656" s="711"/>
      <c r="K14656" s="711"/>
      <c r="L14656" s="711"/>
      <c r="Q14656" s="11"/>
      <c r="R14656" s="11"/>
      <c r="S14656" s="11"/>
      <c r="T14656" s="11"/>
    </row>
    <row r="14657" spans="8:20" x14ac:dyDescent="0.35">
      <c r="H14657" s="711"/>
      <c r="I14657" s="711"/>
      <c r="J14657" s="711"/>
      <c r="K14657" s="711"/>
      <c r="L14657" s="711"/>
      <c r="Q14657" s="11"/>
      <c r="R14657" s="11"/>
      <c r="S14657" s="11"/>
      <c r="T14657" s="11"/>
    </row>
    <row r="14658" spans="8:20" x14ac:dyDescent="0.35">
      <c r="H14658" s="711"/>
      <c r="I14658" s="711"/>
      <c r="J14658" s="711"/>
      <c r="K14658" s="711"/>
      <c r="L14658" s="711"/>
      <c r="Q14658" s="11"/>
      <c r="R14658" s="11"/>
      <c r="S14658" s="11"/>
      <c r="T14658" s="11"/>
    </row>
    <row r="14659" spans="8:20" x14ac:dyDescent="0.35">
      <c r="H14659" s="711"/>
      <c r="I14659" s="711"/>
      <c r="J14659" s="711"/>
      <c r="K14659" s="711"/>
      <c r="L14659" s="711"/>
      <c r="Q14659" s="11"/>
      <c r="R14659" s="11"/>
      <c r="S14659" s="11"/>
      <c r="T14659" s="11"/>
    </row>
    <row r="14660" spans="8:20" x14ac:dyDescent="0.35">
      <c r="H14660" s="711"/>
      <c r="I14660" s="711"/>
      <c r="J14660" s="711"/>
      <c r="K14660" s="711"/>
      <c r="L14660" s="711"/>
      <c r="Q14660" s="11"/>
      <c r="R14660" s="11"/>
      <c r="S14660" s="11"/>
      <c r="T14660" s="11"/>
    </row>
    <row r="14661" spans="8:20" x14ac:dyDescent="0.35">
      <c r="H14661" s="711"/>
      <c r="I14661" s="711"/>
      <c r="J14661" s="711"/>
      <c r="K14661" s="711"/>
      <c r="L14661" s="711"/>
      <c r="Q14661" s="11"/>
      <c r="R14661" s="11"/>
      <c r="S14661" s="11"/>
      <c r="T14661" s="11"/>
    </row>
    <row r="14662" spans="8:20" x14ac:dyDescent="0.35">
      <c r="H14662" s="711"/>
      <c r="I14662" s="711"/>
      <c r="J14662" s="711"/>
      <c r="K14662" s="711"/>
      <c r="L14662" s="711"/>
      <c r="Q14662" s="11"/>
      <c r="R14662" s="11"/>
      <c r="S14662" s="11"/>
      <c r="T14662" s="11"/>
    </row>
    <row r="14663" spans="8:20" x14ac:dyDescent="0.35">
      <c r="H14663" s="711"/>
      <c r="I14663" s="711"/>
      <c r="J14663" s="711"/>
      <c r="K14663" s="711"/>
      <c r="L14663" s="711"/>
      <c r="Q14663" s="11"/>
      <c r="R14663" s="11"/>
      <c r="S14663" s="11"/>
      <c r="T14663" s="11"/>
    </row>
    <row r="14664" spans="8:20" x14ac:dyDescent="0.35">
      <c r="H14664" s="711"/>
      <c r="I14664" s="711"/>
      <c r="J14664" s="711"/>
      <c r="K14664" s="711"/>
      <c r="L14664" s="711"/>
      <c r="Q14664" s="11"/>
      <c r="R14664" s="11"/>
      <c r="S14664" s="11"/>
      <c r="T14664" s="11"/>
    </row>
    <row r="14665" spans="8:20" x14ac:dyDescent="0.35">
      <c r="H14665" s="711"/>
      <c r="I14665" s="711"/>
      <c r="J14665" s="711"/>
      <c r="K14665" s="711"/>
      <c r="L14665" s="711"/>
      <c r="Q14665" s="11"/>
      <c r="R14665" s="11"/>
      <c r="S14665" s="11"/>
      <c r="T14665" s="11"/>
    </row>
    <row r="14666" spans="8:20" x14ac:dyDescent="0.35">
      <c r="H14666" s="711"/>
      <c r="I14666" s="711"/>
      <c r="J14666" s="711"/>
      <c r="K14666" s="711"/>
      <c r="L14666" s="711"/>
      <c r="Q14666" s="11"/>
      <c r="R14666" s="11"/>
      <c r="S14666" s="11"/>
      <c r="T14666" s="11"/>
    </row>
    <row r="14667" spans="8:20" x14ac:dyDescent="0.35">
      <c r="H14667" s="711"/>
      <c r="I14667" s="711"/>
      <c r="J14667" s="711"/>
      <c r="K14667" s="711"/>
      <c r="L14667" s="711"/>
      <c r="Q14667" s="11"/>
      <c r="R14667" s="11"/>
      <c r="S14667" s="11"/>
      <c r="T14667" s="11"/>
    </row>
    <row r="14668" spans="8:20" x14ac:dyDescent="0.35">
      <c r="H14668" s="711"/>
      <c r="I14668" s="711"/>
      <c r="J14668" s="711"/>
      <c r="K14668" s="711"/>
      <c r="L14668" s="711"/>
      <c r="Q14668" s="11"/>
      <c r="R14668" s="11"/>
      <c r="S14668" s="11"/>
      <c r="T14668" s="11"/>
    </row>
    <row r="14669" spans="8:20" x14ac:dyDescent="0.35">
      <c r="H14669" s="711"/>
      <c r="I14669" s="711"/>
      <c r="J14669" s="711"/>
      <c r="K14669" s="711"/>
      <c r="L14669" s="711"/>
      <c r="Q14669" s="11"/>
      <c r="R14669" s="11"/>
      <c r="S14669" s="11"/>
      <c r="T14669" s="11"/>
    </row>
    <row r="14670" spans="8:20" x14ac:dyDescent="0.35">
      <c r="H14670" s="711"/>
      <c r="I14670" s="711"/>
      <c r="J14670" s="711"/>
      <c r="K14670" s="711"/>
      <c r="L14670" s="711"/>
      <c r="Q14670" s="11"/>
      <c r="R14670" s="11"/>
      <c r="S14670" s="11"/>
      <c r="T14670" s="11"/>
    </row>
    <row r="14671" spans="8:20" x14ac:dyDescent="0.35">
      <c r="H14671" s="711"/>
      <c r="I14671" s="711"/>
      <c r="J14671" s="711"/>
      <c r="K14671" s="711"/>
      <c r="L14671" s="711"/>
      <c r="Q14671" s="11"/>
      <c r="R14671" s="11"/>
      <c r="S14671" s="11"/>
      <c r="T14671" s="11"/>
    </row>
    <row r="14672" spans="8:20" x14ac:dyDescent="0.35">
      <c r="H14672" s="711"/>
      <c r="I14672" s="711"/>
      <c r="J14672" s="711"/>
      <c r="K14672" s="711"/>
      <c r="L14672" s="711"/>
      <c r="Q14672" s="11"/>
      <c r="R14672" s="11"/>
      <c r="S14672" s="11"/>
      <c r="T14672" s="11"/>
    </row>
    <row r="14673" spans="8:20" x14ac:dyDescent="0.35">
      <c r="H14673" s="711"/>
      <c r="I14673" s="711"/>
      <c r="J14673" s="711"/>
      <c r="K14673" s="711"/>
      <c r="L14673" s="711"/>
      <c r="Q14673" s="11"/>
      <c r="R14673" s="11"/>
      <c r="S14673" s="11"/>
      <c r="T14673" s="11"/>
    </row>
    <row r="14674" spans="8:20" x14ac:dyDescent="0.35">
      <c r="H14674" s="711"/>
      <c r="I14674" s="711"/>
      <c r="J14674" s="711"/>
      <c r="K14674" s="711"/>
      <c r="L14674" s="711"/>
      <c r="Q14674" s="11"/>
      <c r="R14674" s="11"/>
      <c r="S14674" s="11"/>
      <c r="T14674" s="11"/>
    </row>
    <row r="14675" spans="8:20" x14ac:dyDescent="0.35">
      <c r="H14675" s="711"/>
      <c r="I14675" s="711"/>
      <c r="J14675" s="711"/>
      <c r="K14675" s="711"/>
      <c r="L14675" s="711"/>
      <c r="Q14675" s="11"/>
      <c r="R14675" s="11"/>
      <c r="S14675" s="11"/>
      <c r="T14675" s="11"/>
    </row>
    <row r="14676" spans="8:20" x14ac:dyDescent="0.35">
      <c r="H14676" s="711"/>
      <c r="I14676" s="711"/>
      <c r="J14676" s="711"/>
      <c r="K14676" s="711"/>
      <c r="L14676" s="711"/>
      <c r="Q14676" s="11"/>
      <c r="R14676" s="11"/>
      <c r="S14676" s="11"/>
      <c r="T14676" s="11"/>
    </row>
    <row r="14677" spans="8:20" x14ac:dyDescent="0.35">
      <c r="H14677" s="711"/>
      <c r="I14677" s="711"/>
      <c r="J14677" s="711"/>
      <c r="K14677" s="711"/>
      <c r="L14677" s="711"/>
      <c r="Q14677" s="11"/>
      <c r="R14677" s="11"/>
      <c r="S14677" s="11"/>
      <c r="T14677" s="11"/>
    </row>
    <row r="14678" spans="8:20" x14ac:dyDescent="0.35">
      <c r="H14678" s="711"/>
      <c r="I14678" s="711"/>
      <c r="J14678" s="711"/>
      <c r="K14678" s="711"/>
      <c r="L14678" s="711"/>
      <c r="Q14678" s="11"/>
      <c r="R14678" s="11"/>
      <c r="S14678" s="11"/>
      <c r="T14678" s="11"/>
    </row>
    <row r="14679" spans="8:20" x14ac:dyDescent="0.35">
      <c r="H14679" s="711"/>
      <c r="I14679" s="711"/>
      <c r="J14679" s="711"/>
      <c r="K14679" s="711"/>
      <c r="L14679" s="711"/>
      <c r="Q14679" s="11"/>
      <c r="R14679" s="11"/>
      <c r="S14679" s="11"/>
      <c r="T14679" s="11"/>
    </row>
    <row r="14680" spans="8:20" x14ac:dyDescent="0.35">
      <c r="H14680" s="711"/>
      <c r="I14680" s="711"/>
      <c r="J14680" s="711"/>
      <c r="K14680" s="711"/>
      <c r="L14680" s="711"/>
      <c r="Q14680" s="11"/>
      <c r="R14680" s="11"/>
      <c r="S14680" s="11"/>
      <c r="T14680" s="11"/>
    </row>
    <row r="14681" spans="8:20" x14ac:dyDescent="0.35">
      <c r="H14681" s="711"/>
      <c r="I14681" s="711"/>
      <c r="J14681" s="711"/>
      <c r="K14681" s="711"/>
      <c r="L14681" s="711"/>
      <c r="Q14681" s="11"/>
      <c r="R14681" s="11"/>
      <c r="S14681" s="11"/>
      <c r="T14681" s="11"/>
    </row>
    <row r="14682" spans="8:20" x14ac:dyDescent="0.35">
      <c r="H14682" s="711"/>
      <c r="I14682" s="711"/>
      <c r="J14682" s="711"/>
      <c r="K14682" s="711"/>
      <c r="L14682" s="711"/>
      <c r="Q14682" s="11"/>
      <c r="R14682" s="11"/>
      <c r="S14682" s="11"/>
      <c r="T14682" s="11"/>
    </row>
    <row r="14683" spans="8:20" x14ac:dyDescent="0.35">
      <c r="H14683" s="711"/>
      <c r="I14683" s="711"/>
      <c r="J14683" s="711"/>
      <c r="K14683" s="711"/>
      <c r="L14683" s="711"/>
      <c r="Q14683" s="11"/>
      <c r="R14683" s="11"/>
      <c r="S14683" s="11"/>
      <c r="T14683" s="11"/>
    </row>
    <row r="14684" spans="8:20" x14ac:dyDescent="0.35">
      <c r="H14684" s="711"/>
      <c r="I14684" s="711"/>
      <c r="J14684" s="711"/>
      <c r="K14684" s="711"/>
      <c r="L14684" s="711"/>
      <c r="Q14684" s="11"/>
      <c r="R14684" s="11"/>
      <c r="S14684" s="11"/>
      <c r="T14684" s="11"/>
    </row>
    <row r="14685" spans="8:20" x14ac:dyDescent="0.35">
      <c r="H14685" s="711"/>
      <c r="I14685" s="711"/>
      <c r="J14685" s="711"/>
      <c r="K14685" s="711"/>
      <c r="L14685" s="711"/>
      <c r="Q14685" s="11"/>
      <c r="R14685" s="11"/>
      <c r="S14685" s="11"/>
      <c r="T14685" s="11"/>
    </row>
    <row r="14686" spans="8:20" x14ac:dyDescent="0.35">
      <c r="H14686" s="711"/>
      <c r="I14686" s="711"/>
      <c r="J14686" s="711"/>
      <c r="K14686" s="711"/>
      <c r="L14686" s="711"/>
      <c r="Q14686" s="11"/>
      <c r="R14686" s="11"/>
      <c r="S14686" s="11"/>
      <c r="T14686" s="11"/>
    </row>
    <row r="14687" spans="8:20" x14ac:dyDescent="0.35">
      <c r="H14687" s="711"/>
      <c r="I14687" s="711"/>
      <c r="J14687" s="711"/>
      <c r="K14687" s="711"/>
      <c r="L14687" s="711"/>
      <c r="Q14687" s="11"/>
      <c r="R14687" s="11"/>
      <c r="S14687" s="11"/>
      <c r="T14687" s="11"/>
    </row>
    <row r="14688" spans="8:20" x14ac:dyDescent="0.35">
      <c r="H14688" s="711"/>
      <c r="I14688" s="711"/>
      <c r="J14688" s="711"/>
      <c r="K14688" s="711"/>
      <c r="L14688" s="711"/>
      <c r="Q14688" s="11"/>
      <c r="R14688" s="11"/>
      <c r="S14688" s="11"/>
      <c r="T14688" s="11"/>
    </row>
    <row r="14689" spans="8:20" x14ac:dyDescent="0.35">
      <c r="H14689" s="711"/>
      <c r="I14689" s="711"/>
      <c r="J14689" s="711"/>
      <c r="K14689" s="711"/>
      <c r="L14689" s="711"/>
      <c r="Q14689" s="11"/>
      <c r="R14689" s="11"/>
      <c r="S14689" s="11"/>
      <c r="T14689" s="11"/>
    </row>
    <row r="14690" spans="8:20" x14ac:dyDescent="0.35">
      <c r="H14690" s="711"/>
      <c r="I14690" s="711"/>
      <c r="J14690" s="711"/>
      <c r="K14690" s="711"/>
      <c r="L14690" s="711"/>
      <c r="Q14690" s="11"/>
      <c r="R14690" s="11"/>
      <c r="S14690" s="11"/>
      <c r="T14690" s="11"/>
    </row>
    <row r="14691" spans="8:20" x14ac:dyDescent="0.35">
      <c r="H14691" s="711"/>
      <c r="I14691" s="711"/>
      <c r="J14691" s="711"/>
      <c r="K14691" s="711"/>
      <c r="L14691" s="711"/>
      <c r="Q14691" s="11"/>
      <c r="R14691" s="11"/>
      <c r="S14691" s="11"/>
      <c r="T14691" s="11"/>
    </row>
    <row r="14692" spans="8:20" x14ac:dyDescent="0.35">
      <c r="H14692" s="711"/>
      <c r="I14692" s="711"/>
      <c r="J14692" s="711"/>
      <c r="K14692" s="711"/>
      <c r="L14692" s="711"/>
      <c r="Q14692" s="11"/>
      <c r="R14692" s="11"/>
      <c r="S14692" s="11"/>
      <c r="T14692" s="11"/>
    </row>
    <row r="14693" spans="8:20" x14ac:dyDescent="0.35">
      <c r="H14693" s="711"/>
      <c r="I14693" s="711"/>
      <c r="J14693" s="711"/>
      <c r="K14693" s="711"/>
      <c r="L14693" s="711"/>
      <c r="Q14693" s="11"/>
      <c r="R14693" s="11"/>
      <c r="S14693" s="11"/>
      <c r="T14693" s="11"/>
    </row>
    <row r="14694" spans="8:20" x14ac:dyDescent="0.35">
      <c r="H14694" s="711"/>
      <c r="I14694" s="711"/>
      <c r="J14694" s="711"/>
      <c r="K14694" s="711"/>
      <c r="L14694" s="711"/>
      <c r="Q14694" s="11"/>
      <c r="R14694" s="11"/>
      <c r="S14694" s="11"/>
      <c r="T14694" s="11"/>
    </row>
    <row r="14695" spans="8:20" x14ac:dyDescent="0.35">
      <c r="H14695" s="711"/>
      <c r="I14695" s="711"/>
      <c r="J14695" s="711"/>
      <c r="K14695" s="711"/>
      <c r="L14695" s="711"/>
      <c r="Q14695" s="11"/>
      <c r="R14695" s="11"/>
      <c r="S14695" s="11"/>
      <c r="T14695" s="11"/>
    </row>
    <row r="14696" spans="8:20" x14ac:dyDescent="0.35">
      <c r="H14696" s="711"/>
      <c r="I14696" s="711"/>
      <c r="J14696" s="711"/>
      <c r="K14696" s="711"/>
      <c r="L14696" s="711"/>
      <c r="Q14696" s="11"/>
      <c r="R14696" s="11"/>
      <c r="S14696" s="11"/>
      <c r="T14696" s="11"/>
    </row>
    <row r="14697" spans="8:20" x14ac:dyDescent="0.35">
      <c r="H14697" s="711"/>
      <c r="I14697" s="711"/>
      <c r="J14697" s="711"/>
      <c r="K14697" s="711"/>
      <c r="L14697" s="711"/>
      <c r="Q14697" s="11"/>
      <c r="R14697" s="11"/>
      <c r="S14697" s="11"/>
      <c r="T14697" s="11"/>
    </row>
    <row r="14698" spans="8:20" x14ac:dyDescent="0.35">
      <c r="H14698" s="711"/>
      <c r="I14698" s="711"/>
      <c r="J14698" s="711"/>
      <c r="K14698" s="711"/>
      <c r="L14698" s="711"/>
      <c r="Q14698" s="11"/>
      <c r="R14698" s="11"/>
      <c r="S14698" s="11"/>
      <c r="T14698" s="11"/>
    </row>
    <row r="14699" spans="8:20" x14ac:dyDescent="0.35">
      <c r="H14699" s="711"/>
      <c r="I14699" s="711"/>
      <c r="J14699" s="711"/>
      <c r="K14699" s="711"/>
      <c r="L14699" s="711"/>
      <c r="Q14699" s="11"/>
      <c r="R14699" s="11"/>
      <c r="S14699" s="11"/>
      <c r="T14699" s="11"/>
    </row>
    <row r="14700" spans="8:20" x14ac:dyDescent="0.35">
      <c r="H14700" s="711"/>
      <c r="I14700" s="711"/>
      <c r="J14700" s="711"/>
      <c r="K14700" s="711"/>
      <c r="L14700" s="711"/>
      <c r="Q14700" s="11"/>
      <c r="R14700" s="11"/>
      <c r="S14700" s="11"/>
      <c r="T14700" s="11"/>
    </row>
    <row r="14701" spans="8:20" x14ac:dyDescent="0.35">
      <c r="H14701" s="711"/>
      <c r="I14701" s="711"/>
      <c r="J14701" s="711"/>
      <c r="K14701" s="711"/>
      <c r="L14701" s="711"/>
      <c r="Q14701" s="11"/>
      <c r="R14701" s="11"/>
      <c r="S14701" s="11"/>
      <c r="T14701" s="11"/>
    </row>
    <row r="14702" spans="8:20" x14ac:dyDescent="0.35">
      <c r="H14702" s="711"/>
      <c r="I14702" s="711"/>
      <c r="J14702" s="711"/>
      <c r="K14702" s="711"/>
      <c r="L14702" s="711"/>
      <c r="Q14702" s="11"/>
      <c r="R14702" s="11"/>
      <c r="S14702" s="11"/>
      <c r="T14702" s="11"/>
    </row>
    <row r="14703" spans="8:20" x14ac:dyDescent="0.35">
      <c r="H14703" s="711"/>
      <c r="I14703" s="711"/>
      <c r="J14703" s="711"/>
      <c r="K14703" s="711"/>
      <c r="L14703" s="711"/>
      <c r="Q14703" s="11"/>
      <c r="R14703" s="11"/>
      <c r="S14703" s="11"/>
      <c r="T14703" s="11"/>
    </row>
    <row r="14704" spans="8:20" x14ac:dyDescent="0.35">
      <c r="H14704" s="711"/>
      <c r="I14704" s="711"/>
      <c r="J14704" s="711"/>
      <c r="K14704" s="711"/>
      <c r="L14704" s="711"/>
      <c r="Q14704" s="11"/>
      <c r="R14704" s="11"/>
      <c r="S14704" s="11"/>
      <c r="T14704" s="11"/>
    </row>
    <row r="14705" spans="8:20" x14ac:dyDescent="0.35">
      <c r="H14705" s="711"/>
      <c r="I14705" s="711"/>
      <c r="J14705" s="711"/>
      <c r="K14705" s="711"/>
      <c r="L14705" s="711"/>
      <c r="Q14705" s="11"/>
      <c r="R14705" s="11"/>
      <c r="S14705" s="11"/>
      <c r="T14705" s="11"/>
    </row>
    <row r="14706" spans="8:20" x14ac:dyDescent="0.35">
      <c r="H14706" s="711"/>
      <c r="I14706" s="711"/>
      <c r="J14706" s="711"/>
      <c r="K14706" s="711"/>
      <c r="L14706" s="711"/>
      <c r="Q14706" s="11"/>
      <c r="R14706" s="11"/>
      <c r="S14706" s="11"/>
      <c r="T14706" s="11"/>
    </row>
    <row r="14707" spans="8:20" x14ac:dyDescent="0.35">
      <c r="H14707" s="711"/>
      <c r="I14707" s="711"/>
      <c r="J14707" s="711"/>
      <c r="K14707" s="711"/>
      <c r="L14707" s="711"/>
      <c r="Q14707" s="11"/>
      <c r="R14707" s="11"/>
      <c r="S14707" s="11"/>
      <c r="T14707" s="11"/>
    </row>
    <row r="14708" spans="8:20" x14ac:dyDescent="0.35">
      <c r="H14708" s="711"/>
      <c r="I14708" s="711"/>
      <c r="J14708" s="711"/>
      <c r="K14708" s="711"/>
      <c r="L14708" s="711"/>
      <c r="Q14708" s="11"/>
      <c r="R14708" s="11"/>
      <c r="S14708" s="11"/>
      <c r="T14708" s="11"/>
    </row>
    <row r="14709" spans="8:20" x14ac:dyDescent="0.35">
      <c r="H14709" s="711"/>
      <c r="I14709" s="711"/>
      <c r="J14709" s="711"/>
      <c r="K14709" s="711"/>
      <c r="L14709" s="711"/>
      <c r="Q14709" s="11"/>
      <c r="R14709" s="11"/>
      <c r="S14709" s="11"/>
      <c r="T14709" s="11"/>
    </row>
    <row r="14710" spans="8:20" x14ac:dyDescent="0.35">
      <c r="H14710" s="711"/>
      <c r="I14710" s="711"/>
      <c r="J14710" s="711"/>
      <c r="K14710" s="711"/>
      <c r="L14710" s="711"/>
      <c r="Q14710" s="11"/>
      <c r="R14710" s="11"/>
      <c r="S14710" s="11"/>
      <c r="T14710" s="11"/>
    </row>
    <row r="14711" spans="8:20" x14ac:dyDescent="0.35">
      <c r="H14711" s="711"/>
      <c r="I14711" s="711"/>
      <c r="J14711" s="711"/>
      <c r="K14711" s="711"/>
      <c r="L14711" s="711"/>
      <c r="Q14711" s="11"/>
      <c r="R14711" s="11"/>
      <c r="S14711" s="11"/>
      <c r="T14711" s="11"/>
    </row>
    <row r="14712" spans="8:20" x14ac:dyDescent="0.35">
      <c r="H14712" s="711"/>
      <c r="I14712" s="711"/>
      <c r="J14712" s="711"/>
      <c r="K14712" s="711"/>
      <c r="L14712" s="711"/>
      <c r="Q14712" s="11"/>
      <c r="R14712" s="11"/>
      <c r="S14712" s="11"/>
      <c r="T14712" s="11"/>
    </row>
    <row r="14713" spans="8:20" x14ac:dyDescent="0.35">
      <c r="H14713" s="711"/>
      <c r="I14713" s="711"/>
      <c r="J14713" s="711"/>
      <c r="K14713" s="711"/>
      <c r="L14713" s="711"/>
      <c r="Q14713" s="11"/>
      <c r="R14713" s="11"/>
      <c r="S14713" s="11"/>
      <c r="T14713" s="11"/>
    </row>
    <row r="14714" spans="8:20" x14ac:dyDescent="0.35">
      <c r="H14714" s="711"/>
      <c r="I14714" s="711"/>
      <c r="J14714" s="711"/>
      <c r="K14714" s="711"/>
      <c r="L14714" s="711"/>
      <c r="Q14714" s="11"/>
      <c r="R14714" s="11"/>
      <c r="S14714" s="11"/>
      <c r="T14714" s="11"/>
    </row>
    <row r="14715" spans="8:20" x14ac:dyDescent="0.35">
      <c r="H14715" s="711"/>
      <c r="I14715" s="711"/>
      <c r="J14715" s="711"/>
      <c r="K14715" s="711"/>
      <c r="L14715" s="711"/>
      <c r="Q14715" s="11"/>
      <c r="R14715" s="11"/>
      <c r="S14715" s="11"/>
      <c r="T14715" s="11"/>
    </row>
    <row r="14716" spans="8:20" x14ac:dyDescent="0.35">
      <c r="H14716" s="711"/>
      <c r="I14716" s="711"/>
      <c r="J14716" s="711"/>
      <c r="K14716" s="711"/>
      <c r="L14716" s="711"/>
      <c r="Q14716" s="11"/>
      <c r="R14716" s="11"/>
      <c r="S14716" s="11"/>
      <c r="T14716" s="11"/>
    </row>
    <row r="14717" spans="8:20" x14ac:dyDescent="0.35">
      <c r="H14717" s="711"/>
      <c r="I14717" s="711"/>
      <c r="J14717" s="711"/>
      <c r="K14717" s="711"/>
      <c r="L14717" s="711"/>
      <c r="Q14717" s="11"/>
      <c r="R14717" s="11"/>
      <c r="S14717" s="11"/>
      <c r="T14717" s="11"/>
    </row>
    <row r="14718" spans="8:20" x14ac:dyDescent="0.35">
      <c r="H14718" s="711"/>
      <c r="I14718" s="711"/>
      <c r="J14718" s="711"/>
      <c r="K14718" s="711"/>
      <c r="L14718" s="711"/>
      <c r="Q14718" s="11"/>
      <c r="R14718" s="11"/>
      <c r="S14718" s="11"/>
      <c r="T14718" s="11"/>
    </row>
    <row r="14719" spans="8:20" x14ac:dyDescent="0.35">
      <c r="H14719" s="711"/>
      <c r="I14719" s="711"/>
      <c r="J14719" s="711"/>
      <c r="K14719" s="711"/>
      <c r="L14719" s="711"/>
      <c r="Q14719" s="11"/>
      <c r="R14719" s="11"/>
      <c r="S14719" s="11"/>
      <c r="T14719" s="11"/>
    </row>
    <row r="14720" spans="8:20" x14ac:dyDescent="0.35">
      <c r="H14720" s="711"/>
      <c r="I14720" s="711"/>
      <c r="J14720" s="711"/>
      <c r="K14720" s="711"/>
      <c r="L14720" s="711"/>
      <c r="Q14720" s="11"/>
      <c r="R14720" s="11"/>
      <c r="S14720" s="11"/>
      <c r="T14720" s="11"/>
    </row>
    <row r="14721" spans="8:20" x14ac:dyDescent="0.35">
      <c r="H14721" s="711"/>
      <c r="I14721" s="711"/>
      <c r="J14721" s="711"/>
      <c r="K14721" s="711"/>
      <c r="L14721" s="711"/>
      <c r="Q14721" s="11"/>
      <c r="R14721" s="11"/>
      <c r="S14721" s="11"/>
      <c r="T14721" s="11"/>
    </row>
    <row r="14722" spans="8:20" x14ac:dyDescent="0.35">
      <c r="H14722" s="711"/>
      <c r="I14722" s="711"/>
      <c r="J14722" s="711"/>
      <c r="K14722" s="711"/>
      <c r="L14722" s="711"/>
      <c r="Q14722" s="11"/>
      <c r="R14722" s="11"/>
      <c r="S14722" s="11"/>
      <c r="T14722" s="11"/>
    </row>
    <row r="14723" spans="8:20" x14ac:dyDescent="0.35">
      <c r="H14723" s="711"/>
      <c r="I14723" s="711"/>
      <c r="J14723" s="711"/>
      <c r="K14723" s="711"/>
      <c r="L14723" s="711"/>
      <c r="Q14723" s="11"/>
      <c r="R14723" s="11"/>
      <c r="S14723" s="11"/>
      <c r="T14723" s="11"/>
    </row>
    <row r="14724" spans="8:20" x14ac:dyDescent="0.35">
      <c r="H14724" s="711"/>
      <c r="I14724" s="711"/>
      <c r="J14724" s="711"/>
      <c r="K14724" s="711"/>
      <c r="L14724" s="711"/>
      <c r="Q14724" s="11"/>
      <c r="R14724" s="11"/>
      <c r="S14724" s="11"/>
      <c r="T14724" s="11"/>
    </row>
    <row r="14725" spans="8:20" x14ac:dyDescent="0.35">
      <c r="H14725" s="711"/>
      <c r="I14725" s="711"/>
      <c r="J14725" s="711"/>
      <c r="K14725" s="711"/>
      <c r="L14725" s="711"/>
      <c r="Q14725" s="11"/>
      <c r="R14725" s="11"/>
      <c r="S14725" s="11"/>
      <c r="T14725" s="11"/>
    </row>
    <row r="14726" spans="8:20" x14ac:dyDescent="0.35">
      <c r="H14726" s="711"/>
      <c r="I14726" s="711"/>
      <c r="J14726" s="711"/>
      <c r="K14726" s="711"/>
      <c r="L14726" s="711"/>
      <c r="Q14726" s="11"/>
      <c r="R14726" s="11"/>
      <c r="S14726" s="11"/>
      <c r="T14726" s="11"/>
    </row>
    <row r="14727" spans="8:20" x14ac:dyDescent="0.35">
      <c r="H14727" s="711"/>
      <c r="I14727" s="711"/>
      <c r="J14727" s="711"/>
      <c r="K14727" s="711"/>
      <c r="L14727" s="711"/>
      <c r="Q14727" s="11"/>
      <c r="R14727" s="11"/>
      <c r="S14727" s="11"/>
      <c r="T14727" s="11"/>
    </row>
    <row r="14728" spans="8:20" x14ac:dyDescent="0.35">
      <c r="H14728" s="711"/>
      <c r="I14728" s="711"/>
      <c r="J14728" s="711"/>
      <c r="K14728" s="711"/>
      <c r="L14728" s="711"/>
      <c r="Q14728" s="11"/>
      <c r="R14728" s="11"/>
      <c r="S14728" s="11"/>
      <c r="T14728" s="11"/>
    </row>
    <row r="14729" spans="8:20" x14ac:dyDescent="0.35">
      <c r="H14729" s="711"/>
      <c r="I14729" s="711"/>
      <c r="J14729" s="711"/>
      <c r="K14729" s="711"/>
      <c r="L14729" s="711"/>
      <c r="Q14729" s="11"/>
      <c r="R14729" s="11"/>
      <c r="S14729" s="11"/>
      <c r="T14729" s="11"/>
    </row>
    <row r="14730" spans="8:20" x14ac:dyDescent="0.35">
      <c r="H14730" s="711"/>
      <c r="I14730" s="711"/>
      <c r="J14730" s="711"/>
      <c r="K14730" s="711"/>
      <c r="L14730" s="711"/>
      <c r="Q14730" s="11"/>
      <c r="R14730" s="11"/>
      <c r="S14730" s="11"/>
      <c r="T14730" s="11"/>
    </row>
    <row r="14731" spans="8:20" x14ac:dyDescent="0.35">
      <c r="H14731" s="711"/>
      <c r="I14731" s="711"/>
      <c r="J14731" s="711"/>
      <c r="K14731" s="711"/>
      <c r="L14731" s="711"/>
      <c r="Q14731" s="11"/>
      <c r="R14731" s="11"/>
      <c r="S14731" s="11"/>
      <c r="T14731" s="11"/>
    </row>
    <row r="14732" spans="8:20" x14ac:dyDescent="0.35">
      <c r="H14732" s="711"/>
      <c r="I14732" s="711"/>
      <c r="J14732" s="711"/>
      <c r="K14732" s="711"/>
      <c r="L14732" s="711"/>
      <c r="Q14732" s="11"/>
      <c r="R14732" s="11"/>
      <c r="S14732" s="11"/>
      <c r="T14732" s="11"/>
    </row>
    <row r="14733" spans="8:20" x14ac:dyDescent="0.35">
      <c r="H14733" s="711"/>
      <c r="I14733" s="711"/>
      <c r="J14733" s="711"/>
      <c r="K14733" s="711"/>
      <c r="L14733" s="711"/>
      <c r="Q14733" s="11"/>
      <c r="R14733" s="11"/>
      <c r="S14733" s="11"/>
      <c r="T14733" s="11"/>
    </row>
    <row r="14734" spans="8:20" x14ac:dyDescent="0.35">
      <c r="H14734" s="711"/>
      <c r="I14734" s="711"/>
      <c r="J14734" s="711"/>
      <c r="K14734" s="711"/>
      <c r="L14734" s="711"/>
      <c r="Q14734" s="11"/>
      <c r="R14734" s="11"/>
      <c r="S14734" s="11"/>
      <c r="T14734" s="11"/>
    </row>
    <row r="14735" spans="8:20" x14ac:dyDescent="0.35">
      <c r="H14735" s="711"/>
      <c r="I14735" s="711"/>
      <c r="J14735" s="711"/>
      <c r="K14735" s="711"/>
      <c r="L14735" s="711"/>
      <c r="Q14735" s="11"/>
      <c r="R14735" s="11"/>
      <c r="S14735" s="11"/>
      <c r="T14735" s="11"/>
    </row>
    <row r="14736" spans="8:20" x14ac:dyDescent="0.35">
      <c r="H14736" s="711"/>
      <c r="I14736" s="711"/>
      <c r="J14736" s="711"/>
      <c r="K14736" s="711"/>
      <c r="L14736" s="711"/>
      <c r="Q14736" s="11"/>
      <c r="R14736" s="11"/>
      <c r="S14736" s="11"/>
      <c r="T14736" s="11"/>
    </row>
    <row r="14737" spans="8:20" x14ac:dyDescent="0.35">
      <c r="H14737" s="711"/>
      <c r="I14737" s="711"/>
      <c r="J14737" s="711"/>
      <c r="K14737" s="711"/>
      <c r="L14737" s="711"/>
      <c r="Q14737" s="11"/>
      <c r="R14737" s="11"/>
      <c r="S14737" s="11"/>
      <c r="T14737" s="11"/>
    </row>
    <row r="14738" spans="8:20" x14ac:dyDescent="0.35">
      <c r="H14738" s="711"/>
      <c r="I14738" s="711"/>
      <c r="J14738" s="711"/>
      <c r="K14738" s="711"/>
      <c r="L14738" s="711"/>
      <c r="Q14738" s="11"/>
      <c r="R14738" s="11"/>
      <c r="S14738" s="11"/>
      <c r="T14738" s="11"/>
    </row>
    <row r="14739" spans="8:20" x14ac:dyDescent="0.35">
      <c r="H14739" s="711"/>
      <c r="I14739" s="711"/>
      <c r="J14739" s="711"/>
      <c r="K14739" s="711"/>
      <c r="L14739" s="711"/>
      <c r="Q14739" s="11"/>
      <c r="R14739" s="11"/>
      <c r="S14739" s="11"/>
      <c r="T14739" s="11"/>
    </row>
    <row r="14740" spans="8:20" x14ac:dyDescent="0.35">
      <c r="H14740" s="711"/>
      <c r="I14740" s="711"/>
      <c r="J14740" s="711"/>
      <c r="K14740" s="711"/>
      <c r="L14740" s="711"/>
      <c r="Q14740" s="11"/>
      <c r="R14740" s="11"/>
      <c r="S14740" s="11"/>
      <c r="T14740" s="11"/>
    </row>
    <row r="14741" spans="8:20" x14ac:dyDescent="0.35">
      <c r="H14741" s="711"/>
      <c r="I14741" s="711"/>
      <c r="J14741" s="711"/>
      <c r="K14741" s="711"/>
      <c r="L14741" s="711"/>
      <c r="Q14741" s="11"/>
      <c r="R14741" s="11"/>
      <c r="S14741" s="11"/>
      <c r="T14741" s="11"/>
    </row>
    <row r="14742" spans="8:20" x14ac:dyDescent="0.35">
      <c r="H14742" s="711"/>
      <c r="I14742" s="711"/>
      <c r="J14742" s="711"/>
      <c r="K14742" s="711"/>
      <c r="L14742" s="711"/>
      <c r="Q14742" s="11"/>
      <c r="R14742" s="11"/>
      <c r="S14742" s="11"/>
      <c r="T14742" s="11"/>
    </row>
    <row r="14743" spans="8:20" x14ac:dyDescent="0.35">
      <c r="H14743" s="711"/>
      <c r="I14743" s="711"/>
      <c r="J14743" s="711"/>
      <c r="K14743" s="711"/>
      <c r="L14743" s="711"/>
      <c r="Q14743" s="11"/>
      <c r="R14743" s="11"/>
      <c r="S14743" s="11"/>
      <c r="T14743" s="11"/>
    </row>
    <row r="14744" spans="8:20" x14ac:dyDescent="0.35">
      <c r="H14744" s="711"/>
      <c r="I14744" s="711"/>
      <c r="J14744" s="711"/>
      <c r="K14744" s="711"/>
      <c r="L14744" s="711"/>
      <c r="Q14744" s="11"/>
      <c r="R14744" s="11"/>
      <c r="S14744" s="11"/>
      <c r="T14744" s="11"/>
    </row>
    <row r="14745" spans="8:20" x14ac:dyDescent="0.35">
      <c r="H14745" s="711"/>
      <c r="I14745" s="711"/>
      <c r="J14745" s="711"/>
      <c r="K14745" s="711"/>
      <c r="L14745" s="711"/>
      <c r="Q14745" s="11"/>
      <c r="R14745" s="11"/>
      <c r="S14745" s="11"/>
      <c r="T14745" s="11"/>
    </row>
    <row r="14746" spans="8:20" x14ac:dyDescent="0.35">
      <c r="H14746" s="711"/>
      <c r="I14746" s="711"/>
      <c r="J14746" s="711"/>
      <c r="K14746" s="711"/>
      <c r="L14746" s="711"/>
      <c r="Q14746" s="11"/>
      <c r="R14746" s="11"/>
      <c r="S14746" s="11"/>
      <c r="T14746" s="11"/>
    </row>
    <row r="14747" spans="8:20" x14ac:dyDescent="0.35">
      <c r="H14747" s="711"/>
      <c r="I14747" s="711"/>
      <c r="J14747" s="711"/>
      <c r="K14747" s="711"/>
      <c r="L14747" s="711"/>
      <c r="Q14747" s="11"/>
      <c r="R14747" s="11"/>
      <c r="S14747" s="11"/>
      <c r="T14747" s="11"/>
    </row>
    <row r="14748" spans="8:20" x14ac:dyDescent="0.35">
      <c r="H14748" s="711"/>
      <c r="I14748" s="711"/>
      <c r="J14748" s="711"/>
      <c r="K14748" s="711"/>
      <c r="L14748" s="711"/>
      <c r="Q14748" s="11"/>
      <c r="R14748" s="11"/>
      <c r="S14748" s="11"/>
      <c r="T14748" s="11"/>
    </row>
    <row r="14749" spans="8:20" x14ac:dyDescent="0.35">
      <c r="H14749" s="711"/>
      <c r="I14749" s="711"/>
      <c r="J14749" s="711"/>
      <c r="K14749" s="711"/>
      <c r="L14749" s="711"/>
      <c r="Q14749" s="11"/>
      <c r="R14749" s="11"/>
      <c r="S14749" s="11"/>
      <c r="T14749" s="11"/>
    </row>
    <row r="14750" spans="8:20" x14ac:dyDescent="0.35">
      <c r="H14750" s="711"/>
      <c r="I14750" s="711"/>
      <c r="J14750" s="711"/>
      <c r="K14750" s="711"/>
      <c r="L14750" s="711"/>
      <c r="Q14750" s="11"/>
      <c r="R14750" s="11"/>
      <c r="S14750" s="11"/>
      <c r="T14750" s="11"/>
    </row>
    <row r="14751" spans="8:20" x14ac:dyDescent="0.35">
      <c r="H14751" s="711"/>
      <c r="I14751" s="711"/>
      <c r="J14751" s="711"/>
      <c r="K14751" s="711"/>
      <c r="L14751" s="711"/>
      <c r="Q14751" s="11"/>
      <c r="R14751" s="11"/>
      <c r="S14751" s="11"/>
      <c r="T14751" s="11"/>
    </row>
    <row r="14752" spans="8:20" x14ac:dyDescent="0.35">
      <c r="H14752" s="711"/>
      <c r="I14752" s="711"/>
      <c r="J14752" s="711"/>
      <c r="K14752" s="711"/>
      <c r="L14752" s="711"/>
      <c r="Q14752" s="11"/>
      <c r="R14752" s="11"/>
      <c r="S14752" s="11"/>
      <c r="T14752" s="11"/>
    </row>
    <row r="14753" spans="8:20" x14ac:dyDescent="0.35">
      <c r="H14753" s="711"/>
      <c r="I14753" s="711"/>
      <c r="J14753" s="711"/>
      <c r="K14753" s="711"/>
      <c r="L14753" s="711"/>
      <c r="Q14753" s="11"/>
      <c r="R14753" s="11"/>
      <c r="S14753" s="11"/>
      <c r="T14753" s="11"/>
    </row>
    <row r="14754" spans="8:20" x14ac:dyDescent="0.35">
      <c r="H14754" s="711"/>
      <c r="I14754" s="711"/>
      <c r="J14754" s="711"/>
      <c r="K14754" s="711"/>
      <c r="L14754" s="711"/>
      <c r="Q14754" s="11"/>
      <c r="R14754" s="11"/>
      <c r="S14754" s="11"/>
      <c r="T14754" s="11"/>
    </row>
    <row r="14755" spans="8:20" x14ac:dyDescent="0.35">
      <c r="H14755" s="711"/>
      <c r="I14755" s="711"/>
      <c r="J14755" s="711"/>
      <c r="K14755" s="711"/>
      <c r="L14755" s="711"/>
      <c r="Q14755" s="11"/>
      <c r="R14755" s="11"/>
      <c r="S14755" s="11"/>
      <c r="T14755" s="11"/>
    </row>
    <row r="14756" spans="8:20" x14ac:dyDescent="0.35">
      <c r="H14756" s="711"/>
      <c r="I14756" s="711"/>
      <c r="J14756" s="711"/>
      <c r="K14756" s="711"/>
      <c r="L14756" s="711"/>
      <c r="Q14756" s="11"/>
      <c r="R14756" s="11"/>
      <c r="S14756" s="11"/>
      <c r="T14756" s="11"/>
    </row>
    <row r="14757" spans="8:20" x14ac:dyDescent="0.35">
      <c r="H14757" s="711"/>
      <c r="I14757" s="711"/>
      <c r="J14757" s="711"/>
      <c r="K14757" s="711"/>
      <c r="L14757" s="711"/>
      <c r="Q14757" s="11"/>
      <c r="R14757" s="11"/>
      <c r="S14757" s="11"/>
      <c r="T14757" s="11"/>
    </row>
    <row r="14758" spans="8:20" x14ac:dyDescent="0.35">
      <c r="H14758" s="711"/>
      <c r="I14758" s="711"/>
      <c r="J14758" s="711"/>
      <c r="K14758" s="711"/>
      <c r="L14758" s="711"/>
      <c r="Q14758" s="11"/>
      <c r="R14758" s="11"/>
      <c r="S14758" s="11"/>
      <c r="T14758" s="11"/>
    </row>
    <row r="14759" spans="8:20" x14ac:dyDescent="0.35">
      <c r="H14759" s="711"/>
      <c r="I14759" s="711"/>
      <c r="J14759" s="711"/>
      <c r="K14759" s="711"/>
      <c r="L14759" s="711"/>
      <c r="Q14759" s="11"/>
      <c r="R14759" s="11"/>
      <c r="S14759" s="11"/>
      <c r="T14759" s="11"/>
    </row>
    <row r="14760" spans="8:20" x14ac:dyDescent="0.35">
      <c r="H14760" s="711"/>
      <c r="I14760" s="711"/>
      <c r="J14760" s="711"/>
      <c r="K14760" s="711"/>
      <c r="L14760" s="711"/>
      <c r="Q14760" s="11"/>
      <c r="R14760" s="11"/>
      <c r="S14760" s="11"/>
      <c r="T14760" s="11"/>
    </row>
    <row r="14761" spans="8:20" x14ac:dyDescent="0.35">
      <c r="H14761" s="711"/>
      <c r="I14761" s="711"/>
      <c r="J14761" s="711"/>
      <c r="K14761" s="711"/>
      <c r="L14761" s="711"/>
      <c r="Q14761" s="11"/>
      <c r="R14761" s="11"/>
      <c r="S14761" s="11"/>
      <c r="T14761" s="11"/>
    </row>
    <row r="14762" spans="8:20" x14ac:dyDescent="0.35">
      <c r="H14762" s="711"/>
      <c r="I14762" s="711"/>
      <c r="J14762" s="711"/>
      <c r="K14762" s="711"/>
      <c r="L14762" s="711"/>
      <c r="Q14762" s="11"/>
      <c r="R14762" s="11"/>
      <c r="S14762" s="11"/>
      <c r="T14762" s="11"/>
    </row>
    <row r="14763" spans="8:20" x14ac:dyDescent="0.35">
      <c r="H14763" s="711"/>
      <c r="I14763" s="711"/>
      <c r="J14763" s="711"/>
      <c r="K14763" s="711"/>
      <c r="L14763" s="711"/>
      <c r="Q14763" s="11"/>
      <c r="R14763" s="11"/>
      <c r="S14763" s="11"/>
      <c r="T14763" s="11"/>
    </row>
    <row r="14764" spans="8:20" x14ac:dyDescent="0.35">
      <c r="H14764" s="711"/>
      <c r="I14764" s="711"/>
      <c r="J14764" s="711"/>
      <c r="K14764" s="711"/>
      <c r="L14764" s="711"/>
      <c r="Q14764" s="11"/>
      <c r="R14764" s="11"/>
      <c r="S14764" s="11"/>
      <c r="T14764" s="11"/>
    </row>
    <row r="14765" spans="8:20" x14ac:dyDescent="0.35">
      <c r="H14765" s="711"/>
      <c r="I14765" s="711"/>
      <c r="J14765" s="711"/>
      <c r="K14765" s="711"/>
      <c r="L14765" s="711"/>
      <c r="Q14765" s="11"/>
      <c r="R14765" s="11"/>
      <c r="S14765" s="11"/>
      <c r="T14765" s="11"/>
    </row>
    <row r="14766" spans="8:20" x14ac:dyDescent="0.35">
      <c r="H14766" s="711"/>
      <c r="I14766" s="711"/>
      <c r="J14766" s="711"/>
      <c r="K14766" s="711"/>
      <c r="L14766" s="711"/>
      <c r="Q14766" s="11"/>
      <c r="R14766" s="11"/>
      <c r="S14766" s="11"/>
      <c r="T14766" s="11"/>
    </row>
    <row r="14767" spans="8:20" x14ac:dyDescent="0.35">
      <c r="H14767" s="711"/>
      <c r="I14767" s="711"/>
      <c r="J14767" s="711"/>
      <c r="K14767" s="711"/>
      <c r="L14767" s="711"/>
      <c r="Q14767" s="11"/>
      <c r="R14767" s="11"/>
      <c r="S14767" s="11"/>
      <c r="T14767" s="11"/>
    </row>
    <row r="14768" spans="8:20" x14ac:dyDescent="0.35">
      <c r="H14768" s="711"/>
      <c r="I14768" s="711"/>
      <c r="J14768" s="711"/>
      <c r="K14768" s="711"/>
      <c r="L14768" s="711"/>
      <c r="Q14768" s="11"/>
      <c r="R14768" s="11"/>
      <c r="S14768" s="11"/>
      <c r="T14768" s="11"/>
    </row>
    <row r="14769" spans="8:20" x14ac:dyDescent="0.35">
      <c r="H14769" s="711"/>
      <c r="I14769" s="711"/>
      <c r="J14769" s="711"/>
      <c r="K14769" s="711"/>
      <c r="L14769" s="711"/>
      <c r="Q14769" s="11"/>
      <c r="R14769" s="11"/>
      <c r="S14769" s="11"/>
      <c r="T14769" s="11"/>
    </row>
    <row r="14770" spans="8:20" x14ac:dyDescent="0.35">
      <c r="H14770" s="711"/>
      <c r="I14770" s="711"/>
      <c r="J14770" s="711"/>
      <c r="K14770" s="711"/>
      <c r="L14770" s="711"/>
      <c r="Q14770" s="11"/>
      <c r="R14770" s="11"/>
      <c r="S14770" s="11"/>
      <c r="T14770" s="11"/>
    </row>
    <row r="14771" spans="8:20" x14ac:dyDescent="0.35">
      <c r="H14771" s="711"/>
      <c r="I14771" s="711"/>
      <c r="J14771" s="711"/>
      <c r="K14771" s="711"/>
      <c r="L14771" s="711"/>
      <c r="Q14771" s="11"/>
      <c r="R14771" s="11"/>
      <c r="S14771" s="11"/>
      <c r="T14771" s="11"/>
    </row>
    <row r="14772" spans="8:20" x14ac:dyDescent="0.35">
      <c r="H14772" s="711"/>
      <c r="I14772" s="711"/>
      <c r="J14772" s="711"/>
      <c r="K14772" s="711"/>
      <c r="L14772" s="711"/>
      <c r="Q14772" s="11"/>
      <c r="R14772" s="11"/>
      <c r="S14772" s="11"/>
      <c r="T14772" s="11"/>
    </row>
    <row r="14773" spans="8:20" x14ac:dyDescent="0.35">
      <c r="H14773" s="711"/>
      <c r="I14773" s="711"/>
      <c r="J14773" s="711"/>
      <c r="K14773" s="711"/>
      <c r="L14773" s="711"/>
      <c r="Q14773" s="11"/>
      <c r="R14773" s="11"/>
      <c r="S14773" s="11"/>
      <c r="T14773" s="11"/>
    </row>
    <row r="14774" spans="8:20" x14ac:dyDescent="0.35">
      <c r="H14774" s="711"/>
      <c r="I14774" s="711"/>
      <c r="J14774" s="711"/>
      <c r="K14774" s="711"/>
      <c r="L14774" s="711"/>
      <c r="Q14774" s="11"/>
      <c r="R14774" s="11"/>
      <c r="S14774" s="11"/>
      <c r="T14774" s="11"/>
    </row>
    <row r="14775" spans="8:20" x14ac:dyDescent="0.35">
      <c r="H14775" s="711"/>
      <c r="I14775" s="711"/>
      <c r="J14775" s="711"/>
      <c r="K14775" s="711"/>
      <c r="L14775" s="711"/>
      <c r="Q14775" s="11"/>
      <c r="R14775" s="11"/>
      <c r="S14775" s="11"/>
      <c r="T14775" s="11"/>
    </row>
    <row r="14776" spans="8:20" x14ac:dyDescent="0.35">
      <c r="H14776" s="711"/>
      <c r="I14776" s="711"/>
      <c r="J14776" s="711"/>
      <c r="K14776" s="711"/>
      <c r="L14776" s="711"/>
      <c r="Q14776" s="11"/>
      <c r="R14776" s="11"/>
      <c r="S14776" s="11"/>
      <c r="T14776" s="11"/>
    </row>
    <row r="14777" spans="8:20" x14ac:dyDescent="0.35">
      <c r="H14777" s="711"/>
      <c r="I14777" s="711"/>
      <c r="J14777" s="711"/>
      <c r="K14777" s="711"/>
      <c r="L14777" s="711"/>
      <c r="Q14777" s="11"/>
      <c r="R14777" s="11"/>
      <c r="S14777" s="11"/>
      <c r="T14777" s="11"/>
    </row>
    <row r="14778" spans="8:20" x14ac:dyDescent="0.35">
      <c r="H14778" s="711"/>
      <c r="I14778" s="711"/>
      <c r="J14778" s="711"/>
      <c r="K14778" s="711"/>
      <c r="L14778" s="711"/>
      <c r="Q14778" s="11"/>
      <c r="R14778" s="11"/>
      <c r="S14778" s="11"/>
      <c r="T14778" s="11"/>
    </row>
    <row r="14779" spans="8:20" x14ac:dyDescent="0.35">
      <c r="H14779" s="711"/>
      <c r="I14779" s="711"/>
      <c r="J14779" s="711"/>
      <c r="K14779" s="711"/>
      <c r="L14779" s="711"/>
      <c r="Q14779" s="11"/>
      <c r="R14779" s="11"/>
      <c r="S14779" s="11"/>
      <c r="T14779" s="11"/>
    </row>
    <row r="14780" spans="8:20" x14ac:dyDescent="0.35">
      <c r="H14780" s="711"/>
      <c r="I14780" s="711"/>
      <c r="J14780" s="711"/>
      <c r="K14780" s="711"/>
      <c r="L14780" s="711"/>
      <c r="Q14780" s="11"/>
      <c r="R14780" s="11"/>
      <c r="S14780" s="11"/>
      <c r="T14780" s="11"/>
    </row>
    <row r="14781" spans="8:20" x14ac:dyDescent="0.35">
      <c r="H14781" s="711"/>
      <c r="I14781" s="711"/>
      <c r="J14781" s="711"/>
      <c r="K14781" s="711"/>
      <c r="L14781" s="711"/>
      <c r="Q14781" s="11"/>
      <c r="R14781" s="11"/>
      <c r="S14781" s="11"/>
      <c r="T14781" s="11"/>
    </row>
    <row r="14782" spans="8:20" x14ac:dyDescent="0.35">
      <c r="H14782" s="711"/>
      <c r="I14782" s="711"/>
      <c r="J14782" s="711"/>
      <c r="K14782" s="711"/>
      <c r="L14782" s="711"/>
      <c r="Q14782" s="11"/>
      <c r="R14782" s="11"/>
      <c r="S14782" s="11"/>
      <c r="T14782" s="11"/>
    </row>
    <row r="14783" spans="8:20" x14ac:dyDescent="0.35">
      <c r="H14783" s="711"/>
      <c r="I14783" s="711"/>
      <c r="J14783" s="711"/>
      <c r="K14783" s="711"/>
      <c r="L14783" s="711"/>
      <c r="Q14783" s="11"/>
      <c r="R14783" s="11"/>
      <c r="S14783" s="11"/>
      <c r="T14783" s="11"/>
    </row>
    <row r="14784" spans="8:20" x14ac:dyDescent="0.35">
      <c r="H14784" s="711"/>
      <c r="I14784" s="711"/>
      <c r="J14784" s="711"/>
      <c r="K14784" s="711"/>
      <c r="L14784" s="711"/>
      <c r="Q14784" s="11"/>
      <c r="R14784" s="11"/>
      <c r="S14784" s="11"/>
      <c r="T14784" s="11"/>
    </row>
    <row r="14785" spans="8:20" x14ac:dyDescent="0.35">
      <c r="H14785" s="711"/>
      <c r="I14785" s="711"/>
      <c r="J14785" s="711"/>
      <c r="K14785" s="711"/>
      <c r="L14785" s="711"/>
      <c r="Q14785" s="11"/>
      <c r="R14785" s="11"/>
      <c r="S14785" s="11"/>
      <c r="T14785" s="11"/>
    </row>
    <row r="14786" spans="8:20" x14ac:dyDescent="0.35">
      <c r="H14786" s="711"/>
      <c r="I14786" s="711"/>
      <c r="J14786" s="711"/>
      <c r="K14786" s="711"/>
      <c r="L14786" s="711"/>
      <c r="Q14786" s="11"/>
      <c r="R14786" s="11"/>
      <c r="S14786" s="11"/>
      <c r="T14786" s="11"/>
    </row>
    <row r="14787" spans="8:20" x14ac:dyDescent="0.35">
      <c r="H14787" s="711"/>
      <c r="I14787" s="711"/>
      <c r="J14787" s="711"/>
      <c r="K14787" s="711"/>
      <c r="L14787" s="711"/>
      <c r="Q14787" s="11"/>
      <c r="R14787" s="11"/>
      <c r="S14787" s="11"/>
      <c r="T14787" s="11"/>
    </row>
    <row r="14788" spans="8:20" x14ac:dyDescent="0.35">
      <c r="H14788" s="711"/>
      <c r="I14788" s="711"/>
      <c r="J14788" s="711"/>
      <c r="K14788" s="711"/>
      <c r="L14788" s="711"/>
      <c r="Q14788" s="11"/>
      <c r="R14788" s="11"/>
      <c r="S14788" s="11"/>
      <c r="T14788" s="11"/>
    </row>
    <row r="14789" spans="8:20" x14ac:dyDescent="0.35">
      <c r="H14789" s="711"/>
      <c r="I14789" s="711"/>
      <c r="J14789" s="711"/>
      <c r="K14789" s="711"/>
      <c r="L14789" s="711"/>
      <c r="Q14789" s="11"/>
      <c r="R14789" s="11"/>
      <c r="S14789" s="11"/>
      <c r="T14789" s="11"/>
    </row>
    <row r="14790" spans="8:20" x14ac:dyDescent="0.35">
      <c r="H14790" s="711"/>
      <c r="I14790" s="711"/>
      <c r="J14790" s="711"/>
      <c r="K14790" s="711"/>
      <c r="L14790" s="711"/>
      <c r="Q14790" s="11"/>
      <c r="R14790" s="11"/>
      <c r="S14790" s="11"/>
      <c r="T14790" s="11"/>
    </row>
    <row r="14791" spans="8:20" x14ac:dyDescent="0.35">
      <c r="H14791" s="711"/>
      <c r="I14791" s="711"/>
      <c r="J14791" s="711"/>
      <c r="K14791" s="711"/>
      <c r="L14791" s="711"/>
      <c r="Q14791" s="11"/>
      <c r="R14791" s="11"/>
      <c r="S14791" s="11"/>
      <c r="T14791" s="11"/>
    </row>
    <row r="14792" spans="8:20" x14ac:dyDescent="0.35">
      <c r="H14792" s="711"/>
      <c r="I14792" s="711"/>
      <c r="J14792" s="711"/>
      <c r="K14792" s="711"/>
      <c r="L14792" s="711"/>
      <c r="Q14792" s="11"/>
      <c r="R14792" s="11"/>
      <c r="S14792" s="11"/>
      <c r="T14792" s="11"/>
    </row>
    <row r="14793" spans="8:20" x14ac:dyDescent="0.35">
      <c r="H14793" s="711"/>
      <c r="I14793" s="711"/>
      <c r="J14793" s="711"/>
      <c r="K14793" s="711"/>
      <c r="L14793" s="711"/>
      <c r="Q14793" s="11"/>
      <c r="R14793" s="11"/>
      <c r="S14793" s="11"/>
      <c r="T14793" s="11"/>
    </row>
    <row r="14794" spans="8:20" x14ac:dyDescent="0.35">
      <c r="H14794" s="711"/>
      <c r="I14794" s="711"/>
      <c r="J14794" s="711"/>
      <c r="K14794" s="711"/>
      <c r="L14794" s="711"/>
      <c r="Q14794" s="11"/>
      <c r="R14794" s="11"/>
      <c r="S14794" s="11"/>
      <c r="T14794" s="11"/>
    </row>
    <row r="14795" spans="8:20" x14ac:dyDescent="0.35">
      <c r="H14795" s="711"/>
      <c r="I14795" s="711"/>
      <c r="J14795" s="711"/>
      <c r="K14795" s="711"/>
      <c r="L14795" s="711"/>
      <c r="Q14795" s="11"/>
      <c r="R14795" s="11"/>
      <c r="S14795" s="11"/>
      <c r="T14795" s="11"/>
    </row>
    <row r="14796" spans="8:20" x14ac:dyDescent="0.35">
      <c r="H14796" s="711"/>
      <c r="I14796" s="711"/>
      <c r="J14796" s="711"/>
      <c r="K14796" s="711"/>
      <c r="L14796" s="711"/>
      <c r="Q14796" s="11"/>
      <c r="R14796" s="11"/>
      <c r="S14796" s="11"/>
      <c r="T14796" s="11"/>
    </row>
    <row r="14797" spans="8:20" x14ac:dyDescent="0.35">
      <c r="H14797" s="711"/>
      <c r="I14797" s="711"/>
      <c r="J14797" s="711"/>
      <c r="K14797" s="711"/>
      <c r="L14797" s="711"/>
      <c r="Q14797" s="11"/>
      <c r="R14797" s="11"/>
      <c r="S14797" s="11"/>
      <c r="T14797" s="11"/>
    </row>
    <row r="14798" spans="8:20" x14ac:dyDescent="0.35">
      <c r="H14798" s="711"/>
      <c r="I14798" s="711"/>
      <c r="J14798" s="711"/>
      <c r="K14798" s="711"/>
      <c r="L14798" s="711"/>
      <c r="Q14798" s="11"/>
      <c r="R14798" s="11"/>
      <c r="S14798" s="11"/>
      <c r="T14798" s="11"/>
    </row>
    <row r="14799" spans="8:20" x14ac:dyDescent="0.35">
      <c r="H14799" s="711"/>
      <c r="I14799" s="711"/>
      <c r="J14799" s="711"/>
      <c r="K14799" s="711"/>
      <c r="L14799" s="711"/>
      <c r="Q14799" s="11"/>
      <c r="R14799" s="11"/>
      <c r="S14799" s="11"/>
      <c r="T14799" s="11"/>
    </row>
    <row r="14800" spans="8:20" x14ac:dyDescent="0.35">
      <c r="H14800" s="711"/>
      <c r="I14800" s="711"/>
      <c r="J14800" s="711"/>
      <c r="K14800" s="711"/>
      <c r="L14800" s="711"/>
      <c r="Q14800" s="11"/>
      <c r="R14800" s="11"/>
      <c r="S14800" s="11"/>
      <c r="T14800" s="11"/>
    </row>
    <row r="14801" spans="8:20" x14ac:dyDescent="0.35">
      <c r="H14801" s="711"/>
      <c r="I14801" s="711"/>
      <c r="J14801" s="711"/>
      <c r="K14801" s="711"/>
      <c r="L14801" s="711"/>
      <c r="Q14801" s="11"/>
      <c r="R14801" s="11"/>
      <c r="S14801" s="11"/>
      <c r="T14801" s="11"/>
    </row>
    <row r="14802" spans="8:20" x14ac:dyDescent="0.35">
      <c r="H14802" s="711"/>
      <c r="I14802" s="711"/>
      <c r="J14802" s="711"/>
      <c r="K14802" s="711"/>
      <c r="L14802" s="711"/>
      <c r="Q14802" s="11"/>
      <c r="R14802" s="11"/>
      <c r="S14802" s="11"/>
      <c r="T14802" s="11"/>
    </row>
    <row r="14803" spans="8:20" x14ac:dyDescent="0.35">
      <c r="H14803" s="711"/>
      <c r="I14803" s="711"/>
      <c r="J14803" s="711"/>
      <c r="K14803" s="711"/>
      <c r="L14803" s="711"/>
      <c r="Q14803" s="11"/>
      <c r="R14803" s="11"/>
      <c r="S14803" s="11"/>
      <c r="T14803" s="11"/>
    </row>
    <row r="14804" spans="8:20" x14ac:dyDescent="0.35">
      <c r="H14804" s="711"/>
      <c r="I14804" s="711"/>
      <c r="J14804" s="711"/>
      <c r="K14804" s="711"/>
      <c r="L14804" s="711"/>
      <c r="Q14804" s="11"/>
      <c r="R14804" s="11"/>
      <c r="S14804" s="11"/>
      <c r="T14804" s="11"/>
    </row>
    <row r="14805" spans="8:20" x14ac:dyDescent="0.35">
      <c r="H14805" s="711"/>
      <c r="I14805" s="711"/>
      <c r="J14805" s="711"/>
      <c r="K14805" s="711"/>
      <c r="L14805" s="711"/>
      <c r="Q14805" s="11"/>
      <c r="R14805" s="11"/>
      <c r="S14805" s="11"/>
      <c r="T14805" s="11"/>
    </row>
    <row r="14806" spans="8:20" x14ac:dyDescent="0.35">
      <c r="H14806" s="711"/>
      <c r="I14806" s="711"/>
      <c r="J14806" s="711"/>
      <c r="K14806" s="711"/>
      <c r="L14806" s="711"/>
      <c r="Q14806" s="11"/>
      <c r="R14806" s="11"/>
      <c r="S14806" s="11"/>
      <c r="T14806" s="11"/>
    </row>
    <row r="14807" spans="8:20" x14ac:dyDescent="0.35">
      <c r="H14807" s="711"/>
      <c r="I14807" s="711"/>
      <c r="J14807" s="711"/>
      <c r="K14807" s="711"/>
      <c r="L14807" s="711"/>
      <c r="Q14807" s="11"/>
      <c r="R14807" s="11"/>
      <c r="S14807" s="11"/>
      <c r="T14807" s="11"/>
    </row>
    <row r="14808" spans="8:20" x14ac:dyDescent="0.35">
      <c r="H14808" s="711"/>
      <c r="I14808" s="711"/>
      <c r="J14808" s="711"/>
      <c r="K14808" s="711"/>
      <c r="L14808" s="711"/>
      <c r="Q14808" s="11"/>
      <c r="R14808" s="11"/>
      <c r="S14808" s="11"/>
      <c r="T14808" s="11"/>
    </row>
    <row r="14809" spans="8:20" x14ac:dyDescent="0.35">
      <c r="H14809" s="711"/>
      <c r="I14809" s="711"/>
      <c r="J14809" s="711"/>
      <c r="K14809" s="711"/>
      <c r="L14809" s="711"/>
      <c r="Q14809" s="11"/>
      <c r="R14809" s="11"/>
      <c r="S14809" s="11"/>
      <c r="T14809" s="11"/>
    </row>
    <row r="14810" spans="8:20" x14ac:dyDescent="0.35">
      <c r="H14810" s="711"/>
      <c r="I14810" s="711"/>
      <c r="J14810" s="711"/>
      <c r="K14810" s="711"/>
      <c r="L14810" s="711"/>
      <c r="Q14810" s="11"/>
      <c r="R14810" s="11"/>
      <c r="S14810" s="11"/>
      <c r="T14810" s="11"/>
    </row>
    <row r="14811" spans="8:20" x14ac:dyDescent="0.35">
      <c r="H14811" s="711"/>
      <c r="I14811" s="711"/>
      <c r="J14811" s="711"/>
      <c r="K14811" s="711"/>
      <c r="L14811" s="711"/>
      <c r="Q14811" s="11"/>
      <c r="R14811" s="11"/>
      <c r="S14811" s="11"/>
      <c r="T14811" s="11"/>
    </row>
    <row r="14812" spans="8:20" x14ac:dyDescent="0.35">
      <c r="H14812" s="711"/>
      <c r="I14812" s="711"/>
      <c r="J14812" s="711"/>
      <c r="K14812" s="711"/>
      <c r="L14812" s="711"/>
      <c r="Q14812" s="11"/>
      <c r="R14812" s="11"/>
      <c r="S14812" s="11"/>
      <c r="T14812" s="11"/>
    </row>
    <row r="14813" spans="8:20" x14ac:dyDescent="0.35">
      <c r="H14813" s="711"/>
      <c r="I14813" s="711"/>
      <c r="J14813" s="711"/>
      <c r="K14813" s="711"/>
      <c r="L14813" s="711"/>
      <c r="Q14813" s="11"/>
      <c r="R14813" s="11"/>
      <c r="S14813" s="11"/>
      <c r="T14813" s="11"/>
    </row>
    <row r="14814" spans="8:20" x14ac:dyDescent="0.35">
      <c r="H14814" s="711"/>
      <c r="I14814" s="711"/>
      <c r="J14814" s="711"/>
      <c r="K14814" s="711"/>
      <c r="L14814" s="711"/>
      <c r="Q14814" s="11"/>
      <c r="R14814" s="11"/>
      <c r="S14814" s="11"/>
      <c r="T14814" s="11"/>
    </row>
    <row r="14815" spans="8:20" x14ac:dyDescent="0.35">
      <c r="H14815" s="711"/>
      <c r="I14815" s="711"/>
      <c r="J14815" s="711"/>
      <c r="K14815" s="711"/>
      <c r="L14815" s="711"/>
      <c r="Q14815" s="11"/>
      <c r="R14815" s="11"/>
      <c r="S14815" s="11"/>
      <c r="T14815" s="11"/>
    </row>
    <row r="14816" spans="8:20" x14ac:dyDescent="0.35">
      <c r="H14816" s="711"/>
      <c r="I14816" s="711"/>
      <c r="J14816" s="711"/>
      <c r="K14816" s="711"/>
      <c r="L14816" s="711"/>
      <c r="Q14816" s="11"/>
      <c r="R14816" s="11"/>
      <c r="S14816" s="11"/>
      <c r="T14816" s="11"/>
    </row>
    <row r="14817" spans="8:20" x14ac:dyDescent="0.35">
      <c r="H14817" s="711"/>
      <c r="I14817" s="711"/>
      <c r="J14817" s="711"/>
      <c r="K14817" s="711"/>
      <c r="L14817" s="711"/>
      <c r="Q14817" s="11"/>
      <c r="R14817" s="11"/>
      <c r="S14817" s="11"/>
      <c r="T14817" s="11"/>
    </row>
    <row r="14818" spans="8:20" x14ac:dyDescent="0.35">
      <c r="H14818" s="711"/>
      <c r="I14818" s="711"/>
      <c r="J14818" s="711"/>
      <c r="K14818" s="711"/>
      <c r="L14818" s="711"/>
      <c r="Q14818" s="11"/>
      <c r="R14818" s="11"/>
      <c r="S14818" s="11"/>
      <c r="T14818" s="11"/>
    </row>
    <row r="14819" spans="8:20" x14ac:dyDescent="0.35">
      <c r="H14819" s="711"/>
      <c r="I14819" s="711"/>
      <c r="J14819" s="711"/>
      <c r="K14819" s="711"/>
      <c r="L14819" s="711"/>
      <c r="Q14819" s="11"/>
      <c r="R14819" s="11"/>
      <c r="S14819" s="11"/>
      <c r="T14819" s="11"/>
    </row>
    <row r="14820" spans="8:20" x14ac:dyDescent="0.35">
      <c r="H14820" s="711"/>
      <c r="I14820" s="711"/>
      <c r="J14820" s="711"/>
      <c r="K14820" s="711"/>
      <c r="L14820" s="711"/>
      <c r="Q14820" s="11"/>
      <c r="R14820" s="11"/>
      <c r="S14820" s="11"/>
      <c r="T14820" s="11"/>
    </row>
    <row r="14821" spans="8:20" x14ac:dyDescent="0.35">
      <c r="H14821" s="711"/>
      <c r="I14821" s="711"/>
      <c r="J14821" s="711"/>
      <c r="K14821" s="711"/>
      <c r="L14821" s="711"/>
      <c r="Q14821" s="11"/>
      <c r="R14821" s="11"/>
      <c r="S14821" s="11"/>
      <c r="T14821" s="11"/>
    </row>
    <row r="14822" spans="8:20" x14ac:dyDescent="0.35">
      <c r="H14822" s="711"/>
      <c r="I14822" s="711"/>
      <c r="J14822" s="711"/>
      <c r="K14822" s="711"/>
      <c r="L14822" s="711"/>
      <c r="Q14822" s="11"/>
      <c r="R14822" s="11"/>
      <c r="S14822" s="11"/>
      <c r="T14822" s="11"/>
    </row>
    <row r="14823" spans="8:20" x14ac:dyDescent="0.35">
      <c r="H14823" s="711"/>
      <c r="I14823" s="711"/>
      <c r="J14823" s="711"/>
      <c r="K14823" s="711"/>
      <c r="L14823" s="711"/>
      <c r="Q14823" s="11"/>
      <c r="R14823" s="11"/>
      <c r="S14823" s="11"/>
      <c r="T14823" s="11"/>
    </row>
    <row r="14824" spans="8:20" x14ac:dyDescent="0.35">
      <c r="H14824" s="711"/>
      <c r="I14824" s="711"/>
      <c r="J14824" s="711"/>
      <c r="K14824" s="711"/>
      <c r="L14824" s="711"/>
      <c r="Q14824" s="11"/>
      <c r="R14824" s="11"/>
      <c r="S14824" s="11"/>
      <c r="T14824" s="11"/>
    </row>
    <row r="14825" spans="8:20" x14ac:dyDescent="0.35">
      <c r="H14825" s="711"/>
      <c r="I14825" s="711"/>
      <c r="J14825" s="711"/>
      <c r="K14825" s="711"/>
      <c r="L14825" s="711"/>
      <c r="Q14825" s="11"/>
      <c r="R14825" s="11"/>
      <c r="S14825" s="11"/>
      <c r="T14825" s="11"/>
    </row>
    <row r="14826" spans="8:20" x14ac:dyDescent="0.35">
      <c r="H14826" s="711"/>
      <c r="I14826" s="711"/>
      <c r="J14826" s="711"/>
      <c r="K14826" s="711"/>
      <c r="L14826" s="711"/>
      <c r="Q14826" s="11"/>
      <c r="R14826" s="11"/>
      <c r="S14826" s="11"/>
      <c r="T14826" s="11"/>
    </row>
    <row r="14827" spans="8:20" x14ac:dyDescent="0.35">
      <c r="H14827" s="711"/>
      <c r="I14827" s="711"/>
      <c r="J14827" s="711"/>
      <c r="K14827" s="711"/>
      <c r="L14827" s="711"/>
      <c r="Q14827" s="11"/>
      <c r="R14827" s="11"/>
      <c r="S14827" s="11"/>
      <c r="T14827" s="11"/>
    </row>
    <row r="14828" spans="8:20" x14ac:dyDescent="0.35">
      <c r="H14828" s="711"/>
      <c r="I14828" s="711"/>
      <c r="J14828" s="711"/>
      <c r="K14828" s="711"/>
      <c r="L14828" s="711"/>
      <c r="Q14828" s="11"/>
      <c r="R14828" s="11"/>
      <c r="S14828" s="11"/>
      <c r="T14828" s="11"/>
    </row>
    <row r="14829" spans="8:20" x14ac:dyDescent="0.35">
      <c r="H14829" s="711"/>
      <c r="I14829" s="711"/>
      <c r="J14829" s="711"/>
      <c r="K14829" s="711"/>
      <c r="L14829" s="711"/>
      <c r="Q14829" s="11"/>
      <c r="R14829" s="11"/>
      <c r="S14829" s="11"/>
      <c r="T14829" s="11"/>
    </row>
    <row r="14830" spans="8:20" x14ac:dyDescent="0.35">
      <c r="H14830" s="711"/>
      <c r="I14830" s="711"/>
      <c r="J14830" s="711"/>
      <c r="K14830" s="711"/>
      <c r="L14830" s="711"/>
      <c r="Q14830" s="11"/>
      <c r="R14830" s="11"/>
      <c r="S14830" s="11"/>
      <c r="T14830" s="11"/>
    </row>
    <row r="14831" spans="8:20" x14ac:dyDescent="0.35">
      <c r="H14831" s="711"/>
      <c r="I14831" s="711"/>
      <c r="J14831" s="711"/>
      <c r="K14831" s="711"/>
      <c r="L14831" s="711"/>
      <c r="Q14831" s="11"/>
      <c r="R14831" s="11"/>
      <c r="S14831" s="11"/>
      <c r="T14831" s="11"/>
    </row>
    <row r="14832" spans="8:20" x14ac:dyDescent="0.35">
      <c r="H14832" s="711"/>
      <c r="I14832" s="711"/>
      <c r="J14832" s="711"/>
      <c r="K14832" s="711"/>
      <c r="L14832" s="711"/>
      <c r="Q14832" s="11"/>
      <c r="R14832" s="11"/>
      <c r="S14832" s="11"/>
      <c r="T14832" s="11"/>
    </row>
    <row r="14833" spans="8:20" x14ac:dyDescent="0.35">
      <c r="H14833" s="711"/>
      <c r="I14833" s="711"/>
      <c r="J14833" s="711"/>
      <c r="K14833" s="711"/>
      <c r="L14833" s="711"/>
      <c r="Q14833" s="11"/>
      <c r="R14833" s="11"/>
      <c r="S14833" s="11"/>
      <c r="T14833" s="11"/>
    </row>
    <row r="14834" spans="8:20" x14ac:dyDescent="0.35">
      <c r="H14834" s="711"/>
      <c r="I14834" s="711"/>
      <c r="J14834" s="711"/>
      <c r="K14834" s="711"/>
      <c r="L14834" s="711"/>
      <c r="Q14834" s="11"/>
      <c r="R14834" s="11"/>
      <c r="S14834" s="11"/>
      <c r="T14834" s="11"/>
    </row>
    <row r="14835" spans="8:20" x14ac:dyDescent="0.35">
      <c r="H14835" s="711"/>
      <c r="I14835" s="711"/>
      <c r="J14835" s="711"/>
      <c r="K14835" s="711"/>
      <c r="L14835" s="711"/>
      <c r="Q14835" s="11"/>
      <c r="R14835" s="11"/>
      <c r="S14835" s="11"/>
      <c r="T14835" s="11"/>
    </row>
    <row r="14836" spans="8:20" x14ac:dyDescent="0.35">
      <c r="H14836" s="711"/>
      <c r="I14836" s="711"/>
      <c r="J14836" s="711"/>
      <c r="K14836" s="711"/>
      <c r="L14836" s="711"/>
      <c r="Q14836" s="11"/>
      <c r="R14836" s="11"/>
      <c r="S14836" s="11"/>
      <c r="T14836" s="11"/>
    </row>
    <row r="14837" spans="8:20" x14ac:dyDescent="0.35">
      <c r="H14837" s="711"/>
      <c r="I14837" s="711"/>
      <c r="J14837" s="711"/>
      <c r="K14837" s="711"/>
      <c r="L14837" s="711"/>
      <c r="Q14837" s="11"/>
      <c r="R14837" s="11"/>
      <c r="S14837" s="11"/>
      <c r="T14837" s="11"/>
    </row>
    <row r="14838" spans="8:20" x14ac:dyDescent="0.35">
      <c r="H14838" s="711"/>
      <c r="I14838" s="711"/>
      <c r="J14838" s="711"/>
      <c r="K14838" s="711"/>
      <c r="L14838" s="711"/>
      <c r="Q14838" s="11"/>
      <c r="R14838" s="11"/>
      <c r="S14838" s="11"/>
      <c r="T14838" s="11"/>
    </row>
    <row r="14839" spans="8:20" x14ac:dyDescent="0.35">
      <c r="H14839" s="711"/>
      <c r="I14839" s="711"/>
      <c r="J14839" s="711"/>
      <c r="K14839" s="711"/>
      <c r="L14839" s="711"/>
      <c r="Q14839" s="11"/>
      <c r="R14839" s="11"/>
      <c r="S14839" s="11"/>
      <c r="T14839" s="11"/>
    </row>
    <row r="14840" spans="8:20" x14ac:dyDescent="0.35">
      <c r="H14840" s="711"/>
      <c r="I14840" s="711"/>
      <c r="J14840" s="711"/>
      <c r="K14840" s="711"/>
      <c r="L14840" s="711"/>
      <c r="Q14840" s="11"/>
      <c r="R14840" s="11"/>
      <c r="S14840" s="11"/>
      <c r="T14840" s="11"/>
    </row>
    <row r="14841" spans="8:20" x14ac:dyDescent="0.35">
      <c r="H14841" s="711"/>
      <c r="I14841" s="711"/>
      <c r="J14841" s="711"/>
      <c r="K14841" s="711"/>
      <c r="L14841" s="711"/>
      <c r="Q14841" s="11"/>
      <c r="R14841" s="11"/>
      <c r="S14841" s="11"/>
      <c r="T14841" s="11"/>
    </row>
    <row r="14842" spans="8:20" x14ac:dyDescent="0.35">
      <c r="H14842" s="711"/>
      <c r="I14842" s="711"/>
      <c r="J14842" s="711"/>
      <c r="K14842" s="711"/>
      <c r="L14842" s="711"/>
      <c r="Q14842" s="11"/>
      <c r="R14842" s="11"/>
      <c r="S14842" s="11"/>
      <c r="T14842" s="11"/>
    </row>
    <row r="14843" spans="8:20" x14ac:dyDescent="0.35">
      <c r="H14843" s="711"/>
      <c r="I14843" s="711"/>
      <c r="J14843" s="711"/>
      <c r="K14843" s="711"/>
      <c r="L14843" s="711"/>
      <c r="Q14843" s="11"/>
      <c r="R14843" s="11"/>
      <c r="S14843" s="11"/>
      <c r="T14843" s="11"/>
    </row>
    <row r="14844" spans="8:20" x14ac:dyDescent="0.35">
      <c r="H14844" s="711"/>
      <c r="I14844" s="711"/>
      <c r="J14844" s="711"/>
      <c r="K14844" s="711"/>
      <c r="L14844" s="711"/>
      <c r="Q14844" s="11"/>
      <c r="R14844" s="11"/>
      <c r="S14844" s="11"/>
      <c r="T14844" s="11"/>
    </row>
    <row r="14845" spans="8:20" x14ac:dyDescent="0.35">
      <c r="H14845" s="711"/>
      <c r="I14845" s="711"/>
      <c r="J14845" s="711"/>
      <c r="K14845" s="711"/>
      <c r="L14845" s="711"/>
      <c r="Q14845" s="11"/>
      <c r="R14845" s="11"/>
      <c r="S14845" s="11"/>
      <c r="T14845" s="11"/>
    </row>
    <row r="14846" spans="8:20" x14ac:dyDescent="0.35">
      <c r="H14846" s="711"/>
      <c r="I14846" s="711"/>
      <c r="J14846" s="711"/>
      <c r="K14846" s="711"/>
      <c r="L14846" s="711"/>
      <c r="Q14846" s="11"/>
      <c r="R14846" s="11"/>
      <c r="S14846" s="11"/>
      <c r="T14846" s="11"/>
    </row>
    <row r="14847" spans="8:20" x14ac:dyDescent="0.35">
      <c r="H14847" s="711"/>
      <c r="I14847" s="711"/>
      <c r="J14847" s="711"/>
      <c r="K14847" s="711"/>
      <c r="L14847" s="711"/>
      <c r="Q14847" s="11"/>
      <c r="R14847" s="11"/>
      <c r="S14847" s="11"/>
      <c r="T14847" s="11"/>
    </row>
    <row r="14848" spans="8:20" x14ac:dyDescent="0.35">
      <c r="H14848" s="711"/>
      <c r="I14848" s="711"/>
      <c r="J14848" s="711"/>
      <c r="K14848" s="711"/>
      <c r="L14848" s="711"/>
      <c r="Q14848" s="11"/>
      <c r="R14848" s="11"/>
      <c r="S14848" s="11"/>
      <c r="T14848" s="11"/>
    </row>
    <row r="14849" spans="8:20" x14ac:dyDescent="0.35">
      <c r="H14849" s="711"/>
      <c r="I14849" s="711"/>
      <c r="J14849" s="711"/>
      <c r="K14849" s="711"/>
      <c r="L14849" s="711"/>
      <c r="Q14849" s="11"/>
      <c r="R14849" s="11"/>
      <c r="S14849" s="11"/>
      <c r="T14849" s="11"/>
    </row>
    <row r="14850" spans="8:20" x14ac:dyDescent="0.35">
      <c r="H14850" s="711"/>
      <c r="I14850" s="711"/>
      <c r="J14850" s="711"/>
      <c r="K14850" s="711"/>
      <c r="L14850" s="711"/>
      <c r="Q14850" s="11"/>
      <c r="R14850" s="11"/>
      <c r="S14850" s="11"/>
      <c r="T14850" s="11"/>
    </row>
    <row r="14851" spans="8:20" x14ac:dyDescent="0.35">
      <c r="H14851" s="711"/>
      <c r="I14851" s="711"/>
      <c r="J14851" s="711"/>
      <c r="K14851" s="711"/>
      <c r="L14851" s="711"/>
      <c r="Q14851" s="11"/>
      <c r="R14851" s="11"/>
      <c r="S14851" s="11"/>
      <c r="T14851" s="11"/>
    </row>
    <row r="14852" spans="8:20" x14ac:dyDescent="0.35">
      <c r="H14852" s="711"/>
      <c r="I14852" s="711"/>
      <c r="J14852" s="711"/>
      <c r="K14852" s="711"/>
      <c r="L14852" s="711"/>
      <c r="Q14852" s="11"/>
      <c r="R14852" s="11"/>
      <c r="S14852" s="11"/>
      <c r="T14852" s="11"/>
    </row>
    <row r="14853" spans="8:20" x14ac:dyDescent="0.35">
      <c r="H14853" s="711"/>
      <c r="I14853" s="711"/>
      <c r="J14853" s="711"/>
      <c r="K14853" s="711"/>
      <c r="L14853" s="711"/>
      <c r="Q14853" s="11"/>
      <c r="R14853" s="11"/>
      <c r="S14853" s="11"/>
      <c r="T14853" s="11"/>
    </row>
    <row r="14854" spans="8:20" x14ac:dyDescent="0.35">
      <c r="H14854" s="711"/>
      <c r="I14854" s="711"/>
      <c r="J14854" s="711"/>
      <c r="K14854" s="711"/>
      <c r="L14854" s="711"/>
      <c r="Q14854" s="11"/>
      <c r="R14854" s="11"/>
      <c r="S14854" s="11"/>
      <c r="T14854" s="11"/>
    </row>
    <row r="14855" spans="8:20" x14ac:dyDescent="0.35">
      <c r="H14855" s="711"/>
      <c r="I14855" s="711"/>
      <c r="J14855" s="711"/>
      <c r="K14855" s="711"/>
      <c r="L14855" s="711"/>
      <c r="Q14855" s="11"/>
      <c r="R14855" s="11"/>
      <c r="S14855" s="11"/>
      <c r="T14855" s="11"/>
    </row>
    <row r="14856" spans="8:20" x14ac:dyDescent="0.35">
      <c r="H14856" s="711"/>
      <c r="I14856" s="711"/>
      <c r="J14856" s="711"/>
      <c r="K14856" s="711"/>
      <c r="L14856" s="711"/>
      <c r="Q14856" s="11"/>
      <c r="R14856" s="11"/>
      <c r="S14856" s="11"/>
      <c r="T14856" s="11"/>
    </row>
    <row r="14857" spans="8:20" x14ac:dyDescent="0.35">
      <c r="H14857" s="711"/>
      <c r="I14857" s="711"/>
      <c r="J14857" s="711"/>
      <c r="K14857" s="711"/>
      <c r="L14857" s="711"/>
      <c r="Q14857" s="11"/>
      <c r="R14857" s="11"/>
      <c r="S14857" s="11"/>
      <c r="T14857" s="11"/>
    </row>
    <row r="14858" spans="8:20" x14ac:dyDescent="0.35">
      <c r="H14858" s="711"/>
      <c r="I14858" s="711"/>
      <c r="J14858" s="711"/>
      <c r="K14858" s="711"/>
      <c r="L14858" s="711"/>
      <c r="Q14858" s="11"/>
      <c r="R14858" s="11"/>
      <c r="S14858" s="11"/>
      <c r="T14858" s="11"/>
    </row>
    <row r="14859" spans="8:20" x14ac:dyDescent="0.35">
      <c r="H14859" s="711"/>
      <c r="I14859" s="711"/>
      <c r="J14859" s="711"/>
      <c r="K14859" s="711"/>
      <c r="L14859" s="711"/>
      <c r="Q14859" s="11"/>
      <c r="R14859" s="11"/>
      <c r="S14859" s="11"/>
      <c r="T14859" s="11"/>
    </row>
    <row r="14860" spans="8:20" x14ac:dyDescent="0.35">
      <c r="H14860" s="711"/>
      <c r="I14860" s="711"/>
      <c r="J14860" s="711"/>
      <c r="K14860" s="711"/>
      <c r="L14860" s="711"/>
      <c r="Q14860" s="11"/>
      <c r="R14860" s="11"/>
      <c r="S14860" s="11"/>
      <c r="T14860" s="11"/>
    </row>
    <row r="14861" spans="8:20" x14ac:dyDescent="0.35">
      <c r="H14861" s="711"/>
      <c r="I14861" s="711"/>
      <c r="J14861" s="711"/>
      <c r="K14861" s="711"/>
      <c r="L14861" s="711"/>
      <c r="Q14861" s="11"/>
      <c r="R14861" s="11"/>
      <c r="S14861" s="11"/>
      <c r="T14861" s="11"/>
    </row>
    <row r="14862" spans="8:20" x14ac:dyDescent="0.35">
      <c r="H14862" s="711"/>
      <c r="I14862" s="711"/>
      <c r="J14862" s="711"/>
      <c r="K14862" s="711"/>
      <c r="L14862" s="711"/>
      <c r="Q14862" s="11"/>
      <c r="R14862" s="11"/>
      <c r="S14862" s="11"/>
      <c r="T14862" s="11"/>
    </row>
    <row r="14863" spans="8:20" x14ac:dyDescent="0.35">
      <c r="H14863" s="711"/>
      <c r="I14863" s="711"/>
      <c r="J14863" s="711"/>
      <c r="K14863" s="711"/>
      <c r="L14863" s="711"/>
      <c r="Q14863" s="11"/>
      <c r="R14863" s="11"/>
      <c r="S14863" s="11"/>
      <c r="T14863" s="11"/>
    </row>
    <row r="14864" spans="8:20" x14ac:dyDescent="0.35">
      <c r="H14864" s="711"/>
      <c r="I14864" s="711"/>
      <c r="J14864" s="711"/>
      <c r="K14864" s="711"/>
      <c r="L14864" s="711"/>
      <c r="Q14864" s="11"/>
      <c r="R14864" s="11"/>
      <c r="S14864" s="11"/>
      <c r="T14864" s="11"/>
    </row>
    <row r="14865" spans="8:20" x14ac:dyDescent="0.35">
      <c r="H14865" s="711"/>
      <c r="I14865" s="711"/>
      <c r="J14865" s="711"/>
      <c r="K14865" s="711"/>
      <c r="L14865" s="711"/>
      <c r="Q14865" s="11"/>
      <c r="R14865" s="11"/>
      <c r="S14865" s="11"/>
      <c r="T14865" s="11"/>
    </row>
    <row r="14866" spans="8:20" x14ac:dyDescent="0.35">
      <c r="H14866" s="711"/>
      <c r="I14866" s="711"/>
      <c r="J14866" s="711"/>
      <c r="K14866" s="711"/>
      <c r="L14866" s="711"/>
      <c r="Q14866" s="11"/>
      <c r="R14866" s="11"/>
      <c r="S14866" s="11"/>
      <c r="T14866" s="11"/>
    </row>
    <row r="14867" spans="8:20" x14ac:dyDescent="0.35">
      <c r="H14867" s="711"/>
      <c r="I14867" s="711"/>
      <c r="J14867" s="711"/>
      <c r="K14867" s="711"/>
      <c r="L14867" s="711"/>
      <c r="Q14867" s="11"/>
      <c r="R14867" s="11"/>
      <c r="S14867" s="11"/>
      <c r="T14867" s="11"/>
    </row>
    <row r="14868" spans="8:20" x14ac:dyDescent="0.35">
      <c r="H14868" s="711"/>
      <c r="I14868" s="711"/>
      <c r="J14868" s="711"/>
      <c r="K14868" s="711"/>
      <c r="L14868" s="711"/>
      <c r="Q14868" s="11"/>
      <c r="R14868" s="11"/>
      <c r="S14868" s="11"/>
      <c r="T14868" s="11"/>
    </row>
    <row r="14869" spans="8:20" x14ac:dyDescent="0.35">
      <c r="H14869" s="711"/>
      <c r="I14869" s="711"/>
      <c r="J14869" s="711"/>
      <c r="K14869" s="711"/>
      <c r="L14869" s="711"/>
      <c r="Q14869" s="11"/>
      <c r="R14869" s="11"/>
      <c r="S14869" s="11"/>
      <c r="T14869" s="11"/>
    </row>
    <row r="14870" spans="8:20" x14ac:dyDescent="0.35">
      <c r="H14870" s="711"/>
      <c r="I14870" s="711"/>
      <c r="J14870" s="711"/>
      <c r="K14870" s="711"/>
      <c r="L14870" s="711"/>
      <c r="Q14870" s="11"/>
      <c r="R14870" s="11"/>
      <c r="S14870" s="11"/>
      <c r="T14870" s="11"/>
    </row>
    <row r="14871" spans="8:20" x14ac:dyDescent="0.35">
      <c r="H14871" s="711"/>
      <c r="I14871" s="711"/>
      <c r="J14871" s="711"/>
      <c r="K14871" s="711"/>
      <c r="L14871" s="711"/>
      <c r="Q14871" s="11"/>
      <c r="R14871" s="11"/>
      <c r="S14871" s="11"/>
      <c r="T14871" s="11"/>
    </row>
    <row r="14872" spans="8:20" x14ac:dyDescent="0.35">
      <c r="H14872" s="711"/>
      <c r="I14872" s="711"/>
      <c r="J14872" s="711"/>
      <c r="K14872" s="711"/>
      <c r="L14872" s="711"/>
      <c r="Q14872" s="11"/>
      <c r="R14872" s="11"/>
      <c r="S14872" s="11"/>
      <c r="T14872" s="11"/>
    </row>
    <row r="14873" spans="8:20" x14ac:dyDescent="0.35">
      <c r="H14873" s="711"/>
      <c r="I14873" s="711"/>
      <c r="J14873" s="711"/>
      <c r="K14873" s="711"/>
      <c r="L14873" s="711"/>
      <c r="Q14873" s="11"/>
      <c r="R14873" s="11"/>
      <c r="S14873" s="11"/>
      <c r="T14873" s="11"/>
    </row>
    <row r="14874" spans="8:20" x14ac:dyDescent="0.35">
      <c r="H14874" s="711"/>
      <c r="I14874" s="711"/>
      <c r="J14874" s="711"/>
      <c r="K14874" s="711"/>
      <c r="L14874" s="711"/>
      <c r="Q14874" s="11"/>
      <c r="R14874" s="11"/>
      <c r="S14874" s="11"/>
      <c r="T14874" s="11"/>
    </row>
    <row r="14875" spans="8:20" x14ac:dyDescent="0.35">
      <c r="H14875" s="711"/>
      <c r="I14875" s="711"/>
      <c r="J14875" s="711"/>
      <c r="K14875" s="711"/>
      <c r="L14875" s="711"/>
      <c r="Q14875" s="11"/>
      <c r="R14875" s="11"/>
      <c r="S14875" s="11"/>
      <c r="T14875" s="11"/>
    </row>
    <row r="14876" spans="8:20" x14ac:dyDescent="0.35">
      <c r="H14876" s="711"/>
      <c r="I14876" s="711"/>
      <c r="J14876" s="711"/>
      <c r="K14876" s="711"/>
      <c r="L14876" s="711"/>
      <c r="Q14876" s="11"/>
      <c r="R14876" s="11"/>
      <c r="S14876" s="11"/>
      <c r="T14876" s="11"/>
    </row>
    <row r="14877" spans="8:20" x14ac:dyDescent="0.35">
      <c r="H14877" s="711"/>
      <c r="I14877" s="711"/>
      <c r="J14877" s="711"/>
      <c r="K14877" s="711"/>
      <c r="L14877" s="711"/>
      <c r="Q14877" s="11"/>
      <c r="R14877" s="11"/>
      <c r="S14877" s="11"/>
      <c r="T14877" s="11"/>
    </row>
    <row r="14878" spans="8:20" x14ac:dyDescent="0.35">
      <c r="H14878" s="711"/>
      <c r="I14878" s="711"/>
      <c r="J14878" s="711"/>
      <c r="K14878" s="711"/>
      <c r="L14878" s="711"/>
      <c r="Q14878" s="11"/>
      <c r="R14878" s="11"/>
      <c r="S14878" s="11"/>
      <c r="T14878" s="11"/>
    </row>
    <row r="14879" spans="8:20" x14ac:dyDescent="0.35">
      <c r="H14879" s="711"/>
      <c r="I14879" s="711"/>
      <c r="J14879" s="711"/>
      <c r="K14879" s="711"/>
      <c r="L14879" s="711"/>
      <c r="Q14879" s="11"/>
      <c r="R14879" s="11"/>
      <c r="S14879" s="11"/>
      <c r="T14879" s="11"/>
    </row>
    <row r="14880" spans="8:20" x14ac:dyDescent="0.35">
      <c r="H14880" s="711"/>
      <c r="I14880" s="711"/>
      <c r="J14880" s="711"/>
      <c r="K14880" s="711"/>
      <c r="L14880" s="711"/>
      <c r="Q14880" s="11"/>
      <c r="R14880" s="11"/>
      <c r="S14880" s="11"/>
      <c r="T14880" s="11"/>
    </row>
    <row r="14881" spans="8:20" x14ac:dyDescent="0.35">
      <c r="H14881" s="711"/>
      <c r="I14881" s="711"/>
      <c r="J14881" s="711"/>
      <c r="K14881" s="711"/>
      <c r="L14881" s="711"/>
      <c r="Q14881" s="11"/>
      <c r="R14881" s="11"/>
      <c r="S14881" s="11"/>
      <c r="T14881" s="11"/>
    </row>
    <row r="14882" spans="8:20" x14ac:dyDescent="0.35">
      <c r="H14882" s="711"/>
      <c r="I14882" s="711"/>
      <c r="J14882" s="711"/>
      <c r="K14882" s="711"/>
      <c r="L14882" s="711"/>
      <c r="Q14882" s="11"/>
      <c r="R14882" s="11"/>
      <c r="S14882" s="11"/>
      <c r="T14882" s="11"/>
    </row>
    <row r="14883" spans="8:20" x14ac:dyDescent="0.35">
      <c r="H14883" s="711"/>
      <c r="I14883" s="711"/>
      <c r="J14883" s="711"/>
      <c r="K14883" s="711"/>
      <c r="L14883" s="711"/>
      <c r="Q14883" s="11"/>
      <c r="R14883" s="11"/>
      <c r="S14883" s="11"/>
      <c r="T14883" s="11"/>
    </row>
    <row r="14884" spans="8:20" x14ac:dyDescent="0.35">
      <c r="H14884" s="711"/>
      <c r="I14884" s="711"/>
      <c r="J14884" s="711"/>
      <c r="K14884" s="711"/>
      <c r="L14884" s="711"/>
      <c r="Q14884" s="11"/>
      <c r="R14884" s="11"/>
      <c r="S14884" s="11"/>
      <c r="T14884" s="11"/>
    </row>
    <row r="14885" spans="8:20" x14ac:dyDescent="0.35">
      <c r="H14885" s="711"/>
      <c r="I14885" s="711"/>
      <c r="J14885" s="711"/>
      <c r="K14885" s="711"/>
      <c r="L14885" s="711"/>
      <c r="Q14885" s="11"/>
      <c r="R14885" s="11"/>
      <c r="S14885" s="11"/>
      <c r="T14885" s="11"/>
    </row>
    <row r="14886" spans="8:20" x14ac:dyDescent="0.35">
      <c r="H14886" s="711"/>
      <c r="I14886" s="711"/>
      <c r="J14886" s="711"/>
      <c r="K14886" s="711"/>
      <c r="L14886" s="711"/>
      <c r="Q14886" s="11"/>
      <c r="R14886" s="11"/>
      <c r="S14886" s="11"/>
      <c r="T14886" s="11"/>
    </row>
    <row r="14887" spans="8:20" x14ac:dyDescent="0.35">
      <c r="H14887" s="711"/>
      <c r="I14887" s="711"/>
      <c r="J14887" s="711"/>
      <c r="K14887" s="711"/>
      <c r="L14887" s="711"/>
      <c r="Q14887" s="11"/>
      <c r="R14887" s="11"/>
      <c r="S14887" s="11"/>
      <c r="T14887" s="11"/>
    </row>
    <row r="14888" spans="8:20" x14ac:dyDescent="0.35">
      <c r="H14888" s="711"/>
      <c r="I14888" s="711"/>
      <c r="J14888" s="711"/>
      <c r="K14888" s="711"/>
      <c r="L14888" s="711"/>
      <c r="Q14888" s="11"/>
      <c r="R14888" s="11"/>
      <c r="S14888" s="11"/>
      <c r="T14888" s="11"/>
    </row>
    <row r="14889" spans="8:20" x14ac:dyDescent="0.35">
      <c r="H14889" s="711"/>
      <c r="I14889" s="711"/>
      <c r="J14889" s="711"/>
      <c r="K14889" s="711"/>
      <c r="L14889" s="711"/>
      <c r="Q14889" s="11"/>
      <c r="R14889" s="11"/>
      <c r="S14889" s="11"/>
      <c r="T14889" s="11"/>
    </row>
    <row r="14890" spans="8:20" x14ac:dyDescent="0.35">
      <c r="H14890" s="711"/>
      <c r="I14890" s="711"/>
      <c r="J14890" s="711"/>
      <c r="K14890" s="711"/>
      <c r="L14890" s="711"/>
      <c r="Q14890" s="11"/>
      <c r="R14890" s="11"/>
      <c r="S14890" s="11"/>
      <c r="T14890" s="11"/>
    </row>
    <row r="14891" spans="8:20" x14ac:dyDescent="0.35">
      <c r="H14891" s="711"/>
      <c r="I14891" s="711"/>
      <c r="J14891" s="711"/>
      <c r="K14891" s="711"/>
      <c r="L14891" s="711"/>
      <c r="Q14891" s="11"/>
      <c r="R14891" s="11"/>
      <c r="S14891" s="11"/>
      <c r="T14891" s="11"/>
    </row>
    <row r="14892" spans="8:20" x14ac:dyDescent="0.35">
      <c r="H14892" s="711"/>
      <c r="I14892" s="711"/>
      <c r="J14892" s="711"/>
      <c r="K14892" s="711"/>
      <c r="L14892" s="711"/>
      <c r="Q14892" s="11"/>
      <c r="R14892" s="11"/>
      <c r="S14892" s="11"/>
      <c r="T14892" s="11"/>
    </row>
    <row r="14893" spans="8:20" x14ac:dyDescent="0.35">
      <c r="H14893" s="711"/>
      <c r="I14893" s="711"/>
      <c r="J14893" s="711"/>
      <c r="K14893" s="711"/>
      <c r="L14893" s="711"/>
      <c r="Q14893" s="11"/>
      <c r="R14893" s="11"/>
      <c r="S14893" s="11"/>
      <c r="T14893" s="11"/>
    </row>
    <row r="14894" spans="8:20" x14ac:dyDescent="0.35">
      <c r="H14894" s="711"/>
      <c r="I14894" s="711"/>
      <c r="J14894" s="711"/>
      <c r="K14894" s="711"/>
      <c r="L14894" s="711"/>
      <c r="Q14894" s="11"/>
      <c r="R14894" s="11"/>
      <c r="S14894" s="11"/>
      <c r="T14894" s="11"/>
    </row>
    <row r="14895" spans="8:20" x14ac:dyDescent="0.35">
      <c r="H14895" s="711"/>
      <c r="I14895" s="711"/>
      <c r="J14895" s="711"/>
      <c r="K14895" s="711"/>
      <c r="L14895" s="711"/>
      <c r="Q14895" s="11"/>
      <c r="R14895" s="11"/>
      <c r="S14895" s="11"/>
      <c r="T14895" s="11"/>
    </row>
    <row r="14896" spans="8:20" x14ac:dyDescent="0.35">
      <c r="H14896" s="711"/>
      <c r="I14896" s="711"/>
      <c r="J14896" s="711"/>
      <c r="K14896" s="711"/>
      <c r="L14896" s="711"/>
      <c r="Q14896" s="11"/>
      <c r="R14896" s="11"/>
      <c r="S14896" s="11"/>
      <c r="T14896" s="11"/>
    </row>
    <row r="14897" spans="8:20" x14ac:dyDescent="0.35">
      <c r="H14897" s="711"/>
      <c r="I14897" s="711"/>
      <c r="J14897" s="711"/>
      <c r="K14897" s="711"/>
      <c r="L14897" s="711"/>
      <c r="Q14897" s="11"/>
      <c r="R14897" s="11"/>
      <c r="S14897" s="11"/>
      <c r="T14897" s="11"/>
    </row>
    <row r="14898" spans="8:20" x14ac:dyDescent="0.35">
      <c r="H14898" s="711"/>
      <c r="I14898" s="711"/>
      <c r="J14898" s="711"/>
      <c r="K14898" s="711"/>
      <c r="L14898" s="711"/>
      <c r="Q14898" s="11"/>
      <c r="R14898" s="11"/>
      <c r="S14898" s="11"/>
      <c r="T14898" s="11"/>
    </row>
    <row r="14899" spans="8:20" x14ac:dyDescent="0.35">
      <c r="H14899" s="711"/>
      <c r="I14899" s="711"/>
      <c r="J14899" s="711"/>
      <c r="K14899" s="711"/>
      <c r="L14899" s="711"/>
      <c r="Q14899" s="11"/>
      <c r="R14899" s="11"/>
      <c r="S14899" s="11"/>
      <c r="T14899" s="11"/>
    </row>
    <row r="14900" spans="8:20" x14ac:dyDescent="0.35">
      <c r="H14900" s="711"/>
      <c r="I14900" s="711"/>
      <c r="J14900" s="711"/>
      <c r="K14900" s="711"/>
      <c r="L14900" s="711"/>
      <c r="Q14900" s="11"/>
      <c r="R14900" s="11"/>
      <c r="S14900" s="11"/>
      <c r="T14900" s="11"/>
    </row>
    <row r="14901" spans="8:20" x14ac:dyDescent="0.35">
      <c r="H14901" s="711"/>
      <c r="I14901" s="711"/>
      <c r="J14901" s="711"/>
      <c r="K14901" s="711"/>
      <c r="L14901" s="711"/>
      <c r="Q14901" s="11"/>
      <c r="R14901" s="11"/>
      <c r="S14901" s="11"/>
      <c r="T14901" s="11"/>
    </row>
    <row r="14902" spans="8:20" x14ac:dyDescent="0.35">
      <c r="H14902" s="711"/>
      <c r="I14902" s="711"/>
      <c r="J14902" s="711"/>
      <c r="K14902" s="711"/>
      <c r="L14902" s="711"/>
      <c r="Q14902" s="11"/>
      <c r="R14902" s="11"/>
      <c r="S14902" s="11"/>
      <c r="T14902" s="11"/>
    </row>
    <row r="14903" spans="8:20" x14ac:dyDescent="0.35">
      <c r="H14903" s="711"/>
      <c r="I14903" s="711"/>
      <c r="J14903" s="711"/>
      <c r="K14903" s="711"/>
      <c r="L14903" s="711"/>
      <c r="Q14903" s="11"/>
      <c r="R14903" s="11"/>
      <c r="S14903" s="11"/>
      <c r="T14903" s="11"/>
    </row>
    <row r="14904" spans="8:20" x14ac:dyDescent="0.35">
      <c r="H14904" s="711"/>
      <c r="I14904" s="711"/>
      <c r="J14904" s="711"/>
      <c r="K14904" s="711"/>
      <c r="L14904" s="711"/>
      <c r="Q14904" s="11"/>
      <c r="R14904" s="11"/>
      <c r="S14904" s="11"/>
      <c r="T14904" s="11"/>
    </row>
    <row r="14905" spans="8:20" x14ac:dyDescent="0.35">
      <c r="H14905" s="711"/>
      <c r="I14905" s="711"/>
      <c r="J14905" s="711"/>
      <c r="K14905" s="711"/>
      <c r="L14905" s="711"/>
      <c r="Q14905" s="11"/>
      <c r="R14905" s="11"/>
      <c r="S14905" s="11"/>
      <c r="T14905" s="11"/>
    </row>
    <row r="14906" spans="8:20" x14ac:dyDescent="0.35">
      <c r="H14906" s="711"/>
      <c r="I14906" s="711"/>
      <c r="J14906" s="711"/>
      <c r="K14906" s="711"/>
      <c r="L14906" s="711"/>
      <c r="Q14906" s="11"/>
      <c r="R14906" s="11"/>
      <c r="S14906" s="11"/>
      <c r="T14906" s="11"/>
    </row>
    <row r="14907" spans="8:20" x14ac:dyDescent="0.35">
      <c r="H14907" s="711"/>
      <c r="I14907" s="711"/>
      <c r="J14907" s="711"/>
      <c r="K14907" s="711"/>
      <c r="L14907" s="711"/>
      <c r="Q14907" s="11"/>
      <c r="R14907" s="11"/>
      <c r="S14907" s="11"/>
      <c r="T14907" s="11"/>
    </row>
    <row r="14908" spans="8:20" x14ac:dyDescent="0.35">
      <c r="H14908" s="711"/>
      <c r="I14908" s="711"/>
      <c r="J14908" s="711"/>
      <c r="K14908" s="711"/>
      <c r="L14908" s="711"/>
      <c r="Q14908" s="11"/>
      <c r="R14908" s="11"/>
      <c r="S14908" s="11"/>
      <c r="T14908" s="11"/>
    </row>
    <row r="14909" spans="8:20" x14ac:dyDescent="0.35">
      <c r="H14909" s="711"/>
      <c r="I14909" s="711"/>
      <c r="J14909" s="711"/>
      <c r="K14909" s="711"/>
      <c r="L14909" s="711"/>
      <c r="Q14909" s="11"/>
      <c r="R14909" s="11"/>
      <c r="S14909" s="11"/>
      <c r="T14909" s="11"/>
    </row>
    <row r="14910" spans="8:20" x14ac:dyDescent="0.35">
      <c r="H14910" s="711"/>
      <c r="I14910" s="711"/>
      <c r="J14910" s="711"/>
      <c r="K14910" s="711"/>
      <c r="L14910" s="711"/>
      <c r="Q14910" s="11"/>
      <c r="R14910" s="11"/>
      <c r="S14910" s="11"/>
      <c r="T14910" s="11"/>
    </row>
    <row r="14911" spans="8:20" x14ac:dyDescent="0.35">
      <c r="H14911" s="711"/>
      <c r="I14911" s="711"/>
      <c r="J14911" s="711"/>
      <c r="K14911" s="711"/>
      <c r="L14911" s="711"/>
      <c r="Q14911" s="11"/>
      <c r="R14911" s="11"/>
      <c r="S14911" s="11"/>
      <c r="T14911" s="11"/>
    </row>
    <row r="14912" spans="8:20" x14ac:dyDescent="0.35">
      <c r="H14912" s="711"/>
      <c r="I14912" s="711"/>
      <c r="J14912" s="711"/>
      <c r="K14912" s="711"/>
      <c r="L14912" s="711"/>
      <c r="Q14912" s="11"/>
      <c r="R14912" s="11"/>
      <c r="S14912" s="11"/>
      <c r="T14912" s="11"/>
    </row>
    <row r="14913" spans="8:20" x14ac:dyDescent="0.35">
      <c r="H14913" s="711"/>
      <c r="I14913" s="711"/>
      <c r="J14913" s="711"/>
      <c r="K14913" s="711"/>
      <c r="L14913" s="711"/>
      <c r="Q14913" s="11"/>
      <c r="R14913" s="11"/>
      <c r="S14913" s="11"/>
      <c r="T14913" s="11"/>
    </row>
    <row r="14914" spans="8:20" x14ac:dyDescent="0.35">
      <c r="H14914" s="711"/>
      <c r="I14914" s="711"/>
      <c r="J14914" s="711"/>
      <c r="K14914" s="711"/>
      <c r="L14914" s="711"/>
      <c r="Q14914" s="11"/>
      <c r="R14914" s="11"/>
      <c r="S14914" s="11"/>
      <c r="T14914" s="11"/>
    </row>
    <row r="14915" spans="8:20" x14ac:dyDescent="0.35">
      <c r="H14915" s="711"/>
      <c r="I14915" s="711"/>
      <c r="J14915" s="711"/>
      <c r="K14915" s="711"/>
      <c r="L14915" s="711"/>
      <c r="Q14915" s="11"/>
      <c r="R14915" s="11"/>
      <c r="S14915" s="11"/>
      <c r="T14915" s="11"/>
    </row>
    <row r="14916" spans="8:20" x14ac:dyDescent="0.35">
      <c r="H14916" s="711"/>
      <c r="I14916" s="711"/>
      <c r="J14916" s="711"/>
      <c r="K14916" s="711"/>
      <c r="L14916" s="711"/>
      <c r="Q14916" s="11"/>
      <c r="R14916" s="11"/>
      <c r="S14916" s="11"/>
      <c r="T14916" s="11"/>
    </row>
    <row r="14917" spans="8:20" x14ac:dyDescent="0.35">
      <c r="H14917" s="711"/>
      <c r="I14917" s="711"/>
      <c r="J14917" s="711"/>
      <c r="K14917" s="711"/>
      <c r="L14917" s="711"/>
      <c r="Q14917" s="11"/>
      <c r="R14917" s="11"/>
      <c r="S14917" s="11"/>
      <c r="T14917" s="11"/>
    </row>
    <row r="14918" spans="8:20" x14ac:dyDescent="0.35">
      <c r="H14918" s="711"/>
      <c r="I14918" s="711"/>
      <c r="J14918" s="711"/>
      <c r="K14918" s="711"/>
      <c r="L14918" s="711"/>
      <c r="Q14918" s="11"/>
      <c r="R14918" s="11"/>
      <c r="S14918" s="11"/>
      <c r="T14918" s="11"/>
    </row>
    <row r="14919" spans="8:20" x14ac:dyDescent="0.35">
      <c r="H14919" s="711"/>
      <c r="I14919" s="711"/>
      <c r="J14919" s="711"/>
      <c r="K14919" s="711"/>
      <c r="L14919" s="711"/>
      <c r="Q14919" s="11"/>
      <c r="R14919" s="11"/>
      <c r="S14919" s="11"/>
      <c r="T14919" s="11"/>
    </row>
    <row r="14920" spans="8:20" x14ac:dyDescent="0.35">
      <c r="H14920" s="711"/>
      <c r="I14920" s="711"/>
      <c r="J14920" s="711"/>
      <c r="K14920" s="711"/>
      <c r="L14920" s="711"/>
      <c r="Q14920" s="11"/>
      <c r="R14920" s="11"/>
      <c r="S14920" s="11"/>
      <c r="T14920" s="11"/>
    </row>
    <row r="14921" spans="8:20" x14ac:dyDescent="0.35">
      <c r="H14921" s="711"/>
      <c r="I14921" s="711"/>
      <c r="J14921" s="711"/>
      <c r="K14921" s="711"/>
      <c r="L14921" s="711"/>
      <c r="Q14921" s="11"/>
      <c r="R14921" s="11"/>
      <c r="S14921" s="11"/>
      <c r="T14921" s="11"/>
    </row>
    <row r="14922" spans="8:20" x14ac:dyDescent="0.35">
      <c r="H14922" s="711"/>
      <c r="I14922" s="711"/>
      <c r="J14922" s="711"/>
      <c r="K14922" s="711"/>
      <c r="L14922" s="711"/>
      <c r="Q14922" s="11"/>
      <c r="R14922" s="11"/>
      <c r="S14922" s="11"/>
      <c r="T14922" s="11"/>
    </row>
    <row r="14923" spans="8:20" x14ac:dyDescent="0.35">
      <c r="H14923" s="711"/>
      <c r="I14923" s="711"/>
      <c r="J14923" s="711"/>
      <c r="K14923" s="711"/>
      <c r="L14923" s="711"/>
      <c r="Q14923" s="11"/>
      <c r="R14923" s="11"/>
      <c r="S14923" s="11"/>
      <c r="T14923" s="11"/>
    </row>
    <row r="14924" spans="8:20" x14ac:dyDescent="0.35">
      <c r="H14924" s="711"/>
      <c r="I14924" s="711"/>
      <c r="J14924" s="711"/>
      <c r="K14924" s="711"/>
      <c r="L14924" s="711"/>
      <c r="Q14924" s="11"/>
      <c r="R14924" s="11"/>
      <c r="S14924" s="11"/>
      <c r="T14924" s="11"/>
    </row>
    <row r="14925" spans="8:20" x14ac:dyDescent="0.35">
      <c r="H14925" s="711"/>
      <c r="I14925" s="711"/>
      <c r="J14925" s="711"/>
      <c r="K14925" s="711"/>
      <c r="L14925" s="711"/>
      <c r="Q14925" s="11"/>
      <c r="R14925" s="11"/>
      <c r="S14925" s="11"/>
      <c r="T14925" s="11"/>
    </row>
    <row r="14926" spans="8:20" x14ac:dyDescent="0.35">
      <c r="H14926" s="711"/>
      <c r="I14926" s="711"/>
      <c r="J14926" s="711"/>
      <c r="K14926" s="711"/>
      <c r="L14926" s="711"/>
      <c r="Q14926" s="11"/>
      <c r="R14926" s="11"/>
      <c r="S14926" s="11"/>
      <c r="T14926" s="11"/>
    </row>
    <row r="14927" spans="8:20" x14ac:dyDescent="0.35">
      <c r="H14927" s="711"/>
      <c r="I14927" s="711"/>
      <c r="J14927" s="711"/>
      <c r="K14927" s="711"/>
      <c r="L14927" s="711"/>
      <c r="Q14927" s="11"/>
      <c r="R14927" s="11"/>
      <c r="S14927" s="11"/>
      <c r="T14927" s="11"/>
    </row>
    <row r="14928" spans="8:20" x14ac:dyDescent="0.35">
      <c r="H14928" s="711"/>
      <c r="I14928" s="711"/>
      <c r="J14928" s="711"/>
      <c r="K14928" s="711"/>
      <c r="L14928" s="711"/>
      <c r="Q14928" s="11"/>
      <c r="R14928" s="11"/>
      <c r="S14928" s="11"/>
      <c r="T14928" s="11"/>
    </row>
    <row r="14929" spans="8:20" x14ac:dyDescent="0.35">
      <c r="H14929" s="711"/>
      <c r="I14929" s="711"/>
      <c r="J14929" s="711"/>
      <c r="K14929" s="711"/>
      <c r="L14929" s="711"/>
      <c r="Q14929" s="11"/>
      <c r="R14929" s="11"/>
      <c r="S14929" s="11"/>
      <c r="T14929" s="11"/>
    </row>
    <row r="14930" spans="8:20" x14ac:dyDescent="0.35">
      <c r="H14930" s="711"/>
      <c r="I14930" s="711"/>
      <c r="J14930" s="711"/>
      <c r="K14930" s="711"/>
      <c r="L14930" s="711"/>
      <c r="Q14930" s="11"/>
      <c r="R14930" s="11"/>
      <c r="S14930" s="11"/>
      <c r="T14930" s="11"/>
    </row>
    <row r="14931" spans="8:20" x14ac:dyDescent="0.35">
      <c r="H14931" s="711"/>
      <c r="I14931" s="711"/>
      <c r="J14931" s="711"/>
      <c r="K14931" s="711"/>
      <c r="L14931" s="711"/>
      <c r="Q14931" s="11"/>
      <c r="R14931" s="11"/>
      <c r="S14931" s="11"/>
      <c r="T14931" s="11"/>
    </row>
    <row r="14932" spans="8:20" x14ac:dyDescent="0.35">
      <c r="H14932" s="711"/>
      <c r="I14932" s="711"/>
      <c r="J14932" s="711"/>
      <c r="K14932" s="711"/>
      <c r="L14932" s="711"/>
      <c r="Q14932" s="11"/>
      <c r="R14932" s="11"/>
      <c r="S14932" s="11"/>
      <c r="T14932" s="11"/>
    </row>
    <row r="14933" spans="8:20" x14ac:dyDescent="0.35">
      <c r="H14933" s="711"/>
      <c r="I14933" s="711"/>
      <c r="J14933" s="711"/>
      <c r="K14933" s="711"/>
      <c r="L14933" s="711"/>
      <c r="Q14933" s="11"/>
      <c r="R14933" s="11"/>
      <c r="S14933" s="11"/>
      <c r="T14933" s="11"/>
    </row>
    <row r="14934" spans="8:20" x14ac:dyDescent="0.35">
      <c r="H14934" s="711"/>
      <c r="I14934" s="711"/>
      <c r="J14934" s="711"/>
      <c r="K14934" s="711"/>
      <c r="L14934" s="711"/>
      <c r="Q14934" s="11"/>
      <c r="R14934" s="11"/>
      <c r="S14934" s="11"/>
      <c r="T14934" s="11"/>
    </row>
    <row r="14935" spans="8:20" x14ac:dyDescent="0.35">
      <c r="H14935" s="711"/>
      <c r="I14935" s="711"/>
      <c r="J14935" s="711"/>
      <c r="K14935" s="711"/>
      <c r="L14935" s="711"/>
      <c r="Q14935" s="11"/>
      <c r="R14935" s="11"/>
      <c r="S14935" s="11"/>
      <c r="T14935" s="11"/>
    </row>
    <row r="14936" spans="8:20" x14ac:dyDescent="0.35">
      <c r="H14936" s="711"/>
      <c r="I14936" s="711"/>
      <c r="J14936" s="711"/>
      <c r="K14936" s="711"/>
      <c r="L14936" s="711"/>
      <c r="Q14936" s="11"/>
      <c r="R14936" s="11"/>
      <c r="S14936" s="11"/>
      <c r="T14936" s="11"/>
    </row>
    <row r="14937" spans="8:20" x14ac:dyDescent="0.35">
      <c r="H14937" s="711"/>
      <c r="I14937" s="711"/>
      <c r="J14937" s="711"/>
      <c r="K14937" s="711"/>
      <c r="L14937" s="711"/>
      <c r="Q14937" s="11"/>
      <c r="R14937" s="11"/>
      <c r="S14937" s="11"/>
      <c r="T14937" s="11"/>
    </row>
    <row r="14938" spans="8:20" x14ac:dyDescent="0.35">
      <c r="H14938" s="711"/>
      <c r="I14938" s="711"/>
      <c r="J14938" s="711"/>
      <c r="K14938" s="711"/>
      <c r="L14938" s="711"/>
      <c r="Q14938" s="11"/>
      <c r="R14938" s="11"/>
      <c r="S14938" s="11"/>
      <c r="T14938" s="11"/>
    </row>
    <row r="14939" spans="8:20" x14ac:dyDescent="0.35">
      <c r="H14939" s="711"/>
      <c r="I14939" s="711"/>
      <c r="J14939" s="711"/>
      <c r="K14939" s="711"/>
      <c r="L14939" s="711"/>
      <c r="Q14939" s="11"/>
      <c r="R14939" s="11"/>
      <c r="S14939" s="11"/>
      <c r="T14939" s="11"/>
    </row>
    <row r="14940" spans="8:20" x14ac:dyDescent="0.35">
      <c r="H14940" s="711"/>
      <c r="I14940" s="711"/>
      <c r="J14940" s="711"/>
      <c r="K14940" s="711"/>
      <c r="L14940" s="711"/>
      <c r="Q14940" s="11"/>
      <c r="R14940" s="11"/>
      <c r="S14940" s="11"/>
      <c r="T14940" s="11"/>
    </row>
    <row r="14941" spans="8:20" x14ac:dyDescent="0.35">
      <c r="H14941" s="711"/>
      <c r="I14941" s="711"/>
      <c r="J14941" s="711"/>
      <c r="K14941" s="711"/>
      <c r="L14941" s="711"/>
      <c r="Q14941" s="11"/>
      <c r="R14941" s="11"/>
      <c r="S14941" s="11"/>
      <c r="T14941" s="11"/>
    </row>
    <row r="14942" spans="8:20" x14ac:dyDescent="0.35">
      <c r="H14942" s="711"/>
      <c r="I14942" s="711"/>
      <c r="J14942" s="711"/>
      <c r="K14942" s="711"/>
      <c r="L14942" s="711"/>
      <c r="Q14942" s="11"/>
      <c r="R14942" s="11"/>
      <c r="S14942" s="11"/>
      <c r="T14942" s="11"/>
    </row>
    <row r="14943" spans="8:20" x14ac:dyDescent="0.35">
      <c r="H14943" s="711"/>
      <c r="I14943" s="711"/>
      <c r="J14943" s="711"/>
      <c r="K14943" s="711"/>
      <c r="L14943" s="711"/>
      <c r="Q14943" s="11"/>
      <c r="R14943" s="11"/>
      <c r="S14943" s="11"/>
      <c r="T14943" s="11"/>
    </row>
    <row r="14944" spans="8:20" x14ac:dyDescent="0.35">
      <c r="H14944" s="711"/>
      <c r="I14944" s="711"/>
      <c r="J14944" s="711"/>
      <c r="K14944" s="711"/>
      <c r="L14944" s="711"/>
      <c r="Q14944" s="11"/>
      <c r="R14944" s="11"/>
      <c r="S14944" s="11"/>
      <c r="T14944" s="11"/>
    </row>
    <row r="14945" spans="8:20" x14ac:dyDescent="0.35">
      <c r="H14945" s="711"/>
      <c r="I14945" s="711"/>
      <c r="J14945" s="711"/>
      <c r="K14945" s="711"/>
      <c r="L14945" s="711"/>
      <c r="Q14945" s="11"/>
      <c r="R14945" s="11"/>
      <c r="S14945" s="11"/>
      <c r="T14945" s="11"/>
    </row>
    <row r="14946" spans="8:20" x14ac:dyDescent="0.35">
      <c r="H14946" s="711"/>
      <c r="I14946" s="711"/>
      <c r="J14946" s="711"/>
      <c r="K14946" s="711"/>
      <c r="L14946" s="711"/>
      <c r="Q14946" s="11"/>
      <c r="R14946" s="11"/>
      <c r="S14946" s="11"/>
      <c r="T14946" s="11"/>
    </row>
    <row r="14947" spans="8:20" x14ac:dyDescent="0.35">
      <c r="H14947" s="711"/>
      <c r="I14947" s="711"/>
      <c r="J14947" s="711"/>
      <c r="K14947" s="711"/>
      <c r="L14947" s="711"/>
      <c r="Q14947" s="11"/>
      <c r="R14947" s="11"/>
      <c r="S14947" s="11"/>
      <c r="T14947" s="11"/>
    </row>
    <row r="14948" spans="8:20" x14ac:dyDescent="0.35">
      <c r="H14948" s="711"/>
      <c r="I14948" s="711"/>
      <c r="J14948" s="711"/>
      <c r="K14948" s="711"/>
      <c r="L14948" s="711"/>
      <c r="Q14948" s="11"/>
      <c r="R14948" s="11"/>
      <c r="S14948" s="11"/>
      <c r="T14948" s="11"/>
    </row>
    <row r="14949" spans="8:20" x14ac:dyDescent="0.35">
      <c r="H14949" s="711"/>
      <c r="I14949" s="711"/>
      <c r="J14949" s="711"/>
      <c r="K14949" s="711"/>
      <c r="L14949" s="711"/>
      <c r="Q14949" s="11"/>
      <c r="R14949" s="11"/>
      <c r="S14949" s="11"/>
      <c r="T14949" s="11"/>
    </row>
    <row r="14950" spans="8:20" x14ac:dyDescent="0.35">
      <c r="H14950" s="711"/>
      <c r="I14950" s="711"/>
      <c r="J14950" s="711"/>
      <c r="K14950" s="711"/>
      <c r="L14950" s="711"/>
      <c r="Q14950" s="11"/>
      <c r="R14950" s="11"/>
      <c r="S14950" s="11"/>
      <c r="T14950" s="11"/>
    </row>
    <row r="14951" spans="8:20" x14ac:dyDescent="0.35">
      <c r="H14951" s="711"/>
      <c r="I14951" s="711"/>
      <c r="J14951" s="711"/>
      <c r="K14951" s="711"/>
      <c r="L14951" s="711"/>
      <c r="Q14951" s="11"/>
      <c r="R14951" s="11"/>
      <c r="S14951" s="11"/>
      <c r="T14951" s="11"/>
    </row>
    <row r="14952" spans="8:20" x14ac:dyDescent="0.35">
      <c r="H14952" s="711"/>
      <c r="I14952" s="711"/>
      <c r="J14952" s="711"/>
      <c r="K14952" s="711"/>
      <c r="L14952" s="711"/>
      <c r="Q14952" s="11"/>
      <c r="R14952" s="11"/>
      <c r="S14952" s="11"/>
      <c r="T14952" s="11"/>
    </row>
    <row r="14953" spans="8:20" x14ac:dyDescent="0.35">
      <c r="H14953" s="711"/>
      <c r="I14953" s="711"/>
      <c r="J14953" s="711"/>
      <c r="K14953" s="711"/>
      <c r="L14953" s="711"/>
      <c r="Q14953" s="11"/>
      <c r="R14953" s="11"/>
      <c r="S14953" s="11"/>
      <c r="T14953" s="11"/>
    </row>
    <row r="14954" spans="8:20" x14ac:dyDescent="0.35">
      <c r="H14954" s="711"/>
      <c r="I14954" s="711"/>
      <c r="J14954" s="711"/>
      <c r="K14954" s="711"/>
      <c r="L14954" s="711"/>
      <c r="Q14954" s="11"/>
      <c r="R14954" s="11"/>
      <c r="S14954" s="11"/>
      <c r="T14954" s="11"/>
    </row>
    <row r="14955" spans="8:20" x14ac:dyDescent="0.35">
      <c r="H14955" s="711"/>
      <c r="I14955" s="711"/>
      <c r="J14955" s="711"/>
      <c r="K14955" s="711"/>
      <c r="L14955" s="711"/>
      <c r="Q14955" s="11"/>
      <c r="R14955" s="11"/>
      <c r="S14955" s="11"/>
      <c r="T14955" s="11"/>
    </row>
    <row r="14956" spans="8:20" x14ac:dyDescent="0.35">
      <c r="H14956" s="711"/>
      <c r="I14956" s="711"/>
      <c r="J14956" s="711"/>
      <c r="K14956" s="711"/>
      <c r="L14956" s="711"/>
      <c r="Q14956" s="11"/>
      <c r="R14956" s="11"/>
      <c r="S14956" s="11"/>
      <c r="T14956" s="11"/>
    </row>
    <row r="14957" spans="8:20" x14ac:dyDescent="0.35">
      <c r="H14957" s="711"/>
      <c r="I14957" s="711"/>
      <c r="J14957" s="711"/>
      <c r="K14957" s="711"/>
      <c r="L14957" s="711"/>
      <c r="Q14957" s="11"/>
      <c r="R14957" s="11"/>
      <c r="S14957" s="11"/>
      <c r="T14957" s="11"/>
    </row>
    <row r="14958" spans="8:20" x14ac:dyDescent="0.35">
      <c r="H14958" s="711"/>
      <c r="I14958" s="711"/>
      <c r="J14958" s="711"/>
      <c r="K14958" s="711"/>
      <c r="L14958" s="711"/>
      <c r="Q14958" s="11"/>
      <c r="R14958" s="11"/>
      <c r="S14958" s="11"/>
      <c r="T14958" s="11"/>
    </row>
    <row r="14959" spans="8:20" x14ac:dyDescent="0.35">
      <c r="H14959" s="711"/>
      <c r="I14959" s="711"/>
      <c r="J14959" s="711"/>
      <c r="K14959" s="711"/>
      <c r="L14959" s="711"/>
      <c r="Q14959" s="11"/>
      <c r="R14959" s="11"/>
      <c r="S14959" s="11"/>
      <c r="T14959" s="11"/>
    </row>
    <row r="14960" spans="8:20" x14ac:dyDescent="0.35">
      <c r="H14960" s="711"/>
      <c r="I14960" s="711"/>
      <c r="J14960" s="711"/>
      <c r="K14960" s="711"/>
      <c r="L14960" s="711"/>
      <c r="Q14960" s="11"/>
      <c r="R14960" s="11"/>
      <c r="S14960" s="11"/>
      <c r="T14960" s="11"/>
    </row>
    <row r="14961" spans="8:20" x14ac:dyDescent="0.35">
      <c r="H14961" s="711"/>
      <c r="I14961" s="711"/>
      <c r="J14961" s="711"/>
      <c r="K14961" s="711"/>
      <c r="L14961" s="711"/>
      <c r="Q14961" s="11"/>
      <c r="R14961" s="11"/>
      <c r="S14961" s="11"/>
      <c r="T14961" s="11"/>
    </row>
    <row r="14962" spans="8:20" x14ac:dyDescent="0.35">
      <c r="H14962" s="711"/>
      <c r="I14962" s="711"/>
      <c r="J14962" s="711"/>
      <c r="K14962" s="711"/>
      <c r="L14962" s="711"/>
      <c r="Q14962" s="11"/>
      <c r="R14962" s="11"/>
      <c r="S14962" s="11"/>
      <c r="T14962" s="11"/>
    </row>
    <row r="14963" spans="8:20" x14ac:dyDescent="0.35">
      <c r="H14963" s="711"/>
      <c r="I14963" s="711"/>
      <c r="J14963" s="711"/>
      <c r="K14963" s="711"/>
      <c r="L14963" s="711"/>
      <c r="Q14963" s="11"/>
      <c r="R14963" s="11"/>
      <c r="S14963" s="11"/>
      <c r="T14963" s="11"/>
    </row>
    <row r="14964" spans="8:20" x14ac:dyDescent="0.35">
      <c r="H14964" s="711"/>
      <c r="I14964" s="711"/>
      <c r="J14964" s="711"/>
      <c r="K14964" s="711"/>
      <c r="L14964" s="711"/>
      <c r="Q14964" s="11"/>
      <c r="R14964" s="11"/>
      <c r="S14964" s="11"/>
      <c r="T14964" s="11"/>
    </row>
    <row r="14965" spans="8:20" x14ac:dyDescent="0.35">
      <c r="H14965" s="711"/>
      <c r="I14965" s="711"/>
      <c r="J14965" s="711"/>
      <c r="K14965" s="711"/>
      <c r="L14965" s="711"/>
      <c r="Q14965" s="11"/>
      <c r="R14965" s="11"/>
      <c r="S14965" s="11"/>
      <c r="T14965" s="11"/>
    </row>
    <row r="14966" spans="8:20" x14ac:dyDescent="0.35">
      <c r="H14966" s="711"/>
      <c r="I14966" s="711"/>
      <c r="J14966" s="711"/>
      <c r="K14966" s="711"/>
      <c r="L14966" s="711"/>
      <c r="Q14966" s="11"/>
      <c r="R14966" s="11"/>
      <c r="S14966" s="11"/>
      <c r="T14966" s="11"/>
    </row>
    <row r="14967" spans="8:20" x14ac:dyDescent="0.35">
      <c r="H14967" s="711"/>
      <c r="I14967" s="711"/>
      <c r="J14967" s="711"/>
      <c r="K14967" s="711"/>
      <c r="L14967" s="711"/>
      <c r="Q14967" s="11"/>
      <c r="R14967" s="11"/>
      <c r="S14967" s="11"/>
      <c r="T14967" s="11"/>
    </row>
    <row r="14968" spans="8:20" x14ac:dyDescent="0.35">
      <c r="H14968" s="711"/>
      <c r="I14968" s="711"/>
      <c r="J14968" s="711"/>
      <c r="K14968" s="711"/>
      <c r="L14968" s="711"/>
      <c r="Q14968" s="11"/>
      <c r="R14968" s="11"/>
      <c r="S14968" s="11"/>
      <c r="T14968" s="11"/>
    </row>
    <row r="14969" spans="8:20" x14ac:dyDescent="0.35">
      <c r="H14969" s="711"/>
      <c r="I14969" s="711"/>
      <c r="J14969" s="711"/>
      <c r="K14969" s="711"/>
      <c r="L14969" s="711"/>
      <c r="Q14969" s="11"/>
      <c r="R14969" s="11"/>
      <c r="S14969" s="11"/>
      <c r="T14969" s="11"/>
    </row>
    <row r="14970" spans="8:20" x14ac:dyDescent="0.35">
      <c r="H14970" s="711"/>
      <c r="I14970" s="711"/>
      <c r="J14970" s="711"/>
      <c r="K14970" s="711"/>
      <c r="L14970" s="711"/>
      <c r="Q14970" s="11"/>
      <c r="R14970" s="11"/>
      <c r="S14970" s="11"/>
      <c r="T14970" s="11"/>
    </row>
    <row r="14971" spans="8:20" x14ac:dyDescent="0.35">
      <c r="H14971" s="711"/>
      <c r="I14971" s="711"/>
      <c r="J14971" s="711"/>
      <c r="K14971" s="711"/>
      <c r="L14971" s="711"/>
      <c r="Q14971" s="11"/>
      <c r="R14971" s="11"/>
      <c r="S14971" s="11"/>
      <c r="T14971" s="11"/>
    </row>
    <row r="14972" spans="8:20" x14ac:dyDescent="0.35">
      <c r="H14972" s="711"/>
      <c r="I14972" s="711"/>
      <c r="J14972" s="711"/>
      <c r="K14972" s="711"/>
      <c r="L14972" s="711"/>
      <c r="Q14972" s="11"/>
      <c r="R14972" s="11"/>
      <c r="S14972" s="11"/>
      <c r="T14972" s="11"/>
    </row>
    <row r="14973" spans="8:20" x14ac:dyDescent="0.35">
      <c r="H14973" s="711"/>
      <c r="I14973" s="711"/>
      <c r="J14973" s="711"/>
      <c r="K14973" s="711"/>
      <c r="L14973" s="711"/>
      <c r="Q14973" s="11"/>
      <c r="R14973" s="11"/>
      <c r="S14973" s="11"/>
      <c r="T14973" s="11"/>
    </row>
    <row r="14974" spans="8:20" x14ac:dyDescent="0.35">
      <c r="H14974" s="711"/>
      <c r="I14974" s="711"/>
      <c r="J14974" s="711"/>
      <c r="K14974" s="711"/>
      <c r="L14974" s="711"/>
      <c r="Q14974" s="11"/>
      <c r="R14974" s="11"/>
      <c r="S14974" s="11"/>
      <c r="T14974" s="11"/>
    </row>
    <row r="14975" spans="8:20" x14ac:dyDescent="0.35">
      <c r="H14975" s="711"/>
      <c r="I14975" s="711"/>
      <c r="J14975" s="711"/>
      <c r="K14975" s="711"/>
      <c r="L14975" s="711"/>
      <c r="Q14975" s="11"/>
      <c r="R14975" s="11"/>
      <c r="S14975" s="11"/>
      <c r="T14975" s="11"/>
    </row>
    <row r="14976" spans="8:20" x14ac:dyDescent="0.35">
      <c r="H14976" s="711"/>
      <c r="I14976" s="711"/>
      <c r="J14976" s="711"/>
      <c r="K14976" s="711"/>
      <c r="L14976" s="711"/>
      <c r="Q14976" s="11"/>
      <c r="R14976" s="11"/>
      <c r="S14976" s="11"/>
      <c r="T14976" s="11"/>
    </row>
    <row r="14977" spans="8:20" x14ac:dyDescent="0.35">
      <c r="H14977" s="711"/>
      <c r="I14977" s="711"/>
      <c r="J14977" s="711"/>
      <c r="K14977" s="711"/>
      <c r="L14977" s="711"/>
      <c r="Q14977" s="11"/>
      <c r="R14977" s="11"/>
      <c r="S14977" s="11"/>
      <c r="T14977" s="11"/>
    </row>
    <row r="14978" spans="8:20" x14ac:dyDescent="0.35">
      <c r="H14978" s="711"/>
      <c r="I14978" s="711"/>
      <c r="J14978" s="711"/>
      <c r="K14978" s="711"/>
      <c r="L14978" s="711"/>
      <c r="Q14978" s="11"/>
      <c r="R14978" s="11"/>
      <c r="S14978" s="11"/>
      <c r="T14978" s="11"/>
    </row>
    <row r="14979" spans="8:20" x14ac:dyDescent="0.35">
      <c r="H14979" s="711"/>
      <c r="I14979" s="711"/>
      <c r="J14979" s="711"/>
      <c r="K14979" s="711"/>
      <c r="L14979" s="711"/>
      <c r="Q14979" s="11"/>
      <c r="R14979" s="11"/>
      <c r="S14979" s="11"/>
      <c r="T14979" s="11"/>
    </row>
    <row r="14980" spans="8:20" x14ac:dyDescent="0.35">
      <c r="H14980" s="711"/>
      <c r="I14980" s="711"/>
      <c r="J14980" s="711"/>
      <c r="K14980" s="711"/>
      <c r="L14980" s="711"/>
      <c r="Q14980" s="11"/>
      <c r="R14980" s="11"/>
      <c r="S14980" s="11"/>
      <c r="T14980" s="11"/>
    </row>
    <row r="14981" spans="8:20" x14ac:dyDescent="0.35">
      <c r="H14981" s="711"/>
      <c r="I14981" s="711"/>
      <c r="J14981" s="711"/>
      <c r="K14981" s="711"/>
      <c r="L14981" s="711"/>
      <c r="Q14981" s="11"/>
      <c r="R14981" s="11"/>
      <c r="S14981" s="11"/>
      <c r="T14981" s="11"/>
    </row>
    <row r="14982" spans="8:20" x14ac:dyDescent="0.35">
      <c r="H14982" s="711"/>
      <c r="I14982" s="711"/>
      <c r="J14982" s="711"/>
      <c r="K14982" s="711"/>
      <c r="L14982" s="711"/>
      <c r="Q14982" s="11"/>
      <c r="R14982" s="11"/>
      <c r="S14982" s="11"/>
      <c r="T14982" s="11"/>
    </row>
    <row r="14983" spans="8:20" x14ac:dyDescent="0.35">
      <c r="H14983" s="711"/>
      <c r="I14983" s="711"/>
      <c r="J14983" s="711"/>
      <c r="K14983" s="711"/>
      <c r="L14983" s="711"/>
      <c r="Q14983" s="11"/>
      <c r="R14983" s="11"/>
      <c r="S14983" s="11"/>
      <c r="T14983" s="11"/>
    </row>
    <row r="14984" spans="8:20" x14ac:dyDescent="0.35">
      <c r="H14984" s="711"/>
      <c r="I14984" s="711"/>
      <c r="J14984" s="711"/>
      <c r="K14984" s="711"/>
      <c r="L14984" s="711"/>
      <c r="Q14984" s="11"/>
      <c r="R14984" s="11"/>
      <c r="S14984" s="11"/>
      <c r="T14984" s="11"/>
    </row>
    <row r="14985" spans="8:20" x14ac:dyDescent="0.35">
      <c r="H14985" s="711"/>
      <c r="I14985" s="711"/>
      <c r="J14985" s="711"/>
      <c r="K14985" s="711"/>
      <c r="L14985" s="711"/>
      <c r="Q14985" s="11"/>
      <c r="R14985" s="11"/>
      <c r="S14985" s="11"/>
      <c r="T14985" s="11"/>
    </row>
    <row r="14986" spans="8:20" x14ac:dyDescent="0.35">
      <c r="H14986" s="711"/>
      <c r="I14986" s="711"/>
      <c r="J14986" s="711"/>
      <c r="K14986" s="711"/>
      <c r="L14986" s="711"/>
      <c r="Q14986" s="11"/>
      <c r="R14986" s="11"/>
      <c r="S14986" s="11"/>
      <c r="T14986" s="11"/>
    </row>
    <row r="14987" spans="8:20" x14ac:dyDescent="0.35">
      <c r="H14987" s="711"/>
      <c r="I14987" s="711"/>
      <c r="J14987" s="711"/>
      <c r="K14987" s="711"/>
      <c r="L14987" s="711"/>
      <c r="Q14987" s="11"/>
      <c r="R14987" s="11"/>
      <c r="S14987" s="11"/>
      <c r="T14987" s="11"/>
    </row>
    <row r="14988" spans="8:20" x14ac:dyDescent="0.35">
      <c r="H14988" s="711"/>
      <c r="I14988" s="711"/>
      <c r="J14988" s="711"/>
      <c r="K14988" s="711"/>
      <c r="L14988" s="711"/>
      <c r="Q14988" s="11"/>
      <c r="R14988" s="11"/>
      <c r="S14988" s="11"/>
      <c r="T14988" s="11"/>
    </row>
    <row r="14989" spans="8:20" x14ac:dyDescent="0.35">
      <c r="H14989" s="711"/>
      <c r="I14989" s="711"/>
      <c r="J14989" s="711"/>
      <c r="K14989" s="711"/>
      <c r="L14989" s="711"/>
      <c r="Q14989" s="11"/>
      <c r="R14989" s="11"/>
      <c r="S14989" s="11"/>
      <c r="T14989" s="11"/>
    </row>
    <row r="14990" spans="8:20" x14ac:dyDescent="0.35">
      <c r="H14990" s="711"/>
      <c r="I14990" s="711"/>
      <c r="J14990" s="711"/>
      <c r="K14990" s="711"/>
      <c r="L14990" s="711"/>
      <c r="Q14990" s="11"/>
      <c r="R14990" s="11"/>
      <c r="S14990" s="11"/>
      <c r="T14990" s="11"/>
    </row>
    <row r="14991" spans="8:20" x14ac:dyDescent="0.35">
      <c r="H14991" s="711"/>
      <c r="I14991" s="711"/>
      <c r="J14991" s="711"/>
      <c r="K14991" s="711"/>
      <c r="L14991" s="711"/>
      <c r="Q14991" s="11"/>
      <c r="R14991" s="11"/>
      <c r="S14991" s="11"/>
      <c r="T14991" s="11"/>
    </row>
    <row r="14992" spans="8:20" x14ac:dyDescent="0.35">
      <c r="H14992" s="711"/>
      <c r="I14992" s="711"/>
      <c r="J14992" s="711"/>
      <c r="K14992" s="711"/>
      <c r="L14992" s="711"/>
      <c r="Q14992" s="11"/>
      <c r="R14992" s="11"/>
      <c r="S14992" s="11"/>
      <c r="T14992" s="11"/>
    </row>
    <row r="14993" spans="8:20" x14ac:dyDescent="0.35">
      <c r="H14993" s="711"/>
      <c r="I14993" s="711"/>
      <c r="J14993" s="711"/>
      <c r="K14993" s="711"/>
      <c r="L14993" s="711"/>
      <c r="Q14993" s="11"/>
      <c r="R14993" s="11"/>
      <c r="S14993" s="11"/>
      <c r="T14993" s="11"/>
    </row>
    <row r="14994" spans="8:20" x14ac:dyDescent="0.35">
      <c r="H14994" s="711"/>
      <c r="I14994" s="711"/>
      <c r="J14994" s="711"/>
      <c r="K14994" s="711"/>
      <c r="L14994" s="711"/>
      <c r="Q14994" s="11"/>
      <c r="R14994" s="11"/>
      <c r="S14994" s="11"/>
      <c r="T14994" s="11"/>
    </row>
    <row r="14995" spans="8:20" x14ac:dyDescent="0.35">
      <c r="H14995" s="711"/>
      <c r="I14995" s="711"/>
      <c r="J14995" s="711"/>
      <c r="K14995" s="711"/>
      <c r="L14995" s="711"/>
      <c r="Q14995" s="11"/>
      <c r="R14995" s="11"/>
      <c r="S14995" s="11"/>
      <c r="T14995" s="11"/>
    </row>
    <row r="14996" spans="8:20" x14ac:dyDescent="0.35">
      <c r="H14996" s="711"/>
      <c r="I14996" s="711"/>
      <c r="J14996" s="711"/>
      <c r="K14996" s="711"/>
      <c r="L14996" s="711"/>
      <c r="Q14996" s="11"/>
      <c r="R14996" s="11"/>
      <c r="S14996" s="11"/>
      <c r="T14996" s="11"/>
    </row>
    <row r="14997" spans="8:20" x14ac:dyDescent="0.35">
      <c r="H14997" s="711"/>
      <c r="I14997" s="711"/>
      <c r="J14997" s="711"/>
      <c r="K14997" s="711"/>
      <c r="L14997" s="711"/>
      <c r="Q14997" s="11"/>
      <c r="R14997" s="11"/>
      <c r="S14997" s="11"/>
      <c r="T14997" s="11"/>
    </row>
    <row r="14998" spans="8:20" x14ac:dyDescent="0.35">
      <c r="H14998" s="711"/>
      <c r="I14998" s="711"/>
      <c r="J14998" s="711"/>
      <c r="K14998" s="711"/>
      <c r="L14998" s="711"/>
      <c r="Q14998" s="11"/>
      <c r="R14998" s="11"/>
      <c r="S14998" s="11"/>
      <c r="T14998" s="11"/>
    </row>
    <row r="14999" spans="8:20" x14ac:dyDescent="0.35">
      <c r="H14999" s="711"/>
      <c r="I14999" s="711"/>
      <c r="J14999" s="711"/>
      <c r="K14999" s="711"/>
      <c r="L14999" s="711"/>
      <c r="Q14999" s="11"/>
      <c r="R14999" s="11"/>
      <c r="S14999" s="11"/>
      <c r="T14999" s="11"/>
    </row>
    <row r="15000" spans="8:20" x14ac:dyDescent="0.35">
      <c r="H15000" s="711"/>
      <c r="I15000" s="711"/>
      <c r="J15000" s="711"/>
      <c r="K15000" s="711"/>
      <c r="L15000" s="711"/>
      <c r="Q15000" s="11"/>
      <c r="R15000" s="11"/>
      <c r="S15000" s="11"/>
      <c r="T15000" s="11"/>
    </row>
    <row r="15001" spans="8:20" x14ac:dyDescent="0.35">
      <c r="H15001" s="711"/>
      <c r="I15001" s="711"/>
      <c r="J15001" s="711"/>
      <c r="K15001" s="711"/>
      <c r="L15001" s="711"/>
      <c r="Q15001" s="11"/>
      <c r="R15001" s="11"/>
      <c r="S15001" s="11"/>
      <c r="T15001" s="11"/>
    </row>
    <row r="15002" spans="8:20" x14ac:dyDescent="0.35">
      <c r="H15002" s="711"/>
      <c r="I15002" s="711"/>
      <c r="J15002" s="711"/>
      <c r="K15002" s="711"/>
      <c r="L15002" s="711"/>
      <c r="Q15002" s="11"/>
      <c r="R15002" s="11"/>
      <c r="S15002" s="11"/>
      <c r="T15002" s="11"/>
    </row>
    <row r="15003" spans="8:20" x14ac:dyDescent="0.35">
      <c r="H15003" s="711"/>
      <c r="I15003" s="711"/>
      <c r="J15003" s="711"/>
      <c r="K15003" s="711"/>
      <c r="L15003" s="711"/>
      <c r="Q15003" s="11"/>
      <c r="R15003" s="11"/>
      <c r="S15003" s="11"/>
      <c r="T15003" s="11"/>
    </row>
    <row r="15004" spans="8:20" x14ac:dyDescent="0.35">
      <c r="H15004" s="711"/>
      <c r="I15004" s="711"/>
      <c r="J15004" s="711"/>
      <c r="K15004" s="711"/>
      <c r="L15004" s="711"/>
      <c r="Q15004" s="11"/>
      <c r="R15004" s="11"/>
      <c r="S15004" s="11"/>
      <c r="T15004" s="11"/>
    </row>
    <row r="15005" spans="8:20" x14ac:dyDescent="0.35">
      <c r="H15005" s="711"/>
      <c r="I15005" s="711"/>
      <c r="J15005" s="711"/>
      <c r="K15005" s="711"/>
      <c r="L15005" s="711"/>
      <c r="Q15005" s="11"/>
      <c r="R15005" s="11"/>
      <c r="S15005" s="11"/>
      <c r="T15005" s="11"/>
    </row>
    <row r="15006" spans="8:20" x14ac:dyDescent="0.35">
      <c r="H15006" s="711"/>
      <c r="I15006" s="711"/>
      <c r="J15006" s="711"/>
      <c r="K15006" s="711"/>
      <c r="L15006" s="711"/>
      <c r="Q15006" s="11"/>
      <c r="R15006" s="11"/>
      <c r="S15006" s="11"/>
      <c r="T15006" s="11"/>
    </row>
    <row r="15007" spans="8:20" x14ac:dyDescent="0.35">
      <c r="H15007" s="711"/>
      <c r="I15007" s="711"/>
      <c r="J15007" s="711"/>
      <c r="K15007" s="711"/>
      <c r="L15007" s="711"/>
      <c r="Q15007" s="11"/>
      <c r="R15007" s="11"/>
      <c r="S15007" s="11"/>
      <c r="T15007" s="11"/>
    </row>
    <row r="15008" spans="8:20" x14ac:dyDescent="0.35">
      <c r="H15008" s="711"/>
      <c r="I15008" s="711"/>
      <c r="J15008" s="711"/>
      <c r="K15008" s="711"/>
      <c r="L15008" s="711"/>
      <c r="Q15008" s="11"/>
      <c r="R15008" s="11"/>
      <c r="S15008" s="11"/>
      <c r="T15008" s="11"/>
    </row>
    <row r="15009" spans="8:20" x14ac:dyDescent="0.35">
      <c r="H15009" s="711"/>
      <c r="I15009" s="711"/>
      <c r="J15009" s="711"/>
      <c r="K15009" s="711"/>
      <c r="L15009" s="711"/>
      <c r="Q15009" s="11"/>
      <c r="R15009" s="11"/>
      <c r="S15009" s="11"/>
      <c r="T15009" s="11"/>
    </row>
    <row r="15010" spans="8:20" x14ac:dyDescent="0.35">
      <c r="H15010" s="711"/>
      <c r="I15010" s="711"/>
      <c r="J15010" s="711"/>
      <c r="K15010" s="711"/>
      <c r="L15010" s="711"/>
      <c r="Q15010" s="11"/>
      <c r="R15010" s="11"/>
      <c r="S15010" s="11"/>
      <c r="T15010" s="11"/>
    </row>
    <row r="15011" spans="8:20" x14ac:dyDescent="0.35">
      <c r="H15011" s="711"/>
      <c r="I15011" s="711"/>
      <c r="J15011" s="711"/>
      <c r="K15011" s="711"/>
      <c r="L15011" s="711"/>
      <c r="Q15011" s="11"/>
      <c r="R15011" s="11"/>
      <c r="S15011" s="11"/>
      <c r="T15011" s="11"/>
    </row>
    <row r="15012" spans="8:20" x14ac:dyDescent="0.35">
      <c r="H15012" s="711"/>
      <c r="I15012" s="711"/>
      <c r="J15012" s="711"/>
      <c r="K15012" s="711"/>
      <c r="L15012" s="711"/>
      <c r="Q15012" s="11"/>
      <c r="R15012" s="11"/>
      <c r="S15012" s="11"/>
      <c r="T15012" s="11"/>
    </row>
    <row r="15013" spans="8:20" x14ac:dyDescent="0.35">
      <c r="H15013" s="711"/>
      <c r="I15013" s="711"/>
      <c r="J15013" s="711"/>
      <c r="K15013" s="711"/>
      <c r="L15013" s="711"/>
      <c r="Q15013" s="11"/>
      <c r="R15013" s="11"/>
      <c r="S15013" s="11"/>
      <c r="T15013" s="11"/>
    </row>
    <row r="15014" spans="8:20" x14ac:dyDescent="0.35">
      <c r="H15014" s="711"/>
      <c r="I15014" s="711"/>
      <c r="J15014" s="711"/>
      <c r="K15014" s="711"/>
      <c r="L15014" s="711"/>
      <c r="Q15014" s="11"/>
      <c r="R15014" s="11"/>
      <c r="S15014" s="11"/>
      <c r="T15014" s="11"/>
    </row>
    <row r="15015" spans="8:20" x14ac:dyDescent="0.35">
      <c r="H15015" s="711"/>
      <c r="I15015" s="711"/>
      <c r="J15015" s="711"/>
      <c r="K15015" s="711"/>
      <c r="L15015" s="711"/>
      <c r="Q15015" s="11"/>
      <c r="R15015" s="11"/>
      <c r="S15015" s="11"/>
      <c r="T15015" s="11"/>
    </row>
    <row r="15016" spans="8:20" x14ac:dyDescent="0.35">
      <c r="H15016" s="711"/>
      <c r="I15016" s="711"/>
      <c r="J15016" s="711"/>
      <c r="K15016" s="711"/>
      <c r="L15016" s="711"/>
      <c r="Q15016" s="11"/>
      <c r="R15016" s="11"/>
      <c r="S15016" s="11"/>
      <c r="T15016" s="11"/>
    </row>
    <row r="15017" spans="8:20" x14ac:dyDescent="0.35">
      <c r="H15017" s="711"/>
      <c r="I15017" s="711"/>
      <c r="J15017" s="711"/>
      <c r="K15017" s="711"/>
      <c r="L15017" s="711"/>
      <c r="Q15017" s="11"/>
      <c r="R15017" s="11"/>
      <c r="S15017" s="11"/>
      <c r="T15017" s="11"/>
    </row>
    <row r="15018" spans="8:20" x14ac:dyDescent="0.35">
      <c r="H15018" s="711"/>
      <c r="I15018" s="711"/>
      <c r="J15018" s="711"/>
      <c r="K15018" s="711"/>
      <c r="L15018" s="711"/>
      <c r="Q15018" s="11"/>
      <c r="R15018" s="11"/>
      <c r="S15018" s="11"/>
      <c r="T15018" s="11"/>
    </row>
    <row r="15019" spans="8:20" x14ac:dyDescent="0.35">
      <c r="H15019" s="711"/>
      <c r="I15019" s="711"/>
      <c r="J15019" s="711"/>
      <c r="K15019" s="711"/>
      <c r="L15019" s="711"/>
      <c r="Q15019" s="11"/>
      <c r="R15019" s="11"/>
      <c r="S15019" s="11"/>
      <c r="T15019" s="11"/>
    </row>
    <row r="15020" spans="8:20" x14ac:dyDescent="0.35">
      <c r="H15020" s="711"/>
      <c r="I15020" s="711"/>
      <c r="J15020" s="711"/>
      <c r="K15020" s="711"/>
      <c r="L15020" s="711"/>
      <c r="Q15020" s="11"/>
      <c r="R15020" s="11"/>
      <c r="S15020" s="11"/>
      <c r="T15020" s="11"/>
    </row>
    <row r="15021" spans="8:20" x14ac:dyDescent="0.35">
      <c r="H15021" s="711"/>
      <c r="I15021" s="711"/>
      <c r="J15021" s="711"/>
      <c r="K15021" s="711"/>
      <c r="L15021" s="711"/>
      <c r="Q15021" s="11"/>
      <c r="R15021" s="11"/>
      <c r="S15021" s="11"/>
      <c r="T15021" s="11"/>
    </row>
    <row r="15022" spans="8:20" x14ac:dyDescent="0.35">
      <c r="H15022" s="711"/>
      <c r="I15022" s="711"/>
      <c r="J15022" s="711"/>
      <c r="K15022" s="711"/>
      <c r="L15022" s="711"/>
      <c r="Q15022" s="11"/>
      <c r="R15022" s="11"/>
      <c r="S15022" s="11"/>
      <c r="T15022" s="11"/>
    </row>
    <row r="15023" spans="8:20" x14ac:dyDescent="0.35">
      <c r="H15023" s="711"/>
      <c r="I15023" s="711"/>
      <c r="J15023" s="711"/>
      <c r="K15023" s="711"/>
      <c r="L15023" s="711"/>
      <c r="Q15023" s="11"/>
      <c r="R15023" s="11"/>
      <c r="S15023" s="11"/>
      <c r="T15023" s="11"/>
    </row>
    <row r="15024" spans="8:20" x14ac:dyDescent="0.35">
      <c r="H15024" s="711"/>
      <c r="I15024" s="711"/>
      <c r="J15024" s="711"/>
      <c r="K15024" s="711"/>
      <c r="L15024" s="711"/>
      <c r="Q15024" s="11"/>
      <c r="R15024" s="11"/>
      <c r="S15024" s="11"/>
      <c r="T15024" s="11"/>
    </row>
    <row r="15025" spans="8:20" x14ac:dyDescent="0.35">
      <c r="H15025" s="711"/>
      <c r="I15025" s="711"/>
      <c r="J15025" s="711"/>
      <c r="K15025" s="711"/>
      <c r="L15025" s="711"/>
      <c r="Q15025" s="11"/>
      <c r="R15025" s="11"/>
      <c r="S15025" s="11"/>
      <c r="T15025" s="11"/>
    </row>
    <row r="15026" spans="8:20" x14ac:dyDescent="0.35">
      <c r="H15026" s="711"/>
      <c r="I15026" s="711"/>
      <c r="J15026" s="711"/>
      <c r="K15026" s="711"/>
      <c r="L15026" s="711"/>
      <c r="Q15026" s="11"/>
      <c r="R15026" s="11"/>
      <c r="S15026" s="11"/>
      <c r="T15026" s="11"/>
    </row>
    <row r="15027" spans="8:20" x14ac:dyDescent="0.35">
      <c r="H15027" s="711"/>
      <c r="I15027" s="711"/>
      <c r="J15027" s="711"/>
      <c r="K15027" s="711"/>
      <c r="L15027" s="711"/>
      <c r="Q15027" s="11"/>
      <c r="R15027" s="11"/>
      <c r="S15027" s="11"/>
      <c r="T15027" s="11"/>
    </row>
    <row r="15028" spans="8:20" x14ac:dyDescent="0.35">
      <c r="H15028" s="711"/>
      <c r="I15028" s="711"/>
      <c r="J15028" s="711"/>
      <c r="K15028" s="711"/>
      <c r="L15028" s="711"/>
      <c r="Q15028" s="11"/>
      <c r="R15028" s="11"/>
      <c r="S15028" s="11"/>
      <c r="T15028" s="11"/>
    </row>
    <row r="15029" spans="8:20" x14ac:dyDescent="0.35">
      <c r="H15029" s="711"/>
      <c r="I15029" s="711"/>
      <c r="J15029" s="711"/>
      <c r="K15029" s="711"/>
      <c r="L15029" s="711"/>
      <c r="Q15029" s="11"/>
      <c r="R15029" s="11"/>
      <c r="S15029" s="11"/>
      <c r="T15029" s="11"/>
    </row>
    <row r="15030" spans="8:20" x14ac:dyDescent="0.35">
      <c r="H15030" s="711"/>
      <c r="I15030" s="711"/>
      <c r="J15030" s="711"/>
      <c r="K15030" s="711"/>
      <c r="L15030" s="711"/>
      <c r="Q15030" s="11"/>
      <c r="R15030" s="11"/>
      <c r="S15030" s="11"/>
      <c r="T15030" s="11"/>
    </row>
    <row r="15031" spans="8:20" x14ac:dyDescent="0.35">
      <c r="H15031" s="711"/>
      <c r="I15031" s="711"/>
      <c r="J15031" s="711"/>
      <c r="K15031" s="711"/>
      <c r="L15031" s="711"/>
      <c r="Q15031" s="11"/>
      <c r="R15031" s="11"/>
      <c r="S15031" s="11"/>
      <c r="T15031" s="11"/>
    </row>
    <row r="15032" spans="8:20" x14ac:dyDescent="0.35">
      <c r="H15032" s="711"/>
      <c r="I15032" s="711"/>
      <c r="J15032" s="711"/>
      <c r="K15032" s="711"/>
      <c r="L15032" s="711"/>
      <c r="Q15032" s="11"/>
      <c r="R15032" s="11"/>
      <c r="S15032" s="11"/>
      <c r="T15032" s="11"/>
    </row>
    <row r="15033" spans="8:20" x14ac:dyDescent="0.35">
      <c r="H15033" s="711"/>
      <c r="I15033" s="711"/>
      <c r="J15033" s="711"/>
      <c r="K15033" s="711"/>
      <c r="L15033" s="711"/>
      <c r="Q15033" s="11"/>
      <c r="R15033" s="11"/>
      <c r="S15033" s="11"/>
      <c r="T15033" s="11"/>
    </row>
    <row r="15034" spans="8:20" x14ac:dyDescent="0.35">
      <c r="H15034" s="711"/>
      <c r="I15034" s="711"/>
      <c r="J15034" s="711"/>
      <c r="K15034" s="711"/>
      <c r="L15034" s="711"/>
      <c r="Q15034" s="11"/>
      <c r="R15034" s="11"/>
      <c r="S15034" s="11"/>
      <c r="T15034" s="11"/>
    </row>
    <row r="15035" spans="8:20" x14ac:dyDescent="0.35">
      <c r="H15035" s="711"/>
      <c r="I15035" s="711"/>
      <c r="J15035" s="711"/>
      <c r="K15035" s="711"/>
      <c r="L15035" s="711"/>
      <c r="Q15035" s="11"/>
      <c r="R15035" s="11"/>
      <c r="S15035" s="11"/>
      <c r="T15035" s="11"/>
    </row>
    <row r="15036" spans="8:20" x14ac:dyDescent="0.35">
      <c r="H15036" s="711"/>
      <c r="I15036" s="711"/>
      <c r="J15036" s="711"/>
      <c r="K15036" s="711"/>
      <c r="L15036" s="711"/>
      <c r="Q15036" s="11"/>
      <c r="R15036" s="11"/>
      <c r="S15036" s="11"/>
      <c r="T15036" s="11"/>
    </row>
    <row r="15037" spans="8:20" x14ac:dyDescent="0.35">
      <c r="H15037" s="711"/>
      <c r="I15037" s="711"/>
      <c r="J15037" s="711"/>
      <c r="K15037" s="711"/>
      <c r="L15037" s="711"/>
      <c r="Q15037" s="11"/>
      <c r="R15037" s="11"/>
      <c r="S15037" s="11"/>
      <c r="T15037" s="11"/>
    </row>
    <row r="15038" spans="8:20" x14ac:dyDescent="0.35">
      <c r="H15038" s="711"/>
      <c r="I15038" s="711"/>
      <c r="J15038" s="711"/>
      <c r="K15038" s="711"/>
      <c r="L15038" s="711"/>
      <c r="Q15038" s="11"/>
      <c r="R15038" s="11"/>
      <c r="S15038" s="11"/>
      <c r="T15038" s="11"/>
    </row>
    <row r="15039" spans="8:20" x14ac:dyDescent="0.35">
      <c r="H15039" s="711"/>
      <c r="I15039" s="711"/>
      <c r="J15039" s="711"/>
      <c r="K15039" s="711"/>
      <c r="L15039" s="711"/>
      <c r="Q15039" s="11"/>
      <c r="R15039" s="11"/>
      <c r="S15039" s="11"/>
      <c r="T15039" s="11"/>
    </row>
    <row r="15040" spans="8:20" x14ac:dyDescent="0.35">
      <c r="H15040" s="711"/>
      <c r="I15040" s="711"/>
      <c r="J15040" s="711"/>
      <c r="K15040" s="711"/>
      <c r="L15040" s="711"/>
      <c r="Q15040" s="11"/>
      <c r="R15040" s="11"/>
      <c r="S15040" s="11"/>
      <c r="T15040" s="11"/>
    </row>
    <row r="15041" spans="8:20" x14ac:dyDescent="0.35">
      <c r="H15041" s="711"/>
      <c r="I15041" s="711"/>
      <c r="J15041" s="711"/>
      <c r="K15041" s="711"/>
      <c r="L15041" s="711"/>
      <c r="Q15041" s="11"/>
      <c r="R15041" s="11"/>
      <c r="S15041" s="11"/>
      <c r="T15041" s="11"/>
    </row>
    <row r="15042" spans="8:20" x14ac:dyDescent="0.35">
      <c r="H15042" s="711"/>
      <c r="I15042" s="711"/>
      <c r="J15042" s="711"/>
      <c r="K15042" s="711"/>
      <c r="L15042" s="711"/>
      <c r="Q15042" s="11"/>
      <c r="R15042" s="11"/>
      <c r="S15042" s="11"/>
      <c r="T15042" s="11"/>
    </row>
    <row r="15043" spans="8:20" x14ac:dyDescent="0.35">
      <c r="H15043" s="711"/>
      <c r="I15043" s="711"/>
      <c r="J15043" s="711"/>
      <c r="K15043" s="711"/>
      <c r="L15043" s="711"/>
      <c r="Q15043" s="11"/>
      <c r="R15043" s="11"/>
      <c r="S15043" s="11"/>
      <c r="T15043" s="11"/>
    </row>
    <row r="15044" spans="8:20" x14ac:dyDescent="0.35">
      <c r="H15044" s="711"/>
      <c r="I15044" s="711"/>
      <c r="J15044" s="711"/>
      <c r="K15044" s="711"/>
      <c r="L15044" s="711"/>
      <c r="Q15044" s="11"/>
      <c r="R15044" s="11"/>
      <c r="S15044" s="11"/>
      <c r="T15044" s="11"/>
    </row>
    <row r="15045" spans="8:20" x14ac:dyDescent="0.35">
      <c r="H15045" s="711"/>
      <c r="I15045" s="711"/>
      <c r="J15045" s="711"/>
      <c r="K15045" s="711"/>
      <c r="L15045" s="711"/>
      <c r="Q15045" s="11"/>
      <c r="R15045" s="11"/>
      <c r="S15045" s="11"/>
      <c r="T15045" s="11"/>
    </row>
    <row r="15046" spans="8:20" x14ac:dyDescent="0.35">
      <c r="H15046" s="711"/>
      <c r="I15046" s="711"/>
      <c r="J15046" s="711"/>
      <c r="K15046" s="711"/>
      <c r="L15046" s="711"/>
      <c r="Q15046" s="11"/>
      <c r="R15046" s="11"/>
      <c r="S15046" s="11"/>
      <c r="T15046" s="11"/>
    </row>
    <row r="15047" spans="8:20" x14ac:dyDescent="0.35">
      <c r="H15047" s="711"/>
      <c r="I15047" s="711"/>
      <c r="J15047" s="711"/>
      <c r="K15047" s="711"/>
      <c r="L15047" s="711"/>
      <c r="Q15047" s="11"/>
      <c r="R15047" s="11"/>
      <c r="S15047" s="11"/>
      <c r="T15047" s="11"/>
    </row>
    <row r="15048" spans="8:20" x14ac:dyDescent="0.35">
      <c r="H15048" s="711"/>
      <c r="I15048" s="711"/>
      <c r="J15048" s="711"/>
      <c r="K15048" s="711"/>
      <c r="L15048" s="711"/>
      <c r="Q15048" s="11"/>
      <c r="R15048" s="11"/>
      <c r="S15048" s="11"/>
      <c r="T15048" s="11"/>
    </row>
    <row r="15049" spans="8:20" x14ac:dyDescent="0.35">
      <c r="H15049" s="711"/>
      <c r="I15049" s="711"/>
      <c r="J15049" s="711"/>
      <c r="K15049" s="711"/>
      <c r="L15049" s="711"/>
      <c r="Q15049" s="11"/>
      <c r="R15049" s="11"/>
      <c r="S15049" s="11"/>
      <c r="T15049" s="11"/>
    </row>
    <row r="15050" spans="8:20" x14ac:dyDescent="0.35">
      <c r="H15050" s="711"/>
      <c r="I15050" s="711"/>
      <c r="J15050" s="711"/>
      <c r="K15050" s="711"/>
      <c r="L15050" s="711"/>
      <c r="Q15050" s="11"/>
      <c r="R15050" s="11"/>
      <c r="S15050" s="11"/>
      <c r="T15050" s="11"/>
    </row>
    <row r="15051" spans="8:20" x14ac:dyDescent="0.35">
      <c r="H15051" s="711"/>
      <c r="I15051" s="711"/>
      <c r="J15051" s="711"/>
      <c r="K15051" s="711"/>
      <c r="L15051" s="711"/>
      <c r="Q15051" s="11"/>
      <c r="R15051" s="11"/>
      <c r="S15051" s="11"/>
      <c r="T15051" s="11"/>
    </row>
    <row r="15052" spans="8:20" x14ac:dyDescent="0.35">
      <c r="H15052" s="711"/>
      <c r="I15052" s="711"/>
      <c r="J15052" s="711"/>
      <c r="K15052" s="711"/>
      <c r="L15052" s="711"/>
      <c r="Q15052" s="11"/>
      <c r="R15052" s="11"/>
      <c r="S15052" s="11"/>
      <c r="T15052" s="11"/>
    </row>
    <row r="15053" spans="8:20" x14ac:dyDescent="0.35">
      <c r="H15053" s="711"/>
      <c r="I15053" s="711"/>
      <c r="J15053" s="711"/>
      <c r="K15053" s="711"/>
      <c r="L15053" s="711"/>
      <c r="Q15053" s="11"/>
      <c r="R15053" s="11"/>
      <c r="S15053" s="11"/>
      <c r="T15053" s="11"/>
    </row>
    <row r="15054" spans="8:20" x14ac:dyDescent="0.35">
      <c r="H15054" s="711"/>
      <c r="I15054" s="711"/>
      <c r="J15054" s="711"/>
      <c r="K15054" s="711"/>
      <c r="L15054" s="711"/>
      <c r="Q15054" s="11"/>
      <c r="R15054" s="11"/>
      <c r="S15054" s="11"/>
      <c r="T15054" s="11"/>
    </row>
    <row r="15055" spans="8:20" x14ac:dyDescent="0.35">
      <c r="H15055" s="711"/>
      <c r="I15055" s="711"/>
      <c r="J15055" s="711"/>
      <c r="K15055" s="711"/>
      <c r="L15055" s="711"/>
      <c r="Q15055" s="11"/>
      <c r="R15055" s="11"/>
      <c r="S15055" s="11"/>
      <c r="T15055" s="11"/>
    </row>
    <row r="15056" spans="8:20" x14ac:dyDescent="0.35">
      <c r="H15056" s="711"/>
      <c r="I15056" s="711"/>
      <c r="J15056" s="711"/>
      <c r="K15056" s="711"/>
      <c r="L15056" s="711"/>
      <c r="Q15056" s="11"/>
      <c r="R15056" s="11"/>
      <c r="S15056" s="11"/>
      <c r="T15056" s="11"/>
    </row>
    <row r="15057" spans="8:20" x14ac:dyDescent="0.35">
      <c r="H15057" s="711"/>
      <c r="I15057" s="711"/>
      <c r="J15057" s="711"/>
      <c r="K15057" s="711"/>
      <c r="L15057" s="711"/>
      <c r="Q15057" s="11"/>
      <c r="R15057" s="11"/>
      <c r="S15057" s="11"/>
      <c r="T15057" s="11"/>
    </row>
    <row r="15058" spans="8:20" x14ac:dyDescent="0.35">
      <c r="H15058" s="711"/>
      <c r="I15058" s="711"/>
      <c r="J15058" s="711"/>
      <c r="K15058" s="711"/>
      <c r="L15058" s="711"/>
      <c r="Q15058" s="11"/>
      <c r="R15058" s="11"/>
      <c r="S15058" s="11"/>
      <c r="T15058" s="11"/>
    </row>
    <row r="15059" spans="8:20" x14ac:dyDescent="0.35">
      <c r="H15059" s="711"/>
      <c r="I15059" s="711"/>
      <c r="J15059" s="711"/>
      <c r="K15059" s="711"/>
      <c r="L15059" s="711"/>
      <c r="Q15059" s="11"/>
      <c r="R15059" s="11"/>
      <c r="S15059" s="11"/>
      <c r="T15059" s="11"/>
    </row>
    <row r="15060" spans="8:20" x14ac:dyDescent="0.35">
      <c r="H15060" s="711"/>
      <c r="I15060" s="711"/>
      <c r="J15060" s="711"/>
      <c r="K15060" s="711"/>
      <c r="L15060" s="711"/>
      <c r="Q15060" s="11"/>
      <c r="R15060" s="11"/>
      <c r="S15060" s="11"/>
      <c r="T15060" s="11"/>
    </row>
    <row r="15061" spans="8:20" x14ac:dyDescent="0.35">
      <c r="H15061" s="711"/>
      <c r="I15061" s="711"/>
      <c r="J15061" s="711"/>
      <c r="K15061" s="711"/>
      <c r="L15061" s="711"/>
      <c r="Q15061" s="11"/>
      <c r="R15061" s="11"/>
      <c r="S15061" s="11"/>
      <c r="T15061" s="11"/>
    </row>
    <row r="15062" spans="8:20" x14ac:dyDescent="0.35">
      <c r="H15062" s="711"/>
      <c r="I15062" s="711"/>
      <c r="J15062" s="711"/>
      <c r="K15062" s="711"/>
      <c r="L15062" s="711"/>
      <c r="Q15062" s="11"/>
      <c r="R15062" s="11"/>
      <c r="S15062" s="11"/>
      <c r="T15062" s="11"/>
    </row>
    <row r="15063" spans="8:20" x14ac:dyDescent="0.35">
      <c r="H15063" s="711"/>
      <c r="I15063" s="711"/>
      <c r="J15063" s="711"/>
      <c r="K15063" s="711"/>
      <c r="L15063" s="711"/>
      <c r="Q15063" s="11"/>
      <c r="R15063" s="11"/>
      <c r="S15063" s="11"/>
      <c r="T15063" s="11"/>
    </row>
    <row r="15064" spans="8:20" x14ac:dyDescent="0.35">
      <c r="H15064" s="711"/>
      <c r="I15064" s="711"/>
      <c r="J15064" s="711"/>
      <c r="K15064" s="711"/>
      <c r="L15064" s="711"/>
      <c r="Q15064" s="11"/>
      <c r="R15064" s="11"/>
      <c r="S15064" s="11"/>
      <c r="T15064" s="11"/>
    </row>
    <row r="15065" spans="8:20" x14ac:dyDescent="0.35">
      <c r="H15065" s="711"/>
      <c r="I15065" s="711"/>
      <c r="J15065" s="711"/>
      <c r="K15065" s="711"/>
      <c r="L15065" s="711"/>
      <c r="Q15065" s="11"/>
      <c r="R15065" s="11"/>
      <c r="S15065" s="11"/>
      <c r="T15065" s="11"/>
    </row>
    <row r="15066" spans="8:20" x14ac:dyDescent="0.35">
      <c r="H15066" s="711"/>
      <c r="I15066" s="711"/>
      <c r="J15066" s="711"/>
      <c r="K15066" s="711"/>
      <c r="L15066" s="711"/>
      <c r="Q15066" s="11"/>
      <c r="R15066" s="11"/>
      <c r="S15066" s="11"/>
      <c r="T15066" s="11"/>
    </row>
    <row r="15067" spans="8:20" x14ac:dyDescent="0.35">
      <c r="H15067" s="711"/>
      <c r="I15067" s="711"/>
      <c r="J15067" s="711"/>
      <c r="K15067" s="711"/>
      <c r="L15067" s="711"/>
      <c r="Q15067" s="11"/>
      <c r="R15067" s="11"/>
      <c r="S15067" s="11"/>
      <c r="T15067" s="11"/>
    </row>
    <row r="15068" spans="8:20" x14ac:dyDescent="0.35">
      <c r="H15068" s="711"/>
      <c r="I15068" s="711"/>
      <c r="J15068" s="711"/>
      <c r="K15068" s="711"/>
      <c r="L15068" s="711"/>
      <c r="Q15068" s="11"/>
      <c r="R15068" s="11"/>
      <c r="S15068" s="11"/>
      <c r="T15068" s="11"/>
    </row>
    <row r="15069" spans="8:20" x14ac:dyDescent="0.35">
      <c r="H15069" s="711"/>
      <c r="I15069" s="711"/>
      <c r="J15069" s="711"/>
      <c r="K15069" s="711"/>
      <c r="L15069" s="711"/>
      <c r="Q15069" s="11"/>
      <c r="R15069" s="11"/>
      <c r="S15069" s="11"/>
      <c r="T15069" s="11"/>
    </row>
    <row r="15070" spans="8:20" x14ac:dyDescent="0.35">
      <c r="H15070" s="711"/>
      <c r="I15070" s="711"/>
      <c r="J15070" s="711"/>
      <c r="K15070" s="711"/>
      <c r="L15070" s="711"/>
      <c r="Q15070" s="11"/>
      <c r="R15070" s="11"/>
      <c r="S15070" s="11"/>
      <c r="T15070" s="11"/>
    </row>
    <row r="15071" spans="8:20" x14ac:dyDescent="0.35">
      <c r="H15071" s="711"/>
      <c r="I15071" s="711"/>
      <c r="J15071" s="711"/>
      <c r="K15071" s="711"/>
      <c r="L15071" s="711"/>
      <c r="Q15071" s="11"/>
      <c r="R15071" s="11"/>
      <c r="S15071" s="11"/>
      <c r="T15071" s="11"/>
    </row>
    <row r="15072" spans="8:20" x14ac:dyDescent="0.35">
      <c r="H15072" s="711"/>
      <c r="I15072" s="711"/>
      <c r="J15072" s="711"/>
      <c r="K15072" s="711"/>
      <c r="L15072" s="711"/>
      <c r="Q15072" s="11"/>
      <c r="R15072" s="11"/>
      <c r="S15072" s="11"/>
      <c r="T15072" s="11"/>
    </row>
    <row r="15073" spans="8:20" x14ac:dyDescent="0.35">
      <c r="H15073" s="711"/>
      <c r="I15073" s="711"/>
      <c r="J15073" s="711"/>
      <c r="K15073" s="711"/>
      <c r="L15073" s="711"/>
      <c r="Q15073" s="11"/>
      <c r="R15073" s="11"/>
      <c r="S15073" s="11"/>
      <c r="T15073" s="11"/>
    </row>
    <row r="15074" spans="8:20" x14ac:dyDescent="0.35">
      <c r="H15074" s="711"/>
      <c r="I15074" s="711"/>
      <c r="J15074" s="711"/>
      <c r="K15074" s="711"/>
      <c r="L15074" s="711"/>
      <c r="Q15074" s="11"/>
      <c r="R15074" s="11"/>
      <c r="S15074" s="11"/>
      <c r="T15074" s="11"/>
    </row>
    <row r="15075" spans="8:20" x14ac:dyDescent="0.35">
      <c r="H15075" s="711"/>
      <c r="I15075" s="711"/>
      <c r="J15075" s="711"/>
      <c r="K15075" s="711"/>
      <c r="L15075" s="711"/>
      <c r="Q15075" s="11"/>
      <c r="R15075" s="11"/>
      <c r="S15075" s="11"/>
      <c r="T15075" s="11"/>
    </row>
    <row r="15076" spans="8:20" x14ac:dyDescent="0.35">
      <c r="H15076" s="711"/>
      <c r="I15076" s="711"/>
      <c r="J15076" s="711"/>
      <c r="K15076" s="711"/>
      <c r="L15076" s="711"/>
      <c r="Q15076" s="11"/>
      <c r="R15076" s="11"/>
      <c r="S15076" s="11"/>
      <c r="T15076" s="11"/>
    </row>
    <row r="15077" spans="8:20" x14ac:dyDescent="0.35">
      <c r="H15077" s="711"/>
      <c r="I15077" s="711"/>
      <c r="J15077" s="711"/>
      <c r="K15077" s="711"/>
      <c r="L15077" s="711"/>
      <c r="Q15077" s="11"/>
      <c r="R15077" s="11"/>
      <c r="S15077" s="11"/>
      <c r="T15077" s="11"/>
    </row>
    <row r="15078" spans="8:20" x14ac:dyDescent="0.35">
      <c r="H15078" s="711"/>
      <c r="I15078" s="711"/>
      <c r="J15078" s="711"/>
      <c r="K15078" s="711"/>
      <c r="L15078" s="711"/>
      <c r="Q15078" s="11"/>
      <c r="R15078" s="11"/>
      <c r="S15078" s="11"/>
      <c r="T15078" s="11"/>
    </row>
    <row r="15079" spans="8:20" x14ac:dyDescent="0.35">
      <c r="H15079" s="711"/>
      <c r="I15079" s="711"/>
      <c r="J15079" s="711"/>
      <c r="K15079" s="711"/>
      <c r="L15079" s="711"/>
      <c r="Q15079" s="11"/>
      <c r="R15079" s="11"/>
      <c r="S15079" s="11"/>
      <c r="T15079" s="11"/>
    </row>
    <row r="15080" spans="8:20" x14ac:dyDescent="0.35">
      <c r="H15080" s="711"/>
      <c r="I15080" s="711"/>
      <c r="J15080" s="711"/>
      <c r="K15080" s="711"/>
      <c r="L15080" s="711"/>
      <c r="Q15080" s="11"/>
      <c r="R15080" s="11"/>
      <c r="S15080" s="11"/>
      <c r="T15080" s="11"/>
    </row>
    <row r="15081" spans="8:20" x14ac:dyDescent="0.35">
      <c r="H15081" s="711"/>
      <c r="I15081" s="711"/>
      <c r="J15081" s="711"/>
      <c r="K15081" s="711"/>
      <c r="L15081" s="711"/>
      <c r="Q15081" s="11"/>
      <c r="R15081" s="11"/>
      <c r="S15081" s="11"/>
      <c r="T15081" s="11"/>
    </row>
    <row r="15082" spans="8:20" x14ac:dyDescent="0.35">
      <c r="H15082" s="711"/>
      <c r="I15082" s="711"/>
      <c r="J15082" s="711"/>
      <c r="K15082" s="711"/>
      <c r="L15082" s="711"/>
      <c r="Q15082" s="11"/>
      <c r="R15082" s="11"/>
      <c r="S15082" s="11"/>
      <c r="T15082" s="11"/>
    </row>
    <row r="15083" spans="8:20" x14ac:dyDescent="0.35">
      <c r="H15083" s="711"/>
      <c r="I15083" s="711"/>
      <c r="J15083" s="711"/>
      <c r="K15083" s="711"/>
      <c r="L15083" s="711"/>
      <c r="Q15083" s="11"/>
      <c r="R15083" s="11"/>
      <c r="S15083" s="11"/>
      <c r="T15083" s="11"/>
    </row>
    <row r="15084" spans="8:20" x14ac:dyDescent="0.35">
      <c r="H15084" s="711"/>
      <c r="I15084" s="711"/>
      <c r="J15084" s="711"/>
      <c r="K15084" s="711"/>
      <c r="L15084" s="711"/>
      <c r="Q15084" s="11"/>
      <c r="R15084" s="11"/>
      <c r="S15084" s="11"/>
      <c r="T15084" s="11"/>
    </row>
    <row r="15085" spans="8:20" x14ac:dyDescent="0.35">
      <c r="H15085" s="711"/>
      <c r="I15085" s="711"/>
      <c r="J15085" s="711"/>
      <c r="K15085" s="711"/>
      <c r="L15085" s="711"/>
      <c r="Q15085" s="11"/>
      <c r="R15085" s="11"/>
      <c r="S15085" s="11"/>
      <c r="T15085" s="11"/>
    </row>
    <row r="15086" spans="8:20" x14ac:dyDescent="0.35">
      <c r="H15086" s="711"/>
      <c r="I15086" s="711"/>
      <c r="J15086" s="711"/>
      <c r="K15086" s="711"/>
      <c r="L15086" s="711"/>
      <c r="Q15086" s="11"/>
      <c r="R15086" s="11"/>
      <c r="S15086" s="11"/>
      <c r="T15086" s="11"/>
    </row>
    <row r="15087" spans="8:20" x14ac:dyDescent="0.35">
      <c r="H15087" s="711"/>
      <c r="I15087" s="711"/>
      <c r="J15087" s="711"/>
      <c r="K15087" s="711"/>
      <c r="L15087" s="711"/>
      <c r="Q15087" s="11"/>
      <c r="R15087" s="11"/>
      <c r="S15087" s="11"/>
      <c r="T15087" s="11"/>
    </row>
    <row r="15088" spans="8:20" x14ac:dyDescent="0.35">
      <c r="H15088" s="711"/>
      <c r="I15088" s="711"/>
      <c r="J15088" s="711"/>
      <c r="K15088" s="711"/>
      <c r="L15088" s="711"/>
      <c r="Q15088" s="11"/>
      <c r="R15088" s="11"/>
      <c r="S15088" s="11"/>
      <c r="T15088" s="11"/>
    </row>
    <row r="15089" spans="8:20" x14ac:dyDescent="0.35">
      <c r="H15089" s="711"/>
      <c r="I15089" s="711"/>
      <c r="J15089" s="711"/>
      <c r="K15089" s="711"/>
      <c r="L15089" s="711"/>
      <c r="Q15089" s="11"/>
      <c r="R15089" s="11"/>
      <c r="S15089" s="11"/>
      <c r="T15089" s="11"/>
    </row>
    <row r="15090" spans="8:20" x14ac:dyDescent="0.35">
      <c r="H15090" s="711"/>
      <c r="I15090" s="711"/>
      <c r="J15090" s="711"/>
      <c r="K15090" s="711"/>
      <c r="L15090" s="711"/>
      <c r="Q15090" s="11"/>
      <c r="R15090" s="11"/>
      <c r="S15090" s="11"/>
      <c r="T15090" s="11"/>
    </row>
    <row r="15091" spans="8:20" x14ac:dyDescent="0.35">
      <c r="H15091" s="711"/>
      <c r="I15091" s="711"/>
      <c r="J15091" s="711"/>
      <c r="K15091" s="711"/>
      <c r="L15091" s="711"/>
      <c r="Q15091" s="11"/>
      <c r="R15091" s="11"/>
      <c r="S15091" s="11"/>
      <c r="T15091" s="11"/>
    </row>
    <row r="15092" spans="8:20" x14ac:dyDescent="0.35">
      <c r="H15092" s="711"/>
      <c r="I15092" s="711"/>
      <c r="J15092" s="711"/>
      <c r="K15092" s="711"/>
      <c r="L15092" s="711"/>
      <c r="Q15092" s="11"/>
      <c r="R15092" s="11"/>
      <c r="S15092" s="11"/>
      <c r="T15092" s="11"/>
    </row>
    <row r="15093" spans="8:20" x14ac:dyDescent="0.35">
      <c r="H15093" s="711"/>
      <c r="I15093" s="711"/>
      <c r="J15093" s="711"/>
      <c r="K15093" s="711"/>
      <c r="L15093" s="711"/>
      <c r="Q15093" s="11"/>
      <c r="R15093" s="11"/>
      <c r="S15093" s="11"/>
      <c r="T15093" s="11"/>
    </row>
    <row r="15094" spans="8:20" x14ac:dyDescent="0.35">
      <c r="H15094" s="711"/>
      <c r="I15094" s="711"/>
      <c r="J15094" s="711"/>
      <c r="K15094" s="711"/>
      <c r="L15094" s="711"/>
      <c r="Q15094" s="11"/>
      <c r="R15094" s="11"/>
      <c r="S15094" s="11"/>
      <c r="T15094" s="11"/>
    </row>
    <row r="15095" spans="8:20" x14ac:dyDescent="0.35">
      <c r="H15095" s="711"/>
      <c r="I15095" s="711"/>
      <c r="J15095" s="711"/>
      <c r="K15095" s="711"/>
      <c r="L15095" s="711"/>
      <c r="Q15095" s="11"/>
      <c r="R15095" s="11"/>
      <c r="S15095" s="11"/>
      <c r="T15095" s="11"/>
    </row>
    <row r="15096" spans="8:20" x14ac:dyDescent="0.35">
      <c r="H15096" s="711"/>
      <c r="I15096" s="711"/>
      <c r="J15096" s="711"/>
      <c r="K15096" s="711"/>
      <c r="L15096" s="711"/>
      <c r="Q15096" s="11"/>
      <c r="R15096" s="11"/>
      <c r="S15096" s="11"/>
      <c r="T15096" s="11"/>
    </row>
    <row r="15097" spans="8:20" x14ac:dyDescent="0.35">
      <c r="H15097" s="711"/>
      <c r="I15097" s="711"/>
      <c r="J15097" s="711"/>
      <c r="K15097" s="711"/>
      <c r="L15097" s="711"/>
      <c r="Q15097" s="11"/>
      <c r="R15097" s="11"/>
      <c r="S15097" s="11"/>
      <c r="T15097" s="11"/>
    </row>
    <row r="15098" spans="8:20" x14ac:dyDescent="0.35">
      <c r="H15098" s="711"/>
      <c r="I15098" s="711"/>
      <c r="J15098" s="711"/>
      <c r="K15098" s="711"/>
      <c r="L15098" s="711"/>
      <c r="Q15098" s="11"/>
      <c r="R15098" s="11"/>
      <c r="S15098" s="11"/>
      <c r="T15098" s="11"/>
    </row>
    <row r="15099" spans="8:20" x14ac:dyDescent="0.35">
      <c r="H15099" s="711"/>
      <c r="I15099" s="711"/>
      <c r="J15099" s="711"/>
      <c r="K15099" s="711"/>
      <c r="L15099" s="711"/>
      <c r="Q15099" s="11"/>
      <c r="R15099" s="11"/>
      <c r="S15099" s="11"/>
      <c r="T15099" s="11"/>
    </row>
    <row r="15100" spans="8:20" x14ac:dyDescent="0.35">
      <c r="H15100" s="711"/>
      <c r="I15100" s="711"/>
      <c r="J15100" s="711"/>
      <c r="K15100" s="711"/>
      <c r="L15100" s="711"/>
      <c r="Q15100" s="11"/>
      <c r="R15100" s="11"/>
      <c r="S15100" s="11"/>
      <c r="T15100" s="11"/>
    </row>
    <row r="15101" spans="8:20" x14ac:dyDescent="0.35">
      <c r="H15101" s="711"/>
      <c r="I15101" s="711"/>
      <c r="J15101" s="711"/>
      <c r="K15101" s="711"/>
      <c r="L15101" s="711"/>
      <c r="Q15101" s="11"/>
      <c r="R15101" s="11"/>
      <c r="S15101" s="11"/>
      <c r="T15101" s="11"/>
    </row>
    <row r="15102" spans="8:20" x14ac:dyDescent="0.35">
      <c r="H15102" s="711"/>
      <c r="I15102" s="711"/>
      <c r="J15102" s="711"/>
      <c r="K15102" s="711"/>
      <c r="L15102" s="711"/>
      <c r="Q15102" s="11"/>
      <c r="R15102" s="11"/>
      <c r="S15102" s="11"/>
      <c r="T15102" s="11"/>
    </row>
    <row r="15103" spans="8:20" x14ac:dyDescent="0.35">
      <c r="H15103" s="711"/>
      <c r="I15103" s="711"/>
      <c r="J15103" s="711"/>
      <c r="K15103" s="711"/>
      <c r="L15103" s="711"/>
      <c r="Q15103" s="11"/>
      <c r="R15103" s="11"/>
      <c r="S15103" s="11"/>
      <c r="T15103" s="11"/>
    </row>
    <row r="15104" spans="8:20" x14ac:dyDescent="0.35">
      <c r="H15104" s="711"/>
      <c r="I15104" s="711"/>
      <c r="J15104" s="711"/>
      <c r="K15104" s="711"/>
      <c r="L15104" s="711"/>
      <c r="Q15104" s="11"/>
      <c r="R15104" s="11"/>
      <c r="S15104" s="11"/>
      <c r="T15104" s="11"/>
    </row>
    <row r="15105" spans="8:20" x14ac:dyDescent="0.35">
      <c r="H15105" s="711"/>
      <c r="I15105" s="711"/>
      <c r="J15105" s="711"/>
      <c r="K15105" s="711"/>
      <c r="L15105" s="711"/>
      <c r="Q15105" s="11"/>
      <c r="R15105" s="11"/>
      <c r="S15105" s="11"/>
      <c r="T15105" s="11"/>
    </row>
    <row r="15106" spans="8:20" x14ac:dyDescent="0.35">
      <c r="H15106" s="711"/>
      <c r="I15106" s="711"/>
      <c r="J15106" s="711"/>
      <c r="K15106" s="711"/>
      <c r="L15106" s="711"/>
      <c r="Q15106" s="11"/>
      <c r="R15106" s="11"/>
      <c r="S15106" s="11"/>
      <c r="T15106" s="11"/>
    </row>
    <row r="15107" spans="8:20" x14ac:dyDescent="0.35">
      <c r="H15107" s="711"/>
      <c r="I15107" s="711"/>
      <c r="J15107" s="711"/>
      <c r="K15107" s="711"/>
      <c r="L15107" s="711"/>
      <c r="Q15107" s="11"/>
      <c r="R15107" s="11"/>
      <c r="S15107" s="11"/>
      <c r="T15107" s="11"/>
    </row>
    <row r="15108" spans="8:20" x14ac:dyDescent="0.35">
      <c r="H15108" s="711"/>
      <c r="I15108" s="711"/>
      <c r="J15108" s="711"/>
      <c r="K15108" s="711"/>
      <c r="L15108" s="711"/>
      <c r="Q15108" s="11"/>
      <c r="R15108" s="11"/>
      <c r="S15108" s="11"/>
      <c r="T15108" s="11"/>
    </row>
    <row r="15109" spans="8:20" x14ac:dyDescent="0.35">
      <c r="H15109" s="711"/>
      <c r="I15109" s="711"/>
      <c r="J15109" s="711"/>
      <c r="K15109" s="711"/>
      <c r="L15109" s="711"/>
      <c r="Q15109" s="11"/>
      <c r="R15109" s="11"/>
      <c r="S15109" s="11"/>
      <c r="T15109" s="11"/>
    </row>
    <row r="15110" spans="8:20" x14ac:dyDescent="0.35">
      <c r="H15110" s="711"/>
      <c r="I15110" s="711"/>
      <c r="J15110" s="711"/>
      <c r="K15110" s="711"/>
      <c r="L15110" s="711"/>
      <c r="Q15110" s="11"/>
      <c r="R15110" s="11"/>
      <c r="S15110" s="11"/>
      <c r="T15110" s="11"/>
    </row>
    <row r="15111" spans="8:20" x14ac:dyDescent="0.35">
      <c r="H15111" s="711"/>
      <c r="I15111" s="711"/>
      <c r="J15111" s="711"/>
      <c r="K15111" s="711"/>
      <c r="L15111" s="711"/>
      <c r="Q15111" s="11"/>
      <c r="R15111" s="11"/>
      <c r="S15111" s="11"/>
      <c r="T15111" s="11"/>
    </row>
    <row r="15112" spans="8:20" x14ac:dyDescent="0.35">
      <c r="H15112" s="711"/>
      <c r="I15112" s="711"/>
      <c r="J15112" s="711"/>
      <c r="K15112" s="711"/>
      <c r="L15112" s="711"/>
      <c r="Q15112" s="11"/>
      <c r="R15112" s="11"/>
      <c r="S15112" s="11"/>
      <c r="T15112" s="11"/>
    </row>
    <row r="15113" spans="8:20" x14ac:dyDescent="0.35">
      <c r="H15113" s="711"/>
      <c r="I15113" s="711"/>
      <c r="J15113" s="711"/>
      <c r="K15113" s="711"/>
      <c r="L15113" s="711"/>
      <c r="Q15113" s="11"/>
      <c r="R15113" s="11"/>
      <c r="S15113" s="11"/>
      <c r="T15113" s="11"/>
    </row>
    <row r="15114" spans="8:20" x14ac:dyDescent="0.35">
      <c r="H15114" s="711"/>
      <c r="I15114" s="711"/>
      <c r="J15114" s="711"/>
      <c r="K15114" s="711"/>
      <c r="L15114" s="711"/>
      <c r="Q15114" s="11"/>
      <c r="R15114" s="11"/>
      <c r="S15114" s="11"/>
      <c r="T15114" s="11"/>
    </row>
    <row r="15115" spans="8:20" x14ac:dyDescent="0.35">
      <c r="H15115" s="711"/>
      <c r="I15115" s="711"/>
      <c r="J15115" s="711"/>
      <c r="K15115" s="711"/>
      <c r="L15115" s="711"/>
      <c r="Q15115" s="11"/>
      <c r="R15115" s="11"/>
      <c r="S15115" s="11"/>
      <c r="T15115" s="11"/>
    </row>
    <row r="15116" spans="8:20" x14ac:dyDescent="0.35">
      <c r="H15116" s="711"/>
      <c r="I15116" s="711"/>
      <c r="J15116" s="711"/>
      <c r="K15116" s="711"/>
      <c r="L15116" s="711"/>
      <c r="Q15116" s="11"/>
      <c r="R15116" s="11"/>
      <c r="S15116" s="11"/>
      <c r="T15116" s="11"/>
    </row>
    <row r="15117" spans="8:20" x14ac:dyDescent="0.35">
      <c r="H15117" s="711"/>
      <c r="I15117" s="711"/>
      <c r="J15117" s="711"/>
      <c r="K15117" s="711"/>
      <c r="L15117" s="711"/>
      <c r="Q15117" s="11"/>
      <c r="R15117" s="11"/>
      <c r="S15117" s="11"/>
      <c r="T15117" s="11"/>
    </row>
    <row r="15118" spans="8:20" x14ac:dyDescent="0.35">
      <c r="H15118" s="711"/>
      <c r="I15118" s="711"/>
      <c r="J15118" s="711"/>
      <c r="K15118" s="711"/>
      <c r="L15118" s="711"/>
      <c r="Q15118" s="11"/>
      <c r="R15118" s="11"/>
      <c r="S15118" s="11"/>
      <c r="T15118" s="11"/>
    </row>
    <row r="15119" spans="8:20" x14ac:dyDescent="0.35">
      <c r="H15119" s="711"/>
      <c r="I15119" s="711"/>
      <c r="J15119" s="711"/>
      <c r="K15119" s="711"/>
      <c r="L15119" s="711"/>
      <c r="Q15119" s="11"/>
      <c r="R15119" s="11"/>
      <c r="S15119" s="11"/>
      <c r="T15119" s="11"/>
    </row>
    <row r="15120" spans="8:20" x14ac:dyDescent="0.35">
      <c r="H15120" s="711"/>
      <c r="I15120" s="711"/>
      <c r="J15120" s="711"/>
      <c r="K15120" s="711"/>
      <c r="L15120" s="711"/>
      <c r="Q15120" s="11"/>
      <c r="R15120" s="11"/>
      <c r="S15120" s="11"/>
      <c r="T15120" s="11"/>
    </row>
    <row r="15121" spans="8:20" x14ac:dyDescent="0.35">
      <c r="H15121" s="711"/>
      <c r="I15121" s="711"/>
      <c r="J15121" s="711"/>
      <c r="K15121" s="711"/>
      <c r="L15121" s="711"/>
      <c r="Q15121" s="11"/>
      <c r="R15121" s="11"/>
      <c r="S15121" s="11"/>
      <c r="T15121" s="11"/>
    </row>
    <row r="15122" spans="8:20" x14ac:dyDescent="0.35">
      <c r="H15122" s="711"/>
      <c r="I15122" s="711"/>
      <c r="J15122" s="711"/>
      <c r="K15122" s="711"/>
      <c r="L15122" s="711"/>
      <c r="Q15122" s="11"/>
      <c r="R15122" s="11"/>
      <c r="S15122" s="11"/>
      <c r="T15122" s="11"/>
    </row>
    <row r="15123" spans="8:20" x14ac:dyDescent="0.35">
      <c r="H15123" s="711"/>
      <c r="I15123" s="711"/>
      <c r="J15123" s="711"/>
      <c r="K15123" s="711"/>
      <c r="L15123" s="711"/>
      <c r="Q15123" s="11"/>
      <c r="R15123" s="11"/>
      <c r="S15123" s="11"/>
      <c r="T15123" s="11"/>
    </row>
    <row r="15124" spans="8:20" x14ac:dyDescent="0.35">
      <c r="H15124" s="711"/>
      <c r="I15124" s="711"/>
      <c r="J15124" s="711"/>
      <c r="K15124" s="711"/>
      <c r="L15124" s="711"/>
      <c r="Q15124" s="11"/>
      <c r="R15124" s="11"/>
      <c r="S15124" s="11"/>
      <c r="T15124" s="11"/>
    </row>
    <row r="15125" spans="8:20" x14ac:dyDescent="0.35">
      <c r="H15125" s="711"/>
      <c r="I15125" s="711"/>
      <c r="J15125" s="711"/>
      <c r="K15125" s="711"/>
      <c r="L15125" s="711"/>
      <c r="Q15125" s="11"/>
      <c r="R15125" s="11"/>
      <c r="S15125" s="11"/>
      <c r="T15125" s="11"/>
    </row>
    <row r="15126" spans="8:20" x14ac:dyDescent="0.35">
      <c r="H15126" s="711"/>
      <c r="I15126" s="711"/>
      <c r="J15126" s="711"/>
      <c r="K15126" s="711"/>
      <c r="L15126" s="711"/>
      <c r="Q15126" s="11"/>
      <c r="R15126" s="11"/>
      <c r="S15126" s="11"/>
      <c r="T15126" s="11"/>
    </row>
    <row r="15127" spans="8:20" x14ac:dyDescent="0.35">
      <c r="H15127" s="711"/>
      <c r="I15127" s="711"/>
      <c r="J15127" s="711"/>
      <c r="K15127" s="711"/>
      <c r="L15127" s="711"/>
      <c r="Q15127" s="11"/>
      <c r="R15127" s="11"/>
      <c r="S15127" s="11"/>
      <c r="T15127" s="11"/>
    </row>
    <row r="15128" spans="8:20" x14ac:dyDescent="0.35">
      <c r="H15128" s="711"/>
      <c r="I15128" s="711"/>
      <c r="J15128" s="711"/>
      <c r="K15128" s="711"/>
      <c r="L15128" s="711"/>
      <c r="Q15128" s="11"/>
      <c r="R15128" s="11"/>
      <c r="S15128" s="11"/>
      <c r="T15128" s="11"/>
    </row>
    <row r="15129" spans="8:20" x14ac:dyDescent="0.35">
      <c r="H15129" s="711"/>
      <c r="I15129" s="711"/>
      <c r="J15129" s="711"/>
      <c r="K15129" s="711"/>
      <c r="L15129" s="711"/>
      <c r="Q15129" s="11"/>
      <c r="R15129" s="11"/>
      <c r="S15129" s="11"/>
      <c r="T15129" s="11"/>
    </row>
    <row r="15130" spans="8:20" x14ac:dyDescent="0.35">
      <c r="H15130" s="711"/>
      <c r="I15130" s="711"/>
      <c r="J15130" s="711"/>
      <c r="K15130" s="711"/>
      <c r="L15130" s="711"/>
      <c r="Q15130" s="11"/>
      <c r="R15130" s="11"/>
      <c r="S15130" s="11"/>
      <c r="T15130" s="11"/>
    </row>
    <row r="15131" spans="8:20" x14ac:dyDescent="0.35">
      <c r="H15131" s="711"/>
      <c r="I15131" s="711"/>
      <c r="J15131" s="711"/>
      <c r="K15131" s="711"/>
      <c r="L15131" s="711"/>
      <c r="Q15131" s="11"/>
      <c r="R15131" s="11"/>
      <c r="S15131" s="11"/>
      <c r="T15131" s="11"/>
    </row>
    <row r="15132" spans="8:20" x14ac:dyDescent="0.35">
      <c r="H15132" s="711"/>
      <c r="I15132" s="711"/>
      <c r="J15132" s="711"/>
      <c r="K15132" s="711"/>
      <c r="L15132" s="711"/>
      <c r="Q15132" s="11"/>
      <c r="R15132" s="11"/>
      <c r="S15132" s="11"/>
      <c r="T15132" s="11"/>
    </row>
    <row r="15133" spans="8:20" x14ac:dyDescent="0.35">
      <c r="H15133" s="711"/>
      <c r="I15133" s="711"/>
      <c r="J15133" s="711"/>
      <c r="K15133" s="711"/>
      <c r="L15133" s="711"/>
      <c r="Q15133" s="11"/>
      <c r="R15133" s="11"/>
      <c r="S15133" s="11"/>
      <c r="T15133" s="11"/>
    </row>
    <row r="15134" spans="8:20" x14ac:dyDescent="0.35">
      <c r="H15134" s="711"/>
      <c r="I15134" s="711"/>
      <c r="J15134" s="711"/>
      <c r="K15134" s="711"/>
      <c r="L15134" s="711"/>
      <c r="Q15134" s="11"/>
      <c r="R15134" s="11"/>
      <c r="S15134" s="11"/>
      <c r="T15134" s="11"/>
    </row>
    <row r="15135" spans="8:20" x14ac:dyDescent="0.35">
      <c r="H15135" s="711"/>
      <c r="I15135" s="711"/>
      <c r="J15135" s="711"/>
      <c r="K15135" s="711"/>
      <c r="L15135" s="711"/>
      <c r="Q15135" s="11"/>
      <c r="R15135" s="11"/>
      <c r="S15135" s="11"/>
      <c r="T15135" s="11"/>
    </row>
    <row r="15136" spans="8:20" x14ac:dyDescent="0.35">
      <c r="H15136" s="711"/>
      <c r="I15136" s="711"/>
      <c r="J15136" s="711"/>
      <c r="K15136" s="711"/>
      <c r="L15136" s="711"/>
      <c r="Q15136" s="11"/>
      <c r="R15136" s="11"/>
      <c r="S15136" s="11"/>
      <c r="T15136" s="11"/>
    </row>
    <row r="15137" spans="8:20" x14ac:dyDescent="0.35">
      <c r="H15137" s="711"/>
      <c r="I15137" s="711"/>
      <c r="J15137" s="711"/>
      <c r="K15137" s="711"/>
      <c r="L15137" s="711"/>
      <c r="Q15137" s="11"/>
      <c r="R15137" s="11"/>
      <c r="S15137" s="11"/>
      <c r="T15137" s="11"/>
    </row>
    <row r="15138" spans="8:20" x14ac:dyDescent="0.35">
      <c r="H15138" s="711"/>
      <c r="I15138" s="711"/>
      <c r="J15138" s="711"/>
      <c r="K15138" s="711"/>
      <c r="L15138" s="711"/>
      <c r="Q15138" s="11"/>
      <c r="R15138" s="11"/>
      <c r="S15138" s="11"/>
      <c r="T15138" s="11"/>
    </row>
    <row r="15139" spans="8:20" x14ac:dyDescent="0.35">
      <c r="H15139" s="711"/>
      <c r="I15139" s="711"/>
      <c r="J15139" s="711"/>
      <c r="K15139" s="711"/>
      <c r="L15139" s="711"/>
      <c r="Q15139" s="11"/>
      <c r="R15139" s="11"/>
      <c r="S15139" s="11"/>
      <c r="T15139" s="11"/>
    </row>
    <row r="15140" spans="8:20" x14ac:dyDescent="0.35">
      <c r="H15140" s="711"/>
      <c r="I15140" s="711"/>
      <c r="J15140" s="711"/>
      <c r="K15140" s="711"/>
      <c r="L15140" s="711"/>
      <c r="Q15140" s="11"/>
      <c r="R15140" s="11"/>
      <c r="S15140" s="11"/>
      <c r="T15140" s="11"/>
    </row>
    <row r="15141" spans="8:20" x14ac:dyDescent="0.35">
      <c r="H15141" s="711"/>
      <c r="I15141" s="711"/>
      <c r="J15141" s="711"/>
      <c r="K15141" s="711"/>
      <c r="L15141" s="711"/>
      <c r="Q15141" s="11"/>
      <c r="R15141" s="11"/>
      <c r="S15141" s="11"/>
      <c r="T15141" s="11"/>
    </row>
    <row r="15142" spans="8:20" x14ac:dyDescent="0.35">
      <c r="H15142" s="711"/>
      <c r="I15142" s="711"/>
      <c r="J15142" s="711"/>
      <c r="K15142" s="711"/>
      <c r="L15142" s="711"/>
      <c r="Q15142" s="11"/>
      <c r="R15142" s="11"/>
      <c r="S15142" s="11"/>
      <c r="T15142" s="11"/>
    </row>
    <row r="15143" spans="8:20" x14ac:dyDescent="0.35">
      <c r="H15143" s="711"/>
      <c r="I15143" s="711"/>
      <c r="J15143" s="711"/>
      <c r="K15143" s="711"/>
      <c r="L15143" s="711"/>
      <c r="Q15143" s="11"/>
      <c r="R15143" s="11"/>
      <c r="S15143" s="11"/>
      <c r="T15143" s="11"/>
    </row>
    <row r="15144" spans="8:20" x14ac:dyDescent="0.35">
      <c r="H15144" s="711"/>
      <c r="I15144" s="711"/>
      <c r="J15144" s="711"/>
      <c r="K15144" s="711"/>
      <c r="L15144" s="711"/>
      <c r="Q15144" s="11"/>
      <c r="R15144" s="11"/>
      <c r="S15144" s="11"/>
      <c r="T15144" s="11"/>
    </row>
    <row r="15145" spans="8:20" x14ac:dyDescent="0.35">
      <c r="H15145" s="711"/>
      <c r="I15145" s="711"/>
      <c r="J15145" s="711"/>
      <c r="K15145" s="711"/>
      <c r="L15145" s="711"/>
      <c r="Q15145" s="11"/>
      <c r="R15145" s="11"/>
      <c r="S15145" s="11"/>
      <c r="T15145" s="11"/>
    </row>
    <row r="15146" spans="8:20" x14ac:dyDescent="0.35">
      <c r="H15146" s="711"/>
      <c r="I15146" s="711"/>
      <c r="J15146" s="711"/>
      <c r="K15146" s="711"/>
      <c r="L15146" s="711"/>
      <c r="Q15146" s="11"/>
      <c r="R15146" s="11"/>
      <c r="S15146" s="11"/>
      <c r="T15146" s="11"/>
    </row>
    <row r="15147" spans="8:20" x14ac:dyDescent="0.35">
      <c r="H15147" s="711"/>
      <c r="I15147" s="711"/>
      <c r="J15147" s="711"/>
      <c r="K15147" s="711"/>
      <c r="L15147" s="711"/>
      <c r="Q15147" s="11"/>
      <c r="R15147" s="11"/>
      <c r="S15147" s="11"/>
      <c r="T15147" s="11"/>
    </row>
    <row r="15148" spans="8:20" x14ac:dyDescent="0.35">
      <c r="H15148" s="711"/>
      <c r="I15148" s="711"/>
      <c r="J15148" s="711"/>
      <c r="K15148" s="711"/>
      <c r="L15148" s="711"/>
      <c r="Q15148" s="11"/>
      <c r="R15148" s="11"/>
      <c r="S15148" s="11"/>
      <c r="T15148" s="11"/>
    </row>
    <row r="15149" spans="8:20" x14ac:dyDescent="0.35">
      <c r="H15149" s="711"/>
      <c r="I15149" s="711"/>
      <c r="J15149" s="711"/>
      <c r="K15149" s="711"/>
      <c r="L15149" s="711"/>
      <c r="Q15149" s="11"/>
      <c r="R15149" s="11"/>
      <c r="S15149" s="11"/>
      <c r="T15149" s="11"/>
    </row>
    <row r="15150" spans="8:20" x14ac:dyDescent="0.35">
      <c r="H15150" s="711"/>
      <c r="I15150" s="711"/>
      <c r="J15150" s="711"/>
      <c r="K15150" s="711"/>
      <c r="L15150" s="711"/>
      <c r="Q15150" s="11"/>
      <c r="R15150" s="11"/>
      <c r="S15150" s="11"/>
      <c r="T15150" s="11"/>
    </row>
    <row r="15151" spans="8:20" x14ac:dyDescent="0.35">
      <c r="H15151" s="711"/>
      <c r="I15151" s="711"/>
      <c r="J15151" s="711"/>
      <c r="K15151" s="711"/>
      <c r="L15151" s="711"/>
      <c r="Q15151" s="11"/>
      <c r="R15151" s="11"/>
      <c r="S15151" s="11"/>
      <c r="T15151" s="11"/>
    </row>
    <row r="15152" spans="8:20" x14ac:dyDescent="0.35">
      <c r="H15152" s="711"/>
      <c r="I15152" s="711"/>
      <c r="J15152" s="711"/>
      <c r="K15152" s="711"/>
      <c r="L15152" s="711"/>
      <c r="Q15152" s="11"/>
      <c r="R15152" s="11"/>
      <c r="S15152" s="11"/>
      <c r="T15152" s="11"/>
    </row>
    <row r="15153" spans="8:20" x14ac:dyDescent="0.35">
      <c r="H15153" s="711"/>
      <c r="I15153" s="711"/>
      <c r="J15153" s="711"/>
      <c r="K15153" s="711"/>
      <c r="L15153" s="711"/>
      <c r="Q15153" s="11"/>
      <c r="R15153" s="11"/>
      <c r="S15153" s="11"/>
      <c r="T15153" s="11"/>
    </row>
    <row r="15154" spans="8:20" x14ac:dyDescent="0.35">
      <c r="H15154" s="711"/>
      <c r="I15154" s="711"/>
      <c r="J15154" s="711"/>
      <c r="K15154" s="711"/>
      <c r="L15154" s="711"/>
      <c r="Q15154" s="11"/>
      <c r="R15154" s="11"/>
      <c r="S15154" s="11"/>
      <c r="T15154" s="11"/>
    </row>
    <row r="15155" spans="8:20" x14ac:dyDescent="0.35">
      <c r="H15155" s="711"/>
      <c r="I15155" s="711"/>
      <c r="J15155" s="711"/>
      <c r="K15155" s="711"/>
      <c r="L15155" s="711"/>
      <c r="Q15155" s="11"/>
      <c r="R15155" s="11"/>
      <c r="S15155" s="11"/>
      <c r="T15155" s="11"/>
    </row>
    <row r="15156" spans="8:20" x14ac:dyDescent="0.35">
      <c r="H15156" s="711"/>
      <c r="I15156" s="711"/>
      <c r="J15156" s="711"/>
      <c r="K15156" s="711"/>
      <c r="L15156" s="711"/>
      <c r="Q15156" s="11"/>
      <c r="R15156" s="11"/>
      <c r="S15156" s="11"/>
      <c r="T15156" s="11"/>
    </row>
    <row r="15157" spans="8:20" x14ac:dyDescent="0.35">
      <c r="H15157" s="711"/>
      <c r="I15157" s="711"/>
      <c r="J15157" s="711"/>
      <c r="K15157" s="711"/>
      <c r="L15157" s="711"/>
      <c r="Q15157" s="11"/>
      <c r="R15157" s="11"/>
      <c r="S15157" s="11"/>
      <c r="T15157" s="11"/>
    </row>
    <row r="15158" spans="8:20" x14ac:dyDescent="0.35">
      <c r="H15158" s="711"/>
      <c r="I15158" s="711"/>
      <c r="J15158" s="711"/>
      <c r="K15158" s="711"/>
      <c r="L15158" s="711"/>
      <c r="Q15158" s="11"/>
      <c r="R15158" s="11"/>
      <c r="S15158" s="11"/>
      <c r="T15158" s="11"/>
    </row>
    <row r="15159" spans="8:20" x14ac:dyDescent="0.35">
      <c r="H15159" s="711"/>
      <c r="I15159" s="711"/>
      <c r="J15159" s="711"/>
      <c r="K15159" s="711"/>
      <c r="L15159" s="711"/>
      <c r="Q15159" s="11"/>
      <c r="R15159" s="11"/>
      <c r="S15159" s="11"/>
      <c r="T15159" s="11"/>
    </row>
    <row r="15160" spans="8:20" x14ac:dyDescent="0.35">
      <c r="H15160" s="711"/>
      <c r="I15160" s="711"/>
      <c r="J15160" s="711"/>
      <c r="K15160" s="711"/>
      <c r="L15160" s="711"/>
      <c r="Q15160" s="11"/>
      <c r="R15160" s="11"/>
      <c r="S15160" s="11"/>
      <c r="T15160" s="11"/>
    </row>
    <row r="15161" spans="8:20" x14ac:dyDescent="0.35">
      <c r="H15161" s="711"/>
      <c r="I15161" s="711"/>
      <c r="J15161" s="711"/>
      <c r="K15161" s="711"/>
      <c r="L15161" s="711"/>
      <c r="Q15161" s="11"/>
      <c r="R15161" s="11"/>
      <c r="S15161" s="11"/>
      <c r="T15161" s="11"/>
    </row>
    <row r="15162" spans="8:20" x14ac:dyDescent="0.35">
      <c r="H15162" s="711"/>
      <c r="I15162" s="711"/>
      <c r="J15162" s="711"/>
      <c r="K15162" s="711"/>
      <c r="L15162" s="711"/>
      <c r="Q15162" s="11"/>
      <c r="R15162" s="11"/>
      <c r="S15162" s="11"/>
      <c r="T15162" s="11"/>
    </row>
    <row r="15163" spans="8:20" x14ac:dyDescent="0.35">
      <c r="H15163" s="711"/>
      <c r="I15163" s="711"/>
      <c r="J15163" s="711"/>
      <c r="K15163" s="711"/>
      <c r="L15163" s="711"/>
      <c r="Q15163" s="11"/>
      <c r="R15163" s="11"/>
      <c r="S15163" s="11"/>
      <c r="T15163" s="11"/>
    </row>
    <row r="15164" spans="8:20" x14ac:dyDescent="0.35">
      <c r="H15164" s="711"/>
      <c r="I15164" s="711"/>
      <c r="J15164" s="711"/>
      <c r="K15164" s="711"/>
      <c r="L15164" s="711"/>
      <c r="Q15164" s="11"/>
      <c r="R15164" s="11"/>
      <c r="S15164" s="11"/>
      <c r="T15164" s="11"/>
    </row>
    <row r="15165" spans="8:20" x14ac:dyDescent="0.35">
      <c r="H15165" s="711"/>
      <c r="I15165" s="711"/>
      <c r="J15165" s="711"/>
      <c r="K15165" s="711"/>
      <c r="L15165" s="711"/>
      <c r="Q15165" s="11"/>
      <c r="R15165" s="11"/>
      <c r="S15165" s="11"/>
      <c r="T15165" s="11"/>
    </row>
    <row r="15166" spans="8:20" x14ac:dyDescent="0.35">
      <c r="H15166" s="711"/>
      <c r="I15166" s="711"/>
      <c r="J15166" s="711"/>
      <c r="K15166" s="711"/>
      <c r="L15166" s="711"/>
      <c r="Q15166" s="11"/>
      <c r="R15166" s="11"/>
      <c r="S15166" s="11"/>
      <c r="T15166" s="11"/>
    </row>
    <row r="15167" spans="8:20" x14ac:dyDescent="0.35">
      <c r="H15167" s="711"/>
      <c r="I15167" s="711"/>
      <c r="J15167" s="711"/>
      <c r="K15167" s="711"/>
      <c r="L15167" s="711"/>
      <c r="Q15167" s="11"/>
      <c r="R15167" s="11"/>
      <c r="S15167" s="11"/>
      <c r="T15167" s="11"/>
    </row>
    <row r="15168" spans="8:20" x14ac:dyDescent="0.35">
      <c r="H15168" s="711"/>
      <c r="I15168" s="711"/>
      <c r="J15168" s="711"/>
      <c r="K15168" s="711"/>
      <c r="L15168" s="711"/>
      <c r="Q15168" s="11"/>
      <c r="R15168" s="11"/>
      <c r="S15168" s="11"/>
      <c r="T15168" s="11"/>
    </row>
    <row r="15169" spans="8:20" x14ac:dyDescent="0.35">
      <c r="H15169" s="711"/>
      <c r="I15169" s="711"/>
      <c r="J15169" s="711"/>
      <c r="K15169" s="711"/>
      <c r="L15169" s="711"/>
      <c r="Q15169" s="11"/>
      <c r="R15169" s="11"/>
      <c r="S15169" s="11"/>
      <c r="T15169" s="11"/>
    </row>
    <row r="15170" spans="8:20" x14ac:dyDescent="0.35">
      <c r="H15170" s="711"/>
      <c r="I15170" s="711"/>
      <c r="J15170" s="711"/>
      <c r="K15170" s="711"/>
      <c r="L15170" s="711"/>
      <c r="Q15170" s="11"/>
      <c r="R15170" s="11"/>
      <c r="S15170" s="11"/>
      <c r="T15170" s="11"/>
    </row>
    <row r="15171" spans="8:20" x14ac:dyDescent="0.35">
      <c r="H15171" s="711"/>
      <c r="I15171" s="711"/>
      <c r="J15171" s="711"/>
      <c r="K15171" s="711"/>
      <c r="L15171" s="711"/>
      <c r="Q15171" s="11"/>
      <c r="R15171" s="11"/>
      <c r="S15171" s="11"/>
      <c r="T15171" s="11"/>
    </row>
    <row r="15172" spans="8:20" x14ac:dyDescent="0.35">
      <c r="H15172" s="711"/>
      <c r="I15172" s="711"/>
      <c r="J15172" s="711"/>
      <c r="K15172" s="711"/>
      <c r="L15172" s="711"/>
      <c r="Q15172" s="11"/>
      <c r="R15172" s="11"/>
      <c r="S15172" s="11"/>
      <c r="T15172" s="11"/>
    </row>
    <row r="15173" spans="8:20" x14ac:dyDescent="0.35">
      <c r="H15173" s="711"/>
      <c r="I15173" s="711"/>
      <c r="J15173" s="711"/>
      <c r="K15173" s="711"/>
      <c r="L15173" s="711"/>
      <c r="Q15173" s="11"/>
      <c r="R15173" s="11"/>
      <c r="S15173" s="11"/>
      <c r="T15173" s="11"/>
    </row>
    <row r="15174" spans="8:20" x14ac:dyDescent="0.35">
      <c r="H15174" s="711"/>
      <c r="I15174" s="711"/>
      <c r="J15174" s="711"/>
      <c r="K15174" s="711"/>
      <c r="L15174" s="711"/>
      <c r="Q15174" s="11"/>
      <c r="R15174" s="11"/>
      <c r="S15174" s="11"/>
      <c r="T15174" s="11"/>
    </row>
    <row r="15175" spans="8:20" x14ac:dyDescent="0.35">
      <c r="H15175" s="711"/>
      <c r="I15175" s="711"/>
      <c r="J15175" s="711"/>
      <c r="K15175" s="711"/>
      <c r="L15175" s="711"/>
      <c r="Q15175" s="11"/>
      <c r="R15175" s="11"/>
      <c r="S15175" s="11"/>
      <c r="T15175" s="11"/>
    </row>
    <row r="15176" spans="8:20" x14ac:dyDescent="0.35">
      <c r="H15176" s="711"/>
      <c r="I15176" s="711"/>
      <c r="J15176" s="711"/>
      <c r="K15176" s="711"/>
      <c r="L15176" s="711"/>
      <c r="Q15176" s="11"/>
      <c r="R15176" s="11"/>
      <c r="S15176" s="11"/>
      <c r="T15176" s="11"/>
    </row>
    <row r="15177" spans="8:20" x14ac:dyDescent="0.35">
      <c r="H15177" s="711"/>
      <c r="I15177" s="711"/>
      <c r="J15177" s="711"/>
      <c r="K15177" s="711"/>
      <c r="L15177" s="711"/>
      <c r="Q15177" s="11"/>
      <c r="R15177" s="11"/>
      <c r="S15177" s="11"/>
      <c r="T15177" s="11"/>
    </row>
    <row r="15178" spans="8:20" x14ac:dyDescent="0.35">
      <c r="H15178" s="711"/>
      <c r="I15178" s="711"/>
      <c r="J15178" s="711"/>
      <c r="K15178" s="711"/>
      <c r="L15178" s="711"/>
      <c r="Q15178" s="11"/>
      <c r="R15178" s="11"/>
      <c r="S15178" s="11"/>
      <c r="T15178" s="11"/>
    </row>
    <row r="15179" spans="8:20" x14ac:dyDescent="0.35">
      <c r="H15179" s="711"/>
      <c r="I15179" s="711"/>
      <c r="J15179" s="711"/>
      <c r="K15179" s="711"/>
      <c r="L15179" s="711"/>
      <c r="Q15179" s="11"/>
      <c r="R15179" s="11"/>
      <c r="S15179" s="11"/>
      <c r="T15179" s="11"/>
    </row>
    <row r="15180" spans="8:20" x14ac:dyDescent="0.35">
      <c r="H15180" s="711"/>
      <c r="I15180" s="711"/>
      <c r="J15180" s="711"/>
      <c r="K15180" s="711"/>
      <c r="L15180" s="711"/>
      <c r="Q15180" s="11"/>
      <c r="R15180" s="11"/>
      <c r="S15180" s="11"/>
      <c r="T15180" s="11"/>
    </row>
    <row r="15181" spans="8:20" x14ac:dyDescent="0.35">
      <c r="H15181" s="711"/>
      <c r="I15181" s="711"/>
      <c r="J15181" s="711"/>
      <c r="K15181" s="711"/>
      <c r="L15181" s="711"/>
      <c r="Q15181" s="11"/>
      <c r="R15181" s="11"/>
      <c r="S15181" s="11"/>
      <c r="T15181" s="11"/>
    </row>
    <row r="15182" spans="8:20" x14ac:dyDescent="0.35">
      <c r="H15182" s="711"/>
      <c r="I15182" s="711"/>
      <c r="J15182" s="711"/>
      <c r="K15182" s="711"/>
      <c r="L15182" s="711"/>
      <c r="Q15182" s="11"/>
      <c r="R15182" s="11"/>
      <c r="S15182" s="11"/>
      <c r="T15182" s="11"/>
    </row>
    <row r="15183" spans="8:20" x14ac:dyDescent="0.35">
      <c r="H15183" s="711"/>
      <c r="I15183" s="711"/>
      <c r="J15183" s="711"/>
      <c r="K15183" s="711"/>
      <c r="L15183" s="711"/>
      <c r="Q15183" s="11"/>
      <c r="R15183" s="11"/>
      <c r="S15183" s="11"/>
      <c r="T15183" s="11"/>
    </row>
    <row r="15184" spans="8:20" x14ac:dyDescent="0.35">
      <c r="H15184" s="711"/>
      <c r="I15184" s="711"/>
      <c r="J15184" s="711"/>
      <c r="K15184" s="711"/>
      <c r="L15184" s="711"/>
      <c r="Q15184" s="11"/>
      <c r="R15184" s="11"/>
      <c r="S15184" s="11"/>
      <c r="T15184" s="11"/>
    </row>
    <row r="15185" spans="8:20" x14ac:dyDescent="0.35">
      <c r="H15185" s="711"/>
      <c r="I15185" s="711"/>
      <c r="J15185" s="711"/>
      <c r="K15185" s="711"/>
      <c r="L15185" s="711"/>
      <c r="Q15185" s="11"/>
      <c r="R15185" s="11"/>
      <c r="S15185" s="11"/>
      <c r="T15185" s="11"/>
    </row>
    <row r="15186" spans="8:20" x14ac:dyDescent="0.35">
      <c r="H15186" s="711"/>
      <c r="I15186" s="711"/>
      <c r="J15186" s="711"/>
      <c r="K15186" s="711"/>
      <c r="L15186" s="711"/>
      <c r="Q15186" s="11"/>
      <c r="R15186" s="11"/>
      <c r="S15186" s="11"/>
      <c r="T15186" s="11"/>
    </row>
    <row r="15187" spans="8:20" x14ac:dyDescent="0.35">
      <c r="H15187" s="711"/>
      <c r="I15187" s="711"/>
      <c r="J15187" s="711"/>
      <c r="K15187" s="711"/>
      <c r="L15187" s="711"/>
      <c r="Q15187" s="11"/>
      <c r="R15187" s="11"/>
      <c r="S15187" s="11"/>
      <c r="T15187" s="11"/>
    </row>
    <row r="15188" spans="8:20" x14ac:dyDescent="0.35">
      <c r="H15188" s="711"/>
      <c r="I15188" s="711"/>
      <c r="J15188" s="711"/>
      <c r="K15188" s="711"/>
      <c r="L15188" s="711"/>
      <c r="Q15188" s="11"/>
      <c r="R15188" s="11"/>
      <c r="S15188" s="11"/>
      <c r="T15188" s="11"/>
    </row>
    <row r="15189" spans="8:20" x14ac:dyDescent="0.35">
      <c r="H15189" s="711"/>
      <c r="I15189" s="711"/>
      <c r="J15189" s="711"/>
      <c r="K15189" s="711"/>
      <c r="L15189" s="711"/>
      <c r="Q15189" s="11"/>
      <c r="R15189" s="11"/>
      <c r="S15189" s="11"/>
      <c r="T15189" s="11"/>
    </row>
    <row r="15190" spans="8:20" x14ac:dyDescent="0.35">
      <c r="H15190" s="711"/>
      <c r="I15190" s="711"/>
      <c r="J15190" s="711"/>
      <c r="K15190" s="711"/>
      <c r="L15190" s="711"/>
      <c r="Q15190" s="11"/>
      <c r="R15190" s="11"/>
      <c r="S15190" s="11"/>
      <c r="T15190" s="11"/>
    </row>
    <row r="15191" spans="8:20" x14ac:dyDescent="0.35">
      <c r="H15191" s="711"/>
      <c r="I15191" s="711"/>
      <c r="J15191" s="711"/>
      <c r="K15191" s="711"/>
      <c r="L15191" s="711"/>
      <c r="Q15191" s="11"/>
      <c r="R15191" s="11"/>
      <c r="S15191" s="11"/>
      <c r="T15191" s="11"/>
    </row>
    <row r="15192" spans="8:20" x14ac:dyDescent="0.35">
      <c r="H15192" s="711"/>
      <c r="I15192" s="711"/>
      <c r="J15192" s="711"/>
      <c r="K15192" s="711"/>
      <c r="L15192" s="711"/>
      <c r="Q15192" s="11"/>
      <c r="R15192" s="11"/>
      <c r="S15192" s="11"/>
      <c r="T15192" s="11"/>
    </row>
    <row r="15193" spans="8:20" x14ac:dyDescent="0.35">
      <c r="H15193" s="711"/>
      <c r="I15193" s="711"/>
      <c r="J15193" s="711"/>
      <c r="K15193" s="711"/>
      <c r="L15193" s="711"/>
      <c r="Q15193" s="11"/>
      <c r="R15193" s="11"/>
      <c r="S15193" s="11"/>
      <c r="T15193" s="11"/>
    </row>
    <row r="15194" spans="8:20" x14ac:dyDescent="0.35">
      <c r="H15194" s="711"/>
      <c r="I15194" s="711"/>
      <c r="J15194" s="711"/>
      <c r="K15194" s="711"/>
      <c r="L15194" s="711"/>
      <c r="Q15194" s="11"/>
      <c r="R15194" s="11"/>
      <c r="S15194" s="11"/>
      <c r="T15194" s="11"/>
    </row>
    <row r="15195" spans="8:20" x14ac:dyDescent="0.35">
      <c r="H15195" s="711"/>
      <c r="I15195" s="711"/>
      <c r="J15195" s="711"/>
      <c r="K15195" s="711"/>
      <c r="L15195" s="711"/>
      <c r="Q15195" s="11"/>
      <c r="R15195" s="11"/>
      <c r="S15195" s="11"/>
      <c r="T15195" s="11"/>
    </row>
    <row r="15196" spans="8:20" x14ac:dyDescent="0.35">
      <c r="H15196" s="711"/>
      <c r="I15196" s="711"/>
      <c r="J15196" s="711"/>
      <c r="K15196" s="711"/>
      <c r="L15196" s="711"/>
      <c r="Q15196" s="11"/>
      <c r="R15196" s="11"/>
      <c r="S15196" s="11"/>
      <c r="T15196" s="11"/>
    </row>
    <row r="15197" spans="8:20" x14ac:dyDescent="0.35">
      <c r="H15197" s="711"/>
      <c r="I15197" s="711"/>
      <c r="J15197" s="711"/>
      <c r="K15197" s="711"/>
      <c r="L15197" s="711"/>
      <c r="Q15197" s="11"/>
      <c r="R15197" s="11"/>
      <c r="S15197" s="11"/>
      <c r="T15197" s="11"/>
    </row>
    <row r="15198" spans="8:20" x14ac:dyDescent="0.35">
      <c r="H15198" s="711"/>
      <c r="I15198" s="711"/>
      <c r="J15198" s="711"/>
      <c r="K15198" s="711"/>
      <c r="L15198" s="711"/>
      <c r="Q15198" s="11"/>
      <c r="R15198" s="11"/>
      <c r="S15198" s="11"/>
      <c r="T15198" s="11"/>
    </row>
    <row r="15199" spans="8:20" x14ac:dyDescent="0.35">
      <c r="H15199" s="711"/>
      <c r="I15199" s="711"/>
      <c r="J15199" s="711"/>
      <c r="K15199" s="711"/>
      <c r="L15199" s="711"/>
      <c r="Q15199" s="11"/>
      <c r="R15199" s="11"/>
      <c r="S15199" s="11"/>
      <c r="T15199" s="11"/>
    </row>
    <row r="15200" spans="8:20" x14ac:dyDescent="0.35">
      <c r="H15200" s="711"/>
      <c r="I15200" s="711"/>
      <c r="J15200" s="711"/>
      <c r="K15200" s="711"/>
      <c r="L15200" s="711"/>
      <c r="Q15200" s="11"/>
      <c r="R15200" s="11"/>
      <c r="S15200" s="11"/>
      <c r="T15200" s="11"/>
    </row>
    <row r="15201" spans="8:20" x14ac:dyDescent="0.35">
      <c r="H15201" s="711"/>
      <c r="I15201" s="711"/>
      <c r="J15201" s="711"/>
      <c r="K15201" s="711"/>
      <c r="L15201" s="711"/>
      <c r="Q15201" s="11"/>
      <c r="R15201" s="11"/>
      <c r="S15201" s="11"/>
      <c r="T15201" s="11"/>
    </row>
    <row r="15202" spans="8:20" x14ac:dyDescent="0.35">
      <c r="H15202" s="711"/>
      <c r="I15202" s="711"/>
      <c r="J15202" s="711"/>
      <c r="K15202" s="711"/>
      <c r="L15202" s="711"/>
      <c r="Q15202" s="11"/>
      <c r="R15202" s="11"/>
      <c r="S15202" s="11"/>
      <c r="T15202" s="11"/>
    </row>
    <row r="15203" spans="8:20" x14ac:dyDescent="0.35">
      <c r="H15203" s="711"/>
      <c r="I15203" s="711"/>
      <c r="J15203" s="711"/>
      <c r="K15203" s="711"/>
      <c r="L15203" s="711"/>
      <c r="Q15203" s="11"/>
      <c r="R15203" s="11"/>
      <c r="S15203" s="11"/>
      <c r="T15203" s="11"/>
    </row>
    <row r="15204" spans="8:20" x14ac:dyDescent="0.35">
      <c r="H15204" s="711"/>
      <c r="I15204" s="711"/>
      <c r="J15204" s="711"/>
      <c r="K15204" s="711"/>
      <c r="L15204" s="711"/>
      <c r="Q15204" s="11"/>
      <c r="R15204" s="11"/>
      <c r="S15204" s="11"/>
      <c r="T15204" s="11"/>
    </row>
    <row r="15205" spans="8:20" x14ac:dyDescent="0.35">
      <c r="H15205" s="711"/>
      <c r="I15205" s="711"/>
      <c r="J15205" s="711"/>
      <c r="K15205" s="711"/>
      <c r="L15205" s="711"/>
      <c r="Q15205" s="11"/>
      <c r="R15205" s="11"/>
      <c r="S15205" s="11"/>
      <c r="T15205" s="11"/>
    </row>
    <row r="15206" spans="8:20" x14ac:dyDescent="0.35">
      <c r="H15206" s="711"/>
      <c r="I15206" s="711"/>
      <c r="J15206" s="711"/>
      <c r="K15206" s="711"/>
      <c r="L15206" s="711"/>
      <c r="Q15206" s="11"/>
      <c r="R15206" s="11"/>
      <c r="S15206" s="11"/>
      <c r="T15206" s="11"/>
    </row>
    <row r="15207" spans="8:20" x14ac:dyDescent="0.35">
      <c r="H15207" s="711"/>
      <c r="I15207" s="711"/>
      <c r="J15207" s="711"/>
      <c r="K15207" s="711"/>
      <c r="L15207" s="711"/>
      <c r="Q15207" s="11"/>
      <c r="R15207" s="11"/>
      <c r="S15207" s="11"/>
      <c r="T15207" s="11"/>
    </row>
    <row r="15208" spans="8:20" x14ac:dyDescent="0.35">
      <c r="H15208" s="711"/>
      <c r="I15208" s="711"/>
      <c r="J15208" s="711"/>
      <c r="K15208" s="711"/>
      <c r="L15208" s="711"/>
      <c r="Q15208" s="11"/>
      <c r="R15208" s="11"/>
      <c r="S15208" s="11"/>
      <c r="T15208" s="11"/>
    </row>
    <row r="15209" spans="8:20" x14ac:dyDescent="0.35">
      <c r="H15209" s="711"/>
      <c r="I15209" s="711"/>
      <c r="J15209" s="711"/>
      <c r="K15209" s="711"/>
      <c r="L15209" s="711"/>
      <c r="Q15209" s="11"/>
      <c r="R15209" s="11"/>
      <c r="S15209" s="11"/>
      <c r="T15209" s="11"/>
    </row>
    <row r="15210" spans="8:20" x14ac:dyDescent="0.35">
      <c r="H15210" s="711"/>
      <c r="I15210" s="711"/>
      <c r="J15210" s="711"/>
      <c r="K15210" s="711"/>
      <c r="L15210" s="711"/>
      <c r="Q15210" s="11"/>
      <c r="R15210" s="11"/>
      <c r="S15210" s="11"/>
      <c r="T15210" s="11"/>
    </row>
    <row r="15211" spans="8:20" x14ac:dyDescent="0.35">
      <c r="H15211" s="711"/>
      <c r="I15211" s="711"/>
      <c r="J15211" s="711"/>
      <c r="K15211" s="711"/>
      <c r="L15211" s="711"/>
      <c r="Q15211" s="11"/>
      <c r="R15211" s="11"/>
      <c r="S15211" s="11"/>
      <c r="T15211" s="11"/>
    </row>
    <row r="15212" spans="8:20" x14ac:dyDescent="0.35">
      <c r="H15212" s="711"/>
      <c r="I15212" s="711"/>
      <c r="J15212" s="711"/>
      <c r="K15212" s="711"/>
      <c r="L15212" s="711"/>
      <c r="Q15212" s="11"/>
      <c r="R15212" s="11"/>
      <c r="S15212" s="11"/>
      <c r="T15212" s="11"/>
    </row>
    <row r="15213" spans="8:20" x14ac:dyDescent="0.35">
      <c r="H15213" s="711"/>
      <c r="I15213" s="711"/>
      <c r="J15213" s="711"/>
      <c r="K15213" s="711"/>
      <c r="L15213" s="711"/>
      <c r="Q15213" s="11"/>
      <c r="R15213" s="11"/>
      <c r="S15213" s="11"/>
      <c r="T15213" s="11"/>
    </row>
    <row r="15214" spans="8:20" x14ac:dyDescent="0.35">
      <c r="H15214" s="711"/>
      <c r="I15214" s="711"/>
      <c r="J15214" s="711"/>
      <c r="K15214" s="711"/>
      <c r="L15214" s="711"/>
      <c r="Q15214" s="11"/>
      <c r="R15214" s="11"/>
      <c r="S15214" s="11"/>
      <c r="T15214" s="11"/>
    </row>
    <row r="15215" spans="8:20" x14ac:dyDescent="0.35">
      <c r="H15215" s="711"/>
      <c r="I15215" s="711"/>
      <c r="J15215" s="711"/>
      <c r="K15215" s="711"/>
      <c r="L15215" s="711"/>
      <c r="Q15215" s="11"/>
      <c r="R15215" s="11"/>
      <c r="S15215" s="11"/>
      <c r="T15215" s="11"/>
    </row>
    <row r="15216" spans="8:20" x14ac:dyDescent="0.35">
      <c r="H15216" s="711"/>
      <c r="I15216" s="711"/>
      <c r="J15216" s="711"/>
      <c r="K15216" s="711"/>
      <c r="L15216" s="711"/>
      <c r="Q15216" s="11"/>
      <c r="R15216" s="11"/>
      <c r="S15216" s="11"/>
      <c r="T15216" s="11"/>
    </row>
    <row r="15217" spans="8:20" x14ac:dyDescent="0.35">
      <c r="H15217" s="711"/>
      <c r="I15217" s="711"/>
      <c r="J15217" s="711"/>
      <c r="K15217" s="711"/>
      <c r="L15217" s="711"/>
      <c r="Q15217" s="11"/>
      <c r="R15217" s="11"/>
      <c r="S15217" s="11"/>
      <c r="T15217" s="11"/>
    </row>
    <row r="15218" spans="8:20" x14ac:dyDescent="0.35">
      <c r="H15218" s="711"/>
      <c r="I15218" s="711"/>
      <c r="J15218" s="711"/>
      <c r="K15218" s="711"/>
      <c r="L15218" s="711"/>
      <c r="Q15218" s="11"/>
      <c r="R15218" s="11"/>
      <c r="S15218" s="11"/>
      <c r="T15218" s="11"/>
    </row>
    <row r="15219" spans="8:20" x14ac:dyDescent="0.35">
      <c r="H15219" s="711"/>
      <c r="I15219" s="711"/>
      <c r="J15219" s="711"/>
      <c r="K15219" s="711"/>
      <c r="L15219" s="711"/>
      <c r="Q15219" s="11"/>
      <c r="R15219" s="11"/>
      <c r="S15219" s="11"/>
      <c r="T15219" s="11"/>
    </row>
    <row r="15220" spans="8:20" x14ac:dyDescent="0.35">
      <c r="H15220" s="711"/>
      <c r="I15220" s="711"/>
      <c r="J15220" s="711"/>
      <c r="K15220" s="711"/>
      <c r="L15220" s="711"/>
      <c r="Q15220" s="11"/>
      <c r="R15220" s="11"/>
      <c r="S15220" s="11"/>
      <c r="T15220" s="11"/>
    </row>
    <row r="15221" spans="8:20" x14ac:dyDescent="0.35">
      <c r="H15221" s="711"/>
      <c r="I15221" s="711"/>
      <c r="J15221" s="711"/>
      <c r="K15221" s="711"/>
      <c r="L15221" s="711"/>
      <c r="Q15221" s="11"/>
      <c r="R15221" s="11"/>
      <c r="S15221" s="11"/>
      <c r="T15221" s="11"/>
    </row>
    <row r="15222" spans="8:20" x14ac:dyDescent="0.35">
      <c r="H15222" s="711"/>
      <c r="I15222" s="711"/>
      <c r="J15222" s="711"/>
      <c r="K15222" s="711"/>
      <c r="L15222" s="711"/>
      <c r="Q15222" s="11"/>
      <c r="R15222" s="11"/>
      <c r="S15222" s="11"/>
      <c r="T15222" s="11"/>
    </row>
    <row r="15223" spans="8:20" x14ac:dyDescent="0.35">
      <c r="H15223" s="711"/>
      <c r="I15223" s="711"/>
      <c r="J15223" s="711"/>
      <c r="K15223" s="711"/>
      <c r="L15223" s="711"/>
      <c r="Q15223" s="11"/>
      <c r="R15223" s="11"/>
      <c r="S15223" s="11"/>
      <c r="T15223" s="11"/>
    </row>
    <row r="15224" spans="8:20" x14ac:dyDescent="0.35">
      <c r="H15224" s="711"/>
      <c r="I15224" s="711"/>
      <c r="J15224" s="711"/>
      <c r="K15224" s="711"/>
      <c r="L15224" s="711"/>
      <c r="Q15224" s="11"/>
      <c r="R15224" s="11"/>
      <c r="S15224" s="11"/>
      <c r="T15224" s="11"/>
    </row>
    <row r="15225" spans="8:20" x14ac:dyDescent="0.35">
      <c r="H15225" s="711"/>
      <c r="I15225" s="711"/>
      <c r="J15225" s="711"/>
      <c r="K15225" s="711"/>
      <c r="L15225" s="711"/>
      <c r="Q15225" s="11"/>
      <c r="R15225" s="11"/>
      <c r="S15225" s="11"/>
      <c r="T15225" s="11"/>
    </row>
    <row r="15226" spans="8:20" x14ac:dyDescent="0.35">
      <c r="H15226" s="711"/>
      <c r="I15226" s="711"/>
      <c r="J15226" s="711"/>
      <c r="K15226" s="711"/>
      <c r="L15226" s="711"/>
      <c r="Q15226" s="11"/>
      <c r="R15226" s="11"/>
      <c r="S15226" s="11"/>
      <c r="T15226" s="11"/>
    </row>
    <row r="15227" spans="8:20" x14ac:dyDescent="0.35">
      <c r="H15227" s="711"/>
      <c r="I15227" s="711"/>
      <c r="J15227" s="711"/>
      <c r="K15227" s="711"/>
      <c r="L15227" s="711"/>
      <c r="Q15227" s="11"/>
      <c r="R15227" s="11"/>
      <c r="S15227" s="11"/>
      <c r="T15227" s="11"/>
    </row>
    <row r="15228" spans="8:20" x14ac:dyDescent="0.35">
      <c r="H15228" s="711"/>
      <c r="I15228" s="711"/>
      <c r="J15228" s="711"/>
      <c r="K15228" s="711"/>
      <c r="L15228" s="711"/>
      <c r="Q15228" s="11"/>
      <c r="R15228" s="11"/>
      <c r="S15228" s="11"/>
      <c r="T15228" s="11"/>
    </row>
    <row r="15229" spans="8:20" x14ac:dyDescent="0.35">
      <c r="H15229" s="711"/>
      <c r="I15229" s="711"/>
      <c r="J15229" s="711"/>
      <c r="K15229" s="711"/>
      <c r="L15229" s="711"/>
      <c r="Q15229" s="11"/>
      <c r="R15229" s="11"/>
      <c r="S15229" s="11"/>
      <c r="T15229" s="11"/>
    </row>
    <row r="15230" spans="8:20" x14ac:dyDescent="0.35">
      <c r="H15230" s="711"/>
      <c r="I15230" s="711"/>
      <c r="J15230" s="711"/>
      <c r="K15230" s="711"/>
      <c r="L15230" s="711"/>
      <c r="Q15230" s="11"/>
      <c r="R15230" s="11"/>
      <c r="S15230" s="11"/>
      <c r="T15230" s="11"/>
    </row>
    <row r="15231" spans="8:20" x14ac:dyDescent="0.35">
      <c r="H15231" s="711"/>
      <c r="I15231" s="711"/>
      <c r="J15231" s="711"/>
      <c r="K15231" s="711"/>
      <c r="L15231" s="711"/>
      <c r="Q15231" s="11"/>
      <c r="R15231" s="11"/>
      <c r="S15231" s="11"/>
      <c r="T15231" s="11"/>
    </row>
    <row r="15232" spans="8:20" x14ac:dyDescent="0.35">
      <c r="H15232" s="711"/>
      <c r="I15232" s="711"/>
      <c r="J15232" s="711"/>
      <c r="K15232" s="711"/>
      <c r="L15232" s="711"/>
      <c r="Q15232" s="11"/>
      <c r="R15232" s="11"/>
      <c r="S15232" s="11"/>
      <c r="T15232" s="11"/>
    </row>
    <row r="15233" spans="8:20" x14ac:dyDescent="0.35">
      <c r="H15233" s="711"/>
      <c r="I15233" s="711"/>
      <c r="J15233" s="711"/>
      <c r="K15233" s="711"/>
      <c r="L15233" s="711"/>
      <c r="Q15233" s="11"/>
      <c r="R15233" s="11"/>
      <c r="S15233" s="11"/>
      <c r="T15233" s="11"/>
    </row>
    <row r="15234" spans="8:20" x14ac:dyDescent="0.35">
      <c r="H15234" s="711"/>
      <c r="I15234" s="711"/>
      <c r="J15234" s="711"/>
      <c r="K15234" s="711"/>
      <c r="L15234" s="711"/>
      <c r="Q15234" s="11"/>
      <c r="R15234" s="11"/>
      <c r="S15234" s="11"/>
      <c r="T15234" s="11"/>
    </row>
    <row r="15235" spans="8:20" x14ac:dyDescent="0.35">
      <c r="H15235" s="711"/>
      <c r="I15235" s="711"/>
      <c r="J15235" s="711"/>
      <c r="K15235" s="711"/>
      <c r="L15235" s="711"/>
      <c r="Q15235" s="11"/>
      <c r="R15235" s="11"/>
      <c r="S15235" s="11"/>
      <c r="T15235" s="11"/>
    </row>
    <row r="15236" spans="8:20" x14ac:dyDescent="0.35">
      <c r="H15236" s="711"/>
      <c r="I15236" s="711"/>
      <c r="J15236" s="711"/>
      <c r="K15236" s="711"/>
      <c r="L15236" s="711"/>
      <c r="Q15236" s="11"/>
      <c r="R15236" s="11"/>
      <c r="S15236" s="11"/>
      <c r="T15236" s="11"/>
    </row>
    <row r="15237" spans="8:20" x14ac:dyDescent="0.35">
      <c r="H15237" s="711"/>
      <c r="I15237" s="711"/>
      <c r="J15237" s="711"/>
      <c r="K15237" s="711"/>
      <c r="L15237" s="711"/>
      <c r="Q15237" s="11"/>
      <c r="R15237" s="11"/>
      <c r="S15237" s="11"/>
      <c r="T15237" s="11"/>
    </row>
    <row r="15238" spans="8:20" x14ac:dyDescent="0.35">
      <c r="H15238" s="711"/>
      <c r="I15238" s="711"/>
      <c r="J15238" s="711"/>
      <c r="K15238" s="711"/>
      <c r="L15238" s="711"/>
      <c r="Q15238" s="11"/>
      <c r="R15238" s="11"/>
      <c r="S15238" s="11"/>
      <c r="T15238" s="11"/>
    </row>
    <row r="15239" spans="8:20" x14ac:dyDescent="0.35">
      <c r="H15239" s="711"/>
      <c r="I15239" s="711"/>
      <c r="J15239" s="711"/>
      <c r="K15239" s="711"/>
      <c r="L15239" s="711"/>
      <c r="Q15239" s="11"/>
      <c r="R15239" s="11"/>
      <c r="S15239" s="11"/>
      <c r="T15239" s="11"/>
    </row>
    <row r="15240" spans="8:20" x14ac:dyDescent="0.35">
      <c r="H15240" s="711"/>
      <c r="I15240" s="711"/>
      <c r="J15240" s="711"/>
      <c r="K15240" s="711"/>
      <c r="L15240" s="711"/>
      <c r="Q15240" s="11"/>
      <c r="R15240" s="11"/>
      <c r="S15240" s="11"/>
      <c r="T15240" s="11"/>
    </row>
    <row r="15241" spans="8:20" x14ac:dyDescent="0.35">
      <c r="H15241" s="711"/>
      <c r="I15241" s="711"/>
      <c r="J15241" s="711"/>
      <c r="K15241" s="711"/>
      <c r="L15241" s="711"/>
      <c r="Q15241" s="11"/>
      <c r="R15241" s="11"/>
      <c r="S15241" s="11"/>
      <c r="T15241" s="11"/>
    </row>
    <row r="15242" spans="8:20" x14ac:dyDescent="0.35">
      <c r="H15242" s="711"/>
      <c r="I15242" s="711"/>
      <c r="J15242" s="711"/>
      <c r="K15242" s="711"/>
      <c r="L15242" s="711"/>
      <c r="Q15242" s="11"/>
      <c r="R15242" s="11"/>
      <c r="S15242" s="11"/>
      <c r="T15242" s="11"/>
    </row>
    <row r="15243" spans="8:20" x14ac:dyDescent="0.35">
      <c r="H15243" s="711"/>
      <c r="I15243" s="711"/>
      <c r="J15243" s="711"/>
      <c r="K15243" s="711"/>
      <c r="L15243" s="711"/>
      <c r="Q15243" s="11"/>
      <c r="R15243" s="11"/>
      <c r="S15243" s="11"/>
      <c r="T15243" s="11"/>
    </row>
    <row r="15244" spans="8:20" x14ac:dyDescent="0.35">
      <c r="H15244" s="711"/>
      <c r="I15244" s="711"/>
      <c r="J15244" s="711"/>
      <c r="K15244" s="711"/>
      <c r="L15244" s="711"/>
      <c r="Q15244" s="11"/>
      <c r="R15244" s="11"/>
      <c r="S15244" s="11"/>
      <c r="T15244" s="11"/>
    </row>
    <row r="15245" spans="8:20" x14ac:dyDescent="0.35">
      <c r="H15245" s="711"/>
      <c r="I15245" s="711"/>
      <c r="J15245" s="711"/>
      <c r="K15245" s="711"/>
      <c r="L15245" s="711"/>
      <c r="Q15245" s="11"/>
      <c r="R15245" s="11"/>
      <c r="S15245" s="11"/>
      <c r="T15245" s="11"/>
    </row>
    <row r="15246" spans="8:20" x14ac:dyDescent="0.35">
      <c r="H15246" s="711"/>
      <c r="I15246" s="711"/>
      <c r="J15246" s="711"/>
      <c r="K15246" s="711"/>
      <c r="L15246" s="711"/>
      <c r="Q15246" s="11"/>
      <c r="R15246" s="11"/>
      <c r="S15246" s="11"/>
      <c r="T15246" s="11"/>
    </row>
    <row r="15247" spans="8:20" x14ac:dyDescent="0.35">
      <c r="H15247" s="711"/>
      <c r="I15247" s="711"/>
      <c r="J15247" s="711"/>
      <c r="K15247" s="711"/>
      <c r="L15247" s="711"/>
      <c r="Q15247" s="11"/>
      <c r="R15247" s="11"/>
      <c r="S15247" s="11"/>
      <c r="T15247" s="11"/>
    </row>
    <row r="15248" spans="8:20" x14ac:dyDescent="0.35">
      <c r="H15248" s="711"/>
      <c r="I15248" s="711"/>
      <c r="J15248" s="711"/>
      <c r="K15248" s="711"/>
      <c r="L15248" s="711"/>
      <c r="Q15248" s="11"/>
      <c r="R15248" s="11"/>
      <c r="S15248" s="11"/>
      <c r="T15248" s="11"/>
    </row>
    <row r="15249" spans="8:20" x14ac:dyDescent="0.35">
      <c r="H15249" s="711"/>
      <c r="I15249" s="711"/>
      <c r="J15249" s="711"/>
      <c r="K15249" s="711"/>
      <c r="L15249" s="711"/>
      <c r="Q15249" s="11"/>
      <c r="R15249" s="11"/>
      <c r="S15249" s="11"/>
      <c r="T15249" s="11"/>
    </row>
    <row r="15250" spans="8:20" x14ac:dyDescent="0.35">
      <c r="H15250" s="711"/>
      <c r="I15250" s="711"/>
      <c r="J15250" s="711"/>
      <c r="K15250" s="711"/>
      <c r="L15250" s="711"/>
      <c r="Q15250" s="11"/>
      <c r="R15250" s="11"/>
      <c r="S15250" s="11"/>
      <c r="T15250" s="11"/>
    </row>
    <row r="15251" spans="8:20" x14ac:dyDescent="0.35">
      <c r="H15251" s="711"/>
      <c r="I15251" s="711"/>
      <c r="J15251" s="711"/>
      <c r="K15251" s="711"/>
      <c r="L15251" s="711"/>
      <c r="Q15251" s="11"/>
      <c r="R15251" s="11"/>
      <c r="S15251" s="11"/>
      <c r="T15251" s="11"/>
    </row>
    <row r="15252" spans="8:20" x14ac:dyDescent="0.35">
      <c r="H15252" s="711"/>
      <c r="I15252" s="711"/>
      <c r="J15252" s="711"/>
      <c r="K15252" s="711"/>
      <c r="L15252" s="711"/>
      <c r="Q15252" s="11"/>
      <c r="R15252" s="11"/>
      <c r="S15252" s="11"/>
      <c r="T15252" s="11"/>
    </row>
    <row r="15253" spans="8:20" x14ac:dyDescent="0.35">
      <c r="H15253" s="711"/>
      <c r="I15253" s="711"/>
      <c r="J15253" s="711"/>
      <c r="K15253" s="711"/>
      <c r="L15253" s="711"/>
      <c r="Q15253" s="11"/>
      <c r="R15253" s="11"/>
      <c r="S15253" s="11"/>
      <c r="T15253" s="11"/>
    </row>
    <row r="15254" spans="8:20" x14ac:dyDescent="0.35">
      <c r="H15254" s="711"/>
      <c r="I15254" s="711"/>
      <c r="J15254" s="711"/>
      <c r="K15254" s="711"/>
      <c r="L15254" s="711"/>
      <c r="Q15254" s="11"/>
      <c r="R15254" s="11"/>
      <c r="S15254" s="11"/>
      <c r="T15254" s="11"/>
    </row>
    <row r="15255" spans="8:20" x14ac:dyDescent="0.35">
      <c r="H15255" s="711"/>
      <c r="I15255" s="711"/>
      <c r="J15255" s="711"/>
      <c r="K15255" s="711"/>
      <c r="L15255" s="711"/>
      <c r="Q15255" s="11"/>
      <c r="R15255" s="11"/>
      <c r="S15255" s="11"/>
      <c r="T15255" s="11"/>
    </row>
    <row r="15256" spans="8:20" x14ac:dyDescent="0.35">
      <c r="H15256" s="711"/>
      <c r="I15256" s="711"/>
      <c r="J15256" s="711"/>
      <c r="K15256" s="711"/>
      <c r="L15256" s="711"/>
      <c r="Q15256" s="11"/>
      <c r="R15256" s="11"/>
      <c r="S15256" s="11"/>
      <c r="T15256" s="11"/>
    </row>
    <row r="15257" spans="8:20" x14ac:dyDescent="0.35">
      <c r="H15257" s="711"/>
      <c r="I15257" s="711"/>
      <c r="J15257" s="711"/>
      <c r="K15257" s="711"/>
      <c r="L15257" s="711"/>
      <c r="Q15257" s="11"/>
      <c r="R15257" s="11"/>
      <c r="S15257" s="11"/>
      <c r="T15257" s="11"/>
    </row>
    <row r="15258" spans="8:20" x14ac:dyDescent="0.35">
      <c r="H15258" s="711"/>
      <c r="I15258" s="711"/>
      <c r="J15258" s="711"/>
      <c r="K15258" s="711"/>
      <c r="L15258" s="711"/>
      <c r="Q15258" s="11"/>
      <c r="R15258" s="11"/>
      <c r="S15258" s="11"/>
      <c r="T15258" s="11"/>
    </row>
    <row r="15259" spans="8:20" x14ac:dyDescent="0.35">
      <c r="H15259" s="711"/>
      <c r="I15259" s="711"/>
      <c r="J15259" s="711"/>
      <c r="K15259" s="711"/>
      <c r="L15259" s="711"/>
      <c r="Q15259" s="11"/>
      <c r="R15259" s="11"/>
      <c r="S15259" s="11"/>
      <c r="T15259" s="11"/>
    </row>
    <row r="15260" spans="8:20" x14ac:dyDescent="0.35">
      <c r="H15260" s="711"/>
      <c r="I15260" s="711"/>
      <c r="J15260" s="711"/>
      <c r="K15260" s="711"/>
      <c r="L15260" s="711"/>
      <c r="Q15260" s="11"/>
      <c r="R15260" s="11"/>
      <c r="S15260" s="11"/>
      <c r="T15260" s="11"/>
    </row>
    <row r="15261" spans="8:20" x14ac:dyDescent="0.35">
      <c r="H15261" s="711"/>
      <c r="I15261" s="711"/>
      <c r="J15261" s="711"/>
      <c r="K15261" s="711"/>
      <c r="L15261" s="711"/>
      <c r="Q15261" s="11"/>
      <c r="R15261" s="11"/>
      <c r="S15261" s="11"/>
      <c r="T15261" s="11"/>
    </row>
    <row r="15262" spans="8:20" x14ac:dyDescent="0.35">
      <c r="H15262" s="711"/>
      <c r="I15262" s="711"/>
      <c r="J15262" s="711"/>
      <c r="K15262" s="711"/>
      <c r="L15262" s="711"/>
      <c r="Q15262" s="11"/>
      <c r="R15262" s="11"/>
      <c r="S15262" s="11"/>
      <c r="T15262" s="11"/>
    </row>
    <row r="15263" spans="8:20" x14ac:dyDescent="0.35">
      <c r="H15263" s="711"/>
      <c r="I15263" s="711"/>
      <c r="J15263" s="711"/>
      <c r="K15263" s="711"/>
      <c r="L15263" s="711"/>
      <c r="Q15263" s="11"/>
      <c r="R15263" s="11"/>
      <c r="S15263" s="11"/>
      <c r="T15263" s="11"/>
    </row>
    <row r="15264" spans="8:20" x14ac:dyDescent="0.35">
      <c r="H15264" s="711"/>
      <c r="I15264" s="711"/>
      <c r="J15264" s="711"/>
      <c r="K15264" s="711"/>
      <c r="L15264" s="711"/>
      <c r="Q15264" s="11"/>
      <c r="R15264" s="11"/>
      <c r="S15264" s="11"/>
      <c r="T15264" s="11"/>
    </row>
    <row r="15265" spans="8:20" x14ac:dyDescent="0.35">
      <c r="H15265" s="711"/>
      <c r="I15265" s="711"/>
      <c r="J15265" s="711"/>
      <c r="K15265" s="711"/>
      <c r="L15265" s="711"/>
      <c r="Q15265" s="11"/>
      <c r="R15265" s="11"/>
      <c r="S15265" s="11"/>
      <c r="T15265" s="11"/>
    </row>
    <row r="15266" spans="8:20" x14ac:dyDescent="0.35">
      <c r="H15266" s="711"/>
      <c r="I15266" s="711"/>
      <c r="J15266" s="711"/>
      <c r="K15266" s="711"/>
      <c r="L15266" s="711"/>
      <c r="Q15266" s="11"/>
      <c r="R15266" s="11"/>
      <c r="S15266" s="11"/>
      <c r="T15266" s="11"/>
    </row>
    <row r="15267" spans="8:20" x14ac:dyDescent="0.35">
      <c r="H15267" s="711"/>
      <c r="I15267" s="711"/>
      <c r="J15267" s="711"/>
      <c r="K15267" s="711"/>
      <c r="L15267" s="711"/>
      <c r="Q15267" s="11"/>
      <c r="R15267" s="11"/>
      <c r="S15267" s="11"/>
      <c r="T15267" s="11"/>
    </row>
    <row r="15268" spans="8:20" x14ac:dyDescent="0.35">
      <c r="H15268" s="711"/>
      <c r="I15268" s="711"/>
      <c r="J15268" s="711"/>
      <c r="K15268" s="711"/>
      <c r="L15268" s="711"/>
      <c r="Q15268" s="11"/>
      <c r="R15268" s="11"/>
      <c r="S15268" s="11"/>
      <c r="T15268" s="11"/>
    </row>
    <row r="15269" spans="8:20" x14ac:dyDescent="0.35">
      <c r="H15269" s="711"/>
      <c r="I15269" s="711"/>
      <c r="J15269" s="711"/>
      <c r="K15269" s="711"/>
      <c r="L15269" s="711"/>
      <c r="Q15269" s="11"/>
      <c r="R15269" s="11"/>
      <c r="S15269" s="11"/>
      <c r="T15269" s="11"/>
    </row>
    <row r="15270" spans="8:20" x14ac:dyDescent="0.35">
      <c r="H15270" s="711"/>
      <c r="I15270" s="711"/>
      <c r="J15270" s="711"/>
      <c r="K15270" s="711"/>
      <c r="L15270" s="711"/>
      <c r="Q15270" s="11"/>
      <c r="R15270" s="11"/>
      <c r="S15270" s="11"/>
      <c r="T15270" s="11"/>
    </row>
    <row r="15271" spans="8:20" x14ac:dyDescent="0.35">
      <c r="H15271" s="711"/>
      <c r="I15271" s="711"/>
      <c r="J15271" s="711"/>
      <c r="K15271" s="711"/>
      <c r="L15271" s="711"/>
      <c r="Q15271" s="11"/>
      <c r="R15271" s="11"/>
      <c r="S15271" s="11"/>
      <c r="T15271" s="11"/>
    </row>
    <row r="15272" spans="8:20" x14ac:dyDescent="0.35">
      <c r="H15272" s="711"/>
      <c r="I15272" s="711"/>
      <c r="J15272" s="711"/>
      <c r="K15272" s="711"/>
      <c r="L15272" s="711"/>
      <c r="Q15272" s="11"/>
      <c r="R15272" s="11"/>
      <c r="S15272" s="11"/>
      <c r="T15272" s="11"/>
    </row>
    <row r="15273" spans="8:20" x14ac:dyDescent="0.35">
      <c r="H15273" s="711"/>
      <c r="I15273" s="711"/>
      <c r="J15273" s="711"/>
      <c r="K15273" s="711"/>
      <c r="L15273" s="711"/>
      <c r="Q15273" s="11"/>
      <c r="R15273" s="11"/>
      <c r="S15273" s="11"/>
      <c r="T15273" s="11"/>
    </row>
    <row r="15274" spans="8:20" x14ac:dyDescent="0.35">
      <c r="H15274" s="711"/>
      <c r="I15274" s="711"/>
      <c r="J15274" s="711"/>
      <c r="K15274" s="711"/>
      <c r="L15274" s="711"/>
      <c r="Q15274" s="11"/>
      <c r="R15274" s="11"/>
      <c r="S15274" s="11"/>
      <c r="T15274" s="11"/>
    </row>
    <row r="15275" spans="8:20" x14ac:dyDescent="0.35">
      <c r="H15275" s="711"/>
      <c r="I15275" s="711"/>
      <c r="J15275" s="711"/>
      <c r="K15275" s="711"/>
      <c r="L15275" s="711"/>
      <c r="Q15275" s="11"/>
      <c r="R15275" s="11"/>
      <c r="S15275" s="11"/>
      <c r="T15275" s="11"/>
    </row>
    <row r="15276" spans="8:20" x14ac:dyDescent="0.35">
      <c r="H15276" s="711"/>
      <c r="I15276" s="711"/>
      <c r="J15276" s="711"/>
      <c r="K15276" s="711"/>
      <c r="L15276" s="711"/>
      <c r="Q15276" s="11"/>
      <c r="R15276" s="11"/>
      <c r="S15276" s="11"/>
      <c r="T15276" s="11"/>
    </row>
    <row r="15277" spans="8:20" x14ac:dyDescent="0.35">
      <c r="H15277" s="711"/>
      <c r="I15277" s="711"/>
      <c r="J15277" s="711"/>
      <c r="K15277" s="711"/>
      <c r="L15277" s="711"/>
      <c r="Q15277" s="11"/>
      <c r="R15277" s="11"/>
      <c r="S15277" s="11"/>
      <c r="T15277" s="11"/>
    </row>
    <row r="15278" spans="8:20" x14ac:dyDescent="0.35">
      <c r="H15278" s="711"/>
      <c r="I15278" s="711"/>
      <c r="J15278" s="711"/>
      <c r="K15278" s="711"/>
      <c r="L15278" s="711"/>
      <c r="Q15278" s="11"/>
      <c r="R15278" s="11"/>
      <c r="S15278" s="11"/>
      <c r="T15278" s="11"/>
    </row>
    <row r="15279" spans="8:20" x14ac:dyDescent="0.35">
      <c r="H15279" s="711"/>
      <c r="I15279" s="711"/>
      <c r="J15279" s="711"/>
      <c r="K15279" s="711"/>
      <c r="L15279" s="711"/>
      <c r="Q15279" s="11"/>
      <c r="R15279" s="11"/>
      <c r="S15279" s="11"/>
      <c r="T15279" s="11"/>
    </row>
    <row r="15280" spans="8:20" x14ac:dyDescent="0.35">
      <c r="H15280" s="711"/>
      <c r="I15280" s="711"/>
      <c r="J15280" s="711"/>
      <c r="K15280" s="711"/>
      <c r="L15280" s="711"/>
      <c r="Q15280" s="11"/>
      <c r="R15280" s="11"/>
      <c r="S15280" s="11"/>
      <c r="T15280" s="11"/>
    </row>
    <row r="15281" spans="8:20" x14ac:dyDescent="0.35">
      <c r="H15281" s="711"/>
      <c r="I15281" s="711"/>
      <c r="J15281" s="711"/>
      <c r="K15281" s="711"/>
      <c r="L15281" s="711"/>
      <c r="Q15281" s="11"/>
      <c r="R15281" s="11"/>
      <c r="S15281" s="11"/>
      <c r="T15281" s="11"/>
    </row>
    <row r="15282" spans="8:20" x14ac:dyDescent="0.35">
      <c r="H15282" s="711"/>
      <c r="I15282" s="711"/>
      <c r="J15282" s="711"/>
      <c r="K15282" s="711"/>
      <c r="L15282" s="711"/>
      <c r="Q15282" s="11"/>
      <c r="R15282" s="11"/>
      <c r="S15282" s="11"/>
      <c r="T15282" s="11"/>
    </row>
    <row r="15283" spans="8:20" x14ac:dyDescent="0.35">
      <c r="H15283" s="711"/>
      <c r="I15283" s="711"/>
      <c r="J15283" s="711"/>
      <c r="K15283" s="711"/>
      <c r="L15283" s="711"/>
      <c r="Q15283" s="11"/>
      <c r="R15283" s="11"/>
      <c r="S15283" s="11"/>
      <c r="T15283" s="11"/>
    </row>
    <row r="15284" spans="8:20" x14ac:dyDescent="0.35">
      <c r="H15284" s="711"/>
      <c r="I15284" s="711"/>
      <c r="J15284" s="711"/>
      <c r="K15284" s="711"/>
      <c r="L15284" s="711"/>
      <c r="Q15284" s="11"/>
      <c r="R15284" s="11"/>
      <c r="S15284" s="11"/>
      <c r="T15284" s="11"/>
    </row>
    <row r="15285" spans="8:20" x14ac:dyDescent="0.35">
      <c r="H15285" s="711"/>
      <c r="I15285" s="711"/>
      <c r="J15285" s="711"/>
      <c r="K15285" s="711"/>
      <c r="L15285" s="711"/>
      <c r="Q15285" s="11"/>
      <c r="R15285" s="11"/>
      <c r="S15285" s="11"/>
      <c r="T15285" s="11"/>
    </row>
    <row r="15286" spans="8:20" x14ac:dyDescent="0.35">
      <c r="H15286" s="711"/>
      <c r="I15286" s="711"/>
      <c r="J15286" s="711"/>
      <c r="K15286" s="711"/>
      <c r="L15286" s="711"/>
      <c r="Q15286" s="11"/>
      <c r="R15286" s="11"/>
      <c r="S15286" s="11"/>
      <c r="T15286" s="11"/>
    </row>
    <row r="15287" spans="8:20" x14ac:dyDescent="0.35">
      <c r="H15287" s="711"/>
      <c r="I15287" s="711"/>
      <c r="J15287" s="711"/>
      <c r="K15287" s="711"/>
      <c r="L15287" s="711"/>
      <c r="Q15287" s="11"/>
      <c r="R15287" s="11"/>
      <c r="S15287" s="11"/>
      <c r="T15287" s="11"/>
    </row>
    <row r="15288" spans="8:20" x14ac:dyDescent="0.35">
      <c r="H15288" s="711"/>
      <c r="I15288" s="711"/>
      <c r="J15288" s="711"/>
      <c r="K15288" s="711"/>
      <c r="L15288" s="711"/>
      <c r="Q15288" s="11"/>
      <c r="R15288" s="11"/>
      <c r="S15288" s="11"/>
      <c r="T15288" s="11"/>
    </row>
    <row r="15289" spans="8:20" x14ac:dyDescent="0.35">
      <c r="H15289" s="711"/>
      <c r="I15289" s="711"/>
      <c r="J15289" s="711"/>
      <c r="K15289" s="711"/>
      <c r="L15289" s="711"/>
      <c r="Q15289" s="11"/>
      <c r="R15289" s="11"/>
      <c r="S15289" s="11"/>
      <c r="T15289" s="11"/>
    </row>
    <row r="15290" spans="8:20" x14ac:dyDescent="0.35">
      <c r="H15290" s="711"/>
      <c r="I15290" s="711"/>
      <c r="J15290" s="711"/>
      <c r="K15290" s="711"/>
      <c r="L15290" s="711"/>
      <c r="Q15290" s="11"/>
      <c r="R15290" s="11"/>
      <c r="S15290" s="11"/>
      <c r="T15290" s="11"/>
    </row>
    <row r="15291" spans="8:20" x14ac:dyDescent="0.35">
      <c r="H15291" s="711"/>
      <c r="I15291" s="711"/>
      <c r="J15291" s="711"/>
      <c r="K15291" s="711"/>
      <c r="L15291" s="711"/>
      <c r="Q15291" s="11"/>
      <c r="R15291" s="11"/>
      <c r="S15291" s="11"/>
      <c r="T15291" s="11"/>
    </row>
    <row r="15292" spans="8:20" x14ac:dyDescent="0.35">
      <c r="H15292" s="711"/>
      <c r="I15292" s="711"/>
      <c r="J15292" s="711"/>
      <c r="K15292" s="711"/>
      <c r="L15292" s="711"/>
      <c r="Q15292" s="11"/>
      <c r="R15292" s="11"/>
      <c r="S15292" s="11"/>
      <c r="T15292" s="11"/>
    </row>
    <row r="15293" spans="8:20" x14ac:dyDescent="0.35">
      <c r="H15293" s="711"/>
      <c r="I15293" s="711"/>
      <c r="J15293" s="711"/>
      <c r="K15293" s="711"/>
      <c r="L15293" s="711"/>
      <c r="Q15293" s="11"/>
      <c r="R15293" s="11"/>
      <c r="S15293" s="11"/>
      <c r="T15293" s="11"/>
    </row>
    <row r="15294" spans="8:20" x14ac:dyDescent="0.35">
      <c r="H15294" s="711"/>
      <c r="I15294" s="711"/>
      <c r="J15294" s="711"/>
      <c r="K15294" s="711"/>
      <c r="L15294" s="711"/>
      <c r="Q15294" s="11"/>
      <c r="R15294" s="11"/>
      <c r="S15294" s="11"/>
      <c r="T15294" s="11"/>
    </row>
    <row r="15295" spans="8:20" x14ac:dyDescent="0.35">
      <c r="H15295" s="711"/>
      <c r="I15295" s="711"/>
      <c r="J15295" s="711"/>
      <c r="K15295" s="711"/>
      <c r="L15295" s="711"/>
      <c r="Q15295" s="11"/>
      <c r="R15295" s="11"/>
      <c r="S15295" s="11"/>
      <c r="T15295" s="11"/>
    </row>
    <row r="15296" spans="8:20" x14ac:dyDescent="0.35">
      <c r="H15296" s="711"/>
      <c r="I15296" s="711"/>
      <c r="J15296" s="711"/>
      <c r="K15296" s="711"/>
      <c r="L15296" s="711"/>
      <c r="Q15296" s="11"/>
      <c r="R15296" s="11"/>
      <c r="S15296" s="11"/>
      <c r="T15296" s="11"/>
    </row>
    <row r="15297" spans="8:20" x14ac:dyDescent="0.35">
      <c r="H15297" s="711"/>
      <c r="I15297" s="711"/>
      <c r="J15297" s="711"/>
      <c r="K15297" s="711"/>
      <c r="L15297" s="711"/>
      <c r="Q15297" s="11"/>
      <c r="R15297" s="11"/>
      <c r="S15297" s="11"/>
      <c r="T15297" s="11"/>
    </row>
    <row r="15298" spans="8:20" x14ac:dyDescent="0.35">
      <c r="H15298" s="711"/>
      <c r="I15298" s="711"/>
      <c r="J15298" s="711"/>
      <c r="K15298" s="711"/>
      <c r="L15298" s="711"/>
      <c r="Q15298" s="11"/>
      <c r="R15298" s="11"/>
      <c r="S15298" s="11"/>
      <c r="T15298" s="11"/>
    </row>
    <row r="15299" spans="8:20" x14ac:dyDescent="0.35">
      <c r="H15299" s="711"/>
      <c r="I15299" s="711"/>
      <c r="J15299" s="711"/>
      <c r="K15299" s="711"/>
      <c r="L15299" s="711"/>
      <c r="Q15299" s="11"/>
      <c r="R15299" s="11"/>
      <c r="S15299" s="11"/>
      <c r="T15299" s="11"/>
    </row>
    <row r="15300" spans="8:20" x14ac:dyDescent="0.35">
      <c r="H15300" s="711"/>
      <c r="I15300" s="711"/>
      <c r="J15300" s="711"/>
      <c r="K15300" s="711"/>
      <c r="L15300" s="711"/>
      <c r="Q15300" s="11"/>
      <c r="R15300" s="11"/>
      <c r="S15300" s="11"/>
      <c r="T15300" s="11"/>
    </row>
    <row r="15301" spans="8:20" x14ac:dyDescent="0.35">
      <c r="H15301" s="711"/>
      <c r="I15301" s="711"/>
      <c r="J15301" s="711"/>
      <c r="K15301" s="711"/>
      <c r="L15301" s="711"/>
      <c r="Q15301" s="11"/>
      <c r="R15301" s="11"/>
      <c r="S15301" s="11"/>
      <c r="T15301" s="11"/>
    </row>
    <row r="15302" spans="8:20" x14ac:dyDescent="0.35">
      <c r="H15302" s="711"/>
      <c r="I15302" s="711"/>
      <c r="J15302" s="711"/>
      <c r="K15302" s="711"/>
      <c r="L15302" s="711"/>
      <c r="Q15302" s="11"/>
      <c r="R15302" s="11"/>
      <c r="S15302" s="11"/>
      <c r="T15302" s="11"/>
    </row>
    <row r="15303" spans="8:20" x14ac:dyDescent="0.35">
      <c r="H15303" s="711"/>
      <c r="I15303" s="711"/>
      <c r="J15303" s="711"/>
      <c r="K15303" s="711"/>
      <c r="L15303" s="711"/>
      <c r="Q15303" s="11"/>
      <c r="R15303" s="11"/>
      <c r="S15303" s="11"/>
      <c r="T15303" s="11"/>
    </row>
    <row r="15304" spans="8:20" x14ac:dyDescent="0.35">
      <c r="H15304" s="711"/>
      <c r="I15304" s="711"/>
      <c r="J15304" s="711"/>
      <c r="K15304" s="711"/>
      <c r="L15304" s="711"/>
      <c r="Q15304" s="11"/>
      <c r="R15304" s="11"/>
      <c r="S15304" s="11"/>
      <c r="T15304" s="11"/>
    </row>
    <row r="15305" spans="8:20" x14ac:dyDescent="0.35">
      <c r="H15305" s="711"/>
      <c r="I15305" s="711"/>
      <c r="J15305" s="711"/>
      <c r="K15305" s="711"/>
      <c r="L15305" s="711"/>
      <c r="Q15305" s="11"/>
      <c r="R15305" s="11"/>
      <c r="S15305" s="11"/>
      <c r="T15305" s="11"/>
    </row>
    <row r="15306" spans="8:20" x14ac:dyDescent="0.35">
      <c r="H15306" s="711"/>
      <c r="I15306" s="711"/>
      <c r="J15306" s="711"/>
      <c r="K15306" s="711"/>
      <c r="L15306" s="711"/>
      <c r="Q15306" s="11"/>
      <c r="R15306" s="11"/>
      <c r="S15306" s="11"/>
      <c r="T15306" s="11"/>
    </row>
    <row r="15307" spans="8:20" x14ac:dyDescent="0.35">
      <c r="H15307" s="711"/>
      <c r="I15307" s="711"/>
      <c r="J15307" s="711"/>
      <c r="K15307" s="711"/>
      <c r="L15307" s="711"/>
      <c r="Q15307" s="11"/>
      <c r="R15307" s="11"/>
      <c r="S15307" s="11"/>
      <c r="T15307" s="11"/>
    </row>
    <row r="15308" spans="8:20" x14ac:dyDescent="0.35">
      <c r="H15308" s="711"/>
      <c r="I15308" s="711"/>
      <c r="J15308" s="711"/>
      <c r="K15308" s="711"/>
      <c r="L15308" s="711"/>
      <c r="Q15308" s="11"/>
      <c r="R15308" s="11"/>
      <c r="S15308" s="11"/>
      <c r="T15308" s="11"/>
    </row>
    <row r="15309" spans="8:20" x14ac:dyDescent="0.35">
      <c r="H15309" s="711"/>
      <c r="I15309" s="711"/>
      <c r="J15309" s="711"/>
      <c r="K15309" s="711"/>
      <c r="L15309" s="711"/>
      <c r="Q15309" s="11"/>
      <c r="R15309" s="11"/>
      <c r="S15309" s="11"/>
      <c r="T15309" s="11"/>
    </row>
    <row r="15310" spans="8:20" x14ac:dyDescent="0.35">
      <c r="H15310" s="711"/>
      <c r="I15310" s="711"/>
      <c r="J15310" s="711"/>
      <c r="K15310" s="711"/>
      <c r="L15310" s="711"/>
      <c r="Q15310" s="11"/>
      <c r="R15310" s="11"/>
      <c r="S15310" s="11"/>
      <c r="T15310" s="11"/>
    </row>
    <row r="15311" spans="8:20" x14ac:dyDescent="0.35">
      <c r="H15311" s="711"/>
      <c r="I15311" s="711"/>
      <c r="J15311" s="711"/>
      <c r="K15311" s="711"/>
      <c r="L15311" s="711"/>
      <c r="Q15311" s="11"/>
      <c r="R15311" s="11"/>
      <c r="S15311" s="11"/>
      <c r="T15311" s="11"/>
    </row>
    <row r="15312" spans="8:20" x14ac:dyDescent="0.35">
      <c r="H15312" s="711"/>
      <c r="I15312" s="711"/>
      <c r="J15312" s="711"/>
      <c r="K15312" s="711"/>
      <c r="L15312" s="711"/>
      <c r="Q15312" s="11"/>
      <c r="R15312" s="11"/>
      <c r="S15312" s="11"/>
      <c r="T15312" s="11"/>
    </row>
    <row r="15313" spans="8:20" x14ac:dyDescent="0.35">
      <c r="H15313" s="711"/>
      <c r="I15313" s="711"/>
      <c r="J15313" s="711"/>
      <c r="K15313" s="711"/>
      <c r="L15313" s="711"/>
      <c r="Q15313" s="11"/>
      <c r="R15313" s="11"/>
      <c r="S15313" s="11"/>
      <c r="T15313" s="11"/>
    </row>
    <row r="15314" spans="8:20" x14ac:dyDescent="0.35">
      <c r="H15314" s="711"/>
      <c r="I15314" s="711"/>
      <c r="J15314" s="711"/>
      <c r="K15314" s="711"/>
      <c r="L15314" s="711"/>
      <c r="Q15314" s="11"/>
      <c r="R15314" s="11"/>
      <c r="S15314" s="11"/>
      <c r="T15314" s="11"/>
    </row>
    <row r="15315" spans="8:20" x14ac:dyDescent="0.35">
      <c r="H15315" s="711"/>
      <c r="I15315" s="711"/>
      <c r="J15315" s="711"/>
      <c r="K15315" s="711"/>
      <c r="L15315" s="711"/>
      <c r="Q15315" s="11"/>
      <c r="R15315" s="11"/>
      <c r="S15315" s="11"/>
      <c r="T15315" s="11"/>
    </row>
    <row r="15316" spans="8:20" x14ac:dyDescent="0.35">
      <c r="H15316" s="711"/>
      <c r="I15316" s="711"/>
      <c r="J15316" s="711"/>
      <c r="K15316" s="711"/>
      <c r="L15316" s="711"/>
      <c r="Q15316" s="11"/>
      <c r="R15316" s="11"/>
      <c r="S15316" s="11"/>
      <c r="T15316" s="11"/>
    </row>
    <row r="15317" spans="8:20" x14ac:dyDescent="0.35">
      <c r="H15317" s="711"/>
      <c r="I15317" s="711"/>
      <c r="J15317" s="711"/>
      <c r="K15317" s="711"/>
      <c r="L15317" s="711"/>
      <c r="Q15317" s="11"/>
      <c r="R15317" s="11"/>
      <c r="S15317" s="11"/>
      <c r="T15317" s="11"/>
    </row>
    <row r="15318" spans="8:20" x14ac:dyDescent="0.35">
      <c r="H15318" s="711"/>
      <c r="I15318" s="711"/>
      <c r="J15318" s="711"/>
      <c r="K15318" s="711"/>
      <c r="L15318" s="711"/>
      <c r="Q15318" s="11"/>
      <c r="R15318" s="11"/>
      <c r="S15318" s="11"/>
      <c r="T15318" s="11"/>
    </row>
    <row r="15319" spans="8:20" x14ac:dyDescent="0.35">
      <c r="H15319" s="711"/>
      <c r="I15319" s="711"/>
      <c r="J15319" s="711"/>
      <c r="K15319" s="711"/>
      <c r="L15319" s="711"/>
      <c r="Q15319" s="11"/>
      <c r="R15319" s="11"/>
      <c r="S15319" s="11"/>
      <c r="T15319" s="11"/>
    </row>
    <row r="15320" spans="8:20" x14ac:dyDescent="0.35">
      <c r="H15320" s="711"/>
      <c r="I15320" s="711"/>
      <c r="J15320" s="711"/>
      <c r="K15320" s="711"/>
      <c r="L15320" s="711"/>
      <c r="Q15320" s="11"/>
      <c r="R15320" s="11"/>
      <c r="S15320" s="11"/>
      <c r="T15320" s="11"/>
    </row>
    <row r="15321" spans="8:20" x14ac:dyDescent="0.35">
      <c r="H15321" s="711"/>
      <c r="I15321" s="711"/>
      <c r="J15321" s="711"/>
      <c r="K15321" s="711"/>
      <c r="L15321" s="711"/>
      <c r="Q15321" s="11"/>
      <c r="R15321" s="11"/>
      <c r="S15321" s="11"/>
      <c r="T15321" s="11"/>
    </row>
    <row r="15322" spans="8:20" x14ac:dyDescent="0.35">
      <c r="H15322" s="711"/>
      <c r="I15322" s="711"/>
      <c r="J15322" s="711"/>
      <c r="K15322" s="711"/>
      <c r="L15322" s="711"/>
      <c r="Q15322" s="11"/>
      <c r="R15322" s="11"/>
      <c r="S15322" s="11"/>
      <c r="T15322" s="11"/>
    </row>
    <row r="15323" spans="8:20" x14ac:dyDescent="0.35">
      <c r="H15323" s="711"/>
      <c r="I15323" s="711"/>
      <c r="J15323" s="711"/>
      <c r="K15323" s="711"/>
      <c r="L15323" s="711"/>
      <c r="Q15323" s="11"/>
      <c r="R15323" s="11"/>
      <c r="S15323" s="11"/>
      <c r="T15323" s="11"/>
    </row>
    <row r="15324" spans="8:20" x14ac:dyDescent="0.35">
      <c r="H15324" s="711"/>
      <c r="I15324" s="711"/>
      <c r="J15324" s="711"/>
      <c r="K15324" s="711"/>
      <c r="L15324" s="711"/>
      <c r="Q15324" s="11"/>
      <c r="R15324" s="11"/>
      <c r="S15324" s="11"/>
      <c r="T15324" s="11"/>
    </row>
    <row r="15325" spans="8:20" x14ac:dyDescent="0.35">
      <c r="H15325" s="711"/>
      <c r="I15325" s="711"/>
      <c r="J15325" s="711"/>
      <c r="K15325" s="711"/>
      <c r="L15325" s="711"/>
      <c r="Q15325" s="11"/>
      <c r="R15325" s="11"/>
      <c r="S15325" s="11"/>
      <c r="T15325" s="11"/>
    </row>
    <row r="15326" spans="8:20" x14ac:dyDescent="0.35">
      <c r="H15326" s="711"/>
      <c r="I15326" s="711"/>
      <c r="J15326" s="711"/>
      <c r="K15326" s="711"/>
      <c r="L15326" s="711"/>
      <c r="Q15326" s="11"/>
      <c r="R15326" s="11"/>
      <c r="S15326" s="11"/>
      <c r="T15326" s="11"/>
    </row>
    <row r="15327" spans="8:20" x14ac:dyDescent="0.35">
      <c r="H15327" s="711"/>
      <c r="I15327" s="711"/>
      <c r="J15327" s="711"/>
      <c r="K15327" s="711"/>
      <c r="L15327" s="711"/>
      <c r="Q15327" s="11"/>
      <c r="R15327" s="11"/>
      <c r="S15327" s="11"/>
      <c r="T15327" s="11"/>
    </row>
    <row r="15328" spans="8:20" x14ac:dyDescent="0.35">
      <c r="H15328" s="711"/>
      <c r="I15328" s="711"/>
      <c r="J15328" s="711"/>
      <c r="K15328" s="711"/>
      <c r="L15328" s="711"/>
      <c r="Q15328" s="11"/>
      <c r="R15328" s="11"/>
      <c r="S15328" s="11"/>
      <c r="T15328" s="11"/>
    </row>
    <row r="15329" spans="8:20" x14ac:dyDescent="0.35">
      <c r="H15329" s="711"/>
      <c r="I15329" s="711"/>
      <c r="J15329" s="711"/>
      <c r="K15329" s="711"/>
      <c r="L15329" s="711"/>
      <c r="Q15329" s="11"/>
      <c r="R15329" s="11"/>
      <c r="S15329" s="11"/>
      <c r="T15329" s="11"/>
    </row>
    <row r="15330" spans="8:20" x14ac:dyDescent="0.35">
      <c r="H15330" s="711"/>
      <c r="I15330" s="711"/>
      <c r="J15330" s="711"/>
      <c r="K15330" s="711"/>
      <c r="L15330" s="711"/>
      <c r="Q15330" s="11"/>
      <c r="R15330" s="11"/>
      <c r="S15330" s="11"/>
      <c r="T15330" s="11"/>
    </row>
    <row r="15331" spans="8:20" x14ac:dyDescent="0.35">
      <c r="H15331" s="711"/>
      <c r="I15331" s="711"/>
      <c r="J15331" s="711"/>
      <c r="K15331" s="711"/>
      <c r="L15331" s="711"/>
      <c r="Q15331" s="11"/>
      <c r="R15331" s="11"/>
      <c r="S15331" s="11"/>
      <c r="T15331" s="11"/>
    </row>
    <row r="15332" spans="8:20" x14ac:dyDescent="0.35">
      <c r="H15332" s="711"/>
      <c r="I15332" s="711"/>
      <c r="J15332" s="711"/>
      <c r="K15332" s="711"/>
      <c r="L15332" s="711"/>
      <c r="Q15332" s="11"/>
      <c r="R15332" s="11"/>
      <c r="S15332" s="11"/>
      <c r="T15332" s="11"/>
    </row>
    <row r="15333" spans="8:20" x14ac:dyDescent="0.35">
      <c r="H15333" s="711"/>
      <c r="I15333" s="711"/>
      <c r="J15333" s="711"/>
      <c r="K15333" s="711"/>
      <c r="L15333" s="711"/>
      <c r="Q15333" s="11"/>
      <c r="R15333" s="11"/>
      <c r="S15333" s="11"/>
      <c r="T15333" s="11"/>
    </row>
    <row r="15334" spans="8:20" x14ac:dyDescent="0.35">
      <c r="H15334" s="711"/>
      <c r="I15334" s="711"/>
      <c r="J15334" s="711"/>
      <c r="K15334" s="711"/>
      <c r="L15334" s="711"/>
      <c r="Q15334" s="11"/>
      <c r="R15334" s="11"/>
      <c r="S15334" s="11"/>
      <c r="T15334" s="11"/>
    </row>
    <row r="15335" spans="8:20" x14ac:dyDescent="0.35">
      <c r="H15335" s="711"/>
      <c r="I15335" s="711"/>
      <c r="J15335" s="711"/>
      <c r="K15335" s="711"/>
      <c r="L15335" s="711"/>
      <c r="Q15335" s="11"/>
      <c r="R15335" s="11"/>
      <c r="S15335" s="11"/>
      <c r="T15335" s="11"/>
    </row>
    <row r="15336" spans="8:20" x14ac:dyDescent="0.35">
      <c r="H15336" s="711"/>
      <c r="I15336" s="711"/>
      <c r="J15336" s="711"/>
      <c r="K15336" s="711"/>
      <c r="L15336" s="711"/>
      <c r="Q15336" s="11"/>
      <c r="R15336" s="11"/>
      <c r="S15336" s="11"/>
      <c r="T15336" s="11"/>
    </row>
    <row r="15337" spans="8:20" x14ac:dyDescent="0.35">
      <c r="H15337" s="711"/>
      <c r="I15337" s="711"/>
      <c r="J15337" s="711"/>
      <c r="K15337" s="711"/>
      <c r="L15337" s="711"/>
      <c r="Q15337" s="11"/>
      <c r="R15337" s="11"/>
      <c r="S15337" s="11"/>
      <c r="T15337" s="11"/>
    </row>
    <row r="15338" spans="8:20" x14ac:dyDescent="0.35">
      <c r="H15338" s="711"/>
      <c r="I15338" s="711"/>
      <c r="J15338" s="711"/>
      <c r="K15338" s="711"/>
      <c r="L15338" s="711"/>
      <c r="Q15338" s="11"/>
      <c r="R15338" s="11"/>
      <c r="S15338" s="11"/>
      <c r="T15338" s="11"/>
    </row>
    <row r="15339" spans="8:20" x14ac:dyDescent="0.35">
      <c r="H15339" s="711"/>
      <c r="I15339" s="711"/>
      <c r="J15339" s="711"/>
      <c r="K15339" s="711"/>
      <c r="L15339" s="711"/>
      <c r="Q15339" s="11"/>
      <c r="R15339" s="11"/>
      <c r="S15339" s="11"/>
      <c r="T15339" s="11"/>
    </row>
    <row r="15340" spans="8:20" x14ac:dyDescent="0.35">
      <c r="H15340" s="711"/>
      <c r="I15340" s="711"/>
      <c r="J15340" s="711"/>
      <c r="K15340" s="711"/>
      <c r="L15340" s="711"/>
      <c r="Q15340" s="11"/>
      <c r="R15340" s="11"/>
      <c r="S15340" s="11"/>
      <c r="T15340" s="11"/>
    </row>
    <row r="15341" spans="8:20" x14ac:dyDescent="0.35">
      <c r="H15341" s="711"/>
      <c r="I15341" s="711"/>
      <c r="J15341" s="711"/>
      <c r="K15341" s="711"/>
      <c r="L15341" s="711"/>
      <c r="Q15341" s="11"/>
      <c r="R15341" s="11"/>
      <c r="S15341" s="11"/>
      <c r="T15341" s="11"/>
    </row>
    <row r="15342" spans="8:20" x14ac:dyDescent="0.35">
      <c r="H15342" s="711"/>
      <c r="I15342" s="711"/>
      <c r="J15342" s="711"/>
      <c r="K15342" s="711"/>
      <c r="L15342" s="711"/>
      <c r="Q15342" s="11"/>
      <c r="R15342" s="11"/>
      <c r="S15342" s="11"/>
      <c r="T15342" s="11"/>
    </row>
    <row r="15343" spans="8:20" x14ac:dyDescent="0.35">
      <c r="H15343" s="711"/>
      <c r="I15343" s="711"/>
      <c r="J15343" s="711"/>
      <c r="K15343" s="711"/>
      <c r="L15343" s="711"/>
      <c r="Q15343" s="11"/>
      <c r="R15343" s="11"/>
      <c r="S15343" s="11"/>
      <c r="T15343" s="11"/>
    </row>
    <row r="15344" spans="8:20" x14ac:dyDescent="0.35">
      <c r="H15344" s="711"/>
      <c r="I15344" s="711"/>
      <c r="J15344" s="711"/>
      <c r="K15344" s="711"/>
      <c r="L15344" s="711"/>
      <c r="Q15344" s="11"/>
      <c r="R15344" s="11"/>
      <c r="S15344" s="11"/>
      <c r="T15344" s="11"/>
    </row>
    <row r="15345" spans="8:20" x14ac:dyDescent="0.35">
      <c r="H15345" s="711"/>
      <c r="I15345" s="711"/>
      <c r="J15345" s="711"/>
      <c r="K15345" s="711"/>
      <c r="L15345" s="711"/>
      <c r="Q15345" s="11"/>
      <c r="R15345" s="11"/>
      <c r="S15345" s="11"/>
      <c r="T15345" s="11"/>
    </row>
    <row r="15346" spans="8:20" x14ac:dyDescent="0.35">
      <c r="H15346" s="711"/>
      <c r="I15346" s="711"/>
      <c r="J15346" s="711"/>
      <c r="K15346" s="711"/>
      <c r="L15346" s="711"/>
      <c r="Q15346" s="11"/>
      <c r="R15346" s="11"/>
      <c r="S15346" s="11"/>
      <c r="T15346" s="11"/>
    </row>
    <row r="15347" spans="8:20" x14ac:dyDescent="0.35">
      <c r="H15347" s="711"/>
      <c r="I15347" s="711"/>
      <c r="J15347" s="711"/>
      <c r="K15347" s="711"/>
      <c r="L15347" s="711"/>
      <c r="Q15347" s="11"/>
      <c r="R15347" s="11"/>
      <c r="S15347" s="11"/>
      <c r="T15347" s="11"/>
    </row>
    <row r="15348" spans="8:20" x14ac:dyDescent="0.35">
      <c r="H15348" s="711"/>
      <c r="I15348" s="711"/>
      <c r="J15348" s="711"/>
      <c r="K15348" s="711"/>
      <c r="L15348" s="711"/>
      <c r="Q15348" s="11"/>
      <c r="R15348" s="11"/>
      <c r="S15348" s="11"/>
      <c r="T15348" s="11"/>
    </row>
    <row r="15349" spans="8:20" x14ac:dyDescent="0.35">
      <c r="H15349" s="711"/>
      <c r="I15349" s="711"/>
      <c r="J15349" s="711"/>
      <c r="K15349" s="711"/>
      <c r="L15349" s="711"/>
      <c r="Q15349" s="11"/>
      <c r="R15349" s="11"/>
      <c r="S15349" s="11"/>
      <c r="T15349" s="11"/>
    </row>
    <row r="15350" spans="8:20" x14ac:dyDescent="0.35">
      <c r="H15350" s="711"/>
      <c r="I15350" s="711"/>
      <c r="J15350" s="711"/>
      <c r="K15350" s="711"/>
      <c r="L15350" s="711"/>
      <c r="Q15350" s="11"/>
      <c r="R15350" s="11"/>
      <c r="S15350" s="11"/>
      <c r="T15350" s="11"/>
    </row>
    <row r="15351" spans="8:20" x14ac:dyDescent="0.35">
      <c r="H15351" s="711"/>
      <c r="I15351" s="711"/>
      <c r="J15351" s="711"/>
      <c r="K15351" s="711"/>
      <c r="L15351" s="711"/>
      <c r="Q15351" s="11"/>
      <c r="R15351" s="11"/>
      <c r="S15351" s="11"/>
      <c r="T15351" s="11"/>
    </row>
    <row r="15352" spans="8:20" x14ac:dyDescent="0.35">
      <c r="H15352" s="711"/>
      <c r="I15352" s="711"/>
      <c r="J15352" s="711"/>
      <c r="K15352" s="711"/>
      <c r="L15352" s="711"/>
      <c r="Q15352" s="11"/>
      <c r="R15352" s="11"/>
      <c r="S15352" s="11"/>
      <c r="T15352" s="11"/>
    </row>
    <row r="15353" spans="8:20" x14ac:dyDescent="0.35">
      <c r="H15353" s="711"/>
      <c r="I15353" s="711"/>
      <c r="J15353" s="711"/>
      <c r="K15353" s="711"/>
      <c r="L15353" s="711"/>
      <c r="Q15353" s="11"/>
      <c r="R15353" s="11"/>
      <c r="S15353" s="11"/>
      <c r="T15353" s="11"/>
    </row>
    <row r="15354" spans="8:20" x14ac:dyDescent="0.35">
      <c r="H15354" s="711"/>
      <c r="I15354" s="711"/>
      <c r="J15354" s="711"/>
      <c r="K15354" s="711"/>
      <c r="L15354" s="711"/>
      <c r="Q15354" s="11"/>
      <c r="R15354" s="11"/>
      <c r="S15354" s="11"/>
      <c r="T15354" s="11"/>
    </row>
    <row r="15355" spans="8:20" x14ac:dyDescent="0.35">
      <c r="H15355" s="711"/>
      <c r="I15355" s="711"/>
      <c r="J15355" s="711"/>
      <c r="K15355" s="711"/>
      <c r="L15355" s="711"/>
      <c r="Q15355" s="11"/>
      <c r="R15355" s="11"/>
      <c r="S15355" s="11"/>
      <c r="T15355" s="11"/>
    </row>
    <row r="15356" spans="8:20" x14ac:dyDescent="0.35">
      <c r="H15356" s="711"/>
      <c r="I15356" s="711"/>
      <c r="J15356" s="711"/>
      <c r="K15356" s="711"/>
      <c r="L15356" s="711"/>
      <c r="Q15356" s="11"/>
      <c r="R15356" s="11"/>
      <c r="S15356" s="11"/>
      <c r="T15356" s="11"/>
    </row>
    <row r="15357" spans="8:20" x14ac:dyDescent="0.35">
      <c r="H15357" s="711"/>
      <c r="I15357" s="711"/>
      <c r="J15357" s="711"/>
      <c r="K15357" s="711"/>
      <c r="L15357" s="711"/>
      <c r="Q15357" s="11"/>
      <c r="R15357" s="11"/>
      <c r="S15357" s="11"/>
      <c r="T15357" s="11"/>
    </row>
    <row r="15358" spans="8:20" x14ac:dyDescent="0.35">
      <c r="H15358" s="711"/>
      <c r="I15358" s="711"/>
      <c r="J15358" s="711"/>
      <c r="K15358" s="711"/>
      <c r="L15358" s="711"/>
      <c r="Q15358" s="11"/>
      <c r="R15358" s="11"/>
      <c r="S15358" s="11"/>
      <c r="T15358" s="11"/>
    </row>
    <row r="15359" spans="8:20" x14ac:dyDescent="0.35">
      <c r="H15359" s="711"/>
      <c r="I15359" s="711"/>
      <c r="J15359" s="711"/>
      <c r="K15359" s="711"/>
      <c r="L15359" s="711"/>
      <c r="Q15359" s="11"/>
      <c r="R15359" s="11"/>
      <c r="S15359" s="11"/>
      <c r="T15359" s="11"/>
    </row>
    <row r="15360" spans="8:20" x14ac:dyDescent="0.35">
      <c r="H15360" s="711"/>
      <c r="I15360" s="711"/>
      <c r="J15360" s="711"/>
      <c r="K15360" s="711"/>
      <c r="L15360" s="711"/>
      <c r="Q15360" s="11"/>
      <c r="R15360" s="11"/>
      <c r="S15360" s="11"/>
      <c r="T15360" s="11"/>
    </row>
    <row r="15361" spans="8:20" x14ac:dyDescent="0.35">
      <c r="H15361" s="711"/>
      <c r="I15361" s="711"/>
      <c r="J15361" s="711"/>
      <c r="K15361" s="711"/>
      <c r="L15361" s="711"/>
      <c r="Q15361" s="11"/>
      <c r="R15361" s="11"/>
      <c r="S15361" s="11"/>
      <c r="T15361" s="11"/>
    </row>
    <row r="15362" spans="8:20" x14ac:dyDescent="0.35">
      <c r="H15362" s="711"/>
      <c r="I15362" s="711"/>
      <c r="J15362" s="711"/>
      <c r="K15362" s="711"/>
      <c r="L15362" s="711"/>
      <c r="Q15362" s="11"/>
      <c r="R15362" s="11"/>
      <c r="S15362" s="11"/>
      <c r="T15362" s="11"/>
    </row>
    <row r="15363" spans="8:20" x14ac:dyDescent="0.35">
      <c r="H15363" s="711"/>
      <c r="I15363" s="711"/>
      <c r="J15363" s="711"/>
      <c r="K15363" s="711"/>
      <c r="L15363" s="711"/>
      <c r="Q15363" s="11"/>
      <c r="R15363" s="11"/>
      <c r="S15363" s="11"/>
      <c r="T15363" s="11"/>
    </row>
    <row r="15364" spans="8:20" x14ac:dyDescent="0.35">
      <c r="H15364" s="711"/>
      <c r="I15364" s="711"/>
      <c r="J15364" s="711"/>
      <c r="K15364" s="711"/>
      <c r="L15364" s="711"/>
      <c r="Q15364" s="11"/>
      <c r="R15364" s="11"/>
      <c r="S15364" s="11"/>
      <c r="T15364" s="11"/>
    </row>
    <row r="15365" spans="8:20" x14ac:dyDescent="0.35">
      <c r="H15365" s="711"/>
      <c r="I15365" s="711"/>
      <c r="J15365" s="711"/>
      <c r="K15365" s="711"/>
      <c r="L15365" s="711"/>
      <c r="Q15365" s="11"/>
      <c r="R15365" s="11"/>
      <c r="S15365" s="11"/>
      <c r="T15365" s="11"/>
    </row>
    <row r="15366" spans="8:20" x14ac:dyDescent="0.35">
      <c r="H15366" s="711"/>
      <c r="I15366" s="711"/>
      <c r="J15366" s="711"/>
      <c r="K15366" s="711"/>
      <c r="L15366" s="711"/>
      <c r="Q15366" s="11"/>
      <c r="R15366" s="11"/>
      <c r="S15366" s="11"/>
      <c r="T15366" s="11"/>
    </row>
    <row r="15367" spans="8:20" x14ac:dyDescent="0.35">
      <c r="H15367" s="711"/>
      <c r="I15367" s="711"/>
      <c r="J15367" s="711"/>
      <c r="K15367" s="711"/>
      <c r="L15367" s="711"/>
      <c r="Q15367" s="11"/>
      <c r="R15367" s="11"/>
      <c r="S15367" s="11"/>
      <c r="T15367" s="11"/>
    </row>
    <row r="15368" spans="8:20" x14ac:dyDescent="0.35">
      <c r="H15368" s="711"/>
      <c r="I15368" s="711"/>
      <c r="J15368" s="711"/>
      <c r="K15368" s="711"/>
      <c r="L15368" s="711"/>
      <c r="Q15368" s="11"/>
      <c r="R15368" s="11"/>
      <c r="S15368" s="11"/>
      <c r="T15368" s="11"/>
    </row>
    <row r="15369" spans="8:20" x14ac:dyDescent="0.35">
      <c r="H15369" s="711"/>
      <c r="I15369" s="711"/>
      <c r="J15369" s="711"/>
      <c r="K15369" s="711"/>
      <c r="L15369" s="711"/>
      <c r="Q15369" s="11"/>
      <c r="R15369" s="11"/>
      <c r="S15369" s="11"/>
      <c r="T15369" s="11"/>
    </row>
    <row r="15370" spans="8:20" x14ac:dyDescent="0.35">
      <c r="H15370" s="711"/>
      <c r="I15370" s="711"/>
      <c r="J15370" s="711"/>
      <c r="K15370" s="711"/>
      <c r="L15370" s="711"/>
      <c r="Q15370" s="11"/>
      <c r="R15370" s="11"/>
      <c r="S15370" s="11"/>
      <c r="T15370" s="11"/>
    </row>
    <row r="15371" spans="8:20" x14ac:dyDescent="0.35">
      <c r="H15371" s="711"/>
      <c r="I15371" s="711"/>
      <c r="J15371" s="711"/>
      <c r="K15371" s="711"/>
      <c r="L15371" s="711"/>
      <c r="Q15371" s="11"/>
      <c r="R15371" s="11"/>
      <c r="S15371" s="11"/>
      <c r="T15371" s="11"/>
    </row>
    <row r="15372" spans="8:20" x14ac:dyDescent="0.35">
      <c r="H15372" s="711"/>
      <c r="I15372" s="711"/>
      <c r="J15372" s="711"/>
      <c r="K15372" s="711"/>
      <c r="L15372" s="711"/>
      <c r="Q15372" s="11"/>
      <c r="R15372" s="11"/>
      <c r="S15372" s="11"/>
      <c r="T15372" s="11"/>
    </row>
    <row r="15373" spans="8:20" x14ac:dyDescent="0.35">
      <c r="H15373" s="711"/>
      <c r="I15373" s="711"/>
      <c r="J15373" s="711"/>
      <c r="K15373" s="711"/>
      <c r="L15373" s="711"/>
      <c r="Q15373" s="11"/>
      <c r="R15373" s="11"/>
      <c r="S15373" s="11"/>
      <c r="T15373" s="11"/>
    </row>
    <row r="15374" spans="8:20" x14ac:dyDescent="0.35">
      <c r="H15374" s="711"/>
      <c r="I15374" s="711"/>
      <c r="J15374" s="711"/>
      <c r="K15374" s="711"/>
      <c r="L15374" s="711"/>
      <c r="Q15374" s="11"/>
      <c r="R15374" s="11"/>
      <c r="S15374" s="11"/>
      <c r="T15374" s="11"/>
    </row>
    <row r="15375" spans="8:20" x14ac:dyDescent="0.35">
      <c r="H15375" s="711"/>
      <c r="I15375" s="711"/>
      <c r="J15375" s="711"/>
      <c r="K15375" s="711"/>
      <c r="L15375" s="711"/>
      <c r="Q15375" s="11"/>
      <c r="R15375" s="11"/>
      <c r="S15375" s="11"/>
      <c r="T15375" s="11"/>
    </row>
    <row r="15376" spans="8:20" x14ac:dyDescent="0.35">
      <c r="H15376" s="711"/>
      <c r="I15376" s="711"/>
      <c r="J15376" s="711"/>
      <c r="K15376" s="711"/>
      <c r="L15376" s="711"/>
      <c r="Q15376" s="11"/>
      <c r="R15376" s="11"/>
      <c r="S15376" s="11"/>
      <c r="T15376" s="11"/>
    </row>
    <row r="15377" spans="8:20" x14ac:dyDescent="0.35">
      <c r="H15377" s="711"/>
      <c r="I15377" s="711"/>
      <c r="J15377" s="711"/>
      <c r="K15377" s="711"/>
      <c r="L15377" s="711"/>
      <c r="Q15377" s="11"/>
      <c r="R15377" s="11"/>
      <c r="S15377" s="11"/>
      <c r="T15377" s="11"/>
    </row>
    <row r="15378" spans="8:20" x14ac:dyDescent="0.35">
      <c r="H15378" s="711"/>
      <c r="I15378" s="711"/>
      <c r="J15378" s="711"/>
      <c r="K15378" s="711"/>
      <c r="L15378" s="711"/>
      <c r="Q15378" s="11"/>
      <c r="R15378" s="11"/>
      <c r="S15378" s="11"/>
      <c r="T15378" s="11"/>
    </row>
    <row r="15379" spans="8:20" x14ac:dyDescent="0.35">
      <c r="H15379" s="711"/>
      <c r="I15379" s="711"/>
      <c r="J15379" s="711"/>
      <c r="K15379" s="711"/>
      <c r="L15379" s="711"/>
      <c r="Q15379" s="11"/>
      <c r="R15379" s="11"/>
      <c r="S15379" s="11"/>
      <c r="T15379" s="11"/>
    </row>
    <row r="15380" spans="8:20" x14ac:dyDescent="0.35">
      <c r="H15380" s="711"/>
      <c r="I15380" s="711"/>
      <c r="J15380" s="711"/>
      <c r="K15380" s="711"/>
      <c r="L15380" s="711"/>
      <c r="Q15380" s="11"/>
      <c r="R15380" s="11"/>
      <c r="S15380" s="11"/>
      <c r="T15380" s="11"/>
    </row>
    <row r="15381" spans="8:20" x14ac:dyDescent="0.35">
      <c r="H15381" s="711"/>
      <c r="I15381" s="711"/>
      <c r="J15381" s="711"/>
      <c r="K15381" s="711"/>
      <c r="L15381" s="711"/>
      <c r="Q15381" s="11"/>
      <c r="R15381" s="11"/>
      <c r="S15381" s="11"/>
      <c r="T15381" s="11"/>
    </row>
    <row r="15382" spans="8:20" x14ac:dyDescent="0.35">
      <c r="H15382" s="711"/>
      <c r="I15382" s="711"/>
      <c r="J15382" s="711"/>
      <c r="K15382" s="711"/>
      <c r="L15382" s="711"/>
      <c r="Q15382" s="11"/>
      <c r="R15382" s="11"/>
      <c r="S15382" s="11"/>
      <c r="T15382" s="11"/>
    </row>
    <row r="15383" spans="8:20" x14ac:dyDescent="0.35">
      <c r="H15383" s="711"/>
      <c r="I15383" s="711"/>
      <c r="J15383" s="711"/>
      <c r="K15383" s="711"/>
      <c r="L15383" s="711"/>
      <c r="Q15383" s="11"/>
      <c r="R15383" s="11"/>
      <c r="S15383" s="11"/>
      <c r="T15383" s="11"/>
    </row>
    <row r="15384" spans="8:20" x14ac:dyDescent="0.35">
      <c r="H15384" s="711"/>
      <c r="I15384" s="711"/>
      <c r="J15384" s="711"/>
      <c r="K15384" s="711"/>
      <c r="L15384" s="711"/>
      <c r="Q15384" s="11"/>
      <c r="R15384" s="11"/>
      <c r="S15384" s="11"/>
      <c r="T15384" s="11"/>
    </row>
    <row r="15385" spans="8:20" x14ac:dyDescent="0.35">
      <c r="H15385" s="711"/>
      <c r="I15385" s="711"/>
      <c r="J15385" s="711"/>
      <c r="K15385" s="711"/>
      <c r="L15385" s="711"/>
      <c r="Q15385" s="11"/>
      <c r="R15385" s="11"/>
      <c r="S15385" s="11"/>
      <c r="T15385" s="11"/>
    </row>
    <row r="15386" spans="8:20" x14ac:dyDescent="0.35">
      <c r="H15386" s="711"/>
      <c r="I15386" s="711"/>
      <c r="J15386" s="711"/>
      <c r="K15386" s="711"/>
      <c r="L15386" s="711"/>
      <c r="Q15386" s="11"/>
      <c r="R15386" s="11"/>
      <c r="S15386" s="11"/>
      <c r="T15386" s="11"/>
    </row>
    <row r="15387" spans="8:20" x14ac:dyDescent="0.35">
      <c r="H15387" s="711"/>
      <c r="I15387" s="711"/>
      <c r="J15387" s="711"/>
      <c r="K15387" s="711"/>
      <c r="L15387" s="711"/>
      <c r="Q15387" s="11"/>
      <c r="R15387" s="11"/>
      <c r="S15387" s="11"/>
      <c r="T15387" s="11"/>
    </row>
    <row r="15388" spans="8:20" x14ac:dyDescent="0.35">
      <c r="H15388" s="711"/>
      <c r="I15388" s="711"/>
      <c r="J15388" s="711"/>
      <c r="K15388" s="711"/>
      <c r="L15388" s="711"/>
      <c r="Q15388" s="11"/>
      <c r="R15388" s="11"/>
      <c r="S15388" s="11"/>
      <c r="T15388" s="11"/>
    </row>
    <row r="15389" spans="8:20" x14ac:dyDescent="0.35">
      <c r="H15389" s="711"/>
      <c r="I15389" s="711"/>
      <c r="J15389" s="711"/>
      <c r="K15389" s="711"/>
      <c r="L15389" s="711"/>
      <c r="Q15389" s="11"/>
      <c r="R15389" s="11"/>
      <c r="S15389" s="11"/>
      <c r="T15389" s="11"/>
    </row>
    <row r="15390" spans="8:20" x14ac:dyDescent="0.35">
      <c r="H15390" s="711"/>
      <c r="I15390" s="711"/>
      <c r="J15390" s="711"/>
      <c r="K15390" s="711"/>
      <c r="L15390" s="711"/>
      <c r="Q15390" s="11"/>
      <c r="R15390" s="11"/>
      <c r="S15390" s="11"/>
      <c r="T15390" s="11"/>
    </row>
    <row r="15391" spans="8:20" x14ac:dyDescent="0.35">
      <c r="H15391" s="711"/>
      <c r="I15391" s="711"/>
      <c r="J15391" s="711"/>
      <c r="K15391" s="711"/>
      <c r="L15391" s="711"/>
      <c r="Q15391" s="11"/>
      <c r="R15391" s="11"/>
      <c r="S15391" s="11"/>
      <c r="T15391" s="11"/>
    </row>
    <row r="15392" spans="8:20" x14ac:dyDescent="0.35">
      <c r="H15392" s="711"/>
      <c r="I15392" s="711"/>
      <c r="J15392" s="711"/>
      <c r="K15392" s="711"/>
      <c r="L15392" s="711"/>
      <c r="Q15392" s="11"/>
      <c r="R15392" s="11"/>
      <c r="S15392" s="11"/>
      <c r="T15392" s="11"/>
    </row>
    <row r="15393" spans="8:20" x14ac:dyDescent="0.35">
      <c r="H15393" s="711"/>
      <c r="I15393" s="711"/>
      <c r="J15393" s="711"/>
      <c r="K15393" s="711"/>
      <c r="L15393" s="711"/>
      <c r="Q15393" s="11"/>
      <c r="R15393" s="11"/>
      <c r="S15393" s="11"/>
      <c r="T15393" s="11"/>
    </row>
    <row r="15394" spans="8:20" x14ac:dyDescent="0.35">
      <c r="H15394" s="711"/>
      <c r="I15394" s="711"/>
      <c r="J15394" s="711"/>
      <c r="K15394" s="711"/>
      <c r="L15394" s="711"/>
      <c r="Q15394" s="11"/>
      <c r="R15394" s="11"/>
      <c r="S15394" s="11"/>
      <c r="T15394" s="11"/>
    </row>
    <row r="15395" spans="8:20" x14ac:dyDescent="0.35">
      <c r="H15395" s="711"/>
      <c r="I15395" s="711"/>
      <c r="J15395" s="711"/>
      <c r="K15395" s="711"/>
      <c r="L15395" s="711"/>
      <c r="Q15395" s="11"/>
      <c r="R15395" s="11"/>
      <c r="S15395" s="11"/>
      <c r="T15395" s="11"/>
    </row>
    <row r="15396" spans="8:20" x14ac:dyDescent="0.35">
      <c r="H15396" s="711"/>
      <c r="I15396" s="711"/>
      <c r="J15396" s="711"/>
      <c r="K15396" s="711"/>
      <c r="L15396" s="711"/>
      <c r="Q15396" s="11"/>
      <c r="R15396" s="11"/>
      <c r="S15396" s="11"/>
      <c r="T15396" s="11"/>
    </row>
    <row r="15397" spans="8:20" x14ac:dyDescent="0.35">
      <c r="H15397" s="711"/>
      <c r="I15397" s="711"/>
      <c r="J15397" s="711"/>
      <c r="K15397" s="711"/>
      <c r="L15397" s="711"/>
      <c r="Q15397" s="11"/>
      <c r="R15397" s="11"/>
      <c r="S15397" s="11"/>
      <c r="T15397" s="11"/>
    </row>
    <row r="15398" spans="8:20" x14ac:dyDescent="0.35">
      <c r="H15398" s="711"/>
      <c r="I15398" s="711"/>
      <c r="J15398" s="711"/>
      <c r="K15398" s="711"/>
      <c r="L15398" s="711"/>
      <c r="Q15398" s="11"/>
      <c r="R15398" s="11"/>
      <c r="S15398" s="11"/>
      <c r="T15398" s="11"/>
    </row>
    <row r="15399" spans="8:20" x14ac:dyDescent="0.35">
      <c r="H15399" s="711"/>
      <c r="I15399" s="711"/>
      <c r="J15399" s="711"/>
      <c r="K15399" s="711"/>
      <c r="L15399" s="711"/>
      <c r="Q15399" s="11"/>
      <c r="R15399" s="11"/>
      <c r="S15399" s="11"/>
      <c r="T15399" s="11"/>
    </row>
    <row r="15400" spans="8:20" x14ac:dyDescent="0.35">
      <c r="H15400" s="711"/>
      <c r="I15400" s="711"/>
      <c r="J15400" s="711"/>
      <c r="K15400" s="711"/>
      <c r="L15400" s="711"/>
      <c r="Q15400" s="11"/>
      <c r="R15400" s="11"/>
      <c r="S15400" s="11"/>
      <c r="T15400" s="11"/>
    </row>
    <row r="15401" spans="8:20" x14ac:dyDescent="0.35">
      <c r="H15401" s="711"/>
      <c r="I15401" s="711"/>
      <c r="J15401" s="711"/>
      <c r="K15401" s="711"/>
      <c r="L15401" s="711"/>
      <c r="Q15401" s="11"/>
      <c r="R15401" s="11"/>
      <c r="S15401" s="11"/>
      <c r="T15401" s="11"/>
    </row>
    <row r="15402" spans="8:20" x14ac:dyDescent="0.35">
      <c r="H15402" s="711"/>
      <c r="I15402" s="711"/>
      <c r="J15402" s="711"/>
      <c r="K15402" s="711"/>
      <c r="L15402" s="711"/>
      <c r="Q15402" s="11"/>
      <c r="R15402" s="11"/>
      <c r="S15402" s="11"/>
      <c r="T15402" s="11"/>
    </row>
    <row r="15403" spans="8:20" x14ac:dyDescent="0.35">
      <c r="H15403" s="711"/>
      <c r="I15403" s="711"/>
      <c r="J15403" s="711"/>
      <c r="K15403" s="711"/>
      <c r="L15403" s="711"/>
      <c r="Q15403" s="11"/>
      <c r="R15403" s="11"/>
      <c r="S15403" s="11"/>
      <c r="T15403" s="11"/>
    </row>
    <row r="15404" spans="8:20" x14ac:dyDescent="0.35">
      <c r="H15404" s="711"/>
      <c r="I15404" s="711"/>
      <c r="J15404" s="711"/>
      <c r="K15404" s="711"/>
      <c r="L15404" s="711"/>
      <c r="Q15404" s="11"/>
      <c r="R15404" s="11"/>
      <c r="S15404" s="11"/>
      <c r="T15404" s="11"/>
    </row>
    <row r="15405" spans="8:20" x14ac:dyDescent="0.35">
      <c r="H15405" s="711"/>
      <c r="I15405" s="711"/>
      <c r="J15405" s="711"/>
      <c r="K15405" s="711"/>
      <c r="L15405" s="711"/>
      <c r="Q15405" s="11"/>
      <c r="R15405" s="11"/>
      <c r="S15405" s="11"/>
      <c r="T15405" s="11"/>
    </row>
    <row r="15406" spans="8:20" x14ac:dyDescent="0.35">
      <c r="H15406" s="711"/>
      <c r="I15406" s="711"/>
      <c r="J15406" s="711"/>
      <c r="K15406" s="711"/>
      <c r="L15406" s="711"/>
      <c r="Q15406" s="11"/>
      <c r="R15406" s="11"/>
      <c r="S15406" s="11"/>
      <c r="T15406" s="11"/>
    </row>
    <row r="15407" spans="8:20" x14ac:dyDescent="0.35">
      <c r="H15407" s="711"/>
      <c r="I15407" s="711"/>
      <c r="J15407" s="711"/>
      <c r="K15407" s="711"/>
      <c r="L15407" s="711"/>
      <c r="Q15407" s="11"/>
      <c r="R15407" s="11"/>
      <c r="S15407" s="11"/>
      <c r="T15407" s="11"/>
    </row>
    <row r="15408" spans="8:20" x14ac:dyDescent="0.35">
      <c r="H15408" s="711"/>
      <c r="I15408" s="711"/>
      <c r="J15408" s="711"/>
      <c r="K15408" s="711"/>
      <c r="L15408" s="711"/>
      <c r="Q15408" s="11"/>
      <c r="R15408" s="11"/>
      <c r="S15408" s="11"/>
      <c r="T15408" s="11"/>
    </row>
    <row r="15409" spans="8:20" x14ac:dyDescent="0.35">
      <c r="H15409" s="711"/>
      <c r="I15409" s="711"/>
      <c r="J15409" s="711"/>
      <c r="K15409" s="711"/>
      <c r="L15409" s="711"/>
      <c r="Q15409" s="11"/>
      <c r="R15409" s="11"/>
      <c r="S15409" s="11"/>
      <c r="T15409" s="11"/>
    </row>
    <row r="15410" spans="8:20" x14ac:dyDescent="0.35">
      <c r="H15410" s="711"/>
      <c r="I15410" s="711"/>
      <c r="J15410" s="711"/>
      <c r="K15410" s="711"/>
      <c r="L15410" s="711"/>
      <c r="Q15410" s="11"/>
      <c r="R15410" s="11"/>
      <c r="S15410" s="11"/>
      <c r="T15410" s="11"/>
    </row>
    <row r="15411" spans="8:20" x14ac:dyDescent="0.35">
      <c r="H15411" s="711"/>
      <c r="I15411" s="711"/>
      <c r="J15411" s="711"/>
      <c r="K15411" s="711"/>
      <c r="L15411" s="711"/>
      <c r="Q15411" s="11"/>
      <c r="R15411" s="11"/>
      <c r="S15411" s="11"/>
      <c r="T15411" s="11"/>
    </row>
    <row r="15412" spans="8:20" x14ac:dyDescent="0.35">
      <c r="H15412" s="711"/>
      <c r="I15412" s="711"/>
      <c r="J15412" s="711"/>
      <c r="K15412" s="711"/>
      <c r="L15412" s="711"/>
      <c r="Q15412" s="11"/>
      <c r="R15412" s="11"/>
      <c r="S15412" s="11"/>
      <c r="T15412" s="11"/>
    </row>
    <row r="15413" spans="8:20" x14ac:dyDescent="0.35">
      <c r="H15413" s="711"/>
      <c r="I15413" s="711"/>
      <c r="J15413" s="711"/>
      <c r="K15413" s="711"/>
      <c r="L15413" s="711"/>
      <c r="Q15413" s="11"/>
      <c r="R15413" s="11"/>
      <c r="S15413" s="11"/>
      <c r="T15413" s="11"/>
    </row>
    <row r="15414" spans="8:20" x14ac:dyDescent="0.35">
      <c r="H15414" s="711"/>
      <c r="I15414" s="711"/>
      <c r="J15414" s="711"/>
      <c r="K15414" s="711"/>
      <c r="L15414" s="711"/>
      <c r="Q15414" s="11"/>
      <c r="R15414" s="11"/>
      <c r="S15414" s="11"/>
      <c r="T15414" s="11"/>
    </row>
    <row r="15415" spans="8:20" x14ac:dyDescent="0.35">
      <c r="H15415" s="711"/>
      <c r="I15415" s="711"/>
      <c r="J15415" s="711"/>
      <c r="K15415" s="711"/>
      <c r="L15415" s="711"/>
      <c r="Q15415" s="11"/>
      <c r="R15415" s="11"/>
      <c r="S15415" s="11"/>
      <c r="T15415" s="11"/>
    </row>
    <row r="15416" spans="8:20" x14ac:dyDescent="0.35">
      <c r="H15416" s="711"/>
      <c r="I15416" s="711"/>
      <c r="J15416" s="711"/>
      <c r="K15416" s="711"/>
      <c r="L15416" s="711"/>
      <c r="Q15416" s="11"/>
      <c r="R15416" s="11"/>
      <c r="S15416" s="11"/>
      <c r="T15416" s="11"/>
    </row>
    <row r="15417" spans="8:20" x14ac:dyDescent="0.35">
      <c r="H15417" s="711"/>
      <c r="I15417" s="711"/>
      <c r="J15417" s="711"/>
      <c r="K15417" s="711"/>
      <c r="L15417" s="711"/>
      <c r="Q15417" s="11"/>
      <c r="R15417" s="11"/>
      <c r="S15417" s="11"/>
      <c r="T15417" s="11"/>
    </row>
    <row r="15418" spans="8:20" x14ac:dyDescent="0.35">
      <c r="H15418" s="711"/>
      <c r="I15418" s="711"/>
      <c r="J15418" s="711"/>
      <c r="K15418" s="711"/>
      <c r="L15418" s="711"/>
      <c r="Q15418" s="11"/>
      <c r="R15418" s="11"/>
      <c r="S15418" s="11"/>
      <c r="T15418" s="11"/>
    </row>
    <row r="15419" spans="8:20" x14ac:dyDescent="0.35">
      <c r="H15419" s="711"/>
      <c r="I15419" s="711"/>
      <c r="J15419" s="711"/>
      <c r="K15419" s="711"/>
      <c r="L15419" s="711"/>
      <c r="Q15419" s="11"/>
      <c r="R15419" s="11"/>
      <c r="S15419" s="11"/>
      <c r="T15419" s="11"/>
    </row>
    <row r="15420" spans="8:20" x14ac:dyDescent="0.35">
      <c r="H15420" s="711"/>
      <c r="I15420" s="711"/>
      <c r="J15420" s="711"/>
      <c r="K15420" s="711"/>
      <c r="L15420" s="711"/>
      <c r="Q15420" s="11"/>
      <c r="R15420" s="11"/>
      <c r="S15420" s="11"/>
      <c r="T15420" s="11"/>
    </row>
    <row r="15421" spans="8:20" x14ac:dyDescent="0.35">
      <c r="H15421" s="711"/>
      <c r="I15421" s="711"/>
      <c r="J15421" s="711"/>
      <c r="K15421" s="711"/>
      <c r="L15421" s="711"/>
      <c r="Q15421" s="11"/>
      <c r="R15421" s="11"/>
      <c r="S15421" s="11"/>
      <c r="T15421" s="11"/>
    </row>
    <row r="15422" spans="8:20" x14ac:dyDescent="0.35">
      <c r="H15422" s="711"/>
      <c r="I15422" s="711"/>
      <c r="J15422" s="711"/>
      <c r="K15422" s="711"/>
      <c r="L15422" s="711"/>
      <c r="Q15422" s="11"/>
      <c r="R15422" s="11"/>
      <c r="S15422" s="11"/>
      <c r="T15422" s="11"/>
    </row>
    <row r="15423" spans="8:20" x14ac:dyDescent="0.35">
      <c r="H15423" s="711"/>
      <c r="I15423" s="711"/>
      <c r="J15423" s="711"/>
      <c r="K15423" s="711"/>
      <c r="L15423" s="711"/>
      <c r="Q15423" s="11"/>
      <c r="R15423" s="11"/>
      <c r="S15423" s="11"/>
      <c r="T15423" s="11"/>
    </row>
    <row r="15424" spans="8:20" x14ac:dyDescent="0.35">
      <c r="H15424" s="711"/>
      <c r="I15424" s="711"/>
      <c r="J15424" s="711"/>
      <c r="K15424" s="711"/>
      <c r="L15424" s="711"/>
      <c r="Q15424" s="11"/>
      <c r="R15424" s="11"/>
      <c r="S15424" s="11"/>
      <c r="T15424" s="11"/>
    </row>
    <row r="15425" spans="8:20" x14ac:dyDescent="0.35">
      <c r="H15425" s="711"/>
      <c r="I15425" s="711"/>
      <c r="J15425" s="711"/>
      <c r="K15425" s="711"/>
      <c r="L15425" s="711"/>
      <c r="Q15425" s="11"/>
      <c r="R15425" s="11"/>
      <c r="S15425" s="11"/>
      <c r="T15425" s="11"/>
    </row>
    <row r="15426" spans="8:20" x14ac:dyDescent="0.35">
      <c r="H15426" s="711"/>
      <c r="I15426" s="711"/>
      <c r="J15426" s="711"/>
      <c r="K15426" s="711"/>
      <c r="L15426" s="711"/>
      <c r="Q15426" s="11"/>
      <c r="R15426" s="11"/>
      <c r="S15426" s="11"/>
      <c r="T15426" s="11"/>
    </row>
    <row r="15427" spans="8:20" x14ac:dyDescent="0.35">
      <c r="H15427" s="711"/>
      <c r="I15427" s="711"/>
      <c r="J15427" s="711"/>
      <c r="K15427" s="711"/>
      <c r="L15427" s="711"/>
      <c r="Q15427" s="11"/>
      <c r="R15427" s="11"/>
      <c r="S15427" s="11"/>
      <c r="T15427" s="11"/>
    </row>
    <row r="15428" spans="8:20" x14ac:dyDescent="0.35">
      <c r="H15428" s="711"/>
      <c r="I15428" s="711"/>
      <c r="J15428" s="711"/>
      <c r="K15428" s="711"/>
      <c r="L15428" s="711"/>
      <c r="Q15428" s="11"/>
      <c r="R15428" s="11"/>
      <c r="S15428" s="11"/>
      <c r="T15428" s="11"/>
    </row>
    <row r="15429" spans="8:20" x14ac:dyDescent="0.35">
      <c r="H15429" s="711"/>
      <c r="I15429" s="711"/>
      <c r="J15429" s="711"/>
      <c r="K15429" s="711"/>
      <c r="L15429" s="711"/>
      <c r="Q15429" s="11"/>
      <c r="R15429" s="11"/>
      <c r="S15429" s="11"/>
      <c r="T15429" s="11"/>
    </row>
    <row r="15430" spans="8:20" x14ac:dyDescent="0.35">
      <c r="H15430" s="711"/>
      <c r="I15430" s="711"/>
      <c r="J15430" s="711"/>
      <c r="K15430" s="711"/>
      <c r="L15430" s="711"/>
      <c r="Q15430" s="11"/>
      <c r="R15430" s="11"/>
      <c r="S15430" s="11"/>
      <c r="T15430" s="11"/>
    </row>
    <row r="15431" spans="8:20" x14ac:dyDescent="0.35">
      <c r="H15431" s="711"/>
      <c r="I15431" s="711"/>
      <c r="J15431" s="711"/>
      <c r="K15431" s="711"/>
      <c r="L15431" s="711"/>
      <c r="Q15431" s="11"/>
      <c r="R15431" s="11"/>
      <c r="S15431" s="11"/>
      <c r="T15431" s="11"/>
    </row>
    <row r="15432" spans="8:20" x14ac:dyDescent="0.35">
      <c r="H15432" s="711"/>
      <c r="I15432" s="711"/>
      <c r="J15432" s="711"/>
      <c r="K15432" s="711"/>
      <c r="L15432" s="711"/>
      <c r="Q15432" s="11"/>
      <c r="R15432" s="11"/>
      <c r="S15432" s="11"/>
      <c r="T15432" s="11"/>
    </row>
    <row r="15433" spans="8:20" x14ac:dyDescent="0.35">
      <c r="H15433" s="711"/>
      <c r="I15433" s="711"/>
      <c r="J15433" s="711"/>
      <c r="K15433" s="711"/>
      <c r="L15433" s="711"/>
      <c r="Q15433" s="11"/>
      <c r="R15433" s="11"/>
      <c r="S15433" s="11"/>
      <c r="T15433" s="11"/>
    </row>
    <row r="15434" spans="8:20" x14ac:dyDescent="0.35">
      <c r="H15434" s="711"/>
      <c r="I15434" s="711"/>
      <c r="J15434" s="711"/>
      <c r="K15434" s="711"/>
      <c r="L15434" s="711"/>
      <c r="Q15434" s="11"/>
      <c r="R15434" s="11"/>
      <c r="S15434" s="11"/>
      <c r="T15434" s="11"/>
    </row>
    <row r="15435" spans="8:20" x14ac:dyDescent="0.35">
      <c r="H15435" s="711"/>
      <c r="I15435" s="711"/>
      <c r="J15435" s="711"/>
      <c r="K15435" s="711"/>
      <c r="L15435" s="711"/>
      <c r="Q15435" s="11"/>
      <c r="R15435" s="11"/>
      <c r="S15435" s="11"/>
      <c r="T15435" s="11"/>
    </row>
    <row r="15436" spans="8:20" x14ac:dyDescent="0.35">
      <c r="H15436" s="711"/>
      <c r="I15436" s="711"/>
      <c r="J15436" s="711"/>
      <c r="K15436" s="711"/>
      <c r="L15436" s="711"/>
      <c r="Q15436" s="11"/>
      <c r="R15436" s="11"/>
      <c r="S15436" s="11"/>
      <c r="T15436" s="11"/>
    </row>
    <row r="15437" spans="8:20" x14ac:dyDescent="0.35">
      <c r="H15437" s="711"/>
      <c r="I15437" s="711"/>
      <c r="J15437" s="711"/>
      <c r="K15437" s="711"/>
      <c r="L15437" s="711"/>
      <c r="Q15437" s="11"/>
      <c r="R15437" s="11"/>
      <c r="S15437" s="11"/>
      <c r="T15437" s="11"/>
    </row>
    <row r="15438" spans="8:20" x14ac:dyDescent="0.35">
      <c r="H15438" s="711"/>
      <c r="I15438" s="711"/>
      <c r="J15438" s="711"/>
      <c r="K15438" s="711"/>
      <c r="L15438" s="711"/>
      <c r="Q15438" s="11"/>
      <c r="R15438" s="11"/>
      <c r="S15438" s="11"/>
      <c r="T15438" s="11"/>
    </row>
    <row r="15439" spans="8:20" x14ac:dyDescent="0.35">
      <c r="H15439" s="711"/>
      <c r="I15439" s="711"/>
      <c r="J15439" s="711"/>
      <c r="K15439" s="711"/>
      <c r="L15439" s="711"/>
      <c r="Q15439" s="11"/>
      <c r="R15439" s="11"/>
      <c r="S15439" s="11"/>
      <c r="T15439" s="11"/>
    </row>
    <row r="15440" spans="8:20" x14ac:dyDescent="0.35">
      <c r="H15440" s="711"/>
      <c r="I15440" s="711"/>
      <c r="J15440" s="711"/>
      <c r="K15440" s="711"/>
      <c r="L15440" s="711"/>
      <c r="Q15440" s="11"/>
      <c r="R15440" s="11"/>
      <c r="S15440" s="11"/>
      <c r="T15440" s="11"/>
    </row>
    <row r="15441" spans="8:20" x14ac:dyDescent="0.35">
      <c r="H15441" s="711"/>
      <c r="I15441" s="711"/>
      <c r="J15441" s="711"/>
      <c r="K15441" s="711"/>
      <c r="L15441" s="711"/>
      <c r="Q15441" s="11"/>
      <c r="R15441" s="11"/>
      <c r="S15441" s="11"/>
      <c r="T15441" s="11"/>
    </row>
    <row r="15442" spans="8:20" x14ac:dyDescent="0.35">
      <c r="H15442" s="711"/>
      <c r="I15442" s="711"/>
      <c r="J15442" s="711"/>
      <c r="K15442" s="711"/>
      <c r="L15442" s="711"/>
      <c r="Q15442" s="11"/>
      <c r="R15442" s="11"/>
      <c r="S15442" s="11"/>
      <c r="T15442" s="11"/>
    </row>
    <row r="15443" spans="8:20" x14ac:dyDescent="0.35">
      <c r="H15443" s="711"/>
      <c r="I15443" s="711"/>
      <c r="J15443" s="711"/>
      <c r="K15443" s="711"/>
      <c r="L15443" s="711"/>
      <c r="Q15443" s="11"/>
      <c r="R15443" s="11"/>
      <c r="S15443" s="11"/>
      <c r="T15443" s="11"/>
    </row>
    <row r="15444" spans="8:20" x14ac:dyDescent="0.35">
      <c r="H15444" s="711"/>
      <c r="I15444" s="711"/>
      <c r="J15444" s="711"/>
      <c r="K15444" s="711"/>
      <c r="L15444" s="711"/>
      <c r="Q15444" s="11"/>
      <c r="R15444" s="11"/>
      <c r="S15444" s="11"/>
      <c r="T15444" s="11"/>
    </row>
    <row r="15445" spans="8:20" x14ac:dyDescent="0.35">
      <c r="H15445" s="711"/>
      <c r="I15445" s="711"/>
      <c r="J15445" s="711"/>
      <c r="K15445" s="711"/>
      <c r="L15445" s="711"/>
      <c r="Q15445" s="11"/>
      <c r="R15445" s="11"/>
      <c r="S15445" s="11"/>
      <c r="T15445" s="11"/>
    </row>
    <row r="15446" spans="8:20" x14ac:dyDescent="0.35">
      <c r="H15446" s="711"/>
      <c r="I15446" s="711"/>
      <c r="J15446" s="711"/>
      <c r="K15446" s="711"/>
      <c r="L15446" s="711"/>
      <c r="Q15446" s="11"/>
      <c r="R15446" s="11"/>
      <c r="S15446" s="11"/>
      <c r="T15446" s="11"/>
    </row>
    <row r="15447" spans="8:20" x14ac:dyDescent="0.35">
      <c r="H15447" s="711"/>
      <c r="I15447" s="711"/>
      <c r="J15447" s="711"/>
      <c r="K15447" s="711"/>
      <c r="L15447" s="711"/>
      <c r="Q15447" s="11"/>
      <c r="R15447" s="11"/>
      <c r="S15447" s="11"/>
      <c r="T15447" s="11"/>
    </row>
    <row r="15448" spans="8:20" x14ac:dyDescent="0.35">
      <c r="H15448" s="711"/>
      <c r="I15448" s="711"/>
      <c r="J15448" s="711"/>
      <c r="K15448" s="711"/>
      <c r="L15448" s="711"/>
      <c r="Q15448" s="11"/>
      <c r="R15448" s="11"/>
      <c r="S15448" s="11"/>
      <c r="T15448" s="11"/>
    </row>
    <row r="15449" spans="8:20" x14ac:dyDescent="0.35">
      <c r="H15449" s="711"/>
      <c r="I15449" s="711"/>
      <c r="J15449" s="711"/>
      <c r="K15449" s="711"/>
      <c r="L15449" s="711"/>
      <c r="Q15449" s="11"/>
      <c r="R15449" s="11"/>
      <c r="S15449" s="11"/>
      <c r="T15449" s="11"/>
    </row>
    <row r="15450" spans="8:20" x14ac:dyDescent="0.35">
      <c r="H15450" s="711"/>
      <c r="I15450" s="711"/>
      <c r="J15450" s="711"/>
      <c r="K15450" s="711"/>
      <c r="L15450" s="711"/>
      <c r="Q15450" s="11"/>
      <c r="R15450" s="11"/>
      <c r="S15450" s="11"/>
      <c r="T15450" s="11"/>
    </row>
    <row r="15451" spans="8:20" x14ac:dyDescent="0.35">
      <c r="H15451" s="711"/>
      <c r="I15451" s="711"/>
      <c r="J15451" s="711"/>
      <c r="K15451" s="711"/>
      <c r="L15451" s="711"/>
      <c r="Q15451" s="11"/>
      <c r="R15451" s="11"/>
      <c r="S15451" s="11"/>
      <c r="T15451" s="11"/>
    </row>
    <row r="15452" spans="8:20" x14ac:dyDescent="0.35">
      <c r="H15452" s="711"/>
      <c r="I15452" s="711"/>
      <c r="J15452" s="711"/>
      <c r="K15452" s="711"/>
      <c r="L15452" s="711"/>
      <c r="Q15452" s="11"/>
      <c r="R15452" s="11"/>
      <c r="S15452" s="11"/>
      <c r="T15452" s="11"/>
    </row>
    <row r="15453" spans="8:20" x14ac:dyDescent="0.35">
      <c r="H15453" s="711"/>
      <c r="I15453" s="711"/>
      <c r="J15453" s="711"/>
      <c r="K15453" s="711"/>
      <c r="L15453" s="711"/>
      <c r="Q15453" s="11"/>
      <c r="R15453" s="11"/>
      <c r="S15453" s="11"/>
      <c r="T15453" s="11"/>
    </row>
    <row r="15454" spans="8:20" x14ac:dyDescent="0.35">
      <c r="H15454" s="711"/>
      <c r="I15454" s="711"/>
      <c r="J15454" s="711"/>
      <c r="K15454" s="711"/>
      <c r="L15454" s="711"/>
      <c r="Q15454" s="11"/>
      <c r="R15454" s="11"/>
      <c r="S15454" s="11"/>
      <c r="T15454" s="11"/>
    </row>
    <row r="15455" spans="8:20" x14ac:dyDescent="0.35">
      <c r="H15455" s="711"/>
      <c r="I15455" s="711"/>
      <c r="J15455" s="711"/>
      <c r="K15455" s="711"/>
      <c r="L15455" s="711"/>
      <c r="Q15455" s="11"/>
      <c r="R15455" s="11"/>
      <c r="S15455" s="11"/>
      <c r="T15455" s="11"/>
    </row>
    <row r="15456" spans="8:20" x14ac:dyDescent="0.35">
      <c r="H15456" s="711"/>
      <c r="I15456" s="711"/>
      <c r="J15456" s="711"/>
      <c r="K15456" s="711"/>
      <c r="L15456" s="711"/>
      <c r="Q15456" s="11"/>
      <c r="R15456" s="11"/>
      <c r="S15456" s="11"/>
      <c r="T15456" s="11"/>
    </row>
    <row r="15457" spans="8:20" x14ac:dyDescent="0.35">
      <c r="H15457" s="711"/>
      <c r="I15457" s="711"/>
      <c r="J15457" s="711"/>
      <c r="K15457" s="711"/>
      <c r="L15457" s="711"/>
      <c r="Q15457" s="11"/>
      <c r="R15457" s="11"/>
      <c r="S15457" s="11"/>
      <c r="T15457" s="11"/>
    </row>
    <row r="15458" spans="8:20" x14ac:dyDescent="0.35">
      <c r="H15458" s="711"/>
      <c r="I15458" s="711"/>
      <c r="J15458" s="711"/>
      <c r="K15458" s="711"/>
      <c r="L15458" s="711"/>
      <c r="Q15458" s="11"/>
      <c r="R15458" s="11"/>
      <c r="S15458" s="11"/>
      <c r="T15458" s="11"/>
    </row>
    <row r="15459" spans="8:20" x14ac:dyDescent="0.35">
      <c r="H15459" s="711"/>
      <c r="I15459" s="711"/>
      <c r="J15459" s="711"/>
      <c r="K15459" s="711"/>
      <c r="L15459" s="711"/>
      <c r="Q15459" s="11"/>
      <c r="R15459" s="11"/>
      <c r="S15459" s="11"/>
      <c r="T15459" s="11"/>
    </row>
    <row r="15460" spans="8:20" x14ac:dyDescent="0.35">
      <c r="H15460" s="711"/>
      <c r="I15460" s="711"/>
      <c r="J15460" s="711"/>
      <c r="K15460" s="711"/>
      <c r="L15460" s="711"/>
      <c r="Q15460" s="11"/>
      <c r="R15460" s="11"/>
      <c r="S15460" s="11"/>
      <c r="T15460" s="11"/>
    </row>
    <row r="15461" spans="8:20" x14ac:dyDescent="0.35">
      <c r="H15461" s="711"/>
      <c r="I15461" s="711"/>
      <c r="J15461" s="711"/>
      <c r="K15461" s="711"/>
      <c r="L15461" s="711"/>
      <c r="Q15461" s="11"/>
      <c r="R15461" s="11"/>
      <c r="S15461" s="11"/>
      <c r="T15461" s="11"/>
    </row>
    <row r="15462" spans="8:20" x14ac:dyDescent="0.35">
      <c r="H15462" s="711"/>
      <c r="I15462" s="711"/>
      <c r="J15462" s="711"/>
      <c r="K15462" s="711"/>
      <c r="L15462" s="711"/>
      <c r="Q15462" s="11"/>
      <c r="R15462" s="11"/>
      <c r="S15462" s="11"/>
      <c r="T15462" s="11"/>
    </row>
    <row r="15463" spans="8:20" x14ac:dyDescent="0.35">
      <c r="H15463" s="711"/>
      <c r="I15463" s="711"/>
      <c r="J15463" s="711"/>
      <c r="K15463" s="711"/>
      <c r="L15463" s="711"/>
      <c r="Q15463" s="11"/>
      <c r="R15463" s="11"/>
      <c r="S15463" s="11"/>
      <c r="T15463" s="11"/>
    </row>
    <row r="15464" spans="8:20" x14ac:dyDescent="0.35">
      <c r="H15464" s="711"/>
      <c r="I15464" s="711"/>
      <c r="J15464" s="711"/>
      <c r="K15464" s="711"/>
      <c r="L15464" s="711"/>
      <c r="Q15464" s="11"/>
      <c r="R15464" s="11"/>
      <c r="S15464" s="11"/>
      <c r="T15464" s="11"/>
    </row>
    <row r="15465" spans="8:20" x14ac:dyDescent="0.35">
      <c r="H15465" s="711"/>
      <c r="I15465" s="711"/>
      <c r="J15465" s="711"/>
      <c r="K15465" s="711"/>
      <c r="L15465" s="711"/>
      <c r="Q15465" s="11"/>
      <c r="R15465" s="11"/>
      <c r="S15465" s="11"/>
      <c r="T15465" s="11"/>
    </row>
    <row r="15466" spans="8:20" x14ac:dyDescent="0.35">
      <c r="H15466" s="711"/>
      <c r="I15466" s="711"/>
      <c r="J15466" s="711"/>
      <c r="K15466" s="711"/>
      <c r="L15466" s="711"/>
      <c r="Q15466" s="11"/>
      <c r="R15466" s="11"/>
      <c r="S15466" s="11"/>
      <c r="T15466" s="11"/>
    </row>
    <row r="15467" spans="8:20" x14ac:dyDescent="0.35">
      <c r="H15467" s="711"/>
      <c r="I15467" s="711"/>
      <c r="J15467" s="711"/>
      <c r="K15467" s="711"/>
      <c r="L15467" s="711"/>
      <c r="Q15467" s="11"/>
      <c r="R15467" s="11"/>
      <c r="S15467" s="11"/>
      <c r="T15467" s="11"/>
    </row>
    <row r="15468" spans="8:20" x14ac:dyDescent="0.35">
      <c r="H15468" s="711"/>
      <c r="I15468" s="711"/>
      <c r="J15468" s="711"/>
      <c r="K15468" s="711"/>
      <c r="L15468" s="711"/>
      <c r="Q15468" s="11"/>
      <c r="R15468" s="11"/>
      <c r="S15468" s="11"/>
      <c r="T15468" s="11"/>
    </row>
    <row r="15469" spans="8:20" x14ac:dyDescent="0.35">
      <c r="H15469" s="711"/>
      <c r="I15469" s="711"/>
      <c r="J15469" s="711"/>
      <c r="K15469" s="711"/>
      <c r="L15469" s="711"/>
      <c r="Q15469" s="11"/>
      <c r="R15469" s="11"/>
      <c r="S15469" s="11"/>
      <c r="T15469" s="11"/>
    </row>
    <row r="15470" spans="8:20" x14ac:dyDescent="0.35">
      <c r="H15470" s="711"/>
      <c r="I15470" s="711"/>
      <c r="J15470" s="711"/>
      <c r="K15470" s="711"/>
      <c r="L15470" s="711"/>
      <c r="Q15470" s="11"/>
      <c r="R15470" s="11"/>
      <c r="S15470" s="11"/>
      <c r="T15470" s="11"/>
    </row>
    <row r="15471" spans="8:20" x14ac:dyDescent="0.35">
      <c r="H15471" s="711"/>
      <c r="I15471" s="711"/>
      <c r="J15471" s="711"/>
      <c r="K15471" s="711"/>
      <c r="L15471" s="711"/>
      <c r="Q15471" s="11"/>
      <c r="R15471" s="11"/>
      <c r="S15471" s="11"/>
      <c r="T15471" s="11"/>
    </row>
    <row r="15472" spans="8:20" x14ac:dyDescent="0.35">
      <c r="H15472" s="711"/>
      <c r="I15472" s="711"/>
      <c r="J15472" s="711"/>
      <c r="K15472" s="711"/>
      <c r="L15472" s="711"/>
      <c r="Q15472" s="11"/>
      <c r="R15472" s="11"/>
      <c r="S15472" s="11"/>
      <c r="T15472" s="11"/>
    </row>
    <row r="15473" spans="8:20" x14ac:dyDescent="0.35">
      <c r="H15473" s="711"/>
      <c r="I15473" s="711"/>
      <c r="J15473" s="711"/>
      <c r="K15473" s="711"/>
      <c r="L15473" s="711"/>
      <c r="Q15473" s="11"/>
      <c r="R15473" s="11"/>
      <c r="S15473" s="11"/>
      <c r="T15473" s="11"/>
    </row>
    <row r="15474" spans="8:20" x14ac:dyDescent="0.35">
      <c r="H15474" s="711"/>
      <c r="I15474" s="711"/>
      <c r="J15474" s="711"/>
      <c r="K15474" s="711"/>
      <c r="L15474" s="711"/>
      <c r="Q15474" s="11"/>
      <c r="R15474" s="11"/>
      <c r="S15474" s="11"/>
      <c r="T15474" s="11"/>
    </row>
    <row r="15475" spans="8:20" x14ac:dyDescent="0.35">
      <c r="H15475" s="711"/>
      <c r="I15475" s="711"/>
      <c r="J15475" s="711"/>
      <c r="K15475" s="711"/>
      <c r="L15475" s="711"/>
      <c r="Q15475" s="11"/>
      <c r="R15475" s="11"/>
      <c r="S15475" s="11"/>
      <c r="T15475" s="11"/>
    </row>
    <row r="15476" spans="8:20" x14ac:dyDescent="0.35">
      <c r="H15476" s="711"/>
      <c r="I15476" s="711"/>
      <c r="J15476" s="711"/>
      <c r="K15476" s="711"/>
      <c r="L15476" s="711"/>
      <c r="Q15476" s="11"/>
      <c r="R15476" s="11"/>
      <c r="S15476" s="11"/>
      <c r="T15476" s="11"/>
    </row>
    <row r="15477" spans="8:20" x14ac:dyDescent="0.35">
      <c r="H15477" s="711"/>
      <c r="I15477" s="711"/>
      <c r="J15477" s="711"/>
      <c r="K15477" s="711"/>
      <c r="L15477" s="711"/>
      <c r="Q15477" s="11"/>
      <c r="R15477" s="11"/>
      <c r="S15477" s="11"/>
      <c r="T15477" s="11"/>
    </row>
    <row r="15478" spans="8:20" x14ac:dyDescent="0.35">
      <c r="H15478" s="711"/>
      <c r="I15478" s="711"/>
      <c r="J15478" s="711"/>
      <c r="K15478" s="711"/>
      <c r="L15478" s="711"/>
      <c r="Q15478" s="11"/>
      <c r="R15478" s="11"/>
      <c r="S15478" s="11"/>
      <c r="T15478" s="11"/>
    </row>
    <row r="15479" spans="8:20" x14ac:dyDescent="0.35">
      <c r="H15479" s="711"/>
      <c r="I15479" s="711"/>
      <c r="J15479" s="711"/>
      <c r="K15479" s="711"/>
      <c r="L15479" s="711"/>
      <c r="Q15479" s="11"/>
      <c r="R15479" s="11"/>
      <c r="S15479" s="11"/>
      <c r="T15479" s="11"/>
    </row>
    <row r="15480" spans="8:20" x14ac:dyDescent="0.35">
      <c r="H15480" s="711"/>
      <c r="I15480" s="711"/>
      <c r="J15480" s="711"/>
      <c r="K15480" s="711"/>
      <c r="L15480" s="711"/>
      <c r="Q15480" s="11"/>
      <c r="R15480" s="11"/>
      <c r="S15480" s="11"/>
      <c r="T15480" s="11"/>
    </row>
    <row r="15481" spans="8:20" x14ac:dyDescent="0.35">
      <c r="H15481" s="711"/>
      <c r="I15481" s="711"/>
      <c r="J15481" s="711"/>
      <c r="K15481" s="711"/>
      <c r="L15481" s="711"/>
      <c r="Q15481" s="11"/>
      <c r="R15481" s="11"/>
      <c r="S15481" s="11"/>
      <c r="T15481" s="11"/>
    </row>
    <row r="15482" spans="8:20" x14ac:dyDescent="0.35">
      <c r="H15482" s="711"/>
      <c r="I15482" s="711"/>
      <c r="J15482" s="711"/>
      <c r="K15482" s="711"/>
      <c r="L15482" s="711"/>
      <c r="Q15482" s="11"/>
      <c r="R15482" s="11"/>
      <c r="S15482" s="11"/>
      <c r="T15482" s="11"/>
    </row>
    <row r="15483" spans="8:20" x14ac:dyDescent="0.35">
      <c r="H15483" s="711"/>
      <c r="I15483" s="711"/>
      <c r="J15483" s="711"/>
      <c r="K15483" s="711"/>
      <c r="L15483" s="711"/>
      <c r="Q15483" s="11"/>
      <c r="R15483" s="11"/>
      <c r="S15483" s="11"/>
      <c r="T15483" s="11"/>
    </row>
    <row r="15484" spans="8:20" x14ac:dyDescent="0.35">
      <c r="H15484" s="711"/>
      <c r="I15484" s="711"/>
      <c r="J15484" s="711"/>
      <c r="K15484" s="711"/>
      <c r="L15484" s="711"/>
      <c r="Q15484" s="11"/>
      <c r="R15484" s="11"/>
      <c r="S15484" s="11"/>
      <c r="T15484" s="11"/>
    </row>
    <row r="15485" spans="8:20" x14ac:dyDescent="0.35">
      <c r="H15485" s="711"/>
      <c r="I15485" s="711"/>
      <c r="J15485" s="711"/>
      <c r="K15485" s="711"/>
      <c r="L15485" s="711"/>
      <c r="Q15485" s="11"/>
      <c r="R15485" s="11"/>
      <c r="S15485" s="11"/>
      <c r="T15485" s="11"/>
    </row>
    <row r="15486" spans="8:20" x14ac:dyDescent="0.35">
      <c r="H15486" s="711"/>
      <c r="I15486" s="711"/>
      <c r="J15486" s="711"/>
      <c r="K15486" s="711"/>
      <c r="L15486" s="711"/>
      <c r="Q15486" s="11"/>
      <c r="R15486" s="11"/>
      <c r="S15486" s="11"/>
      <c r="T15486" s="11"/>
    </row>
    <row r="15487" spans="8:20" x14ac:dyDescent="0.35">
      <c r="H15487" s="711"/>
      <c r="I15487" s="711"/>
      <c r="J15487" s="711"/>
      <c r="K15487" s="711"/>
      <c r="L15487" s="711"/>
      <c r="Q15487" s="11"/>
      <c r="R15487" s="11"/>
      <c r="S15487" s="11"/>
      <c r="T15487" s="11"/>
    </row>
    <row r="15488" spans="8:20" x14ac:dyDescent="0.35">
      <c r="H15488" s="711"/>
      <c r="I15488" s="711"/>
      <c r="J15488" s="711"/>
      <c r="K15488" s="711"/>
      <c r="L15488" s="711"/>
      <c r="Q15488" s="11"/>
      <c r="R15488" s="11"/>
      <c r="S15488" s="11"/>
      <c r="T15488" s="11"/>
    </row>
    <row r="15489" spans="8:20" x14ac:dyDescent="0.35">
      <c r="H15489" s="711"/>
      <c r="I15489" s="711"/>
      <c r="J15489" s="711"/>
      <c r="K15489" s="711"/>
      <c r="L15489" s="711"/>
      <c r="Q15489" s="11"/>
      <c r="R15489" s="11"/>
      <c r="S15489" s="11"/>
      <c r="T15489" s="11"/>
    </row>
    <row r="15490" spans="8:20" x14ac:dyDescent="0.35">
      <c r="H15490" s="711"/>
      <c r="I15490" s="711"/>
      <c r="J15490" s="711"/>
      <c r="K15490" s="711"/>
      <c r="L15490" s="711"/>
      <c r="Q15490" s="11"/>
      <c r="R15490" s="11"/>
      <c r="S15490" s="11"/>
      <c r="T15490" s="11"/>
    </row>
    <row r="15491" spans="8:20" x14ac:dyDescent="0.35">
      <c r="H15491" s="711"/>
      <c r="I15491" s="711"/>
      <c r="J15491" s="711"/>
      <c r="K15491" s="711"/>
      <c r="L15491" s="711"/>
      <c r="Q15491" s="11"/>
      <c r="R15491" s="11"/>
      <c r="S15491" s="11"/>
      <c r="T15491" s="11"/>
    </row>
    <row r="15492" spans="8:20" x14ac:dyDescent="0.35">
      <c r="H15492" s="711"/>
      <c r="I15492" s="711"/>
      <c r="J15492" s="711"/>
      <c r="K15492" s="711"/>
      <c r="L15492" s="711"/>
      <c r="Q15492" s="11"/>
      <c r="R15492" s="11"/>
      <c r="S15492" s="11"/>
      <c r="T15492" s="11"/>
    </row>
    <row r="15493" spans="8:20" x14ac:dyDescent="0.35">
      <c r="H15493" s="711"/>
      <c r="I15493" s="711"/>
      <c r="J15493" s="711"/>
      <c r="K15493" s="711"/>
      <c r="L15493" s="711"/>
      <c r="Q15493" s="11"/>
      <c r="R15493" s="11"/>
      <c r="S15493" s="11"/>
      <c r="T15493" s="11"/>
    </row>
    <row r="15494" spans="8:20" x14ac:dyDescent="0.35">
      <c r="H15494" s="711"/>
      <c r="I15494" s="711"/>
      <c r="J15494" s="711"/>
      <c r="K15494" s="711"/>
      <c r="L15494" s="711"/>
      <c r="Q15494" s="11"/>
      <c r="R15494" s="11"/>
      <c r="S15494" s="11"/>
      <c r="T15494" s="11"/>
    </row>
    <row r="15495" spans="8:20" x14ac:dyDescent="0.35">
      <c r="H15495" s="711"/>
      <c r="I15495" s="711"/>
      <c r="J15495" s="711"/>
      <c r="K15495" s="711"/>
      <c r="L15495" s="711"/>
      <c r="Q15495" s="11"/>
      <c r="R15495" s="11"/>
      <c r="S15495" s="11"/>
      <c r="T15495" s="11"/>
    </row>
    <row r="15496" spans="8:20" x14ac:dyDescent="0.35">
      <c r="H15496" s="711"/>
      <c r="I15496" s="711"/>
      <c r="J15496" s="711"/>
      <c r="K15496" s="711"/>
      <c r="L15496" s="711"/>
      <c r="Q15496" s="11"/>
      <c r="R15496" s="11"/>
      <c r="S15496" s="11"/>
      <c r="T15496" s="11"/>
    </row>
    <row r="15497" spans="8:20" x14ac:dyDescent="0.35">
      <c r="H15497" s="711"/>
      <c r="I15497" s="711"/>
      <c r="J15497" s="711"/>
      <c r="K15497" s="711"/>
      <c r="L15497" s="711"/>
      <c r="Q15497" s="11"/>
      <c r="R15497" s="11"/>
      <c r="S15497" s="11"/>
      <c r="T15497" s="11"/>
    </row>
    <row r="15498" spans="8:20" x14ac:dyDescent="0.35">
      <c r="H15498" s="711"/>
      <c r="I15498" s="711"/>
      <c r="J15498" s="711"/>
      <c r="K15498" s="711"/>
      <c r="L15498" s="711"/>
      <c r="Q15498" s="11"/>
      <c r="R15498" s="11"/>
      <c r="S15498" s="11"/>
      <c r="T15498" s="11"/>
    </row>
    <row r="15499" spans="8:20" x14ac:dyDescent="0.35">
      <c r="H15499" s="711"/>
      <c r="I15499" s="711"/>
      <c r="J15499" s="711"/>
      <c r="K15499" s="711"/>
      <c r="L15499" s="711"/>
      <c r="Q15499" s="11"/>
      <c r="R15499" s="11"/>
      <c r="S15499" s="11"/>
      <c r="T15499" s="11"/>
    </row>
    <row r="15500" spans="8:20" x14ac:dyDescent="0.35">
      <c r="H15500" s="711"/>
      <c r="I15500" s="711"/>
      <c r="J15500" s="711"/>
      <c r="K15500" s="711"/>
      <c r="L15500" s="711"/>
      <c r="Q15500" s="11"/>
      <c r="R15500" s="11"/>
      <c r="S15500" s="11"/>
      <c r="T15500" s="11"/>
    </row>
    <row r="15501" spans="8:20" x14ac:dyDescent="0.35">
      <c r="H15501" s="711"/>
      <c r="I15501" s="711"/>
      <c r="J15501" s="711"/>
      <c r="K15501" s="711"/>
      <c r="L15501" s="711"/>
      <c r="Q15501" s="11"/>
      <c r="R15501" s="11"/>
      <c r="S15501" s="11"/>
      <c r="T15501" s="11"/>
    </row>
    <row r="15502" spans="8:20" x14ac:dyDescent="0.35">
      <c r="H15502" s="711"/>
      <c r="I15502" s="711"/>
      <c r="J15502" s="711"/>
      <c r="K15502" s="711"/>
      <c r="L15502" s="711"/>
      <c r="Q15502" s="11"/>
      <c r="R15502" s="11"/>
      <c r="S15502" s="11"/>
      <c r="T15502" s="11"/>
    </row>
    <row r="15503" spans="8:20" x14ac:dyDescent="0.35">
      <c r="H15503" s="711"/>
      <c r="I15503" s="711"/>
      <c r="J15503" s="711"/>
      <c r="K15503" s="711"/>
      <c r="L15503" s="711"/>
      <c r="Q15503" s="11"/>
      <c r="R15503" s="11"/>
      <c r="S15503" s="11"/>
      <c r="T15503" s="11"/>
    </row>
    <row r="15504" spans="8:20" x14ac:dyDescent="0.35">
      <c r="H15504" s="711"/>
      <c r="I15504" s="711"/>
      <c r="J15504" s="711"/>
      <c r="K15504" s="711"/>
      <c r="L15504" s="711"/>
      <c r="Q15504" s="11"/>
      <c r="R15504" s="11"/>
      <c r="S15504" s="11"/>
      <c r="T15504" s="11"/>
    </row>
    <row r="15505" spans="8:20" x14ac:dyDescent="0.35">
      <c r="H15505" s="711"/>
      <c r="I15505" s="711"/>
      <c r="J15505" s="711"/>
      <c r="K15505" s="711"/>
      <c r="L15505" s="711"/>
      <c r="Q15505" s="11"/>
      <c r="R15505" s="11"/>
      <c r="S15505" s="11"/>
      <c r="T15505" s="11"/>
    </row>
    <row r="15506" spans="8:20" x14ac:dyDescent="0.35">
      <c r="H15506" s="711"/>
      <c r="I15506" s="711"/>
      <c r="J15506" s="711"/>
      <c r="K15506" s="711"/>
      <c r="L15506" s="711"/>
      <c r="Q15506" s="11"/>
      <c r="R15506" s="11"/>
      <c r="S15506" s="11"/>
      <c r="T15506" s="11"/>
    </row>
    <row r="15507" spans="8:20" x14ac:dyDescent="0.35">
      <c r="H15507" s="711"/>
      <c r="I15507" s="711"/>
      <c r="J15507" s="711"/>
      <c r="K15507" s="711"/>
      <c r="L15507" s="711"/>
      <c r="Q15507" s="11"/>
      <c r="R15507" s="11"/>
      <c r="S15507" s="11"/>
      <c r="T15507" s="11"/>
    </row>
    <row r="15508" spans="8:20" x14ac:dyDescent="0.35">
      <c r="H15508" s="711"/>
      <c r="I15508" s="711"/>
      <c r="J15508" s="711"/>
      <c r="K15508" s="711"/>
      <c r="L15508" s="711"/>
      <c r="Q15508" s="11"/>
      <c r="R15508" s="11"/>
      <c r="S15508" s="11"/>
      <c r="T15508" s="11"/>
    </row>
    <row r="15509" spans="8:20" x14ac:dyDescent="0.35">
      <c r="H15509" s="711"/>
      <c r="I15509" s="711"/>
      <c r="J15509" s="711"/>
      <c r="K15509" s="711"/>
      <c r="L15509" s="711"/>
      <c r="Q15509" s="11"/>
      <c r="R15509" s="11"/>
      <c r="S15509" s="11"/>
      <c r="T15509" s="11"/>
    </row>
    <row r="15510" spans="8:20" x14ac:dyDescent="0.35">
      <c r="H15510" s="711"/>
      <c r="I15510" s="711"/>
      <c r="J15510" s="711"/>
      <c r="K15510" s="711"/>
      <c r="L15510" s="711"/>
      <c r="Q15510" s="11"/>
      <c r="R15510" s="11"/>
      <c r="S15510" s="11"/>
      <c r="T15510" s="11"/>
    </row>
    <row r="15511" spans="8:20" x14ac:dyDescent="0.35">
      <c r="H15511" s="711"/>
      <c r="I15511" s="711"/>
      <c r="J15511" s="711"/>
      <c r="K15511" s="711"/>
      <c r="L15511" s="711"/>
      <c r="Q15511" s="11"/>
      <c r="R15511" s="11"/>
      <c r="S15511" s="11"/>
      <c r="T15511" s="11"/>
    </row>
    <row r="15512" spans="8:20" x14ac:dyDescent="0.35">
      <c r="H15512" s="711"/>
      <c r="I15512" s="711"/>
      <c r="J15512" s="711"/>
      <c r="K15512" s="711"/>
      <c r="L15512" s="711"/>
      <c r="Q15512" s="11"/>
      <c r="R15512" s="11"/>
      <c r="S15512" s="11"/>
      <c r="T15512" s="11"/>
    </row>
    <row r="15513" spans="8:20" x14ac:dyDescent="0.35">
      <c r="H15513" s="711"/>
      <c r="I15513" s="711"/>
      <c r="J15513" s="711"/>
      <c r="K15513" s="711"/>
      <c r="L15513" s="711"/>
      <c r="Q15513" s="11"/>
      <c r="R15513" s="11"/>
      <c r="S15513" s="11"/>
      <c r="T15513" s="11"/>
    </row>
    <row r="15514" spans="8:20" x14ac:dyDescent="0.35">
      <c r="H15514" s="711"/>
      <c r="I15514" s="711"/>
      <c r="J15514" s="711"/>
      <c r="K15514" s="711"/>
      <c r="L15514" s="711"/>
      <c r="Q15514" s="11"/>
      <c r="R15514" s="11"/>
      <c r="S15514" s="11"/>
      <c r="T15514" s="11"/>
    </row>
    <row r="15515" spans="8:20" x14ac:dyDescent="0.35">
      <c r="H15515" s="711"/>
      <c r="I15515" s="711"/>
      <c r="J15515" s="711"/>
      <c r="K15515" s="711"/>
      <c r="L15515" s="711"/>
      <c r="Q15515" s="11"/>
      <c r="R15515" s="11"/>
      <c r="S15515" s="11"/>
      <c r="T15515" s="11"/>
    </row>
    <row r="15516" spans="8:20" x14ac:dyDescent="0.35">
      <c r="H15516" s="711"/>
      <c r="I15516" s="711"/>
      <c r="J15516" s="711"/>
      <c r="K15516" s="711"/>
      <c r="L15516" s="711"/>
      <c r="Q15516" s="11"/>
      <c r="R15516" s="11"/>
      <c r="S15516" s="11"/>
      <c r="T15516" s="11"/>
    </row>
    <row r="15517" spans="8:20" x14ac:dyDescent="0.35">
      <c r="H15517" s="711"/>
      <c r="I15517" s="711"/>
      <c r="J15517" s="711"/>
      <c r="K15517" s="711"/>
      <c r="L15517" s="711"/>
      <c r="Q15517" s="11"/>
      <c r="R15517" s="11"/>
      <c r="S15517" s="11"/>
      <c r="T15517" s="11"/>
    </row>
    <row r="15518" spans="8:20" x14ac:dyDescent="0.35">
      <c r="H15518" s="711"/>
      <c r="I15518" s="711"/>
      <c r="J15518" s="711"/>
      <c r="K15518" s="711"/>
      <c r="L15518" s="711"/>
      <c r="Q15518" s="11"/>
      <c r="R15518" s="11"/>
      <c r="S15518" s="11"/>
      <c r="T15518" s="11"/>
    </row>
    <row r="15519" spans="8:20" x14ac:dyDescent="0.35">
      <c r="H15519" s="711"/>
      <c r="I15519" s="711"/>
      <c r="J15519" s="711"/>
      <c r="K15519" s="711"/>
      <c r="L15519" s="711"/>
      <c r="Q15519" s="11"/>
      <c r="R15519" s="11"/>
      <c r="S15519" s="11"/>
      <c r="T15519" s="11"/>
    </row>
    <row r="15520" spans="8:20" x14ac:dyDescent="0.35">
      <c r="H15520" s="711"/>
      <c r="I15520" s="711"/>
      <c r="J15520" s="711"/>
      <c r="K15520" s="711"/>
      <c r="L15520" s="711"/>
      <c r="Q15520" s="11"/>
      <c r="R15520" s="11"/>
      <c r="S15520" s="11"/>
      <c r="T15520" s="11"/>
    </row>
    <row r="15521" spans="8:20" x14ac:dyDescent="0.35">
      <c r="H15521" s="711"/>
      <c r="I15521" s="711"/>
      <c r="J15521" s="711"/>
      <c r="K15521" s="711"/>
      <c r="L15521" s="711"/>
      <c r="Q15521" s="11"/>
      <c r="R15521" s="11"/>
      <c r="S15521" s="11"/>
      <c r="T15521" s="11"/>
    </row>
    <row r="15522" spans="8:20" x14ac:dyDescent="0.35">
      <c r="H15522" s="711"/>
      <c r="I15522" s="711"/>
      <c r="J15522" s="711"/>
      <c r="K15522" s="711"/>
      <c r="L15522" s="711"/>
      <c r="Q15522" s="11"/>
      <c r="R15522" s="11"/>
      <c r="S15522" s="11"/>
      <c r="T15522" s="11"/>
    </row>
    <row r="15523" spans="8:20" x14ac:dyDescent="0.35">
      <c r="H15523" s="711"/>
      <c r="I15523" s="711"/>
      <c r="J15523" s="711"/>
      <c r="K15523" s="711"/>
      <c r="L15523" s="711"/>
      <c r="Q15523" s="11"/>
      <c r="R15523" s="11"/>
      <c r="S15523" s="11"/>
      <c r="T15523" s="11"/>
    </row>
    <row r="15524" spans="8:20" x14ac:dyDescent="0.35">
      <c r="H15524" s="711"/>
      <c r="I15524" s="711"/>
      <c r="J15524" s="711"/>
      <c r="K15524" s="711"/>
      <c r="L15524" s="711"/>
      <c r="Q15524" s="11"/>
      <c r="R15524" s="11"/>
      <c r="S15524" s="11"/>
      <c r="T15524" s="11"/>
    </row>
    <row r="15525" spans="8:20" x14ac:dyDescent="0.35">
      <c r="H15525" s="711"/>
      <c r="I15525" s="711"/>
      <c r="J15525" s="711"/>
      <c r="K15525" s="711"/>
      <c r="L15525" s="711"/>
      <c r="Q15525" s="11"/>
      <c r="R15525" s="11"/>
      <c r="S15525" s="11"/>
      <c r="T15525" s="11"/>
    </row>
    <row r="15526" spans="8:20" x14ac:dyDescent="0.35">
      <c r="H15526" s="711"/>
      <c r="I15526" s="711"/>
      <c r="J15526" s="711"/>
      <c r="K15526" s="711"/>
      <c r="L15526" s="711"/>
      <c r="Q15526" s="11"/>
      <c r="R15526" s="11"/>
      <c r="S15526" s="11"/>
      <c r="T15526" s="11"/>
    </row>
    <row r="15527" spans="8:20" x14ac:dyDescent="0.35">
      <c r="H15527" s="711"/>
      <c r="I15527" s="711"/>
      <c r="J15527" s="711"/>
      <c r="K15527" s="711"/>
      <c r="L15527" s="711"/>
      <c r="Q15527" s="11"/>
      <c r="R15527" s="11"/>
      <c r="S15527" s="11"/>
      <c r="T15527" s="11"/>
    </row>
    <row r="15528" spans="8:20" x14ac:dyDescent="0.35">
      <c r="H15528" s="711"/>
      <c r="I15528" s="711"/>
      <c r="J15528" s="711"/>
      <c r="K15528" s="711"/>
      <c r="L15528" s="711"/>
      <c r="Q15528" s="11"/>
      <c r="R15528" s="11"/>
      <c r="S15528" s="11"/>
      <c r="T15528" s="11"/>
    </row>
    <row r="15529" spans="8:20" x14ac:dyDescent="0.35">
      <c r="H15529" s="711"/>
      <c r="I15529" s="711"/>
      <c r="J15529" s="711"/>
      <c r="K15529" s="711"/>
      <c r="L15529" s="711"/>
      <c r="Q15529" s="11"/>
      <c r="R15529" s="11"/>
      <c r="S15529" s="11"/>
      <c r="T15529" s="11"/>
    </row>
    <row r="15530" spans="8:20" x14ac:dyDescent="0.35">
      <c r="H15530" s="711"/>
      <c r="I15530" s="711"/>
      <c r="J15530" s="711"/>
      <c r="K15530" s="711"/>
      <c r="L15530" s="711"/>
      <c r="Q15530" s="11"/>
      <c r="R15530" s="11"/>
      <c r="S15530" s="11"/>
      <c r="T15530" s="11"/>
    </row>
    <row r="15531" spans="8:20" x14ac:dyDescent="0.35">
      <c r="H15531" s="711"/>
      <c r="I15531" s="711"/>
      <c r="J15531" s="711"/>
      <c r="K15531" s="711"/>
      <c r="L15531" s="711"/>
      <c r="Q15531" s="11"/>
      <c r="R15531" s="11"/>
      <c r="S15531" s="11"/>
      <c r="T15531" s="11"/>
    </row>
    <row r="15532" spans="8:20" x14ac:dyDescent="0.35">
      <c r="H15532" s="711"/>
      <c r="I15532" s="711"/>
      <c r="J15532" s="711"/>
      <c r="K15532" s="711"/>
      <c r="L15532" s="711"/>
      <c r="Q15532" s="11"/>
      <c r="R15532" s="11"/>
      <c r="S15532" s="11"/>
      <c r="T15532" s="11"/>
    </row>
    <row r="15533" spans="8:20" x14ac:dyDescent="0.35">
      <c r="H15533" s="711"/>
      <c r="I15533" s="711"/>
      <c r="J15533" s="711"/>
      <c r="K15533" s="711"/>
      <c r="L15533" s="711"/>
      <c r="Q15533" s="11"/>
      <c r="R15533" s="11"/>
      <c r="S15533" s="11"/>
      <c r="T15533" s="11"/>
    </row>
    <row r="15534" spans="8:20" x14ac:dyDescent="0.35">
      <c r="H15534" s="711"/>
      <c r="I15534" s="711"/>
      <c r="J15534" s="711"/>
      <c r="K15534" s="711"/>
      <c r="L15534" s="711"/>
      <c r="Q15534" s="11"/>
      <c r="R15534" s="11"/>
      <c r="S15534" s="11"/>
      <c r="T15534" s="11"/>
    </row>
    <row r="15535" spans="8:20" x14ac:dyDescent="0.35">
      <c r="H15535" s="711"/>
      <c r="I15535" s="711"/>
      <c r="J15535" s="711"/>
      <c r="K15535" s="711"/>
      <c r="L15535" s="711"/>
      <c r="Q15535" s="11"/>
      <c r="R15535" s="11"/>
      <c r="S15535" s="11"/>
      <c r="T15535" s="11"/>
    </row>
    <row r="15536" spans="8:20" x14ac:dyDescent="0.35">
      <c r="H15536" s="711"/>
      <c r="I15536" s="711"/>
      <c r="J15536" s="711"/>
      <c r="K15536" s="711"/>
      <c r="L15536" s="711"/>
      <c r="Q15536" s="11"/>
      <c r="R15536" s="11"/>
      <c r="S15536" s="11"/>
      <c r="T15536" s="11"/>
    </row>
    <row r="15537" spans="8:20" x14ac:dyDescent="0.35">
      <c r="H15537" s="711"/>
      <c r="I15537" s="711"/>
      <c r="J15537" s="711"/>
      <c r="K15537" s="711"/>
      <c r="L15537" s="711"/>
      <c r="Q15537" s="11"/>
      <c r="R15537" s="11"/>
      <c r="S15537" s="11"/>
      <c r="T15537" s="11"/>
    </row>
    <row r="15538" spans="8:20" x14ac:dyDescent="0.35">
      <c r="H15538" s="711"/>
      <c r="I15538" s="711"/>
      <c r="J15538" s="711"/>
      <c r="K15538" s="711"/>
      <c r="L15538" s="711"/>
      <c r="Q15538" s="11"/>
      <c r="R15538" s="11"/>
      <c r="S15538" s="11"/>
      <c r="T15538" s="11"/>
    </row>
    <row r="15539" spans="8:20" x14ac:dyDescent="0.35">
      <c r="H15539" s="711"/>
      <c r="I15539" s="711"/>
      <c r="J15539" s="711"/>
      <c r="K15539" s="711"/>
      <c r="L15539" s="711"/>
      <c r="Q15539" s="11"/>
      <c r="R15539" s="11"/>
      <c r="S15539" s="11"/>
      <c r="T15539" s="11"/>
    </row>
    <row r="15540" spans="8:20" x14ac:dyDescent="0.35">
      <c r="H15540" s="711"/>
      <c r="I15540" s="711"/>
      <c r="J15540" s="711"/>
      <c r="K15540" s="711"/>
      <c r="L15540" s="711"/>
      <c r="Q15540" s="11"/>
      <c r="R15540" s="11"/>
      <c r="S15540" s="11"/>
      <c r="T15540" s="11"/>
    </row>
    <row r="15541" spans="8:20" x14ac:dyDescent="0.35">
      <c r="H15541" s="711"/>
      <c r="I15541" s="711"/>
      <c r="J15541" s="711"/>
      <c r="K15541" s="711"/>
      <c r="L15541" s="711"/>
      <c r="Q15541" s="11"/>
      <c r="R15541" s="11"/>
      <c r="S15541" s="11"/>
      <c r="T15541" s="11"/>
    </row>
    <row r="15542" spans="8:20" x14ac:dyDescent="0.35">
      <c r="H15542" s="711"/>
      <c r="I15542" s="711"/>
      <c r="J15542" s="711"/>
      <c r="K15542" s="711"/>
      <c r="L15542" s="711"/>
      <c r="Q15542" s="11"/>
      <c r="R15542" s="11"/>
      <c r="S15542" s="11"/>
      <c r="T15542" s="11"/>
    </row>
    <row r="15543" spans="8:20" x14ac:dyDescent="0.35">
      <c r="H15543" s="711"/>
      <c r="I15543" s="711"/>
      <c r="J15543" s="711"/>
      <c r="K15543" s="711"/>
      <c r="L15543" s="711"/>
      <c r="Q15543" s="11"/>
      <c r="R15543" s="11"/>
      <c r="S15543" s="11"/>
      <c r="T15543" s="11"/>
    </row>
    <row r="15544" spans="8:20" x14ac:dyDescent="0.35">
      <c r="H15544" s="711"/>
      <c r="I15544" s="711"/>
      <c r="J15544" s="711"/>
      <c r="K15544" s="711"/>
      <c r="L15544" s="711"/>
      <c r="Q15544" s="11"/>
      <c r="R15544" s="11"/>
      <c r="S15544" s="11"/>
      <c r="T15544" s="11"/>
    </row>
    <row r="15545" spans="8:20" x14ac:dyDescent="0.35">
      <c r="H15545" s="711"/>
      <c r="I15545" s="711"/>
      <c r="J15545" s="711"/>
      <c r="K15545" s="711"/>
      <c r="L15545" s="711"/>
      <c r="Q15545" s="11"/>
      <c r="R15545" s="11"/>
      <c r="S15545" s="11"/>
      <c r="T15545" s="11"/>
    </row>
    <row r="15546" spans="8:20" x14ac:dyDescent="0.35">
      <c r="H15546" s="711"/>
      <c r="I15546" s="711"/>
      <c r="J15546" s="711"/>
      <c r="K15546" s="711"/>
      <c r="L15546" s="711"/>
      <c r="Q15546" s="11"/>
      <c r="R15546" s="11"/>
      <c r="S15546" s="11"/>
      <c r="T15546" s="11"/>
    </row>
    <row r="15547" spans="8:20" x14ac:dyDescent="0.35">
      <c r="H15547" s="711"/>
      <c r="I15547" s="711"/>
      <c r="J15547" s="711"/>
      <c r="K15547" s="711"/>
      <c r="L15547" s="711"/>
      <c r="Q15547" s="11"/>
      <c r="R15547" s="11"/>
      <c r="S15547" s="11"/>
      <c r="T15547" s="11"/>
    </row>
    <row r="15548" spans="8:20" x14ac:dyDescent="0.35">
      <c r="H15548" s="711"/>
      <c r="I15548" s="711"/>
      <c r="J15548" s="711"/>
      <c r="K15548" s="711"/>
      <c r="L15548" s="711"/>
      <c r="Q15548" s="11"/>
      <c r="R15548" s="11"/>
      <c r="S15548" s="11"/>
      <c r="T15548" s="11"/>
    </row>
    <row r="15549" spans="8:20" x14ac:dyDescent="0.35">
      <c r="H15549" s="711"/>
      <c r="I15549" s="711"/>
      <c r="J15549" s="711"/>
      <c r="K15549" s="711"/>
      <c r="L15549" s="711"/>
      <c r="Q15549" s="11"/>
      <c r="R15549" s="11"/>
      <c r="S15549" s="11"/>
      <c r="T15549" s="11"/>
    </row>
    <row r="15550" spans="8:20" x14ac:dyDescent="0.35">
      <c r="H15550" s="711"/>
      <c r="I15550" s="711"/>
      <c r="J15550" s="711"/>
      <c r="K15550" s="711"/>
      <c r="L15550" s="711"/>
      <c r="Q15550" s="11"/>
      <c r="R15550" s="11"/>
      <c r="S15550" s="11"/>
      <c r="T15550" s="11"/>
    </row>
    <row r="15551" spans="8:20" x14ac:dyDescent="0.35">
      <c r="H15551" s="711"/>
      <c r="I15551" s="711"/>
      <c r="J15551" s="711"/>
      <c r="K15551" s="711"/>
      <c r="L15551" s="711"/>
      <c r="Q15551" s="11"/>
      <c r="R15551" s="11"/>
      <c r="S15551" s="11"/>
      <c r="T15551" s="11"/>
    </row>
    <row r="15552" spans="8:20" x14ac:dyDescent="0.35">
      <c r="H15552" s="711"/>
      <c r="I15552" s="711"/>
      <c r="J15552" s="711"/>
      <c r="K15552" s="711"/>
      <c r="L15552" s="711"/>
      <c r="Q15552" s="11"/>
      <c r="R15552" s="11"/>
      <c r="S15552" s="11"/>
      <c r="T15552" s="11"/>
    </row>
    <row r="15553" spans="8:20" x14ac:dyDescent="0.35">
      <c r="H15553" s="711"/>
      <c r="I15553" s="711"/>
      <c r="J15553" s="711"/>
      <c r="K15553" s="711"/>
      <c r="L15553" s="711"/>
      <c r="Q15553" s="11"/>
      <c r="R15553" s="11"/>
      <c r="S15553" s="11"/>
      <c r="T15553" s="11"/>
    </row>
    <row r="15554" spans="8:20" x14ac:dyDescent="0.35">
      <c r="H15554" s="711"/>
      <c r="I15554" s="711"/>
      <c r="J15554" s="711"/>
      <c r="K15554" s="711"/>
      <c r="L15554" s="711"/>
      <c r="Q15554" s="11"/>
      <c r="R15554" s="11"/>
      <c r="S15554" s="11"/>
      <c r="T15554" s="11"/>
    </row>
    <row r="15555" spans="8:20" x14ac:dyDescent="0.35">
      <c r="H15555" s="711"/>
      <c r="I15555" s="711"/>
      <c r="J15555" s="711"/>
      <c r="K15555" s="711"/>
      <c r="L15555" s="711"/>
      <c r="Q15555" s="11"/>
      <c r="R15555" s="11"/>
      <c r="S15555" s="11"/>
      <c r="T15555" s="11"/>
    </row>
    <row r="15556" spans="8:20" x14ac:dyDescent="0.35">
      <c r="H15556" s="711"/>
      <c r="I15556" s="711"/>
      <c r="J15556" s="711"/>
      <c r="K15556" s="711"/>
      <c r="L15556" s="711"/>
      <c r="Q15556" s="11"/>
      <c r="R15556" s="11"/>
      <c r="S15556" s="11"/>
      <c r="T15556" s="11"/>
    </row>
    <row r="15557" spans="8:20" x14ac:dyDescent="0.35">
      <c r="H15557" s="711"/>
      <c r="I15557" s="711"/>
      <c r="J15557" s="711"/>
      <c r="K15557" s="711"/>
      <c r="L15557" s="711"/>
      <c r="Q15557" s="11"/>
      <c r="R15557" s="11"/>
      <c r="S15557" s="11"/>
      <c r="T15557" s="11"/>
    </row>
    <row r="15558" spans="8:20" x14ac:dyDescent="0.35">
      <c r="H15558" s="711"/>
      <c r="I15558" s="711"/>
      <c r="J15558" s="711"/>
      <c r="K15558" s="711"/>
      <c r="L15558" s="711"/>
      <c r="Q15558" s="11"/>
      <c r="R15558" s="11"/>
      <c r="S15558" s="11"/>
      <c r="T15558" s="11"/>
    </row>
    <row r="15559" spans="8:20" x14ac:dyDescent="0.35">
      <c r="H15559" s="711"/>
      <c r="I15559" s="711"/>
      <c r="J15559" s="711"/>
      <c r="K15559" s="711"/>
      <c r="L15559" s="711"/>
      <c r="Q15559" s="11"/>
      <c r="R15559" s="11"/>
      <c r="S15559" s="11"/>
      <c r="T15559" s="11"/>
    </row>
    <row r="15560" spans="8:20" x14ac:dyDescent="0.35">
      <c r="H15560" s="711"/>
      <c r="I15560" s="711"/>
      <c r="J15560" s="711"/>
      <c r="K15560" s="711"/>
      <c r="L15560" s="711"/>
      <c r="Q15560" s="11"/>
      <c r="R15560" s="11"/>
      <c r="S15560" s="11"/>
      <c r="T15560" s="11"/>
    </row>
    <row r="15561" spans="8:20" x14ac:dyDescent="0.35">
      <c r="H15561" s="711"/>
      <c r="I15561" s="711"/>
      <c r="J15561" s="711"/>
      <c r="K15561" s="711"/>
      <c r="L15561" s="711"/>
      <c r="Q15561" s="11"/>
      <c r="R15561" s="11"/>
      <c r="S15561" s="11"/>
      <c r="T15561" s="11"/>
    </row>
    <row r="15562" spans="8:20" x14ac:dyDescent="0.35">
      <c r="H15562" s="711"/>
      <c r="I15562" s="711"/>
      <c r="J15562" s="711"/>
      <c r="K15562" s="711"/>
      <c r="L15562" s="711"/>
      <c r="Q15562" s="11"/>
      <c r="R15562" s="11"/>
      <c r="S15562" s="11"/>
      <c r="T15562" s="11"/>
    </row>
    <row r="15563" spans="8:20" x14ac:dyDescent="0.35">
      <c r="H15563" s="711"/>
      <c r="I15563" s="711"/>
      <c r="J15563" s="711"/>
      <c r="K15563" s="711"/>
      <c r="L15563" s="711"/>
      <c r="Q15563" s="11"/>
      <c r="R15563" s="11"/>
      <c r="S15563" s="11"/>
      <c r="T15563" s="11"/>
    </row>
    <row r="15564" spans="8:20" x14ac:dyDescent="0.35">
      <c r="H15564" s="711"/>
      <c r="I15564" s="711"/>
      <c r="J15564" s="711"/>
      <c r="K15564" s="711"/>
      <c r="L15564" s="711"/>
      <c r="Q15564" s="11"/>
      <c r="R15564" s="11"/>
      <c r="S15564" s="11"/>
      <c r="T15564" s="11"/>
    </row>
    <row r="15565" spans="8:20" x14ac:dyDescent="0.35">
      <c r="H15565" s="711"/>
      <c r="I15565" s="711"/>
      <c r="J15565" s="711"/>
      <c r="K15565" s="711"/>
      <c r="L15565" s="711"/>
      <c r="Q15565" s="11"/>
      <c r="R15565" s="11"/>
      <c r="S15565" s="11"/>
      <c r="T15565" s="11"/>
    </row>
    <row r="15566" spans="8:20" x14ac:dyDescent="0.35">
      <c r="H15566" s="711"/>
      <c r="I15566" s="711"/>
      <c r="J15566" s="711"/>
      <c r="K15566" s="711"/>
      <c r="L15566" s="711"/>
      <c r="Q15566" s="11"/>
      <c r="R15566" s="11"/>
      <c r="S15566" s="11"/>
      <c r="T15566" s="11"/>
    </row>
    <row r="15567" spans="8:20" x14ac:dyDescent="0.35">
      <c r="H15567" s="711"/>
      <c r="I15567" s="711"/>
      <c r="J15567" s="711"/>
      <c r="K15567" s="711"/>
      <c r="L15567" s="711"/>
      <c r="Q15567" s="11"/>
      <c r="R15567" s="11"/>
      <c r="S15567" s="11"/>
      <c r="T15567" s="11"/>
    </row>
    <row r="15568" spans="8:20" x14ac:dyDescent="0.35">
      <c r="H15568" s="711"/>
      <c r="I15568" s="711"/>
      <c r="J15568" s="711"/>
      <c r="K15568" s="711"/>
      <c r="L15568" s="711"/>
      <c r="Q15568" s="11"/>
      <c r="R15568" s="11"/>
      <c r="S15568" s="11"/>
      <c r="T15568" s="11"/>
    </row>
    <row r="15569" spans="8:20" x14ac:dyDescent="0.35">
      <c r="H15569" s="711"/>
      <c r="I15569" s="711"/>
      <c r="J15569" s="711"/>
      <c r="K15569" s="711"/>
      <c r="L15569" s="711"/>
      <c r="Q15569" s="11"/>
      <c r="R15569" s="11"/>
      <c r="S15569" s="11"/>
      <c r="T15569" s="11"/>
    </row>
    <row r="15570" spans="8:20" x14ac:dyDescent="0.35">
      <c r="H15570" s="711"/>
      <c r="I15570" s="711"/>
      <c r="J15570" s="711"/>
      <c r="K15570" s="711"/>
      <c r="L15570" s="711"/>
      <c r="Q15570" s="11"/>
      <c r="R15570" s="11"/>
      <c r="S15570" s="11"/>
      <c r="T15570" s="11"/>
    </row>
    <row r="15571" spans="8:20" x14ac:dyDescent="0.35">
      <c r="H15571" s="711"/>
      <c r="I15571" s="711"/>
      <c r="J15571" s="711"/>
      <c r="K15571" s="711"/>
      <c r="L15571" s="711"/>
      <c r="Q15571" s="11"/>
      <c r="R15571" s="11"/>
      <c r="S15571" s="11"/>
      <c r="T15571" s="11"/>
    </row>
    <row r="15572" spans="8:20" x14ac:dyDescent="0.35">
      <c r="H15572" s="711"/>
      <c r="I15572" s="711"/>
      <c r="J15572" s="711"/>
      <c r="K15572" s="711"/>
      <c r="L15572" s="711"/>
      <c r="Q15572" s="11"/>
      <c r="R15572" s="11"/>
      <c r="S15572" s="11"/>
      <c r="T15572" s="11"/>
    </row>
    <row r="15573" spans="8:20" x14ac:dyDescent="0.35">
      <c r="H15573" s="711"/>
      <c r="I15573" s="711"/>
      <c r="J15573" s="711"/>
      <c r="K15573" s="711"/>
      <c r="L15573" s="711"/>
      <c r="Q15573" s="11"/>
      <c r="R15573" s="11"/>
      <c r="S15573" s="11"/>
      <c r="T15573" s="11"/>
    </row>
    <row r="15574" spans="8:20" x14ac:dyDescent="0.35">
      <c r="H15574" s="711"/>
      <c r="I15574" s="711"/>
      <c r="J15574" s="711"/>
      <c r="K15574" s="711"/>
      <c r="L15574" s="711"/>
      <c r="Q15574" s="11"/>
      <c r="R15574" s="11"/>
      <c r="S15574" s="11"/>
      <c r="T15574" s="11"/>
    </row>
    <row r="15575" spans="8:20" x14ac:dyDescent="0.35">
      <c r="H15575" s="711"/>
      <c r="I15575" s="711"/>
      <c r="J15575" s="711"/>
      <c r="K15575" s="711"/>
      <c r="L15575" s="711"/>
      <c r="Q15575" s="11"/>
      <c r="R15575" s="11"/>
      <c r="S15575" s="11"/>
      <c r="T15575" s="11"/>
    </row>
    <row r="15576" spans="8:20" x14ac:dyDescent="0.35">
      <c r="H15576" s="711"/>
      <c r="I15576" s="711"/>
      <c r="J15576" s="711"/>
      <c r="K15576" s="711"/>
      <c r="L15576" s="711"/>
      <c r="Q15576" s="11"/>
      <c r="R15576" s="11"/>
      <c r="S15576" s="11"/>
      <c r="T15576" s="11"/>
    </row>
    <row r="15577" spans="8:20" x14ac:dyDescent="0.35">
      <c r="H15577" s="711"/>
      <c r="I15577" s="711"/>
      <c r="J15577" s="711"/>
      <c r="K15577" s="711"/>
      <c r="L15577" s="711"/>
      <c r="Q15577" s="11"/>
      <c r="R15577" s="11"/>
      <c r="S15577" s="11"/>
      <c r="T15577" s="11"/>
    </row>
    <row r="15578" spans="8:20" x14ac:dyDescent="0.35">
      <c r="H15578" s="711"/>
      <c r="I15578" s="711"/>
      <c r="J15578" s="711"/>
      <c r="K15578" s="711"/>
      <c r="L15578" s="711"/>
      <c r="Q15578" s="11"/>
      <c r="R15578" s="11"/>
      <c r="S15578" s="11"/>
      <c r="T15578" s="11"/>
    </row>
    <row r="15579" spans="8:20" x14ac:dyDescent="0.35">
      <c r="H15579" s="711"/>
      <c r="I15579" s="711"/>
      <c r="J15579" s="711"/>
      <c r="K15579" s="711"/>
      <c r="L15579" s="711"/>
      <c r="Q15579" s="11"/>
      <c r="R15579" s="11"/>
      <c r="S15579" s="11"/>
      <c r="T15579" s="11"/>
    </row>
    <row r="15580" spans="8:20" x14ac:dyDescent="0.35">
      <c r="H15580" s="711"/>
      <c r="I15580" s="711"/>
      <c r="J15580" s="711"/>
      <c r="K15580" s="711"/>
      <c r="L15580" s="711"/>
      <c r="Q15580" s="11"/>
      <c r="R15580" s="11"/>
      <c r="S15580" s="11"/>
      <c r="T15580" s="11"/>
    </row>
    <row r="15581" spans="8:20" x14ac:dyDescent="0.35">
      <c r="H15581" s="711"/>
      <c r="I15581" s="711"/>
      <c r="J15581" s="711"/>
      <c r="K15581" s="711"/>
      <c r="L15581" s="711"/>
      <c r="Q15581" s="11"/>
      <c r="R15581" s="11"/>
      <c r="S15581" s="11"/>
      <c r="T15581" s="11"/>
    </row>
    <row r="15582" spans="8:20" x14ac:dyDescent="0.35">
      <c r="H15582" s="711"/>
      <c r="I15582" s="711"/>
      <c r="J15582" s="711"/>
      <c r="K15582" s="711"/>
      <c r="L15582" s="711"/>
      <c r="Q15582" s="11"/>
      <c r="R15582" s="11"/>
      <c r="S15582" s="11"/>
      <c r="T15582" s="11"/>
    </row>
    <row r="15583" spans="8:20" x14ac:dyDescent="0.35">
      <c r="H15583" s="711"/>
      <c r="I15583" s="711"/>
      <c r="J15583" s="711"/>
      <c r="K15583" s="711"/>
      <c r="L15583" s="711"/>
      <c r="Q15583" s="11"/>
      <c r="R15583" s="11"/>
      <c r="S15583" s="11"/>
      <c r="T15583" s="11"/>
    </row>
    <row r="15584" spans="8:20" x14ac:dyDescent="0.35">
      <c r="H15584" s="711"/>
      <c r="I15584" s="711"/>
      <c r="J15584" s="711"/>
      <c r="K15584" s="711"/>
      <c r="L15584" s="711"/>
      <c r="Q15584" s="11"/>
      <c r="R15584" s="11"/>
      <c r="S15584" s="11"/>
      <c r="T15584" s="11"/>
    </row>
    <row r="15585" spans="8:20" x14ac:dyDescent="0.35">
      <c r="H15585" s="711"/>
      <c r="I15585" s="711"/>
      <c r="J15585" s="711"/>
      <c r="K15585" s="711"/>
      <c r="L15585" s="711"/>
      <c r="Q15585" s="11"/>
      <c r="R15585" s="11"/>
      <c r="S15585" s="11"/>
      <c r="T15585" s="11"/>
    </row>
    <row r="15586" spans="8:20" x14ac:dyDescent="0.35">
      <c r="H15586" s="711"/>
      <c r="I15586" s="711"/>
      <c r="J15586" s="711"/>
      <c r="K15586" s="711"/>
      <c r="L15586" s="711"/>
      <c r="Q15586" s="11"/>
      <c r="R15586" s="11"/>
      <c r="S15586" s="11"/>
      <c r="T15586" s="11"/>
    </row>
    <row r="15587" spans="8:20" x14ac:dyDescent="0.35">
      <c r="H15587" s="711"/>
      <c r="I15587" s="711"/>
      <c r="J15587" s="711"/>
      <c r="K15587" s="711"/>
      <c r="L15587" s="711"/>
      <c r="Q15587" s="11"/>
      <c r="R15587" s="11"/>
      <c r="S15587" s="11"/>
      <c r="T15587" s="11"/>
    </row>
    <row r="15588" spans="8:20" x14ac:dyDescent="0.35">
      <c r="H15588" s="711"/>
      <c r="I15588" s="711"/>
      <c r="J15588" s="711"/>
      <c r="K15588" s="711"/>
      <c r="L15588" s="711"/>
      <c r="Q15588" s="11"/>
      <c r="R15588" s="11"/>
      <c r="S15588" s="11"/>
      <c r="T15588" s="11"/>
    </row>
    <row r="15589" spans="8:20" x14ac:dyDescent="0.35">
      <c r="H15589" s="711"/>
      <c r="I15589" s="711"/>
      <c r="J15589" s="711"/>
      <c r="K15589" s="711"/>
      <c r="L15589" s="711"/>
      <c r="Q15589" s="11"/>
      <c r="R15589" s="11"/>
      <c r="S15589" s="11"/>
      <c r="T15589" s="11"/>
    </row>
    <row r="15590" spans="8:20" x14ac:dyDescent="0.35">
      <c r="H15590" s="711"/>
      <c r="I15590" s="711"/>
      <c r="J15590" s="711"/>
      <c r="K15590" s="711"/>
      <c r="L15590" s="711"/>
      <c r="Q15590" s="11"/>
      <c r="R15590" s="11"/>
      <c r="S15590" s="11"/>
      <c r="T15590" s="11"/>
    </row>
    <row r="15591" spans="8:20" x14ac:dyDescent="0.35">
      <c r="H15591" s="711"/>
      <c r="I15591" s="711"/>
      <c r="J15591" s="711"/>
      <c r="K15591" s="711"/>
      <c r="L15591" s="711"/>
      <c r="Q15591" s="11"/>
      <c r="R15591" s="11"/>
      <c r="S15591" s="11"/>
      <c r="T15591" s="11"/>
    </row>
    <row r="15592" spans="8:20" x14ac:dyDescent="0.35">
      <c r="H15592" s="711"/>
      <c r="I15592" s="711"/>
      <c r="J15592" s="711"/>
      <c r="K15592" s="711"/>
      <c r="L15592" s="711"/>
      <c r="Q15592" s="11"/>
      <c r="R15592" s="11"/>
      <c r="S15592" s="11"/>
      <c r="T15592" s="11"/>
    </row>
    <row r="15593" spans="8:20" x14ac:dyDescent="0.35">
      <c r="H15593" s="711"/>
      <c r="I15593" s="711"/>
      <c r="J15593" s="711"/>
      <c r="K15593" s="711"/>
      <c r="L15593" s="711"/>
      <c r="Q15593" s="11"/>
      <c r="R15593" s="11"/>
      <c r="S15593" s="11"/>
      <c r="T15593" s="11"/>
    </row>
    <row r="15594" spans="8:20" x14ac:dyDescent="0.35">
      <c r="H15594" s="711"/>
      <c r="I15594" s="711"/>
      <c r="J15594" s="711"/>
      <c r="K15594" s="711"/>
      <c r="L15594" s="711"/>
      <c r="Q15594" s="11"/>
      <c r="R15594" s="11"/>
      <c r="S15594" s="11"/>
      <c r="T15594" s="11"/>
    </row>
    <row r="15595" spans="8:20" x14ac:dyDescent="0.35">
      <c r="H15595" s="711"/>
      <c r="I15595" s="711"/>
      <c r="J15595" s="711"/>
      <c r="K15595" s="711"/>
      <c r="L15595" s="711"/>
      <c r="Q15595" s="11"/>
      <c r="R15595" s="11"/>
      <c r="S15595" s="11"/>
      <c r="T15595" s="11"/>
    </row>
    <row r="15596" spans="8:20" x14ac:dyDescent="0.35">
      <c r="H15596" s="711"/>
      <c r="I15596" s="711"/>
      <c r="J15596" s="711"/>
      <c r="K15596" s="711"/>
      <c r="L15596" s="711"/>
      <c r="Q15596" s="11"/>
      <c r="R15596" s="11"/>
      <c r="S15596" s="11"/>
      <c r="T15596" s="11"/>
    </row>
    <row r="15597" spans="8:20" x14ac:dyDescent="0.35">
      <c r="H15597" s="711"/>
      <c r="I15597" s="711"/>
      <c r="J15597" s="711"/>
      <c r="K15597" s="711"/>
      <c r="L15597" s="711"/>
      <c r="Q15597" s="11"/>
      <c r="R15597" s="11"/>
      <c r="S15597" s="11"/>
      <c r="T15597" s="11"/>
    </row>
    <row r="15598" spans="8:20" x14ac:dyDescent="0.35">
      <c r="H15598" s="711"/>
      <c r="I15598" s="711"/>
      <c r="J15598" s="711"/>
      <c r="K15598" s="711"/>
      <c r="L15598" s="711"/>
      <c r="Q15598" s="11"/>
      <c r="R15598" s="11"/>
      <c r="S15598" s="11"/>
      <c r="T15598" s="11"/>
    </row>
    <row r="15599" spans="8:20" x14ac:dyDescent="0.35">
      <c r="H15599" s="711"/>
      <c r="I15599" s="711"/>
      <c r="J15599" s="711"/>
      <c r="K15599" s="711"/>
      <c r="L15599" s="711"/>
      <c r="Q15599" s="11"/>
      <c r="R15599" s="11"/>
      <c r="S15599" s="11"/>
      <c r="T15599" s="11"/>
    </row>
    <row r="15600" spans="8:20" x14ac:dyDescent="0.35">
      <c r="H15600" s="711"/>
      <c r="I15600" s="711"/>
      <c r="J15600" s="711"/>
      <c r="K15600" s="711"/>
      <c r="L15600" s="711"/>
      <c r="Q15600" s="11"/>
      <c r="R15600" s="11"/>
      <c r="S15600" s="11"/>
      <c r="T15600" s="11"/>
    </row>
    <row r="15601" spans="8:20" x14ac:dyDescent="0.35">
      <c r="H15601" s="711"/>
      <c r="I15601" s="711"/>
      <c r="J15601" s="711"/>
      <c r="K15601" s="711"/>
      <c r="L15601" s="711"/>
      <c r="Q15601" s="11"/>
      <c r="R15601" s="11"/>
      <c r="S15601" s="11"/>
      <c r="T15601" s="11"/>
    </row>
    <row r="15602" spans="8:20" x14ac:dyDescent="0.35">
      <c r="H15602" s="711"/>
      <c r="I15602" s="711"/>
      <c r="J15602" s="711"/>
      <c r="K15602" s="711"/>
      <c r="L15602" s="711"/>
      <c r="Q15602" s="11"/>
      <c r="R15602" s="11"/>
      <c r="S15602" s="11"/>
      <c r="T15602" s="11"/>
    </row>
    <row r="15603" spans="8:20" x14ac:dyDescent="0.35">
      <c r="H15603" s="711"/>
      <c r="I15603" s="711"/>
      <c r="J15603" s="711"/>
      <c r="K15603" s="711"/>
      <c r="L15603" s="711"/>
      <c r="Q15603" s="11"/>
      <c r="R15603" s="11"/>
      <c r="S15603" s="11"/>
      <c r="T15603" s="11"/>
    </row>
    <row r="15604" spans="8:20" x14ac:dyDescent="0.35">
      <c r="H15604" s="711"/>
      <c r="I15604" s="711"/>
      <c r="J15604" s="711"/>
      <c r="K15604" s="711"/>
      <c r="L15604" s="711"/>
      <c r="Q15604" s="11"/>
      <c r="R15604" s="11"/>
      <c r="S15604" s="11"/>
      <c r="T15604" s="11"/>
    </row>
    <row r="15605" spans="8:20" x14ac:dyDescent="0.35">
      <c r="H15605" s="711"/>
      <c r="I15605" s="711"/>
      <c r="J15605" s="711"/>
      <c r="K15605" s="711"/>
      <c r="L15605" s="711"/>
      <c r="Q15605" s="11"/>
      <c r="R15605" s="11"/>
      <c r="S15605" s="11"/>
      <c r="T15605" s="11"/>
    </row>
    <row r="15606" spans="8:20" x14ac:dyDescent="0.35">
      <c r="H15606" s="711"/>
      <c r="I15606" s="711"/>
      <c r="J15606" s="711"/>
      <c r="K15606" s="711"/>
      <c r="L15606" s="711"/>
      <c r="Q15606" s="11"/>
      <c r="R15606" s="11"/>
      <c r="S15606" s="11"/>
      <c r="T15606" s="11"/>
    </row>
    <row r="15607" spans="8:20" x14ac:dyDescent="0.35">
      <c r="H15607" s="711"/>
      <c r="I15607" s="711"/>
      <c r="J15607" s="711"/>
      <c r="K15607" s="711"/>
      <c r="L15607" s="711"/>
      <c r="Q15607" s="11"/>
      <c r="R15607" s="11"/>
      <c r="S15607" s="11"/>
      <c r="T15607" s="11"/>
    </row>
    <row r="15608" spans="8:20" x14ac:dyDescent="0.35">
      <c r="H15608" s="711"/>
      <c r="I15608" s="711"/>
      <c r="J15608" s="711"/>
      <c r="K15608" s="711"/>
      <c r="L15608" s="711"/>
      <c r="Q15608" s="11"/>
      <c r="R15608" s="11"/>
      <c r="S15608" s="11"/>
      <c r="T15608" s="11"/>
    </row>
    <row r="15609" spans="8:20" x14ac:dyDescent="0.35">
      <c r="H15609" s="711"/>
      <c r="I15609" s="711"/>
      <c r="J15609" s="711"/>
      <c r="K15609" s="711"/>
      <c r="L15609" s="711"/>
      <c r="Q15609" s="11"/>
      <c r="R15609" s="11"/>
      <c r="S15609" s="11"/>
      <c r="T15609" s="11"/>
    </row>
    <row r="15610" spans="8:20" x14ac:dyDescent="0.35">
      <c r="H15610" s="711"/>
      <c r="I15610" s="711"/>
      <c r="J15610" s="711"/>
      <c r="K15610" s="711"/>
      <c r="L15610" s="711"/>
      <c r="Q15610" s="11"/>
      <c r="R15610" s="11"/>
      <c r="S15610" s="11"/>
      <c r="T15610" s="11"/>
    </row>
    <row r="15611" spans="8:20" x14ac:dyDescent="0.35">
      <c r="H15611" s="711"/>
      <c r="I15611" s="711"/>
      <c r="J15611" s="711"/>
      <c r="K15611" s="711"/>
      <c r="L15611" s="711"/>
      <c r="Q15611" s="11"/>
      <c r="R15611" s="11"/>
      <c r="S15611" s="11"/>
      <c r="T15611" s="11"/>
    </row>
    <row r="15612" spans="8:20" x14ac:dyDescent="0.35">
      <c r="H15612" s="711"/>
      <c r="I15612" s="711"/>
      <c r="J15612" s="711"/>
      <c r="K15612" s="711"/>
      <c r="L15612" s="711"/>
      <c r="Q15612" s="11"/>
      <c r="R15612" s="11"/>
      <c r="S15612" s="11"/>
      <c r="T15612" s="11"/>
    </row>
    <row r="15613" spans="8:20" x14ac:dyDescent="0.35">
      <c r="H15613" s="711"/>
      <c r="I15613" s="711"/>
      <c r="J15613" s="711"/>
      <c r="K15613" s="711"/>
      <c r="L15613" s="711"/>
      <c r="Q15613" s="11"/>
      <c r="R15613" s="11"/>
      <c r="S15613" s="11"/>
      <c r="T15613" s="11"/>
    </row>
    <row r="15614" spans="8:20" x14ac:dyDescent="0.35">
      <c r="H15614" s="711"/>
      <c r="I15614" s="711"/>
      <c r="J15614" s="711"/>
      <c r="K15614" s="711"/>
      <c r="L15614" s="711"/>
      <c r="Q15614" s="11"/>
      <c r="R15614" s="11"/>
      <c r="S15614" s="11"/>
      <c r="T15614" s="11"/>
    </row>
    <row r="15615" spans="8:20" x14ac:dyDescent="0.35">
      <c r="H15615" s="711"/>
      <c r="I15615" s="711"/>
      <c r="J15615" s="711"/>
      <c r="K15615" s="711"/>
      <c r="L15615" s="711"/>
      <c r="Q15615" s="11"/>
      <c r="R15615" s="11"/>
      <c r="S15615" s="11"/>
      <c r="T15615" s="11"/>
    </row>
    <row r="15616" spans="8:20" x14ac:dyDescent="0.35">
      <c r="H15616" s="711"/>
      <c r="I15616" s="711"/>
      <c r="J15616" s="711"/>
      <c r="K15616" s="711"/>
      <c r="L15616" s="711"/>
      <c r="Q15616" s="11"/>
      <c r="R15616" s="11"/>
      <c r="S15616" s="11"/>
      <c r="T15616" s="11"/>
    </row>
    <row r="15617" spans="8:20" x14ac:dyDescent="0.35">
      <c r="H15617" s="711"/>
      <c r="I15617" s="711"/>
      <c r="J15617" s="711"/>
      <c r="K15617" s="711"/>
      <c r="L15617" s="711"/>
      <c r="Q15617" s="11"/>
      <c r="R15617" s="11"/>
      <c r="S15617" s="11"/>
      <c r="T15617" s="11"/>
    </row>
    <row r="15618" spans="8:20" x14ac:dyDescent="0.35">
      <c r="H15618" s="711"/>
      <c r="I15618" s="711"/>
      <c r="J15618" s="711"/>
      <c r="K15618" s="711"/>
      <c r="L15618" s="711"/>
      <c r="Q15618" s="11"/>
      <c r="R15618" s="11"/>
      <c r="S15618" s="11"/>
      <c r="T15618" s="11"/>
    </row>
    <row r="15619" spans="8:20" x14ac:dyDescent="0.35">
      <c r="H15619" s="711"/>
      <c r="I15619" s="711"/>
      <c r="J15619" s="711"/>
      <c r="K15619" s="711"/>
      <c r="L15619" s="711"/>
      <c r="Q15619" s="11"/>
      <c r="R15619" s="11"/>
      <c r="S15619" s="11"/>
      <c r="T15619" s="11"/>
    </row>
    <row r="15620" spans="8:20" x14ac:dyDescent="0.35">
      <c r="H15620" s="711"/>
      <c r="I15620" s="711"/>
      <c r="J15620" s="711"/>
      <c r="K15620" s="711"/>
      <c r="L15620" s="711"/>
      <c r="Q15620" s="11"/>
      <c r="R15620" s="11"/>
      <c r="S15620" s="11"/>
      <c r="T15620" s="11"/>
    </row>
    <row r="15621" spans="8:20" x14ac:dyDescent="0.35">
      <c r="H15621" s="711"/>
      <c r="I15621" s="711"/>
      <c r="J15621" s="711"/>
      <c r="K15621" s="711"/>
      <c r="L15621" s="711"/>
      <c r="Q15621" s="11"/>
      <c r="R15621" s="11"/>
      <c r="S15621" s="11"/>
      <c r="T15621" s="11"/>
    </row>
    <row r="15622" spans="8:20" x14ac:dyDescent="0.35">
      <c r="H15622" s="711"/>
      <c r="I15622" s="711"/>
      <c r="J15622" s="711"/>
      <c r="K15622" s="711"/>
      <c r="L15622" s="711"/>
      <c r="Q15622" s="11"/>
      <c r="R15622" s="11"/>
      <c r="S15622" s="11"/>
      <c r="T15622" s="11"/>
    </row>
    <row r="15623" spans="8:20" x14ac:dyDescent="0.35">
      <c r="H15623" s="711"/>
      <c r="I15623" s="711"/>
      <c r="J15623" s="711"/>
      <c r="K15623" s="711"/>
      <c r="L15623" s="711"/>
      <c r="Q15623" s="11"/>
      <c r="R15623" s="11"/>
      <c r="S15623" s="11"/>
      <c r="T15623" s="11"/>
    </row>
    <row r="15624" spans="8:20" x14ac:dyDescent="0.35">
      <c r="H15624" s="711"/>
      <c r="I15624" s="711"/>
      <c r="J15624" s="711"/>
      <c r="K15624" s="711"/>
      <c r="L15624" s="711"/>
      <c r="Q15624" s="11"/>
      <c r="R15624" s="11"/>
      <c r="S15624" s="11"/>
      <c r="T15624" s="11"/>
    </row>
    <row r="15625" spans="8:20" x14ac:dyDescent="0.35">
      <c r="H15625" s="711"/>
      <c r="I15625" s="711"/>
      <c r="J15625" s="711"/>
      <c r="K15625" s="711"/>
      <c r="L15625" s="711"/>
      <c r="Q15625" s="11"/>
      <c r="R15625" s="11"/>
      <c r="S15625" s="11"/>
      <c r="T15625" s="11"/>
    </row>
    <row r="15626" spans="8:20" x14ac:dyDescent="0.35">
      <c r="H15626" s="711"/>
      <c r="I15626" s="711"/>
      <c r="J15626" s="711"/>
      <c r="K15626" s="711"/>
      <c r="L15626" s="711"/>
      <c r="Q15626" s="11"/>
      <c r="R15626" s="11"/>
      <c r="S15626" s="11"/>
      <c r="T15626" s="11"/>
    </row>
    <row r="15627" spans="8:20" x14ac:dyDescent="0.35">
      <c r="H15627" s="711"/>
      <c r="I15627" s="711"/>
      <c r="J15627" s="711"/>
      <c r="K15627" s="711"/>
      <c r="L15627" s="711"/>
      <c r="Q15627" s="11"/>
      <c r="R15627" s="11"/>
      <c r="S15627" s="11"/>
      <c r="T15627" s="11"/>
    </row>
    <row r="15628" spans="8:20" x14ac:dyDescent="0.35">
      <c r="H15628" s="711"/>
      <c r="I15628" s="711"/>
      <c r="J15628" s="711"/>
      <c r="K15628" s="711"/>
      <c r="L15628" s="711"/>
      <c r="Q15628" s="11"/>
      <c r="R15628" s="11"/>
      <c r="S15628" s="11"/>
      <c r="T15628" s="11"/>
    </row>
    <row r="15629" spans="8:20" x14ac:dyDescent="0.35">
      <c r="H15629" s="711"/>
      <c r="I15629" s="711"/>
      <c r="J15629" s="711"/>
      <c r="K15629" s="711"/>
      <c r="L15629" s="711"/>
      <c r="Q15629" s="11"/>
      <c r="R15629" s="11"/>
      <c r="S15629" s="11"/>
      <c r="T15629" s="11"/>
    </row>
    <row r="15630" spans="8:20" x14ac:dyDescent="0.35">
      <c r="H15630" s="711"/>
      <c r="I15630" s="711"/>
      <c r="J15630" s="711"/>
      <c r="K15630" s="711"/>
      <c r="L15630" s="711"/>
      <c r="Q15630" s="11"/>
      <c r="R15630" s="11"/>
      <c r="S15630" s="11"/>
      <c r="T15630" s="11"/>
    </row>
    <row r="15631" spans="8:20" x14ac:dyDescent="0.35">
      <c r="H15631" s="711"/>
      <c r="I15631" s="711"/>
      <c r="J15631" s="711"/>
      <c r="K15631" s="711"/>
      <c r="L15631" s="711"/>
      <c r="Q15631" s="11"/>
      <c r="R15631" s="11"/>
      <c r="S15631" s="11"/>
      <c r="T15631" s="11"/>
    </row>
    <row r="15632" spans="8:20" x14ac:dyDescent="0.35">
      <c r="H15632" s="711"/>
      <c r="I15632" s="711"/>
      <c r="J15632" s="711"/>
      <c r="K15632" s="711"/>
      <c r="L15632" s="711"/>
      <c r="Q15632" s="11"/>
      <c r="R15632" s="11"/>
      <c r="S15632" s="11"/>
      <c r="T15632" s="11"/>
    </row>
    <row r="15633" spans="8:20" x14ac:dyDescent="0.35">
      <c r="H15633" s="711"/>
      <c r="I15633" s="711"/>
      <c r="J15633" s="711"/>
      <c r="K15633" s="711"/>
      <c r="L15633" s="711"/>
      <c r="Q15633" s="11"/>
      <c r="R15633" s="11"/>
      <c r="S15633" s="11"/>
      <c r="T15633" s="11"/>
    </row>
    <row r="15634" spans="8:20" x14ac:dyDescent="0.35">
      <c r="H15634" s="711"/>
      <c r="I15634" s="711"/>
      <c r="J15634" s="711"/>
      <c r="K15634" s="711"/>
      <c r="L15634" s="711"/>
      <c r="Q15634" s="11"/>
      <c r="R15634" s="11"/>
      <c r="S15634" s="11"/>
      <c r="T15634" s="11"/>
    </row>
    <row r="15635" spans="8:20" x14ac:dyDescent="0.35">
      <c r="H15635" s="711"/>
      <c r="I15635" s="711"/>
      <c r="J15635" s="711"/>
      <c r="K15635" s="711"/>
      <c r="L15635" s="711"/>
      <c r="Q15635" s="11"/>
      <c r="R15635" s="11"/>
      <c r="S15635" s="11"/>
      <c r="T15635" s="11"/>
    </row>
    <row r="15636" spans="8:20" x14ac:dyDescent="0.35">
      <c r="H15636" s="711"/>
      <c r="I15636" s="711"/>
      <c r="J15636" s="711"/>
      <c r="K15636" s="711"/>
      <c r="L15636" s="711"/>
      <c r="Q15636" s="11"/>
      <c r="R15636" s="11"/>
      <c r="S15636" s="11"/>
      <c r="T15636" s="11"/>
    </row>
    <row r="15637" spans="8:20" x14ac:dyDescent="0.35">
      <c r="H15637" s="711"/>
      <c r="I15637" s="711"/>
      <c r="J15637" s="711"/>
      <c r="K15637" s="711"/>
      <c r="L15637" s="711"/>
      <c r="Q15637" s="11"/>
      <c r="R15637" s="11"/>
      <c r="S15637" s="11"/>
      <c r="T15637" s="11"/>
    </row>
    <row r="15638" spans="8:20" x14ac:dyDescent="0.35">
      <c r="H15638" s="711"/>
      <c r="I15638" s="711"/>
      <c r="J15638" s="711"/>
      <c r="K15638" s="711"/>
      <c r="L15638" s="711"/>
      <c r="Q15638" s="11"/>
      <c r="R15638" s="11"/>
      <c r="S15638" s="11"/>
      <c r="T15638" s="11"/>
    </row>
    <row r="15639" spans="8:20" x14ac:dyDescent="0.35">
      <c r="H15639" s="711"/>
      <c r="I15639" s="711"/>
      <c r="J15639" s="711"/>
      <c r="K15639" s="711"/>
      <c r="L15639" s="711"/>
      <c r="Q15639" s="11"/>
      <c r="R15639" s="11"/>
      <c r="S15639" s="11"/>
      <c r="T15639" s="11"/>
    </row>
    <row r="15640" spans="8:20" x14ac:dyDescent="0.35">
      <c r="H15640" s="711"/>
      <c r="I15640" s="711"/>
      <c r="J15640" s="711"/>
      <c r="K15640" s="711"/>
      <c r="L15640" s="711"/>
      <c r="Q15640" s="11"/>
      <c r="R15640" s="11"/>
      <c r="S15640" s="11"/>
      <c r="T15640" s="11"/>
    </row>
    <row r="15641" spans="8:20" x14ac:dyDescent="0.35">
      <c r="H15641" s="711"/>
      <c r="I15641" s="711"/>
      <c r="J15641" s="711"/>
      <c r="K15641" s="711"/>
      <c r="L15641" s="711"/>
      <c r="Q15641" s="11"/>
      <c r="R15641" s="11"/>
      <c r="S15641" s="11"/>
      <c r="T15641" s="11"/>
    </row>
    <row r="15642" spans="8:20" x14ac:dyDescent="0.35">
      <c r="H15642" s="711"/>
      <c r="I15642" s="711"/>
      <c r="J15642" s="711"/>
      <c r="K15642" s="711"/>
      <c r="L15642" s="711"/>
      <c r="Q15642" s="11"/>
      <c r="R15642" s="11"/>
      <c r="S15642" s="11"/>
      <c r="T15642" s="11"/>
    </row>
    <row r="15643" spans="8:20" x14ac:dyDescent="0.35">
      <c r="H15643" s="711"/>
      <c r="I15643" s="711"/>
      <c r="J15643" s="711"/>
      <c r="K15643" s="711"/>
      <c r="L15643" s="711"/>
      <c r="Q15643" s="11"/>
      <c r="R15643" s="11"/>
      <c r="S15643" s="11"/>
      <c r="T15643" s="11"/>
    </row>
    <row r="15644" spans="8:20" x14ac:dyDescent="0.35">
      <c r="H15644" s="711"/>
      <c r="I15644" s="711"/>
      <c r="J15644" s="711"/>
      <c r="K15644" s="711"/>
      <c r="L15644" s="711"/>
      <c r="Q15644" s="11"/>
      <c r="R15644" s="11"/>
      <c r="S15644" s="11"/>
      <c r="T15644" s="11"/>
    </row>
    <row r="15645" spans="8:20" x14ac:dyDescent="0.35">
      <c r="H15645" s="711"/>
      <c r="I15645" s="711"/>
      <c r="J15645" s="711"/>
      <c r="K15645" s="711"/>
      <c r="L15645" s="711"/>
      <c r="Q15645" s="11"/>
      <c r="R15645" s="11"/>
      <c r="S15645" s="11"/>
      <c r="T15645" s="11"/>
    </row>
    <row r="15646" spans="8:20" x14ac:dyDescent="0.35">
      <c r="H15646" s="711"/>
      <c r="I15646" s="711"/>
      <c r="J15646" s="711"/>
      <c r="K15646" s="711"/>
      <c r="L15646" s="711"/>
      <c r="Q15646" s="11"/>
      <c r="R15646" s="11"/>
      <c r="S15646" s="11"/>
      <c r="T15646" s="11"/>
    </row>
    <row r="15647" spans="8:20" x14ac:dyDescent="0.35">
      <c r="H15647" s="711"/>
      <c r="I15647" s="711"/>
      <c r="J15647" s="711"/>
      <c r="K15647" s="711"/>
      <c r="L15647" s="711"/>
      <c r="Q15647" s="11"/>
      <c r="R15647" s="11"/>
      <c r="S15647" s="11"/>
      <c r="T15647" s="11"/>
    </row>
    <row r="15648" spans="8:20" x14ac:dyDescent="0.35">
      <c r="H15648" s="711"/>
      <c r="I15648" s="711"/>
      <c r="J15648" s="711"/>
      <c r="K15648" s="711"/>
      <c r="L15648" s="711"/>
      <c r="Q15648" s="11"/>
      <c r="R15648" s="11"/>
      <c r="S15648" s="11"/>
      <c r="T15648" s="11"/>
    </row>
    <row r="15649" spans="8:20" x14ac:dyDescent="0.35">
      <c r="H15649" s="711"/>
      <c r="I15649" s="711"/>
      <c r="J15649" s="711"/>
      <c r="K15649" s="711"/>
      <c r="L15649" s="711"/>
      <c r="Q15649" s="11"/>
      <c r="R15649" s="11"/>
      <c r="S15649" s="11"/>
      <c r="T15649" s="11"/>
    </row>
    <row r="15650" spans="8:20" x14ac:dyDescent="0.35">
      <c r="H15650" s="711"/>
      <c r="I15650" s="711"/>
      <c r="J15650" s="711"/>
      <c r="K15650" s="711"/>
      <c r="L15650" s="711"/>
      <c r="Q15650" s="11"/>
      <c r="R15650" s="11"/>
      <c r="S15650" s="11"/>
      <c r="T15650" s="11"/>
    </row>
    <row r="15651" spans="8:20" x14ac:dyDescent="0.35">
      <c r="H15651" s="711"/>
      <c r="I15651" s="711"/>
      <c r="J15651" s="711"/>
      <c r="K15651" s="711"/>
      <c r="L15651" s="711"/>
      <c r="Q15651" s="11"/>
      <c r="R15651" s="11"/>
      <c r="S15651" s="11"/>
      <c r="T15651" s="11"/>
    </row>
    <row r="15652" spans="8:20" x14ac:dyDescent="0.35">
      <c r="H15652" s="711"/>
      <c r="I15652" s="711"/>
      <c r="J15652" s="711"/>
      <c r="K15652" s="711"/>
      <c r="L15652" s="711"/>
      <c r="Q15652" s="11"/>
      <c r="R15652" s="11"/>
      <c r="S15652" s="11"/>
      <c r="T15652" s="11"/>
    </row>
    <row r="15653" spans="8:20" x14ac:dyDescent="0.35">
      <c r="H15653" s="711"/>
      <c r="I15653" s="711"/>
      <c r="J15653" s="711"/>
      <c r="K15653" s="711"/>
      <c r="L15653" s="711"/>
      <c r="Q15653" s="11"/>
      <c r="R15653" s="11"/>
      <c r="S15653" s="11"/>
      <c r="T15653" s="11"/>
    </row>
    <row r="15654" spans="8:20" x14ac:dyDescent="0.35">
      <c r="H15654" s="711"/>
      <c r="I15654" s="711"/>
      <c r="J15654" s="711"/>
      <c r="K15654" s="711"/>
      <c r="L15654" s="711"/>
      <c r="Q15654" s="11"/>
      <c r="R15654" s="11"/>
      <c r="S15654" s="11"/>
      <c r="T15654" s="11"/>
    </row>
    <row r="15655" spans="8:20" x14ac:dyDescent="0.35">
      <c r="H15655" s="711"/>
      <c r="I15655" s="711"/>
      <c r="J15655" s="711"/>
      <c r="K15655" s="711"/>
      <c r="L15655" s="711"/>
      <c r="Q15655" s="11"/>
      <c r="R15655" s="11"/>
      <c r="S15655" s="11"/>
      <c r="T15655" s="11"/>
    </row>
    <row r="15656" spans="8:20" x14ac:dyDescent="0.35">
      <c r="H15656" s="711"/>
      <c r="I15656" s="711"/>
      <c r="J15656" s="711"/>
      <c r="K15656" s="711"/>
      <c r="L15656" s="711"/>
      <c r="Q15656" s="11"/>
      <c r="R15656" s="11"/>
      <c r="S15656" s="11"/>
      <c r="T15656" s="11"/>
    </row>
    <row r="15657" spans="8:20" x14ac:dyDescent="0.35">
      <c r="H15657" s="711"/>
      <c r="I15657" s="711"/>
      <c r="J15657" s="711"/>
      <c r="K15657" s="711"/>
      <c r="L15657" s="711"/>
      <c r="Q15657" s="11"/>
      <c r="R15657" s="11"/>
      <c r="S15657" s="11"/>
      <c r="T15657" s="11"/>
    </row>
    <row r="15658" spans="8:20" x14ac:dyDescent="0.35">
      <c r="H15658" s="711"/>
      <c r="I15658" s="711"/>
      <c r="J15658" s="711"/>
      <c r="K15658" s="711"/>
      <c r="L15658" s="711"/>
      <c r="Q15658" s="11"/>
      <c r="R15658" s="11"/>
      <c r="S15658" s="11"/>
      <c r="T15658" s="11"/>
    </row>
    <row r="15659" spans="8:20" x14ac:dyDescent="0.35">
      <c r="H15659" s="711"/>
      <c r="I15659" s="711"/>
      <c r="J15659" s="711"/>
      <c r="K15659" s="711"/>
      <c r="L15659" s="711"/>
      <c r="Q15659" s="11"/>
      <c r="R15659" s="11"/>
      <c r="S15659" s="11"/>
      <c r="T15659" s="11"/>
    </row>
    <row r="15660" spans="8:20" x14ac:dyDescent="0.35">
      <c r="H15660" s="711"/>
      <c r="I15660" s="711"/>
      <c r="J15660" s="711"/>
      <c r="K15660" s="711"/>
      <c r="L15660" s="711"/>
      <c r="Q15660" s="11"/>
      <c r="R15660" s="11"/>
      <c r="S15660" s="11"/>
      <c r="T15660" s="11"/>
    </row>
    <row r="15661" spans="8:20" x14ac:dyDescent="0.35">
      <c r="H15661" s="711"/>
      <c r="I15661" s="711"/>
      <c r="J15661" s="711"/>
      <c r="K15661" s="711"/>
      <c r="L15661" s="711"/>
      <c r="Q15661" s="11"/>
      <c r="R15661" s="11"/>
      <c r="S15661" s="11"/>
      <c r="T15661" s="11"/>
    </row>
    <row r="15662" spans="8:20" x14ac:dyDescent="0.35">
      <c r="H15662" s="711"/>
      <c r="I15662" s="711"/>
      <c r="J15662" s="711"/>
      <c r="K15662" s="711"/>
      <c r="L15662" s="711"/>
      <c r="Q15662" s="11"/>
      <c r="R15662" s="11"/>
      <c r="S15662" s="11"/>
      <c r="T15662" s="11"/>
    </row>
    <row r="15663" spans="8:20" x14ac:dyDescent="0.35">
      <c r="H15663" s="711"/>
      <c r="I15663" s="711"/>
      <c r="J15663" s="711"/>
      <c r="K15663" s="711"/>
      <c r="L15663" s="711"/>
      <c r="Q15663" s="11"/>
      <c r="R15663" s="11"/>
      <c r="S15663" s="11"/>
      <c r="T15663" s="11"/>
    </row>
    <row r="15664" spans="8:20" x14ac:dyDescent="0.35">
      <c r="H15664" s="711"/>
      <c r="I15664" s="711"/>
      <c r="J15664" s="711"/>
      <c r="K15664" s="711"/>
      <c r="L15664" s="711"/>
      <c r="Q15664" s="11"/>
      <c r="R15664" s="11"/>
      <c r="S15664" s="11"/>
      <c r="T15664" s="11"/>
    </row>
    <row r="15665" spans="8:20" x14ac:dyDescent="0.35">
      <c r="H15665" s="711"/>
      <c r="I15665" s="711"/>
      <c r="J15665" s="711"/>
      <c r="K15665" s="711"/>
      <c r="L15665" s="711"/>
      <c r="Q15665" s="11"/>
      <c r="R15665" s="11"/>
      <c r="S15665" s="11"/>
      <c r="T15665" s="11"/>
    </row>
    <row r="15666" spans="8:20" x14ac:dyDescent="0.35">
      <c r="H15666" s="711"/>
      <c r="I15666" s="711"/>
      <c r="J15666" s="711"/>
      <c r="K15666" s="711"/>
      <c r="L15666" s="711"/>
      <c r="Q15666" s="11"/>
      <c r="R15666" s="11"/>
      <c r="S15666" s="11"/>
      <c r="T15666" s="11"/>
    </row>
    <row r="15667" spans="8:20" x14ac:dyDescent="0.35">
      <c r="H15667" s="711"/>
      <c r="I15667" s="711"/>
      <c r="J15667" s="711"/>
      <c r="K15667" s="711"/>
      <c r="L15667" s="711"/>
      <c r="Q15667" s="11"/>
      <c r="R15667" s="11"/>
      <c r="S15667" s="11"/>
      <c r="T15667" s="11"/>
    </row>
    <row r="15668" spans="8:20" x14ac:dyDescent="0.35">
      <c r="H15668" s="711"/>
      <c r="I15668" s="711"/>
      <c r="J15668" s="711"/>
      <c r="K15668" s="711"/>
      <c r="L15668" s="711"/>
      <c r="Q15668" s="11"/>
      <c r="R15668" s="11"/>
      <c r="S15668" s="11"/>
      <c r="T15668" s="11"/>
    </row>
    <row r="15669" spans="8:20" x14ac:dyDescent="0.35">
      <c r="H15669" s="711"/>
      <c r="I15669" s="711"/>
      <c r="J15669" s="711"/>
      <c r="K15669" s="711"/>
      <c r="L15669" s="711"/>
      <c r="Q15669" s="11"/>
      <c r="R15669" s="11"/>
      <c r="S15669" s="11"/>
      <c r="T15669" s="11"/>
    </row>
    <row r="15670" spans="8:20" x14ac:dyDescent="0.35">
      <c r="H15670" s="711"/>
      <c r="I15670" s="711"/>
      <c r="J15670" s="711"/>
      <c r="K15670" s="711"/>
      <c r="L15670" s="711"/>
      <c r="Q15670" s="11"/>
      <c r="R15670" s="11"/>
      <c r="S15670" s="11"/>
      <c r="T15670" s="11"/>
    </row>
    <row r="15671" spans="8:20" x14ac:dyDescent="0.35">
      <c r="H15671" s="711"/>
      <c r="I15671" s="711"/>
      <c r="J15671" s="711"/>
      <c r="K15671" s="711"/>
      <c r="L15671" s="711"/>
      <c r="Q15671" s="11"/>
      <c r="R15671" s="11"/>
      <c r="S15671" s="11"/>
      <c r="T15671" s="11"/>
    </row>
    <row r="15672" spans="8:20" x14ac:dyDescent="0.35">
      <c r="H15672" s="711"/>
      <c r="I15672" s="711"/>
      <c r="J15672" s="711"/>
      <c r="K15672" s="711"/>
      <c r="L15672" s="711"/>
      <c r="Q15672" s="11"/>
      <c r="R15672" s="11"/>
      <c r="S15672" s="11"/>
      <c r="T15672" s="11"/>
    </row>
    <row r="15673" spans="8:20" x14ac:dyDescent="0.35">
      <c r="H15673" s="711"/>
      <c r="I15673" s="711"/>
      <c r="J15673" s="711"/>
      <c r="K15673" s="711"/>
      <c r="L15673" s="711"/>
      <c r="Q15673" s="11"/>
      <c r="R15673" s="11"/>
      <c r="S15673" s="11"/>
      <c r="T15673" s="11"/>
    </row>
    <row r="15674" spans="8:20" x14ac:dyDescent="0.35">
      <c r="H15674" s="711"/>
      <c r="I15674" s="711"/>
      <c r="J15674" s="711"/>
      <c r="K15674" s="711"/>
      <c r="L15674" s="711"/>
      <c r="Q15674" s="11"/>
      <c r="R15674" s="11"/>
      <c r="S15674" s="11"/>
      <c r="T15674" s="11"/>
    </row>
    <row r="15675" spans="8:20" x14ac:dyDescent="0.35">
      <c r="H15675" s="711"/>
      <c r="I15675" s="711"/>
      <c r="J15675" s="711"/>
      <c r="K15675" s="711"/>
      <c r="L15675" s="711"/>
      <c r="Q15675" s="11"/>
      <c r="R15675" s="11"/>
      <c r="S15675" s="11"/>
      <c r="T15675" s="11"/>
    </row>
    <row r="15676" spans="8:20" x14ac:dyDescent="0.35">
      <c r="H15676" s="711"/>
      <c r="I15676" s="711"/>
      <c r="J15676" s="711"/>
      <c r="K15676" s="711"/>
      <c r="L15676" s="711"/>
      <c r="Q15676" s="11"/>
      <c r="R15676" s="11"/>
      <c r="S15676" s="11"/>
      <c r="T15676" s="11"/>
    </row>
    <row r="15677" spans="8:20" x14ac:dyDescent="0.35">
      <c r="H15677" s="711"/>
      <c r="I15677" s="711"/>
      <c r="J15677" s="711"/>
      <c r="K15677" s="711"/>
      <c r="L15677" s="711"/>
      <c r="Q15677" s="11"/>
      <c r="R15677" s="11"/>
      <c r="S15677" s="11"/>
      <c r="T15677" s="11"/>
    </row>
    <row r="15678" spans="8:20" x14ac:dyDescent="0.35">
      <c r="H15678" s="711"/>
      <c r="I15678" s="711"/>
      <c r="J15678" s="711"/>
      <c r="K15678" s="711"/>
      <c r="L15678" s="711"/>
      <c r="Q15678" s="11"/>
      <c r="R15678" s="11"/>
      <c r="S15678" s="11"/>
      <c r="T15678" s="11"/>
    </row>
    <row r="15679" spans="8:20" x14ac:dyDescent="0.35">
      <c r="H15679" s="711"/>
      <c r="I15679" s="711"/>
      <c r="J15679" s="711"/>
      <c r="K15679" s="711"/>
      <c r="L15679" s="711"/>
      <c r="Q15679" s="11"/>
      <c r="R15679" s="11"/>
      <c r="S15679" s="11"/>
      <c r="T15679" s="11"/>
    </row>
    <row r="15680" spans="8:20" x14ac:dyDescent="0.35">
      <c r="H15680" s="711"/>
      <c r="I15680" s="711"/>
      <c r="J15680" s="711"/>
      <c r="K15680" s="711"/>
      <c r="L15680" s="711"/>
      <c r="Q15680" s="11"/>
      <c r="R15680" s="11"/>
      <c r="S15680" s="11"/>
      <c r="T15680" s="11"/>
    </row>
    <row r="15681" spans="8:20" x14ac:dyDescent="0.35">
      <c r="H15681" s="711"/>
      <c r="I15681" s="711"/>
      <c r="J15681" s="711"/>
      <c r="K15681" s="711"/>
      <c r="L15681" s="711"/>
      <c r="Q15681" s="11"/>
      <c r="R15681" s="11"/>
      <c r="S15681" s="11"/>
      <c r="T15681" s="11"/>
    </row>
    <row r="15682" spans="8:20" x14ac:dyDescent="0.35">
      <c r="H15682" s="711"/>
      <c r="I15682" s="711"/>
      <c r="J15682" s="711"/>
      <c r="K15682" s="711"/>
      <c r="L15682" s="711"/>
      <c r="Q15682" s="11"/>
      <c r="R15682" s="11"/>
      <c r="S15682" s="11"/>
      <c r="T15682" s="11"/>
    </row>
    <row r="15683" spans="8:20" x14ac:dyDescent="0.35">
      <c r="H15683" s="711"/>
      <c r="I15683" s="711"/>
      <c r="J15683" s="711"/>
      <c r="K15683" s="711"/>
      <c r="L15683" s="711"/>
      <c r="Q15683" s="11"/>
      <c r="R15683" s="11"/>
      <c r="S15683" s="11"/>
      <c r="T15683" s="11"/>
    </row>
    <row r="15684" spans="8:20" x14ac:dyDescent="0.35">
      <c r="H15684" s="711"/>
      <c r="I15684" s="711"/>
      <c r="J15684" s="711"/>
      <c r="K15684" s="711"/>
      <c r="L15684" s="711"/>
      <c r="Q15684" s="11"/>
      <c r="R15684" s="11"/>
      <c r="S15684" s="11"/>
      <c r="T15684" s="11"/>
    </row>
    <row r="15685" spans="8:20" x14ac:dyDescent="0.35">
      <c r="H15685" s="711"/>
      <c r="I15685" s="711"/>
      <c r="J15685" s="711"/>
      <c r="K15685" s="711"/>
      <c r="L15685" s="711"/>
      <c r="Q15685" s="11"/>
      <c r="R15685" s="11"/>
      <c r="S15685" s="11"/>
      <c r="T15685" s="11"/>
    </row>
    <row r="15686" spans="8:20" x14ac:dyDescent="0.35">
      <c r="H15686" s="711"/>
      <c r="I15686" s="711"/>
      <c r="J15686" s="711"/>
      <c r="K15686" s="711"/>
      <c r="L15686" s="711"/>
      <c r="Q15686" s="11"/>
      <c r="R15686" s="11"/>
      <c r="S15686" s="11"/>
      <c r="T15686" s="11"/>
    </row>
    <row r="15687" spans="8:20" x14ac:dyDescent="0.35">
      <c r="H15687" s="711"/>
      <c r="I15687" s="711"/>
      <c r="J15687" s="711"/>
      <c r="K15687" s="711"/>
      <c r="L15687" s="711"/>
      <c r="Q15687" s="11"/>
      <c r="R15687" s="11"/>
      <c r="S15687" s="11"/>
      <c r="T15687" s="11"/>
    </row>
    <row r="15688" spans="8:20" x14ac:dyDescent="0.35">
      <c r="H15688" s="711"/>
      <c r="I15688" s="711"/>
      <c r="J15688" s="711"/>
      <c r="K15688" s="711"/>
      <c r="L15688" s="711"/>
      <c r="Q15688" s="11"/>
      <c r="R15688" s="11"/>
      <c r="S15688" s="11"/>
      <c r="T15688" s="11"/>
    </row>
    <row r="15689" spans="8:20" x14ac:dyDescent="0.35">
      <c r="H15689" s="711"/>
      <c r="I15689" s="711"/>
      <c r="J15689" s="711"/>
      <c r="K15689" s="711"/>
      <c r="L15689" s="711"/>
      <c r="Q15689" s="11"/>
      <c r="R15689" s="11"/>
      <c r="S15689" s="11"/>
      <c r="T15689" s="11"/>
    </row>
    <row r="15690" spans="8:20" x14ac:dyDescent="0.35">
      <c r="H15690" s="711"/>
      <c r="I15690" s="711"/>
      <c r="J15690" s="711"/>
      <c r="K15690" s="711"/>
      <c r="L15690" s="711"/>
      <c r="Q15690" s="11"/>
      <c r="R15690" s="11"/>
      <c r="S15690" s="11"/>
      <c r="T15690" s="11"/>
    </row>
    <row r="15691" spans="8:20" x14ac:dyDescent="0.35">
      <c r="H15691" s="711"/>
      <c r="I15691" s="711"/>
      <c r="J15691" s="711"/>
      <c r="K15691" s="711"/>
      <c r="L15691" s="711"/>
      <c r="Q15691" s="11"/>
      <c r="R15691" s="11"/>
      <c r="S15691" s="11"/>
      <c r="T15691" s="11"/>
    </row>
    <row r="15692" spans="8:20" x14ac:dyDescent="0.35">
      <c r="H15692" s="711"/>
      <c r="I15692" s="711"/>
      <c r="J15692" s="711"/>
      <c r="K15692" s="711"/>
      <c r="L15692" s="711"/>
      <c r="Q15692" s="11"/>
      <c r="R15692" s="11"/>
      <c r="S15692" s="11"/>
      <c r="T15692" s="11"/>
    </row>
    <row r="15693" spans="8:20" x14ac:dyDescent="0.35">
      <c r="H15693" s="711"/>
      <c r="I15693" s="711"/>
      <c r="J15693" s="711"/>
      <c r="K15693" s="711"/>
      <c r="L15693" s="711"/>
      <c r="Q15693" s="11"/>
      <c r="R15693" s="11"/>
      <c r="S15693" s="11"/>
      <c r="T15693" s="11"/>
    </row>
    <row r="15694" spans="8:20" x14ac:dyDescent="0.35">
      <c r="H15694" s="711"/>
      <c r="I15694" s="711"/>
      <c r="J15694" s="711"/>
      <c r="K15694" s="711"/>
      <c r="L15694" s="711"/>
      <c r="Q15694" s="11"/>
      <c r="R15694" s="11"/>
      <c r="S15694" s="11"/>
      <c r="T15694" s="11"/>
    </row>
    <row r="15695" spans="8:20" x14ac:dyDescent="0.35">
      <c r="H15695" s="711"/>
      <c r="I15695" s="711"/>
      <c r="J15695" s="711"/>
      <c r="K15695" s="711"/>
      <c r="L15695" s="711"/>
      <c r="Q15695" s="11"/>
      <c r="R15695" s="11"/>
      <c r="S15695" s="11"/>
      <c r="T15695" s="11"/>
    </row>
    <row r="15696" spans="8:20" x14ac:dyDescent="0.35">
      <c r="H15696" s="711"/>
      <c r="I15696" s="711"/>
      <c r="J15696" s="711"/>
      <c r="K15696" s="711"/>
      <c r="L15696" s="711"/>
      <c r="Q15696" s="11"/>
      <c r="R15696" s="11"/>
      <c r="S15696" s="11"/>
      <c r="T15696" s="11"/>
    </row>
    <row r="15697" spans="8:20" x14ac:dyDescent="0.35">
      <c r="H15697" s="711"/>
      <c r="I15697" s="711"/>
      <c r="J15697" s="711"/>
      <c r="K15697" s="711"/>
      <c r="L15697" s="711"/>
      <c r="Q15697" s="11"/>
      <c r="R15697" s="11"/>
      <c r="S15697" s="11"/>
      <c r="T15697" s="11"/>
    </row>
    <row r="15698" spans="8:20" x14ac:dyDescent="0.35">
      <c r="H15698" s="711"/>
      <c r="I15698" s="711"/>
      <c r="J15698" s="711"/>
      <c r="K15698" s="711"/>
      <c r="L15698" s="711"/>
      <c r="Q15698" s="11"/>
      <c r="R15698" s="11"/>
      <c r="S15698" s="11"/>
      <c r="T15698" s="11"/>
    </row>
    <row r="15699" spans="8:20" x14ac:dyDescent="0.35">
      <c r="H15699" s="711"/>
      <c r="I15699" s="711"/>
      <c r="J15699" s="711"/>
      <c r="K15699" s="711"/>
      <c r="L15699" s="711"/>
      <c r="Q15699" s="11"/>
      <c r="R15699" s="11"/>
      <c r="S15699" s="11"/>
      <c r="T15699" s="11"/>
    </row>
    <row r="15700" spans="8:20" x14ac:dyDescent="0.35">
      <c r="H15700" s="711"/>
      <c r="I15700" s="711"/>
      <c r="J15700" s="711"/>
      <c r="K15700" s="711"/>
      <c r="L15700" s="711"/>
      <c r="Q15700" s="11"/>
      <c r="R15700" s="11"/>
      <c r="S15700" s="11"/>
      <c r="T15700" s="11"/>
    </row>
    <row r="15701" spans="8:20" x14ac:dyDescent="0.35">
      <c r="H15701" s="711"/>
      <c r="I15701" s="711"/>
      <c r="J15701" s="711"/>
      <c r="K15701" s="711"/>
      <c r="L15701" s="711"/>
      <c r="Q15701" s="11"/>
      <c r="R15701" s="11"/>
      <c r="S15701" s="11"/>
      <c r="T15701" s="11"/>
    </row>
    <row r="15702" spans="8:20" x14ac:dyDescent="0.35">
      <c r="H15702" s="711"/>
      <c r="I15702" s="711"/>
      <c r="J15702" s="711"/>
      <c r="K15702" s="711"/>
      <c r="L15702" s="711"/>
      <c r="Q15702" s="11"/>
      <c r="R15702" s="11"/>
      <c r="S15702" s="11"/>
      <c r="T15702" s="11"/>
    </row>
    <row r="15703" spans="8:20" x14ac:dyDescent="0.35">
      <c r="H15703" s="711"/>
      <c r="I15703" s="711"/>
      <c r="J15703" s="711"/>
      <c r="K15703" s="711"/>
      <c r="L15703" s="711"/>
      <c r="Q15703" s="11"/>
      <c r="R15703" s="11"/>
      <c r="S15703" s="11"/>
      <c r="T15703" s="11"/>
    </row>
    <row r="15704" spans="8:20" x14ac:dyDescent="0.35">
      <c r="H15704" s="711"/>
      <c r="I15704" s="711"/>
      <c r="J15704" s="711"/>
      <c r="K15704" s="711"/>
      <c r="L15704" s="711"/>
      <c r="Q15704" s="11"/>
      <c r="R15704" s="11"/>
      <c r="S15704" s="11"/>
      <c r="T15704" s="11"/>
    </row>
    <row r="15705" spans="8:20" x14ac:dyDescent="0.35">
      <c r="H15705" s="711"/>
      <c r="I15705" s="711"/>
      <c r="J15705" s="711"/>
      <c r="K15705" s="711"/>
      <c r="L15705" s="711"/>
      <c r="Q15705" s="11"/>
      <c r="R15705" s="11"/>
      <c r="S15705" s="11"/>
      <c r="T15705" s="11"/>
    </row>
    <row r="15706" spans="8:20" x14ac:dyDescent="0.35">
      <c r="H15706" s="711"/>
      <c r="I15706" s="711"/>
      <c r="J15706" s="711"/>
      <c r="K15706" s="711"/>
      <c r="L15706" s="711"/>
      <c r="Q15706" s="11"/>
      <c r="R15706" s="11"/>
      <c r="S15706" s="11"/>
      <c r="T15706" s="11"/>
    </row>
    <row r="15707" spans="8:20" x14ac:dyDescent="0.35">
      <c r="H15707" s="711"/>
      <c r="I15707" s="711"/>
      <c r="J15707" s="711"/>
      <c r="K15707" s="711"/>
      <c r="L15707" s="711"/>
      <c r="Q15707" s="11"/>
      <c r="R15707" s="11"/>
      <c r="S15707" s="11"/>
      <c r="T15707" s="11"/>
    </row>
    <row r="15708" spans="8:20" x14ac:dyDescent="0.35">
      <c r="H15708" s="711"/>
      <c r="I15708" s="711"/>
      <c r="J15708" s="711"/>
      <c r="K15708" s="711"/>
      <c r="L15708" s="711"/>
      <c r="Q15708" s="11"/>
      <c r="R15708" s="11"/>
      <c r="S15708" s="11"/>
      <c r="T15708" s="11"/>
    </row>
    <row r="15709" spans="8:20" x14ac:dyDescent="0.35">
      <c r="H15709" s="711"/>
      <c r="I15709" s="711"/>
      <c r="J15709" s="711"/>
      <c r="K15709" s="711"/>
      <c r="L15709" s="711"/>
      <c r="Q15709" s="11"/>
      <c r="R15709" s="11"/>
      <c r="S15709" s="11"/>
      <c r="T15709" s="11"/>
    </row>
    <row r="15710" spans="8:20" x14ac:dyDescent="0.35">
      <c r="H15710" s="711"/>
      <c r="I15710" s="711"/>
      <c r="J15710" s="711"/>
      <c r="K15710" s="711"/>
      <c r="L15710" s="711"/>
      <c r="Q15710" s="11"/>
      <c r="R15710" s="11"/>
      <c r="S15710" s="11"/>
      <c r="T15710" s="11"/>
    </row>
    <row r="15711" spans="8:20" x14ac:dyDescent="0.35">
      <c r="H15711" s="711"/>
      <c r="I15711" s="711"/>
      <c r="J15711" s="711"/>
      <c r="K15711" s="711"/>
      <c r="L15711" s="711"/>
      <c r="Q15711" s="11"/>
      <c r="R15711" s="11"/>
      <c r="S15711" s="11"/>
      <c r="T15711" s="11"/>
    </row>
    <row r="15712" spans="8:20" x14ac:dyDescent="0.35">
      <c r="H15712" s="711"/>
      <c r="I15712" s="711"/>
      <c r="J15712" s="711"/>
      <c r="K15712" s="711"/>
      <c r="L15712" s="711"/>
      <c r="Q15712" s="11"/>
      <c r="R15712" s="11"/>
      <c r="S15712" s="11"/>
      <c r="T15712" s="11"/>
    </row>
    <row r="15713" spans="8:20" x14ac:dyDescent="0.35">
      <c r="H15713" s="711"/>
      <c r="I15713" s="711"/>
      <c r="J15713" s="711"/>
      <c r="K15713" s="711"/>
      <c r="L15713" s="711"/>
      <c r="Q15713" s="11"/>
      <c r="R15713" s="11"/>
      <c r="S15713" s="11"/>
      <c r="T15713" s="11"/>
    </row>
    <row r="15714" spans="8:20" x14ac:dyDescent="0.35">
      <c r="H15714" s="711"/>
      <c r="I15714" s="711"/>
      <c r="J15714" s="711"/>
      <c r="K15714" s="711"/>
      <c r="L15714" s="711"/>
      <c r="Q15714" s="11"/>
      <c r="R15714" s="11"/>
      <c r="S15714" s="11"/>
      <c r="T15714" s="11"/>
    </row>
    <row r="15715" spans="8:20" x14ac:dyDescent="0.35">
      <c r="H15715" s="711"/>
      <c r="I15715" s="711"/>
      <c r="J15715" s="711"/>
      <c r="K15715" s="711"/>
      <c r="L15715" s="711"/>
      <c r="Q15715" s="11"/>
      <c r="R15715" s="11"/>
      <c r="S15715" s="11"/>
      <c r="T15715" s="11"/>
    </row>
    <row r="15716" spans="8:20" x14ac:dyDescent="0.35">
      <c r="H15716" s="711"/>
      <c r="I15716" s="711"/>
      <c r="J15716" s="711"/>
      <c r="K15716" s="711"/>
      <c r="L15716" s="711"/>
      <c r="Q15716" s="11"/>
      <c r="R15716" s="11"/>
      <c r="S15716" s="11"/>
      <c r="T15716" s="11"/>
    </row>
    <row r="15717" spans="8:20" x14ac:dyDescent="0.35">
      <c r="H15717" s="711"/>
      <c r="I15717" s="711"/>
      <c r="J15717" s="711"/>
      <c r="K15717" s="711"/>
      <c r="L15717" s="711"/>
      <c r="Q15717" s="11"/>
      <c r="R15717" s="11"/>
      <c r="S15717" s="11"/>
      <c r="T15717" s="11"/>
    </row>
    <row r="15718" spans="8:20" x14ac:dyDescent="0.35">
      <c r="H15718" s="711"/>
      <c r="I15718" s="711"/>
      <c r="J15718" s="711"/>
      <c r="K15718" s="711"/>
      <c r="L15718" s="711"/>
      <c r="Q15718" s="11"/>
      <c r="R15718" s="11"/>
      <c r="S15718" s="11"/>
      <c r="T15718" s="11"/>
    </row>
    <row r="15719" spans="8:20" x14ac:dyDescent="0.35">
      <c r="H15719" s="711"/>
      <c r="I15719" s="711"/>
      <c r="J15719" s="711"/>
      <c r="K15719" s="711"/>
      <c r="L15719" s="711"/>
      <c r="Q15719" s="11"/>
      <c r="R15719" s="11"/>
      <c r="S15719" s="11"/>
      <c r="T15719" s="11"/>
    </row>
    <row r="15720" spans="8:20" x14ac:dyDescent="0.35">
      <c r="H15720" s="711"/>
      <c r="I15720" s="711"/>
      <c r="J15720" s="711"/>
      <c r="K15720" s="711"/>
      <c r="L15720" s="711"/>
      <c r="Q15720" s="11"/>
      <c r="R15720" s="11"/>
      <c r="S15720" s="11"/>
      <c r="T15720" s="11"/>
    </row>
    <row r="15721" spans="8:20" x14ac:dyDescent="0.35">
      <c r="H15721" s="711"/>
      <c r="I15721" s="711"/>
      <c r="J15721" s="711"/>
      <c r="K15721" s="711"/>
      <c r="L15721" s="711"/>
      <c r="Q15721" s="11"/>
      <c r="R15721" s="11"/>
      <c r="S15721" s="11"/>
      <c r="T15721" s="11"/>
    </row>
    <row r="15722" spans="8:20" x14ac:dyDescent="0.35">
      <c r="H15722" s="711"/>
      <c r="I15722" s="711"/>
      <c r="J15722" s="711"/>
      <c r="K15722" s="711"/>
      <c r="L15722" s="711"/>
      <c r="Q15722" s="11"/>
      <c r="R15722" s="11"/>
      <c r="S15722" s="11"/>
      <c r="T15722" s="11"/>
    </row>
    <row r="15723" spans="8:20" x14ac:dyDescent="0.35">
      <c r="H15723" s="711"/>
      <c r="I15723" s="711"/>
      <c r="J15723" s="711"/>
      <c r="K15723" s="711"/>
      <c r="L15723" s="711"/>
      <c r="Q15723" s="11"/>
      <c r="R15723" s="11"/>
      <c r="S15723" s="11"/>
      <c r="T15723" s="11"/>
    </row>
    <row r="15724" spans="8:20" x14ac:dyDescent="0.35">
      <c r="H15724" s="711"/>
      <c r="I15724" s="711"/>
      <c r="J15724" s="711"/>
      <c r="K15724" s="711"/>
      <c r="L15724" s="711"/>
      <c r="Q15724" s="11"/>
      <c r="R15724" s="11"/>
      <c r="S15724" s="11"/>
      <c r="T15724" s="11"/>
    </row>
    <row r="15725" spans="8:20" x14ac:dyDescent="0.35">
      <c r="H15725" s="711"/>
      <c r="I15725" s="711"/>
      <c r="J15725" s="711"/>
      <c r="K15725" s="711"/>
      <c r="L15725" s="711"/>
      <c r="Q15725" s="11"/>
      <c r="R15725" s="11"/>
      <c r="S15725" s="11"/>
      <c r="T15725" s="11"/>
    </row>
    <row r="15726" spans="8:20" x14ac:dyDescent="0.35">
      <c r="H15726" s="711"/>
      <c r="I15726" s="711"/>
      <c r="J15726" s="711"/>
      <c r="K15726" s="711"/>
      <c r="L15726" s="711"/>
      <c r="Q15726" s="11"/>
      <c r="R15726" s="11"/>
      <c r="S15726" s="11"/>
      <c r="T15726" s="11"/>
    </row>
    <row r="15727" spans="8:20" x14ac:dyDescent="0.35">
      <c r="H15727" s="711"/>
      <c r="I15727" s="711"/>
      <c r="J15727" s="711"/>
      <c r="K15727" s="711"/>
      <c r="L15727" s="711"/>
      <c r="Q15727" s="11"/>
      <c r="R15727" s="11"/>
      <c r="S15727" s="11"/>
      <c r="T15727" s="11"/>
    </row>
    <row r="15728" spans="8:20" x14ac:dyDescent="0.35">
      <c r="H15728" s="711"/>
      <c r="I15728" s="711"/>
      <c r="J15728" s="711"/>
      <c r="K15728" s="711"/>
      <c r="L15728" s="711"/>
      <c r="Q15728" s="11"/>
      <c r="R15728" s="11"/>
      <c r="S15728" s="11"/>
      <c r="T15728" s="11"/>
    </row>
    <row r="15729" spans="8:20" x14ac:dyDescent="0.35">
      <c r="H15729" s="711"/>
      <c r="I15729" s="711"/>
      <c r="J15729" s="711"/>
      <c r="K15729" s="711"/>
      <c r="L15729" s="711"/>
      <c r="Q15729" s="11"/>
      <c r="R15729" s="11"/>
      <c r="S15729" s="11"/>
      <c r="T15729" s="11"/>
    </row>
    <row r="15730" spans="8:20" x14ac:dyDescent="0.35">
      <c r="H15730" s="711"/>
      <c r="I15730" s="711"/>
      <c r="J15730" s="711"/>
      <c r="K15730" s="711"/>
      <c r="L15730" s="711"/>
      <c r="Q15730" s="11"/>
      <c r="R15730" s="11"/>
      <c r="S15730" s="11"/>
      <c r="T15730" s="11"/>
    </row>
    <row r="15731" spans="8:20" x14ac:dyDescent="0.35">
      <c r="H15731" s="711"/>
      <c r="I15731" s="711"/>
      <c r="J15731" s="711"/>
      <c r="K15731" s="711"/>
      <c r="L15731" s="711"/>
      <c r="Q15731" s="11"/>
      <c r="R15731" s="11"/>
      <c r="S15731" s="11"/>
      <c r="T15731" s="11"/>
    </row>
    <row r="15732" spans="8:20" x14ac:dyDescent="0.35">
      <c r="H15732" s="711"/>
      <c r="I15732" s="711"/>
      <c r="J15732" s="711"/>
      <c r="K15732" s="711"/>
      <c r="L15732" s="711"/>
      <c r="Q15732" s="11"/>
      <c r="R15732" s="11"/>
      <c r="S15732" s="11"/>
      <c r="T15732" s="11"/>
    </row>
    <row r="15733" spans="8:20" x14ac:dyDescent="0.35">
      <c r="H15733" s="711"/>
      <c r="I15733" s="711"/>
      <c r="J15733" s="711"/>
      <c r="K15733" s="711"/>
      <c r="L15733" s="711"/>
      <c r="Q15733" s="11"/>
      <c r="R15733" s="11"/>
      <c r="S15733" s="11"/>
      <c r="T15733" s="11"/>
    </row>
    <row r="15734" spans="8:20" x14ac:dyDescent="0.35">
      <c r="H15734" s="711"/>
      <c r="I15734" s="711"/>
      <c r="J15734" s="711"/>
      <c r="K15734" s="711"/>
      <c r="L15734" s="711"/>
      <c r="Q15734" s="11"/>
      <c r="R15734" s="11"/>
      <c r="S15734" s="11"/>
      <c r="T15734" s="11"/>
    </row>
    <row r="15735" spans="8:20" x14ac:dyDescent="0.35">
      <c r="H15735" s="711"/>
      <c r="I15735" s="711"/>
      <c r="J15735" s="711"/>
      <c r="K15735" s="711"/>
      <c r="L15735" s="711"/>
      <c r="Q15735" s="11"/>
      <c r="R15735" s="11"/>
      <c r="S15735" s="11"/>
      <c r="T15735" s="11"/>
    </row>
    <row r="15736" spans="8:20" x14ac:dyDescent="0.35">
      <c r="H15736" s="711"/>
      <c r="I15736" s="711"/>
      <c r="J15736" s="711"/>
      <c r="K15736" s="711"/>
      <c r="L15736" s="711"/>
      <c r="Q15736" s="11"/>
      <c r="R15736" s="11"/>
      <c r="S15736" s="11"/>
      <c r="T15736" s="11"/>
    </row>
    <row r="15737" spans="8:20" x14ac:dyDescent="0.35">
      <c r="H15737" s="711"/>
      <c r="I15737" s="711"/>
      <c r="J15737" s="711"/>
      <c r="K15737" s="711"/>
      <c r="L15737" s="711"/>
      <c r="Q15737" s="11"/>
      <c r="R15737" s="11"/>
      <c r="S15737" s="11"/>
      <c r="T15737" s="11"/>
    </row>
    <row r="15738" spans="8:20" x14ac:dyDescent="0.35">
      <c r="H15738" s="711"/>
      <c r="I15738" s="711"/>
      <c r="J15738" s="711"/>
      <c r="K15738" s="711"/>
      <c r="L15738" s="711"/>
      <c r="Q15738" s="11"/>
      <c r="R15738" s="11"/>
      <c r="S15738" s="11"/>
      <c r="T15738" s="11"/>
    </row>
    <row r="15739" spans="8:20" x14ac:dyDescent="0.35">
      <c r="H15739" s="711"/>
      <c r="I15739" s="711"/>
      <c r="J15739" s="711"/>
      <c r="K15739" s="711"/>
      <c r="L15739" s="711"/>
      <c r="Q15739" s="11"/>
      <c r="R15739" s="11"/>
      <c r="S15739" s="11"/>
      <c r="T15739" s="11"/>
    </row>
    <row r="15740" spans="8:20" x14ac:dyDescent="0.35">
      <c r="H15740" s="711"/>
      <c r="I15740" s="711"/>
      <c r="J15740" s="711"/>
      <c r="K15740" s="711"/>
      <c r="L15740" s="711"/>
      <c r="Q15740" s="11"/>
      <c r="R15740" s="11"/>
      <c r="S15740" s="11"/>
      <c r="T15740" s="11"/>
    </row>
    <row r="15741" spans="8:20" x14ac:dyDescent="0.35">
      <c r="H15741" s="711"/>
      <c r="I15741" s="711"/>
      <c r="J15741" s="711"/>
      <c r="K15741" s="711"/>
      <c r="L15741" s="711"/>
      <c r="Q15741" s="11"/>
      <c r="R15741" s="11"/>
      <c r="S15741" s="11"/>
      <c r="T15741" s="11"/>
    </row>
    <row r="15742" spans="8:20" x14ac:dyDescent="0.35">
      <c r="H15742" s="711"/>
      <c r="I15742" s="711"/>
      <c r="J15742" s="711"/>
      <c r="K15742" s="711"/>
      <c r="L15742" s="711"/>
      <c r="Q15742" s="11"/>
      <c r="R15742" s="11"/>
      <c r="S15742" s="11"/>
      <c r="T15742" s="11"/>
    </row>
    <row r="15743" spans="8:20" x14ac:dyDescent="0.35">
      <c r="H15743" s="711"/>
      <c r="I15743" s="711"/>
      <c r="J15743" s="711"/>
      <c r="K15743" s="711"/>
      <c r="L15743" s="711"/>
      <c r="Q15743" s="11"/>
      <c r="R15743" s="11"/>
      <c r="S15743" s="11"/>
      <c r="T15743" s="11"/>
    </row>
    <row r="15744" spans="8:20" x14ac:dyDescent="0.35">
      <c r="H15744" s="711"/>
      <c r="I15744" s="711"/>
      <c r="J15744" s="711"/>
      <c r="K15744" s="711"/>
      <c r="L15744" s="711"/>
      <c r="Q15744" s="11"/>
      <c r="R15744" s="11"/>
      <c r="S15744" s="11"/>
      <c r="T15744" s="11"/>
    </row>
    <row r="15745" spans="8:20" x14ac:dyDescent="0.35">
      <c r="H15745" s="711"/>
      <c r="I15745" s="711"/>
      <c r="J15745" s="711"/>
      <c r="K15745" s="711"/>
      <c r="L15745" s="711"/>
      <c r="Q15745" s="11"/>
      <c r="R15745" s="11"/>
      <c r="S15745" s="11"/>
      <c r="T15745" s="11"/>
    </row>
    <row r="15746" spans="8:20" x14ac:dyDescent="0.35">
      <c r="H15746" s="711"/>
      <c r="I15746" s="711"/>
      <c r="J15746" s="711"/>
      <c r="K15746" s="711"/>
      <c r="L15746" s="711"/>
      <c r="Q15746" s="11"/>
      <c r="R15746" s="11"/>
      <c r="S15746" s="11"/>
      <c r="T15746" s="11"/>
    </row>
    <row r="15747" spans="8:20" x14ac:dyDescent="0.35">
      <c r="H15747" s="711"/>
      <c r="I15747" s="711"/>
      <c r="J15747" s="711"/>
      <c r="K15747" s="711"/>
      <c r="L15747" s="711"/>
      <c r="Q15747" s="11"/>
      <c r="R15747" s="11"/>
      <c r="S15747" s="11"/>
      <c r="T15747" s="11"/>
    </row>
    <row r="15748" spans="8:20" x14ac:dyDescent="0.35">
      <c r="H15748" s="711"/>
      <c r="I15748" s="711"/>
      <c r="J15748" s="711"/>
      <c r="K15748" s="711"/>
      <c r="L15748" s="711"/>
      <c r="Q15748" s="11"/>
      <c r="R15748" s="11"/>
      <c r="S15748" s="11"/>
      <c r="T15748" s="11"/>
    </row>
    <row r="15749" spans="8:20" x14ac:dyDescent="0.35">
      <c r="H15749" s="711"/>
      <c r="I15749" s="711"/>
      <c r="J15749" s="711"/>
      <c r="K15749" s="711"/>
      <c r="L15749" s="711"/>
      <c r="Q15749" s="11"/>
      <c r="R15749" s="11"/>
      <c r="S15749" s="11"/>
      <c r="T15749" s="11"/>
    </row>
    <row r="15750" spans="8:20" x14ac:dyDescent="0.35">
      <c r="H15750" s="711"/>
      <c r="I15750" s="711"/>
      <c r="J15750" s="711"/>
      <c r="K15750" s="711"/>
      <c r="L15750" s="711"/>
      <c r="Q15750" s="11"/>
      <c r="R15750" s="11"/>
      <c r="S15750" s="11"/>
      <c r="T15750" s="11"/>
    </row>
    <row r="15751" spans="8:20" x14ac:dyDescent="0.35">
      <c r="H15751" s="711"/>
      <c r="I15751" s="711"/>
      <c r="J15751" s="711"/>
      <c r="K15751" s="711"/>
      <c r="L15751" s="711"/>
      <c r="Q15751" s="11"/>
      <c r="R15751" s="11"/>
      <c r="S15751" s="11"/>
      <c r="T15751" s="11"/>
    </row>
    <row r="15752" spans="8:20" x14ac:dyDescent="0.35">
      <c r="H15752" s="711"/>
      <c r="I15752" s="711"/>
      <c r="J15752" s="711"/>
      <c r="K15752" s="711"/>
      <c r="L15752" s="711"/>
      <c r="Q15752" s="11"/>
      <c r="R15752" s="11"/>
      <c r="S15752" s="11"/>
      <c r="T15752" s="11"/>
    </row>
    <row r="15753" spans="8:20" x14ac:dyDescent="0.35">
      <c r="H15753" s="711"/>
      <c r="I15753" s="711"/>
      <c r="J15753" s="711"/>
      <c r="K15753" s="711"/>
      <c r="L15753" s="711"/>
      <c r="Q15753" s="11"/>
      <c r="R15753" s="11"/>
      <c r="S15753" s="11"/>
      <c r="T15753" s="11"/>
    </row>
    <row r="15754" spans="8:20" x14ac:dyDescent="0.35">
      <c r="H15754" s="711"/>
      <c r="I15754" s="711"/>
      <c r="J15754" s="711"/>
      <c r="K15754" s="711"/>
      <c r="L15754" s="711"/>
      <c r="Q15754" s="11"/>
      <c r="R15754" s="11"/>
      <c r="S15754" s="11"/>
      <c r="T15754" s="11"/>
    </row>
    <row r="15755" spans="8:20" x14ac:dyDescent="0.35">
      <c r="H15755" s="711"/>
      <c r="I15755" s="711"/>
      <c r="J15755" s="711"/>
      <c r="K15755" s="711"/>
      <c r="L15755" s="711"/>
      <c r="Q15755" s="11"/>
      <c r="R15755" s="11"/>
      <c r="S15755" s="11"/>
      <c r="T15755" s="11"/>
    </row>
    <row r="15756" spans="8:20" x14ac:dyDescent="0.35">
      <c r="H15756" s="711"/>
      <c r="I15756" s="711"/>
      <c r="J15756" s="711"/>
      <c r="K15756" s="711"/>
      <c r="L15756" s="711"/>
      <c r="Q15756" s="11"/>
      <c r="R15756" s="11"/>
      <c r="S15756" s="11"/>
      <c r="T15756" s="11"/>
    </row>
    <row r="15757" spans="8:20" x14ac:dyDescent="0.35">
      <c r="H15757" s="711"/>
      <c r="I15757" s="711"/>
      <c r="J15757" s="711"/>
      <c r="K15757" s="711"/>
      <c r="L15757" s="711"/>
      <c r="Q15757" s="11"/>
      <c r="R15757" s="11"/>
      <c r="S15757" s="11"/>
      <c r="T15757" s="11"/>
    </row>
    <row r="15758" spans="8:20" x14ac:dyDescent="0.35">
      <c r="H15758" s="711"/>
      <c r="I15758" s="711"/>
      <c r="J15758" s="711"/>
      <c r="K15758" s="711"/>
      <c r="L15758" s="711"/>
      <c r="Q15758" s="11"/>
      <c r="R15758" s="11"/>
      <c r="S15758" s="11"/>
      <c r="T15758" s="11"/>
    </row>
    <row r="15759" spans="8:20" x14ac:dyDescent="0.35">
      <c r="H15759" s="711"/>
      <c r="I15759" s="711"/>
      <c r="J15759" s="711"/>
      <c r="K15759" s="711"/>
      <c r="L15759" s="711"/>
      <c r="Q15759" s="11"/>
      <c r="R15759" s="11"/>
      <c r="S15759" s="11"/>
      <c r="T15759" s="11"/>
    </row>
    <row r="15760" spans="8:20" x14ac:dyDescent="0.35">
      <c r="H15760" s="711"/>
      <c r="I15760" s="711"/>
      <c r="J15760" s="711"/>
      <c r="K15760" s="711"/>
      <c r="L15760" s="711"/>
      <c r="Q15760" s="11"/>
      <c r="R15760" s="11"/>
      <c r="S15760" s="11"/>
      <c r="T15760" s="11"/>
    </row>
    <row r="15761" spans="8:20" x14ac:dyDescent="0.35">
      <c r="H15761" s="711"/>
      <c r="I15761" s="711"/>
      <c r="J15761" s="711"/>
      <c r="K15761" s="711"/>
      <c r="L15761" s="711"/>
      <c r="Q15761" s="11"/>
      <c r="R15761" s="11"/>
      <c r="S15761" s="11"/>
      <c r="T15761" s="11"/>
    </row>
    <row r="15762" spans="8:20" x14ac:dyDescent="0.35">
      <c r="H15762" s="711"/>
      <c r="I15762" s="711"/>
      <c r="J15762" s="711"/>
      <c r="K15762" s="711"/>
      <c r="L15762" s="711"/>
      <c r="Q15762" s="11"/>
      <c r="R15762" s="11"/>
      <c r="S15762" s="11"/>
      <c r="T15762" s="11"/>
    </row>
    <row r="15763" spans="8:20" x14ac:dyDescent="0.35">
      <c r="H15763" s="711"/>
      <c r="I15763" s="711"/>
      <c r="J15763" s="711"/>
      <c r="K15763" s="711"/>
      <c r="L15763" s="711"/>
      <c r="Q15763" s="11"/>
      <c r="R15763" s="11"/>
      <c r="S15763" s="11"/>
      <c r="T15763" s="11"/>
    </row>
    <row r="15764" spans="8:20" x14ac:dyDescent="0.35">
      <c r="H15764" s="711"/>
      <c r="I15764" s="711"/>
      <c r="J15764" s="711"/>
      <c r="K15764" s="711"/>
      <c r="L15764" s="711"/>
      <c r="Q15764" s="11"/>
      <c r="R15764" s="11"/>
      <c r="S15764" s="11"/>
      <c r="T15764" s="11"/>
    </row>
    <row r="15765" spans="8:20" x14ac:dyDescent="0.35">
      <c r="H15765" s="711"/>
      <c r="I15765" s="711"/>
      <c r="J15765" s="711"/>
      <c r="K15765" s="711"/>
      <c r="L15765" s="711"/>
      <c r="Q15765" s="11"/>
      <c r="R15765" s="11"/>
      <c r="S15765" s="11"/>
      <c r="T15765" s="11"/>
    </row>
    <row r="15766" spans="8:20" x14ac:dyDescent="0.35">
      <c r="H15766" s="711"/>
      <c r="I15766" s="711"/>
      <c r="J15766" s="711"/>
      <c r="K15766" s="711"/>
      <c r="L15766" s="711"/>
      <c r="Q15766" s="11"/>
      <c r="R15766" s="11"/>
      <c r="S15766" s="11"/>
      <c r="T15766" s="11"/>
    </row>
    <row r="15767" spans="8:20" x14ac:dyDescent="0.35">
      <c r="H15767" s="711"/>
      <c r="I15767" s="711"/>
      <c r="J15767" s="711"/>
      <c r="K15767" s="711"/>
      <c r="L15767" s="711"/>
      <c r="Q15767" s="11"/>
      <c r="R15767" s="11"/>
      <c r="S15767" s="11"/>
      <c r="T15767" s="11"/>
    </row>
    <row r="15768" spans="8:20" x14ac:dyDescent="0.35">
      <c r="H15768" s="711"/>
      <c r="I15768" s="711"/>
      <c r="J15768" s="711"/>
      <c r="K15768" s="711"/>
      <c r="L15768" s="711"/>
      <c r="Q15768" s="11"/>
      <c r="R15768" s="11"/>
      <c r="S15768" s="11"/>
      <c r="T15768" s="11"/>
    </row>
    <row r="15769" spans="8:20" x14ac:dyDescent="0.35">
      <c r="H15769" s="711"/>
      <c r="I15769" s="711"/>
      <c r="J15769" s="711"/>
      <c r="K15769" s="711"/>
      <c r="L15769" s="711"/>
      <c r="Q15769" s="11"/>
      <c r="R15769" s="11"/>
      <c r="S15769" s="11"/>
      <c r="T15769" s="11"/>
    </row>
    <row r="15770" spans="8:20" x14ac:dyDescent="0.35">
      <c r="H15770" s="711"/>
      <c r="I15770" s="711"/>
      <c r="J15770" s="711"/>
      <c r="K15770" s="711"/>
      <c r="L15770" s="711"/>
      <c r="Q15770" s="11"/>
      <c r="R15770" s="11"/>
      <c r="S15770" s="11"/>
      <c r="T15770" s="11"/>
    </row>
    <row r="15771" spans="8:20" x14ac:dyDescent="0.35">
      <c r="H15771" s="711"/>
      <c r="I15771" s="711"/>
      <c r="J15771" s="711"/>
      <c r="K15771" s="711"/>
      <c r="L15771" s="711"/>
      <c r="Q15771" s="11"/>
      <c r="R15771" s="11"/>
      <c r="S15771" s="11"/>
      <c r="T15771" s="11"/>
    </row>
    <row r="15772" spans="8:20" x14ac:dyDescent="0.35">
      <c r="H15772" s="711"/>
      <c r="I15772" s="711"/>
      <c r="J15772" s="711"/>
      <c r="K15772" s="711"/>
      <c r="L15772" s="711"/>
      <c r="Q15772" s="11"/>
      <c r="R15772" s="11"/>
      <c r="S15772" s="11"/>
      <c r="T15772" s="11"/>
    </row>
    <row r="15773" spans="8:20" x14ac:dyDescent="0.35">
      <c r="H15773" s="711"/>
      <c r="I15773" s="711"/>
      <c r="J15773" s="711"/>
      <c r="K15773" s="711"/>
      <c r="L15773" s="711"/>
      <c r="Q15773" s="11"/>
      <c r="R15773" s="11"/>
      <c r="S15773" s="11"/>
      <c r="T15773" s="11"/>
    </row>
    <row r="15774" spans="8:20" x14ac:dyDescent="0.35">
      <c r="H15774" s="711"/>
      <c r="I15774" s="711"/>
      <c r="J15774" s="711"/>
      <c r="K15774" s="711"/>
      <c r="L15774" s="711"/>
      <c r="Q15774" s="11"/>
      <c r="R15774" s="11"/>
      <c r="S15774" s="11"/>
      <c r="T15774" s="11"/>
    </row>
    <row r="15775" spans="8:20" x14ac:dyDescent="0.35">
      <c r="H15775" s="711"/>
      <c r="I15775" s="711"/>
      <c r="J15775" s="711"/>
      <c r="K15775" s="711"/>
      <c r="L15775" s="711"/>
      <c r="Q15775" s="11"/>
      <c r="R15775" s="11"/>
      <c r="S15775" s="11"/>
      <c r="T15775" s="11"/>
    </row>
    <row r="15776" spans="8:20" x14ac:dyDescent="0.35">
      <c r="H15776" s="711"/>
      <c r="I15776" s="711"/>
      <c r="J15776" s="711"/>
      <c r="K15776" s="711"/>
      <c r="L15776" s="711"/>
      <c r="Q15776" s="11"/>
      <c r="R15776" s="11"/>
      <c r="S15776" s="11"/>
      <c r="T15776" s="11"/>
    </row>
    <row r="15777" spans="8:20" x14ac:dyDescent="0.35">
      <c r="H15777" s="711"/>
      <c r="I15777" s="711"/>
      <c r="J15777" s="711"/>
      <c r="K15777" s="711"/>
      <c r="L15777" s="711"/>
      <c r="Q15777" s="11"/>
      <c r="R15777" s="11"/>
      <c r="S15777" s="11"/>
      <c r="T15777" s="11"/>
    </row>
    <row r="15778" spans="8:20" x14ac:dyDescent="0.35">
      <c r="H15778" s="711"/>
      <c r="I15778" s="711"/>
      <c r="J15778" s="711"/>
      <c r="K15778" s="711"/>
      <c r="L15778" s="711"/>
      <c r="Q15778" s="11"/>
      <c r="R15778" s="11"/>
      <c r="S15778" s="11"/>
      <c r="T15778" s="11"/>
    </row>
    <row r="15779" spans="8:20" x14ac:dyDescent="0.35">
      <c r="H15779" s="711"/>
      <c r="I15779" s="711"/>
      <c r="J15779" s="711"/>
      <c r="K15779" s="711"/>
      <c r="L15779" s="711"/>
      <c r="Q15779" s="11"/>
      <c r="R15779" s="11"/>
      <c r="S15779" s="11"/>
      <c r="T15779" s="11"/>
    </row>
    <row r="15780" spans="8:20" x14ac:dyDescent="0.35">
      <c r="H15780" s="711"/>
      <c r="I15780" s="711"/>
      <c r="J15780" s="711"/>
      <c r="K15780" s="711"/>
      <c r="L15780" s="711"/>
      <c r="Q15780" s="11"/>
      <c r="R15780" s="11"/>
      <c r="S15780" s="11"/>
      <c r="T15780" s="11"/>
    </row>
    <row r="15781" spans="8:20" x14ac:dyDescent="0.35">
      <c r="H15781" s="711"/>
      <c r="I15781" s="711"/>
      <c r="J15781" s="711"/>
      <c r="K15781" s="711"/>
      <c r="L15781" s="711"/>
      <c r="Q15781" s="11"/>
      <c r="R15781" s="11"/>
      <c r="S15781" s="11"/>
      <c r="T15781" s="11"/>
    </row>
    <row r="15782" spans="8:20" x14ac:dyDescent="0.35">
      <c r="H15782" s="711"/>
      <c r="I15782" s="711"/>
      <c r="J15782" s="711"/>
      <c r="K15782" s="711"/>
      <c r="L15782" s="711"/>
      <c r="Q15782" s="11"/>
      <c r="R15782" s="11"/>
      <c r="S15782" s="11"/>
      <c r="T15782" s="11"/>
    </row>
    <row r="15783" spans="8:20" x14ac:dyDescent="0.35">
      <c r="H15783" s="711"/>
      <c r="I15783" s="711"/>
      <c r="J15783" s="711"/>
      <c r="K15783" s="711"/>
      <c r="L15783" s="711"/>
      <c r="Q15783" s="11"/>
      <c r="R15783" s="11"/>
      <c r="S15783" s="11"/>
      <c r="T15783" s="11"/>
    </row>
    <row r="15784" spans="8:20" x14ac:dyDescent="0.35">
      <c r="H15784" s="711"/>
      <c r="I15784" s="711"/>
      <c r="J15784" s="711"/>
      <c r="K15784" s="711"/>
      <c r="L15784" s="711"/>
      <c r="Q15784" s="11"/>
      <c r="R15784" s="11"/>
      <c r="S15784" s="11"/>
      <c r="T15784" s="11"/>
    </row>
    <row r="15785" spans="8:20" x14ac:dyDescent="0.35">
      <c r="H15785" s="711"/>
      <c r="I15785" s="711"/>
      <c r="J15785" s="711"/>
      <c r="K15785" s="711"/>
      <c r="L15785" s="711"/>
      <c r="Q15785" s="11"/>
      <c r="R15785" s="11"/>
      <c r="S15785" s="11"/>
      <c r="T15785" s="11"/>
    </row>
    <row r="15786" spans="8:20" x14ac:dyDescent="0.35">
      <c r="H15786" s="711"/>
      <c r="I15786" s="711"/>
      <c r="J15786" s="711"/>
      <c r="K15786" s="711"/>
      <c r="L15786" s="711"/>
      <c r="Q15786" s="11"/>
      <c r="R15786" s="11"/>
      <c r="S15786" s="11"/>
      <c r="T15786" s="11"/>
    </row>
    <row r="15787" spans="8:20" x14ac:dyDescent="0.35">
      <c r="H15787" s="711"/>
      <c r="I15787" s="711"/>
      <c r="J15787" s="711"/>
      <c r="K15787" s="711"/>
      <c r="L15787" s="711"/>
      <c r="Q15787" s="11"/>
      <c r="R15787" s="11"/>
      <c r="S15787" s="11"/>
      <c r="T15787" s="11"/>
    </row>
    <row r="15788" spans="8:20" x14ac:dyDescent="0.35">
      <c r="H15788" s="711"/>
      <c r="I15788" s="711"/>
      <c r="J15788" s="711"/>
      <c r="K15788" s="711"/>
      <c r="L15788" s="711"/>
      <c r="Q15788" s="11"/>
      <c r="R15788" s="11"/>
      <c r="S15788" s="11"/>
      <c r="T15788" s="11"/>
    </row>
    <row r="15789" spans="8:20" x14ac:dyDescent="0.35">
      <c r="H15789" s="711"/>
      <c r="I15789" s="711"/>
      <c r="J15789" s="711"/>
      <c r="K15789" s="711"/>
      <c r="L15789" s="711"/>
      <c r="Q15789" s="11"/>
      <c r="R15789" s="11"/>
      <c r="S15789" s="11"/>
      <c r="T15789" s="11"/>
    </row>
    <row r="15790" spans="8:20" x14ac:dyDescent="0.35">
      <c r="H15790" s="711"/>
      <c r="I15790" s="711"/>
      <c r="J15790" s="711"/>
      <c r="K15790" s="711"/>
      <c r="L15790" s="711"/>
      <c r="Q15790" s="11"/>
      <c r="R15790" s="11"/>
      <c r="S15790" s="11"/>
      <c r="T15790" s="11"/>
    </row>
    <row r="15791" spans="8:20" x14ac:dyDescent="0.35">
      <c r="H15791" s="711"/>
      <c r="I15791" s="711"/>
      <c r="J15791" s="711"/>
      <c r="K15791" s="711"/>
      <c r="L15791" s="711"/>
      <c r="Q15791" s="11"/>
      <c r="R15791" s="11"/>
      <c r="S15791" s="11"/>
      <c r="T15791" s="11"/>
    </row>
    <row r="15792" spans="8:20" x14ac:dyDescent="0.35">
      <c r="H15792" s="711"/>
      <c r="I15792" s="711"/>
      <c r="J15792" s="711"/>
      <c r="K15792" s="711"/>
      <c r="L15792" s="711"/>
      <c r="Q15792" s="11"/>
      <c r="R15792" s="11"/>
      <c r="S15792" s="11"/>
      <c r="T15792" s="11"/>
    </row>
    <row r="15793" spans="8:20" x14ac:dyDescent="0.35">
      <c r="H15793" s="711"/>
      <c r="I15793" s="711"/>
      <c r="J15793" s="711"/>
      <c r="K15793" s="711"/>
      <c r="L15793" s="711"/>
      <c r="Q15793" s="11"/>
      <c r="R15793" s="11"/>
      <c r="S15793" s="11"/>
      <c r="T15793" s="11"/>
    </row>
    <row r="15794" spans="8:20" x14ac:dyDescent="0.35">
      <c r="H15794" s="711"/>
      <c r="I15794" s="711"/>
      <c r="J15794" s="711"/>
      <c r="K15794" s="711"/>
      <c r="L15794" s="711"/>
      <c r="Q15794" s="11"/>
      <c r="R15794" s="11"/>
      <c r="S15794" s="11"/>
      <c r="T15794" s="11"/>
    </row>
    <row r="15795" spans="8:20" x14ac:dyDescent="0.35">
      <c r="H15795" s="711"/>
      <c r="I15795" s="711"/>
      <c r="J15795" s="711"/>
      <c r="K15795" s="711"/>
      <c r="L15795" s="711"/>
      <c r="Q15795" s="11"/>
      <c r="R15795" s="11"/>
      <c r="S15795" s="11"/>
      <c r="T15795" s="11"/>
    </row>
    <row r="15796" spans="8:20" x14ac:dyDescent="0.35">
      <c r="H15796" s="711"/>
      <c r="I15796" s="711"/>
      <c r="J15796" s="711"/>
      <c r="K15796" s="711"/>
      <c r="L15796" s="711"/>
      <c r="Q15796" s="11"/>
      <c r="R15796" s="11"/>
      <c r="S15796" s="11"/>
      <c r="T15796" s="11"/>
    </row>
    <row r="15797" spans="8:20" x14ac:dyDescent="0.35">
      <c r="H15797" s="711"/>
      <c r="I15797" s="711"/>
      <c r="J15797" s="711"/>
      <c r="K15797" s="711"/>
      <c r="L15797" s="711"/>
      <c r="Q15797" s="11"/>
      <c r="R15797" s="11"/>
      <c r="S15797" s="11"/>
      <c r="T15797" s="11"/>
    </row>
    <row r="15798" spans="8:20" x14ac:dyDescent="0.35">
      <c r="H15798" s="711"/>
      <c r="I15798" s="711"/>
      <c r="J15798" s="711"/>
      <c r="K15798" s="711"/>
      <c r="L15798" s="711"/>
      <c r="Q15798" s="11"/>
      <c r="R15798" s="11"/>
      <c r="S15798" s="11"/>
      <c r="T15798" s="11"/>
    </row>
    <row r="15799" spans="8:20" x14ac:dyDescent="0.35">
      <c r="H15799" s="711"/>
      <c r="I15799" s="711"/>
      <c r="J15799" s="711"/>
      <c r="K15799" s="711"/>
      <c r="L15799" s="711"/>
      <c r="Q15799" s="11"/>
      <c r="R15799" s="11"/>
      <c r="S15799" s="11"/>
      <c r="T15799" s="11"/>
    </row>
    <row r="15800" spans="8:20" x14ac:dyDescent="0.35">
      <c r="H15800" s="711"/>
      <c r="I15800" s="711"/>
      <c r="J15800" s="711"/>
      <c r="K15800" s="711"/>
      <c r="L15800" s="711"/>
      <c r="Q15800" s="11"/>
      <c r="R15800" s="11"/>
      <c r="S15800" s="11"/>
      <c r="T15800" s="11"/>
    </row>
    <row r="15801" spans="8:20" x14ac:dyDescent="0.35">
      <c r="H15801" s="711"/>
      <c r="I15801" s="711"/>
      <c r="J15801" s="711"/>
      <c r="K15801" s="711"/>
      <c r="L15801" s="711"/>
      <c r="Q15801" s="11"/>
      <c r="R15801" s="11"/>
      <c r="S15801" s="11"/>
      <c r="T15801" s="11"/>
    </row>
    <row r="15802" spans="8:20" x14ac:dyDescent="0.35">
      <c r="H15802" s="711"/>
      <c r="I15802" s="711"/>
      <c r="J15802" s="711"/>
      <c r="K15802" s="711"/>
      <c r="L15802" s="711"/>
      <c r="Q15802" s="11"/>
      <c r="R15802" s="11"/>
      <c r="S15802" s="11"/>
      <c r="T15802" s="11"/>
    </row>
    <row r="15803" spans="8:20" x14ac:dyDescent="0.35">
      <c r="H15803" s="711"/>
      <c r="I15803" s="711"/>
      <c r="J15803" s="711"/>
      <c r="K15803" s="711"/>
      <c r="L15803" s="711"/>
      <c r="Q15803" s="11"/>
      <c r="R15803" s="11"/>
      <c r="S15803" s="11"/>
      <c r="T15803" s="11"/>
    </row>
    <row r="15804" spans="8:20" x14ac:dyDescent="0.35">
      <c r="H15804" s="711"/>
      <c r="I15804" s="711"/>
      <c r="J15804" s="711"/>
      <c r="K15804" s="711"/>
      <c r="L15804" s="711"/>
      <c r="Q15804" s="11"/>
      <c r="R15804" s="11"/>
      <c r="S15804" s="11"/>
      <c r="T15804" s="11"/>
    </row>
    <row r="15805" spans="8:20" x14ac:dyDescent="0.35">
      <c r="H15805" s="711"/>
      <c r="I15805" s="711"/>
      <c r="J15805" s="711"/>
      <c r="K15805" s="711"/>
      <c r="L15805" s="711"/>
      <c r="Q15805" s="11"/>
      <c r="R15805" s="11"/>
      <c r="S15805" s="11"/>
      <c r="T15805" s="11"/>
    </row>
    <row r="15806" spans="8:20" x14ac:dyDescent="0.35">
      <c r="H15806" s="711"/>
      <c r="I15806" s="711"/>
      <c r="J15806" s="711"/>
      <c r="K15806" s="711"/>
      <c r="L15806" s="711"/>
      <c r="Q15806" s="11"/>
      <c r="R15806" s="11"/>
      <c r="S15806" s="11"/>
      <c r="T15806" s="11"/>
    </row>
    <row r="15807" spans="8:20" x14ac:dyDescent="0.35">
      <c r="H15807" s="711"/>
      <c r="I15807" s="711"/>
      <c r="J15807" s="711"/>
      <c r="K15807" s="711"/>
      <c r="L15807" s="711"/>
      <c r="Q15807" s="11"/>
      <c r="R15807" s="11"/>
      <c r="S15807" s="11"/>
      <c r="T15807" s="11"/>
    </row>
    <row r="15808" spans="8:20" x14ac:dyDescent="0.35">
      <c r="H15808" s="711"/>
      <c r="I15808" s="711"/>
      <c r="J15808" s="711"/>
      <c r="K15808" s="711"/>
      <c r="L15808" s="711"/>
      <c r="Q15808" s="11"/>
      <c r="R15808" s="11"/>
      <c r="S15808" s="11"/>
      <c r="T15808" s="11"/>
    </row>
    <row r="15809" spans="8:20" x14ac:dyDescent="0.35">
      <c r="H15809" s="711"/>
      <c r="I15809" s="711"/>
      <c r="J15809" s="711"/>
      <c r="K15809" s="711"/>
      <c r="L15809" s="711"/>
      <c r="Q15809" s="11"/>
      <c r="R15809" s="11"/>
      <c r="S15809" s="11"/>
      <c r="T15809" s="11"/>
    </row>
    <row r="15810" spans="8:20" x14ac:dyDescent="0.35">
      <c r="H15810" s="711"/>
      <c r="I15810" s="711"/>
      <c r="J15810" s="711"/>
      <c r="K15810" s="711"/>
      <c r="L15810" s="711"/>
      <c r="Q15810" s="11"/>
      <c r="R15810" s="11"/>
      <c r="S15810" s="11"/>
      <c r="T15810" s="11"/>
    </row>
    <row r="15811" spans="8:20" x14ac:dyDescent="0.35">
      <c r="H15811" s="711"/>
      <c r="I15811" s="711"/>
      <c r="J15811" s="711"/>
      <c r="K15811" s="711"/>
      <c r="L15811" s="711"/>
      <c r="Q15811" s="11"/>
      <c r="R15811" s="11"/>
      <c r="S15811" s="11"/>
      <c r="T15811" s="11"/>
    </row>
    <row r="15812" spans="8:20" x14ac:dyDescent="0.35">
      <c r="H15812" s="711"/>
      <c r="I15812" s="711"/>
      <c r="J15812" s="711"/>
      <c r="K15812" s="711"/>
      <c r="L15812" s="711"/>
      <c r="Q15812" s="11"/>
      <c r="R15812" s="11"/>
      <c r="S15812" s="11"/>
      <c r="T15812" s="11"/>
    </row>
    <row r="15813" spans="8:20" x14ac:dyDescent="0.35">
      <c r="H15813" s="711"/>
      <c r="I15813" s="711"/>
      <c r="J15813" s="711"/>
      <c r="K15813" s="711"/>
      <c r="L15813" s="711"/>
      <c r="Q15813" s="11"/>
      <c r="R15813" s="11"/>
      <c r="S15813" s="11"/>
      <c r="T15813" s="11"/>
    </row>
    <row r="15814" spans="8:20" x14ac:dyDescent="0.35">
      <c r="H15814" s="711"/>
      <c r="I15814" s="711"/>
      <c r="J15814" s="711"/>
      <c r="K15814" s="711"/>
      <c r="L15814" s="711"/>
      <c r="Q15814" s="11"/>
      <c r="R15814" s="11"/>
      <c r="S15814" s="11"/>
      <c r="T15814" s="11"/>
    </row>
    <row r="15815" spans="8:20" x14ac:dyDescent="0.35">
      <c r="H15815" s="711"/>
      <c r="I15815" s="711"/>
      <c r="J15815" s="711"/>
      <c r="K15815" s="711"/>
      <c r="L15815" s="711"/>
      <c r="Q15815" s="11"/>
      <c r="R15815" s="11"/>
      <c r="S15815" s="11"/>
      <c r="T15815" s="11"/>
    </row>
    <row r="15816" spans="8:20" x14ac:dyDescent="0.35">
      <c r="H15816" s="711"/>
      <c r="I15816" s="711"/>
      <c r="J15816" s="711"/>
      <c r="K15816" s="711"/>
      <c r="L15816" s="711"/>
      <c r="Q15816" s="11"/>
      <c r="R15816" s="11"/>
      <c r="S15816" s="11"/>
      <c r="T15816" s="11"/>
    </row>
    <row r="15817" spans="8:20" x14ac:dyDescent="0.35">
      <c r="H15817" s="711"/>
      <c r="I15817" s="711"/>
      <c r="J15817" s="711"/>
      <c r="K15817" s="711"/>
      <c r="L15817" s="711"/>
      <c r="Q15817" s="11"/>
      <c r="R15817" s="11"/>
      <c r="S15817" s="11"/>
      <c r="T15817" s="11"/>
    </row>
    <row r="15818" spans="8:20" x14ac:dyDescent="0.35">
      <c r="H15818" s="711"/>
      <c r="I15818" s="711"/>
      <c r="J15818" s="711"/>
      <c r="K15818" s="711"/>
      <c r="L15818" s="711"/>
      <c r="Q15818" s="11"/>
      <c r="R15818" s="11"/>
      <c r="S15818" s="11"/>
      <c r="T15818" s="11"/>
    </row>
    <row r="15819" spans="8:20" x14ac:dyDescent="0.35">
      <c r="H15819" s="711"/>
      <c r="I15819" s="711"/>
      <c r="J15819" s="711"/>
      <c r="K15819" s="711"/>
      <c r="L15819" s="711"/>
      <c r="Q15819" s="11"/>
      <c r="R15819" s="11"/>
      <c r="S15819" s="11"/>
      <c r="T15819" s="11"/>
    </row>
    <row r="15820" spans="8:20" x14ac:dyDescent="0.35">
      <c r="H15820" s="711"/>
      <c r="I15820" s="711"/>
      <c r="J15820" s="711"/>
      <c r="K15820" s="711"/>
      <c r="L15820" s="711"/>
      <c r="Q15820" s="11"/>
      <c r="R15820" s="11"/>
      <c r="S15820" s="11"/>
      <c r="T15820" s="11"/>
    </row>
    <row r="15821" spans="8:20" x14ac:dyDescent="0.35">
      <c r="H15821" s="711"/>
      <c r="I15821" s="711"/>
      <c r="J15821" s="711"/>
      <c r="K15821" s="711"/>
      <c r="L15821" s="711"/>
      <c r="Q15821" s="11"/>
      <c r="R15821" s="11"/>
      <c r="S15821" s="11"/>
      <c r="T15821" s="11"/>
    </row>
    <row r="15822" spans="8:20" x14ac:dyDescent="0.35">
      <c r="H15822" s="711"/>
      <c r="I15822" s="711"/>
      <c r="J15822" s="711"/>
      <c r="K15822" s="711"/>
      <c r="L15822" s="711"/>
      <c r="Q15822" s="11"/>
      <c r="R15822" s="11"/>
      <c r="S15822" s="11"/>
      <c r="T15822" s="11"/>
    </row>
    <row r="15823" spans="8:20" x14ac:dyDescent="0.35">
      <c r="H15823" s="711"/>
      <c r="I15823" s="711"/>
      <c r="J15823" s="711"/>
      <c r="K15823" s="711"/>
      <c r="L15823" s="711"/>
      <c r="Q15823" s="11"/>
      <c r="R15823" s="11"/>
      <c r="S15823" s="11"/>
      <c r="T15823" s="11"/>
    </row>
    <row r="15824" spans="8:20" x14ac:dyDescent="0.35">
      <c r="H15824" s="711"/>
      <c r="I15824" s="711"/>
      <c r="J15824" s="711"/>
      <c r="K15824" s="711"/>
      <c r="L15824" s="711"/>
      <c r="Q15824" s="11"/>
      <c r="R15824" s="11"/>
      <c r="S15824" s="11"/>
      <c r="T15824" s="11"/>
    </row>
    <row r="15825" spans="8:20" x14ac:dyDescent="0.35">
      <c r="H15825" s="711"/>
      <c r="I15825" s="711"/>
      <c r="J15825" s="711"/>
      <c r="K15825" s="711"/>
      <c r="L15825" s="711"/>
      <c r="Q15825" s="11"/>
      <c r="R15825" s="11"/>
      <c r="S15825" s="11"/>
      <c r="T15825" s="11"/>
    </row>
    <row r="15826" spans="8:20" x14ac:dyDescent="0.35">
      <c r="H15826" s="711"/>
      <c r="I15826" s="711"/>
      <c r="J15826" s="711"/>
      <c r="K15826" s="711"/>
      <c r="L15826" s="711"/>
      <c r="Q15826" s="11"/>
      <c r="R15826" s="11"/>
      <c r="S15826" s="11"/>
      <c r="T15826" s="11"/>
    </row>
    <row r="15827" spans="8:20" x14ac:dyDescent="0.35">
      <c r="H15827" s="711"/>
      <c r="I15827" s="711"/>
      <c r="J15827" s="711"/>
      <c r="K15827" s="711"/>
      <c r="L15827" s="711"/>
      <c r="Q15827" s="11"/>
      <c r="R15827" s="11"/>
      <c r="S15827" s="11"/>
      <c r="T15827" s="11"/>
    </row>
    <row r="15828" spans="8:20" x14ac:dyDescent="0.35">
      <c r="H15828" s="711"/>
      <c r="I15828" s="711"/>
      <c r="J15828" s="711"/>
      <c r="K15828" s="711"/>
      <c r="L15828" s="711"/>
      <c r="Q15828" s="11"/>
      <c r="R15828" s="11"/>
      <c r="S15828" s="11"/>
      <c r="T15828" s="11"/>
    </row>
    <row r="15829" spans="8:20" x14ac:dyDescent="0.35">
      <c r="H15829" s="711"/>
      <c r="I15829" s="711"/>
      <c r="J15829" s="711"/>
      <c r="K15829" s="711"/>
      <c r="L15829" s="711"/>
      <c r="Q15829" s="11"/>
      <c r="R15829" s="11"/>
      <c r="S15829" s="11"/>
      <c r="T15829" s="11"/>
    </row>
    <row r="15830" spans="8:20" x14ac:dyDescent="0.35">
      <c r="H15830" s="711"/>
      <c r="I15830" s="711"/>
      <c r="J15830" s="711"/>
      <c r="K15830" s="711"/>
      <c r="L15830" s="711"/>
      <c r="Q15830" s="11"/>
      <c r="R15830" s="11"/>
      <c r="S15830" s="11"/>
      <c r="T15830" s="11"/>
    </row>
    <row r="15831" spans="8:20" x14ac:dyDescent="0.35">
      <c r="H15831" s="711"/>
      <c r="I15831" s="711"/>
      <c r="J15831" s="711"/>
      <c r="K15831" s="711"/>
      <c r="L15831" s="711"/>
      <c r="Q15831" s="11"/>
      <c r="R15831" s="11"/>
      <c r="S15831" s="11"/>
      <c r="T15831" s="11"/>
    </row>
    <row r="15832" spans="8:20" x14ac:dyDescent="0.35">
      <c r="H15832" s="711"/>
      <c r="I15832" s="711"/>
      <c r="J15832" s="711"/>
      <c r="K15832" s="711"/>
      <c r="L15832" s="711"/>
      <c r="Q15832" s="11"/>
      <c r="R15832" s="11"/>
      <c r="S15832" s="11"/>
      <c r="T15832" s="11"/>
    </row>
    <row r="15833" spans="8:20" x14ac:dyDescent="0.35">
      <c r="H15833" s="711"/>
      <c r="I15833" s="711"/>
      <c r="J15833" s="711"/>
      <c r="K15833" s="711"/>
      <c r="L15833" s="711"/>
      <c r="Q15833" s="11"/>
      <c r="R15833" s="11"/>
      <c r="S15833" s="11"/>
      <c r="T15833" s="11"/>
    </row>
    <row r="15834" spans="8:20" x14ac:dyDescent="0.35">
      <c r="H15834" s="711"/>
      <c r="I15834" s="711"/>
      <c r="J15834" s="711"/>
      <c r="K15834" s="711"/>
      <c r="L15834" s="711"/>
      <c r="Q15834" s="11"/>
      <c r="R15834" s="11"/>
      <c r="S15834" s="11"/>
      <c r="T15834" s="11"/>
    </row>
    <row r="15835" spans="8:20" x14ac:dyDescent="0.35">
      <c r="H15835" s="711"/>
      <c r="I15835" s="711"/>
      <c r="J15835" s="711"/>
      <c r="K15835" s="711"/>
      <c r="L15835" s="711"/>
      <c r="Q15835" s="11"/>
      <c r="R15835" s="11"/>
      <c r="S15835" s="11"/>
      <c r="T15835" s="11"/>
    </row>
    <row r="15836" spans="8:20" x14ac:dyDescent="0.35">
      <c r="H15836" s="711"/>
      <c r="I15836" s="711"/>
      <c r="J15836" s="711"/>
      <c r="K15836" s="711"/>
      <c r="L15836" s="711"/>
      <c r="Q15836" s="11"/>
      <c r="R15836" s="11"/>
      <c r="S15836" s="11"/>
      <c r="T15836" s="11"/>
    </row>
    <row r="15837" spans="8:20" x14ac:dyDescent="0.35">
      <c r="H15837" s="711"/>
      <c r="I15837" s="711"/>
      <c r="J15837" s="711"/>
      <c r="K15837" s="711"/>
      <c r="L15837" s="711"/>
      <c r="Q15837" s="11"/>
      <c r="R15837" s="11"/>
      <c r="S15837" s="11"/>
      <c r="T15837" s="11"/>
    </row>
    <row r="15838" spans="8:20" x14ac:dyDescent="0.35">
      <c r="H15838" s="711"/>
      <c r="I15838" s="711"/>
      <c r="J15838" s="711"/>
      <c r="K15838" s="711"/>
      <c r="L15838" s="711"/>
      <c r="Q15838" s="11"/>
      <c r="R15838" s="11"/>
      <c r="S15838" s="11"/>
      <c r="T15838" s="11"/>
    </row>
    <row r="15839" spans="8:20" x14ac:dyDescent="0.35">
      <c r="H15839" s="711"/>
      <c r="I15839" s="711"/>
      <c r="J15839" s="711"/>
      <c r="K15839" s="711"/>
      <c r="L15839" s="711"/>
      <c r="Q15839" s="11"/>
      <c r="R15839" s="11"/>
      <c r="S15839" s="11"/>
      <c r="T15839" s="11"/>
    </row>
    <row r="15840" spans="8:20" x14ac:dyDescent="0.35">
      <c r="H15840" s="711"/>
      <c r="I15840" s="711"/>
      <c r="J15840" s="711"/>
      <c r="K15840" s="711"/>
      <c r="L15840" s="711"/>
      <c r="Q15840" s="11"/>
      <c r="R15840" s="11"/>
      <c r="S15840" s="11"/>
      <c r="T15840" s="11"/>
    </row>
    <row r="15841" spans="8:20" x14ac:dyDescent="0.35">
      <c r="H15841" s="711"/>
      <c r="I15841" s="711"/>
      <c r="J15841" s="711"/>
      <c r="K15841" s="711"/>
      <c r="L15841" s="711"/>
      <c r="Q15841" s="11"/>
      <c r="R15841" s="11"/>
      <c r="S15841" s="11"/>
      <c r="T15841" s="11"/>
    </row>
    <row r="15842" spans="8:20" x14ac:dyDescent="0.35">
      <c r="H15842" s="711"/>
      <c r="I15842" s="711"/>
      <c r="J15842" s="711"/>
      <c r="K15842" s="711"/>
      <c r="L15842" s="711"/>
      <c r="Q15842" s="11"/>
      <c r="R15842" s="11"/>
      <c r="S15842" s="11"/>
      <c r="T15842" s="11"/>
    </row>
    <row r="15843" spans="8:20" x14ac:dyDescent="0.35">
      <c r="H15843" s="711"/>
      <c r="I15843" s="711"/>
      <c r="J15843" s="711"/>
      <c r="K15843" s="711"/>
      <c r="L15843" s="711"/>
      <c r="Q15843" s="11"/>
      <c r="R15843" s="11"/>
      <c r="S15843" s="11"/>
      <c r="T15843" s="11"/>
    </row>
    <row r="15844" spans="8:20" x14ac:dyDescent="0.35">
      <c r="H15844" s="711"/>
      <c r="I15844" s="711"/>
      <c r="J15844" s="711"/>
      <c r="K15844" s="711"/>
      <c r="L15844" s="711"/>
      <c r="Q15844" s="11"/>
      <c r="R15844" s="11"/>
      <c r="S15844" s="11"/>
      <c r="T15844" s="11"/>
    </row>
    <row r="15845" spans="8:20" x14ac:dyDescent="0.35">
      <c r="H15845" s="711"/>
      <c r="I15845" s="711"/>
      <c r="J15845" s="711"/>
      <c r="K15845" s="711"/>
      <c r="L15845" s="711"/>
      <c r="Q15845" s="11"/>
      <c r="R15845" s="11"/>
      <c r="S15845" s="11"/>
      <c r="T15845" s="11"/>
    </row>
    <row r="15846" spans="8:20" x14ac:dyDescent="0.35">
      <c r="H15846" s="711"/>
      <c r="I15846" s="711"/>
      <c r="J15846" s="711"/>
      <c r="K15846" s="711"/>
      <c r="L15846" s="711"/>
      <c r="Q15846" s="11"/>
      <c r="R15846" s="11"/>
      <c r="S15846" s="11"/>
      <c r="T15846" s="11"/>
    </row>
    <row r="15847" spans="8:20" x14ac:dyDescent="0.35">
      <c r="H15847" s="711"/>
      <c r="I15847" s="711"/>
      <c r="J15847" s="711"/>
      <c r="K15847" s="711"/>
      <c r="L15847" s="711"/>
      <c r="Q15847" s="11"/>
      <c r="R15847" s="11"/>
      <c r="S15847" s="11"/>
      <c r="T15847" s="11"/>
    </row>
    <row r="15848" spans="8:20" x14ac:dyDescent="0.35">
      <c r="H15848" s="711"/>
      <c r="I15848" s="711"/>
      <c r="J15848" s="711"/>
      <c r="K15848" s="711"/>
      <c r="L15848" s="711"/>
      <c r="Q15848" s="11"/>
      <c r="R15848" s="11"/>
      <c r="S15848" s="11"/>
      <c r="T15848" s="11"/>
    </row>
    <row r="15849" spans="8:20" x14ac:dyDescent="0.35">
      <c r="H15849" s="711"/>
      <c r="I15849" s="711"/>
      <c r="J15849" s="711"/>
      <c r="K15849" s="711"/>
      <c r="L15849" s="711"/>
      <c r="Q15849" s="11"/>
      <c r="R15849" s="11"/>
      <c r="S15849" s="11"/>
      <c r="T15849" s="11"/>
    </row>
    <row r="15850" spans="8:20" x14ac:dyDescent="0.35">
      <c r="H15850" s="711"/>
      <c r="I15850" s="711"/>
      <c r="J15850" s="711"/>
      <c r="K15850" s="711"/>
      <c r="L15850" s="711"/>
      <c r="Q15850" s="11"/>
      <c r="R15850" s="11"/>
      <c r="S15850" s="11"/>
      <c r="T15850" s="11"/>
    </row>
    <row r="15851" spans="8:20" x14ac:dyDescent="0.35">
      <c r="H15851" s="711"/>
      <c r="I15851" s="711"/>
      <c r="J15851" s="711"/>
      <c r="K15851" s="711"/>
      <c r="L15851" s="711"/>
      <c r="Q15851" s="11"/>
      <c r="R15851" s="11"/>
      <c r="S15851" s="11"/>
      <c r="T15851" s="11"/>
    </row>
    <row r="15852" spans="8:20" x14ac:dyDescent="0.35">
      <c r="H15852" s="711"/>
      <c r="I15852" s="711"/>
      <c r="J15852" s="711"/>
      <c r="K15852" s="711"/>
      <c r="L15852" s="711"/>
      <c r="Q15852" s="11"/>
      <c r="R15852" s="11"/>
      <c r="S15852" s="11"/>
      <c r="T15852" s="11"/>
    </row>
    <row r="15853" spans="8:20" x14ac:dyDescent="0.35">
      <c r="H15853" s="711"/>
      <c r="I15853" s="711"/>
      <c r="J15853" s="711"/>
      <c r="K15853" s="711"/>
      <c r="L15853" s="711"/>
      <c r="Q15853" s="11"/>
      <c r="R15853" s="11"/>
      <c r="S15853" s="11"/>
      <c r="T15853" s="11"/>
    </row>
    <row r="15854" spans="8:20" x14ac:dyDescent="0.35">
      <c r="H15854" s="711"/>
      <c r="I15854" s="711"/>
      <c r="J15854" s="711"/>
      <c r="K15854" s="711"/>
      <c r="L15854" s="711"/>
      <c r="Q15854" s="11"/>
      <c r="R15854" s="11"/>
      <c r="S15854" s="11"/>
      <c r="T15854" s="11"/>
    </row>
    <row r="15855" spans="8:20" x14ac:dyDescent="0.35">
      <c r="H15855" s="711"/>
      <c r="I15855" s="711"/>
      <c r="J15855" s="711"/>
      <c r="K15855" s="711"/>
      <c r="L15855" s="711"/>
      <c r="Q15855" s="11"/>
      <c r="R15855" s="11"/>
      <c r="S15855" s="11"/>
      <c r="T15855" s="11"/>
    </row>
    <row r="15856" spans="8:20" x14ac:dyDescent="0.35">
      <c r="H15856" s="711"/>
      <c r="I15856" s="711"/>
      <c r="J15856" s="711"/>
      <c r="K15856" s="711"/>
      <c r="L15856" s="711"/>
      <c r="Q15856" s="11"/>
      <c r="R15856" s="11"/>
      <c r="S15856" s="11"/>
      <c r="T15856" s="11"/>
    </row>
    <row r="15857" spans="8:20" x14ac:dyDescent="0.35">
      <c r="H15857" s="711"/>
      <c r="I15857" s="711"/>
      <c r="J15857" s="711"/>
      <c r="K15857" s="711"/>
      <c r="L15857" s="711"/>
      <c r="Q15857" s="11"/>
      <c r="R15857" s="11"/>
      <c r="S15857" s="11"/>
      <c r="T15857" s="11"/>
    </row>
    <row r="15858" spans="8:20" x14ac:dyDescent="0.35">
      <c r="H15858" s="711"/>
      <c r="I15858" s="711"/>
      <c r="J15858" s="711"/>
      <c r="K15858" s="711"/>
      <c r="L15858" s="711"/>
      <c r="Q15858" s="11"/>
      <c r="R15858" s="11"/>
      <c r="S15858" s="11"/>
      <c r="T15858" s="11"/>
    </row>
    <row r="15859" spans="8:20" x14ac:dyDescent="0.35">
      <c r="H15859" s="711"/>
      <c r="I15859" s="711"/>
      <c r="J15859" s="711"/>
      <c r="K15859" s="711"/>
      <c r="L15859" s="711"/>
      <c r="Q15859" s="11"/>
      <c r="R15859" s="11"/>
      <c r="S15859" s="11"/>
      <c r="T15859" s="11"/>
    </row>
    <row r="15860" spans="8:20" x14ac:dyDescent="0.35">
      <c r="H15860" s="711"/>
      <c r="I15860" s="711"/>
      <c r="J15860" s="711"/>
      <c r="K15860" s="711"/>
      <c r="L15860" s="711"/>
      <c r="Q15860" s="11"/>
      <c r="R15860" s="11"/>
      <c r="S15860" s="11"/>
      <c r="T15860" s="11"/>
    </row>
    <row r="15861" spans="8:20" x14ac:dyDescent="0.35">
      <c r="H15861" s="711"/>
      <c r="I15861" s="711"/>
      <c r="J15861" s="711"/>
      <c r="K15861" s="711"/>
      <c r="L15861" s="711"/>
      <c r="Q15861" s="11"/>
      <c r="R15861" s="11"/>
      <c r="S15861" s="11"/>
      <c r="T15861" s="11"/>
    </row>
    <row r="15862" spans="8:20" x14ac:dyDescent="0.35">
      <c r="H15862" s="711"/>
      <c r="I15862" s="711"/>
      <c r="J15862" s="711"/>
      <c r="K15862" s="711"/>
      <c r="L15862" s="711"/>
      <c r="Q15862" s="11"/>
      <c r="R15862" s="11"/>
      <c r="S15862" s="11"/>
      <c r="T15862" s="11"/>
    </row>
    <row r="15863" spans="8:20" x14ac:dyDescent="0.35">
      <c r="H15863" s="711"/>
      <c r="I15863" s="711"/>
      <c r="J15863" s="711"/>
      <c r="K15863" s="711"/>
      <c r="L15863" s="711"/>
      <c r="Q15863" s="11"/>
      <c r="R15863" s="11"/>
      <c r="S15863" s="11"/>
      <c r="T15863" s="11"/>
    </row>
    <row r="15864" spans="8:20" x14ac:dyDescent="0.35">
      <c r="H15864" s="711"/>
      <c r="I15864" s="711"/>
      <c r="J15864" s="711"/>
      <c r="K15864" s="711"/>
      <c r="L15864" s="711"/>
      <c r="Q15864" s="11"/>
      <c r="R15864" s="11"/>
      <c r="S15864" s="11"/>
      <c r="T15864" s="11"/>
    </row>
    <row r="15865" spans="8:20" x14ac:dyDescent="0.35">
      <c r="H15865" s="711"/>
      <c r="I15865" s="711"/>
      <c r="J15865" s="711"/>
      <c r="K15865" s="711"/>
      <c r="L15865" s="711"/>
      <c r="Q15865" s="11"/>
      <c r="R15865" s="11"/>
      <c r="S15865" s="11"/>
      <c r="T15865" s="11"/>
    </row>
    <row r="15866" spans="8:20" x14ac:dyDescent="0.35">
      <c r="H15866" s="711"/>
      <c r="I15866" s="711"/>
      <c r="J15866" s="711"/>
      <c r="K15866" s="711"/>
      <c r="L15866" s="711"/>
      <c r="Q15866" s="11"/>
      <c r="R15866" s="11"/>
      <c r="S15866" s="11"/>
      <c r="T15866" s="11"/>
    </row>
    <row r="15867" spans="8:20" x14ac:dyDescent="0.35">
      <c r="H15867" s="711"/>
      <c r="I15867" s="711"/>
      <c r="J15867" s="711"/>
      <c r="K15867" s="711"/>
      <c r="L15867" s="711"/>
      <c r="Q15867" s="11"/>
      <c r="R15867" s="11"/>
      <c r="S15867" s="11"/>
      <c r="T15867" s="11"/>
    </row>
    <row r="15868" spans="8:20" x14ac:dyDescent="0.35">
      <c r="H15868" s="711"/>
      <c r="I15868" s="711"/>
      <c r="J15868" s="711"/>
      <c r="K15868" s="711"/>
      <c r="L15868" s="711"/>
      <c r="Q15868" s="11"/>
      <c r="R15868" s="11"/>
      <c r="S15868" s="11"/>
      <c r="T15868" s="11"/>
    </row>
    <row r="15869" spans="8:20" x14ac:dyDescent="0.35">
      <c r="H15869" s="711"/>
      <c r="I15869" s="711"/>
      <c r="J15869" s="711"/>
      <c r="K15869" s="711"/>
      <c r="L15869" s="711"/>
      <c r="Q15869" s="11"/>
      <c r="R15869" s="11"/>
      <c r="S15869" s="11"/>
      <c r="T15869" s="11"/>
    </row>
    <row r="15870" spans="8:20" x14ac:dyDescent="0.35">
      <c r="H15870" s="711"/>
      <c r="I15870" s="711"/>
      <c r="J15870" s="711"/>
      <c r="K15870" s="711"/>
      <c r="L15870" s="711"/>
      <c r="Q15870" s="11"/>
      <c r="R15870" s="11"/>
      <c r="S15870" s="11"/>
      <c r="T15870" s="11"/>
    </row>
    <row r="15871" spans="8:20" x14ac:dyDescent="0.35">
      <c r="H15871" s="711"/>
      <c r="I15871" s="711"/>
      <c r="J15871" s="711"/>
      <c r="K15871" s="711"/>
      <c r="L15871" s="711"/>
      <c r="Q15871" s="11"/>
      <c r="R15871" s="11"/>
      <c r="S15871" s="11"/>
      <c r="T15871" s="11"/>
    </row>
    <row r="15872" spans="8:20" x14ac:dyDescent="0.35">
      <c r="H15872" s="711"/>
      <c r="I15872" s="711"/>
      <c r="J15872" s="711"/>
      <c r="K15872" s="711"/>
      <c r="L15872" s="711"/>
      <c r="Q15872" s="11"/>
      <c r="R15872" s="11"/>
      <c r="S15872" s="11"/>
      <c r="T15872" s="11"/>
    </row>
    <row r="15873" spans="8:20" x14ac:dyDescent="0.35">
      <c r="H15873" s="711"/>
      <c r="I15873" s="711"/>
      <c r="J15873" s="711"/>
      <c r="K15873" s="711"/>
      <c r="L15873" s="711"/>
      <c r="Q15873" s="11"/>
      <c r="R15873" s="11"/>
      <c r="S15873" s="11"/>
      <c r="T15873" s="11"/>
    </row>
    <row r="15874" spans="8:20" x14ac:dyDescent="0.35">
      <c r="H15874" s="711"/>
      <c r="I15874" s="711"/>
      <c r="J15874" s="711"/>
      <c r="K15874" s="711"/>
      <c r="L15874" s="711"/>
      <c r="Q15874" s="11"/>
      <c r="R15874" s="11"/>
      <c r="S15874" s="11"/>
      <c r="T15874" s="11"/>
    </row>
    <row r="15875" spans="8:20" x14ac:dyDescent="0.35">
      <c r="H15875" s="711"/>
      <c r="I15875" s="711"/>
      <c r="J15875" s="711"/>
      <c r="K15875" s="711"/>
      <c r="L15875" s="711"/>
      <c r="Q15875" s="11"/>
      <c r="R15875" s="11"/>
      <c r="S15875" s="11"/>
      <c r="T15875" s="11"/>
    </row>
    <row r="15876" spans="8:20" x14ac:dyDescent="0.35">
      <c r="H15876" s="711"/>
      <c r="I15876" s="711"/>
      <c r="J15876" s="711"/>
      <c r="K15876" s="711"/>
      <c r="L15876" s="711"/>
      <c r="Q15876" s="11"/>
      <c r="R15876" s="11"/>
      <c r="S15876" s="11"/>
      <c r="T15876" s="11"/>
    </row>
    <row r="15877" spans="8:20" x14ac:dyDescent="0.35">
      <c r="H15877" s="711"/>
      <c r="I15877" s="711"/>
      <c r="J15877" s="711"/>
      <c r="K15877" s="711"/>
      <c r="L15877" s="711"/>
      <c r="Q15877" s="11"/>
      <c r="R15877" s="11"/>
      <c r="S15877" s="11"/>
      <c r="T15877" s="11"/>
    </row>
    <row r="15878" spans="8:20" x14ac:dyDescent="0.35">
      <c r="H15878" s="711"/>
      <c r="I15878" s="711"/>
      <c r="J15878" s="711"/>
      <c r="K15878" s="711"/>
      <c r="L15878" s="711"/>
      <c r="Q15878" s="11"/>
      <c r="R15878" s="11"/>
      <c r="S15878" s="11"/>
      <c r="T15878" s="11"/>
    </row>
    <row r="15879" spans="8:20" x14ac:dyDescent="0.35">
      <c r="H15879" s="711"/>
      <c r="I15879" s="711"/>
      <c r="J15879" s="711"/>
      <c r="K15879" s="711"/>
      <c r="L15879" s="711"/>
      <c r="Q15879" s="11"/>
      <c r="R15879" s="11"/>
      <c r="S15879" s="11"/>
      <c r="T15879" s="11"/>
    </row>
    <row r="15880" spans="8:20" x14ac:dyDescent="0.35">
      <c r="H15880" s="711"/>
      <c r="I15880" s="711"/>
      <c r="J15880" s="711"/>
      <c r="K15880" s="711"/>
      <c r="L15880" s="711"/>
      <c r="Q15880" s="11"/>
      <c r="R15880" s="11"/>
      <c r="S15880" s="11"/>
      <c r="T15880" s="11"/>
    </row>
    <row r="15881" spans="8:20" x14ac:dyDescent="0.35">
      <c r="H15881" s="711"/>
      <c r="I15881" s="711"/>
      <c r="J15881" s="711"/>
      <c r="K15881" s="711"/>
      <c r="L15881" s="711"/>
      <c r="Q15881" s="11"/>
      <c r="R15881" s="11"/>
      <c r="S15881" s="11"/>
      <c r="T15881" s="11"/>
    </row>
    <row r="15882" spans="8:20" x14ac:dyDescent="0.35">
      <c r="H15882" s="711"/>
      <c r="I15882" s="711"/>
      <c r="J15882" s="711"/>
      <c r="K15882" s="711"/>
      <c r="L15882" s="711"/>
      <c r="Q15882" s="11"/>
      <c r="R15882" s="11"/>
      <c r="S15882" s="11"/>
      <c r="T15882" s="11"/>
    </row>
    <row r="15883" spans="8:20" x14ac:dyDescent="0.35">
      <c r="H15883" s="711"/>
      <c r="I15883" s="711"/>
      <c r="J15883" s="711"/>
      <c r="K15883" s="711"/>
      <c r="L15883" s="711"/>
      <c r="Q15883" s="11"/>
      <c r="R15883" s="11"/>
      <c r="S15883" s="11"/>
      <c r="T15883" s="11"/>
    </row>
    <row r="15884" spans="8:20" x14ac:dyDescent="0.35">
      <c r="H15884" s="711"/>
      <c r="I15884" s="711"/>
      <c r="J15884" s="711"/>
      <c r="K15884" s="711"/>
      <c r="L15884" s="711"/>
      <c r="Q15884" s="11"/>
      <c r="R15884" s="11"/>
      <c r="S15884" s="11"/>
      <c r="T15884" s="11"/>
    </row>
    <row r="15885" spans="8:20" x14ac:dyDescent="0.35">
      <c r="H15885" s="711"/>
      <c r="I15885" s="711"/>
      <c r="J15885" s="711"/>
      <c r="K15885" s="711"/>
      <c r="L15885" s="711"/>
      <c r="Q15885" s="11"/>
      <c r="R15885" s="11"/>
      <c r="S15885" s="11"/>
      <c r="T15885" s="11"/>
    </row>
    <row r="15886" spans="8:20" x14ac:dyDescent="0.35">
      <c r="H15886" s="711"/>
      <c r="I15886" s="711"/>
      <c r="J15886" s="711"/>
      <c r="K15886" s="711"/>
      <c r="L15886" s="711"/>
      <c r="Q15886" s="11"/>
      <c r="R15886" s="11"/>
      <c r="S15886" s="11"/>
      <c r="T15886" s="11"/>
    </row>
    <row r="15887" spans="8:20" x14ac:dyDescent="0.35">
      <c r="H15887" s="711"/>
      <c r="I15887" s="711"/>
      <c r="J15887" s="711"/>
      <c r="K15887" s="711"/>
      <c r="L15887" s="711"/>
      <c r="Q15887" s="11"/>
      <c r="R15887" s="11"/>
      <c r="S15887" s="11"/>
      <c r="T15887" s="11"/>
    </row>
    <row r="15888" spans="8:20" x14ac:dyDescent="0.35">
      <c r="H15888" s="711"/>
      <c r="I15888" s="711"/>
      <c r="J15888" s="711"/>
      <c r="K15888" s="711"/>
      <c r="L15888" s="711"/>
      <c r="Q15888" s="11"/>
      <c r="R15888" s="11"/>
      <c r="S15888" s="11"/>
      <c r="T15888" s="11"/>
    </row>
    <row r="15889" spans="8:20" x14ac:dyDescent="0.35">
      <c r="H15889" s="711"/>
      <c r="I15889" s="711"/>
      <c r="J15889" s="711"/>
      <c r="K15889" s="711"/>
      <c r="L15889" s="711"/>
      <c r="Q15889" s="11"/>
      <c r="R15889" s="11"/>
      <c r="S15889" s="11"/>
      <c r="T15889" s="11"/>
    </row>
    <row r="15890" spans="8:20" x14ac:dyDescent="0.35">
      <c r="H15890" s="711"/>
      <c r="I15890" s="711"/>
      <c r="J15890" s="711"/>
      <c r="K15890" s="711"/>
      <c r="L15890" s="711"/>
      <c r="Q15890" s="11"/>
      <c r="R15890" s="11"/>
      <c r="S15890" s="11"/>
      <c r="T15890" s="11"/>
    </row>
    <row r="15891" spans="8:20" x14ac:dyDescent="0.35">
      <c r="H15891" s="711"/>
      <c r="I15891" s="711"/>
      <c r="J15891" s="711"/>
      <c r="K15891" s="711"/>
      <c r="L15891" s="711"/>
      <c r="Q15891" s="11"/>
      <c r="R15891" s="11"/>
      <c r="S15891" s="11"/>
      <c r="T15891" s="11"/>
    </row>
    <row r="15892" spans="8:20" x14ac:dyDescent="0.35">
      <c r="H15892" s="711"/>
      <c r="I15892" s="711"/>
      <c r="J15892" s="711"/>
      <c r="K15892" s="711"/>
      <c r="L15892" s="711"/>
      <c r="Q15892" s="11"/>
      <c r="R15892" s="11"/>
      <c r="S15892" s="11"/>
      <c r="T15892" s="11"/>
    </row>
    <row r="15893" spans="8:20" x14ac:dyDescent="0.35">
      <c r="H15893" s="711"/>
      <c r="I15893" s="711"/>
      <c r="J15893" s="711"/>
      <c r="K15893" s="711"/>
      <c r="L15893" s="711"/>
      <c r="Q15893" s="11"/>
      <c r="R15893" s="11"/>
      <c r="S15893" s="11"/>
      <c r="T15893" s="11"/>
    </row>
    <row r="15894" spans="8:20" x14ac:dyDescent="0.35">
      <c r="H15894" s="711"/>
      <c r="I15894" s="711"/>
      <c r="J15894" s="711"/>
      <c r="K15894" s="711"/>
      <c r="L15894" s="711"/>
      <c r="Q15894" s="11"/>
      <c r="R15894" s="11"/>
      <c r="S15894" s="11"/>
      <c r="T15894" s="11"/>
    </row>
    <row r="15895" spans="8:20" x14ac:dyDescent="0.35">
      <c r="H15895" s="711"/>
      <c r="I15895" s="711"/>
      <c r="J15895" s="711"/>
      <c r="K15895" s="711"/>
      <c r="L15895" s="711"/>
      <c r="Q15895" s="11"/>
      <c r="R15895" s="11"/>
      <c r="S15895" s="11"/>
      <c r="T15895" s="11"/>
    </row>
    <row r="15896" spans="8:20" x14ac:dyDescent="0.35">
      <c r="H15896" s="711"/>
      <c r="I15896" s="711"/>
      <c r="J15896" s="711"/>
      <c r="K15896" s="711"/>
      <c r="L15896" s="711"/>
      <c r="Q15896" s="11"/>
      <c r="R15896" s="11"/>
      <c r="S15896" s="11"/>
      <c r="T15896" s="11"/>
    </row>
    <row r="15897" spans="8:20" x14ac:dyDescent="0.35">
      <c r="H15897" s="711"/>
      <c r="I15897" s="711"/>
      <c r="J15897" s="711"/>
      <c r="K15897" s="711"/>
      <c r="L15897" s="711"/>
      <c r="Q15897" s="11"/>
      <c r="R15897" s="11"/>
      <c r="S15897" s="11"/>
      <c r="T15897" s="11"/>
    </row>
    <row r="15898" spans="8:20" x14ac:dyDescent="0.35">
      <c r="H15898" s="711"/>
      <c r="I15898" s="711"/>
      <c r="J15898" s="711"/>
      <c r="K15898" s="711"/>
      <c r="L15898" s="711"/>
      <c r="Q15898" s="11"/>
      <c r="R15898" s="11"/>
      <c r="S15898" s="11"/>
      <c r="T15898" s="11"/>
    </row>
    <row r="15899" spans="8:20" x14ac:dyDescent="0.35">
      <c r="H15899" s="711"/>
      <c r="I15899" s="711"/>
      <c r="J15899" s="711"/>
      <c r="K15899" s="711"/>
      <c r="L15899" s="711"/>
      <c r="Q15899" s="11"/>
      <c r="R15899" s="11"/>
      <c r="S15899" s="11"/>
      <c r="T15899" s="11"/>
    </row>
    <row r="15900" spans="8:20" x14ac:dyDescent="0.35">
      <c r="H15900" s="711"/>
      <c r="I15900" s="711"/>
      <c r="J15900" s="711"/>
      <c r="K15900" s="711"/>
      <c r="L15900" s="711"/>
      <c r="Q15900" s="11"/>
      <c r="R15900" s="11"/>
      <c r="S15900" s="11"/>
      <c r="T15900" s="11"/>
    </row>
    <row r="15901" spans="8:20" x14ac:dyDescent="0.35">
      <c r="H15901" s="711"/>
      <c r="I15901" s="711"/>
      <c r="J15901" s="711"/>
      <c r="K15901" s="711"/>
      <c r="L15901" s="711"/>
      <c r="Q15901" s="11"/>
      <c r="R15901" s="11"/>
      <c r="S15901" s="11"/>
      <c r="T15901" s="11"/>
    </row>
    <row r="15902" spans="8:20" x14ac:dyDescent="0.35">
      <c r="H15902" s="711"/>
      <c r="I15902" s="711"/>
      <c r="J15902" s="711"/>
      <c r="K15902" s="711"/>
      <c r="L15902" s="711"/>
      <c r="Q15902" s="11"/>
      <c r="R15902" s="11"/>
      <c r="S15902" s="11"/>
      <c r="T15902" s="11"/>
    </row>
    <row r="15903" spans="8:20" x14ac:dyDescent="0.35">
      <c r="H15903" s="711"/>
      <c r="I15903" s="711"/>
      <c r="J15903" s="711"/>
      <c r="K15903" s="711"/>
      <c r="L15903" s="711"/>
      <c r="Q15903" s="11"/>
      <c r="R15903" s="11"/>
      <c r="S15903" s="11"/>
      <c r="T15903" s="11"/>
    </row>
    <row r="15904" spans="8:20" x14ac:dyDescent="0.35">
      <c r="H15904" s="711"/>
      <c r="I15904" s="711"/>
      <c r="J15904" s="711"/>
      <c r="K15904" s="711"/>
      <c r="L15904" s="711"/>
      <c r="Q15904" s="11"/>
      <c r="R15904" s="11"/>
      <c r="S15904" s="11"/>
      <c r="T15904" s="11"/>
    </row>
    <row r="15905" spans="8:20" x14ac:dyDescent="0.35">
      <c r="H15905" s="711"/>
      <c r="I15905" s="711"/>
      <c r="J15905" s="711"/>
      <c r="K15905" s="711"/>
      <c r="L15905" s="711"/>
      <c r="Q15905" s="11"/>
      <c r="R15905" s="11"/>
      <c r="S15905" s="11"/>
      <c r="T15905" s="11"/>
    </row>
    <row r="15906" spans="8:20" x14ac:dyDescent="0.35">
      <c r="H15906" s="711"/>
      <c r="I15906" s="711"/>
      <c r="J15906" s="711"/>
      <c r="K15906" s="711"/>
      <c r="L15906" s="711"/>
      <c r="Q15906" s="11"/>
      <c r="R15906" s="11"/>
      <c r="S15906" s="11"/>
      <c r="T15906" s="11"/>
    </row>
    <row r="15907" spans="8:20" x14ac:dyDescent="0.35">
      <c r="H15907" s="711"/>
      <c r="I15907" s="711"/>
      <c r="J15907" s="711"/>
      <c r="K15907" s="711"/>
      <c r="L15907" s="711"/>
      <c r="Q15907" s="11"/>
      <c r="R15907" s="11"/>
      <c r="S15907" s="11"/>
      <c r="T15907" s="11"/>
    </row>
    <row r="15908" spans="8:20" x14ac:dyDescent="0.35">
      <c r="H15908" s="711"/>
      <c r="I15908" s="711"/>
      <c r="J15908" s="711"/>
      <c r="K15908" s="711"/>
      <c r="L15908" s="711"/>
      <c r="Q15908" s="11"/>
      <c r="R15908" s="11"/>
      <c r="S15908" s="11"/>
      <c r="T15908" s="11"/>
    </row>
    <row r="15909" spans="8:20" x14ac:dyDescent="0.35">
      <c r="H15909" s="711"/>
      <c r="I15909" s="711"/>
      <c r="J15909" s="711"/>
      <c r="K15909" s="711"/>
      <c r="L15909" s="711"/>
      <c r="Q15909" s="11"/>
      <c r="R15909" s="11"/>
      <c r="S15909" s="11"/>
      <c r="T15909" s="11"/>
    </row>
    <row r="15910" spans="8:20" x14ac:dyDescent="0.35">
      <c r="H15910" s="711"/>
      <c r="I15910" s="711"/>
      <c r="J15910" s="711"/>
      <c r="K15910" s="711"/>
      <c r="L15910" s="711"/>
      <c r="Q15910" s="11"/>
      <c r="R15910" s="11"/>
      <c r="S15910" s="11"/>
      <c r="T15910" s="11"/>
    </row>
    <row r="15911" spans="8:20" x14ac:dyDescent="0.35">
      <c r="H15911" s="711"/>
      <c r="I15911" s="711"/>
      <c r="J15911" s="711"/>
      <c r="K15911" s="711"/>
      <c r="L15911" s="711"/>
      <c r="Q15911" s="11"/>
      <c r="R15911" s="11"/>
      <c r="S15911" s="11"/>
      <c r="T15911" s="11"/>
    </row>
    <row r="15912" spans="8:20" x14ac:dyDescent="0.35">
      <c r="H15912" s="711"/>
      <c r="I15912" s="711"/>
      <c r="J15912" s="711"/>
      <c r="K15912" s="711"/>
      <c r="L15912" s="711"/>
      <c r="Q15912" s="11"/>
      <c r="R15912" s="11"/>
      <c r="S15912" s="11"/>
      <c r="T15912" s="11"/>
    </row>
    <row r="15913" spans="8:20" x14ac:dyDescent="0.35">
      <c r="H15913" s="711"/>
      <c r="I15913" s="711"/>
      <c r="J15913" s="711"/>
      <c r="K15913" s="711"/>
      <c r="L15913" s="711"/>
      <c r="Q15913" s="11"/>
      <c r="R15913" s="11"/>
      <c r="S15913" s="11"/>
      <c r="T15913" s="11"/>
    </row>
    <row r="15914" spans="8:20" x14ac:dyDescent="0.35">
      <c r="H15914" s="711"/>
      <c r="I15914" s="711"/>
      <c r="J15914" s="711"/>
      <c r="K15914" s="711"/>
      <c r="L15914" s="711"/>
      <c r="Q15914" s="11"/>
      <c r="R15914" s="11"/>
      <c r="S15914" s="11"/>
      <c r="T15914" s="11"/>
    </row>
    <row r="15915" spans="8:20" x14ac:dyDescent="0.35">
      <c r="H15915" s="711"/>
      <c r="I15915" s="711"/>
      <c r="J15915" s="711"/>
      <c r="K15915" s="711"/>
      <c r="L15915" s="711"/>
      <c r="Q15915" s="11"/>
      <c r="R15915" s="11"/>
      <c r="S15915" s="11"/>
      <c r="T15915" s="11"/>
    </row>
    <row r="15916" spans="8:20" x14ac:dyDescent="0.35">
      <c r="H15916" s="711"/>
      <c r="I15916" s="711"/>
      <c r="J15916" s="711"/>
      <c r="K15916" s="711"/>
      <c r="L15916" s="711"/>
      <c r="Q15916" s="11"/>
      <c r="R15916" s="11"/>
      <c r="S15916" s="11"/>
      <c r="T15916" s="11"/>
    </row>
    <row r="15917" spans="8:20" x14ac:dyDescent="0.35">
      <c r="H15917" s="711"/>
      <c r="I15917" s="711"/>
      <c r="J15917" s="711"/>
      <c r="K15917" s="711"/>
      <c r="L15917" s="711"/>
      <c r="Q15917" s="11"/>
      <c r="R15917" s="11"/>
      <c r="S15917" s="11"/>
      <c r="T15917" s="11"/>
    </row>
    <row r="15918" spans="8:20" x14ac:dyDescent="0.35">
      <c r="H15918" s="711"/>
      <c r="I15918" s="711"/>
      <c r="J15918" s="711"/>
      <c r="K15918" s="711"/>
      <c r="L15918" s="711"/>
      <c r="Q15918" s="11"/>
      <c r="R15918" s="11"/>
      <c r="S15918" s="11"/>
      <c r="T15918" s="11"/>
    </row>
    <row r="15919" spans="8:20" x14ac:dyDescent="0.35">
      <c r="H15919" s="711"/>
      <c r="I15919" s="711"/>
      <c r="J15919" s="711"/>
      <c r="K15919" s="711"/>
      <c r="L15919" s="711"/>
      <c r="Q15919" s="11"/>
      <c r="R15919" s="11"/>
      <c r="S15919" s="11"/>
      <c r="T15919" s="11"/>
    </row>
    <row r="15920" spans="8:20" x14ac:dyDescent="0.35">
      <c r="H15920" s="711"/>
      <c r="I15920" s="711"/>
      <c r="J15920" s="711"/>
      <c r="K15920" s="711"/>
      <c r="L15920" s="711"/>
      <c r="Q15920" s="11"/>
      <c r="R15920" s="11"/>
      <c r="S15920" s="11"/>
      <c r="T15920" s="11"/>
    </row>
    <row r="15921" spans="8:20" x14ac:dyDescent="0.35">
      <c r="H15921" s="711"/>
      <c r="I15921" s="711"/>
      <c r="J15921" s="711"/>
      <c r="K15921" s="711"/>
      <c r="L15921" s="711"/>
      <c r="Q15921" s="11"/>
      <c r="R15921" s="11"/>
      <c r="S15921" s="11"/>
      <c r="T15921" s="11"/>
    </row>
    <row r="15922" spans="8:20" x14ac:dyDescent="0.35">
      <c r="H15922" s="711"/>
      <c r="I15922" s="711"/>
      <c r="J15922" s="711"/>
      <c r="K15922" s="711"/>
      <c r="L15922" s="711"/>
      <c r="Q15922" s="11"/>
      <c r="R15922" s="11"/>
      <c r="S15922" s="11"/>
      <c r="T15922" s="11"/>
    </row>
    <row r="15923" spans="8:20" x14ac:dyDescent="0.35">
      <c r="H15923" s="711"/>
      <c r="I15923" s="711"/>
      <c r="J15923" s="711"/>
      <c r="K15923" s="711"/>
      <c r="L15923" s="711"/>
      <c r="Q15923" s="11"/>
      <c r="R15923" s="11"/>
      <c r="S15923" s="11"/>
      <c r="T15923" s="11"/>
    </row>
    <row r="15924" spans="8:20" x14ac:dyDescent="0.35">
      <c r="H15924" s="711"/>
      <c r="I15924" s="711"/>
      <c r="J15924" s="711"/>
      <c r="K15924" s="711"/>
      <c r="L15924" s="711"/>
      <c r="Q15924" s="11"/>
      <c r="R15924" s="11"/>
      <c r="S15924" s="11"/>
      <c r="T15924" s="11"/>
    </row>
    <row r="15925" spans="8:20" x14ac:dyDescent="0.35">
      <c r="H15925" s="711"/>
      <c r="I15925" s="711"/>
      <c r="J15925" s="711"/>
      <c r="K15925" s="711"/>
      <c r="L15925" s="711"/>
      <c r="Q15925" s="11"/>
      <c r="R15925" s="11"/>
      <c r="S15925" s="11"/>
      <c r="T15925" s="11"/>
    </row>
    <row r="15926" spans="8:20" x14ac:dyDescent="0.35">
      <c r="H15926" s="711"/>
      <c r="I15926" s="711"/>
      <c r="J15926" s="711"/>
      <c r="K15926" s="711"/>
      <c r="L15926" s="711"/>
      <c r="Q15926" s="11"/>
      <c r="R15926" s="11"/>
      <c r="S15926" s="11"/>
      <c r="T15926" s="11"/>
    </row>
    <row r="15927" spans="8:20" x14ac:dyDescent="0.35">
      <c r="H15927" s="711"/>
      <c r="I15927" s="711"/>
      <c r="J15927" s="711"/>
      <c r="K15927" s="711"/>
      <c r="L15927" s="711"/>
      <c r="Q15927" s="11"/>
      <c r="R15927" s="11"/>
      <c r="S15927" s="11"/>
      <c r="T15927" s="11"/>
    </row>
    <row r="15928" spans="8:20" x14ac:dyDescent="0.35">
      <c r="H15928" s="711"/>
      <c r="I15928" s="711"/>
      <c r="J15928" s="711"/>
      <c r="K15928" s="711"/>
      <c r="L15928" s="711"/>
      <c r="Q15928" s="11"/>
      <c r="R15928" s="11"/>
      <c r="S15928" s="11"/>
      <c r="T15928" s="11"/>
    </row>
    <row r="15929" spans="8:20" x14ac:dyDescent="0.35">
      <c r="H15929" s="711"/>
      <c r="I15929" s="711"/>
      <c r="J15929" s="711"/>
      <c r="K15929" s="711"/>
      <c r="L15929" s="711"/>
      <c r="Q15929" s="11"/>
      <c r="R15929" s="11"/>
      <c r="S15929" s="11"/>
      <c r="T15929" s="11"/>
    </row>
    <row r="15930" spans="8:20" x14ac:dyDescent="0.35">
      <c r="H15930" s="711"/>
      <c r="I15930" s="711"/>
      <c r="J15930" s="711"/>
      <c r="K15930" s="711"/>
      <c r="L15930" s="711"/>
      <c r="Q15930" s="11"/>
      <c r="R15930" s="11"/>
      <c r="S15930" s="11"/>
      <c r="T15930" s="11"/>
    </row>
    <row r="15931" spans="8:20" x14ac:dyDescent="0.35">
      <c r="H15931" s="711"/>
      <c r="I15931" s="711"/>
      <c r="J15931" s="711"/>
      <c r="K15931" s="711"/>
      <c r="L15931" s="711"/>
      <c r="Q15931" s="11"/>
      <c r="R15931" s="11"/>
      <c r="S15931" s="11"/>
      <c r="T15931" s="11"/>
    </row>
    <row r="15932" spans="8:20" x14ac:dyDescent="0.35">
      <c r="H15932" s="711"/>
      <c r="I15932" s="711"/>
      <c r="J15932" s="711"/>
      <c r="K15932" s="711"/>
      <c r="L15932" s="711"/>
      <c r="Q15932" s="11"/>
      <c r="R15932" s="11"/>
      <c r="S15932" s="11"/>
      <c r="T15932" s="11"/>
    </row>
    <row r="15933" spans="8:20" x14ac:dyDescent="0.35">
      <c r="H15933" s="711"/>
      <c r="I15933" s="711"/>
      <c r="J15933" s="711"/>
      <c r="K15933" s="711"/>
      <c r="L15933" s="711"/>
      <c r="Q15933" s="11"/>
      <c r="R15933" s="11"/>
      <c r="S15933" s="11"/>
      <c r="T15933" s="11"/>
    </row>
    <row r="15934" spans="8:20" x14ac:dyDescent="0.35">
      <c r="H15934" s="711"/>
      <c r="I15934" s="711"/>
      <c r="J15934" s="711"/>
      <c r="K15934" s="711"/>
      <c r="L15934" s="711"/>
      <c r="Q15934" s="11"/>
      <c r="R15934" s="11"/>
      <c r="S15934" s="11"/>
      <c r="T15934" s="11"/>
    </row>
    <row r="15935" spans="8:20" x14ac:dyDescent="0.35">
      <c r="H15935" s="711"/>
      <c r="I15935" s="711"/>
      <c r="J15935" s="711"/>
      <c r="K15935" s="711"/>
      <c r="L15935" s="711"/>
      <c r="Q15935" s="11"/>
      <c r="R15935" s="11"/>
      <c r="S15935" s="11"/>
      <c r="T15935" s="11"/>
    </row>
    <row r="15936" spans="8:20" x14ac:dyDescent="0.35">
      <c r="H15936" s="711"/>
      <c r="I15936" s="711"/>
      <c r="J15936" s="711"/>
      <c r="K15936" s="711"/>
      <c r="L15936" s="711"/>
      <c r="Q15936" s="11"/>
      <c r="R15936" s="11"/>
      <c r="S15936" s="11"/>
      <c r="T15936" s="11"/>
    </row>
    <row r="15937" spans="8:20" x14ac:dyDescent="0.35">
      <c r="H15937" s="711"/>
      <c r="I15937" s="711"/>
      <c r="J15937" s="711"/>
      <c r="K15937" s="711"/>
      <c r="L15937" s="711"/>
      <c r="Q15937" s="11"/>
      <c r="R15937" s="11"/>
      <c r="S15937" s="11"/>
      <c r="T15937" s="11"/>
    </row>
    <row r="15938" spans="8:20" x14ac:dyDescent="0.35">
      <c r="H15938" s="711"/>
      <c r="I15938" s="711"/>
      <c r="J15938" s="711"/>
      <c r="K15938" s="711"/>
      <c r="L15938" s="711"/>
      <c r="Q15938" s="11"/>
      <c r="R15938" s="11"/>
      <c r="S15938" s="11"/>
      <c r="T15938" s="11"/>
    </row>
    <row r="15939" spans="8:20" x14ac:dyDescent="0.35">
      <c r="H15939" s="711"/>
      <c r="I15939" s="711"/>
      <c r="J15939" s="711"/>
      <c r="K15939" s="711"/>
      <c r="L15939" s="711"/>
      <c r="Q15939" s="11"/>
      <c r="R15939" s="11"/>
      <c r="S15939" s="11"/>
      <c r="T15939" s="11"/>
    </row>
    <row r="15940" spans="8:20" x14ac:dyDescent="0.35">
      <c r="H15940" s="711"/>
      <c r="I15940" s="711"/>
      <c r="J15940" s="711"/>
      <c r="K15940" s="711"/>
      <c r="L15940" s="711"/>
      <c r="Q15940" s="11"/>
      <c r="R15940" s="11"/>
      <c r="S15940" s="11"/>
      <c r="T15940" s="11"/>
    </row>
    <row r="15941" spans="8:20" x14ac:dyDescent="0.35">
      <c r="H15941" s="711"/>
      <c r="I15941" s="711"/>
      <c r="J15941" s="711"/>
      <c r="K15941" s="711"/>
      <c r="L15941" s="711"/>
      <c r="Q15941" s="11"/>
      <c r="R15941" s="11"/>
      <c r="S15941" s="11"/>
      <c r="T15941" s="11"/>
    </row>
    <row r="15942" spans="8:20" x14ac:dyDescent="0.35">
      <c r="H15942" s="711"/>
      <c r="I15942" s="711"/>
      <c r="J15942" s="711"/>
      <c r="K15942" s="711"/>
      <c r="L15942" s="711"/>
      <c r="Q15942" s="11"/>
      <c r="R15942" s="11"/>
      <c r="S15942" s="11"/>
      <c r="T15942" s="11"/>
    </row>
    <row r="15943" spans="8:20" x14ac:dyDescent="0.35">
      <c r="H15943" s="711"/>
      <c r="I15943" s="711"/>
      <c r="J15943" s="711"/>
      <c r="K15943" s="711"/>
      <c r="L15943" s="711"/>
      <c r="Q15943" s="11"/>
      <c r="R15943" s="11"/>
      <c r="S15943" s="11"/>
      <c r="T15943" s="11"/>
    </row>
    <row r="15944" spans="8:20" x14ac:dyDescent="0.35">
      <c r="H15944" s="711"/>
      <c r="I15944" s="711"/>
      <c r="J15944" s="711"/>
      <c r="K15944" s="711"/>
      <c r="L15944" s="711"/>
      <c r="Q15944" s="11"/>
      <c r="R15944" s="11"/>
      <c r="S15944" s="11"/>
      <c r="T15944" s="11"/>
    </row>
    <row r="15945" spans="8:20" x14ac:dyDescent="0.35">
      <c r="H15945" s="711"/>
      <c r="I15945" s="711"/>
      <c r="J15945" s="711"/>
      <c r="K15945" s="711"/>
      <c r="L15945" s="711"/>
      <c r="Q15945" s="11"/>
      <c r="R15945" s="11"/>
      <c r="S15945" s="11"/>
      <c r="T15945" s="11"/>
    </row>
    <row r="15946" spans="8:20" x14ac:dyDescent="0.35">
      <c r="H15946" s="711"/>
      <c r="I15946" s="711"/>
      <c r="J15946" s="711"/>
      <c r="K15946" s="711"/>
      <c r="L15946" s="711"/>
      <c r="Q15946" s="11"/>
      <c r="R15946" s="11"/>
      <c r="S15946" s="11"/>
      <c r="T15946" s="11"/>
    </row>
    <row r="15947" spans="8:20" x14ac:dyDescent="0.35">
      <c r="H15947" s="711"/>
      <c r="I15947" s="711"/>
      <c r="J15947" s="711"/>
      <c r="K15947" s="711"/>
      <c r="L15947" s="711"/>
      <c r="Q15947" s="11"/>
      <c r="R15947" s="11"/>
      <c r="S15947" s="11"/>
      <c r="T15947" s="11"/>
    </row>
    <row r="15948" spans="8:20" x14ac:dyDescent="0.35">
      <c r="H15948" s="711"/>
      <c r="I15948" s="711"/>
      <c r="J15948" s="711"/>
      <c r="K15948" s="711"/>
      <c r="L15948" s="711"/>
      <c r="Q15948" s="11"/>
      <c r="R15948" s="11"/>
      <c r="S15948" s="11"/>
      <c r="T15948" s="11"/>
    </row>
    <row r="15949" spans="8:20" x14ac:dyDescent="0.35">
      <c r="H15949" s="711"/>
      <c r="I15949" s="711"/>
      <c r="J15949" s="711"/>
      <c r="K15949" s="711"/>
      <c r="L15949" s="711"/>
      <c r="Q15949" s="11"/>
      <c r="R15949" s="11"/>
      <c r="S15949" s="11"/>
      <c r="T15949" s="11"/>
    </row>
    <row r="15950" spans="8:20" x14ac:dyDescent="0.35">
      <c r="H15950" s="711"/>
      <c r="I15950" s="711"/>
      <c r="J15950" s="711"/>
      <c r="K15950" s="711"/>
      <c r="L15950" s="711"/>
      <c r="Q15950" s="11"/>
      <c r="R15950" s="11"/>
      <c r="S15950" s="11"/>
      <c r="T15950" s="11"/>
    </row>
    <row r="15951" spans="8:20" x14ac:dyDescent="0.35">
      <c r="H15951" s="711"/>
      <c r="I15951" s="711"/>
      <c r="J15951" s="711"/>
      <c r="K15951" s="711"/>
      <c r="L15951" s="711"/>
      <c r="Q15951" s="11"/>
      <c r="R15951" s="11"/>
      <c r="S15951" s="11"/>
      <c r="T15951" s="11"/>
    </row>
    <row r="15952" spans="8:20" x14ac:dyDescent="0.35">
      <c r="H15952" s="711"/>
      <c r="I15952" s="711"/>
      <c r="J15952" s="711"/>
      <c r="K15952" s="711"/>
      <c r="L15952" s="711"/>
      <c r="Q15952" s="11"/>
      <c r="R15952" s="11"/>
      <c r="S15952" s="11"/>
      <c r="T15952" s="11"/>
    </row>
    <row r="15953" spans="8:20" x14ac:dyDescent="0.35">
      <c r="H15953" s="711"/>
      <c r="I15953" s="711"/>
      <c r="J15953" s="711"/>
      <c r="K15953" s="711"/>
      <c r="L15953" s="711"/>
      <c r="Q15953" s="11"/>
      <c r="R15953" s="11"/>
      <c r="S15953" s="11"/>
      <c r="T15953" s="11"/>
    </row>
    <row r="15954" spans="8:20" x14ac:dyDescent="0.35">
      <c r="H15954" s="711"/>
      <c r="I15954" s="711"/>
      <c r="J15954" s="711"/>
      <c r="K15954" s="711"/>
      <c r="L15954" s="711"/>
      <c r="Q15954" s="11"/>
      <c r="R15954" s="11"/>
      <c r="S15954" s="11"/>
      <c r="T15954" s="11"/>
    </row>
    <row r="15955" spans="8:20" x14ac:dyDescent="0.35">
      <c r="H15955" s="711"/>
      <c r="I15955" s="711"/>
      <c r="J15955" s="711"/>
      <c r="K15955" s="711"/>
      <c r="L15955" s="711"/>
      <c r="Q15955" s="11"/>
      <c r="R15955" s="11"/>
      <c r="S15955" s="11"/>
      <c r="T15955" s="11"/>
    </row>
    <row r="15956" spans="8:20" x14ac:dyDescent="0.35">
      <c r="H15956" s="711"/>
      <c r="I15956" s="711"/>
      <c r="J15956" s="711"/>
      <c r="K15956" s="711"/>
      <c r="L15956" s="711"/>
      <c r="Q15956" s="11"/>
      <c r="R15956" s="11"/>
      <c r="S15956" s="11"/>
      <c r="T15956" s="11"/>
    </row>
    <row r="15957" spans="8:20" x14ac:dyDescent="0.35">
      <c r="H15957" s="711"/>
      <c r="I15957" s="711"/>
      <c r="J15957" s="711"/>
      <c r="K15957" s="711"/>
      <c r="L15957" s="711"/>
      <c r="Q15957" s="11"/>
      <c r="R15957" s="11"/>
      <c r="S15957" s="11"/>
      <c r="T15957" s="11"/>
    </row>
    <row r="15958" spans="8:20" x14ac:dyDescent="0.35">
      <c r="H15958" s="711"/>
      <c r="I15958" s="711"/>
      <c r="J15958" s="711"/>
      <c r="K15958" s="711"/>
      <c r="L15958" s="711"/>
      <c r="Q15958" s="11"/>
      <c r="R15958" s="11"/>
      <c r="S15958" s="11"/>
      <c r="T15958" s="11"/>
    </row>
    <row r="15959" spans="8:20" x14ac:dyDescent="0.35">
      <c r="H15959" s="711"/>
      <c r="I15959" s="711"/>
      <c r="J15959" s="711"/>
      <c r="K15959" s="711"/>
      <c r="L15959" s="711"/>
      <c r="Q15959" s="11"/>
      <c r="R15959" s="11"/>
      <c r="S15959" s="11"/>
      <c r="T15959" s="11"/>
    </row>
    <row r="15960" spans="8:20" x14ac:dyDescent="0.35">
      <c r="H15960" s="711"/>
      <c r="I15960" s="711"/>
      <c r="J15960" s="711"/>
      <c r="K15960" s="711"/>
      <c r="L15960" s="711"/>
      <c r="Q15960" s="11"/>
      <c r="R15960" s="11"/>
      <c r="S15960" s="11"/>
      <c r="T15960" s="11"/>
    </row>
    <row r="15961" spans="8:20" x14ac:dyDescent="0.35">
      <c r="H15961" s="711"/>
      <c r="I15961" s="711"/>
      <c r="J15961" s="711"/>
      <c r="K15961" s="711"/>
      <c r="L15961" s="711"/>
      <c r="Q15961" s="11"/>
      <c r="R15961" s="11"/>
      <c r="S15961" s="11"/>
      <c r="T15961" s="11"/>
    </row>
    <row r="15962" spans="8:20" x14ac:dyDescent="0.35">
      <c r="H15962" s="711"/>
      <c r="I15962" s="711"/>
      <c r="J15962" s="711"/>
      <c r="K15962" s="711"/>
      <c r="L15962" s="711"/>
      <c r="Q15962" s="11"/>
      <c r="R15962" s="11"/>
      <c r="S15962" s="11"/>
      <c r="T15962" s="11"/>
    </row>
    <row r="15963" spans="8:20" x14ac:dyDescent="0.35">
      <c r="H15963" s="711"/>
      <c r="I15963" s="711"/>
      <c r="J15963" s="711"/>
      <c r="K15963" s="711"/>
      <c r="L15963" s="711"/>
      <c r="Q15963" s="11"/>
      <c r="R15963" s="11"/>
      <c r="S15963" s="11"/>
      <c r="T15963" s="11"/>
    </row>
    <row r="15964" spans="8:20" x14ac:dyDescent="0.35">
      <c r="H15964" s="711"/>
      <c r="I15964" s="711"/>
      <c r="J15964" s="711"/>
      <c r="K15964" s="711"/>
      <c r="L15964" s="711"/>
      <c r="Q15964" s="11"/>
      <c r="R15964" s="11"/>
      <c r="S15964" s="11"/>
      <c r="T15964" s="11"/>
    </row>
    <row r="15965" spans="8:20" x14ac:dyDescent="0.35">
      <c r="H15965" s="711"/>
      <c r="I15965" s="711"/>
      <c r="J15965" s="711"/>
      <c r="K15965" s="711"/>
      <c r="L15965" s="711"/>
      <c r="Q15965" s="11"/>
      <c r="R15965" s="11"/>
      <c r="S15965" s="11"/>
      <c r="T15965" s="11"/>
    </row>
    <row r="15966" spans="8:20" x14ac:dyDescent="0.35">
      <c r="H15966" s="711"/>
      <c r="I15966" s="711"/>
      <c r="J15966" s="711"/>
      <c r="K15966" s="711"/>
      <c r="L15966" s="711"/>
      <c r="Q15966" s="11"/>
      <c r="R15966" s="11"/>
      <c r="S15966" s="11"/>
      <c r="T15966" s="11"/>
    </row>
    <row r="15967" spans="8:20" x14ac:dyDescent="0.35">
      <c r="H15967" s="711"/>
      <c r="I15967" s="711"/>
      <c r="J15967" s="711"/>
      <c r="K15967" s="711"/>
      <c r="L15967" s="711"/>
      <c r="Q15967" s="11"/>
      <c r="R15967" s="11"/>
      <c r="S15967" s="11"/>
      <c r="T15967" s="11"/>
    </row>
    <row r="15968" spans="8:20" x14ac:dyDescent="0.35">
      <c r="H15968" s="711"/>
      <c r="I15968" s="711"/>
      <c r="J15968" s="711"/>
      <c r="K15968" s="711"/>
      <c r="L15968" s="711"/>
      <c r="Q15968" s="11"/>
      <c r="R15968" s="11"/>
      <c r="S15968" s="11"/>
      <c r="T15968" s="11"/>
    </row>
    <row r="15969" spans="8:20" x14ac:dyDescent="0.35">
      <c r="H15969" s="711"/>
      <c r="I15969" s="711"/>
      <c r="J15969" s="711"/>
      <c r="K15969" s="711"/>
      <c r="L15969" s="711"/>
      <c r="Q15969" s="11"/>
      <c r="R15969" s="11"/>
      <c r="S15969" s="11"/>
      <c r="T15969" s="11"/>
    </row>
    <row r="15970" spans="8:20" x14ac:dyDescent="0.35">
      <c r="H15970" s="711"/>
      <c r="I15970" s="711"/>
      <c r="J15970" s="711"/>
      <c r="K15970" s="711"/>
      <c r="L15970" s="711"/>
      <c r="Q15970" s="11"/>
      <c r="R15970" s="11"/>
      <c r="S15970" s="11"/>
      <c r="T15970" s="11"/>
    </row>
    <row r="15971" spans="8:20" x14ac:dyDescent="0.35">
      <c r="H15971" s="711"/>
      <c r="I15971" s="711"/>
      <c r="J15971" s="711"/>
      <c r="K15971" s="711"/>
      <c r="L15971" s="711"/>
      <c r="Q15971" s="11"/>
      <c r="R15971" s="11"/>
      <c r="S15971" s="11"/>
      <c r="T15971" s="11"/>
    </row>
    <row r="15972" spans="8:20" x14ac:dyDescent="0.35">
      <c r="H15972" s="711"/>
      <c r="I15972" s="711"/>
      <c r="J15972" s="711"/>
      <c r="K15972" s="711"/>
      <c r="L15972" s="711"/>
      <c r="Q15972" s="11"/>
      <c r="R15972" s="11"/>
      <c r="S15972" s="11"/>
      <c r="T15972" s="11"/>
    </row>
    <row r="15973" spans="8:20" x14ac:dyDescent="0.35">
      <c r="H15973" s="711"/>
      <c r="I15973" s="711"/>
      <c r="J15973" s="711"/>
      <c r="K15973" s="711"/>
      <c r="L15973" s="711"/>
      <c r="Q15973" s="11"/>
      <c r="R15973" s="11"/>
      <c r="S15973" s="11"/>
      <c r="T15973" s="11"/>
    </row>
    <row r="15974" spans="8:20" x14ac:dyDescent="0.35">
      <c r="H15974" s="711"/>
      <c r="I15974" s="711"/>
      <c r="J15974" s="711"/>
      <c r="K15974" s="711"/>
      <c r="L15974" s="711"/>
      <c r="Q15974" s="11"/>
      <c r="R15974" s="11"/>
      <c r="S15974" s="11"/>
      <c r="T15974" s="11"/>
    </row>
    <row r="15975" spans="8:20" x14ac:dyDescent="0.35">
      <c r="H15975" s="711"/>
      <c r="I15975" s="711"/>
      <c r="J15975" s="711"/>
      <c r="K15975" s="711"/>
      <c r="L15975" s="711"/>
      <c r="Q15975" s="11"/>
      <c r="R15975" s="11"/>
      <c r="S15975" s="11"/>
      <c r="T15975" s="11"/>
    </row>
    <row r="15976" spans="8:20" x14ac:dyDescent="0.35">
      <c r="H15976" s="711"/>
      <c r="I15976" s="711"/>
      <c r="J15976" s="711"/>
      <c r="K15976" s="711"/>
      <c r="L15976" s="711"/>
      <c r="Q15976" s="11"/>
      <c r="R15976" s="11"/>
      <c r="S15976" s="11"/>
      <c r="T15976" s="11"/>
    </row>
    <row r="15977" spans="8:20" x14ac:dyDescent="0.35">
      <c r="H15977" s="711"/>
      <c r="I15977" s="711"/>
      <c r="J15977" s="711"/>
      <c r="K15977" s="711"/>
      <c r="L15977" s="711"/>
      <c r="Q15977" s="11"/>
      <c r="R15977" s="11"/>
      <c r="S15977" s="11"/>
      <c r="T15977" s="11"/>
    </row>
    <row r="15978" spans="8:20" x14ac:dyDescent="0.35">
      <c r="H15978" s="711"/>
      <c r="I15978" s="711"/>
      <c r="J15978" s="711"/>
      <c r="K15978" s="711"/>
      <c r="L15978" s="711"/>
      <c r="Q15978" s="11"/>
      <c r="R15978" s="11"/>
      <c r="S15978" s="11"/>
      <c r="T15978" s="11"/>
    </row>
    <row r="15979" spans="8:20" x14ac:dyDescent="0.35">
      <c r="H15979" s="711"/>
      <c r="I15979" s="711"/>
      <c r="J15979" s="711"/>
      <c r="K15979" s="711"/>
      <c r="L15979" s="711"/>
      <c r="Q15979" s="11"/>
      <c r="R15979" s="11"/>
      <c r="S15979" s="11"/>
      <c r="T15979" s="11"/>
    </row>
    <row r="15980" spans="8:20" x14ac:dyDescent="0.35">
      <c r="H15980" s="711"/>
      <c r="I15980" s="711"/>
      <c r="J15980" s="711"/>
      <c r="K15980" s="711"/>
      <c r="L15980" s="711"/>
      <c r="Q15980" s="11"/>
      <c r="R15980" s="11"/>
      <c r="S15980" s="11"/>
      <c r="T15980" s="11"/>
    </row>
    <row r="15981" spans="8:20" x14ac:dyDescent="0.35">
      <c r="H15981" s="711"/>
      <c r="I15981" s="711"/>
      <c r="J15981" s="711"/>
      <c r="K15981" s="711"/>
      <c r="L15981" s="711"/>
      <c r="Q15981" s="11"/>
      <c r="R15981" s="11"/>
      <c r="S15981" s="11"/>
      <c r="T15981" s="11"/>
    </row>
    <row r="15982" spans="8:20" x14ac:dyDescent="0.35">
      <c r="H15982" s="711"/>
      <c r="I15982" s="711"/>
      <c r="J15982" s="711"/>
      <c r="K15982" s="711"/>
      <c r="L15982" s="711"/>
      <c r="Q15982" s="11"/>
      <c r="R15982" s="11"/>
      <c r="S15982" s="11"/>
      <c r="T15982" s="11"/>
    </row>
    <row r="15983" spans="8:20" x14ac:dyDescent="0.35">
      <c r="H15983" s="711"/>
      <c r="I15983" s="711"/>
      <c r="J15983" s="711"/>
      <c r="K15983" s="711"/>
      <c r="L15983" s="711"/>
      <c r="Q15983" s="11"/>
      <c r="R15983" s="11"/>
      <c r="S15983" s="11"/>
      <c r="T15983" s="11"/>
    </row>
    <row r="15984" spans="8:20" x14ac:dyDescent="0.35">
      <c r="H15984" s="711"/>
      <c r="I15984" s="711"/>
      <c r="J15984" s="711"/>
      <c r="K15984" s="711"/>
      <c r="L15984" s="711"/>
      <c r="Q15984" s="11"/>
      <c r="R15984" s="11"/>
      <c r="S15984" s="11"/>
      <c r="T15984" s="11"/>
    </row>
    <row r="15985" spans="8:20" x14ac:dyDescent="0.35">
      <c r="H15985" s="711"/>
      <c r="I15985" s="711"/>
      <c r="J15985" s="711"/>
      <c r="K15985" s="711"/>
      <c r="L15985" s="711"/>
      <c r="Q15985" s="11"/>
      <c r="R15985" s="11"/>
      <c r="S15985" s="11"/>
      <c r="T15985" s="11"/>
    </row>
    <row r="15986" spans="8:20" x14ac:dyDescent="0.35">
      <c r="H15986" s="711"/>
      <c r="I15986" s="711"/>
      <c r="J15986" s="711"/>
      <c r="K15986" s="711"/>
      <c r="L15986" s="711"/>
      <c r="Q15986" s="11"/>
      <c r="R15986" s="11"/>
      <c r="S15986" s="11"/>
      <c r="T15986" s="11"/>
    </row>
    <row r="15987" spans="8:20" x14ac:dyDescent="0.35">
      <c r="H15987" s="711"/>
      <c r="I15987" s="711"/>
      <c r="J15987" s="711"/>
      <c r="K15987" s="711"/>
      <c r="L15987" s="711"/>
      <c r="Q15987" s="11"/>
      <c r="R15987" s="11"/>
      <c r="S15987" s="11"/>
      <c r="T15987" s="11"/>
    </row>
    <row r="15988" spans="8:20" x14ac:dyDescent="0.35">
      <c r="H15988" s="711"/>
      <c r="I15988" s="711"/>
      <c r="J15988" s="711"/>
      <c r="K15988" s="711"/>
      <c r="L15988" s="711"/>
      <c r="Q15988" s="11"/>
      <c r="R15988" s="11"/>
      <c r="S15988" s="11"/>
      <c r="T15988" s="11"/>
    </row>
    <row r="15989" spans="8:20" x14ac:dyDescent="0.35">
      <c r="H15989" s="711"/>
      <c r="I15989" s="711"/>
      <c r="J15989" s="711"/>
      <c r="K15989" s="711"/>
      <c r="L15989" s="711"/>
      <c r="Q15989" s="11"/>
      <c r="R15989" s="11"/>
      <c r="S15989" s="11"/>
      <c r="T15989" s="11"/>
    </row>
    <row r="15990" spans="8:20" x14ac:dyDescent="0.35">
      <c r="H15990" s="711"/>
      <c r="I15990" s="711"/>
      <c r="J15990" s="711"/>
      <c r="K15990" s="711"/>
      <c r="L15990" s="711"/>
      <c r="Q15990" s="11"/>
      <c r="R15990" s="11"/>
      <c r="S15990" s="11"/>
      <c r="T15990" s="11"/>
    </row>
    <row r="15991" spans="8:20" x14ac:dyDescent="0.35">
      <c r="H15991" s="711"/>
      <c r="I15991" s="711"/>
      <c r="J15991" s="711"/>
      <c r="K15991" s="711"/>
      <c r="L15991" s="711"/>
      <c r="Q15991" s="11"/>
      <c r="R15991" s="11"/>
      <c r="S15991" s="11"/>
      <c r="T15991" s="11"/>
    </row>
    <row r="15992" spans="8:20" x14ac:dyDescent="0.35">
      <c r="H15992" s="711"/>
      <c r="I15992" s="711"/>
      <c r="J15992" s="711"/>
      <c r="K15992" s="711"/>
      <c r="L15992" s="711"/>
      <c r="Q15992" s="11"/>
      <c r="R15992" s="11"/>
      <c r="S15992" s="11"/>
      <c r="T15992" s="11"/>
    </row>
    <row r="15993" spans="8:20" x14ac:dyDescent="0.35">
      <c r="H15993" s="711"/>
      <c r="I15993" s="711"/>
      <c r="J15993" s="711"/>
      <c r="K15993" s="711"/>
      <c r="L15993" s="711"/>
      <c r="Q15993" s="11"/>
      <c r="R15993" s="11"/>
      <c r="S15993" s="11"/>
      <c r="T15993" s="11"/>
    </row>
    <row r="15994" spans="8:20" x14ac:dyDescent="0.35">
      <c r="H15994" s="711"/>
      <c r="I15994" s="711"/>
      <c r="J15994" s="711"/>
      <c r="K15994" s="711"/>
      <c r="L15994" s="711"/>
      <c r="Q15994" s="11"/>
      <c r="R15994" s="11"/>
      <c r="S15994" s="11"/>
      <c r="T15994" s="11"/>
    </row>
    <row r="15995" spans="8:20" x14ac:dyDescent="0.35">
      <c r="H15995" s="711"/>
      <c r="I15995" s="711"/>
      <c r="J15995" s="711"/>
      <c r="K15995" s="711"/>
      <c r="L15995" s="711"/>
      <c r="Q15995" s="11"/>
      <c r="R15995" s="11"/>
      <c r="S15995" s="11"/>
      <c r="T15995" s="11"/>
    </row>
    <row r="15996" spans="8:20" x14ac:dyDescent="0.35">
      <c r="H15996" s="711"/>
      <c r="I15996" s="711"/>
      <c r="J15996" s="711"/>
      <c r="K15996" s="711"/>
      <c r="L15996" s="711"/>
      <c r="Q15996" s="11"/>
      <c r="R15996" s="11"/>
      <c r="S15996" s="11"/>
      <c r="T15996" s="11"/>
    </row>
    <row r="15997" spans="8:20" x14ac:dyDescent="0.35">
      <c r="H15997" s="711"/>
      <c r="I15997" s="711"/>
      <c r="J15997" s="711"/>
      <c r="K15997" s="711"/>
      <c r="L15997" s="711"/>
      <c r="Q15997" s="11"/>
      <c r="R15997" s="11"/>
      <c r="S15997" s="11"/>
      <c r="T15997" s="11"/>
    </row>
    <row r="15998" spans="8:20" x14ac:dyDescent="0.35">
      <c r="H15998" s="711"/>
      <c r="I15998" s="711"/>
      <c r="J15998" s="711"/>
      <c r="K15998" s="711"/>
      <c r="L15998" s="711"/>
      <c r="Q15998" s="11"/>
      <c r="R15998" s="11"/>
      <c r="S15998" s="11"/>
      <c r="T15998" s="11"/>
    </row>
    <row r="15999" spans="8:20" x14ac:dyDescent="0.35">
      <c r="H15999" s="711"/>
      <c r="I15999" s="711"/>
      <c r="J15999" s="711"/>
      <c r="K15999" s="711"/>
      <c r="L15999" s="711"/>
      <c r="Q15999" s="11"/>
      <c r="R15999" s="11"/>
      <c r="S15999" s="11"/>
      <c r="T15999" s="11"/>
    </row>
    <row r="16000" spans="8:20" x14ac:dyDescent="0.35">
      <c r="H16000" s="711"/>
      <c r="I16000" s="711"/>
      <c r="J16000" s="711"/>
      <c r="K16000" s="711"/>
      <c r="L16000" s="711"/>
      <c r="Q16000" s="11"/>
      <c r="R16000" s="11"/>
      <c r="S16000" s="11"/>
      <c r="T16000" s="11"/>
    </row>
    <row r="16001" spans="8:20" x14ac:dyDescent="0.35">
      <c r="H16001" s="711"/>
      <c r="I16001" s="711"/>
      <c r="J16001" s="711"/>
      <c r="K16001" s="711"/>
      <c r="L16001" s="711"/>
      <c r="Q16001" s="11"/>
      <c r="R16001" s="11"/>
      <c r="S16001" s="11"/>
      <c r="T16001" s="11"/>
    </row>
    <row r="16002" spans="8:20" x14ac:dyDescent="0.35">
      <c r="H16002" s="711"/>
      <c r="I16002" s="711"/>
      <c r="J16002" s="711"/>
      <c r="K16002" s="711"/>
      <c r="L16002" s="711"/>
      <c r="Q16002" s="11"/>
      <c r="R16002" s="11"/>
      <c r="S16002" s="11"/>
      <c r="T16002" s="11"/>
    </row>
    <row r="16003" spans="8:20" x14ac:dyDescent="0.35">
      <c r="H16003" s="711"/>
      <c r="I16003" s="711"/>
      <c r="J16003" s="711"/>
      <c r="K16003" s="711"/>
      <c r="L16003" s="711"/>
      <c r="Q16003" s="11"/>
      <c r="R16003" s="11"/>
      <c r="S16003" s="11"/>
      <c r="T16003" s="11"/>
    </row>
    <row r="16004" spans="8:20" x14ac:dyDescent="0.35">
      <c r="H16004" s="711"/>
      <c r="I16004" s="711"/>
      <c r="J16004" s="711"/>
      <c r="K16004" s="711"/>
      <c r="L16004" s="711"/>
      <c r="Q16004" s="11"/>
      <c r="R16004" s="11"/>
      <c r="S16004" s="11"/>
      <c r="T16004" s="11"/>
    </row>
    <row r="16005" spans="8:20" x14ac:dyDescent="0.35">
      <c r="H16005" s="711"/>
      <c r="I16005" s="711"/>
      <c r="J16005" s="711"/>
      <c r="K16005" s="711"/>
      <c r="L16005" s="711"/>
      <c r="Q16005" s="11"/>
      <c r="R16005" s="11"/>
      <c r="S16005" s="11"/>
      <c r="T16005" s="11"/>
    </row>
    <row r="16006" spans="8:20" x14ac:dyDescent="0.35">
      <c r="H16006" s="711"/>
      <c r="I16006" s="711"/>
      <c r="J16006" s="711"/>
      <c r="K16006" s="711"/>
      <c r="L16006" s="711"/>
      <c r="Q16006" s="11"/>
      <c r="R16006" s="11"/>
      <c r="S16006" s="11"/>
      <c r="T16006" s="11"/>
    </row>
    <row r="16007" spans="8:20" x14ac:dyDescent="0.35">
      <c r="H16007" s="711"/>
      <c r="I16007" s="711"/>
      <c r="J16007" s="711"/>
      <c r="K16007" s="711"/>
      <c r="L16007" s="711"/>
      <c r="Q16007" s="11"/>
      <c r="R16007" s="11"/>
      <c r="S16007" s="11"/>
      <c r="T16007" s="11"/>
    </row>
    <row r="16008" spans="8:20" x14ac:dyDescent="0.35">
      <c r="H16008" s="711"/>
      <c r="I16008" s="711"/>
      <c r="J16008" s="711"/>
      <c r="K16008" s="711"/>
      <c r="L16008" s="711"/>
      <c r="Q16008" s="11"/>
      <c r="R16008" s="11"/>
      <c r="S16008" s="11"/>
      <c r="T16008" s="11"/>
    </row>
    <row r="16009" spans="8:20" x14ac:dyDescent="0.35">
      <c r="H16009" s="711"/>
      <c r="I16009" s="711"/>
      <c r="J16009" s="711"/>
      <c r="K16009" s="711"/>
      <c r="L16009" s="711"/>
      <c r="Q16009" s="11"/>
      <c r="R16009" s="11"/>
      <c r="S16009" s="11"/>
      <c r="T16009" s="11"/>
    </row>
    <row r="16010" spans="8:20" x14ac:dyDescent="0.35">
      <c r="H16010" s="711"/>
      <c r="I16010" s="711"/>
      <c r="J16010" s="711"/>
      <c r="K16010" s="711"/>
      <c r="L16010" s="711"/>
      <c r="Q16010" s="11"/>
      <c r="R16010" s="11"/>
      <c r="S16010" s="11"/>
      <c r="T16010" s="11"/>
    </row>
    <row r="16011" spans="8:20" x14ac:dyDescent="0.35">
      <c r="H16011" s="711"/>
      <c r="I16011" s="711"/>
      <c r="J16011" s="711"/>
      <c r="K16011" s="711"/>
      <c r="L16011" s="711"/>
      <c r="Q16011" s="11"/>
      <c r="R16011" s="11"/>
      <c r="S16011" s="11"/>
      <c r="T16011" s="11"/>
    </row>
    <row r="16012" spans="8:20" x14ac:dyDescent="0.35">
      <c r="H16012" s="711"/>
      <c r="I16012" s="711"/>
      <c r="J16012" s="711"/>
      <c r="K16012" s="711"/>
      <c r="L16012" s="711"/>
      <c r="Q16012" s="11"/>
      <c r="R16012" s="11"/>
      <c r="S16012" s="11"/>
      <c r="T16012" s="11"/>
    </row>
    <row r="16013" spans="8:20" x14ac:dyDescent="0.35">
      <c r="H16013" s="711"/>
      <c r="I16013" s="711"/>
      <c r="J16013" s="711"/>
      <c r="K16013" s="711"/>
      <c r="L16013" s="711"/>
      <c r="Q16013" s="11"/>
      <c r="R16013" s="11"/>
      <c r="S16013" s="11"/>
      <c r="T16013" s="11"/>
    </row>
    <row r="16014" spans="8:20" x14ac:dyDescent="0.35">
      <c r="H16014" s="711"/>
      <c r="I16014" s="711"/>
      <c r="J16014" s="711"/>
      <c r="K16014" s="711"/>
      <c r="L16014" s="711"/>
      <c r="Q16014" s="11"/>
      <c r="R16014" s="11"/>
      <c r="S16014" s="11"/>
      <c r="T16014" s="11"/>
    </row>
    <row r="16015" spans="8:20" x14ac:dyDescent="0.35">
      <c r="H16015" s="711"/>
      <c r="I16015" s="711"/>
      <c r="J16015" s="711"/>
      <c r="K16015" s="711"/>
      <c r="L16015" s="711"/>
      <c r="Q16015" s="11"/>
      <c r="R16015" s="11"/>
      <c r="S16015" s="11"/>
      <c r="T16015" s="11"/>
    </row>
    <row r="16016" spans="8:20" x14ac:dyDescent="0.35">
      <c r="H16016" s="711"/>
      <c r="I16016" s="711"/>
      <c r="J16016" s="711"/>
      <c r="K16016" s="711"/>
      <c r="L16016" s="711"/>
      <c r="Q16016" s="11"/>
      <c r="R16016" s="11"/>
      <c r="S16016" s="11"/>
      <c r="T16016" s="11"/>
    </row>
    <row r="16017" spans="8:20" x14ac:dyDescent="0.35">
      <c r="H16017" s="711"/>
      <c r="I16017" s="711"/>
      <c r="J16017" s="711"/>
      <c r="K16017" s="711"/>
      <c r="L16017" s="711"/>
      <c r="Q16017" s="11"/>
      <c r="R16017" s="11"/>
      <c r="S16017" s="11"/>
      <c r="T16017" s="11"/>
    </row>
    <row r="16018" spans="8:20" x14ac:dyDescent="0.35">
      <c r="H16018" s="711"/>
      <c r="I16018" s="711"/>
      <c r="J16018" s="711"/>
      <c r="K16018" s="711"/>
      <c r="L16018" s="711"/>
      <c r="Q16018" s="11"/>
      <c r="R16018" s="11"/>
      <c r="S16018" s="11"/>
      <c r="T16018" s="11"/>
    </row>
    <row r="16019" spans="8:20" x14ac:dyDescent="0.35">
      <c r="H16019" s="711"/>
      <c r="I16019" s="711"/>
      <c r="J16019" s="711"/>
      <c r="K16019" s="711"/>
      <c r="L16019" s="711"/>
      <c r="Q16019" s="11"/>
      <c r="R16019" s="11"/>
      <c r="S16019" s="11"/>
      <c r="T16019" s="11"/>
    </row>
    <row r="16020" spans="8:20" x14ac:dyDescent="0.35">
      <c r="H16020" s="711"/>
      <c r="I16020" s="711"/>
      <c r="J16020" s="711"/>
      <c r="K16020" s="711"/>
      <c r="L16020" s="711"/>
      <c r="Q16020" s="11"/>
      <c r="R16020" s="11"/>
      <c r="S16020" s="11"/>
      <c r="T16020" s="11"/>
    </row>
    <row r="16021" spans="8:20" x14ac:dyDescent="0.35">
      <c r="H16021" s="711"/>
      <c r="I16021" s="711"/>
      <c r="J16021" s="711"/>
      <c r="K16021" s="711"/>
      <c r="L16021" s="711"/>
      <c r="Q16021" s="11"/>
      <c r="R16021" s="11"/>
      <c r="S16021" s="11"/>
      <c r="T16021" s="11"/>
    </row>
    <row r="16022" spans="8:20" x14ac:dyDescent="0.35">
      <c r="H16022" s="711"/>
      <c r="I16022" s="711"/>
      <c r="J16022" s="711"/>
      <c r="K16022" s="711"/>
      <c r="L16022" s="711"/>
      <c r="Q16022" s="11"/>
      <c r="R16022" s="11"/>
      <c r="S16022" s="11"/>
      <c r="T16022" s="11"/>
    </row>
    <row r="16023" spans="8:20" x14ac:dyDescent="0.35">
      <c r="H16023" s="711"/>
      <c r="I16023" s="711"/>
      <c r="J16023" s="711"/>
      <c r="K16023" s="711"/>
      <c r="L16023" s="711"/>
      <c r="Q16023" s="11"/>
      <c r="R16023" s="11"/>
      <c r="S16023" s="11"/>
      <c r="T16023" s="11"/>
    </row>
    <row r="16024" spans="8:20" x14ac:dyDescent="0.35">
      <c r="H16024" s="711"/>
      <c r="I16024" s="711"/>
      <c r="J16024" s="711"/>
      <c r="K16024" s="711"/>
      <c r="L16024" s="711"/>
      <c r="Q16024" s="11"/>
      <c r="R16024" s="11"/>
      <c r="S16024" s="11"/>
      <c r="T16024" s="11"/>
    </row>
    <row r="16025" spans="8:20" x14ac:dyDescent="0.35">
      <c r="H16025" s="711"/>
      <c r="I16025" s="711"/>
      <c r="J16025" s="711"/>
      <c r="K16025" s="711"/>
      <c r="L16025" s="711"/>
      <c r="Q16025" s="11"/>
      <c r="R16025" s="11"/>
      <c r="S16025" s="11"/>
      <c r="T16025" s="11"/>
    </row>
    <row r="16026" spans="8:20" x14ac:dyDescent="0.35">
      <c r="H16026" s="711"/>
      <c r="I16026" s="711"/>
      <c r="J16026" s="711"/>
      <c r="K16026" s="711"/>
      <c r="L16026" s="711"/>
      <c r="Q16026" s="11"/>
      <c r="R16026" s="11"/>
      <c r="S16026" s="11"/>
      <c r="T16026" s="11"/>
    </row>
    <row r="16027" spans="8:20" x14ac:dyDescent="0.35">
      <c r="H16027" s="711"/>
      <c r="I16027" s="711"/>
      <c r="J16027" s="711"/>
      <c r="K16027" s="711"/>
      <c r="L16027" s="711"/>
      <c r="Q16027" s="11"/>
      <c r="R16027" s="11"/>
      <c r="S16027" s="11"/>
      <c r="T16027" s="11"/>
    </row>
    <row r="16028" spans="8:20" x14ac:dyDescent="0.35">
      <c r="H16028" s="711"/>
      <c r="I16028" s="711"/>
      <c r="J16028" s="711"/>
      <c r="K16028" s="711"/>
      <c r="L16028" s="711"/>
      <c r="Q16028" s="11"/>
      <c r="R16028" s="11"/>
      <c r="S16028" s="11"/>
      <c r="T16028" s="11"/>
    </row>
    <row r="16029" spans="8:20" x14ac:dyDescent="0.35">
      <c r="H16029" s="711"/>
      <c r="I16029" s="711"/>
      <c r="J16029" s="711"/>
      <c r="K16029" s="711"/>
      <c r="L16029" s="711"/>
      <c r="Q16029" s="11"/>
      <c r="R16029" s="11"/>
      <c r="S16029" s="11"/>
      <c r="T16029" s="11"/>
    </row>
    <row r="16030" spans="8:20" x14ac:dyDescent="0.35">
      <c r="H16030" s="711"/>
      <c r="I16030" s="711"/>
      <c r="J16030" s="711"/>
      <c r="K16030" s="711"/>
      <c r="L16030" s="711"/>
      <c r="Q16030" s="11"/>
      <c r="R16030" s="11"/>
      <c r="S16030" s="11"/>
      <c r="T16030" s="11"/>
    </row>
    <row r="16031" spans="8:20" x14ac:dyDescent="0.35">
      <c r="H16031" s="711"/>
      <c r="I16031" s="711"/>
      <c r="J16031" s="711"/>
      <c r="K16031" s="711"/>
      <c r="L16031" s="711"/>
      <c r="Q16031" s="11"/>
      <c r="R16031" s="11"/>
      <c r="S16031" s="11"/>
      <c r="T16031" s="11"/>
    </row>
    <row r="16032" spans="8:20" x14ac:dyDescent="0.35">
      <c r="H16032" s="711"/>
      <c r="I16032" s="711"/>
      <c r="J16032" s="711"/>
      <c r="K16032" s="711"/>
      <c r="L16032" s="711"/>
      <c r="Q16032" s="11"/>
      <c r="R16032" s="11"/>
      <c r="S16032" s="11"/>
      <c r="T16032" s="11"/>
    </row>
    <row r="16033" spans="8:20" x14ac:dyDescent="0.35">
      <c r="H16033" s="711"/>
      <c r="I16033" s="711"/>
      <c r="J16033" s="711"/>
      <c r="K16033" s="711"/>
      <c r="L16033" s="711"/>
      <c r="Q16033" s="11"/>
      <c r="R16033" s="11"/>
      <c r="S16033" s="11"/>
      <c r="T16033" s="11"/>
    </row>
    <row r="16034" spans="8:20" x14ac:dyDescent="0.35">
      <c r="H16034" s="711"/>
      <c r="I16034" s="711"/>
      <c r="J16034" s="711"/>
      <c r="K16034" s="711"/>
      <c r="L16034" s="711"/>
      <c r="Q16034" s="11"/>
      <c r="R16034" s="11"/>
      <c r="S16034" s="11"/>
      <c r="T16034" s="11"/>
    </row>
    <row r="16035" spans="8:20" x14ac:dyDescent="0.35">
      <c r="H16035" s="711"/>
      <c r="I16035" s="711"/>
      <c r="J16035" s="711"/>
      <c r="K16035" s="711"/>
      <c r="L16035" s="711"/>
      <c r="Q16035" s="11"/>
      <c r="R16035" s="11"/>
      <c r="S16035" s="11"/>
      <c r="T16035" s="11"/>
    </row>
    <row r="16036" spans="8:20" x14ac:dyDescent="0.35">
      <c r="H16036" s="711"/>
      <c r="I16036" s="711"/>
      <c r="J16036" s="711"/>
      <c r="K16036" s="711"/>
      <c r="L16036" s="711"/>
      <c r="Q16036" s="11"/>
      <c r="R16036" s="11"/>
      <c r="S16036" s="11"/>
      <c r="T16036" s="11"/>
    </row>
    <row r="16037" spans="8:20" x14ac:dyDescent="0.35">
      <c r="H16037" s="711"/>
      <c r="I16037" s="711"/>
      <c r="J16037" s="711"/>
      <c r="K16037" s="711"/>
      <c r="L16037" s="711"/>
      <c r="Q16037" s="11"/>
      <c r="R16037" s="11"/>
      <c r="S16037" s="11"/>
      <c r="T16037" s="11"/>
    </row>
    <row r="16038" spans="8:20" x14ac:dyDescent="0.35">
      <c r="H16038" s="711"/>
      <c r="I16038" s="711"/>
      <c r="J16038" s="711"/>
      <c r="K16038" s="711"/>
      <c r="L16038" s="711"/>
      <c r="Q16038" s="11"/>
      <c r="R16038" s="11"/>
      <c r="S16038" s="11"/>
      <c r="T16038" s="11"/>
    </row>
    <row r="16039" spans="8:20" x14ac:dyDescent="0.35">
      <c r="H16039" s="711"/>
      <c r="I16039" s="711"/>
      <c r="J16039" s="711"/>
      <c r="K16039" s="711"/>
      <c r="L16039" s="711"/>
      <c r="Q16039" s="11"/>
      <c r="R16039" s="11"/>
      <c r="S16039" s="11"/>
      <c r="T16039" s="11"/>
    </row>
    <row r="16040" spans="8:20" x14ac:dyDescent="0.35">
      <c r="H16040" s="711"/>
      <c r="I16040" s="711"/>
      <c r="J16040" s="711"/>
      <c r="K16040" s="711"/>
      <c r="L16040" s="711"/>
      <c r="Q16040" s="11"/>
      <c r="R16040" s="11"/>
      <c r="S16040" s="11"/>
      <c r="T16040" s="11"/>
    </row>
    <row r="16041" spans="8:20" x14ac:dyDescent="0.35">
      <c r="H16041" s="711"/>
      <c r="I16041" s="711"/>
      <c r="J16041" s="711"/>
      <c r="K16041" s="711"/>
      <c r="L16041" s="711"/>
      <c r="Q16041" s="11"/>
      <c r="R16041" s="11"/>
      <c r="S16041" s="11"/>
      <c r="T16041" s="11"/>
    </row>
    <row r="16042" spans="8:20" x14ac:dyDescent="0.35">
      <c r="H16042" s="711"/>
      <c r="I16042" s="711"/>
      <c r="J16042" s="711"/>
      <c r="K16042" s="711"/>
      <c r="L16042" s="711"/>
      <c r="Q16042" s="11"/>
      <c r="R16042" s="11"/>
      <c r="S16042" s="11"/>
      <c r="T16042" s="11"/>
    </row>
    <row r="16043" spans="8:20" x14ac:dyDescent="0.35">
      <c r="H16043" s="711"/>
      <c r="I16043" s="711"/>
      <c r="J16043" s="711"/>
      <c r="K16043" s="711"/>
      <c r="L16043" s="711"/>
      <c r="Q16043" s="11"/>
      <c r="R16043" s="11"/>
      <c r="S16043" s="11"/>
      <c r="T16043" s="11"/>
    </row>
    <row r="16044" spans="8:20" x14ac:dyDescent="0.35">
      <c r="H16044" s="711"/>
      <c r="I16044" s="711"/>
      <c r="J16044" s="711"/>
      <c r="K16044" s="711"/>
      <c r="L16044" s="711"/>
      <c r="Q16044" s="11"/>
      <c r="R16044" s="11"/>
      <c r="S16044" s="11"/>
      <c r="T16044" s="11"/>
    </row>
    <row r="16045" spans="8:20" x14ac:dyDescent="0.35">
      <c r="H16045" s="711"/>
      <c r="I16045" s="711"/>
      <c r="J16045" s="711"/>
      <c r="K16045" s="711"/>
      <c r="L16045" s="711"/>
      <c r="Q16045" s="11"/>
      <c r="R16045" s="11"/>
      <c r="S16045" s="11"/>
      <c r="T16045" s="11"/>
    </row>
    <row r="16046" spans="8:20" x14ac:dyDescent="0.35">
      <c r="H16046" s="711"/>
      <c r="I16046" s="711"/>
      <c r="J16046" s="711"/>
      <c r="K16046" s="711"/>
      <c r="L16046" s="711"/>
      <c r="Q16046" s="11"/>
      <c r="R16046" s="11"/>
      <c r="S16046" s="11"/>
      <c r="T16046" s="11"/>
    </row>
    <row r="16047" spans="8:20" x14ac:dyDescent="0.35">
      <c r="H16047" s="711"/>
      <c r="I16047" s="711"/>
      <c r="J16047" s="711"/>
      <c r="K16047" s="711"/>
      <c r="L16047" s="711"/>
      <c r="Q16047" s="11"/>
      <c r="R16047" s="11"/>
      <c r="S16047" s="11"/>
      <c r="T16047" s="11"/>
    </row>
    <row r="16048" spans="8:20" x14ac:dyDescent="0.35">
      <c r="H16048" s="711"/>
      <c r="I16048" s="711"/>
      <c r="J16048" s="711"/>
      <c r="K16048" s="711"/>
      <c r="L16048" s="711"/>
      <c r="Q16048" s="11"/>
      <c r="R16048" s="11"/>
      <c r="S16048" s="11"/>
      <c r="T16048" s="11"/>
    </row>
    <row r="16049" spans="8:20" x14ac:dyDescent="0.35">
      <c r="H16049" s="711"/>
      <c r="I16049" s="711"/>
      <c r="J16049" s="711"/>
      <c r="K16049" s="711"/>
      <c r="L16049" s="711"/>
      <c r="Q16049" s="11"/>
      <c r="R16049" s="11"/>
      <c r="S16049" s="11"/>
      <c r="T16049" s="11"/>
    </row>
    <row r="16050" spans="8:20" x14ac:dyDescent="0.35">
      <c r="H16050" s="711"/>
      <c r="I16050" s="711"/>
      <c r="J16050" s="711"/>
      <c r="K16050" s="711"/>
      <c r="L16050" s="711"/>
      <c r="Q16050" s="11"/>
      <c r="R16050" s="11"/>
      <c r="S16050" s="11"/>
      <c r="T16050" s="11"/>
    </row>
    <row r="16051" spans="8:20" x14ac:dyDescent="0.35">
      <c r="H16051" s="711"/>
      <c r="I16051" s="711"/>
      <c r="J16051" s="711"/>
      <c r="K16051" s="711"/>
      <c r="L16051" s="711"/>
      <c r="Q16051" s="11"/>
      <c r="R16051" s="11"/>
      <c r="S16051" s="11"/>
      <c r="T16051" s="11"/>
    </row>
    <row r="16052" spans="8:20" x14ac:dyDescent="0.35">
      <c r="H16052" s="711"/>
      <c r="I16052" s="711"/>
      <c r="J16052" s="711"/>
      <c r="K16052" s="711"/>
      <c r="L16052" s="711"/>
      <c r="Q16052" s="11"/>
      <c r="R16052" s="11"/>
      <c r="S16052" s="11"/>
      <c r="T16052" s="11"/>
    </row>
    <row r="16053" spans="8:20" x14ac:dyDescent="0.35">
      <c r="H16053" s="711"/>
      <c r="I16053" s="711"/>
      <c r="J16053" s="711"/>
      <c r="K16053" s="711"/>
      <c r="L16053" s="711"/>
      <c r="Q16053" s="11"/>
      <c r="R16053" s="11"/>
      <c r="S16053" s="11"/>
      <c r="T16053" s="11"/>
    </row>
    <row r="16054" spans="8:20" x14ac:dyDescent="0.35">
      <c r="H16054" s="711"/>
      <c r="I16054" s="711"/>
      <c r="J16054" s="711"/>
      <c r="K16054" s="711"/>
      <c r="L16054" s="711"/>
      <c r="Q16054" s="11"/>
      <c r="R16054" s="11"/>
      <c r="S16054" s="11"/>
      <c r="T16054" s="11"/>
    </row>
    <row r="16055" spans="8:20" x14ac:dyDescent="0.35">
      <c r="H16055" s="711"/>
      <c r="I16055" s="711"/>
      <c r="J16055" s="711"/>
      <c r="K16055" s="711"/>
      <c r="L16055" s="711"/>
      <c r="Q16055" s="11"/>
      <c r="R16055" s="11"/>
      <c r="S16055" s="11"/>
      <c r="T16055" s="11"/>
    </row>
    <row r="16056" spans="8:20" x14ac:dyDescent="0.35">
      <c r="H16056" s="711"/>
      <c r="I16056" s="711"/>
      <c r="J16056" s="711"/>
      <c r="K16056" s="711"/>
      <c r="L16056" s="711"/>
      <c r="Q16056" s="11"/>
      <c r="R16056" s="11"/>
      <c r="S16056" s="11"/>
      <c r="T16056" s="11"/>
    </row>
    <row r="16057" spans="8:20" x14ac:dyDescent="0.35">
      <c r="H16057" s="711"/>
      <c r="I16057" s="711"/>
      <c r="J16057" s="711"/>
      <c r="K16057" s="711"/>
      <c r="L16057" s="711"/>
      <c r="Q16057" s="11"/>
      <c r="R16057" s="11"/>
      <c r="S16057" s="11"/>
      <c r="T16057" s="11"/>
    </row>
    <row r="16058" spans="8:20" x14ac:dyDescent="0.35">
      <c r="H16058" s="711"/>
      <c r="I16058" s="711"/>
      <c r="J16058" s="711"/>
      <c r="K16058" s="711"/>
      <c r="L16058" s="711"/>
      <c r="Q16058" s="11"/>
      <c r="R16058" s="11"/>
      <c r="S16058" s="11"/>
      <c r="T16058" s="11"/>
    </row>
    <row r="16059" spans="8:20" x14ac:dyDescent="0.35">
      <c r="H16059" s="711"/>
      <c r="I16059" s="711"/>
      <c r="J16059" s="711"/>
      <c r="K16059" s="711"/>
      <c r="L16059" s="711"/>
      <c r="Q16059" s="11"/>
      <c r="R16059" s="11"/>
      <c r="S16059" s="11"/>
      <c r="T16059" s="11"/>
    </row>
    <row r="16060" spans="8:20" x14ac:dyDescent="0.35">
      <c r="H16060" s="711"/>
      <c r="I16060" s="711"/>
      <c r="J16060" s="711"/>
      <c r="K16060" s="711"/>
      <c r="L16060" s="711"/>
      <c r="Q16060" s="11"/>
      <c r="R16060" s="11"/>
      <c r="S16060" s="11"/>
      <c r="T16060" s="11"/>
    </row>
    <row r="16061" spans="8:20" x14ac:dyDescent="0.35">
      <c r="H16061" s="711"/>
      <c r="I16061" s="711"/>
      <c r="J16061" s="711"/>
      <c r="K16061" s="711"/>
      <c r="L16061" s="711"/>
      <c r="Q16061" s="11"/>
      <c r="R16061" s="11"/>
      <c r="S16061" s="11"/>
      <c r="T16061" s="11"/>
    </row>
    <row r="16062" spans="8:20" x14ac:dyDescent="0.35">
      <c r="H16062" s="711"/>
      <c r="I16062" s="711"/>
      <c r="J16062" s="711"/>
      <c r="K16062" s="711"/>
      <c r="L16062" s="711"/>
      <c r="Q16062" s="11"/>
      <c r="R16062" s="11"/>
      <c r="S16062" s="11"/>
      <c r="T16062" s="11"/>
    </row>
    <row r="16063" spans="8:20" x14ac:dyDescent="0.35">
      <c r="H16063" s="711"/>
      <c r="I16063" s="711"/>
      <c r="J16063" s="711"/>
      <c r="K16063" s="711"/>
      <c r="L16063" s="711"/>
      <c r="Q16063" s="11"/>
      <c r="R16063" s="11"/>
      <c r="S16063" s="11"/>
      <c r="T16063" s="11"/>
    </row>
    <row r="16064" spans="8:20" x14ac:dyDescent="0.35">
      <c r="H16064" s="711"/>
      <c r="I16064" s="711"/>
      <c r="J16064" s="711"/>
      <c r="K16064" s="711"/>
      <c r="L16064" s="711"/>
      <c r="Q16064" s="11"/>
      <c r="R16064" s="11"/>
      <c r="S16064" s="11"/>
      <c r="T16064" s="11"/>
    </row>
    <row r="16065" spans="8:20" x14ac:dyDescent="0.35">
      <c r="H16065" s="711"/>
      <c r="I16065" s="711"/>
      <c r="J16065" s="711"/>
      <c r="K16065" s="711"/>
      <c r="L16065" s="711"/>
      <c r="Q16065" s="11"/>
      <c r="R16065" s="11"/>
      <c r="S16065" s="11"/>
      <c r="T16065" s="11"/>
    </row>
    <row r="16066" spans="8:20" x14ac:dyDescent="0.35">
      <c r="H16066" s="711"/>
      <c r="I16066" s="711"/>
      <c r="J16066" s="711"/>
      <c r="K16066" s="711"/>
      <c r="L16066" s="711"/>
      <c r="Q16066" s="11"/>
      <c r="R16066" s="11"/>
      <c r="S16066" s="11"/>
      <c r="T16066" s="11"/>
    </row>
    <row r="16067" spans="8:20" x14ac:dyDescent="0.35">
      <c r="H16067" s="711"/>
      <c r="I16067" s="711"/>
      <c r="J16067" s="711"/>
      <c r="K16067" s="711"/>
      <c r="L16067" s="711"/>
      <c r="Q16067" s="11"/>
      <c r="R16067" s="11"/>
      <c r="S16067" s="11"/>
      <c r="T16067" s="11"/>
    </row>
    <row r="16068" spans="8:20" x14ac:dyDescent="0.35">
      <c r="H16068" s="711"/>
      <c r="I16068" s="711"/>
      <c r="J16068" s="711"/>
      <c r="K16068" s="711"/>
      <c r="L16068" s="711"/>
      <c r="Q16068" s="11"/>
      <c r="R16068" s="11"/>
      <c r="S16068" s="11"/>
      <c r="T16068" s="11"/>
    </row>
    <row r="16069" spans="8:20" x14ac:dyDescent="0.35">
      <c r="H16069" s="711"/>
      <c r="I16069" s="711"/>
      <c r="J16069" s="711"/>
      <c r="K16069" s="711"/>
      <c r="L16069" s="711"/>
      <c r="Q16069" s="11"/>
      <c r="R16069" s="11"/>
      <c r="S16069" s="11"/>
      <c r="T16069" s="11"/>
    </row>
    <row r="16070" spans="8:20" x14ac:dyDescent="0.35">
      <c r="H16070" s="711"/>
      <c r="I16070" s="711"/>
      <c r="J16070" s="711"/>
      <c r="K16070" s="711"/>
      <c r="L16070" s="711"/>
      <c r="Q16070" s="11"/>
      <c r="R16070" s="11"/>
      <c r="S16070" s="11"/>
      <c r="T16070" s="11"/>
    </row>
    <row r="16071" spans="8:20" x14ac:dyDescent="0.35">
      <c r="H16071" s="711"/>
      <c r="I16071" s="711"/>
      <c r="J16071" s="711"/>
      <c r="K16071" s="711"/>
      <c r="L16071" s="711"/>
      <c r="Q16071" s="11"/>
      <c r="R16071" s="11"/>
      <c r="S16071" s="11"/>
      <c r="T16071" s="11"/>
    </row>
    <row r="16072" spans="8:20" x14ac:dyDescent="0.35">
      <c r="H16072" s="711"/>
      <c r="I16072" s="711"/>
      <c r="J16072" s="711"/>
      <c r="K16072" s="711"/>
      <c r="L16072" s="711"/>
      <c r="Q16072" s="11"/>
      <c r="R16072" s="11"/>
      <c r="S16072" s="11"/>
      <c r="T16072" s="11"/>
    </row>
    <row r="16073" spans="8:20" x14ac:dyDescent="0.35">
      <c r="H16073" s="711"/>
      <c r="I16073" s="711"/>
      <c r="J16073" s="711"/>
      <c r="K16073" s="711"/>
      <c r="L16073" s="711"/>
      <c r="Q16073" s="11"/>
      <c r="R16073" s="11"/>
      <c r="S16073" s="11"/>
      <c r="T16073" s="11"/>
    </row>
    <row r="16074" spans="8:20" x14ac:dyDescent="0.35">
      <c r="H16074" s="711"/>
      <c r="I16074" s="711"/>
      <c r="J16074" s="711"/>
      <c r="K16074" s="711"/>
      <c r="L16074" s="711"/>
      <c r="Q16074" s="11"/>
      <c r="R16074" s="11"/>
      <c r="S16074" s="11"/>
      <c r="T16074" s="11"/>
    </row>
    <row r="16075" spans="8:20" x14ac:dyDescent="0.35">
      <c r="H16075" s="711"/>
      <c r="I16075" s="711"/>
      <c r="J16075" s="711"/>
      <c r="K16075" s="711"/>
      <c r="L16075" s="711"/>
      <c r="Q16075" s="11"/>
      <c r="R16075" s="11"/>
      <c r="S16075" s="11"/>
      <c r="T16075" s="11"/>
    </row>
    <row r="16076" spans="8:20" x14ac:dyDescent="0.35">
      <c r="H16076" s="711"/>
      <c r="I16076" s="711"/>
      <c r="J16076" s="711"/>
      <c r="K16076" s="711"/>
      <c r="L16076" s="711"/>
      <c r="Q16076" s="11"/>
      <c r="R16076" s="11"/>
      <c r="S16076" s="11"/>
      <c r="T16076" s="11"/>
    </row>
    <row r="16077" spans="8:20" x14ac:dyDescent="0.35">
      <c r="H16077" s="711"/>
      <c r="I16077" s="711"/>
      <c r="J16077" s="711"/>
      <c r="K16077" s="711"/>
      <c r="L16077" s="711"/>
      <c r="Q16077" s="11"/>
      <c r="R16077" s="11"/>
      <c r="S16077" s="11"/>
      <c r="T16077" s="11"/>
    </row>
    <row r="16078" spans="8:20" x14ac:dyDescent="0.35">
      <c r="H16078" s="711"/>
      <c r="I16078" s="711"/>
      <c r="J16078" s="711"/>
      <c r="K16078" s="711"/>
      <c r="L16078" s="711"/>
      <c r="Q16078" s="11"/>
      <c r="R16078" s="11"/>
      <c r="S16078" s="11"/>
      <c r="T16078" s="11"/>
    </row>
    <row r="16079" spans="8:20" x14ac:dyDescent="0.35">
      <c r="H16079" s="711"/>
      <c r="I16079" s="711"/>
      <c r="J16079" s="711"/>
      <c r="K16079" s="711"/>
      <c r="L16079" s="711"/>
      <c r="Q16079" s="11"/>
      <c r="R16079" s="11"/>
      <c r="S16079" s="11"/>
      <c r="T16079" s="11"/>
    </row>
    <row r="16080" spans="8:20" x14ac:dyDescent="0.35">
      <c r="H16080" s="711"/>
      <c r="I16080" s="711"/>
      <c r="J16080" s="711"/>
      <c r="K16080" s="711"/>
      <c r="L16080" s="711"/>
      <c r="Q16080" s="11"/>
      <c r="R16080" s="11"/>
      <c r="S16080" s="11"/>
      <c r="T16080" s="11"/>
    </row>
    <row r="16081" spans="8:20" x14ac:dyDescent="0.35">
      <c r="H16081" s="711"/>
      <c r="I16081" s="711"/>
      <c r="J16081" s="711"/>
      <c r="K16081" s="711"/>
      <c r="L16081" s="711"/>
      <c r="Q16081" s="11"/>
      <c r="R16081" s="11"/>
      <c r="S16081" s="11"/>
      <c r="T16081" s="11"/>
    </row>
    <row r="16082" spans="8:20" x14ac:dyDescent="0.35">
      <c r="H16082" s="711"/>
      <c r="I16082" s="711"/>
      <c r="J16082" s="711"/>
      <c r="K16082" s="711"/>
      <c r="L16082" s="711"/>
      <c r="Q16082" s="11"/>
      <c r="R16082" s="11"/>
      <c r="S16082" s="11"/>
      <c r="T16082" s="11"/>
    </row>
    <row r="16083" spans="8:20" x14ac:dyDescent="0.35">
      <c r="H16083" s="711"/>
      <c r="I16083" s="711"/>
      <c r="J16083" s="711"/>
      <c r="K16083" s="711"/>
      <c r="L16083" s="711"/>
      <c r="Q16083" s="11"/>
      <c r="R16083" s="11"/>
      <c r="S16083" s="11"/>
      <c r="T16083" s="11"/>
    </row>
    <row r="16084" spans="8:20" x14ac:dyDescent="0.35">
      <c r="H16084" s="711"/>
      <c r="I16084" s="711"/>
      <c r="J16084" s="711"/>
      <c r="K16084" s="711"/>
      <c r="L16084" s="711"/>
      <c r="Q16084" s="11"/>
      <c r="R16084" s="11"/>
      <c r="S16084" s="11"/>
      <c r="T16084" s="11"/>
    </row>
    <row r="16085" spans="8:20" x14ac:dyDescent="0.35">
      <c r="H16085" s="711"/>
      <c r="I16085" s="711"/>
      <c r="J16085" s="711"/>
      <c r="K16085" s="711"/>
      <c r="L16085" s="711"/>
      <c r="Q16085" s="11"/>
      <c r="R16085" s="11"/>
      <c r="S16085" s="11"/>
      <c r="T16085" s="11"/>
    </row>
    <row r="16086" spans="8:20" x14ac:dyDescent="0.35">
      <c r="H16086" s="711"/>
      <c r="I16086" s="711"/>
      <c r="J16086" s="711"/>
      <c r="K16086" s="711"/>
      <c r="L16086" s="711"/>
      <c r="Q16086" s="11"/>
      <c r="R16086" s="11"/>
      <c r="S16086" s="11"/>
      <c r="T16086" s="11"/>
    </row>
    <row r="16087" spans="8:20" x14ac:dyDescent="0.35">
      <c r="H16087" s="711"/>
      <c r="I16087" s="711"/>
      <c r="J16087" s="711"/>
      <c r="K16087" s="711"/>
      <c r="L16087" s="711"/>
      <c r="Q16087" s="11"/>
      <c r="R16087" s="11"/>
      <c r="S16087" s="11"/>
      <c r="T16087" s="11"/>
    </row>
    <row r="16088" spans="8:20" x14ac:dyDescent="0.35">
      <c r="H16088" s="711"/>
      <c r="I16088" s="711"/>
      <c r="J16088" s="711"/>
      <c r="K16088" s="711"/>
      <c r="L16088" s="711"/>
      <c r="Q16088" s="11"/>
      <c r="R16088" s="11"/>
      <c r="S16088" s="11"/>
      <c r="T16088" s="11"/>
    </row>
    <row r="16089" spans="8:20" x14ac:dyDescent="0.35">
      <c r="H16089" s="711"/>
      <c r="I16089" s="711"/>
      <c r="J16089" s="711"/>
      <c r="K16089" s="711"/>
      <c r="L16089" s="711"/>
      <c r="Q16089" s="11"/>
      <c r="R16089" s="11"/>
      <c r="S16089" s="11"/>
      <c r="T16089" s="11"/>
    </row>
    <row r="16090" spans="8:20" x14ac:dyDescent="0.35">
      <c r="H16090" s="711"/>
      <c r="I16090" s="711"/>
      <c r="J16090" s="711"/>
      <c r="K16090" s="711"/>
      <c r="L16090" s="711"/>
      <c r="Q16090" s="11"/>
      <c r="R16090" s="11"/>
      <c r="S16090" s="11"/>
      <c r="T16090" s="11"/>
    </row>
    <row r="16091" spans="8:20" x14ac:dyDescent="0.35">
      <c r="H16091" s="711"/>
      <c r="I16091" s="711"/>
      <c r="J16091" s="711"/>
      <c r="K16091" s="711"/>
      <c r="L16091" s="711"/>
      <c r="Q16091" s="11"/>
      <c r="R16091" s="11"/>
      <c r="S16091" s="11"/>
      <c r="T16091" s="11"/>
    </row>
    <row r="16092" spans="8:20" x14ac:dyDescent="0.35">
      <c r="H16092" s="711"/>
      <c r="I16092" s="711"/>
      <c r="J16092" s="711"/>
      <c r="K16092" s="711"/>
      <c r="L16092" s="711"/>
      <c r="Q16092" s="11"/>
      <c r="R16092" s="11"/>
      <c r="S16092" s="11"/>
      <c r="T16092" s="11"/>
    </row>
    <row r="16093" spans="8:20" x14ac:dyDescent="0.35">
      <c r="H16093" s="711"/>
      <c r="I16093" s="711"/>
      <c r="J16093" s="711"/>
      <c r="K16093" s="711"/>
      <c r="L16093" s="711"/>
      <c r="Q16093" s="11"/>
      <c r="R16093" s="11"/>
      <c r="S16093" s="11"/>
      <c r="T16093" s="11"/>
    </row>
    <row r="16094" spans="8:20" x14ac:dyDescent="0.35">
      <c r="H16094" s="711"/>
      <c r="I16094" s="711"/>
      <c r="J16094" s="711"/>
      <c r="K16094" s="711"/>
      <c r="L16094" s="711"/>
      <c r="Q16094" s="11"/>
      <c r="R16094" s="11"/>
      <c r="S16094" s="11"/>
      <c r="T16094" s="11"/>
    </row>
    <row r="16095" spans="8:20" x14ac:dyDescent="0.35">
      <c r="H16095" s="711"/>
      <c r="I16095" s="711"/>
      <c r="J16095" s="711"/>
      <c r="K16095" s="711"/>
      <c r="L16095" s="711"/>
      <c r="Q16095" s="11"/>
      <c r="R16095" s="11"/>
      <c r="S16095" s="11"/>
      <c r="T16095" s="11"/>
    </row>
    <row r="16096" spans="8:20" x14ac:dyDescent="0.35">
      <c r="H16096" s="711"/>
      <c r="I16096" s="711"/>
      <c r="J16096" s="711"/>
      <c r="K16096" s="711"/>
      <c r="L16096" s="711"/>
      <c r="Q16096" s="11"/>
      <c r="R16096" s="11"/>
      <c r="S16096" s="11"/>
      <c r="T16096" s="11"/>
    </row>
    <row r="16097" spans="8:20" x14ac:dyDescent="0.35">
      <c r="H16097" s="711"/>
      <c r="I16097" s="711"/>
      <c r="J16097" s="711"/>
      <c r="K16097" s="711"/>
      <c r="L16097" s="711"/>
      <c r="Q16097" s="11"/>
      <c r="R16097" s="11"/>
      <c r="S16097" s="11"/>
      <c r="T16097" s="11"/>
    </row>
    <row r="16098" spans="8:20" x14ac:dyDescent="0.35">
      <c r="H16098" s="711"/>
      <c r="I16098" s="711"/>
      <c r="J16098" s="711"/>
      <c r="K16098" s="711"/>
      <c r="L16098" s="711"/>
      <c r="Q16098" s="11"/>
      <c r="R16098" s="11"/>
      <c r="S16098" s="11"/>
      <c r="T16098" s="11"/>
    </row>
    <row r="16099" spans="8:20" x14ac:dyDescent="0.35">
      <c r="H16099" s="711"/>
      <c r="I16099" s="711"/>
      <c r="J16099" s="711"/>
      <c r="K16099" s="711"/>
      <c r="L16099" s="711"/>
      <c r="Q16099" s="11"/>
      <c r="R16099" s="11"/>
      <c r="S16099" s="11"/>
      <c r="T16099" s="11"/>
    </row>
    <row r="16100" spans="8:20" x14ac:dyDescent="0.35">
      <c r="H16100" s="711"/>
      <c r="I16100" s="711"/>
      <c r="J16100" s="711"/>
      <c r="K16100" s="711"/>
      <c r="L16100" s="711"/>
      <c r="Q16100" s="11"/>
      <c r="R16100" s="11"/>
      <c r="S16100" s="11"/>
      <c r="T16100" s="11"/>
    </row>
    <row r="16101" spans="8:20" x14ac:dyDescent="0.35">
      <c r="H16101" s="711"/>
      <c r="I16101" s="711"/>
      <c r="J16101" s="711"/>
      <c r="K16101" s="711"/>
      <c r="L16101" s="711"/>
      <c r="Q16101" s="11"/>
      <c r="R16101" s="11"/>
      <c r="S16101" s="11"/>
      <c r="T16101" s="11"/>
    </row>
    <row r="16102" spans="8:20" x14ac:dyDescent="0.35">
      <c r="H16102" s="711"/>
      <c r="I16102" s="711"/>
      <c r="J16102" s="711"/>
      <c r="K16102" s="711"/>
      <c r="L16102" s="711"/>
      <c r="Q16102" s="11"/>
      <c r="R16102" s="11"/>
      <c r="S16102" s="11"/>
      <c r="T16102" s="11"/>
    </row>
    <row r="16103" spans="8:20" x14ac:dyDescent="0.35">
      <c r="H16103" s="711"/>
      <c r="I16103" s="711"/>
      <c r="J16103" s="711"/>
      <c r="K16103" s="711"/>
      <c r="L16103" s="711"/>
      <c r="Q16103" s="11"/>
      <c r="R16103" s="11"/>
      <c r="S16103" s="11"/>
      <c r="T16103" s="11"/>
    </row>
    <row r="16104" spans="8:20" x14ac:dyDescent="0.35">
      <c r="H16104" s="711"/>
      <c r="I16104" s="711"/>
      <c r="J16104" s="711"/>
      <c r="K16104" s="711"/>
      <c r="L16104" s="711"/>
      <c r="Q16104" s="11"/>
      <c r="R16104" s="11"/>
      <c r="S16104" s="11"/>
      <c r="T16104" s="11"/>
    </row>
    <row r="16105" spans="8:20" x14ac:dyDescent="0.35">
      <c r="H16105" s="711"/>
      <c r="I16105" s="711"/>
      <c r="J16105" s="711"/>
      <c r="K16105" s="711"/>
      <c r="L16105" s="711"/>
      <c r="Q16105" s="11"/>
      <c r="R16105" s="11"/>
      <c r="S16105" s="11"/>
      <c r="T16105" s="11"/>
    </row>
    <row r="16106" spans="8:20" x14ac:dyDescent="0.35">
      <c r="H16106" s="711"/>
      <c r="I16106" s="711"/>
      <c r="J16106" s="711"/>
      <c r="K16106" s="711"/>
      <c r="L16106" s="711"/>
      <c r="Q16106" s="11"/>
      <c r="R16106" s="11"/>
      <c r="S16106" s="11"/>
      <c r="T16106" s="11"/>
    </row>
    <row r="16107" spans="8:20" x14ac:dyDescent="0.35">
      <c r="H16107" s="711"/>
      <c r="I16107" s="711"/>
      <c r="J16107" s="711"/>
      <c r="K16107" s="711"/>
      <c r="L16107" s="711"/>
      <c r="Q16107" s="11"/>
      <c r="R16107" s="11"/>
      <c r="S16107" s="11"/>
      <c r="T16107" s="11"/>
    </row>
    <row r="16108" spans="8:20" x14ac:dyDescent="0.35">
      <c r="H16108" s="711"/>
      <c r="I16108" s="711"/>
      <c r="J16108" s="711"/>
      <c r="K16108" s="711"/>
      <c r="L16108" s="711"/>
      <c r="Q16108" s="11"/>
      <c r="R16108" s="11"/>
      <c r="S16108" s="11"/>
      <c r="T16108" s="11"/>
    </row>
    <row r="16109" spans="8:20" x14ac:dyDescent="0.35">
      <c r="H16109" s="711"/>
      <c r="I16109" s="711"/>
      <c r="J16109" s="711"/>
      <c r="K16109" s="711"/>
      <c r="L16109" s="711"/>
      <c r="Q16109" s="11"/>
      <c r="R16109" s="11"/>
      <c r="S16109" s="11"/>
      <c r="T16109" s="11"/>
    </row>
    <row r="16110" spans="8:20" x14ac:dyDescent="0.35">
      <c r="H16110" s="711"/>
      <c r="I16110" s="711"/>
      <c r="J16110" s="711"/>
      <c r="K16110" s="711"/>
      <c r="L16110" s="711"/>
      <c r="Q16110" s="11"/>
      <c r="R16110" s="11"/>
      <c r="S16110" s="11"/>
      <c r="T16110" s="11"/>
    </row>
    <row r="16111" spans="8:20" x14ac:dyDescent="0.35">
      <c r="H16111" s="711"/>
      <c r="I16111" s="711"/>
      <c r="J16111" s="711"/>
      <c r="K16111" s="711"/>
      <c r="L16111" s="711"/>
      <c r="Q16111" s="11"/>
      <c r="R16111" s="11"/>
      <c r="S16111" s="11"/>
      <c r="T16111" s="11"/>
    </row>
    <row r="16112" spans="8:20" x14ac:dyDescent="0.35">
      <c r="H16112" s="711"/>
      <c r="I16112" s="711"/>
      <c r="J16112" s="711"/>
      <c r="K16112" s="711"/>
      <c r="L16112" s="711"/>
      <c r="Q16112" s="11"/>
      <c r="R16112" s="11"/>
      <c r="S16112" s="11"/>
      <c r="T16112" s="11"/>
    </row>
    <row r="16113" spans="8:20" x14ac:dyDescent="0.35">
      <c r="H16113" s="711"/>
      <c r="I16113" s="711"/>
      <c r="J16113" s="711"/>
      <c r="K16113" s="711"/>
      <c r="L16113" s="711"/>
      <c r="Q16113" s="11"/>
      <c r="R16113" s="11"/>
      <c r="S16113" s="11"/>
      <c r="T16113" s="11"/>
    </row>
    <row r="16114" spans="8:20" x14ac:dyDescent="0.35">
      <c r="H16114" s="711"/>
      <c r="I16114" s="711"/>
      <c r="J16114" s="711"/>
      <c r="K16114" s="711"/>
      <c r="L16114" s="711"/>
      <c r="Q16114" s="11"/>
      <c r="R16114" s="11"/>
      <c r="S16114" s="11"/>
      <c r="T16114" s="11"/>
    </row>
    <row r="16115" spans="8:20" x14ac:dyDescent="0.35">
      <c r="H16115" s="711"/>
      <c r="I16115" s="711"/>
      <c r="J16115" s="711"/>
      <c r="K16115" s="711"/>
      <c r="L16115" s="711"/>
      <c r="Q16115" s="11"/>
      <c r="R16115" s="11"/>
      <c r="S16115" s="11"/>
      <c r="T16115" s="11"/>
    </row>
    <row r="16116" spans="8:20" x14ac:dyDescent="0.35">
      <c r="H16116" s="711"/>
      <c r="I16116" s="711"/>
      <c r="J16116" s="711"/>
      <c r="K16116" s="711"/>
      <c r="L16116" s="711"/>
      <c r="Q16116" s="11"/>
      <c r="R16116" s="11"/>
      <c r="S16116" s="11"/>
      <c r="T16116" s="11"/>
    </row>
    <row r="16117" spans="8:20" x14ac:dyDescent="0.35">
      <c r="H16117" s="711"/>
      <c r="I16117" s="711"/>
      <c r="J16117" s="711"/>
      <c r="K16117" s="711"/>
      <c r="L16117" s="711"/>
      <c r="Q16117" s="11"/>
      <c r="R16117" s="11"/>
      <c r="S16117" s="11"/>
      <c r="T16117" s="11"/>
    </row>
    <row r="16118" spans="8:20" x14ac:dyDescent="0.35">
      <c r="H16118" s="711"/>
      <c r="I16118" s="711"/>
      <c r="J16118" s="711"/>
      <c r="K16118" s="711"/>
      <c r="L16118" s="711"/>
      <c r="Q16118" s="11"/>
      <c r="R16118" s="11"/>
      <c r="S16118" s="11"/>
      <c r="T16118" s="11"/>
    </row>
    <row r="16119" spans="8:20" x14ac:dyDescent="0.35">
      <c r="H16119" s="711"/>
      <c r="I16119" s="711"/>
      <c r="J16119" s="711"/>
      <c r="K16119" s="711"/>
      <c r="L16119" s="711"/>
      <c r="Q16119" s="11"/>
      <c r="R16119" s="11"/>
      <c r="S16119" s="11"/>
      <c r="T16119" s="11"/>
    </row>
    <row r="16120" spans="8:20" x14ac:dyDescent="0.35">
      <c r="H16120" s="711"/>
      <c r="I16120" s="711"/>
      <c r="J16120" s="711"/>
      <c r="K16120" s="711"/>
      <c r="L16120" s="711"/>
      <c r="Q16120" s="11"/>
      <c r="R16120" s="11"/>
      <c r="S16120" s="11"/>
      <c r="T16120" s="11"/>
    </row>
    <row r="16121" spans="8:20" x14ac:dyDescent="0.35">
      <c r="H16121" s="711"/>
      <c r="I16121" s="711"/>
      <c r="J16121" s="711"/>
      <c r="K16121" s="711"/>
      <c r="L16121" s="711"/>
      <c r="Q16121" s="11"/>
      <c r="R16121" s="11"/>
      <c r="S16121" s="11"/>
      <c r="T16121" s="11"/>
    </row>
    <row r="16122" spans="8:20" x14ac:dyDescent="0.35">
      <c r="H16122" s="711"/>
      <c r="I16122" s="711"/>
      <c r="J16122" s="711"/>
      <c r="K16122" s="711"/>
      <c r="L16122" s="711"/>
      <c r="Q16122" s="11"/>
      <c r="R16122" s="11"/>
      <c r="S16122" s="11"/>
      <c r="T16122" s="11"/>
    </row>
    <row r="16123" spans="8:20" x14ac:dyDescent="0.35">
      <c r="H16123" s="711"/>
      <c r="I16123" s="711"/>
      <c r="J16123" s="711"/>
      <c r="K16123" s="711"/>
      <c r="L16123" s="711"/>
      <c r="Q16123" s="11"/>
      <c r="R16123" s="11"/>
      <c r="S16123" s="11"/>
      <c r="T16123" s="11"/>
    </row>
    <row r="16124" spans="8:20" x14ac:dyDescent="0.35">
      <c r="H16124" s="711"/>
      <c r="I16124" s="711"/>
      <c r="J16124" s="711"/>
      <c r="K16124" s="711"/>
      <c r="L16124" s="711"/>
      <c r="Q16124" s="11"/>
      <c r="R16124" s="11"/>
      <c r="S16124" s="11"/>
      <c r="T16124" s="11"/>
    </row>
    <row r="16125" spans="8:20" x14ac:dyDescent="0.35">
      <c r="H16125" s="711"/>
      <c r="I16125" s="711"/>
      <c r="J16125" s="711"/>
      <c r="K16125" s="711"/>
      <c r="L16125" s="711"/>
      <c r="Q16125" s="11"/>
      <c r="R16125" s="11"/>
      <c r="S16125" s="11"/>
      <c r="T16125" s="11"/>
    </row>
    <row r="16126" spans="8:20" x14ac:dyDescent="0.35">
      <c r="H16126" s="711"/>
      <c r="I16126" s="711"/>
      <c r="J16126" s="711"/>
      <c r="K16126" s="711"/>
      <c r="L16126" s="711"/>
      <c r="Q16126" s="11"/>
      <c r="R16126" s="11"/>
      <c r="S16126" s="11"/>
      <c r="T16126" s="11"/>
    </row>
    <row r="16127" spans="8:20" x14ac:dyDescent="0.35">
      <c r="H16127" s="711"/>
      <c r="I16127" s="711"/>
      <c r="J16127" s="711"/>
      <c r="K16127" s="711"/>
      <c r="L16127" s="711"/>
      <c r="Q16127" s="11"/>
      <c r="R16127" s="11"/>
      <c r="S16127" s="11"/>
      <c r="T16127" s="11"/>
    </row>
    <row r="16128" spans="8:20" x14ac:dyDescent="0.35">
      <c r="H16128" s="711"/>
      <c r="I16128" s="711"/>
      <c r="J16128" s="711"/>
      <c r="K16128" s="711"/>
      <c r="L16128" s="711"/>
      <c r="Q16128" s="11"/>
      <c r="R16128" s="11"/>
      <c r="S16128" s="11"/>
      <c r="T16128" s="11"/>
    </row>
    <row r="16129" spans="8:20" x14ac:dyDescent="0.35">
      <c r="H16129" s="711"/>
      <c r="I16129" s="711"/>
      <c r="J16129" s="711"/>
      <c r="K16129" s="711"/>
      <c r="L16129" s="711"/>
      <c r="Q16129" s="11"/>
      <c r="R16129" s="11"/>
      <c r="S16129" s="11"/>
      <c r="T16129" s="11"/>
    </row>
    <row r="16130" spans="8:20" x14ac:dyDescent="0.35">
      <c r="H16130" s="711"/>
      <c r="I16130" s="711"/>
      <c r="J16130" s="711"/>
      <c r="K16130" s="711"/>
      <c r="L16130" s="711"/>
      <c r="Q16130" s="11"/>
      <c r="R16130" s="11"/>
      <c r="S16130" s="11"/>
      <c r="T16130" s="11"/>
    </row>
    <row r="16131" spans="8:20" x14ac:dyDescent="0.35">
      <c r="H16131" s="711"/>
      <c r="I16131" s="711"/>
      <c r="J16131" s="711"/>
      <c r="K16131" s="711"/>
      <c r="L16131" s="711"/>
      <c r="Q16131" s="11"/>
      <c r="R16131" s="11"/>
      <c r="S16131" s="11"/>
      <c r="T16131" s="11"/>
    </row>
    <row r="16132" spans="8:20" x14ac:dyDescent="0.35">
      <c r="H16132" s="711"/>
      <c r="I16132" s="711"/>
      <c r="J16132" s="711"/>
      <c r="K16132" s="711"/>
      <c r="L16132" s="711"/>
      <c r="Q16132" s="11"/>
      <c r="R16132" s="11"/>
      <c r="S16132" s="11"/>
      <c r="T16132" s="11"/>
    </row>
    <row r="16133" spans="8:20" x14ac:dyDescent="0.35">
      <c r="H16133" s="711"/>
      <c r="I16133" s="711"/>
      <c r="J16133" s="711"/>
      <c r="K16133" s="711"/>
      <c r="L16133" s="711"/>
      <c r="Q16133" s="11"/>
      <c r="R16133" s="11"/>
      <c r="S16133" s="11"/>
      <c r="T16133" s="11"/>
    </row>
    <row r="16134" spans="8:20" x14ac:dyDescent="0.35">
      <c r="H16134" s="711"/>
      <c r="I16134" s="711"/>
      <c r="J16134" s="711"/>
      <c r="K16134" s="711"/>
      <c r="L16134" s="711"/>
      <c r="Q16134" s="11"/>
      <c r="R16134" s="11"/>
      <c r="S16134" s="11"/>
      <c r="T16134" s="11"/>
    </row>
    <row r="16135" spans="8:20" x14ac:dyDescent="0.35">
      <c r="H16135" s="711"/>
      <c r="I16135" s="711"/>
      <c r="J16135" s="711"/>
      <c r="K16135" s="711"/>
      <c r="L16135" s="711"/>
      <c r="Q16135" s="11"/>
      <c r="R16135" s="11"/>
      <c r="S16135" s="11"/>
      <c r="T16135" s="11"/>
    </row>
    <row r="16136" spans="8:20" x14ac:dyDescent="0.35">
      <c r="H16136" s="711"/>
      <c r="I16136" s="711"/>
      <c r="J16136" s="711"/>
      <c r="K16136" s="711"/>
      <c r="L16136" s="711"/>
      <c r="Q16136" s="11"/>
      <c r="R16136" s="11"/>
      <c r="S16136" s="11"/>
      <c r="T16136" s="11"/>
    </row>
    <row r="16137" spans="8:20" x14ac:dyDescent="0.35">
      <c r="H16137" s="711"/>
      <c r="I16137" s="711"/>
      <c r="J16137" s="711"/>
      <c r="K16137" s="711"/>
      <c r="L16137" s="711"/>
      <c r="Q16137" s="11"/>
      <c r="R16137" s="11"/>
      <c r="S16137" s="11"/>
      <c r="T16137" s="11"/>
    </row>
    <row r="16138" spans="8:20" x14ac:dyDescent="0.35">
      <c r="H16138" s="711"/>
      <c r="I16138" s="711"/>
      <c r="J16138" s="711"/>
      <c r="K16138" s="711"/>
      <c r="L16138" s="711"/>
      <c r="Q16138" s="11"/>
      <c r="R16138" s="11"/>
      <c r="S16138" s="11"/>
      <c r="T16138" s="11"/>
    </row>
    <row r="16139" spans="8:20" x14ac:dyDescent="0.35">
      <c r="H16139" s="711"/>
      <c r="I16139" s="711"/>
      <c r="J16139" s="711"/>
      <c r="K16139" s="711"/>
      <c r="L16139" s="711"/>
      <c r="Q16139" s="11"/>
      <c r="R16139" s="11"/>
      <c r="S16139" s="11"/>
      <c r="T16139" s="11"/>
    </row>
    <row r="16140" spans="8:20" x14ac:dyDescent="0.35">
      <c r="H16140" s="711"/>
      <c r="I16140" s="711"/>
      <c r="J16140" s="711"/>
      <c r="K16140" s="711"/>
      <c r="L16140" s="711"/>
      <c r="Q16140" s="11"/>
      <c r="R16140" s="11"/>
      <c r="S16140" s="11"/>
      <c r="T16140" s="11"/>
    </row>
    <row r="16141" spans="8:20" x14ac:dyDescent="0.35">
      <c r="H16141" s="711"/>
      <c r="I16141" s="711"/>
      <c r="J16141" s="711"/>
      <c r="K16141" s="711"/>
      <c r="L16141" s="711"/>
      <c r="Q16141" s="11"/>
      <c r="R16141" s="11"/>
      <c r="S16141" s="11"/>
      <c r="T16141" s="11"/>
    </row>
    <row r="16142" spans="8:20" x14ac:dyDescent="0.35">
      <c r="H16142" s="711"/>
      <c r="I16142" s="711"/>
      <c r="J16142" s="711"/>
      <c r="K16142" s="711"/>
      <c r="L16142" s="711"/>
      <c r="Q16142" s="11"/>
      <c r="R16142" s="11"/>
      <c r="S16142" s="11"/>
      <c r="T16142" s="11"/>
    </row>
    <row r="16143" spans="8:20" x14ac:dyDescent="0.35">
      <c r="H16143" s="711"/>
      <c r="I16143" s="711"/>
      <c r="J16143" s="711"/>
      <c r="K16143" s="711"/>
      <c r="L16143" s="711"/>
      <c r="Q16143" s="11"/>
      <c r="R16143" s="11"/>
      <c r="S16143" s="11"/>
      <c r="T16143" s="11"/>
    </row>
    <row r="16144" spans="8:20" x14ac:dyDescent="0.35">
      <c r="H16144" s="711"/>
      <c r="I16144" s="711"/>
      <c r="J16144" s="711"/>
      <c r="K16144" s="711"/>
      <c r="L16144" s="711"/>
      <c r="Q16144" s="11"/>
      <c r="R16144" s="11"/>
      <c r="S16144" s="11"/>
      <c r="T16144" s="11"/>
    </row>
    <row r="16145" spans="8:20" x14ac:dyDescent="0.35">
      <c r="H16145" s="711"/>
      <c r="I16145" s="711"/>
      <c r="J16145" s="711"/>
      <c r="K16145" s="711"/>
      <c r="L16145" s="711"/>
      <c r="Q16145" s="11"/>
      <c r="R16145" s="11"/>
      <c r="S16145" s="11"/>
      <c r="T16145" s="11"/>
    </row>
    <row r="16146" spans="8:20" x14ac:dyDescent="0.35">
      <c r="H16146" s="711"/>
      <c r="I16146" s="711"/>
      <c r="J16146" s="711"/>
      <c r="K16146" s="711"/>
      <c r="L16146" s="711"/>
      <c r="Q16146" s="11"/>
      <c r="R16146" s="11"/>
      <c r="S16146" s="11"/>
      <c r="T16146" s="11"/>
    </row>
    <row r="16147" spans="8:20" x14ac:dyDescent="0.35">
      <c r="H16147" s="711"/>
      <c r="I16147" s="711"/>
      <c r="J16147" s="711"/>
      <c r="K16147" s="711"/>
      <c r="L16147" s="711"/>
      <c r="Q16147" s="11"/>
      <c r="R16147" s="11"/>
      <c r="S16147" s="11"/>
      <c r="T16147" s="11"/>
    </row>
    <row r="16148" spans="8:20" x14ac:dyDescent="0.35">
      <c r="H16148" s="711"/>
      <c r="I16148" s="711"/>
      <c r="J16148" s="711"/>
      <c r="K16148" s="711"/>
      <c r="L16148" s="711"/>
      <c r="Q16148" s="11"/>
      <c r="R16148" s="11"/>
      <c r="S16148" s="11"/>
      <c r="T16148" s="11"/>
    </row>
    <row r="16149" spans="8:20" x14ac:dyDescent="0.35">
      <c r="H16149" s="711"/>
      <c r="I16149" s="711"/>
      <c r="J16149" s="711"/>
      <c r="K16149" s="711"/>
      <c r="L16149" s="711"/>
      <c r="Q16149" s="11"/>
      <c r="R16149" s="11"/>
      <c r="S16149" s="11"/>
      <c r="T16149" s="11"/>
    </row>
    <row r="16150" spans="8:20" x14ac:dyDescent="0.35">
      <c r="H16150" s="711"/>
      <c r="I16150" s="711"/>
      <c r="J16150" s="711"/>
      <c r="K16150" s="711"/>
      <c r="L16150" s="711"/>
      <c r="Q16150" s="11"/>
      <c r="R16150" s="11"/>
      <c r="S16150" s="11"/>
      <c r="T16150" s="11"/>
    </row>
    <row r="16151" spans="8:20" x14ac:dyDescent="0.35">
      <c r="H16151" s="711"/>
      <c r="I16151" s="711"/>
      <c r="J16151" s="711"/>
      <c r="K16151" s="711"/>
      <c r="L16151" s="711"/>
      <c r="Q16151" s="11"/>
      <c r="R16151" s="11"/>
      <c r="S16151" s="11"/>
      <c r="T16151" s="11"/>
    </row>
    <row r="16152" spans="8:20" x14ac:dyDescent="0.35">
      <c r="H16152" s="711"/>
      <c r="I16152" s="711"/>
      <c r="J16152" s="711"/>
      <c r="K16152" s="711"/>
      <c r="L16152" s="711"/>
      <c r="Q16152" s="11"/>
      <c r="R16152" s="11"/>
      <c r="S16152" s="11"/>
      <c r="T16152" s="11"/>
    </row>
    <row r="16153" spans="8:20" x14ac:dyDescent="0.35">
      <c r="H16153" s="711"/>
      <c r="I16153" s="711"/>
      <c r="J16153" s="711"/>
      <c r="K16153" s="711"/>
      <c r="L16153" s="711"/>
      <c r="Q16153" s="11"/>
      <c r="R16153" s="11"/>
      <c r="S16153" s="11"/>
      <c r="T16153" s="11"/>
    </row>
    <row r="16154" spans="8:20" x14ac:dyDescent="0.35">
      <c r="H16154" s="711"/>
      <c r="I16154" s="711"/>
      <c r="J16154" s="711"/>
      <c r="K16154" s="711"/>
      <c r="L16154" s="711"/>
      <c r="Q16154" s="11"/>
      <c r="R16154" s="11"/>
      <c r="S16154" s="11"/>
      <c r="T16154" s="11"/>
    </row>
    <row r="16155" spans="8:20" x14ac:dyDescent="0.35">
      <c r="H16155" s="711"/>
      <c r="I16155" s="711"/>
      <c r="J16155" s="711"/>
      <c r="K16155" s="711"/>
      <c r="L16155" s="711"/>
      <c r="Q16155" s="11"/>
      <c r="R16155" s="11"/>
      <c r="S16155" s="11"/>
      <c r="T16155" s="11"/>
    </row>
    <row r="16156" spans="8:20" x14ac:dyDescent="0.35">
      <c r="H16156" s="711"/>
      <c r="I16156" s="711"/>
      <c r="J16156" s="711"/>
      <c r="K16156" s="711"/>
      <c r="L16156" s="711"/>
      <c r="Q16156" s="11"/>
      <c r="R16156" s="11"/>
      <c r="S16156" s="11"/>
      <c r="T16156" s="11"/>
    </row>
    <row r="16157" spans="8:20" x14ac:dyDescent="0.35">
      <c r="H16157" s="711"/>
      <c r="I16157" s="711"/>
      <c r="J16157" s="711"/>
      <c r="K16157" s="711"/>
      <c r="L16157" s="711"/>
      <c r="Q16157" s="11"/>
      <c r="R16157" s="11"/>
      <c r="S16157" s="11"/>
      <c r="T16157" s="11"/>
    </row>
    <row r="16158" spans="8:20" x14ac:dyDescent="0.35">
      <c r="H16158" s="711"/>
      <c r="I16158" s="711"/>
      <c r="J16158" s="711"/>
      <c r="K16158" s="711"/>
      <c r="L16158" s="711"/>
      <c r="Q16158" s="11"/>
      <c r="R16158" s="11"/>
      <c r="S16158" s="11"/>
      <c r="T16158" s="11"/>
    </row>
    <row r="16159" spans="8:20" x14ac:dyDescent="0.35">
      <c r="H16159" s="711"/>
      <c r="I16159" s="711"/>
      <c r="J16159" s="711"/>
      <c r="K16159" s="711"/>
      <c r="L16159" s="711"/>
      <c r="Q16159" s="11"/>
      <c r="R16159" s="11"/>
      <c r="S16159" s="11"/>
      <c r="T16159" s="11"/>
    </row>
    <row r="16160" spans="8:20" x14ac:dyDescent="0.35">
      <c r="H16160" s="711"/>
      <c r="I16160" s="711"/>
      <c r="J16160" s="711"/>
      <c r="K16160" s="711"/>
      <c r="L16160" s="711"/>
      <c r="Q16160" s="11"/>
      <c r="R16160" s="11"/>
      <c r="S16160" s="11"/>
      <c r="T16160" s="11"/>
    </row>
    <row r="16161" spans="8:20" x14ac:dyDescent="0.35">
      <c r="H16161" s="711"/>
      <c r="I16161" s="711"/>
      <c r="J16161" s="711"/>
      <c r="K16161" s="711"/>
      <c r="L16161" s="711"/>
      <c r="Q16161" s="11"/>
      <c r="R16161" s="11"/>
      <c r="S16161" s="11"/>
      <c r="T16161" s="11"/>
    </row>
    <row r="16162" spans="8:20" x14ac:dyDescent="0.35">
      <c r="H16162" s="711"/>
      <c r="I16162" s="711"/>
      <c r="J16162" s="711"/>
      <c r="K16162" s="711"/>
      <c r="L16162" s="711"/>
      <c r="Q16162" s="11"/>
      <c r="R16162" s="11"/>
      <c r="S16162" s="11"/>
      <c r="T16162" s="11"/>
    </row>
    <row r="16163" spans="8:20" x14ac:dyDescent="0.35">
      <c r="H16163" s="711"/>
      <c r="I16163" s="711"/>
      <c r="J16163" s="711"/>
      <c r="K16163" s="711"/>
      <c r="L16163" s="711"/>
      <c r="Q16163" s="11"/>
      <c r="R16163" s="11"/>
      <c r="S16163" s="11"/>
      <c r="T16163" s="11"/>
    </row>
    <row r="16164" spans="8:20" x14ac:dyDescent="0.35">
      <c r="H16164" s="711"/>
      <c r="I16164" s="711"/>
      <c r="J16164" s="711"/>
      <c r="K16164" s="711"/>
      <c r="L16164" s="711"/>
      <c r="Q16164" s="11"/>
      <c r="R16164" s="11"/>
      <c r="S16164" s="11"/>
      <c r="T16164" s="11"/>
    </row>
    <row r="16165" spans="8:20" x14ac:dyDescent="0.35">
      <c r="H16165" s="711"/>
      <c r="I16165" s="711"/>
      <c r="J16165" s="711"/>
      <c r="K16165" s="711"/>
      <c r="L16165" s="711"/>
      <c r="Q16165" s="11"/>
      <c r="R16165" s="11"/>
      <c r="S16165" s="11"/>
      <c r="T16165" s="11"/>
    </row>
    <row r="16166" spans="8:20" x14ac:dyDescent="0.35">
      <c r="H16166" s="711"/>
      <c r="I16166" s="711"/>
      <c r="J16166" s="711"/>
      <c r="K16166" s="711"/>
      <c r="L16166" s="711"/>
      <c r="Q16166" s="11"/>
      <c r="R16166" s="11"/>
      <c r="S16166" s="11"/>
      <c r="T16166" s="11"/>
    </row>
    <row r="16167" spans="8:20" x14ac:dyDescent="0.35">
      <c r="H16167" s="711"/>
      <c r="I16167" s="711"/>
      <c r="J16167" s="711"/>
      <c r="K16167" s="711"/>
      <c r="L16167" s="711"/>
      <c r="Q16167" s="11"/>
      <c r="R16167" s="11"/>
      <c r="S16167" s="11"/>
      <c r="T16167" s="11"/>
    </row>
    <row r="16168" spans="8:20" x14ac:dyDescent="0.35">
      <c r="H16168" s="711"/>
      <c r="I16168" s="711"/>
      <c r="J16168" s="711"/>
      <c r="K16168" s="711"/>
      <c r="L16168" s="711"/>
      <c r="Q16168" s="11"/>
      <c r="R16168" s="11"/>
      <c r="S16168" s="11"/>
      <c r="T16168" s="11"/>
    </row>
    <row r="16169" spans="8:20" x14ac:dyDescent="0.35">
      <c r="H16169" s="711"/>
      <c r="I16169" s="711"/>
      <c r="J16169" s="711"/>
      <c r="K16169" s="711"/>
      <c r="L16169" s="711"/>
      <c r="Q16169" s="11"/>
      <c r="R16169" s="11"/>
      <c r="S16169" s="11"/>
      <c r="T16169" s="11"/>
    </row>
    <row r="16170" spans="8:20" x14ac:dyDescent="0.35">
      <c r="H16170" s="711"/>
      <c r="I16170" s="711"/>
      <c r="J16170" s="711"/>
      <c r="K16170" s="711"/>
      <c r="L16170" s="711"/>
      <c r="Q16170" s="11"/>
      <c r="R16170" s="11"/>
      <c r="S16170" s="11"/>
      <c r="T16170" s="11"/>
    </row>
    <row r="16171" spans="8:20" x14ac:dyDescent="0.35">
      <c r="H16171" s="711"/>
      <c r="I16171" s="711"/>
      <c r="J16171" s="711"/>
      <c r="K16171" s="711"/>
      <c r="L16171" s="711"/>
      <c r="Q16171" s="11"/>
      <c r="R16171" s="11"/>
      <c r="S16171" s="11"/>
      <c r="T16171" s="11"/>
    </row>
    <row r="16172" spans="8:20" x14ac:dyDescent="0.35">
      <c r="H16172" s="711"/>
      <c r="I16172" s="711"/>
      <c r="J16172" s="711"/>
      <c r="K16172" s="711"/>
      <c r="L16172" s="711"/>
      <c r="Q16172" s="11"/>
      <c r="R16172" s="11"/>
      <c r="S16172" s="11"/>
      <c r="T16172" s="11"/>
    </row>
    <row r="16173" spans="8:20" x14ac:dyDescent="0.35">
      <c r="H16173" s="711"/>
      <c r="I16173" s="711"/>
      <c r="J16173" s="711"/>
      <c r="K16173" s="711"/>
      <c r="L16173" s="711"/>
      <c r="Q16173" s="11"/>
      <c r="R16173" s="11"/>
      <c r="S16173" s="11"/>
      <c r="T16173" s="11"/>
    </row>
    <row r="16174" spans="8:20" x14ac:dyDescent="0.35">
      <c r="H16174" s="711"/>
      <c r="I16174" s="711"/>
      <c r="J16174" s="711"/>
      <c r="K16174" s="711"/>
      <c r="L16174" s="711"/>
      <c r="Q16174" s="11"/>
      <c r="R16174" s="11"/>
      <c r="S16174" s="11"/>
      <c r="T16174" s="11"/>
    </row>
    <row r="16175" spans="8:20" x14ac:dyDescent="0.35">
      <c r="H16175" s="711"/>
      <c r="I16175" s="711"/>
      <c r="J16175" s="711"/>
      <c r="K16175" s="711"/>
      <c r="L16175" s="711"/>
      <c r="Q16175" s="11"/>
      <c r="R16175" s="11"/>
      <c r="S16175" s="11"/>
      <c r="T16175" s="11"/>
    </row>
    <row r="16176" spans="8:20" x14ac:dyDescent="0.35">
      <c r="H16176" s="711"/>
      <c r="I16176" s="711"/>
      <c r="J16176" s="711"/>
      <c r="K16176" s="711"/>
      <c r="L16176" s="711"/>
      <c r="Q16176" s="11"/>
      <c r="R16176" s="11"/>
      <c r="S16176" s="11"/>
      <c r="T16176" s="11"/>
    </row>
    <row r="16177" spans="8:20" x14ac:dyDescent="0.35">
      <c r="H16177" s="711"/>
      <c r="I16177" s="711"/>
      <c r="J16177" s="711"/>
      <c r="K16177" s="711"/>
      <c r="L16177" s="711"/>
      <c r="Q16177" s="11"/>
      <c r="R16177" s="11"/>
      <c r="S16177" s="11"/>
      <c r="T16177" s="11"/>
    </row>
    <row r="16178" spans="8:20" x14ac:dyDescent="0.35">
      <c r="H16178" s="711"/>
      <c r="I16178" s="711"/>
      <c r="J16178" s="711"/>
      <c r="K16178" s="711"/>
      <c r="L16178" s="711"/>
      <c r="Q16178" s="11"/>
      <c r="R16178" s="11"/>
      <c r="S16178" s="11"/>
      <c r="T16178" s="11"/>
    </row>
    <row r="16179" spans="8:20" x14ac:dyDescent="0.35">
      <c r="H16179" s="711"/>
      <c r="I16179" s="711"/>
      <c r="J16179" s="711"/>
      <c r="K16179" s="711"/>
      <c r="L16179" s="711"/>
      <c r="Q16179" s="11"/>
      <c r="R16179" s="11"/>
      <c r="S16179" s="11"/>
      <c r="T16179" s="11"/>
    </row>
    <row r="16180" spans="8:20" x14ac:dyDescent="0.35">
      <c r="H16180" s="711"/>
      <c r="I16180" s="711"/>
      <c r="J16180" s="711"/>
      <c r="K16180" s="711"/>
      <c r="L16180" s="711"/>
      <c r="Q16180" s="11"/>
      <c r="R16180" s="11"/>
      <c r="S16180" s="11"/>
      <c r="T16180" s="11"/>
    </row>
    <row r="16181" spans="8:20" x14ac:dyDescent="0.35">
      <c r="H16181" s="711"/>
      <c r="I16181" s="711"/>
      <c r="J16181" s="711"/>
      <c r="K16181" s="711"/>
      <c r="L16181" s="711"/>
      <c r="Q16181" s="11"/>
      <c r="R16181" s="11"/>
      <c r="S16181" s="11"/>
      <c r="T16181" s="11"/>
    </row>
    <row r="16182" spans="8:20" x14ac:dyDescent="0.35">
      <c r="H16182" s="711"/>
      <c r="I16182" s="711"/>
      <c r="J16182" s="711"/>
      <c r="K16182" s="711"/>
      <c r="L16182" s="711"/>
      <c r="Q16182" s="11"/>
      <c r="R16182" s="11"/>
      <c r="S16182" s="11"/>
      <c r="T16182" s="11"/>
    </row>
    <row r="16183" spans="8:20" x14ac:dyDescent="0.35">
      <c r="H16183" s="711"/>
      <c r="I16183" s="711"/>
      <c r="J16183" s="711"/>
      <c r="K16183" s="711"/>
      <c r="L16183" s="711"/>
      <c r="Q16183" s="11"/>
      <c r="R16183" s="11"/>
      <c r="S16183" s="11"/>
      <c r="T16183" s="11"/>
    </row>
    <row r="16184" spans="8:20" x14ac:dyDescent="0.35">
      <c r="H16184" s="711"/>
      <c r="I16184" s="711"/>
      <c r="J16184" s="711"/>
      <c r="K16184" s="711"/>
      <c r="L16184" s="711"/>
      <c r="Q16184" s="11"/>
      <c r="R16184" s="11"/>
      <c r="S16184" s="11"/>
      <c r="T16184" s="11"/>
    </row>
    <row r="16185" spans="8:20" x14ac:dyDescent="0.35">
      <c r="H16185" s="711"/>
      <c r="I16185" s="711"/>
      <c r="J16185" s="711"/>
      <c r="K16185" s="711"/>
      <c r="L16185" s="711"/>
      <c r="Q16185" s="11"/>
      <c r="R16185" s="11"/>
      <c r="S16185" s="11"/>
      <c r="T16185" s="11"/>
    </row>
    <row r="16186" spans="8:20" x14ac:dyDescent="0.35">
      <c r="H16186" s="711"/>
      <c r="I16186" s="711"/>
      <c r="J16186" s="711"/>
      <c r="K16186" s="711"/>
      <c r="L16186" s="711"/>
      <c r="Q16186" s="11"/>
      <c r="R16186" s="11"/>
      <c r="S16186" s="11"/>
      <c r="T16186" s="11"/>
    </row>
    <row r="16187" spans="8:20" x14ac:dyDescent="0.35">
      <c r="H16187" s="711"/>
      <c r="I16187" s="711"/>
      <c r="J16187" s="711"/>
      <c r="K16187" s="711"/>
      <c r="L16187" s="711"/>
      <c r="Q16187" s="11"/>
      <c r="R16187" s="11"/>
      <c r="S16187" s="11"/>
      <c r="T16187" s="11"/>
    </row>
    <row r="16188" spans="8:20" x14ac:dyDescent="0.35">
      <c r="H16188" s="711"/>
      <c r="I16188" s="711"/>
      <c r="J16188" s="711"/>
      <c r="K16188" s="711"/>
      <c r="L16188" s="711"/>
      <c r="Q16188" s="11"/>
      <c r="R16188" s="11"/>
      <c r="S16188" s="11"/>
      <c r="T16188" s="11"/>
    </row>
    <row r="16189" spans="8:20" x14ac:dyDescent="0.35">
      <c r="H16189" s="711"/>
      <c r="I16189" s="711"/>
      <c r="J16189" s="711"/>
      <c r="K16189" s="711"/>
      <c r="L16189" s="711"/>
      <c r="Q16189" s="11"/>
      <c r="R16189" s="11"/>
      <c r="S16189" s="11"/>
      <c r="T16189" s="11"/>
    </row>
    <row r="16190" spans="8:20" x14ac:dyDescent="0.35">
      <c r="H16190" s="711"/>
      <c r="I16190" s="711"/>
      <c r="J16190" s="711"/>
      <c r="K16190" s="711"/>
      <c r="L16190" s="711"/>
      <c r="Q16190" s="11"/>
      <c r="R16190" s="11"/>
      <c r="S16190" s="11"/>
      <c r="T16190" s="11"/>
    </row>
    <row r="16191" spans="8:20" x14ac:dyDescent="0.35">
      <c r="H16191" s="711"/>
      <c r="I16191" s="711"/>
      <c r="J16191" s="711"/>
      <c r="K16191" s="711"/>
      <c r="L16191" s="711"/>
      <c r="Q16191" s="11"/>
      <c r="R16191" s="11"/>
      <c r="S16191" s="11"/>
      <c r="T16191" s="11"/>
    </row>
    <row r="16192" spans="8:20" x14ac:dyDescent="0.35">
      <c r="H16192" s="711"/>
      <c r="I16192" s="711"/>
      <c r="J16192" s="711"/>
      <c r="K16192" s="711"/>
      <c r="L16192" s="711"/>
      <c r="Q16192" s="11"/>
      <c r="R16192" s="11"/>
      <c r="S16192" s="11"/>
      <c r="T16192" s="11"/>
    </row>
    <row r="16193" spans="8:20" x14ac:dyDescent="0.35">
      <c r="H16193" s="711"/>
      <c r="I16193" s="711"/>
      <c r="J16193" s="711"/>
      <c r="K16193" s="711"/>
      <c r="L16193" s="711"/>
      <c r="Q16193" s="11"/>
      <c r="R16193" s="11"/>
      <c r="S16193" s="11"/>
      <c r="T16193" s="11"/>
    </row>
    <row r="16194" spans="8:20" x14ac:dyDescent="0.35">
      <c r="H16194" s="711"/>
      <c r="I16194" s="711"/>
      <c r="J16194" s="711"/>
      <c r="K16194" s="711"/>
      <c r="L16194" s="711"/>
      <c r="Q16194" s="11"/>
      <c r="R16194" s="11"/>
      <c r="S16194" s="11"/>
      <c r="T16194" s="11"/>
    </row>
    <row r="16195" spans="8:20" x14ac:dyDescent="0.35">
      <c r="H16195" s="711"/>
      <c r="I16195" s="711"/>
      <c r="J16195" s="711"/>
      <c r="K16195" s="711"/>
      <c r="L16195" s="711"/>
      <c r="Q16195" s="11"/>
      <c r="R16195" s="11"/>
      <c r="S16195" s="11"/>
      <c r="T16195" s="11"/>
    </row>
    <row r="16196" spans="8:20" x14ac:dyDescent="0.35">
      <c r="H16196" s="711"/>
      <c r="I16196" s="711"/>
      <c r="J16196" s="711"/>
      <c r="K16196" s="711"/>
      <c r="L16196" s="711"/>
      <c r="Q16196" s="11"/>
      <c r="R16196" s="11"/>
      <c r="S16196" s="11"/>
      <c r="T16196" s="11"/>
    </row>
    <row r="16197" spans="8:20" x14ac:dyDescent="0.35">
      <c r="H16197" s="711"/>
      <c r="I16197" s="711"/>
      <c r="J16197" s="711"/>
      <c r="K16197" s="711"/>
      <c r="L16197" s="711"/>
      <c r="Q16197" s="11"/>
      <c r="R16197" s="11"/>
      <c r="S16197" s="11"/>
      <c r="T16197" s="11"/>
    </row>
    <row r="16198" spans="8:20" x14ac:dyDescent="0.35">
      <c r="H16198" s="711"/>
      <c r="I16198" s="711"/>
      <c r="J16198" s="711"/>
      <c r="K16198" s="711"/>
      <c r="L16198" s="711"/>
      <c r="Q16198" s="11"/>
      <c r="R16198" s="11"/>
      <c r="S16198" s="11"/>
      <c r="T16198" s="11"/>
    </row>
    <row r="16199" spans="8:20" x14ac:dyDescent="0.35">
      <c r="H16199" s="711"/>
      <c r="I16199" s="711"/>
      <c r="J16199" s="711"/>
      <c r="K16199" s="711"/>
      <c r="L16199" s="711"/>
      <c r="Q16199" s="11"/>
      <c r="R16199" s="11"/>
      <c r="S16199" s="11"/>
      <c r="T16199" s="11"/>
    </row>
    <row r="16200" spans="8:20" x14ac:dyDescent="0.35">
      <c r="H16200" s="711"/>
      <c r="I16200" s="711"/>
      <c r="J16200" s="711"/>
      <c r="K16200" s="711"/>
      <c r="L16200" s="711"/>
      <c r="Q16200" s="11"/>
      <c r="R16200" s="11"/>
      <c r="S16200" s="11"/>
      <c r="T16200" s="11"/>
    </row>
    <row r="16201" spans="8:20" x14ac:dyDescent="0.35">
      <c r="H16201" s="711"/>
      <c r="I16201" s="711"/>
      <c r="J16201" s="711"/>
      <c r="K16201" s="711"/>
      <c r="L16201" s="711"/>
      <c r="Q16201" s="11"/>
      <c r="R16201" s="11"/>
      <c r="S16201" s="11"/>
      <c r="T16201" s="11"/>
    </row>
    <row r="16202" spans="8:20" x14ac:dyDescent="0.35">
      <c r="H16202" s="711"/>
      <c r="I16202" s="711"/>
      <c r="J16202" s="711"/>
      <c r="K16202" s="711"/>
      <c r="L16202" s="711"/>
      <c r="Q16202" s="11"/>
      <c r="R16202" s="11"/>
      <c r="S16202" s="11"/>
      <c r="T16202" s="11"/>
    </row>
    <row r="16203" spans="8:20" x14ac:dyDescent="0.35">
      <c r="H16203" s="711"/>
      <c r="I16203" s="711"/>
      <c r="J16203" s="711"/>
      <c r="K16203" s="711"/>
      <c r="L16203" s="711"/>
      <c r="Q16203" s="11"/>
      <c r="R16203" s="11"/>
      <c r="S16203" s="11"/>
      <c r="T16203" s="11"/>
    </row>
    <row r="16204" spans="8:20" x14ac:dyDescent="0.35">
      <c r="H16204" s="711"/>
      <c r="I16204" s="711"/>
      <c r="J16204" s="711"/>
      <c r="K16204" s="711"/>
      <c r="L16204" s="711"/>
      <c r="Q16204" s="11"/>
      <c r="R16204" s="11"/>
      <c r="S16204" s="11"/>
      <c r="T16204" s="11"/>
    </row>
    <row r="16205" spans="8:20" x14ac:dyDescent="0.35">
      <c r="H16205" s="711"/>
      <c r="I16205" s="711"/>
      <c r="J16205" s="711"/>
      <c r="K16205" s="711"/>
      <c r="L16205" s="711"/>
      <c r="Q16205" s="11"/>
      <c r="R16205" s="11"/>
      <c r="S16205" s="11"/>
      <c r="T16205" s="11"/>
    </row>
    <row r="16206" spans="8:20" x14ac:dyDescent="0.35">
      <c r="H16206" s="711"/>
      <c r="I16206" s="711"/>
      <c r="J16206" s="711"/>
      <c r="K16206" s="711"/>
      <c r="L16206" s="711"/>
      <c r="Q16206" s="11"/>
      <c r="R16206" s="11"/>
      <c r="S16206" s="11"/>
      <c r="T16206" s="11"/>
    </row>
    <row r="16207" spans="8:20" x14ac:dyDescent="0.35">
      <c r="H16207" s="711"/>
      <c r="I16207" s="711"/>
      <c r="J16207" s="711"/>
      <c r="K16207" s="711"/>
      <c r="L16207" s="711"/>
      <c r="Q16207" s="11"/>
      <c r="R16207" s="11"/>
      <c r="S16207" s="11"/>
      <c r="T16207" s="11"/>
    </row>
    <row r="16208" spans="8:20" x14ac:dyDescent="0.35">
      <c r="H16208" s="711"/>
      <c r="I16208" s="711"/>
      <c r="J16208" s="711"/>
      <c r="K16208" s="711"/>
      <c r="L16208" s="711"/>
      <c r="Q16208" s="11"/>
      <c r="R16208" s="11"/>
      <c r="S16208" s="11"/>
      <c r="T16208" s="11"/>
    </row>
    <row r="16209" spans="8:20" x14ac:dyDescent="0.35">
      <c r="H16209" s="711"/>
      <c r="I16209" s="711"/>
      <c r="J16209" s="711"/>
      <c r="K16209" s="711"/>
      <c r="L16209" s="711"/>
      <c r="Q16209" s="11"/>
      <c r="R16209" s="11"/>
      <c r="S16209" s="11"/>
      <c r="T16209" s="11"/>
    </row>
    <row r="16210" spans="8:20" x14ac:dyDescent="0.35">
      <c r="H16210" s="711"/>
      <c r="I16210" s="711"/>
      <c r="J16210" s="711"/>
      <c r="K16210" s="711"/>
      <c r="L16210" s="711"/>
      <c r="Q16210" s="11"/>
      <c r="R16210" s="11"/>
      <c r="S16210" s="11"/>
      <c r="T16210" s="11"/>
    </row>
    <row r="16211" spans="8:20" x14ac:dyDescent="0.35">
      <c r="H16211" s="711"/>
      <c r="I16211" s="711"/>
      <c r="J16211" s="711"/>
      <c r="K16211" s="711"/>
      <c r="L16211" s="711"/>
      <c r="Q16211" s="11"/>
      <c r="R16211" s="11"/>
      <c r="S16211" s="11"/>
      <c r="T16211" s="11"/>
    </row>
    <row r="16212" spans="8:20" x14ac:dyDescent="0.35">
      <c r="H16212" s="711"/>
      <c r="I16212" s="711"/>
      <c r="J16212" s="711"/>
      <c r="K16212" s="711"/>
      <c r="L16212" s="711"/>
      <c r="Q16212" s="11"/>
      <c r="R16212" s="11"/>
      <c r="S16212" s="11"/>
      <c r="T16212" s="11"/>
    </row>
    <row r="16213" spans="8:20" x14ac:dyDescent="0.35">
      <c r="H16213" s="711"/>
      <c r="I16213" s="711"/>
      <c r="J16213" s="711"/>
      <c r="K16213" s="711"/>
      <c r="L16213" s="711"/>
      <c r="Q16213" s="11"/>
      <c r="R16213" s="11"/>
      <c r="S16213" s="11"/>
      <c r="T16213" s="11"/>
    </row>
    <row r="16214" spans="8:20" x14ac:dyDescent="0.35">
      <c r="H16214" s="711"/>
      <c r="I16214" s="711"/>
      <c r="J16214" s="711"/>
      <c r="K16214" s="711"/>
      <c r="L16214" s="711"/>
      <c r="Q16214" s="11"/>
      <c r="R16214" s="11"/>
      <c r="S16214" s="11"/>
      <c r="T16214" s="11"/>
    </row>
    <row r="16215" spans="8:20" x14ac:dyDescent="0.35">
      <c r="H16215" s="711"/>
      <c r="I16215" s="711"/>
      <c r="J16215" s="711"/>
      <c r="K16215" s="711"/>
      <c r="L16215" s="711"/>
      <c r="Q16215" s="11"/>
      <c r="R16215" s="11"/>
      <c r="S16215" s="11"/>
      <c r="T16215" s="11"/>
    </row>
    <row r="16216" spans="8:20" x14ac:dyDescent="0.35">
      <c r="H16216" s="711"/>
      <c r="I16216" s="711"/>
      <c r="J16216" s="711"/>
      <c r="K16216" s="711"/>
      <c r="L16216" s="711"/>
      <c r="Q16216" s="11"/>
      <c r="R16216" s="11"/>
      <c r="S16216" s="11"/>
      <c r="T16216" s="11"/>
    </row>
    <row r="16217" spans="8:20" x14ac:dyDescent="0.35">
      <c r="H16217" s="711"/>
      <c r="I16217" s="711"/>
      <c r="J16217" s="711"/>
      <c r="K16217" s="711"/>
      <c r="L16217" s="711"/>
      <c r="Q16217" s="11"/>
      <c r="R16217" s="11"/>
      <c r="S16217" s="11"/>
      <c r="T16217" s="11"/>
    </row>
    <row r="16218" spans="8:20" x14ac:dyDescent="0.35">
      <c r="H16218" s="711"/>
      <c r="I16218" s="711"/>
      <c r="J16218" s="711"/>
      <c r="K16218" s="711"/>
      <c r="L16218" s="711"/>
      <c r="Q16218" s="11"/>
      <c r="R16218" s="11"/>
      <c r="S16218" s="11"/>
      <c r="T16218" s="11"/>
    </row>
    <row r="16219" spans="8:20" x14ac:dyDescent="0.35">
      <c r="H16219" s="711"/>
      <c r="I16219" s="711"/>
      <c r="J16219" s="711"/>
      <c r="K16219" s="711"/>
      <c r="L16219" s="711"/>
      <c r="Q16219" s="11"/>
      <c r="R16219" s="11"/>
      <c r="S16219" s="11"/>
      <c r="T16219" s="11"/>
    </row>
    <row r="16220" spans="8:20" x14ac:dyDescent="0.35">
      <c r="H16220" s="711"/>
      <c r="I16220" s="711"/>
      <c r="J16220" s="711"/>
      <c r="K16220" s="711"/>
      <c r="L16220" s="711"/>
      <c r="Q16220" s="11"/>
      <c r="R16220" s="11"/>
      <c r="S16220" s="11"/>
      <c r="T16220" s="11"/>
    </row>
    <row r="16221" spans="8:20" x14ac:dyDescent="0.35">
      <c r="H16221" s="711"/>
      <c r="I16221" s="711"/>
      <c r="J16221" s="711"/>
      <c r="K16221" s="711"/>
      <c r="L16221" s="711"/>
      <c r="Q16221" s="11"/>
      <c r="R16221" s="11"/>
      <c r="S16221" s="11"/>
      <c r="T16221" s="11"/>
    </row>
    <row r="16222" spans="8:20" x14ac:dyDescent="0.35">
      <c r="H16222" s="711"/>
      <c r="I16222" s="711"/>
      <c r="J16222" s="711"/>
      <c r="K16222" s="711"/>
      <c r="L16222" s="711"/>
      <c r="Q16222" s="11"/>
      <c r="R16222" s="11"/>
      <c r="S16222" s="11"/>
      <c r="T16222" s="11"/>
    </row>
    <row r="16223" spans="8:20" x14ac:dyDescent="0.35">
      <c r="H16223" s="711"/>
      <c r="I16223" s="711"/>
      <c r="J16223" s="711"/>
      <c r="K16223" s="711"/>
      <c r="L16223" s="711"/>
      <c r="Q16223" s="11"/>
      <c r="R16223" s="11"/>
      <c r="S16223" s="11"/>
      <c r="T16223" s="11"/>
    </row>
    <row r="16224" spans="8:20" x14ac:dyDescent="0.35">
      <c r="H16224" s="711"/>
      <c r="I16224" s="711"/>
      <c r="J16224" s="711"/>
      <c r="K16224" s="711"/>
      <c r="L16224" s="711"/>
      <c r="Q16224" s="11"/>
      <c r="R16224" s="11"/>
      <c r="S16224" s="11"/>
      <c r="T16224" s="11"/>
    </row>
    <row r="16225" spans="8:20" x14ac:dyDescent="0.35">
      <c r="H16225" s="711"/>
      <c r="I16225" s="711"/>
      <c r="J16225" s="711"/>
      <c r="K16225" s="711"/>
      <c r="L16225" s="711"/>
      <c r="Q16225" s="11"/>
      <c r="R16225" s="11"/>
      <c r="S16225" s="11"/>
      <c r="T16225" s="11"/>
    </row>
    <row r="16226" spans="8:20" x14ac:dyDescent="0.35">
      <c r="H16226" s="711"/>
      <c r="I16226" s="711"/>
      <c r="J16226" s="711"/>
      <c r="K16226" s="711"/>
      <c r="L16226" s="711"/>
      <c r="Q16226" s="11"/>
      <c r="R16226" s="11"/>
      <c r="S16226" s="11"/>
      <c r="T16226" s="11"/>
    </row>
    <row r="16227" spans="8:20" x14ac:dyDescent="0.35">
      <c r="H16227" s="711"/>
      <c r="I16227" s="711"/>
      <c r="J16227" s="711"/>
      <c r="K16227" s="711"/>
      <c r="L16227" s="711"/>
      <c r="Q16227" s="11"/>
      <c r="R16227" s="11"/>
      <c r="S16227" s="11"/>
      <c r="T16227" s="11"/>
    </row>
    <row r="16228" spans="8:20" x14ac:dyDescent="0.35">
      <c r="H16228" s="711"/>
      <c r="I16228" s="711"/>
      <c r="J16228" s="711"/>
      <c r="K16228" s="711"/>
      <c r="L16228" s="711"/>
      <c r="Q16228" s="11"/>
      <c r="R16228" s="11"/>
      <c r="S16228" s="11"/>
      <c r="T16228" s="11"/>
    </row>
    <row r="16229" spans="8:20" x14ac:dyDescent="0.35">
      <c r="H16229" s="711"/>
      <c r="I16229" s="711"/>
      <c r="J16229" s="711"/>
      <c r="K16229" s="711"/>
      <c r="L16229" s="711"/>
      <c r="Q16229" s="11"/>
      <c r="R16229" s="11"/>
      <c r="S16229" s="11"/>
      <c r="T16229" s="11"/>
    </row>
    <row r="16230" spans="8:20" x14ac:dyDescent="0.35">
      <c r="H16230" s="711"/>
      <c r="I16230" s="711"/>
      <c r="J16230" s="711"/>
      <c r="K16230" s="711"/>
      <c r="L16230" s="711"/>
      <c r="Q16230" s="11"/>
      <c r="R16230" s="11"/>
      <c r="S16230" s="11"/>
      <c r="T16230" s="11"/>
    </row>
    <row r="16231" spans="8:20" x14ac:dyDescent="0.35">
      <c r="H16231" s="711"/>
      <c r="I16231" s="711"/>
      <c r="J16231" s="711"/>
      <c r="K16231" s="711"/>
      <c r="L16231" s="711"/>
      <c r="Q16231" s="11"/>
      <c r="R16231" s="11"/>
      <c r="S16231" s="11"/>
      <c r="T16231" s="11"/>
    </row>
    <row r="16232" spans="8:20" x14ac:dyDescent="0.35">
      <c r="H16232" s="711"/>
      <c r="I16232" s="711"/>
      <c r="J16232" s="711"/>
      <c r="K16232" s="711"/>
      <c r="L16232" s="711"/>
      <c r="Q16232" s="11"/>
      <c r="R16232" s="11"/>
      <c r="S16232" s="11"/>
      <c r="T16232" s="11"/>
    </row>
    <row r="16233" spans="8:20" x14ac:dyDescent="0.35">
      <c r="H16233" s="711"/>
      <c r="I16233" s="711"/>
      <c r="J16233" s="711"/>
      <c r="K16233" s="711"/>
      <c r="L16233" s="711"/>
      <c r="Q16233" s="11"/>
      <c r="R16233" s="11"/>
      <c r="S16233" s="11"/>
      <c r="T16233" s="11"/>
    </row>
    <row r="16234" spans="8:20" x14ac:dyDescent="0.35">
      <c r="H16234" s="711"/>
      <c r="I16234" s="711"/>
      <c r="J16234" s="711"/>
      <c r="K16234" s="711"/>
      <c r="L16234" s="711"/>
      <c r="Q16234" s="11"/>
      <c r="R16234" s="11"/>
      <c r="S16234" s="11"/>
      <c r="T16234" s="11"/>
    </row>
    <row r="16235" spans="8:20" x14ac:dyDescent="0.35">
      <c r="H16235" s="711"/>
      <c r="I16235" s="711"/>
      <c r="J16235" s="711"/>
      <c r="K16235" s="711"/>
      <c r="L16235" s="711"/>
      <c r="Q16235" s="11"/>
      <c r="R16235" s="11"/>
      <c r="S16235" s="11"/>
      <c r="T16235" s="11"/>
    </row>
    <row r="16236" spans="8:20" x14ac:dyDescent="0.35">
      <c r="H16236" s="711"/>
      <c r="I16236" s="711"/>
      <c r="J16236" s="711"/>
      <c r="K16236" s="711"/>
      <c r="L16236" s="711"/>
      <c r="Q16236" s="11"/>
      <c r="R16236" s="11"/>
      <c r="S16236" s="11"/>
      <c r="T16236" s="11"/>
    </row>
    <row r="16237" spans="8:20" x14ac:dyDescent="0.35">
      <c r="H16237" s="711"/>
      <c r="I16237" s="711"/>
      <c r="J16237" s="711"/>
      <c r="K16237" s="711"/>
      <c r="L16237" s="711"/>
      <c r="Q16237" s="11"/>
      <c r="R16237" s="11"/>
      <c r="S16237" s="11"/>
      <c r="T16237" s="11"/>
    </row>
    <row r="16238" spans="8:20" x14ac:dyDescent="0.35">
      <c r="H16238" s="711"/>
      <c r="I16238" s="711"/>
      <c r="J16238" s="711"/>
      <c r="K16238" s="711"/>
      <c r="L16238" s="711"/>
      <c r="Q16238" s="11"/>
      <c r="R16238" s="11"/>
      <c r="S16238" s="11"/>
      <c r="T16238" s="11"/>
    </row>
    <row r="16239" spans="8:20" x14ac:dyDescent="0.35">
      <c r="H16239" s="711"/>
      <c r="I16239" s="711"/>
      <c r="J16239" s="711"/>
      <c r="K16239" s="711"/>
      <c r="L16239" s="711"/>
      <c r="Q16239" s="11"/>
      <c r="R16239" s="11"/>
      <c r="S16239" s="11"/>
      <c r="T16239" s="11"/>
    </row>
    <row r="16240" spans="8:20" x14ac:dyDescent="0.35">
      <c r="H16240" s="711"/>
      <c r="I16240" s="711"/>
      <c r="J16240" s="711"/>
      <c r="K16240" s="711"/>
      <c r="L16240" s="711"/>
      <c r="Q16240" s="11"/>
      <c r="R16240" s="11"/>
      <c r="S16240" s="11"/>
      <c r="T16240" s="11"/>
    </row>
    <row r="16241" spans="8:20" x14ac:dyDescent="0.35">
      <c r="H16241" s="711"/>
      <c r="I16241" s="711"/>
      <c r="J16241" s="711"/>
      <c r="K16241" s="711"/>
      <c r="L16241" s="711"/>
      <c r="Q16241" s="11"/>
      <c r="R16241" s="11"/>
      <c r="S16241" s="11"/>
      <c r="T16241" s="11"/>
    </row>
    <row r="16242" spans="8:20" x14ac:dyDescent="0.35">
      <c r="H16242" s="711"/>
      <c r="I16242" s="711"/>
      <c r="J16242" s="711"/>
      <c r="K16242" s="711"/>
      <c r="L16242" s="711"/>
      <c r="Q16242" s="11"/>
      <c r="R16242" s="11"/>
      <c r="S16242" s="11"/>
      <c r="T16242" s="11"/>
    </row>
    <row r="16243" spans="8:20" x14ac:dyDescent="0.35">
      <c r="H16243" s="711"/>
      <c r="I16243" s="711"/>
      <c r="J16243" s="711"/>
      <c r="K16243" s="711"/>
      <c r="L16243" s="711"/>
      <c r="Q16243" s="11"/>
      <c r="R16243" s="11"/>
      <c r="S16243" s="11"/>
      <c r="T16243" s="11"/>
    </row>
    <row r="16244" spans="8:20" x14ac:dyDescent="0.35">
      <c r="H16244" s="711"/>
      <c r="I16244" s="711"/>
      <c r="J16244" s="711"/>
      <c r="K16244" s="711"/>
      <c r="L16244" s="711"/>
      <c r="Q16244" s="11"/>
      <c r="R16244" s="11"/>
      <c r="S16244" s="11"/>
      <c r="T16244" s="11"/>
    </row>
    <row r="16245" spans="8:20" x14ac:dyDescent="0.35">
      <c r="H16245" s="711"/>
      <c r="I16245" s="711"/>
      <c r="J16245" s="711"/>
      <c r="K16245" s="711"/>
      <c r="L16245" s="711"/>
      <c r="Q16245" s="11"/>
      <c r="R16245" s="11"/>
      <c r="S16245" s="11"/>
      <c r="T16245" s="11"/>
    </row>
    <row r="16246" spans="8:20" x14ac:dyDescent="0.35">
      <c r="H16246" s="711"/>
      <c r="I16246" s="711"/>
      <c r="J16246" s="711"/>
      <c r="K16246" s="711"/>
      <c r="L16246" s="711"/>
      <c r="Q16246" s="11"/>
      <c r="R16246" s="11"/>
      <c r="S16246" s="11"/>
      <c r="T16246" s="11"/>
    </row>
    <row r="16247" spans="8:20" x14ac:dyDescent="0.35">
      <c r="H16247" s="711"/>
      <c r="I16247" s="711"/>
      <c r="J16247" s="711"/>
      <c r="K16247" s="711"/>
      <c r="L16247" s="711"/>
      <c r="Q16247" s="11"/>
      <c r="R16247" s="11"/>
      <c r="S16247" s="11"/>
      <c r="T16247" s="11"/>
    </row>
    <row r="16248" spans="8:20" x14ac:dyDescent="0.35">
      <c r="H16248" s="711"/>
      <c r="I16248" s="711"/>
      <c r="J16248" s="711"/>
      <c r="K16248" s="711"/>
      <c r="L16248" s="711"/>
      <c r="Q16248" s="11"/>
      <c r="R16248" s="11"/>
      <c r="S16248" s="11"/>
      <c r="T16248" s="11"/>
    </row>
    <row r="16249" spans="8:20" x14ac:dyDescent="0.35">
      <c r="H16249" s="711"/>
      <c r="I16249" s="711"/>
      <c r="J16249" s="711"/>
      <c r="K16249" s="711"/>
      <c r="L16249" s="711"/>
      <c r="Q16249" s="11"/>
      <c r="R16249" s="11"/>
      <c r="S16249" s="11"/>
      <c r="T16249" s="11"/>
    </row>
    <row r="16250" spans="8:20" x14ac:dyDescent="0.35">
      <c r="H16250" s="711"/>
      <c r="I16250" s="711"/>
      <c r="J16250" s="711"/>
      <c r="K16250" s="711"/>
      <c r="L16250" s="711"/>
      <c r="Q16250" s="11"/>
      <c r="R16250" s="11"/>
      <c r="S16250" s="11"/>
      <c r="T16250" s="11"/>
    </row>
    <row r="16251" spans="8:20" x14ac:dyDescent="0.35">
      <c r="H16251" s="711"/>
      <c r="I16251" s="711"/>
      <c r="J16251" s="711"/>
      <c r="K16251" s="711"/>
      <c r="L16251" s="711"/>
      <c r="Q16251" s="11"/>
      <c r="R16251" s="11"/>
      <c r="S16251" s="11"/>
      <c r="T16251" s="11"/>
    </row>
    <row r="16252" spans="8:20" x14ac:dyDescent="0.35">
      <c r="H16252" s="711"/>
      <c r="I16252" s="711"/>
      <c r="J16252" s="711"/>
      <c r="K16252" s="711"/>
      <c r="L16252" s="711"/>
      <c r="Q16252" s="11"/>
      <c r="R16252" s="11"/>
      <c r="S16252" s="11"/>
      <c r="T16252" s="11"/>
    </row>
    <row r="16253" spans="8:20" x14ac:dyDescent="0.35">
      <c r="H16253" s="711"/>
      <c r="I16253" s="711"/>
      <c r="J16253" s="711"/>
      <c r="K16253" s="711"/>
      <c r="L16253" s="711"/>
      <c r="Q16253" s="11"/>
      <c r="R16253" s="11"/>
      <c r="S16253" s="11"/>
      <c r="T16253" s="11"/>
    </row>
    <row r="16254" spans="8:20" x14ac:dyDescent="0.35">
      <c r="H16254" s="711"/>
      <c r="I16254" s="711"/>
      <c r="J16254" s="711"/>
      <c r="K16254" s="711"/>
      <c r="L16254" s="711"/>
      <c r="Q16254" s="11"/>
      <c r="R16254" s="11"/>
      <c r="S16254" s="11"/>
      <c r="T16254" s="11"/>
    </row>
    <row r="16255" spans="8:20" x14ac:dyDescent="0.35">
      <c r="H16255" s="711"/>
      <c r="I16255" s="711"/>
      <c r="J16255" s="711"/>
      <c r="K16255" s="711"/>
      <c r="L16255" s="711"/>
      <c r="Q16255" s="11"/>
      <c r="R16255" s="11"/>
      <c r="S16255" s="11"/>
      <c r="T16255" s="11"/>
    </row>
    <row r="16256" spans="8:20" x14ac:dyDescent="0.35">
      <c r="H16256" s="711"/>
      <c r="I16256" s="711"/>
      <c r="J16256" s="711"/>
      <c r="K16256" s="711"/>
      <c r="L16256" s="711"/>
      <c r="Q16256" s="11"/>
      <c r="R16256" s="11"/>
      <c r="S16256" s="11"/>
      <c r="T16256" s="11"/>
    </row>
    <row r="16257" spans="8:20" x14ac:dyDescent="0.35">
      <c r="H16257" s="711"/>
      <c r="I16257" s="711"/>
      <c r="J16257" s="711"/>
      <c r="K16257" s="711"/>
      <c r="L16257" s="711"/>
      <c r="Q16257" s="11"/>
      <c r="R16257" s="11"/>
      <c r="S16257" s="11"/>
      <c r="T16257" s="11"/>
    </row>
    <row r="16258" spans="8:20" x14ac:dyDescent="0.35">
      <c r="H16258" s="711"/>
      <c r="I16258" s="711"/>
      <c r="J16258" s="711"/>
      <c r="K16258" s="711"/>
      <c r="L16258" s="711"/>
      <c r="Q16258" s="11"/>
      <c r="R16258" s="11"/>
      <c r="S16258" s="11"/>
      <c r="T16258" s="11"/>
    </row>
    <row r="16259" spans="8:20" x14ac:dyDescent="0.35">
      <c r="H16259" s="711"/>
      <c r="I16259" s="711"/>
      <c r="J16259" s="711"/>
      <c r="K16259" s="711"/>
      <c r="L16259" s="711"/>
      <c r="Q16259" s="11"/>
      <c r="R16259" s="11"/>
      <c r="S16259" s="11"/>
      <c r="T16259" s="11"/>
    </row>
    <row r="16260" spans="8:20" x14ac:dyDescent="0.35">
      <c r="H16260" s="711"/>
      <c r="I16260" s="711"/>
      <c r="J16260" s="711"/>
      <c r="K16260" s="711"/>
      <c r="L16260" s="711"/>
      <c r="Q16260" s="11"/>
      <c r="R16260" s="11"/>
      <c r="S16260" s="11"/>
      <c r="T16260" s="11"/>
    </row>
    <row r="16261" spans="8:20" x14ac:dyDescent="0.35">
      <c r="H16261" s="711"/>
      <c r="I16261" s="711"/>
      <c r="J16261" s="711"/>
      <c r="K16261" s="711"/>
      <c r="L16261" s="711"/>
      <c r="Q16261" s="11"/>
      <c r="R16261" s="11"/>
      <c r="S16261" s="11"/>
      <c r="T16261" s="11"/>
    </row>
    <row r="16262" spans="8:20" x14ac:dyDescent="0.35">
      <c r="H16262" s="711"/>
      <c r="I16262" s="711"/>
      <c r="J16262" s="711"/>
      <c r="K16262" s="711"/>
      <c r="L16262" s="711"/>
      <c r="Q16262" s="11"/>
      <c r="R16262" s="11"/>
      <c r="S16262" s="11"/>
      <c r="T16262" s="11"/>
    </row>
    <row r="16263" spans="8:20" x14ac:dyDescent="0.35">
      <c r="H16263" s="711"/>
      <c r="I16263" s="711"/>
      <c r="J16263" s="711"/>
      <c r="K16263" s="711"/>
      <c r="L16263" s="711"/>
      <c r="Q16263" s="11"/>
      <c r="R16263" s="11"/>
      <c r="S16263" s="11"/>
      <c r="T16263" s="11"/>
    </row>
    <row r="16264" spans="8:20" x14ac:dyDescent="0.35">
      <c r="H16264" s="711"/>
      <c r="I16264" s="711"/>
      <c r="J16264" s="711"/>
      <c r="K16264" s="711"/>
      <c r="L16264" s="711"/>
      <c r="Q16264" s="11"/>
      <c r="R16264" s="11"/>
      <c r="S16264" s="11"/>
      <c r="T16264" s="11"/>
    </row>
    <row r="16265" spans="8:20" x14ac:dyDescent="0.35">
      <c r="H16265" s="711"/>
      <c r="I16265" s="711"/>
      <c r="J16265" s="711"/>
      <c r="K16265" s="711"/>
      <c r="L16265" s="711"/>
      <c r="Q16265" s="11"/>
      <c r="R16265" s="11"/>
      <c r="S16265" s="11"/>
      <c r="T16265" s="11"/>
    </row>
    <row r="16266" spans="8:20" x14ac:dyDescent="0.35">
      <c r="H16266" s="711"/>
      <c r="I16266" s="711"/>
      <c r="J16266" s="711"/>
      <c r="K16266" s="711"/>
      <c r="L16266" s="711"/>
      <c r="Q16266" s="11"/>
      <c r="R16266" s="11"/>
      <c r="S16266" s="11"/>
      <c r="T16266" s="11"/>
    </row>
    <row r="16267" spans="8:20" x14ac:dyDescent="0.35">
      <c r="H16267" s="711"/>
      <c r="I16267" s="711"/>
      <c r="J16267" s="711"/>
      <c r="K16267" s="711"/>
      <c r="L16267" s="711"/>
      <c r="Q16267" s="11"/>
      <c r="R16267" s="11"/>
      <c r="S16267" s="11"/>
      <c r="T16267" s="11"/>
    </row>
    <row r="16268" spans="8:20" x14ac:dyDescent="0.35">
      <c r="H16268" s="711"/>
      <c r="I16268" s="711"/>
      <c r="J16268" s="711"/>
      <c r="K16268" s="711"/>
      <c r="L16268" s="711"/>
      <c r="Q16268" s="11"/>
      <c r="R16268" s="11"/>
      <c r="S16268" s="11"/>
      <c r="T16268" s="11"/>
    </row>
    <row r="16269" spans="8:20" x14ac:dyDescent="0.35">
      <c r="H16269" s="711"/>
      <c r="I16269" s="711"/>
      <c r="J16269" s="711"/>
      <c r="K16269" s="711"/>
      <c r="L16269" s="711"/>
      <c r="Q16269" s="11"/>
      <c r="R16269" s="11"/>
      <c r="S16269" s="11"/>
      <c r="T16269" s="11"/>
    </row>
    <row r="16270" spans="8:20" x14ac:dyDescent="0.35">
      <c r="H16270" s="711"/>
      <c r="I16270" s="711"/>
      <c r="J16270" s="711"/>
      <c r="K16270" s="711"/>
      <c r="L16270" s="711"/>
      <c r="Q16270" s="11"/>
      <c r="R16270" s="11"/>
      <c r="S16270" s="11"/>
      <c r="T16270" s="11"/>
    </row>
    <row r="16271" spans="8:20" x14ac:dyDescent="0.35">
      <c r="H16271" s="711"/>
      <c r="I16271" s="711"/>
      <c r="J16271" s="711"/>
      <c r="K16271" s="711"/>
      <c r="L16271" s="711"/>
      <c r="Q16271" s="11"/>
      <c r="R16271" s="11"/>
      <c r="S16271" s="11"/>
      <c r="T16271" s="11"/>
    </row>
    <row r="16272" spans="8:20" x14ac:dyDescent="0.35">
      <c r="H16272" s="711"/>
      <c r="I16272" s="711"/>
      <c r="J16272" s="711"/>
      <c r="K16272" s="711"/>
      <c r="L16272" s="711"/>
      <c r="Q16272" s="11"/>
      <c r="R16272" s="11"/>
      <c r="S16272" s="11"/>
      <c r="T16272" s="11"/>
    </row>
    <row r="16273" spans="8:20" x14ac:dyDescent="0.35">
      <c r="H16273" s="711"/>
      <c r="I16273" s="711"/>
      <c r="J16273" s="711"/>
      <c r="K16273" s="711"/>
      <c r="L16273" s="711"/>
      <c r="Q16273" s="11"/>
      <c r="R16273" s="11"/>
      <c r="S16273" s="11"/>
      <c r="T16273" s="11"/>
    </row>
    <row r="16274" spans="8:20" x14ac:dyDescent="0.35">
      <c r="H16274" s="711"/>
      <c r="I16274" s="711"/>
      <c r="J16274" s="711"/>
      <c r="K16274" s="711"/>
      <c r="L16274" s="711"/>
      <c r="Q16274" s="11"/>
      <c r="R16274" s="11"/>
      <c r="S16274" s="11"/>
      <c r="T16274" s="11"/>
    </row>
    <row r="16275" spans="8:20" x14ac:dyDescent="0.35">
      <c r="H16275" s="711"/>
      <c r="I16275" s="711"/>
      <c r="J16275" s="711"/>
      <c r="K16275" s="711"/>
      <c r="L16275" s="711"/>
      <c r="Q16275" s="11"/>
      <c r="R16275" s="11"/>
      <c r="S16275" s="11"/>
      <c r="T16275" s="11"/>
    </row>
    <row r="16276" spans="8:20" x14ac:dyDescent="0.35">
      <c r="H16276" s="711"/>
      <c r="I16276" s="711"/>
      <c r="J16276" s="711"/>
      <c r="K16276" s="711"/>
      <c r="L16276" s="711"/>
      <c r="Q16276" s="11"/>
      <c r="R16276" s="11"/>
      <c r="S16276" s="11"/>
      <c r="T16276" s="11"/>
    </row>
    <row r="16277" spans="8:20" x14ac:dyDescent="0.35">
      <c r="H16277" s="711"/>
      <c r="I16277" s="711"/>
      <c r="J16277" s="711"/>
      <c r="K16277" s="711"/>
      <c r="L16277" s="711"/>
      <c r="Q16277" s="11"/>
      <c r="R16277" s="11"/>
      <c r="S16277" s="11"/>
      <c r="T16277" s="11"/>
    </row>
    <row r="16278" spans="8:20" x14ac:dyDescent="0.35">
      <c r="H16278" s="711"/>
      <c r="I16278" s="711"/>
      <c r="J16278" s="711"/>
      <c r="K16278" s="711"/>
      <c r="L16278" s="711"/>
      <c r="Q16278" s="11"/>
      <c r="R16278" s="11"/>
      <c r="S16278" s="11"/>
      <c r="T16278" s="11"/>
    </row>
    <row r="16279" spans="8:20" x14ac:dyDescent="0.35">
      <c r="H16279" s="711"/>
      <c r="I16279" s="711"/>
      <c r="J16279" s="711"/>
      <c r="K16279" s="711"/>
      <c r="L16279" s="711"/>
      <c r="Q16279" s="11"/>
      <c r="R16279" s="11"/>
      <c r="S16279" s="11"/>
      <c r="T16279" s="11"/>
    </row>
    <row r="16280" spans="8:20" x14ac:dyDescent="0.35">
      <c r="H16280" s="711"/>
      <c r="I16280" s="711"/>
      <c r="J16280" s="711"/>
      <c r="K16280" s="711"/>
      <c r="L16280" s="711"/>
      <c r="Q16280" s="11"/>
      <c r="R16280" s="11"/>
      <c r="S16280" s="11"/>
      <c r="T16280" s="11"/>
    </row>
    <row r="16281" spans="8:20" x14ac:dyDescent="0.35">
      <c r="H16281" s="711"/>
      <c r="I16281" s="711"/>
      <c r="J16281" s="711"/>
      <c r="K16281" s="711"/>
      <c r="L16281" s="711"/>
      <c r="Q16281" s="11"/>
      <c r="R16281" s="11"/>
      <c r="S16281" s="11"/>
      <c r="T16281" s="11"/>
    </row>
    <row r="16282" spans="8:20" x14ac:dyDescent="0.35">
      <c r="H16282" s="711"/>
      <c r="I16282" s="711"/>
      <c r="J16282" s="711"/>
      <c r="K16282" s="711"/>
      <c r="L16282" s="711"/>
      <c r="Q16282" s="11"/>
      <c r="R16282" s="11"/>
      <c r="S16282" s="11"/>
      <c r="T16282" s="11"/>
    </row>
    <row r="16283" spans="8:20" x14ac:dyDescent="0.35">
      <c r="H16283" s="711"/>
      <c r="I16283" s="711"/>
      <c r="J16283" s="711"/>
      <c r="K16283" s="711"/>
      <c r="L16283" s="711"/>
      <c r="Q16283" s="11"/>
      <c r="R16283" s="11"/>
      <c r="S16283" s="11"/>
      <c r="T16283" s="11"/>
    </row>
    <row r="16284" spans="8:20" x14ac:dyDescent="0.35">
      <c r="H16284" s="711"/>
      <c r="I16284" s="711"/>
      <c r="J16284" s="711"/>
      <c r="K16284" s="711"/>
      <c r="L16284" s="711"/>
      <c r="Q16284" s="11"/>
      <c r="R16284" s="11"/>
      <c r="S16284" s="11"/>
      <c r="T16284" s="11"/>
    </row>
    <row r="16285" spans="8:20" x14ac:dyDescent="0.35">
      <c r="H16285" s="711"/>
      <c r="I16285" s="711"/>
      <c r="J16285" s="711"/>
      <c r="K16285" s="711"/>
      <c r="L16285" s="711"/>
      <c r="Q16285" s="11"/>
      <c r="R16285" s="11"/>
      <c r="S16285" s="11"/>
      <c r="T16285" s="11"/>
    </row>
    <row r="16286" spans="8:20" x14ac:dyDescent="0.35">
      <c r="H16286" s="711"/>
      <c r="I16286" s="711"/>
      <c r="J16286" s="711"/>
      <c r="K16286" s="711"/>
      <c r="L16286" s="711"/>
      <c r="Q16286" s="11"/>
      <c r="R16286" s="11"/>
      <c r="S16286" s="11"/>
      <c r="T16286" s="11"/>
    </row>
    <row r="16287" spans="8:20" x14ac:dyDescent="0.35">
      <c r="H16287" s="711"/>
      <c r="I16287" s="711"/>
      <c r="J16287" s="711"/>
      <c r="K16287" s="711"/>
      <c r="L16287" s="711"/>
      <c r="Q16287" s="11"/>
      <c r="R16287" s="11"/>
      <c r="S16287" s="11"/>
      <c r="T16287" s="11"/>
    </row>
    <row r="16288" spans="8:20" x14ac:dyDescent="0.35">
      <c r="H16288" s="711"/>
      <c r="I16288" s="711"/>
      <c r="J16288" s="711"/>
      <c r="K16288" s="711"/>
      <c r="L16288" s="711"/>
      <c r="Q16288" s="11"/>
      <c r="R16288" s="11"/>
      <c r="S16288" s="11"/>
      <c r="T16288" s="11"/>
    </row>
    <row r="16289" spans="8:20" x14ac:dyDescent="0.35">
      <c r="H16289" s="711"/>
      <c r="I16289" s="711"/>
      <c r="J16289" s="711"/>
      <c r="K16289" s="711"/>
      <c r="L16289" s="711"/>
      <c r="Q16289" s="11"/>
      <c r="R16289" s="11"/>
      <c r="S16289" s="11"/>
      <c r="T16289" s="11"/>
    </row>
    <row r="16290" spans="8:20" x14ac:dyDescent="0.35">
      <c r="H16290" s="711"/>
      <c r="I16290" s="711"/>
      <c r="J16290" s="711"/>
      <c r="K16290" s="711"/>
      <c r="L16290" s="711"/>
      <c r="Q16290" s="11"/>
      <c r="R16290" s="11"/>
      <c r="S16290" s="11"/>
      <c r="T16290" s="11"/>
    </row>
    <row r="16291" spans="8:20" x14ac:dyDescent="0.35">
      <c r="H16291" s="711"/>
      <c r="I16291" s="711"/>
      <c r="J16291" s="711"/>
      <c r="K16291" s="711"/>
      <c r="L16291" s="711"/>
      <c r="Q16291" s="11"/>
      <c r="R16291" s="11"/>
      <c r="S16291" s="11"/>
      <c r="T16291" s="11"/>
    </row>
    <row r="16292" spans="8:20" x14ac:dyDescent="0.35">
      <c r="H16292" s="711"/>
      <c r="I16292" s="711"/>
      <c r="J16292" s="711"/>
      <c r="K16292" s="711"/>
      <c r="L16292" s="711"/>
      <c r="Q16292" s="11"/>
      <c r="R16292" s="11"/>
      <c r="S16292" s="11"/>
      <c r="T16292" s="11"/>
    </row>
    <row r="16293" spans="8:20" x14ac:dyDescent="0.35">
      <c r="H16293" s="711"/>
      <c r="I16293" s="711"/>
      <c r="J16293" s="711"/>
      <c r="K16293" s="711"/>
      <c r="L16293" s="711"/>
      <c r="Q16293" s="11"/>
      <c r="R16293" s="11"/>
      <c r="S16293" s="11"/>
      <c r="T16293" s="11"/>
    </row>
    <row r="16294" spans="8:20" x14ac:dyDescent="0.35">
      <c r="H16294" s="711"/>
      <c r="I16294" s="711"/>
      <c r="J16294" s="711"/>
      <c r="K16294" s="711"/>
      <c r="L16294" s="711"/>
      <c r="Q16294" s="11"/>
      <c r="R16294" s="11"/>
      <c r="S16294" s="11"/>
      <c r="T16294" s="11"/>
    </row>
    <row r="16295" spans="8:20" x14ac:dyDescent="0.35">
      <c r="H16295" s="711"/>
      <c r="I16295" s="711"/>
      <c r="J16295" s="711"/>
      <c r="K16295" s="711"/>
      <c r="L16295" s="711"/>
      <c r="Q16295" s="11"/>
      <c r="R16295" s="11"/>
      <c r="S16295" s="11"/>
      <c r="T16295" s="11"/>
    </row>
    <row r="16296" spans="8:20" x14ac:dyDescent="0.35">
      <c r="H16296" s="711"/>
      <c r="I16296" s="711"/>
      <c r="J16296" s="711"/>
      <c r="K16296" s="711"/>
      <c r="L16296" s="711"/>
      <c r="Q16296" s="11"/>
      <c r="R16296" s="11"/>
      <c r="S16296" s="11"/>
      <c r="T16296" s="11"/>
    </row>
    <row r="16297" spans="8:20" x14ac:dyDescent="0.35">
      <c r="H16297" s="711"/>
      <c r="I16297" s="711"/>
      <c r="J16297" s="711"/>
      <c r="K16297" s="711"/>
      <c r="L16297" s="711"/>
      <c r="Q16297" s="11"/>
      <c r="R16297" s="11"/>
      <c r="S16297" s="11"/>
      <c r="T16297" s="11"/>
    </row>
    <row r="16298" spans="8:20" x14ac:dyDescent="0.35">
      <c r="H16298" s="711"/>
      <c r="I16298" s="711"/>
      <c r="J16298" s="711"/>
      <c r="K16298" s="711"/>
      <c r="L16298" s="711"/>
      <c r="Q16298" s="11"/>
      <c r="R16298" s="11"/>
      <c r="S16298" s="11"/>
      <c r="T16298" s="11"/>
    </row>
    <row r="16299" spans="8:20" x14ac:dyDescent="0.35">
      <c r="H16299" s="711"/>
      <c r="I16299" s="711"/>
      <c r="J16299" s="711"/>
      <c r="K16299" s="711"/>
      <c r="L16299" s="711"/>
      <c r="Q16299" s="11"/>
      <c r="R16299" s="11"/>
      <c r="S16299" s="11"/>
      <c r="T16299" s="11"/>
    </row>
    <row r="16300" spans="8:20" x14ac:dyDescent="0.35">
      <c r="H16300" s="711"/>
      <c r="I16300" s="711"/>
      <c r="J16300" s="711"/>
      <c r="K16300" s="711"/>
      <c r="L16300" s="711"/>
      <c r="Q16300" s="11"/>
      <c r="R16300" s="11"/>
      <c r="S16300" s="11"/>
      <c r="T16300" s="11"/>
    </row>
    <row r="16301" spans="8:20" x14ac:dyDescent="0.35">
      <c r="H16301" s="711"/>
      <c r="I16301" s="711"/>
      <c r="J16301" s="711"/>
      <c r="K16301" s="711"/>
      <c r="L16301" s="711"/>
      <c r="Q16301" s="11"/>
      <c r="R16301" s="11"/>
      <c r="S16301" s="11"/>
      <c r="T16301" s="11"/>
    </row>
    <row r="16302" spans="8:20" x14ac:dyDescent="0.35">
      <c r="H16302" s="711"/>
      <c r="I16302" s="711"/>
      <c r="J16302" s="711"/>
      <c r="K16302" s="711"/>
      <c r="L16302" s="711"/>
      <c r="Q16302" s="11"/>
      <c r="R16302" s="11"/>
      <c r="S16302" s="11"/>
      <c r="T16302" s="11"/>
    </row>
    <row r="16303" spans="8:20" x14ac:dyDescent="0.35">
      <c r="H16303" s="711"/>
      <c r="I16303" s="711"/>
      <c r="J16303" s="711"/>
      <c r="K16303" s="711"/>
      <c r="L16303" s="711"/>
      <c r="Q16303" s="11"/>
      <c r="R16303" s="11"/>
      <c r="S16303" s="11"/>
      <c r="T16303" s="11"/>
    </row>
    <row r="16304" spans="8:20" x14ac:dyDescent="0.35">
      <c r="H16304" s="711"/>
      <c r="I16304" s="711"/>
      <c r="J16304" s="711"/>
      <c r="K16304" s="711"/>
      <c r="L16304" s="711"/>
      <c r="Q16304" s="11"/>
      <c r="R16304" s="11"/>
      <c r="S16304" s="11"/>
      <c r="T16304" s="11"/>
    </row>
    <row r="16305" spans="8:20" x14ac:dyDescent="0.35">
      <c r="H16305" s="711"/>
      <c r="I16305" s="711"/>
      <c r="J16305" s="711"/>
      <c r="K16305" s="711"/>
      <c r="L16305" s="711"/>
      <c r="Q16305" s="11"/>
      <c r="R16305" s="11"/>
      <c r="S16305" s="11"/>
      <c r="T16305" s="11"/>
    </row>
    <row r="16306" spans="8:20" x14ac:dyDescent="0.35">
      <c r="H16306" s="711"/>
      <c r="I16306" s="711"/>
      <c r="J16306" s="711"/>
      <c r="K16306" s="711"/>
      <c r="L16306" s="711"/>
      <c r="Q16306" s="11"/>
      <c r="R16306" s="11"/>
      <c r="S16306" s="11"/>
      <c r="T16306" s="11"/>
    </row>
    <row r="16307" spans="8:20" x14ac:dyDescent="0.35">
      <c r="H16307" s="711"/>
      <c r="I16307" s="711"/>
      <c r="J16307" s="711"/>
      <c r="K16307" s="711"/>
      <c r="L16307" s="711"/>
      <c r="Q16307" s="11"/>
      <c r="R16307" s="11"/>
      <c r="S16307" s="11"/>
      <c r="T16307" s="11"/>
    </row>
    <row r="16308" spans="8:20" x14ac:dyDescent="0.35">
      <c r="H16308" s="711"/>
      <c r="I16308" s="711"/>
      <c r="J16308" s="711"/>
      <c r="K16308" s="711"/>
      <c r="L16308" s="711"/>
      <c r="Q16308" s="11"/>
      <c r="R16308" s="11"/>
      <c r="S16308" s="11"/>
      <c r="T16308" s="11"/>
    </row>
    <row r="16309" spans="8:20" x14ac:dyDescent="0.35">
      <c r="H16309" s="711"/>
      <c r="I16309" s="711"/>
      <c r="J16309" s="711"/>
      <c r="K16309" s="711"/>
      <c r="L16309" s="711"/>
      <c r="Q16309" s="11"/>
      <c r="R16309" s="11"/>
      <c r="S16309" s="11"/>
      <c r="T16309" s="11"/>
    </row>
    <row r="16310" spans="8:20" x14ac:dyDescent="0.35">
      <c r="H16310" s="711"/>
      <c r="I16310" s="711"/>
      <c r="J16310" s="711"/>
      <c r="K16310" s="711"/>
      <c r="L16310" s="711"/>
      <c r="Q16310" s="11"/>
      <c r="R16310" s="11"/>
      <c r="S16310" s="11"/>
      <c r="T16310" s="11"/>
    </row>
    <row r="16311" spans="8:20" x14ac:dyDescent="0.35">
      <c r="H16311" s="711"/>
      <c r="I16311" s="711"/>
      <c r="J16311" s="711"/>
      <c r="K16311" s="711"/>
      <c r="L16311" s="711"/>
      <c r="Q16311" s="11"/>
      <c r="R16311" s="11"/>
      <c r="S16311" s="11"/>
      <c r="T16311" s="11"/>
    </row>
    <row r="16312" spans="8:20" x14ac:dyDescent="0.35">
      <c r="H16312" s="711"/>
      <c r="I16312" s="711"/>
      <c r="J16312" s="711"/>
      <c r="K16312" s="711"/>
      <c r="L16312" s="711"/>
      <c r="Q16312" s="11"/>
      <c r="R16312" s="11"/>
      <c r="S16312" s="11"/>
      <c r="T16312" s="11"/>
    </row>
    <row r="16313" spans="8:20" x14ac:dyDescent="0.35">
      <c r="H16313" s="711"/>
      <c r="I16313" s="711"/>
      <c r="J16313" s="711"/>
      <c r="K16313" s="711"/>
      <c r="L16313" s="711"/>
      <c r="Q16313" s="11"/>
      <c r="R16313" s="11"/>
      <c r="S16313" s="11"/>
      <c r="T16313" s="11"/>
    </row>
    <row r="16314" spans="8:20" x14ac:dyDescent="0.35">
      <c r="H16314" s="711"/>
      <c r="I16314" s="711"/>
      <c r="J16314" s="711"/>
      <c r="K16314" s="711"/>
      <c r="L16314" s="711"/>
      <c r="Q16314" s="11"/>
      <c r="R16314" s="11"/>
      <c r="S16314" s="11"/>
      <c r="T16314" s="11"/>
    </row>
    <row r="16315" spans="8:20" x14ac:dyDescent="0.35">
      <c r="H16315" s="711"/>
      <c r="I16315" s="711"/>
      <c r="J16315" s="711"/>
      <c r="K16315" s="711"/>
      <c r="L16315" s="711"/>
      <c r="Q16315" s="11"/>
      <c r="R16315" s="11"/>
      <c r="S16315" s="11"/>
      <c r="T16315" s="11"/>
    </row>
    <row r="16316" spans="8:20" x14ac:dyDescent="0.35">
      <c r="H16316" s="711"/>
      <c r="I16316" s="711"/>
      <c r="J16316" s="711"/>
      <c r="K16316" s="711"/>
      <c r="L16316" s="711"/>
      <c r="Q16316" s="11"/>
      <c r="R16316" s="11"/>
      <c r="S16316" s="11"/>
      <c r="T16316" s="11"/>
    </row>
    <row r="16317" spans="8:20" x14ac:dyDescent="0.35">
      <c r="H16317" s="711"/>
      <c r="I16317" s="711"/>
      <c r="J16317" s="711"/>
      <c r="K16317" s="711"/>
      <c r="L16317" s="711"/>
      <c r="Q16317" s="11"/>
      <c r="R16317" s="11"/>
      <c r="S16317" s="11"/>
      <c r="T16317" s="11"/>
    </row>
    <row r="16318" spans="8:20" x14ac:dyDescent="0.35">
      <c r="H16318" s="711"/>
      <c r="I16318" s="711"/>
      <c r="J16318" s="711"/>
      <c r="K16318" s="711"/>
      <c r="L16318" s="711"/>
      <c r="Q16318" s="11"/>
      <c r="R16318" s="11"/>
      <c r="S16318" s="11"/>
      <c r="T16318" s="11"/>
    </row>
    <row r="16319" spans="8:20" x14ac:dyDescent="0.35">
      <c r="H16319" s="711"/>
      <c r="I16319" s="711"/>
      <c r="J16319" s="711"/>
      <c r="K16319" s="711"/>
      <c r="L16319" s="711"/>
      <c r="Q16319" s="11"/>
      <c r="R16319" s="11"/>
      <c r="S16319" s="11"/>
      <c r="T16319" s="11"/>
    </row>
    <row r="16320" spans="8:20" x14ac:dyDescent="0.35">
      <c r="H16320" s="711"/>
      <c r="I16320" s="711"/>
      <c r="J16320" s="711"/>
      <c r="K16320" s="711"/>
      <c r="L16320" s="711"/>
      <c r="Q16320" s="11"/>
      <c r="R16320" s="11"/>
      <c r="S16320" s="11"/>
      <c r="T16320" s="11"/>
    </row>
    <row r="16321" spans="8:20" x14ac:dyDescent="0.35">
      <c r="H16321" s="711"/>
      <c r="I16321" s="711"/>
      <c r="J16321" s="711"/>
      <c r="K16321" s="711"/>
      <c r="L16321" s="711"/>
      <c r="Q16321" s="11"/>
      <c r="R16321" s="11"/>
      <c r="S16321" s="11"/>
      <c r="T16321" s="11"/>
    </row>
    <row r="16322" spans="8:20" x14ac:dyDescent="0.35">
      <c r="H16322" s="711"/>
      <c r="I16322" s="711"/>
      <c r="J16322" s="711"/>
      <c r="K16322" s="711"/>
      <c r="L16322" s="711"/>
      <c r="Q16322" s="11"/>
      <c r="R16322" s="11"/>
      <c r="S16322" s="11"/>
      <c r="T16322" s="11"/>
    </row>
    <row r="16323" spans="8:20" x14ac:dyDescent="0.35">
      <c r="H16323" s="711"/>
      <c r="I16323" s="711"/>
      <c r="J16323" s="711"/>
      <c r="K16323" s="711"/>
      <c r="L16323" s="711"/>
      <c r="Q16323" s="11"/>
      <c r="R16323" s="11"/>
      <c r="S16323" s="11"/>
      <c r="T16323" s="11"/>
    </row>
    <row r="16324" spans="8:20" x14ac:dyDescent="0.35">
      <c r="H16324" s="711"/>
      <c r="I16324" s="711"/>
      <c r="J16324" s="711"/>
      <c r="K16324" s="711"/>
      <c r="L16324" s="711"/>
      <c r="Q16324" s="11"/>
      <c r="R16324" s="11"/>
      <c r="S16324" s="11"/>
      <c r="T16324" s="11"/>
    </row>
    <row r="16325" spans="8:20" x14ac:dyDescent="0.35">
      <c r="H16325" s="711"/>
      <c r="I16325" s="711"/>
      <c r="J16325" s="711"/>
      <c r="K16325" s="711"/>
      <c r="L16325" s="711"/>
      <c r="Q16325" s="11"/>
      <c r="R16325" s="11"/>
      <c r="S16325" s="11"/>
      <c r="T16325" s="11"/>
    </row>
    <row r="16326" spans="8:20" x14ac:dyDescent="0.35">
      <c r="H16326" s="711"/>
      <c r="I16326" s="711"/>
      <c r="J16326" s="711"/>
      <c r="K16326" s="711"/>
      <c r="L16326" s="711"/>
      <c r="Q16326" s="11"/>
      <c r="R16326" s="11"/>
      <c r="S16326" s="11"/>
      <c r="T16326" s="11"/>
    </row>
    <row r="16327" spans="8:20" x14ac:dyDescent="0.35">
      <c r="H16327" s="711"/>
      <c r="I16327" s="711"/>
      <c r="J16327" s="711"/>
      <c r="K16327" s="711"/>
      <c r="L16327" s="711"/>
      <c r="Q16327" s="11"/>
      <c r="R16327" s="11"/>
      <c r="S16327" s="11"/>
      <c r="T16327" s="11"/>
    </row>
    <row r="16328" spans="8:20" x14ac:dyDescent="0.35">
      <c r="H16328" s="711"/>
      <c r="I16328" s="711"/>
      <c r="J16328" s="711"/>
      <c r="K16328" s="711"/>
      <c r="L16328" s="711"/>
      <c r="Q16328" s="11"/>
      <c r="R16328" s="11"/>
      <c r="S16328" s="11"/>
      <c r="T16328" s="11"/>
    </row>
    <row r="16329" spans="8:20" x14ac:dyDescent="0.35">
      <c r="H16329" s="711"/>
      <c r="I16329" s="711"/>
      <c r="J16329" s="711"/>
      <c r="K16329" s="711"/>
      <c r="L16329" s="711"/>
      <c r="Q16329" s="11"/>
      <c r="R16329" s="11"/>
      <c r="S16329" s="11"/>
      <c r="T16329" s="11"/>
    </row>
    <row r="16330" spans="8:20" x14ac:dyDescent="0.35">
      <c r="H16330" s="711"/>
      <c r="I16330" s="711"/>
      <c r="J16330" s="711"/>
      <c r="K16330" s="711"/>
      <c r="L16330" s="711"/>
      <c r="Q16330" s="11"/>
      <c r="R16330" s="11"/>
      <c r="S16330" s="11"/>
      <c r="T16330" s="11"/>
    </row>
    <row r="16331" spans="8:20" x14ac:dyDescent="0.35">
      <c r="H16331" s="711"/>
      <c r="I16331" s="711"/>
      <c r="J16331" s="711"/>
      <c r="K16331" s="711"/>
      <c r="L16331" s="711"/>
      <c r="Q16331" s="11"/>
      <c r="R16331" s="11"/>
      <c r="S16331" s="11"/>
      <c r="T16331" s="11"/>
    </row>
    <row r="16332" spans="8:20" x14ac:dyDescent="0.35">
      <c r="H16332" s="711"/>
      <c r="I16332" s="711"/>
      <c r="J16332" s="711"/>
      <c r="K16332" s="711"/>
      <c r="L16332" s="711"/>
      <c r="Q16332" s="11"/>
      <c r="R16332" s="11"/>
      <c r="S16332" s="11"/>
      <c r="T16332" s="11"/>
    </row>
    <row r="16333" spans="8:20" x14ac:dyDescent="0.35">
      <c r="H16333" s="711"/>
      <c r="I16333" s="711"/>
      <c r="J16333" s="711"/>
      <c r="K16333" s="711"/>
      <c r="L16333" s="711"/>
      <c r="Q16333" s="11"/>
      <c r="R16333" s="11"/>
      <c r="S16333" s="11"/>
      <c r="T16333" s="11"/>
    </row>
    <row r="16334" spans="8:20" x14ac:dyDescent="0.35">
      <c r="H16334" s="711"/>
      <c r="I16334" s="711"/>
      <c r="J16334" s="711"/>
      <c r="K16334" s="711"/>
      <c r="L16334" s="711"/>
      <c r="Q16334" s="11"/>
      <c r="R16334" s="11"/>
      <c r="S16334" s="11"/>
      <c r="T16334" s="11"/>
    </row>
    <row r="16335" spans="8:20" x14ac:dyDescent="0.35">
      <c r="H16335" s="711"/>
      <c r="I16335" s="711"/>
      <c r="J16335" s="711"/>
      <c r="K16335" s="711"/>
      <c r="L16335" s="711"/>
      <c r="Q16335" s="11"/>
      <c r="R16335" s="11"/>
      <c r="S16335" s="11"/>
      <c r="T16335" s="11"/>
    </row>
    <row r="16336" spans="8:20" x14ac:dyDescent="0.35">
      <c r="H16336" s="711"/>
      <c r="I16336" s="711"/>
      <c r="J16336" s="711"/>
      <c r="K16336" s="711"/>
      <c r="L16336" s="711"/>
      <c r="Q16336" s="11"/>
      <c r="R16336" s="11"/>
      <c r="S16336" s="11"/>
      <c r="T16336" s="11"/>
    </row>
    <row r="16337" spans="8:20" x14ac:dyDescent="0.35">
      <c r="H16337" s="711"/>
      <c r="I16337" s="711"/>
      <c r="J16337" s="711"/>
      <c r="K16337" s="711"/>
      <c r="L16337" s="711"/>
      <c r="Q16337" s="11"/>
      <c r="R16337" s="11"/>
      <c r="S16337" s="11"/>
      <c r="T16337" s="11"/>
    </row>
    <row r="16338" spans="8:20" x14ac:dyDescent="0.35">
      <c r="H16338" s="711"/>
      <c r="I16338" s="711"/>
      <c r="J16338" s="711"/>
      <c r="K16338" s="711"/>
      <c r="L16338" s="711"/>
      <c r="Q16338" s="11"/>
      <c r="R16338" s="11"/>
      <c r="S16338" s="11"/>
      <c r="T16338" s="11"/>
    </row>
    <row r="16339" spans="8:20" x14ac:dyDescent="0.35">
      <c r="H16339" s="711"/>
      <c r="I16339" s="711"/>
      <c r="J16339" s="711"/>
      <c r="K16339" s="711"/>
      <c r="L16339" s="711"/>
      <c r="Q16339" s="11"/>
      <c r="R16339" s="11"/>
      <c r="S16339" s="11"/>
      <c r="T16339" s="11"/>
    </row>
    <row r="16340" spans="8:20" x14ac:dyDescent="0.35">
      <c r="H16340" s="711"/>
      <c r="I16340" s="711"/>
      <c r="J16340" s="711"/>
      <c r="K16340" s="711"/>
      <c r="L16340" s="711"/>
      <c r="Q16340" s="11"/>
      <c r="R16340" s="11"/>
      <c r="S16340" s="11"/>
      <c r="T16340" s="11"/>
    </row>
    <row r="16341" spans="8:20" x14ac:dyDescent="0.35">
      <c r="H16341" s="711"/>
      <c r="I16341" s="711"/>
      <c r="J16341" s="711"/>
      <c r="K16341" s="711"/>
      <c r="L16341" s="711"/>
      <c r="Q16341" s="11"/>
      <c r="R16341" s="11"/>
      <c r="S16341" s="11"/>
      <c r="T16341" s="11"/>
    </row>
    <row r="16342" spans="8:20" x14ac:dyDescent="0.35">
      <c r="H16342" s="711"/>
      <c r="I16342" s="711"/>
      <c r="J16342" s="711"/>
      <c r="K16342" s="711"/>
      <c r="L16342" s="711"/>
      <c r="Q16342" s="11"/>
      <c r="R16342" s="11"/>
      <c r="S16342" s="11"/>
      <c r="T16342" s="11"/>
    </row>
    <row r="16343" spans="8:20" x14ac:dyDescent="0.35">
      <c r="H16343" s="711"/>
      <c r="I16343" s="711"/>
      <c r="J16343" s="711"/>
      <c r="K16343" s="711"/>
      <c r="L16343" s="711"/>
      <c r="Q16343" s="11"/>
      <c r="R16343" s="11"/>
      <c r="S16343" s="11"/>
      <c r="T16343" s="11"/>
    </row>
    <row r="16344" spans="8:20" x14ac:dyDescent="0.35">
      <c r="H16344" s="711"/>
      <c r="I16344" s="711"/>
      <c r="J16344" s="711"/>
      <c r="K16344" s="711"/>
      <c r="L16344" s="711"/>
      <c r="Q16344" s="11"/>
      <c r="R16344" s="11"/>
      <c r="S16344" s="11"/>
      <c r="T16344" s="11"/>
    </row>
    <row r="16345" spans="8:20" x14ac:dyDescent="0.35">
      <c r="H16345" s="711"/>
      <c r="I16345" s="711"/>
      <c r="J16345" s="711"/>
      <c r="K16345" s="711"/>
      <c r="L16345" s="711"/>
      <c r="Q16345" s="11"/>
      <c r="R16345" s="11"/>
      <c r="S16345" s="11"/>
      <c r="T16345" s="11"/>
    </row>
    <row r="16346" spans="8:20" x14ac:dyDescent="0.35">
      <c r="H16346" s="711"/>
      <c r="I16346" s="711"/>
      <c r="J16346" s="711"/>
      <c r="K16346" s="711"/>
      <c r="L16346" s="711"/>
      <c r="Q16346" s="11"/>
      <c r="R16346" s="11"/>
      <c r="S16346" s="11"/>
      <c r="T16346" s="11"/>
    </row>
    <row r="16347" spans="8:20" x14ac:dyDescent="0.35">
      <c r="H16347" s="711"/>
      <c r="I16347" s="711"/>
      <c r="J16347" s="711"/>
      <c r="K16347" s="711"/>
      <c r="L16347" s="711"/>
      <c r="Q16347" s="11"/>
      <c r="R16347" s="11"/>
      <c r="S16347" s="11"/>
      <c r="T16347" s="11"/>
    </row>
    <row r="16348" spans="8:20" x14ac:dyDescent="0.35">
      <c r="H16348" s="711"/>
      <c r="I16348" s="711"/>
      <c r="J16348" s="711"/>
      <c r="K16348" s="711"/>
      <c r="L16348" s="711"/>
      <c r="Q16348" s="11"/>
      <c r="R16348" s="11"/>
      <c r="S16348" s="11"/>
      <c r="T16348" s="11"/>
    </row>
    <row r="16349" spans="8:20" x14ac:dyDescent="0.35">
      <c r="H16349" s="711"/>
      <c r="I16349" s="711"/>
      <c r="J16349" s="711"/>
      <c r="K16349" s="711"/>
      <c r="L16349" s="711"/>
      <c r="Q16349" s="11"/>
      <c r="R16349" s="11"/>
      <c r="S16349" s="11"/>
      <c r="T16349" s="11"/>
    </row>
    <row r="16350" spans="8:20" x14ac:dyDescent="0.35">
      <c r="H16350" s="711"/>
      <c r="I16350" s="711"/>
      <c r="J16350" s="711"/>
      <c r="K16350" s="711"/>
      <c r="L16350" s="711"/>
      <c r="Q16350" s="11"/>
      <c r="R16350" s="11"/>
      <c r="S16350" s="11"/>
      <c r="T16350" s="11"/>
    </row>
    <row r="16351" spans="8:20" x14ac:dyDescent="0.35">
      <c r="H16351" s="711"/>
      <c r="I16351" s="711"/>
      <c r="J16351" s="711"/>
      <c r="K16351" s="711"/>
      <c r="L16351" s="711"/>
      <c r="Q16351" s="11"/>
      <c r="R16351" s="11"/>
      <c r="S16351" s="11"/>
      <c r="T16351" s="11"/>
    </row>
    <row r="16352" spans="8:20" x14ac:dyDescent="0.35">
      <c r="H16352" s="711"/>
      <c r="I16352" s="711"/>
      <c r="J16352" s="711"/>
      <c r="K16352" s="711"/>
      <c r="L16352" s="711"/>
      <c r="Q16352" s="11"/>
      <c r="R16352" s="11"/>
      <c r="S16352" s="11"/>
      <c r="T16352" s="11"/>
    </row>
    <row r="16353" spans="8:20" x14ac:dyDescent="0.35">
      <c r="H16353" s="711"/>
      <c r="I16353" s="711"/>
      <c r="J16353" s="711"/>
      <c r="K16353" s="711"/>
      <c r="L16353" s="711"/>
      <c r="Q16353" s="11"/>
      <c r="R16353" s="11"/>
      <c r="S16353" s="11"/>
      <c r="T16353" s="11"/>
    </row>
    <row r="16354" spans="8:20" x14ac:dyDescent="0.35">
      <c r="H16354" s="711"/>
      <c r="I16354" s="711"/>
      <c r="J16354" s="711"/>
      <c r="K16354" s="711"/>
      <c r="L16354" s="711"/>
      <c r="Q16354" s="11"/>
      <c r="R16354" s="11"/>
      <c r="S16354" s="11"/>
      <c r="T16354" s="11"/>
    </row>
    <row r="16355" spans="8:20" x14ac:dyDescent="0.35">
      <c r="H16355" s="711"/>
      <c r="I16355" s="711"/>
      <c r="J16355" s="711"/>
      <c r="K16355" s="711"/>
      <c r="L16355" s="711"/>
      <c r="Q16355" s="11"/>
      <c r="R16355" s="11"/>
      <c r="S16355" s="11"/>
      <c r="T16355" s="11"/>
    </row>
    <row r="16356" spans="8:20" x14ac:dyDescent="0.35">
      <c r="H16356" s="711"/>
      <c r="I16356" s="711"/>
      <c r="J16356" s="711"/>
      <c r="K16356" s="711"/>
      <c r="L16356" s="711"/>
      <c r="Q16356" s="11"/>
      <c r="R16356" s="11"/>
      <c r="S16356" s="11"/>
      <c r="T16356" s="11"/>
    </row>
    <row r="16357" spans="8:20" x14ac:dyDescent="0.35">
      <c r="H16357" s="711"/>
      <c r="I16357" s="711"/>
      <c r="J16357" s="711"/>
      <c r="K16357" s="711"/>
      <c r="L16357" s="711"/>
      <c r="Q16357" s="11"/>
      <c r="R16357" s="11"/>
      <c r="S16357" s="11"/>
      <c r="T16357" s="11"/>
    </row>
    <row r="16358" spans="8:20" x14ac:dyDescent="0.35">
      <c r="H16358" s="711"/>
      <c r="I16358" s="711"/>
      <c r="J16358" s="711"/>
      <c r="K16358" s="711"/>
      <c r="L16358" s="711"/>
      <c r="Q16358" s="11"/>
      <c r="R16358" s="11"/>
      <c r="S16358" s="11"/>
      <c r="T16358" s="11"/>
    </row>
    <row r="16359" spans="8:20" x14ac:dyDescent="0.35">
      <c r="H16359" s="711"/>
      <c r="I16359" s="711"/>
      <c r="J16359" s="711"/>
      <c r="K16359" s="711"/>
      <c r="L16359" s="711"/>
      <c r="Q16359" s="11"/>
      <c r="R16359" s="11"/>
      <c r="S16359" s="11"/>
      <c r="T16359" s="11"/>
    </row>
    <row r="16360" spans="8:20" x14ac:dyDescent="0.35">
      <c r="H16360" s="711"/>
      <c r="I16360" s="711"/>
      <c r="J16360" s="711"/>
      <c r="K16360" s="711"/>
      <c r="L16360" s="711"/>
      <c r="Q16360" s="11"/>
      <c r="R16360" s="11"/>
      <c r="S16360" s="11"/>
      <c r="T16360" s="11"/>
    </row>
    <row r="16361" spans="8:20" x14ac:dyDescent="0.35">
      <c r="H16361" s="711"/>
      <c r="I16361" s="711"/>
      <c r="J16361" s="711"/>
      <c r="K16361" s="711"/>
      <c r="L16361" s="711"/>
      <c r="Q16361" s="11"/>
      <c r="R16361" s="11"/>
      <c r="S16361" s="11"/>
      <c r="T16361" s="11"/>
    </row>
    <row r="16362" spans="8:20" x14ac:dyDescent="0.35">
      <c r="H16362" s="711"/>
      <c r="I16362" s="711"/>
      <c r="J16362" s="711"/>
      <c r="K16362" s="711"/>
      <c r="L16362" s="711"/>
      <c r="Q16362" s="11"/>
      <c r="R16362" s="11"/>
      <c r="S16362" s="11"/>
      <c r="T16362" s="11"/>
    </row>
    <row r="16363" spans="8:20" x14ac:dyDescent="0.35">
      <c r="H16363" s="711"/>
      <c r="I16363" s="711"/>
      <c r="J16363" s="711"/>
      <c r="K16363" s="711"/>
      <c r="L16363" s="711"/>
      <c r="Q16363" s="11"/>
      <c r="R16363" s="11"/>
      <c r="S16363" s="11"/>
      <c r="T16363" s="11"/>
    </row>
    <row r="16364" spans="8:20" x14ac:dyDescent="0.35">
      <c r="H16364" s="711"/>
      <c r="I16364" s="711"/>
      <c r="J16364" s="711"/>
      <c r="K16364" s="711"/>
      <c r="L16364" s="711"/>
      <c r="Q16364" s="11"/>
      <c r="R16364" s="11"/>
      <c r="S16364" s="11"/>
      <c r="T16364" s="11"/>
    </row>
    <row r="16365" spans="8:20" x14ac:dyDescent="0.35">
      <c r="H16365" s="711"/>
      <c r="I16365" s="711"/>
      <c r="J16365" s="711"/>
      <c r="K16365" s="711"/>
      <c r="L16365" s="711"/>
      <c r="Q16365" s="11"/>
      <c r="R16365" s="11"/>
      <c r="S16365" s="11"/>
      <c r="T16365" s="11"/>
    </row>
    <row r="16366" spans="8:20" x14ac:dyDescent="0.35">
      <c r="H16366" s="711"/>
      <c r="I16366" s="711"/>
      <c r="J16366" s="711"/>
      <c r="K16366" s="711"/>
      <c r="L16366" s="711"/>
      <c r="Q16366" s="11"/>
      <c r="R16366" s="11"/>
      <c r="S16366" s="11"/>
      <c r="T16366" s="11"/>
    </row>
    <row r="16367" spans="8:20" x14ac:dyDescent="0.35">
      <c r="H16367" s="711"/>
      <c r="I16367" s="711"/>
      <c r="J16367" s="711"/>
      <c r="K16367" s="711"/>
      <c r="L16367" s="711"/>
      <c r="Q16367" s="11"/>
      <c r="R16367" s="11"/>
      <c r="S16367" s="11"/>
      <c r="T16367" s="11"/>
    </row>
    <row r="16368" spans="8:20" x14ac:dyDescent="0.35">
      <c r="H16368" s="711"/>
      <c r="I16368" s="711"/>
      <c r="J16368" s="711"/>
      <c r="K16368" s="711"/>
      <c r="L16368" s="711"/>
      <c r="Q16368" s="11"/>
      <c r="R16368" s="11"/>
      <c r="S16368" s="11"/>
      <c r="T16368" s="11"/>
    </row>
    <row r="16369" spans="8:20" x14ac:dyDescent="0.35">
      <c r="H16369" s="711"/>
      <c r="I16369" s="711"/>
      <c r="J16369" s="711"/>
      <c r="K16369" s="711"/>
      <c r="L16369" s="711"/>
      <c r="Q16369" s="11"/>
      <c r="R16369" s="11"/>
      <c r="S16369" s="11"/>
      <c r="T16369" s="11"/>
    </row>
    <row r="16370" spans="8:20" x14ac:dyDescent="0.35">
      <c r="H16370" s="711"/>
      <c r="I16370" s="711"/>
      <c r="J16370" s="711"/>
      <c r="K16370" s="711"/>
      <c r="L16370" s="711"/>
      <c r="Q16370" s="11"/>
      <c r="R16370" s="11"/>
      <c r="S16370" s="11"/>
      <c r="T16370" s="11"/>
    </row>
    <row r="16371" spans="8:20" x14ac:dyDescent="0.35">
      <c r="H16371" s="711"/>
      <c r="I16371" s="711"/>
      <c r="J16371" s="711"/>
      <c r="K16371" s="711"/>
      <c r="L16371" s="711"/>
      <c r="Q16371" s="11"/>
      <c r="R16371" s="11"/>
      <c r="S16371" s="11"/>
      <c r="T16371" s="11"/>
    </row>
    <row r="16372" spans="8:20" x14ac:dyDescent="0.35">
      <c r="H16372" s="711"/>
      <c r="I16372" s="711"/>
      <c r="J16372" s="711"/>
      <c r="K16372" s="711"/>
      <c r="L16372" s="711"/>
      <c r="Q16372" s="11"/>
      <c r="R16372" s="11"/>
      <c r="S16372" s="11"/>
      <c r="T16372" s="11"/>
    </row>
    <row r="16373" spans="8:20" x14ac:dyDescent="0.35">
      <c r="H16373" s="711"/>
      <c r="I16373" s="711"/>
      <c r="J16373" s="711"/>
      <c r="K16373" s="711"/>
      <c r="L16373" s="711"/>
      <c r="Q16373" s="11"/>
      <c r="R16373" s="11"/>
      <c r="S16373" s="11"/>
      <c r="T16373" s="11"/>
    </row>
    <row r="16374" spans="8:20" x14ac:dyDescent="0.35">
      <c r="H16374" s="711"/>
      <c r="I16374" s="711"/>
      <c r="J16374" s="711"/>
      <c r="K16374" s="711"/>
      <c r="L16374" s="711"/>
      <c r="Q16374" s="11"/>
      <c r="R16374" s="11"/>
      <c r="S16374" s="11"/>
      <c r="T16374" s="11"/>
    </row>
    <row r="16375" spans="8:20" x14ac:dyDescent="0.35">
      <c r="H16375" s="711"/>
      <c r="I16375" s="711"/>
      <c r="J16375" s="711"/>
      <c r="K16375" s="711"/>
      <c r="L16375" s="711"/>
      <c r="Q16375" s="11"/>
      <c r="R16375" s="11"/>
      <c r="S16375" s="11"/>
      <c r="T16375" s="11"/>
    </row>
    <row r="16376" spans="8:20" x14ac:dyDescent="0.35">
      <c r="H16376" s="711"/>
      <c r="I16376" s="711"/>
      <c r="J16376" s="711"/>
      <c r="K16376" s="711"/>
      <c r="L16376" s="711"/>
      <c r="Q16376" s="11"/>
      <c r="R16376" s="11"/>
      <c r="S16376" s="11"/>
      <c r="T16376" s="11"/>
    </row>
    <row r="16377" spans="8:20" x14ac:dyDescent="0.35">
      <c r="H16377" s="711"/>
      <c r="I16377" s="711"/>
      <c r="J16377" s="711"/>
      <c r="K16377" s="711"/>
      <c r="L16377" s="711"/>
      <c r="Q16377" s="11"/>
      <c r="R16377" s="11"/>
      <c r="S16377" s="11"/>
      <c r="T16377" s="11"/>
    </row>
    <row r="16378" spans="8:20" x14ac:dyDescent="0.35">
      <c r="H16378" s="711"/>
      <c r="I16378" s="711"/>
      <c r="J16378" s="711"/>
      <c r="K16378" s="711"/>
      <c r="L16378" s="711"/>
      <c r="Q16378" s="11"/>
      <c r="R16378" s="11"/>
      <c r="S16378" s="11"/>
      <c r="T16378" s="11"/>
    </row>
    <row r="16379" spans="8:20" x14ac:dyDescent="0.35">
      <c r="H16379" s="711"/>
      <c r="I16379" s="711"/>
      <c r="J16379" s="711"/>
      <c r="K16379" s="711"/>
      <c r="L16379" s="711"/>
      <c r="Q16379" s="11"/>
      <c r="R16379" s="11"/>
      <c r="S16379" s="11"/>
      <c r="T16379" s="11"/>
    </row>
    <row r="16380" spans="8:20" x14ac:dyDescent="0.35">
      <c r="H16380" s="711"/>
      <c r="I16380" s="711"/>
      <c r="J16380" s="711"/>
      <c r="K16380" s="711"/>
      <c r="L16380" s="711"/>
      <c r="Q16380" s="11"/>
      <c r="R16380" s="11"/>
      <c r="S16380" s="11"/>
      <c r="T16380" s="11"/>
    </row>
    <row r="16381" spans="8:20" x14ac:dyDescent="0.35">
      <c r="H16381" s="711"/>
      <c r="I16381" s="711"/>
      <c r="J16381" s="711"/>
      <c r="K16381" s="711"/>
      <c r="L16381" s="711"/>
      <c r="Q16381" s="11"/>
      <c r="R16381" s="11"/>
      <c r="S16381" s="11"/>
      <c r="T16381" s="11"/>
    </row>
    <row r="16382" spans="8:20" x14ac:dyDescent="0.35">
      <c r="H16382" s="711"/>
      <c r="I16382" s="711"/>
      <c r="J16382" s="711"/>
      <c r="K16382" s="711"/>
      <c r="L16382" s="711"/>
      <c r="Q16382" s="11"/>
      <c r="R16382" s="11"/>
      <c r="S16382" s="11"/>
      <c r="T16382" s="11"/>
    </row>
    <row r="16383" spans="8:20" x14ac:dyDescent="0.35">
      <c r="H16383" s="711"/>
      <c r="I16383" s="711"/>
      <c r="J16383" s="711"/>
      <c r="K16383" s="711"/>
      <c r="L16383" s="711"/>
      <c r="Q16383" s="11"/>
      <c r="R16383" s="11"/>
      <c r="S16383" s="11"/>
      <c r="T16383" s="11"/>
    </row>
    <row r="16384" spans="8:20" x14ac:dyDescent="0.35">
      <c r="H16384" s="711"/>
      <c r="I16384" s="711"/>
      <c r="J16384" s="711"/>
      <c r="K16384" s="711"/>
      <c r="L16384" s="711"/>
      <c r="Q16384" s="11"/>
      <c r="R16384" s="11"/>
      <c r="S16384" s="11"/>
      <c r="T16384" s="11"/>
    </row>
    <row r="16385" spans="8:20" x14ac:dyDescent="0.35">
      <c r="H16385" s="711"/>
      <c r="I16385" s="711"/>
      <c r="J16385" s="711"/>
      <c r="K16385" s="711"/>
      <c r="L16385" s="711"/>
      <c r="Q16385" s="11"/>
      <c r="R16385" s="11"/>
      <c r="S16385" s="11"/>
      <c r="T16385" s="11"/>
    </row>
    <row r="16386" spans="8:20" x14ac:dyDescent="0.35">
      <c r="H16386" s="711"/>
      <c r="I16386" s="711"/>
      <c r="J16386" s="711"/>
      <c r="K16386" s="711"/>
      <c r="L16386" s="711"/>
      <c r="Q16386" s="11"/>
      <c r="R16386" s="11"/>
      <c r="S16386" s="11"/>
      <c r="T16386" s="11"/>
    </row>
    <row r="16387" spans="8:20" x14ac:dyDescent="0.35">
      <c r="H16387" s="711"/>
      <c r="I16387" s="711"/>
      <c r="J16387" s="711"/>
      <c r="K16387" s="711"/>
      <c r="L16387" s="711"/>
      <c r="Q16387" s="11"/>
      <c r="R16387" s="11"/>
      <c r="S16387" s="11"/>
      <c r="T16387" s="11"/>
    </row>
    <row r="16388" spans="8:20" x14ac:dyDescent="0.35">
      <c r="H16388" s="711"/>
      <c r="I16388" s="711"/>
      <c r="J16388" s="711"/>
      <c r="K16388" s="711"/>
      <c r="L16388" s="711"/>
      <c r="Q16388" s="11"/>
      <c r="R16388" s="11"/>
      <c r="S16388" s="11"/>
      <c r="T16388" s="11"/>
    </row>
    <row r="16389" spans="8:20" x14ac:dyDescent="0.35">
      <c r="H16389" s="711"/>
      <c r="I16389" s="711"/>
      <c r="J16389" s="711"/>
      <c r="K16389" s="711"/>
      <c r="L16389" s="711"/>
      <c r="Q16389" s="11"/>
      <c r="R16389" s="11"/>
      <c r="S16389" s="11"/>
      <c r="T16389" s="11"/>
    </row>
    <row r="16390" spans="8:20" x14ac:dyDescent="0.35">
      <c r="H16390" s="711"/>
      <c r="I16390" s="711"/>
      <c r="J16390" s="711"/>
      <c r="K16390" s="711"/>
      <c r="L16390" s="711"/>
      <c r="Q16390" s="11"/>
      <c r="R16390" s="11"/>
      <c r="S16390" s="11"/>
      <c r="T16390" s="11"/>
    </row>
    <row r="16391" spans="8:20" x14ac:dyDescent="0.35">
      <c r="H16391" s="711"/>
      <c r="I16391" s="711"/>
      <c r="J16391" s="711"/>
      <c r="K16391" s="711"/>
      <c r="L16391" s="711"/>
      <c r="Q16391" s="11"/>
      <c r="R16391" s="11"/>
      <c r="S16391" s="11"/>
      <c r="T16391" s="11"/>
    </row>
    <row r="16392" spans="8:20" x14ac:dyDescent="0.35">
      <c r="H16392" s="711"/>
      <c r="I16392" s="711"/>
      <c r="J16392" s="711"/>
      <c r="K16392" s="711"/>
      <c r="L16392" s="711"/>
      <c r="Q16392" s="11"/>
      <c r="R16392" s="11"/>
      <c r="S16392" s="11"/>
      <c r="T16392" s="11"/>
    </row>
    <row r="16393" spans="8:20" x14ac:dyDescent="0.35">
      <c r="H16393" s="711"/>
      <c r="I16393" s="711"/>
      <c r="J16393" s="711"/>
      <c r="K16393" s="711"/>
      <c r="L16393" s="711"/>
      <c r="Q16393" s="11"/>
      <c r="R16393" s="11"/>
      <c r="S16393" s="11"/>
      <c r="T16393" s="11"/>
    </row>
    <row r="16394" spans="8:20" x14ac:dyDescent="0.35">
      <c r="H16394" s="711"/>
      <c r="I16394" s="711"/>
      <c r="J16394" s="711"/>
      <c r="K16394" s="711"/>
      <c r="L16394" s="711"/>
      <c r="Q16394" s="11"/>
      <c r="R16394" s="11"/>
      <c r="S16394" s="11"/>
      <c r="T16394" s="11"/>
    </row>
    <row r="16395" spans="8:20" x14ac:dyDescent="0.35">
      <c r="H16395" s="711"/>
      <c r="I16395" s="711"/>
      <c r="J16395" s="711"/>
      <c r="K16395" s="711"/>
      <c r="L16395" s="711"/>
      <c r="Q16395" s="11"/>
      <c r="R16395" s="11"/>
      <c r="S16395" s="11"/>
      <c r="T16395" s="11"/>
    </row>
    <row r="16396" spans="8:20" x14ac:dyDescent="0.35">
      <c r="H16396" s="711"/>
      <c r="I16396" s="711"/>
      <c r="J16396" s="711"/>
      <c r="K16396" s="711"/>
      <c r="L16396" s="711"/>
      <c r="Q16396" s="11"/>
      <c r="R16396" s="11"/>
      <c r="S16396" s="11"/>
      <c r="T16396" s="11"/>
    </row>
    <row r="16397" spans="8:20" x14ac:dyDescent="0.35">
      <c r="H16397" s="711"/>
      <c r="I16397" s="711"/>
      <c r="J16397" s="711"/>
      <c r="K16397" s="711"/>
      <c r="L16397" s="711"/>
      <c r="Q16397" s="11"/>
      <c r="R16397" s="11"/>
      <c r="S16397" s="11"/>
      <c r="T16397" s="11"/>
    </row>
    <row r="16398" spans="8:20" x14ac:dyDescent="0.35">
      <c r="H16398" s="711"/>
      <c r="I16398" s="711"/>
      <c r="J16398" s="711"/>
      <c r="K16398" s="711"/>
      <c r="L16398" s="711"/>
      <c r="Q16398" s="11"/>
      <c r="R16398" s="11"/>
      <c r="S16398" s="11"/>
      <c r="T16398" s="11"/>
    </row>
    <row r="16399" spans="8:20" x14ac:dyDescent="0.35">
      <c r="H16399" s="711"/>
      <c r="I16399" s="711"/>
      <c r="J16399" s="711"/>
      <c r="K16399" s="711"/>
      <c r="L16399" s="711"/>
      <c r="Q16399" s="11"/>
      <c r="R16399" s="11"/>
      <c r="S16399" s="11"/>
      <c r="T16399" s="11"/>
    </row>
    <row r="16400" spans="8:20" x14ac:dyDescent="0.35">
      <c r="H16400" s="711"/>
      <c r="I16400" s="711"/>
      <c r="J16400" s="711"/>
      <c r="K16400" s="711"/>
      <c r="L16400" s="711"/>
      <c r="Q16400" s="11"/>
      <c r="R16400" s="11"/>
      <c r="S16400" s="11"/>
      <c r="T16400" s="11"/>
    </row>
    <row r="16401" spans="8:20" x14ac:dyDescent="0.35">
      <c r="H16401" s="711"/>
      <c r="I16401" s="711"/>
      <c r="J16401" s="711"/>
      <c r="K16401" s="711"/>
      <c r="L16401" s="711"/>
      <c r="Q16401" s="11"/>
      <c r="R16401" s="11"/>
      <c r="S16401" s="11"/>
      <c r="T16401" s="11"/>
    </row>
    <row r="16402" spans="8:20" x14ac:dyDescent="0.35">
      <c r="H16402" s="711"/>
      <c r="I16402" s="711"/>
      <c r="J16402" s="711"/>
      <c r="K16402" s="711"/>
      <c r="L16402" s="711"/>
      <c r="Q16402" s="11"/>
      <c r="R16402" s="11"/>
      <c r="S16402" s="11"/>
      <c r="T16402" s="11"/>
    </row>
    <row r="16403" spans="8:20" x14ac:dyDescent="0.35">
      <c r="H16403" s="711"/>
      <c r="I16403" s="711"/>
      <c r="J16403" s="711"/>
      <c r="K16403" s="711"/>
      <c r="L16403" s="711"/>
      <c r="Q16403" s="11"/>
      <c r="R16403" s="11"/>
      <c r="S16403" s="11"/>
      <c r="T16403" s="11"/>
    </row>
    <row r="16404" spans="8:20" x14ac:dyDescent="0.35">
      <c r="H16404" s="711"/>
      <c r="I16404" s="711"/>
      <c r="J16404" s="711"/>
      <c r="K16404" s="711"/>
      <c r="L16404" s="711"/>
      <c r="Q16404" s="11"/>
      <c r="R16404" s="11"/>
      <c r="S16404" s="11"/>
      <c r="T16404" s="11"/>
    </row>
    <row r="16405" spans="8:20" x14ac:dyDescent="0.35">
      <c r="H16405" s="711"/>
      <c r="I16405" s="711"/>
      <c r="J16405" s="711"/>
      <c r="K16405" s="711"/>
      <c r="L16405" s="711"/>
      <c r="Q16405" s="11"/>
      <c r="R16405" s="11"/>
      <c r="S16405" s="11"/>
      <c r="T16405" s="11"/>
    </row>
    <row r="16406" spans="8:20" x14ac:dyDescent="0.35">
      <c r="H16406" s="711"/>
      <c r="I16406" s="711"/>
      <c r="J16406" s="711"/>
      <c r="K16406" s="711"/>
      <c r="L16406" s="711"/>
      <c r="Q16406" s="11"/>
      <c r="R16406" s="11"/>
      <c r="S16406" s="11"/>
      <c r="T16406" s="11"/>
    </row>
    <row r="16407" spans="8:20" x14ac:dyDescent="0.35">
      <c r="H16407" s="711"/>
      <c r="I16407" s="711"/>
      <c r="J16407" s="711"/>
      <c r="K16407" s="711"/>
      <c r="L16407" s="711"/>
      <c r="Q16407" s="11"/>
      <c r="R16407" s="11"/>
      <c r="S16407" s="11"/>
      <c r="T16407" s="11"/>
    </row>
    <row r="16408" spans="8:20" x14ac:dyDescent="0.35">
      <c r="H16408" s="711"/>
      <c r="I16408" s="711"/>
      <c r="J16408" s="711"/>
      <c r="K16408" s="711"/>
      <c r="L16408" s="711"/>
      <c r="Q16408" s="11"/>
      <c r="R16408" s="11"/>
      <c r="S16408" s="11"/>
      <c r="T16408" s="11"/>
    </row>
    <row r="16409" spans="8:20" x14ac:dyDescent="0.35">
      <c r="H16409" s="711"/>
      <c r="I16409" s="711"/>
      <c r="J16409" s="711"/>
      <c r="K16409" s="711"/>
      <c r="L16409" s="711"/>
      <c r="Q16409" s="11"/>
      <c r="R16409" s="11"/>
      <c r="S16409" s="11"/>
      <c r="T16409" s="11"/>
    </row>
    <row r="16410" spans="8:20" x14ac:dyDescent="0.35">
      <c r="H16410" s="711"/>
      <c r="I16410" s="711"/>
      <c r="J16410" s="711"/>
      <c r="K16410" s="711"/>
      <c r="L16410" s="711"/>
      <c r="Q16410" s="11"/>
      <c r="R16410" s="11"/>
      <c r="S16410" s="11"/>
      <c r="T16410" s="11"/>
    </row>
    <row r="16411" spans="8:20" x14ac:dyDescent="0.35">
      <c r="H16411" s="711"/>
      <c r="I16411" s="711"/>
      <c r="J16411" s="711"/>
      <c r="K16411" s="711"/>
      <c r="L16411" s="711"/>
      <c r="Q16411" s="11"/>
      <c r="R16411" s="11"/>
      <c r="S16411" s="11"/>
      <c r="T16411" s="11"/>
    </row>
    <row r="16412" spans="8:20" x14ac:dyDescent="0.35">
      <c r="H16412" s="711"/>
      <c r="I16412" s="711"/>
      <c r="J16412" s="711"/>
      <c r="K16412" s="711"/>
      <c r="L16412" s="711"/>
      <c r="Q16412" s="11"/>
      <c r="R16412" s="11"/>
      <c r="S16412" s="11"/>
      <c r="T16412" s="11"/>
    </row>
    <row r="16413" spans="8:20" x14ac:dyDescent="0.35">
      <c r="H16413" s="711"/>
      <c r="I16413" s="711"/>
      <c r="J16413" s="711"/>
      <c r="K16413" s="711"/>
      <c r="L16413" s="711"/>
      <c r="Q16413" s="11"/>
      <c r="R16413" s="11"/>
      <c r="S16413" s="11"/>
      <c r="T16413" s="11"/>
    </row>
    <row r="16414" spans="8:20" x14ac:dyDescent="0.35">
      <c r="H16414" s="711"/>
      <c r="I16414" s="711"/>
      <c r="J16414" s="711"/>
      <c r="K16414" s="711"/>
      <c r="L16414" s="711"/>
      <c r="Q16414" s="11"/>
      <c r="R16414" s="11"/>
      <c r="S16414" s="11"/>
      <c r="T16414" s="11"/>
    </row>
    <row r="16415" spans="8:20" x14ac:dyDescent="0.35">
      <c r="H16415" s="711"/>
      <c r="I16415" s="711"/>
      <c r="J16415" s="711"/>
      <c r="K16415" s="711"/>
      <c r="L16415" s="711"/>
      <c r="Q16415" s="11"/>
      <c r="R16415" s="11"/>
      <c r="S16415" s="11"/>
      <c r="T16415" s="11"/>
    </row>
    <row r="16416" spans="8:20" x14ac:dyDescent="0.35">
      <c r="H16416" s="711"/>
      <c r="I16416" s="711"/>
      <c r="J16416" s="711"/>
      <c r="K16416" s="711"/>
      <c r="L16416" s="711"/>
      <c r="Q16416" s="11"/>
      <c r="R16416" s="11"/>
      <c r="S16416" s="11"/>
      <c r="T16416" s="11"/>
    </row>
    <row r="16417" spans="8:20" x14ac:dyDescent="0.35">
      <c r="H16417" s="711"/>
      <c r="I16417" s="711"/>
      <c r="J16417" s="711"/>
      <c r="K16417" s="711"/>
      <c r="L16417" s="711"/>
      <c r="Q16417" s="11"/>
      <c r="R16417" s="11"/>
      <c r="S16417" s="11"/>
      <c r="T16417" s="11"/>
    </row>
    <row r="16418" spans="8:20" x14ac:dyDescent="0.35">
      <c r="H16418" s="711"/>
      <c r="I16418" s="711"/>
      <c r="J16418" s="711"/>
      <c r="K16418" s="711"/>
      <c r="L16418" s="711"/>
      <c r="Q16418" s="11"/>
      <c r="R16418" s="11"/>
      <c r="S16418" s="11"/>
      <c r="T16418" s="11"/>
    </row>
    <row r="16419" spans="8:20" x14ac:dyDescent="0.35">
      <c r="H16419" s="711"/>
      <c r="I16419" s="711"/>
      <c r="J16419" s="711"/>
      <c r="K16419" s="711"/>
      <c r="L16419" s="711"/>
      <c r="Q16419" s="11"/>
      <c r="R16419" s="11"/>
      <c r="S16419" s="11"/>
      <c r="T16419" s="11"/>
    </row>
    <row r="16420" spans="8:20" x14ac:dyDescent="0.35">
      <c r="H16420" s="711"/>
      <c r="I16420" s="711"/>
      <c r="J16420" s="711"/>
      <c r="K16420" s="711"/>
      <c r="L16420" s="711"/>
      <c r="Q16420" s="11"/>
      <c r="R16420" s="11"/>
      <c r="S16420" s="11"/>
      <c r="T16420" s="11"/>
    </row>
    <row r="16421" spans="8:20" x14ac:dyDescent="0.35">
      <c r="H16421" s="711"/>
      <c r="I16421" s="711"/>
      <c r="J16421" s="711"/>
      <c r="K16421" s="711"/>
      <c r="L16421" s="711"/>
      <c r="Q16421" s="11"/>
      <c r="R16421" s="11"/>
      <c r="S16421" s="11"/>
      <c r="T16421" s="11"/>
    </row>
    <row r="16422" spans="8:20" x14ac:dyDescent="0.35">
      <c r="H16422" s="711"/>
      <c r="I16422" s="711"/>
      <c r="J16422" s="711"/>
      <c r="K16422" s="711"/>
      <c r="L16422" s="711"/>
      <c r="Q16422" s="11"/>
      <c r="R16422" s="11"/>
      <c r="S16422" s="11"/>
      <c r="T16422" s="11"/>
    </row>
    <row r="16423" spans="8:20" x14ac:dyDescent="0.35">
      <c r="H16423" s="711"/>
      <c r="I16423" s="711"/>
      <c r="J16423" s="711"/>
      <c r="K16423" s="711"/>
      <c r="L16423" s="711"/>
      <c r="Q16423" s="11"/>
      <c r="R16423" s="11"/>
      <c r="S16423" s="11"/>
      <c r="T16423" s="11"/>
    </row>
    <row r="16424" spans="8:20" x14ac:dyDescent="0.35">
      <c r="H16424" s="711"/>
      <c r="I16424" s="711"/>
      <c r="J16424" s="711"/>
      <c r="K16424" s="711"/>
      <c r="L16424" s="711"/>
      <c r="Q16424" s="11"/>
      <c r="R16424" s="11"/>
      <c r="S16424" s="11"/>
      <c r="T16424" s="11"/>
    </row>
    <row r="16425" spans="8:20" x14ac:dyDescent="0.35">
      <c r="H16425" s="711"/>
      <c r="I16425" s="711"/>
      <c r="J16425" s="711"/>
      <c r="K16425" s="711"/>
      <c r="L16425" s="711"/>
      <c r="Q16425" s="11"/>
      <c r="R16425" s="11"/>
      <c r="S16425" s="11"/>
      <c r="T16425" s="11"/>
    </row>
    <row r="16426" spans="8:20" x14ac:dyDescent="0.35">
      <c r="H16426" s="711"/>
      <c r="I16426" s="711"/>
      <c r="J16426" s="711"/>
      <c r="K16426" s="711"/>
      <c r="L16426" s="711"/>
      <c r="Q16426" s="11"/>
      <c r="R16426" s="11"/>
      <c r="S16426" s="11"/>
      <c r="T16426" s="11"/>
    </row>
    <row r="16427" spans="8:20" x14ac:dyDescent="0.35">
      <c r="H16427" s="711"/>
      <c r="I16427" s="711"/>
      <c r="J16427" s="711"/>
      <c r="K16427" s="711"/>
      <c r="L16427" s="711"/>
      <c r="Q16427" s="11"/>
      <c r="R16427" s="11"/>
      <c r="S16427" s="11"/>
      <c r="T16427" s="11"/>
    </row>
    <row r="16428" spans="8:20" x14ac:dyDescent="0.35">
      <c r="H16428" s="711"/>
      <c r="I16428" s="711"/>
      <c r="J16428" s="711"/>
      <c r="K16428" s="711"/>
      <c r="L16428" s="711"/>
      <c r="Q16428" s="11"/>
      <c r="R16428" s="11"/>
      <c r="S16428" s="11"/>
      <c r="T16428" s="11"/>
    </row>
    <row r="16429" spans="8:20" x14ac:dyDescent="0.35">
      <c r="H16429" s="711"/>
      <c r="I16429" s="711"/>
      <c r="J16429" s="711"/>
      <c r="K16429" s="711"/>
      <c r="L16429" s="711"/>
      <c r="Q16429" s="11"/>
      <c r="R16429" s="11"/>
      <c r="S16429" s="11"/>
      <c r="T16429" s="11"/>
    </row>
    <row r="16430" spans="8:20" x14ac:dyDescent="0.35">
      <c r="H16430" s="711"/>
      <c r="I16430" s="711"/>
      <c r="J16430" s="711"/>
      <c r="K16430" s="711"/>
      <c r="L16430" s="711"/>
      <c r="Q16430" s="11"/>
      <c r="R16430" s="11"/>
      <c r="S16430" s="11"/>
      <c r="T16430" s="11"/>
    </row>
    <row r="16431" spans="8:20" x14ac:dyDescent="0.35">
      <c r="H16431" s="711"/>
      <c r="I16431" s="711"/>
      <c r="J16431" s="711"/>
      <c r="K16431" s="711"/>
      <c r="L16431" s="711"/>
      <c r="Q16431" s="11"/>
      <c r="R16431" s="11"/>
      <c r="S16431" s="11"/>
      <c r="T16431" s="11"/>
    </row>
    <row r="16432" spans="8:20" x14ac:dyDescent="0.35">
      <c r="H16432" s="711"/>
      <c r="I16432" s="711"/>
      <c r="J16432" s="711"/>
      <c r="K16432" s="711"/>
      <c r="L16432" s="711"/>
      <c r="Q16432" s="11"/>
      <c r="R16432" s="11"/>
      <c r="S16432" s="11"/>
      <c r="T16432" s="11"/>
    </row>
    <row r="16433" spans="8:20" x14ac:dyDescent="0.35">
      <c r="H16433" s="711"/>
      <c r="I16433" s="711"/>
      <c r="J16433" s="711"/>
      <c r="K16433" s="711"/>
      <c r="L16433" s="711"/>
      <c r="Q16433" s="11"/>
      <c r="R16433" s="11"/>
      <c r="S16433" s="11"/>
      <c r="T16433" s="11"/>
    </row>
    <row r="16434" spans="8:20" x14ac:dyDescent="0.35">
      <c r="H16434" s="711"/>
      <c r="I16434" s="711"/>
      <c r="J16434" s="711"/>
      <c r="K16434" s="711"/>
      <c r="L16434" s="711"/>
      <c r="Q16434" s="11"/>
      <c r="R16434" s="11"/>
      <c r="S16434" s="11"/>
      <c r="T16434" s="11"/>
    </row>
    <row r="16435" spans="8:20" x14ac:dyDescent="0.35">
      <c r="H16435" s="711"/>
      <c r="I16435" s="711"/>
      <c r="J16435" s="711"/>
      <c r="K16435" s="711"/>
      <c r="L16435" s="711"/>
      <c r="Q16435" s="11"/>
      <c r="R16435" s="11"/>
      <c r="S16435" s="11"/>
      <c r="T16435" s="11"/>
    </row>
    <row r="16436" spans="8:20" x14ac:dyDescent="0.35">
      <c r="H16436" s="711"/>
      <c r="I16436" s="711"/>
      <c r="J16436" s="711"/>
      <c r="K16436" s="711"/>
      <c r="L16436" s="711"/>
      <c r="Q16436" s="11"/>
      <c r="R16436" s="11"/>
      <c r="S16436" s="11"/>
      <c r="T16436" s="11"/>
    </row>
    <row r="16437" spans="8:20" x14ac:dyDescent="0.35">
      <c r="H16437" s="711"/>
      <c r="I16437" s="711"/>
      <c r="J16437" s="711"/>
      <c r="K16437" s="711"/>
      <c r="L16437" s="711"/>
      <c r="Q16437" s="11"/>
      <c r="R16437" s="11"/>
      <c r="S16437" s="11"/>
      <c r="T16437" s="11"/>
    </row>
    <row r="16438" spans="8:20" x14ac:dyDescent="0.35">
      <c r="H16438" s="711"/>
      <c r="I16438" s="711"/>
      <c r="J16438" s="711"/>
      <c r="K16438" s="711"/>
      <c r="L16438" s="711"/>
      <c r="Q16438" s="11"/>
      <c r="R16438" s="11"/>
      <c r="S16438" s="11"/>
      <c r="T16438" s="11"/>
    </row>
    <row r="16439" spans="8:20" x14ac:dyDescent="0.35">
      <c r="H16439" s="711"/>
      <c r="I16439" s="711"/>
      <c r="J16439" s="711"/>
      <c r="K16439" s="711"/>
      <c r="L16439" s="711"/>
      <c r="Q16439" s="11"/>
      <c r="R16439" s="11"/>
      <c r="S16439" s="11"/>
      <c r="T16439" s="11"/>
    </row>
    <row r="16440" spans="8:20" x14ac:dyDescent="0.35">
      <c r="H16440" s="711"/>
      <c r="I16440" s="711"/>
      <c r="J16440" s="711"/>
      <c r="K16440" s="711"/>
      <c r="L16440" s="711"/>
      <c r="Q16440" s="11"/>
      <c r="R16440" s="11"/>
      <c r="S16440" s="11"/>
      <c r="T16440" s="11"/>
    </row>
    <row r="16441" spans="8:20" x14ac:dyDescent="0.35">
      <c r="H16441" s="711"/>
      <c r="I16441" s="711"/>
      <c r="J16441" s="711"/>
      <c r="K16441" s="711"/>
      <c r="L16441" s="711"/>
      <c r="Q16441" s="11"/>
      <c r="R16441" s="11"/>
      <c r="S16441" s="11"/>
      <c r="T16441" s="11"/>
    </row>
    <row r="16442" spans="8:20" x14ac:dyDescent="0.35">
      <c r="H16442" s="711"/>
      <c r="I16442" s="711"/>
      <c r="J16442" s="711"/>
      <c r="K16442" s="711"/>
      <c r="L16442" s="711"/>
      <c r="Q16442" s="11"/>
      <c r="R16442" s="11"/>
      <c r="S16442" s="11"/>
      <c r="T16442" s="11"/>
    </row>
    <row r="16443" spans="8:20" x14ac:dyDescent="0.35">
      <c r="H16443" s="711"/>
      <c r="I16443" s="711"/>
      <c r="J16443" s="711"/>
      <c r="K16443" s="711"/>
      <c r="L16443" s="711"/>
      <c r="Q16443" s="11"/>
      <c r="R16443" s="11"/>
      <c r="S16443" s="11"/>
      <c r="T16443" s="11"/>
    </row>
    <row r="16444" spans="8:20" x14ac:dyDescent="0.35">
      <c r="H16444" s="711"/>
      <c r="I16444" s="711"/>
      <c r="J16444" s="711"/>
      <c r="K16444" s="711"/>
      <c r="L16444" s="711"/>
      <c r="Q16444" s="11"/>
      <c r="R16444" s="11"/>
      <c r="S16444" s="11"/>
      <c r="T16444" s="11"/>
    </row>
    <row r="16445" spans="8:20" x14ac:dyDescent="0.35">
      <c r="H16445" s="711"/>
      <c r="I16445" s="711"/>
      <c r="J16445" s="711"/>
      <c r="K16445" s="711"/>
      <c r="L16445" s="711"/>
      <c r="Q16445" s="11"/>
      <c r="R16445" s="11"/>
      <c r="S16445" s="11"/>
      <c r="T16445" s="11"/>
    </row>
    <row r="16446" spans="8:20" x14ac:dyDescent="0.35">
      <c r="H16446" s="711"/>
      <c r="I16446" s="711"/>
      <c r="J16446" s="711"/>
      <c r="K16446" s="711"/>
      <c r="L16446" s="711"/>
      <c r="Q16446" s="11"/>
      <c r="R16446" s="11"/>
      <c r="S16446" s="11"/>
      <c r="T16446" s="11"/>
    </row>
    <row r="16447" spans="8:20" x14ac:dyDescent="0.35">
      <c r="H16447" s="711"/>
      <c r="I16447" s="711"/>
      <c r="J16447" s="711"/>
      <c r="K16447" s="711"/>
      <c r="L16447" s="711"/>
      <c r="Q16447" s="11"/>
      <c r="R16447" s="11"/>
      <c r="S16447" s="11"/>
      <c r="T16447" s="11"/>
    </row>
    <row r="16448" spans="8:20" x14ac:dyDescent="0.35">
      <c r="H16448" s="711"/>
      <c r="I16448" s="711"/>
      <c r="J16448" s="711"/>
      <c r="K16448" s="711"/>
      <c r="L16448" s="711"/>
      <c r="Q16448" s="11"/>
      <c r="R16448" s="11"/>
      <c r="S16448" s="11"/>
      <c r="T16448" s="11"/>
    </row>
    <row r="16449" spans="8:20" x14ac:dyDescent="0.35">
      <c r="H16449" s="711"/>
      <c r="I16449" s="711"/>
      <c r="J16449" s="711"/>
      <c r="K16449" s="711"/>
      <c r="L16449" s="711"/>
      <c r="Q16449" s="11"/>
      <c r="R16449" s="11"/>
      <c r="S16449" s="11"/>
      <c r="T16449" s="11"/>
    </row>
    <row r="16450" spans="8:20" x14ac:dyDescent="0.35">
      <c r="H16450" s="711"/>
      <c r="I16450" s="711"/>
      <c r="J16450" s="711"/>
      <c r="K16450" s="711"/>
      <c r="L16450" s="711"/>
      <c r="Q16450" s="11"/>
      <c r="R16450" s="11"/>
      <c r="S16450" s="11"/>
      <c r="T16450" s="11"/>
    </row>
    <row r="16451" spans="8:20" x14ac:dyDescent="0.35">
      <c r="H16451" s="711"/>
      <c r="I16451" s="711"/>
      <c r="J16451" s="711"/>
      <c r="K16451" s="711"/>
      <c r="L16451" s="711"/>
      <c r="Q16451" s="11"/>
      <c r="R16451" s="11"/>
      <c r="S16451" s="11"/>
      <c r="T16451" s="11"/>
    </row>
    <row r="16452" spans="8:20" x14ac:dyDescent="0.35">
      <c r="H16452" s="711"/>
      <c r="I16452" s="711"/>
      <c r="J16452" s="711"/>
      <c r="K16452" s="711"/>
      <c r="L16452" s="711"/>
      <c r="Q16452" s="11"/>
      <c r="R16452" s="11"/>
      <c r="S16452" s="11"/>
      <c r="T16452" s="11"/>
    </row>
    <row r="16453" spans="8:20" x14ac:dyDescent="0.35">
      <c r="H16453" s="711"/>
      <c r="I16453" s="711"/>
      <c r="J16453" s="711"/>
      <c r="K16453" s="711"/>
      <c r="L16453" s="711"/>
      <c r="Q16453" s="11"/>
      <c r="R16453" s="11"/>
      <c r="S16453" s="11"/>
      <c r="T16453" s="11"/>
    </row>
    <row r="16454" spans="8:20" x14ac:dyDescent="0.35">
      <c r="H16454" s="711"/>
      <c r="I16454" s="711"/>
      <c r="J16454" s="711"/>
      <c r="K16454" s="711"/>
      <c r="L16454" s="711"/>
      <c r="Q16454" s="11"/>
      <c r="R16454" s="11"/>
      <c r="S16454" s="11"/>
      <c r="T16454" s="11"/>
    </row>
    <row r="16455" spans="8:20" x14ac:dyDescent="0.35">
      <c r="H16455" s="711"/>
      <c r="I16455" s="711"/>
      <c r="J16455" s="711"/>
      <c r="K16455" s="711"/>
      <c r="L16455" s="711"/>
      <c r="Q16455" s="11"/>
      <c r="R16455" s="11"/>
      <c r="S16455" s="11"/>
      <c r="T16455" s="11"/>
    </row>
    <row r="16456" spans="8:20" x14ac:dyDescent="0.35">
      <c r="H16456" s="711"/>
      <c r="I16456" s="711"/>
      <c r="J16456" s="711"/>
      <c r="K16456" s="711"/>
      <c r="L16456" s="711"/>
      <c r="Q16456" s="11"/>
      <c r="R16456" s="11"/>
      <c r="S16456" s="11"/>
      <c r="T16456" s="11"/>
    </row>
    <row r="16457" spans="8:20" x14ac:dyDescent="0.35">
      <c r="H16457" s="711"/>
      <c r="I16457" s="711"/>
      <c r="J16457" s="711"/>
      <c r="K16457" s="711"/>
      <c r="L16457" s="711"/>
      <c r="Q16457" s="11"/>
      <c r="R16457" s="11"/>
      <c r="S16457" s="11"/>
      <c r="T16457" s="11"/>
    </row>
    <row r="16458" spans="8:20" x14ac:dyDescent="0.35">
      <c r="H16458" s="711"/>
      <c r="I16458" s="711"/>
      <c r="J16458" s="711"/>
      <c r="K16458" s="711"/>
      <c r="L16458" s="711"/>
      <c r="Q16458" s="11"/>
      <c r="R16458" s="11"/>
      <c r="S16458" s="11"/>
      <c r="T16458" s="11"/>
    </row>
    <row r="16459" spans="8:20" x14ac:dyDescent="0.35">
      <c r="H16459" s="711"/>
      <c r="I16459" s="711"/>
      <c r="J16459" s="711"/>
      <c r="K16459" s="711"/>
      <c r="L16459" s="711"/>
      <c r="Q16459" s="11"/>
      <c r="R16459" s="11"/>
      <c r="S16459" s="11"/>
      <c r="T16459" s="11"/>
    </row>
    <row r="16460" spans="8:20" x14ac:dyDescent="0.35">
      <c r="H16460" s="711"/>
      <c r="I16460" s="711"/>
      <c r="J16460" s="711"/>
      <c r="K16460" s="711"/>
      <c r="L16460" s="711"/>
      <c r="Q16460" s="11"/>
      <c r="R16460" s="11"/>
      <c r="S16460" s="11"/>
      <c r="T16460" s="11"/>
    </row>
    <row r="16461" spans="8:20" x14ac:dyDescent="0.35">
      <c r="H16461" s="711"/>
      <c r="I16461" s="711"/>
      <c r="J16461" s="711"/>
      <c r="K16461" s="711"/>
      <c r="L16461" s="711"/>
      <c r="Q16461" s="11"/>
      <c r="R16461" s="11"/>
      <c r="S16461" s="11"/>
      <c r="T16461" s="11"/>
    </row>
    <row r="16462" spans="8:20" x14ac:dyDescent="0.35">
      <c r="H16462" s="711"/>
      <c r="I16462" s="711"/>
      <c r="J16462" s="711"/>
      <c r="K16462" s="711"/>
      <c r="L16462" s="711"/>
      <c r="Q16462" s="11"/>
      <c r="R16462" s="11"/>
      <c r="S16462" s="11"/>
      <c r="T16462" s="11"/>
    </row>
    <row r="16463" spans="8:20" x14ac:dyDescent="0.35">
      <c r="H16463" s="711"/>
      <c r="I16463" s="711"/>
      <c r="J16463" s="711"/>
      <c r="K16463" s="711"/>
      <c r="L16463" s="711"/>
      <c r="Q16463" s="11"/>
      <c r="R16463" s="11"/>
      <c r="S16463" s="11"/>
      <c r="T16463" s="11"/>
    </row>
    <row r="16464" spans="8:20" x14ac:dyDescent="0.35">
      <c r="H16464" s="711"/>
      <c r="I16464" s="711"/>
      <c r="J16464" s="711"/>
      <c r="K16464" s="711"/>
      <c r="L16464" s="711"/>
      <c r="Q16464" s="11"/>
      <c r="R16464" s="11"/>
      <c r="S16464" s="11"/>
      <c r="T16464" s="11"/>
    </row>
    <row r="16465" spans="8:20" x14ac:dyDescent="0.35">
      <c r="H16465" s="711"/>
      <c r="I16465" s="711"/>
      <c r="J16465" s="711"/>
      <c r="K16465" s="711"/>
      <c r="L16465" s="711"/>
      <c r="Q16465" s="11"/>
      <c r="R16465" s="11"/>
      <c r="S16465" s="11"/>
      <c r="T16465" s="11"/>
    </row>
    <row r="16466" spans="8:20" x14ac:dyDescent="0.35">
      <c r="H16466" s="711"/>
      <c r="I16466" s="711"/>
      <c r="J16466" s="711"/>
      <c r="K16466" s="711"/>
      <c r="L16466" s="711"/>
      <c r="Q16466" s="11"/>
      <c r="R16466" s="11"/>
      <c r="S16466" s="11"/>
      <c r="T16466" s="11"/>
    </row>
    <row r="16467" spans="8:20" x14ac:dyDescent="0.35">
      <c r="H16467" s="711"/>
      <c r="I16467" s="711"/>
      <c r="J16467" s="711"/>
      <c r="K16467" s="711"/>
      <c r="L16467" s="711"/>
      <c r="Q16467" s="11"/>
      <c r="R16467" s="11"/>
      <c r="S16467" s="11"/>
      <c r="T16467" s="11"/>
    </row>
    <row r="16468" spans="8:20" x14ac:dyDescent="0.35">
      <c r="H16468" s="711"/>
      <c r="I16468" s="711"/>
      <c r="J16468" s="711"/>
      <c r="K16468" s="711"/>
      <c r="L16468" s="711"/>
      <c r="Q16468" s="11"/>
      <c r="R16468" s="11"/>
      <c r="S16468" s="11"/>
      <c r="T16468" s="11"/>
    </row>
    <row r="16469" spans="8:20" x14ac:dyDescent="0.35">
      <c r="H16469" s="711"/>
      <c r="I16469" s="711"/>
      <c r="J16469" s="711"/>
      <c r="K16469" s="711"/>
      <c r="L16469" s="711"/>
      <c r="Q16469" s="11"/>
      <c r="R16469" s="11"/>
      <c r="S16469" s="11"/>
      <c r="T16469" s="11"/>
    </row>
    <row r="16470" spans="8:20" x14ac:dyDescent="0.35">
      <c r="H16470" s="711"/>
      <c r="I16470" s="711"/>
      <c r="J16470" s="711"/>
      <c r="K16470" s="711"/>
      <c r="L16470" s="711"/>
      <c r="Q16470" s="11"/>
      <c r="R16470" s="11"/>
      <c r="S16470" s="11"/>
      <c r="T16470" s="11"/>
    </row>
    <row r="16471" spans="8:20" x14ac:dyDescent="0.35">
      <c r="H16471" s="711"/>
      <c r="I16471" s="711"/>
      <c r="J16471" s="711"/>
      <c r="K16471" s="711"/>
      <c r="L16471" s="711"/>
      <c r="Q16471" s="11"/>
      <c r="R16471" s="11"/>
      <c r="S16471" s="11"/>
      <c r="T16471" s="11"/>
    </row>
    <row r="16472" spans="8:20" x14ac:dyDescent="0.35">
      <c r="H16472" s="711"/>
      <c r="I16472" s="711"/>
      <c r="J16472" s="711"/>
      <c r="K16472" s="711"/>
      <c r="L16472" s="711"/>
      <c r="Q16472" s="11"/>
      <c r="R16472" s="11"/>
      <c r="S16472" s="11"/>
      <c r="T16472" s="11"/>
    </row>
    <row r="16473" spans="8:20" x14ac:dyDescent="0.35">
      <c r="H16473" s="711"/>
      <c r="I16473" s="711"/>
      <c r="J16473" s="711"/>
      <c r="K16473" s="711"/>
      <c r="L16473" s="711"/>
      <c r="Q16473" s="11"/>
      <c r="R16473" s="11"/>
      <c r="S16473" s="11"/>
      <c r="T16473" s="11"/>
    </row>
    <row r="16474" spans="8:20" x14ac:dyDescent="0.35">
      <c r="H16474" s="711"/>
      <c r="I16474" s="711"/>
      <c r="J16474" s="711"/>
      <c r="K16474" s="711"/>
      <c r="L16474" s="711"/>
      <c r="Q16474" s="11"/>
      <c r="R16474" s="11"/>
      <c r="S16474" s="11"/>
      <c r="T16474" s="11"/>
    </row>
    <row r="16475" spans="8:20" x14ac:dyDescent="0.35">
      <c r="H16475" s="711"/>
      <c r="I16475" s="711"/>
      <c r="J16475" s="711"/>
      <c r="K16475" s="711"/>
      <c r="L16475" s="711"/>
      <c r="Q16475" s="11"/>
      <c r="R16475" s="11"/>
      <c r="S16475" s="11"/>
      <c r="T16475" s="11"/>
    </row>
    <row r="16476" spans="8:20" x14ac:dyDescent="0.35">
      <c r="H16476" s="711"/>
      <c r="I16476" s="711"/>
      <c r="J16476" s="711"/>
      <c r="K16476" s="711"/>
      <c r="L16476" s="711"/>
      <c r="Q16476" s="11"/>
      <c r="R16476" s="11"/>
      <c r="S16476" s="11"/>
      <c r="T16476" s="11"/>
    </row>
    <row r="16477" spans="8:20" x14ac:dyDescent="0.35">
      <c r="H16477" s="711"/>
      <c r="I16477" s="711"/>
      <c r="J16477" s="711"/>
      <c r="K16477" s="711"/>
      <c r="L16477" s="711"/>
      <c r="Q16477" s="11"/>
      <c r="R16477" s="11"/>
      <c r="S16477" s="11"/>
      <c r="T16477" s="11"/>
    </row>
    <row r="16478" spans="8:20" x14ac:dyDescent="0.35">
      <c r="H16478" s="711"/>
      <c r="I16478" s="711"/>
      <c r="J16478" s="711"/>
      <c r="K16478" s="711"/>
      <c r="L16478" s="711"/>
      <c r="Q16478" s="11"/>
      <c r="R16478" s="11"/>
      <c r="S16478" s="11"/>
      <c r="T16478" s="11"/>
    </row>
    <row r="16479" spans="8:20" x14ac:dyDescent="0.35">
      <c r="H16479" s="711"/>
      <c r="I16479" s="711"/>
      <c r="J16479" s="711"/>
      <c r="K16479" s="711"/>
      <c r="L16479" s="711"/>
      <c r="Q16479" s="11"/>
      <c r="R16479" s="11"/>
      <c r="S16479" s="11"/>
      <c r="T16479" s="11"/>
    </row>
    <row r="16480" spans="8:20" x14ac:dyDescent="0.35">
      <c r="H16480" s="711"/>
      <c r="I16480" s="711"/>
      <c r="J16480" s="711"/>
      <c r="K16480" s="711"/>
      <c r="L16480" s="711"/>
      <c r="Q16480" s="11"/>
      <c r="R16480" s="11"/>
      <c r="S16480" s="11"/>
      <c r="T16480" s="11"/>
    </row>
    <row r="16481" spans="8:20" x14ac:dyDescent="0.35">
      <c r="H16481" s="711"/>
      <c r="I16481" s="711"/>
      <c r="J16481" s="711"/>
      <c r="K16481" s="711"/>
      <c r="L16481" s="711"/>
      <c r="Q16481" s="11"/>
      <c r="R16481" s="11"/>
      <c r="S16481" s="11"/>
      <c r="T16481" s="11"/>
    </row>
    <row r="16482" spans="8:20" x14ac:dyDescent="0.35">
      <c r="H16482" s="711"/>
      <c r="I16482" s="711"/>
      <c r="J16482" s="711"/>
      <c r="K16482" s="711"/>
      <c r="L16482" s="711"/>
      <c r="Q16482" s="11"/>
      <c r="R16482" s="11"/>
      <c r="S16482" s="11"/>
      <c r="T16482" s="11"/>
    </row>
    <row r="16483" spans="8:20" x14ac:dyDescent="0.35">
      <c r="H16483" s="711"/>
      <c r="I16483" s="711"/>
      <c r="J16483" s="711"/>
      <c r="K16483" s="711"/>
      <c r="L16483" s="711"/>
      <c r="Q16483" s="11"/>
      <c r="R16483" s="11"/>
      <c r="S16483" s="11"/>
      <c r="T16483" s="11"/>
    </row>
    <row r="16484" spans="8:20" x14ac:dyDescent="0.35">
      <c r="H16484" s="711"/>
      <c r="I16484" s="711"/>
      <c r="J16484" s="711"/>
      <c r="K16484" s="711"/>
      <c r="L16484" s="711"/>
      <c r="Q16484" s="11"/>
      <c r="R16484" s="11"/>
      <c r="S16484" s="11"/>
      <c r="T16484" s="11"/>
    </row>
    <row r="16485" spans="8:20" x14ac:dyDescent="0.35">
      <c r="H16485" s="711"/>
      <c r="I16485" s="711"/>
      <c r="J16485" s="711"/>
      <c r="K16485" s="711"/>
      <c r="L16485" s="711"/>
      <c r="Q16485" s="11"/>
      <c r="R16485" s="11"/>
      <c r="S16485" s="11"/>
      <c r="T16485" s="11"/>
    </row>
    <row r="16486" spans="8:20" x14ac:dyDescent="0.35">
      <c r="H16486" s="711"/>
      <c r="I16486" s="711"/>
      <c r="J16486" s="711"/>
      <c r="K16486" s="711"/>
      <c r="L16486" s="711"/>
      <c r="Q16486" s="11"/>
      <c r="R16486" s="11"/>
      <c r="S16486" s="11"/>
      <c r="T16486" s="11"/>
    </row>
    <row r="16487" spans="8:20" x14ac:dyDescent="0.35">
      <c r="H16487" s="711"/>
      <c r="I16487" s="711"/>
      <c r="J16487" s="711"/>
      <c r="K16487" s="711"/>
      <c r="L16487" s="711"/>
      <c r="Q16487" s="11"/>
      <c r="R16487" s="11"/>
      <c r="S16487" s="11"/>
      <c r="T16487" s="11"/>
    </row>
    <row r="16488" spans="8:20" x14ac:dyDescent="0.35">
      <c r="H16488" s="711"/>
      <c r="I16488" s="711"/>
      <c r="J16488" s="711"/>
      <c r="K16488" s="711"/>
      <c r="L16488" s="711"/>
      <c r="Q16488" s="11"/>
      <c r="R16488" s="11"/>
      <c r="S16488" s="11"/>
      <c r="T16488" s="11"/>
    </row>
    <row r="16489" spans="8:20" x14ac:dyDescent="0.35">
      <c r="H16489" s="711"/>
      <c r="I16489" s="711"/>
      <c r="J16489" s="711"/>
      <c r="K16489" s="711"/>
      <c r="L16489" s="711"/>
      <c r="Q16489" s="11"/>
      <c r="R16489" s="11"/>
      <c r="S16489" s="11"/>
      <c r="T16489" s="11"/>
    </row>
    <row r="16490" spans="8:20" x14ac:dyDescent="0.35">
      <c r="H16490" s="711"/>
      <c r="I16490" s="711"/>
      <c r="J16490" s="711"/>
      <c r="K16490" s="711"/>
      <c r="L16490" s="711"/>
      <c r="Q16490" s="11"/>
      <c r="R16490" s="11"/>
      <c r="S16490" s="11"/>
      <c r="T16490" s="11"/>
    </row>
    <row r="16491" spans="8:20" x14ac:dyDescent="0.35">
      <c r="H16491" s="711"/>
      <c r="I16491" s="711"/>
      <c r="J16491" s="711"/>
      <c r="K16491" s="711"/>
      <c r="L16491" s="711"/>
      <c r="Q16491" s="11"/>
      <c r="R16491" s="11"/>
      <c r="S16491" s="11"/>
      <c r="T16491" s="11"/>
    </row>
    <row r="16492" spans="8:20" x14ac:dyDescent="0.35">
      <c r="H16492" s="711"/>
      <c r="I16492" s="711"/>
      <c r="J16492" s="711"/>
      <c r="K16492" s="711"/>
      <c r="L16492" s="711"/>
      <c r="Q16492" s="11"/>
      <c r="R16492" s="11"/>
      <c r="S16492" s="11"/>
      <c r="T16492" s="11"/>
    </row>
    <row r="16493" spans="8:20" x14ac:dyDescent="0.35">
      <c r="H16493" s="711"/>
      <c r="I16493" s="711"/>
      <c r="J16493" s="711"/>
      <c r="K16493" s="711"/>
      <c r="L16493" s="711"/>
      <c r="Q16493" s="11"/>
      <c r="R16493" s="11"/>
      <c r="S16493" s="11"/>
      <c r="T16493" s="11"/>
    </row>
    <row r="16494" spans="8:20" x14ac:dyDescent="0.35">
      <c r="H16494" s="711"/>
      <c r="I16494" s="711"/>
      <c r="J16494" s="711"/>
      <c r="K16494" s="711"/>
      <c r="L16494" s="711"/>
      <c r="Q16494" s="11"/>
      <c r="R16494" s="11"/>
      <c r="S16494" s="11"/>
      <c r="T16494" s="11"/>
    </row>
    <row r="16495" spans="8:20" x14ac:dyDescent="0.35">
      <c r="H16495" s="711"/>
      <c r="I16495" s="711"/>
      <c r="J16495" s="711"/>
      <c r="K16495" s="711"/>
      <c r="L16495" s="711"/>
      <c r="Q16495" s="11"/>
      <c r="R16495" s="11"/>
      <c r="S16495" s="11"/>
      <c r="T16495" s="11"/>
    </row>
    <row r="16496" spans="8:20" x14ac:dyDescent="0.35">
      <c r="H16496" s="711"/>
      <c r="I16496" s="711"/>
      <c r="J16496" s="711"/>
      <c r="K16496" s="711"/>
      <c r="L16496" s="711"/>
      <c r="Q16496" s="11"/>
      <c r="R16496" s="11"/>
      <c r="S16496" s="11"/>
      <c r="T16496" s="11"/>
    </row>
    <row r="16497" spans="8:20" x14ac:dyDescent="0.35">
      <c r="H16497" s="711"/>
      <c r="I16497" s="711"/>
      <c r="J16497" s="711"/>
      <c r="K16497" s="711"/>
      <c r="L16497" s="711"/>
      <c r="Q16497" s="11"/>
      <c r="R16497" s="11"/>
      <c r="S16497" s="11"/>
      <c r="T16497" s="11"/>
    </row>
    <row r="16498" spans="8:20" x14ac:dyDescent="0.35">
      <c r="H16498" s="711"/>
      <c r="I16498" s="711"/>
      <c r="J16498" s="711"/>
      <c r="K16498" s="711"/>
      <c r="L16498" s="711"/>
      <c r="Q16498" s="11"/>
      <c r="R16498" s="11"/>
      <c r="S16498" s="11"/>
      <c r="T16498" s="11"/>
    </row>
    <row r="16499" spans="8:20" x14ac:dyDescent="0.35">
      <c r="H16499" s="711"/>
      <c r="I16499" s="711"/>
      <c r="J16499" s="711"/>
      <c r="K16499" s="711"/>
      <c r="L16499" s="711"/>
      <c r="Q16499" s="11"/>
      <c r="R16499" s="11"/>
      <c r="S16499" s="11"/>
      <c r="T16499" s="11"/>
    </row>
    <row r="16500" spans="8:20" x14ac:dyDescent="0.35">
      <c r="H16500" s="711"/>
      <c r="I16500" s="711"/>
      <c r="J16500" s="711"/>
      <c r="K16500" s="711"/>
      <c r="L16500" s="711"/>
      <c r="Q16500" s="11"/>
      <c r="R16500" s="11"/>
      <c r="S16500" s="11"/>
      <c r="T16500" s="11"/>
    </row>
    <row r="16501" spans="8:20" x14ac:dyDescent="0.35">
      <c r="H16501" s="711"/>
      <c r="I16501" s="711"/>
      <c r="J16501" s="711"/>
      <c r="K16501" s="711"/>
      <c r="L16501" s="711"/>
      <c r="Q16501" s="11"/>
      <c r="R16501" s="11"/>
      <c r="S16501" s="11"/>
      <c r="T16501" s="11"/>
    </row>
    <row r="16502" spans="8:20" x14ac:dyDescent="0.35">
      <c r="H16502" s="711"/>
      <c r="I16502" s="711"/>
      <c r="J16502" s="711"/>
      <c r="K16502" s="711"/>
      <c r="L16502" s="711"/>
      <c r="Q16502" s="11"/>
      <c r="R16502" s="11"/>
      <c r="S16502" s="11"/>
      <c r="T16502" s="11"/>
    </row>
    <row r="16503" spans="8:20" x14ac:dyDescent="0.35">
      <c r="H16503" s="711"/>
      <c r="I16503" s="711"/>
      <c r="J16503" s="711"/>
      <c r="K16503" s="711"/>
      <c r="L16503" s="711"/>
      <c r="Q16503" s="11"/>
      <c r="R16503" s="11"/>
      <c r="S16503" s="11"/>
      <c r="T16503" s="11"/>
    </row>
    <row r="16504" spans="8:20" x14ac:dyDescent="0.35">
      <c r="H16504" s="711"/>
      <c r="I16504" s="711"/>
      <c r="J16504" s="711"/>
      <c r="K16504" s="711"/>
      <c r="L16504" s="711"/>
      <c r="Q16504" s="11"/>
      <c r="R16504" s="11"/>
      <c r="S16504" s="11"/>
      <c r="T16504" s="11"/>
    </row>
    <row r="16505" spans="8:20" x14ac:dyDescent="0.35">
      <c r="H16505" s="711"/>
      <c r="I16505" s="711"/>
      <c r="J16505" s="711"/>
      <c r="K16505" s="711"/>
      <c r="L16505" s="711"/>
      <c r="Q16505" s="11"/>
      <c r="R16505" s="11"/>
      <c r="S16505" s="11"/>
      <c r="T16505" s="11"/>
    </row>
    <row r="16506" spans="8:20" x14ac:dyDescent="0.35">
      <c r="H16506" s="711"/>
      <c r="I16506" s="711"/>
      <c r="J16506" s="711"/>
      <c r="K16506" s="711"/>
      <c r="L16506" s="711"/>
      <c r="Q16506" s="11"/>
      <c r="R16506" s="11"/>
      <c r="S16506" s="11"/>
      <c r="T16506" s="11"/>
    </row>
    <row r="16507" spans="8:20" x14ac:dyDescent="0.35">
      <c r="H16507" s="711"/>
      <c r="I16507" s="711"/>
      <c r="J16507" s="711"/>
      <c r="K16507" s="711"/>
      <c r="L16507" s="711"/>
      <c r="Q16507" s="11"/>
      <c r="R16507" s="11"/>
      <c r="S16507" s="11"/>
      <c r="T16507" s="11"/>
    </row>
    <row r="16508" spans="8:20" x14ac:dyDescent="0.35">
      <c r="H16508" s="711"/>
      <c r="I16508" s="711"/>
      <c r="J16508" s="711"/>
      <c r="K16508" s="711"/>
      <c r="L16508" s="711"/>
      <c r="Q16508" s="11"/>
      <c r="R16508" s="11"/>
      <c r="S16508" s="11"/>
      <c r="T16508" s="11"/>
    </row>
    <row r="16509" spans="8:20" x14ac:dyDescent="0.35">
      <c r="H16509" s="711"/>
      <c r="I16509" s="711"/>
      <c r="J16509" s="711"/>
      <c r="K16509" s="711"/>
      <c r="L16509" s="711"/>
      <c r="Q16509" s="11"/>
      <c r="R16509" s="11"/>
      <c r="S16509" s="11"/>
      <c r="T16509" s="11"/>
    </row>
    <row r="16510" spans="8:20" x14ac:dyDescent="0.35">
      <c r="H16510" s="711"/>
      <c r="I16510" s="711"/>
      <c r="J16510" s="711"/>
      <c r="K16510" s="711"/>
      <c r="L16510" s="711"/>
      <c r="Q16510" s="11"/>
      <c r="R16510" s="11"/>
      <c r="S16510" s="11"/>
      <c r="T16510" s="11"/>
    </row>
    <row r="16511" spans="8:20" x14ac:dyDescent="0.35">
      <c r="H16511" s="711"/>
      <c r="I16511" s="711"/>
      <c r="J16511" s="711"/>
      <c r="K16511" s="711"/>
      <c r="L16511" s="711"/>
      <c r="Q16511" s="11"/>
      <c r="R16511" s="11"/>
      <c r="S16511" s="11"/>
      <c r="T16511" s="11"/>
    </row>
    <row r="16512" spans="8:20" x14ac:dyDescent="0.35">
      <c r="H16512" s="711"/>
      <c r="I16512" s="711"/>
      <c r="J16512" s="711"/>
      <c r="K16512" s="711"/>
      <c r="L16512" s="711"/>
      <c r="Q16512" s="11"/>
      <c r="R16512" s="11"/>
      <c r="S16512" s="11"/>
      <c r="T16512" s="11"/>
    </row>
    <row r="16513" spans="8:20" x14ac:dyDescent="0.35">
      <c r="H16513" s="711"/>
      <c r="I16513" s="711"/>
      <c r="J16513" s="711"/>
      <c r="K16513" s="711"/>
      <c r="L16513" s="711"/>
      <c r="Q16513" s="11"/>
      <c r="R16513" s="11"/>
      <c r="S16513" s="11"/>
      <c r="T16513" s="11"/>
    </row>
    <row r="16514" spans="8:20" x14ac:dyDescent="0.35">
      <c r="H16514" s="711"/>
      <c r="I16514" s="711"/>
      <c r="J16514" s="711"/>
      <c r="K16514" s="711"/>
      <c r="L16514" s="711"/>
      <c r="Q16514" s="11"/>
      <c r="R16514" s="11"/>
      <c r="S16514" s="11"/>
      <c r="T16514" s="11"/>
    </row>
    <row r="16515" spans="8:20" x14ac:dyDescent="0.35">
      <c r="H16515" s="711"/>
      <c r="I16515" s="711"/>
      <c r="J16515" s="711"/>
      <c r="K16515" s="711"/>
      <c r="L16515" s="711"/>
      <c r="Q16515" s="11"/>
      <c r="R16515" s="11"/>
      <c r="S16515" s="11"/>
      <c r="T16515" s="11"/>
    </row>
    <row r="16516" spans="8:20" x14ac:dyDescent="0.35">
      <c r="H16516" s="711"/>
      <c r="I16516" s="711"/>
      <c r="J16516" s="711"/>
      <c r="K16516" s="711"/>
      <c r="L16516" s="711"/>
      <c r="Q16516" s="11"/>
      <c r="R16516" s="11"/>
      <c r="S16516" s="11"/>
      <c r="T16516" s="11"/>
    </row>
    <row r="16517" spans="8:20" x14ac:dyDescent="0.35">
      <c r="H16517" s="711"/>
      <c r="I16517" s="711"/>
      <c r="J16517" s="711"/>
      <c r="K16517" s="711"/>
      <c r="L16517" s="711"/>
      <c r="Q16517" s="11"/>
      <c r="R16517" s="11"/>
      <c r="S16517" s="11"/>
      <c r="T16517" s="11"/>
    </row>
    <row r="16518" spans="8:20" x14ac:dyDescent="0.35">
      <c r="H16518" s="711"/>
      <c r="I16518" s="711"/>
      <c r="J16518" s="711"/>
      <c r="K16518" s="711"/>
      <c r="L16518" s="711"/>
      <c r="Q16518" s="11"/>
      <c r="R16518" s="11"/>
      <c r="S16518" s="11"/>
      <c r="T16518" s="11"/>
    </row>
    <row r="16519" spans="8:20" x14ac:dyDescent="0.35">
      <c r="H16519" s="711"/>
      <c r="I16519" s="711"/>
      <c r="J16519" s="711"/>
      <c r="K16519" s="711"/>
      <c r="L16519" s="711"/>
      <c r="Q16519" s="11"/>
      <c r="R16519" s="11"/>
      <c r="S16519" s="11"/>
      <c r="T16519" s="11"/>
    </row>
    <row r="16520" spans="8:20" x14ac:dyDescent="0.35">
      <c r="H16520" s="711"/>
      <c r="I16520" s="711"/>
      <c r="J16520" s="711"/>
      <c r="K16520" s="711"/>
      <c r="L16520" s="711"/>
      <c r="Q16520" s="11"/>
      <c r="R16520" s="11"/>
      <c r="S16520" s="11"/>
      <c r="T16520" s="11"/>
    </row>
    <row r="16521" spans="8:20" x14ac:dyDescent="0.35">
      <c r="H16521" s="711"/>
      <c r="I16521" s="711"/>
      <c r="J16521" s="711"/>
      <c r="K16521" s="711"/>
      <c r="L16521" s="711"/>
      <c r="Q16521" s="11"/>
      <c r="R16521" s="11"/>
      <c r="S16521" s="11"/>
      <c r="T16521" s="11"/>
    </row>
    <row r="16522" spans="8:20" x14ac:dyDescent="0.35">
      <c r="H16522" s="711"/>
      <c r="I16522" s="711"/>
      <c r="J16522" s="711"/>
      <c r="K16522" s="711"/>
      <c r="L16522" s="711"/>
      <c r="Q16522" s="11"/>
      <c r="R16522" s="11"/>
      <c r="S16522" s="11"/>
      <c r="T16522" s="11"/>
    </row>
    <row r="16523" spans="8:20" x14ac:dyDescent="0.35">
      <c r="H16523" s="711"/>
      <c r="I16523" s="711"/>
      <c r="J16523" s="711"/>
      <c r="K16523" s="711"/>
      <c r="L16523" s="711"/>
      <c r="Q16523" s="11"/>
      <c r="R16523" s="11"/>
      <c r="S16523" s="11"/>
      <c r="T16523" s="11"/>
    </row>
    <row r="16524" spans="8:20" x14ac:dyDescent="0.35">
      <c r="H16524" s="711"/>
      <c r="I16524" s="711"/>
      <c r="J16524" s="711"/>
      <c r="K16524" s="711"/>
      <c r="L16524" s="711"/>
      <c r="Q16524" s="11"/>
      <c r="R16524" s="11"/>
      <c r="S16524" s="11"/>
      <c r="T16524" s="11"/>
    </row>
    <row r="16525" spans="8:20" x14ac:dyDescent="0.35">
      <c r="H16525" s="711"/>
      <c r="I16525" s="711"/>
      <c r="J16525" s="711"/>
      <c r="K16525" s="711"/>
      <c r="L16525" s="711"/>
      <c r="Q16525" s="11"/>
      <c r="R16525" s="11"/>
      <c r="S16525" s="11"/>
      <c r="T16525" s="11"/>
    </row>
    <row r="16526" spans="8:20" x14ac:dyDescent="0.35">
      <c r="H16526" s="711"/>
      <c r="I16526" s="711"/>
      <c r="J16526" s="711"/>
      <c r="K16526" s="711"/>
      <c r="L16526" s="711"/>
      <c r="Q16526" s="11"/>
      <c r="R16526" s="11"/>
      <c r="S16526" s="11"/>
      <c r="T16526" s="11"/>
    </row>
    <row r="16527" spans="8:20" x14ac:dyDescent="0.35">
      <c r="H16527" s="711"/>
      <c r="I16527" s="711"/>
      <c r="J16527" s="711"/>
      <c r="K16527" s="711"/>
      <c r="L16527" s="711"/>
      <c r="Q16527" s="11"/>
      <c r="R16527" s="11"/>
      <c r="S16527" s="11"/>
      <c r="T16527" s="11"/>
    </row>
    <row r="16528" spans="8:20" x14ac:dyDescent="0.35">
      <c r="H16528" s="711"/>
      <c r="I16528" s="711"/>
      <c r="J16528" s="711"/>
      <c r="K16528" s="711"/>
      <c r="L16528" s="711"/>
      <c r="Q16528" s="11"/>
      <c r="R16528" s="11"/>
      <c r="S16528" s="11"/>
      <c r="T16528" s="11"/>
    </row>
    <row r="16529" spans="8:20" x14ac:dyDescent="0.35">
      <c r="H16529" s="711"/>
      <c r="I16529" s="711"/>
      <c r="J16529" s="711"/>
      <c r="K16529" s="711"/>
      <c r="L16529" s="711"/>
      <c r="Q16529" s="11"/>
      <c r="R16529" s="11"/>
      <c r="S16529" s="11"/>
      <c r="T16529" s="11"/>
    </row>
    <row r="16530" spans="8:20" x14ac:dyDescent="0.35">
      <c r="H16530" s="711"/>
      <c r="I16530" s="711"/>
      <c r="J16530" s="711"/>
      <c r="K16530" s="711"/>
      <c r="L16530" s="711"/>
      <c r="Q16530" s="11"/>
      <c r="R16530" s="11"/>
      <c r="S16530" s="11"/>
      <c r="T16530" s="11"/>
    </row>
    <row r="16531" spans="8:20" x14ac:dyDescent="0.35">
      <c r="H16531" s="711"/>
      <c r="I16531" s="711"/>
      <c r="J16531" s="711"/>
      <c r="K16531" s="711"/>
      <c r="L16531" s="711"/>
      <c r="Q16531" s="11"/>
      <c r="R16531" s="11"/>
      <c r="S16531" s="11"/>
      <c r="T16531" s="11"/>
    </row>
    <row r="16532" spans="8:20" x14ac:dyDescent="0.35">
      <c r="H16532" s="711"/>
      <c r="I16532" s="711"/>
      <c r="J16532" s="711"/>
      <c r="K16532" s="711"/>
      <c r="L16532" s="711"/>
      <c r="Q16532" s="11"/>
      <c r="R16532" s="11"/>
      <c r="S16532" s="11"/>
      <c r="T16532" s="11"/>
    </row>
    <row r="16533" spans="8:20" x14ac:dyDescent="0.35">
      <c r="H16533" s="711"/>
      <c r="I16533" s="711"/>
      <c r="J16533" s="711"/>
      <c r="K16533" s="711"/>
      <c r="L16533" s="711"/>
      <c r="Q16533" s="11"/>
      <c r="R16533" s="11"/>
      <c r="S16533" s="11"/>
      <c r="T16533" s="11"/>
    </row>
    <row r="16534" spans="8:20" x14ac:dyDescent="0.35">
      <c r="H16534" s="711"/>
      <c r="I16534" s="711"/>
      <c r="J16534" s="711"/>
      <c r="K16534" s="711"/>
      <c r="L16534" s="711"/>
      <c r="Q16534" s="11"/>
      <c r="R16534" s="11"/>
      <c r="S16534" s="11"/>
      <c r="T16534" s="11"/>
    </row>
    <row r="16535" spans="8:20" x14ac:dyDescent="0.35">
      <c r="H16535" s="711"/>
      <c r="I16535" s="711"/>
      <c r="J16535" s="711"/>
      <c r="K16535" s="711"/>
      <c r="L16535" s="711"/>
      <c r="Q16535" s="11"/>
      <c r="R16535" s="11"/>
      <c r="S16535" s="11"/>
      <c r="T16535" s="11"/>
    </row>
    <row r="16536" spans="8:20" x14ac:dyDescent="0.35">
      <c r="H16536" s="711"/>
      <c r="I16536" s="711"/>
      <c r="J16536" s="711"/>
      <c r="K16536" s="711"/>
      <c r="L16536" s="711"/>
      <c r="Q16536" s="11"/>
      <c r="R16536" s="11"/>
      <c r="S16536" s="11"/>
      <c r="T16536" s="11"/>
    </row>
    <row r="16537" spans="8:20" x14ac:dyDescent="0.35">
      <c r="H16537" s="711"/>
      <c r="I16537" s="711"/>
      <c r="J16537" s="711"/>
      <c r="K16537" s="711"/>
      <c r="L16537" s="711"/>
      <c r="Q16537" s="11"/>
      <c r="R16537" s="11"/>
      <c r="S16537" s="11"/>
      <c r="T16537" s="11"/>
    </row>
    <row r="16538" spans="8:20" x14ac:dyDescent="0.35">
      <c r="H16538" s="711"/>
      <c r="I16538" s="711"/>
      <c r="J16538" s="711"/>
      <c r="K16538" s="711"/>
      <c r="L16538" s="711"/>
      <c r="Q16538" s="11"/>
      <c r="R16538" s="11"/>
      <c r="S16538" s="11"/>
      <c r="T16538" s="11"/>
    </row>
    <row r="16539" spans="8:20" x14ac:dyDescent="0.35">
      <c r="H16539" s="711"/>
      <c r="I16539" s="711"/>
      <c r="J16539" s="711"/>
      <c r="K16539" s="711"/>
      <c r="L16539" s="711"/>
      <c r="Q16539" s="11"/>
      <c r="R16539" s="11"/>
      <c r="S16539" s="11"/>
      <c r="T16539" s="11"/>
    </row>
    <row r="16540" spans="8:20" x14ac:dyDescent="0.35">
      <c r="H16540" s="711"/>
      <c r="I16540" s="711"/>
      <c r="J16540" s="711"/>
      <c r="K16540" s="711"/>
      <c r="L16540" s="711"/>
      <c r="Q16540" s="11"/>
      <c r="R16540" s="11"/>
      <c r="S16540" s="11"/>
      <c r="T16540" s="11"/>
    </row>
    <row r="16541" spans="8:20" x14ac:dyDescent="0.35">
      <c r="H16541" s="711"/>
      <c r="I16541" s="711"/>
      <c r="J16541" s="711"/>
      <c r="K16541" s="711"/>
      <c r="L16541" s="711"/>
      <c r="Q16541" s="11"/>
      <c r="R16541" s="11"/>
      <c r="S16541" s="11"/>
      <c r="T16541" s="11"/>
    </row>
    <row r="16542" spans="8:20" x14ac:dyDescent="0.35">
      <c r="H16542" s="711"/>
      <c r="I16542" s="711"/>
      <c r="J16542" s="711"/>
      <c r="K16542" s="711"/>
      <c r="L16542" s="711"/>
      <c r="Q16542" s="11"/>
      <c r="R16542" s="11"/>
      <c r="S16542" s="11"/>
      <c r="T16542" s="11"/>
    </row>
    <row r="16543" spans="8:20" x14ac:dyDescent="0.35">
      <c r="H16543" s="711"/>
      <c r="I16543" s="711"/>
      <c r="J16543" s="711"/>
      <c r="K16543" s="711"/>
      <c r="L16543" s="711"/>
      <c r="Q16543" s="11"/>
      <c r="R16543" s="11"/>
      <c r="S16543" s="11"/>
      <c r="T16543" s="11"/>
    </row>
    <row r="16544" spans="8:20" x14ac:dyDescent="0.35">
      <c r="H16544" s="711"/>
      <c r="I16544" s="711"/>
      <c r="J16544" s="711"/>
      <c r="K16544" s="711"/>
      <c r="L16544" s="711"/>
      <c r="Q16544" s="11"/>
      <c r="R16544" s="11"/>
      <c r="S16544" s="11"/>
      <c r="T16544" s="11"/>
    </row>
    <row r="16545" spans="8:20" x14ac:dyDescent="0.35">
      <c r="H16545" s="711"/>
      <c r="I16545" s="711"/>
      <c r="J16545" s="711"/>
      <c r="K16545" s="711"/>
      <c r="L16545" s="711"/>
      <c r="Q16545" s="11"/>
      <c r="R16545" s="11"/>
      <c r="S16545" s="11"/>
      <c r="T16545" s="11"/>
    </row>
    <row r="16546" spans="8:20" x14ac:dyDescent="0.35">
      <c r="H16546" s="711"/>
      <c r="I16546" s="711"/>
      <c r="J16546" s="711"/>
      <c r="K16546" s="711"/>
      <c r="L16546" s="711"/>
      <c r="Q16546" s="11"/>
      <c r="R16546" s="11"/>
      <c r="S16546" s="11"/>
      <c r="T16546" s="11"/>
    </row>
    <row r="16547" spans="8:20" x14ac:dyDescent="0.35">
      <c r="H16547" s="711"/>
      <c r="I16547" s="711"/>
      <c r="J16547" s="711"/>
      <c r="K16547" s="711"/>
      <c r="L16547" s="711"/>
      <c r="Q16547" s="11"/>
      <c r="R16547" s="11"/>
      <c r="S16547" s="11"/>
      <c r="T16547" s="11"/>
    </row>
    <row r="16548" spans="8:20" x14ac:dyDescent="0.35">
      <c r="H16548" s="711"/>
      <c r="I16548" s="711"/>
      <c r="J16548" s="711"/>
      <c r="K16548" s="711"/>
      <c r="L16548" s="711"/>
      <c r="Q16548" s="11"/>
      <c r="R16548" s="11"/>
      <c r="S16548" s="11"/>
      <c r="T16548" s="11"/>
    </row>
    <row r="16549" spans="8:20" x14ac:dyDescent="0.35">
      <c r="H16549" s="711"/>
      <c r="I16549" s="711"/>
      <c r="J16549" s="711"/>
      <c r="K16549" s="711"/>
      <c r="L16549" s="711"/>
      <c r="Q16549" s="11"/>
      <c r="R16549" s="11"/>
      <c r="S16549" s="11"/>
      <c r="T16549" s="11"/>
    </row>
    <row r="16550" spans="8:20" x14ac:dyDescent="0.35">
      <c r="H16550" s="711"/>
      <c r="I16550" s="711"/>
      <c r="J16550" s="711"/>
      <c r="K16550" s="711"/>
      <c r="L16550" s="711"/>
      <c r="Q16550" s="11"/>
      <c r="R16550" s="11"/>
      <c r="S16550" s="11"/>
      <c r="T16550" s="11"/>
    </row>
    <row r="16551" spans="8:20" x14ac:dyDescent="0.35">
      <c r="H16551" s="711"/>
      <c r="I16551" s="711"/>
      <c r="J16551" s="711"/>
      <c r="K16551" s="711"/>
      <c r="L16551" s="711"/>
      <c r="Q16551" s="11"/>
      <c r="R16551" s="11"/>
      <c r="S16551" s="11"/>
      <c r="T16551" s="11"/>
    </row>
    <row r="16552" spans="8:20" x14ac:dyDescent="0.35">
      <c r="H16552" s="711"/>
      <c r="I16552" s="711"/>
      <c r="J16552" s="711"/>
      <c r="K16552" s="711"/>
      <c r="L16552" s="711"/>
      <c r="Q16552" s="11"/>
      <c r="R16552" s="11"/>
      <c r="S16552" s="11"/>
      <c r="T16552" s="11"/>
    </row>
    <row r="16553" spans="8:20" x14ac:dyDescent="0.35">
      <c r="H16553" s="711"/>
      <c r="I16553" s="711"/>
      <c r="J16553" s="711"/>
      <c r="K16553" s="711"/>
      <c r="L16553" s="711"/>
      <c r="Q16553" s="11"/>
      <c r="R16553" s="11"/>
      <c r="S16553" s="11"/>
      <c r="T16553" s="11"/>
    </row>
    <row r="16554" spans="8:20" x14ac:dyDescent="0.35">
      <c r="H16554" s="711"/>
      <c r="I16554" s="711"/>
      <c r="J16554" s="711"/>
      <c r="K16554" s="711"/>
      <c r="L16554" s="711"/>
      <c r="Q16554" s="11"/>
      <c r="R16554" s="11"/>
      <c r="S16554" s="11"/>
      <c r="T16554" s="11"/>
    </row>
    <row r="16555" spans="8:20" x14ac:dyDescent="0.35">
      <c r="H16555" s="711"/>
      <c r="I16555" s="711"/>
      <c r="J16555" s="711"/>
      <c r="K16555" s="711"/>
      <c r="L16555" s="711"/>
      <c r="Q16555" s="11"/>
      <c r="R16555" s="11"/>
      <c r="S16555" s="11"/>
      <c r="T16555" s="11"/>
    </row>
    <row r="16556" spans="8:20" x14ac:dyDescent="0.35">
      <c r="H16556" s="711"/>
      <c r="I16556" s="711"/>
      <c r="J16556" s="711"/>
      <c r="K16556" s="711"/>
      <c r="L16556" s="711"/>
      <c r="Q16556" s="11"/>
      <c r="R16556" s="11"/>
      <c r="S16556" s="11"/>
      <c r="T16556" s="11"/>
    </row>
    <row r="16557" spans="8:20" x14ac:dyDescent="0.35">
      <c r="H16557" s="711"/>
      <c r="I16557" s="711"/>
      <c r="J16557" s="711"/>
      <c r="K16557" s="711"/>
      <c r="L16557" s="711"/>
      <c r="Q16557" s="11"/>
      <c r="R16557" s="11"/>
      <c r="S16557" s="11"/>
      <c r="T16557" s="11"/>
    </row>
    <row r="16558" spans="8:20" x14ac:dyDescent="0.35">
      <c r="H16558" s="711"/>
      <c r="I16558" s="711"/>
      <c r="J16558" s="711"/>
      <c r="K16558" s="711"/>
      <c r="L16558" s="711"/>
      <c r="Q16558" s="11"/>
      <c r="R16558" s="11"/>
      <c r="S16558" s="11"/>
      <c r="T16558" s="11"/>
    </row>
    <row r="16559" spans="8:20" x14ac:dyDescent="0.35">
      <c r="H16559" s="711"/>
      <c r="I16559" s="711"/>
      <c r="J16559" s="711"/>
      <c r="K16559" s="711"/>
      <c r="L16559" s="711"/>
      <c r="Q16559" s="11"/>
      <c r="R16559" s="11"/>
      <c r="S16559" s="11"/>
      <c r="T16559" s="11"/>
    </row>
    <row r="16560" spans="8:20" x14ac:dyDescent="0.35">
      <c r="H16560" s="711"/>
      <c r="I16560" s="711"/>
      <c r="J16560" s="711"/>
      <c r="K16560" s="711"/>
      <c r="L16560" s="711"/>
      <c r="Q16560" s="11"/>
      <c r="R16560" s="11"/>
      <c r="S16560" s="11"/>
      <c r="T16560" s="11"/>
    </row>
    <row r="16561" spans="8:20" x14ac:dyDescent="0.35">
      <c r="H16561" s="711"/>
      <c r="I16561" s="711"/>
      <c r="J16561" s="711"/>
      <c r="K16561" s="711"/>
      <c r="L16561" s="711"/>
      <c r="Q16561" s="11"/>
      <c r="R16561" s="11"/>
      <c r="S16561" s="11"/>
      <c r="T16561" s="11"/>
    </row>
    <row r="16562" spans="8:20" x14ac:dyDescent="0.35">
      <c r="H16562" s="711"/>
      <c r="I16562" s="711"/>
      <c r="J16562" s="711"/>
      <c r="K16562" s="711"/>
      <c r="L16562" s="711"/>
      <c r="Q16562" s="11"/>
      <c r="R16562" s="11"/>
      <c r="S16562" s="11"/>
      <c r="T16562" s="11"/>
    </row>
    <row r="16563" spans="8:20" x14ac:dyDescent="0.35">
      <c r="H16563" s="711"/>
      <c r="I16563" s="711"/>
      <c r="J16563" s="711"/>
      <c r="K16563" s="711"/>
      <c r="L16563" s="711"/>
      <c r="Q16563" s="11"/>
      <c r="R16563" s="11"/>
      <c r="S16563" s="11"/>
      <c r="T16563" s="11"/>
    </row>
    <row r="16564" spans="8:20" x14ac:dyDescent="0.35">
      <c r="H16564" s="711"/>
      <c r="I16564" s="711"/>
      <c r="J16564" s="711"/>
      <c r="K16564" s="711"/>
      <c r="L16564" s="711"/>
      <c r="Q16564" s="11"/>
      <c r="R16564" s="11"/>
      <c r="S16564" s="11"/>
      <c r="T16564" s="11"/>
    </row>
    <row r="16565" spans="8:20" x14ac:dyDescent="0.35">
      <c r="H16565" s="711"/>
      <c r="I16565" s="711"/>
      <c r="J16565" s="711"/>
      <c r="K16565" s="711"/>
      <c r="L16565" s="711"/>
      <c r="Q16565" s="11"/>
      <c r="R16565" s="11"/>
      <c r="S16565" s="11"/>
      <c r="T16565" s="11"/>
    </row>
    <row r="16566" spans="8:20" x14ac:dyDescent="0.35">
      <c r="H16566" s="711"/>
      <c r="I16566" s="711"/>
      <c r="J16566" s="711"/>
      <c r="K16566" s="711"/>
      <c r="L16566" s="711"/>
      <c r="Q16566" s="11"/>
      <c r="R16566" s="11"/>
      <c r="S16566" s="11"/>
      <c r="T16566" s="11"/>
    </row>
    <row r="16567" spans="8:20" x14ac:dyDescent="0.35">
      <c r="H16567" s="711"/>
      <c r="I16567" s="711"/>
      <c r="J16567" s="711"/>
      <c r="K16567" s="711"/>
      <c r="L16567" s="711"/>
      <c r="Q16567" s="11"/>
      <c r="R16567" s="11"/>
      <c r="S16567" s="11"/>
      <c r="T16567" s="11"/>
    </row>
    <row r="16568" spans="8:20" x14ac:dyDescent="0.35">
      <c r="H16568" s="711"/>
      <c r="I16568" s="711"/>
      <c r="J16568" s="711"/>
      <c r="K16568" s="711"/>
      <c r="L16568" s="711"/>
      <c r="Q16568" s="11"/>
      <c r="R16568" s="11"/>
      <c r="S16568" s="11"/>
      <c r="T16568" s="11"/>
    </row>
    <row r="16569" spans="8:20" x14ac:dyDescent="0.35">
      <c r="H16569" s="711"/>
      <c r="I16569" s="711"/>
      <c r="J16569" s="711"/>
      <c r="K16569" s="711"/>
      <c r="L16569" s="711"/>
      <c r="Q16569" s="11"/>
      <c r="R16569" s="11"/>
      <c r="S16569" s="11"/>
      <c r="T16569" s="11"/>
    </row>
    <row r="16570" spans="8:20" x14ac:dyDescent="0.35">
      <c r="H16570" s="711"/>
      <c r="I16570" s="711"/>
      <c r="J16570" s="711"/>
      <c r="K16570" s="711"/>
      <c r="L16570" s="711"/>
      <c r="Q16570" s="11"/>
      <c r="R16570" s="11"/>
      <c r="S16570" s="11"/>
      <c r="T16570" s="11"/>
    </row>
    <row r="16571" spans="8:20" x14ac:dyDescent="0.35">
      <c r="H16571" s="711"/>
      <c r="I16571" s="711"/>
      <c r="J16571" s="711"/>
      <c r="K16571" s="711"/>
      <c r="L16571" s="711"/>
      <c r="Q16571" s="11"/>
      <c r="R16571" s="11"/>
      <c r="S16571" s="11"/>
      <c r="T16571" s="11"/>
    </row>
    <row r="16572" spans="8:20" x14ac:dyDescent="0.35">
      <c r="H16572" s="711"/>
      <c r="I16572" s="711"/>
      <c r="J16572" s="711"/>
      <c r="K16572" s="711"/>
      <c r="L16572" s="711"/>
      <c r="Q16572" s="11"/>
      <c r="R16572" s="11"/>
      <c r="S16572" s="11"/>
      <c r="T16572" s="11"/>
    </row>
    <row r="16573" spans="8:20" x14ac:dyDescent="0.35">
      <c r="H16573" s="711"/>
      <c r="I16573" s="711"/>
      <c r="J16573" s="711"/>
      <c r="K16573" s="711"/>
      <c r="L16573" s="711"/>
      <c r="Q16573" s="11"/>
      <c r="R16573" s="11"/>
      <c r="S16573" s="11"/>
      <c r="T16573" s="11"/>
    </row>
    <row r="16574" spans="8:20" x14ac:dyDescent="0.35">
      <c r="H16574" s="711"/>
      <c r="I16574" s="711"/>
      <c r="J16574" s="711"/>
      <c r="K16574" s="711"/>
      <c r="L16574" s="711"/>
      <c r="Q16574" s="11"/>
      <c r="R16574" s="11"/>
      <c r="S16574" s="11"/>
      <c r="T16574" s="11"/>
    </row>
    <row r="16575" spans="8:20" x14ac:dyDescent="0.35">
      <c r="H16575" s="711"/>
      <c r="I16575" s="711"/>
      <c r="J16575" s="711"/>
      <c r="K16575" s="711"/>
      <c r="L16575" s="711"/>
      <c r="Q16575" s="11"/>
      <c r="R16575" s="11"/>
      <c r="S16575" s="11"/>
      <c r="T16575" s="11"/>
    </row>
    <row r="16576" spans="8:20" x14ac:dyDescent="0.35">
      <c r="H16576" s="711"/>
      <c r="I16576" s="711"/>
      <c r="J16576" s="711"/>
      <c r="K16576" s="711"/>
      <c r="L16576" s="711"/>
      <c r="Q16576" s="11"/>
      <c r="R16576" s="11"/>
      <c r="S16576" s="11"/>
      <c r="T16576" s="11"/>
    </row>
    <row r="16577" spans="8:20" x14ac:dyDescent="0.35">
      <c r="H16577" s="711"/>
      <c r="I16577" s="711"/>
      <c r="J16577" s="711"/>
      <c r="K16577" s="711"/>
      <c r="L16577" s="711"/>
      <c r="Q16577" s="11"/>
      <c r="R16577" s="11"/>
      <c r="S16577" s="11"/>
      <c r="T16577" s="11"/>
    </row>
    <row r="16578" spans="8:20" x14ac:dyDescent="0.35">
      <c r="H16578" s="711"/>
      <c r="I16578" s="711"/>
      <c r="J16578" s="711"/>
      <c r="K16578" s="711"/>
      <c r="L16578" s="711"/>
      <c r="Q16578" s="11"/>
      <c r="R16578" s="11"/>
      <c r="S16578" s="11"/>
      <c r="T16578" s="11"/>
    </row>
    <row r="16579" spans="8:20" x14ac:dyDescent="0.35">
      <c r="H16579" s="711"/>
      <c r="I16579" s="711"/>
      <c r="J16579" s="711"/>
      <c r="K16579" s="711"/>
      <c r="L16579" s="711"/>
      <c r="Q16579" s="11"/>
      <c r="R16579" s="11"/>
      <c r="S16579" s="11"/>
      <c r="T16579" s="11"/>
    </row>
    <row r="16580" spans="8:20" x14ac:dyDescent="0.35">
      <c r="H16580" s="711"/>
      <c r="I16580" s="711"/>
      <c r="J16580" s="711"/>
      <c r="K16580" s="711"/>
      <c r="L16580" s="711"/>
      <c r="Q16580" s="11"/>
      <c r="R16580" s="11"/>
      <c r="S16580" s="11"/>
      <c r="T16580" s="11"/>
    </row>
    <row r="16581" spans="8:20" x14ac:dyDescent="0.35">
      <c r="H16581" s="711"/>
      <c r="I16581" s="711"/>
      <c r="J16581" s="711"/>
      <c r="K16581" s="711"/>
      <c r="L16581" s="711"/>
      <c r="Q16581" s="11"/>
      <c r="R16581" s="11"/>
      <c r="S16581" s="11"/>
      <c r="T16581" s="11"/>
    </row>
    <row r="16582" spans="8:20" x14ac:dyDescent="0.35">
      <c r="H16582" s="711"/>
      <c r="I16582" s="711"/>
      <c r="J16582" s="711"/>
      <c r="K16582" s="711"/>
      <c r="L16582" s="711"/>
      <c r="Q16582" s="11"/>
      <c r="R16582" s="11"/>
      <c r="S16582" s="11"/>
      <c r="T16582" s="11"/>
    </row>
    <row r="16583" spans="8:20" x14ac:dyDescent="0.35">
      <c r="H16583" s="711"/>
      <c r="I16583" s="711"/>
      <c r="J16583" s="711"/>
      <c r="K16583" s="711"/>
      <c r="L16583" s="711"/>
      <c r="Q16583" s="11"/>
      <c r="R16583" s="11"/>
      <c r="S16583" s="11"/>
      <c r="T16583" s="11"/>
    </row>
    <row r="16584" spans="8:20" x14ac:dyDescent="0.35">
      <c r="H16584" s="711"/>
      <c r="I16584" s="711"/>
      <c r="J16584" s="711"/>
      <c r="K16584" s="711"/>
      <c r="L16584" s="711"/>
      <c r="Q16584" s="11"/>
      <c r="R16584" s="11"/>
      <c r="S16584" s="11"/>
      <c r="T16584" s="11"/>
    </row>
    <row r="16585" spans="8:20" x14ac:dyDescent="0.35">
      <c r="H16585" s="711"/>
      <c r="I16585" s="711"/>
      <c r="J16585" s="711"/>
      <c r="K16585" s="711"/>
      <c r="L16585" s="711"/>
      <c r="Q16585" s="11"/>
      <c r="R16585" s="11"/>
      <c r="S16585" s="11"/>
      <c r="T16585" s="11"/>
    </row>
    <row r="16586" spans="8:20" x14ac:dyDescent="0.35">
      <c r="H16586" s="711"/>
      <c r="I16586" s="711"/>
      <c r="J16586" s="711"/>
      <c r="K16586" s="711"/>
      <c r="L16586" s="711"/>
      <c r="Q16586" s="11"/>
      <c r="R16586" s="11"/>
      <c r="S16586" s="11"/>
      <c r="T16586" s="11"/>
    </row>
    <row r="16587" spans="8:20" x14ac:dyDescent="0.35">
      <c r="H16587" s="711"/>
      <c r="I16587" s="711"/>
      <c r="J16587" s="711"/>
      <c r="K16587" s="711"/>
      <c r="L16587" s="711"/>
      <c r="Q16587" s="11"/>
      <c r="R16587" s="11"/>
      <c r="S16587" s="11"/>
      <c r="T16587" s="11"/>
    </row>
    <row r="16588" spans="8:20" x14ac:dyDescent="0.35">
      <c r="H16588" s="711"/>
      <c r="I16588" s="711"/>
      <c r="J16588" s="711"/>
      <c r="K16588" s="711"/>
      <c r="L16588" s="711"/>
      <c r="Q16588" s="11"/>
      <c r="R16588" s="11"/>
      <c r="S16588" s="11"/>
      <c r="T16588" s="11"/>
    </row>
    <row r="16589" spans="8:20" x14ac:dyDescent="0.35">
      <c r="H16589" s="711"/>
      <c r="I16589" s="711"/>
      <c r="J16589" s="711"/>
      <c r="K16589" s="711"/>
      <c r="L16589" s="711"/>
      <c r="Q16589" s="11"/>
      <c r="R16589" s="11"/>
      <c r="S16589" s="11"/>
      <c r="T16589" s="11"/>
    </row>
    <row r="16590" spans="8:20" x14ac:dyDescent="0.35">
      <c r="H16590" s="711"/>
      <c r="I16590" s="711"/>
      <c r="J16590" s="711"/>
      <c r="K16590" s="711"/>
      <c r="L16590" s="711"/>
      <c r="Q16590" s="11"/>
      <c r="R16590" s="11"/>
      <c r="S16590" s="11"/>
      <c r="T16590" s="11"/>
    </row>
    <row r="16591" spans="8:20" x14ac:dyDescent="0.35">
      <c r="H16591" s="711"/>
      <c r="I16591" s="711"/>
      <c r="J16591" s="711"/>
      <c r="K16591" s="711"/>
      <c r="L16591" s="711"/>
      <c r="Q16591" s="11"/>
      <c r="R16591" s="11"/>
      <c r="S16591" s="11"/>
      <c r="T16591" s="11"/>
    </row>
    <row r="16592" spans="8:20" x14ac:dyDescent="0.35">
      <c r="H16592" s="711"/>
      <c r="I16592" s="711"/>
      <c r="J16592" s="711"/>
      <c r="K16592" s="711"/>
      <c r="L16592" s="711"/>
      <c r="Q16592" s="11"/>
      <c r="R16592" s="11"/>
      <c r="S16592" s="11"/>
      <c r="T16592" s="11"/>
    </row>
    <row r="16593" spans="8:20" x14ac:dyDescent="0.35">
      <c r="H16593" s="711"/>
      <c r="I16593" s="711"/>
      <c r="J16593" s="711"/>
      <c r="K16593" s="711"/>
      <c r="L16593" s="711"/>
      <c r="Q16593" s="11"/>
      <c r="R16593" s="11"/>
      <c r="S16593" s="11"/>
      <c r="T16593" s="11"/>
    </row>
    <row r="16594" spans="8:20" x14ac:dyDescent="0.35">
      <c r="H16594" s="711"/>
      <c r="I16594" s="711"/>
      <c r="J16594" s="711"/>
      <c r="K16594" s="711"/>
      <c r="L16594" s="711"/>
      <c r="Q16594" s="11"/>
      <c r="R16594" s="11"/>
      <c r="S16594" s="11"/>
      <c r="T16594" s="11"/>
    </row>
    <row r="16595" spans="8:20" x14ac:dyDescent="0.35">
      <c r="H16595" s="711"/>
      <c r="I16595" s="711"/>
      <c r="J16595" s="711"/>
      <c r="K16595" s="711"/>
      <c r="L16595" s="711"/>
      <c r="Q16595" s="11"/>
      <c r="R16595" s="11"/>
      <c r="S16595" s="11"/>
      <c r="T16595" s="11"/>
    </row>
    <row r="16596" spans="8:20" x14ac:dyDescent="0.35">
      <c r="H16596" s="711"/>
      <c r="I16596" s="711"/>
      <c r="J16596" s="711"/>
      <c r="K16596" s="711"/>
      <c r="L16596" s="711"/>
      <c r="Q16596" s="11"/>
      <c r="R16596" s="11"/>
      <c r="S16596" s="11"/>
      <c r="T16596" s="11"/>
    </row>
    <row r="16597" spans="8:20" x14ac:dyDescent="0.35">
      <c r="H16597" s="711"/>
      <c r="I16597" s="711"/>
      <c r="J16597" s="711"/>
      <c r="K16597" s="711"/>
      <c r="L16597" s="711"/>
      <c r="Q16597" s="11"/>
      <c r="R16597" s="11"/>
      <c r="S16597" s="11"/>
      <c r="T16597" s="11"/>
    </row>
    <row r="16598" spans="8:20" x14ac:dyDescent="0.35">
      <c r="H16598" s="711"/>
      <c r="I16598" s="711"/>
      <c r="J16598" s="711"/>
      <c r="K16598" s="711"/>
      <c r="L16598" s="711"/>
      <c r="Q16598" s="11"/>
      <c r="R16598" s="11"/>
      <c r="S16598" s="11"/>
      <c r="T16598" s="11"/>
    </row>
    <row r="16599" spans="8:20" x14ac:dyDescent="0.35">
      <c r="H16599" s="711"/>
      <c r="I16599" s="711"/>
      <c r="J16599" s="711"/>
      <c r="K16599" s="711"/>
      <c r="L16599" s="711"/>
      <c r="Q16599" s="11"/>
      <c r="R16599" s="11"/>
      <c r="S16599" s="11"/>
      <c r="T16599" s="11"/>
    </row>
    <row r="16600" spans="8:20" x14ac:dyDescent="0.35">
      <c r="H16600" s="711"/>
      <c r="I16600" s="711"/>
      <c r="J16600" s="711"/>
      <c r="K16600" s="711"/>
      <c r="L16600" s="711"/>
      <c r="Q16600" s="11"/>
      <c r="R16600" s="11"/>
      <c r="S16600" s="11"/>
      <c r="T16600" s="11"/>
    </row>
    <row r="16601" spans="8:20" x14ac:dyDescent="0.35">
      <c r="H16601" s="711"/>
      <c r="I16601" s="711"/>
      <c r="J16601" s="711"/>
      <c r="K16601" s="711"/>
      <c r="L16601" s="711"/>
      <c r="Q16601" s="11"/>
      <c r="R16601" s="11"/>
      <c r="S16601" s="11"/>
      <c r="T16601" s="11"/>
    </row>
    <row r="16602" spans="8:20" x14ac:dyDescent="0.35">
      <c r="H16602" s="711"/>
      <c r="I16602" s="711"/>
      <c r="J16602" s="711"/>
      <c r="K16602" s="711"/>
      <c r="L16602" s="711"/>
      <c r="Q16602" s="11"/>
      <c r="R16602" s="11"/>
      <c r="S16602" s="11"/>
      <c r="T16602" s="11"/>
    </row>
    <row r="16603" spans="8:20" x14ac:dyDescent="0.35">
      <c r="H16603" s="711"/>
      <c r="I16603" s="711"/>
      <c r="J16603" s="711"/>
      <c r="K16603" s="711"/>
      <c r="L16603" s="711"/>
      <c r="Q16603" s="11"/>
      <c r="R16603" s="11"/>
      <c r="S16603" s="11"/>
      <c r="T16603" s="11"/>
    </row>
    <row r="16604" spans="8:20" x14ac:dyDescent="0.35">
      <c r="H16604" s="711"/>
      <c r="I16604" s="711"/>
      <c r="J16604" s="711"/>
      <c r="K16604" s="711"/>
      <c r="L16604" s="711"/>
      <c r="Q16604" s="11"/>
      <c r="R16604" s="11"/>
      <c r="S16604" s="11"/>
      <c r="T16604" s="11"/>
    </row>
    <row r="16605" spans="8:20" x14ac:dyDescent="0.35">
      <c r="H16605" s="711"/>
      <c r="I16605" s="711"/>
      <c r="J16605" s="711"/>
      <c r="K16605" s="711"/>
      <c r="L16605" s="711"/>
      <c r="Q16605" s="11"/>
      <c r="R16605" s="11"/>
      <c r="S16605" s="11"/>
      <c r="T16605" s="11"/>
    </row>
    <row r="16606" spans="8:20" x14ac:dyDescent="0.35">
      <c r="H16606" s="711"/>
      <c r="I16606" s="711"/>
      <c r="J16606" s="711"/>
      <c r="K16606" s="711"/>
      <c r="L16606" s="711"/>
      <c r="Q16606" s="11"/>
      <c r="R16606" s="11"/>
      <c r="S16606" s="11"/>
      <c r="T16606" s="11"/>
    </row>
    <row r="16607" spans="8:20" x14ac:dyDescent="0.35">
      <c r="H16607" s="711"/>
      <c r="I16607" s="711"/>
      <c r="J16607" s="711"/>
      <c r="K16607" s="711"/>
      <c r="L16607" s="711"/>
      <c r="Q16607" s="11"/>
      <c r="R16607" s="11"/>
      <c r="S16607" s="11"/>
      <c r="T16607" s="11"/>
    </row>
    <row r="16608" spans="8:20" x14ac:dyDescent="0.35">
      <c r="H16608" s="711"/>
      <c r="I16608" s="711"/>
      <c r="J16608" s="711"/>
      <c r="K16608" s="711"/>
      <c r="L16608" s="711"/>
      <c r="Q16608" s="11"/>
      <c r="R16608" s="11"/>
      <c r="S16608" s="11"/>
      <c r="T16608" s="11"/>
    </row>
    <row r="16609" spans="8:20" x14ac:dyDescent="0.35">
      <c r="H16609" s="711"/>
      <c r="I16609" s="711"/>
      <c r="J16609" s="711"/>
      <c r="K16609" s="711"/>
      <c r="L16609" s="711"/>
      <c r="Q16609" s="11"/>
      <c r="R16609" s="11"/>
      <c r="S16609" s="11"/>
      <c r="T16609" s="11"/>
    </row>
    <row r="16610" spans="8:20" x14ac:dyDescent="0.35">
      <c r="H16610" s="711"/>
      <c r="I16610" s="711"/>
      <c r="J16610" s="711"/>
      <c r="K16610" s="711"/>
      <c r="L16610" s="711"/>
      <c r="Q16610" s="11"/>
      <c r="R16610" s="11"/>
      <c r="S16610" s="11"/>
      <c r="T16610" s="11"/>
    </row>
    <row r="16611" spans="8:20" x14ac:dyDescent="0.35">
      <c r="H16611" s="711"/>
      <c r="I16611" s="711"/>
      <c r="J16611" s="711"/>
      <c r="K16611" s="711"/>
      <c r="L16611" s="711"/>
      <c r="Q16611" s="11"/>
      <c r="R16611" s="11"/>
      <c r="S16611" s="11"/>
      <c r="T16611" s="11"/>
    </row>
    <row r="16612" spans="8:20" x14ac:dyDescent="0.35">
      <c r="H16612" s="711"/>
      <c r="I16612" s="711"/>
      <c r="J16612" s="711"/>
      <c r="K16612" s="711"/>
      <c r="L16612" s="711"/>
      <c r="Q16612" s="11"/>
      <c r="R16612" s="11"/>
      <c r="S16612" s="11"/>
      <c r="T16612" s="11"/>
    </row>
    <row r="16613" spans="8:20" x14ac:dyDescent="0.35">
      <c r="H16613" s="711"/>
      <c r="I16613" s="711"/>
      <c r="J16613" s="711"/>
      <c r="K16613" s="711"/>
      <c r="L16613" s="711"/>
      <c r="Q16613" s="11"/>
      <c r="R16613" s="11"/>
      <c r="S16613" s="11"/>
      <c r="T16613" s="11"/>
    </row>
    <row r="16614" spans="8:20" x14ac:dyDescent="0.35">
      <c r="H16614" s="711"/>
      <c r="I16614" s="711"/>
      <c r="J16614" s="711"/>
      <c r="K16614" s="711"/>
      <c r="L16614" s="711"/>
      <c r="Q16614" s="11"/>
      <c r="R16614" s="11"/>
      <c r="S16614" s="11"/>
      <c r="T16614" s="11"/>
    </row>
    <row r="16615" spans="8:20" x14ac:dyDescent="0.35">
      <c r="H16615" s="711"/>
      <c r="I16615" s="711"/>
      <c r="J16615" s="711"/>
      <c r="K16615" s="711"/>
      <c r="L16615" s="711"/>
      <c r="Q16615" s="11"/>
      <c r="R16615" s="11"/>
      <c r="S16615" s="11"/>
      <c r="T16615" s="11"/>
    </row>
    <row r="16616" spans="8:20" x14ac:dyDescent="0.35">
      <c r="H16616" s="711"/>
      <c r="I16616" s="711"/>
      <c r="J16616" s="711"/>
      <c r="K16616" s="711"/>
      <c r="L16616" s="711"/>
      <c r="Q16616" s="11"/>
      <c r="R16616" s="11"/>
      <c r="S16616" s="11"/>
      <c r="T16616" s="11"/>
    </row>
    <row r="16617" spans="8:20" x14ac:dyDescent="0.35">
      <c r="H16617" s="711"/>
      <c r="I16617" s="711"/>
      <c r="J16617" s="711"/>
      <c r="K16617" s="711"/>
      <c r="L16617" s="711"/>
      <c r="Q16617" s="11"/>
      <c r="R16617" s="11"/>
      <c r="S16617" s="11"/>
      <c r="T16617" s="11"/>
    </row>
    <row r="16618" spans="8:20" x14ac:dyDescent="0.35">
      <c r="H16618" s="711"/>
      <c r="I16618" s="711"/>
      <c r="J16618" s="711"/>
      <c r="K16618" s="711"/>
      <c r="L16618" s="711"/>
      <c r="Q16618" s="11"/>
      <c r="R16618" s="11"/>
      <c r="S16618" s="11"/>
      <c r="T16618" s="11"/>
    </row>
    <row r="16619" spans="8:20" x14ac:dyDescent="0.35">
      <c r="H16619" s="711"/>
      <c r="I16619" s="711"/>
      <c r="J16619" s="711"/>
      <c r="K16619" s="711"/>
      <c r="L16619" s="711"/>
      <c r="Q16619" s="11"/>
      <c r="R16619" s="11"/>
      <c r="S16619" s="11"/>
      <c r="T16619" s="11"/>
    </row>
    <row r="16620" spans="8:20" x14ac:dyDescent="0.35">
      <c r="H16620" s="711"/>
      <c r="I16620" s="711"/>
      <c r="J16620" s="711"/>
      <c r="K16620" s="711"/>
      <c r="L16620" s="711"/>
      <c r="Q16620" s="11"/>
      <c r="R16620" s="11"/>
      <c r="S16620" s="11"/>
      <c r="T16620" s="11"/>
    </row>
    <row r="16621" spans="8:20" x14ac:dyDescent="0.35">
      <c r="H16621" s="711"/>
      <c r="I16621" s="711"/>
      <c r="J16621" s="711"/>
      <c r="K16621" s="711"/>
      <c r="L16621" s="711"/>
      <c r="Q16621" s="11"/>
      <c r="R16621" s="11"/>
      <c r="S16621" s="11"/>
      <c r="T16621" s="11"/>
    </row>
    <row r="16622" spans="8:20" x14ac:dyDescent="0.35">
      <c r="H16622" s="711"/>
      <c r="I16622" s="711"/>
      <c r="J16622" s="711"/>
      <c r="K16622" s="711"/>
      <c r="L16622" s="711"/>
      <c r="Q16622" s="11"/>
      <c r="R16622" s="11"/>
      <c r="S16622" s="11"/>
      <c r="T16622" s="11"/>
    </row>
    <row r="16623" spans="8:20" x14ac:dyDescent="0.35">
      <c r="H16623" s="711"/>
      <c r="I16623" s="711"/>
      <c r="J16623" s="711"/>
      <c r="K16623" s="711"/>
      <c r="L16623" s="711"/>
      <c r="Q16623" s="11"/>
      <c r="R16623" s="11"/>
      <c r="S16623" s="11"/>
      <c r="T16623" s="11"/>
    </row>
    <row r="16624" spans="8:20" x14ac:dyDescent="0.35">
      <c r="H16624" s="711"/>
      <c r="I16624" s="711"/>
      <c r="J16624" s="711"/>
      <c r="K16624" s="711"/>
      <c r="L16624" s="711"/>
      <c r="Q16624" s="11"/>
      <c r="R16624" s="11"/>
      <c r="S16624" s="11"/>
      <c r="T16624" s="11"/>
    </row>
    <row r="16625" spans="8:20" x14ac:dyDescent="0.35">
      <c r="H16625" s="711"/>
      <c r="I16625" s="711"/>
      <c r="J16625" s="711"/>
      <c r="K16625" s="711"/>
      <c r="L16625" s="711"/>
      <c r="Q16625" s="11"/>
      <c r="R16625" s="11"/>
      <c r="S16625" s="11"/>
      <c r="T16625" s="11"/>
    </row>
    <row r="16626" spans="8:20" x14ac:dyDescent="0.35">
      <c r="H16626" s="711"/>
      <c r="I16626" s="711"/>
      <c r="J16626" s="711"/>
      <c r="K16626" s="711"/>
      <c r="L16626" s="711"/>
      <c r="Q16626" s="11"/>
      <c r="R16626" s="11"/>
      <c r="S16626" s="11"/>
      <c r="T16626" s="11"/>
    </row>
    <row r="16627" spans="8:20" x14ac:dyDescent="0.35">
      <c r="H16627" s="711"/>
      <c r="I16627" s="711"/>
      <c r="J16627" s="711"/>
      <c r="K16627" s="711"/>
      <c r="L16627" s="711"/>
      <c r="Q16627" s="11"/>
      <c r="R16627" s="11"/>
      <c r="S16627" s="11"/>
      <c r="T16627" s="11"/>
    </row>
    <row r="16628" spans="8:20" x14ac:dyDescent="0.35">
      <c r="H16628" s="711"/>
      <c r="I16628" s="711"/>
      <c r="J16628" s="711"/>
      <c r="K16628" s="711"/>
      <c r="L16628" s="711"/>
      <c r="Q16628" s="11"/>
      <c r="R16628" s="11"/>
      <c r="S16628" s="11"/>
      <c r="T16628" s="11"/>
    </row>
    <row r="16629" spans="8:20" x14ac:dyDescent="0.35">
      <c r="H16629" s="711"/>
      <c r="I16629" s="711"/>
      <c r="J16629" s="711"/>
      <c r="K16629" s="711"/>
      <c r="L16629" s="711"/>
      <c r="Q16629" s="11"/>
      <c r="R16629" s="11"/>
      <c r="S16629" s="11"/>
      <c r="T16629" s="11"/>
    </row>
    <row r="16630" spans="8:20" x14ac:dyDescent="0.35">
      <c r="H16630" s="711"/>
      <c r="I16630" s="711"/>
      <c r="J16630" s="711"/>
      <c r="K16630" s="711"/>
      <c r="L16630" s="711"/>
      <c r="Q16630" s="11"/>
      <c r="R16630" s="11"/>
      <c r="S16630" s="11"/>
      <c r="T16630" s="11"/>
    </row>
    <row r="16631" spans="8:20" x14ac:dyDescent="0.35">
      <c r="H16631" s="711"/>
      <c r="I16631" s="711"/>
      <c r="J16631" s="711"/>
      <c r="K16631" s="711"/>
      <c r="L16631" s="711"/>
      <c r="Q16631" s="11"/>
      <c r="R16631" s="11"/>
      <c r="S16631" s="11"/>
      <c r="T16631" s="11"/>
    </row>
    <row r="16632" spans="8:20" x14ac:dyDescent="0.35">
      <c r="H16632" s="711"/>
      <c r="I16632" s="711"/>
      <c r="J16632" s="711"/>
      <c r="K16632" s="711"/>
      <c r="L16632" s="711"/>
      <c r="Q16632" s="11"/>
      <c r="R16632" s="11"/>
      <c r="S16632" s="11"/>
      <c r="T16632" s="11"/>
    </row>
    <row r="16633" spans="8:20" x14ac:dyDescent="0.35">
      <c r="H16633" s="711"/>
      <c r="I16633" s="711"/>
      <c r="J16633" s="711"/>
      <c r="K16633" s="711"/>
      <c r="L16633" s="711"/>
      <c r="Q16633" s="11"/>
      <c r="R16633" s="11"/>
      <c r="S16633" s="11"/>
      <c r="T16633" s="11"/>
    </row>
    <row r="16634" spans="8:20" x14ac:dyDescent="0.35">
      <c r="H16634" s="711"/>
      <c r="I16634" s="711"/>
      <c r="J16634" s="711"/>
      <c r="K16634" s="711"/>
      <c r="L16634" s="711"/>
      <c r="Q16634" s="11"/>
      <c r="R16634" s="11"/>
      <c r="S16634" s="11"/>
      <c r="T16634" s="11"/>
    </row>
    <row r="16635" spans="8:20" x14ac:dyDescent="0.35">
      <c r="H16635" s="711"/>
      <c r="I16635" s="711"/>
      <c r="J16635" s="711"/>
      <c r="K16635" s="711"/>
      <c r="L16635" s="711"/>
      <c r="Q16635" s="11"/>
      <c r="R16635" s="11"/>
      <c r="S16635" s="11"/>
      <c r="T16635" s="11"/>
    </row>
    <row r="16636" spans="8:20" x14ac:dyDescent="0.35">
      <c r="H16636" s="711"/>
      <c r="I16636" s="711"/>
      <c r="J16636" s="711"/>
      <c r="K16636" s="711"/>
      <c r="L16636" s="711"/>
      <c r="Q16636" s="11"/>
      <c r="R16636" s="11"/>
      <c r="S16636" s="11"/>
      <c r="T16636" s="11"/>
    </row>
    <row r="16637" spans="8:20" x14ac:dyDescent="0.35">
      <c r="H16637" s="711"/>
      <c r="I16637" s="711"/>
      <c r="J16637" s="711"/>
      <c r="K16637" s="711"/>
      <c r="L16637" s="711"/>
      <c r="Q16637" s="11"/>
      <c r="R16637" s="11"/>
      <c r="S16637" s="11"/>
      <c r="T16637" s="11"/>
    </row>
    <row r="16638" spans="8:20" x14ac:dyDescent="0.35">
      <c r="H16638" s="711"/>
      <c r="I16638" s="711"/>
      <c r="J16638" s="711"/>
      <c r="K16638" s="711"/>
      <c r="L16638" s="711"/>
      <c r="Q16638" s="11"/>
      <c r="R16638" s="11"/>
      <c r="S16638" s="11"/>
      <c r="T16638" s="11"/>
    </row>
    <row r="16639" spans="8:20" x14ac:dyDescent="0.35">
      <c r="H16639" s="711"/>
      <c r="I16639" s="711"/>
      <c r="J16639" s="711"/>
      <c r="K16639" s="711"/>
      <c r="L16639" s="711"/>
      <c r="Q16639" s="11"/>
      <c r="R16639" s="11"/>
      <c r="S16639" s="11"/>
      <c r="T16639" s="11"/>
    </row>
    <row r="16640" spans="8:20" x14ac:dyDescent="0.35">
      <c r="H16640" s="711"/>
      <c r="I16640" s="711"/>
      <c r="J16640" s="711"/>
      <c r="K16640" s="711"/>
      <c r="L16640" s="711"/>
      <c r="Q16640" s="11"/>
      <c r="R16640" s="11"/>
      <c r="S16640" s="11"/>
      <c r="T16640" s="11"/>
    </row>
    <row r="16641" spans="8:20" x14ac:dyDescent="0.35">
      <c r="H16641" s="711"/>
      <c r="I16641" s="711"/>
      <c r="J16641" s="711"/>
      <c r="K16641" s="711"/>
      <c r="L16641" s="711"/>
      <c r="Q16641" s="11"/>
      <c r="R16641" s="11"/>
      <c r="S16641" s="11"/>
      <c r="T16641" s="11"/>
    </row>
    <row r="16642" spans="8:20" x14ac:dyDescent="0.35">
      <c r="H16642" s="711"/>
      <c r="I16642" s="711"/>
      <c r="J16642" s="711"/>
      <c r="K16642" s="711"/>
      <c r="L16642" s="711"/>
      <c r="Q16642" s="11"/>
      <c r="R16642" s="11"/>
      <c r="S16642" s="11"/>
      <c r="T16642" s="11"/>
    </row>
    <row r="16643" spans="8:20" x14ac:dyDescent="0.35">
      <c r="H16643" s="711"/>
      <c r="I16643" s="711"/>
      <c r="J16643" s="711"/>
      <c r="K16643" s="711"/>
      <c r="L16643" s="711"/>
      <c r="Q16643" s="11"/>
      <c r="R16643" s="11"/>
      <c r="S16643" s="11"/>
      <c r="T16643" s="11"/>
    </row>
    <row r="16644" spans="8:20" x14ac:dyDescent="0.35">
      <c r="H16644" s="711"/>
      <c r="I16644" s="711"/>
      <c r="J16644" s="711"/>
      <c r="K16644" s="711"/>
      <c r="L16644" s="711"/>
      <c r="Q16644" s="11"/>
      <c r="R16644" s="11"/>
      <c r="S16644" s="11"/>
      <c r="T16644" s="11"/>
    </row>
    <row r="16645" spans="8:20" x14ac:dyDescent="0.35">
      <c r="H16645" s="711"/>
      <c r="I16645" s="711"/>
      <c r="J16645" s="711"/>
      <c r="K16645" s="711"/>
      <c r="L16645" s="711"/>
      <c r="Q16645" s="11"/>
      <c r="R16645" s="11"/>
      <c r="S16645" s="11"/>
      <c r="T16645" s="11"/>
    </row>
    <row r="16646" spans="8:20" x14ac:dyDescent="0.35">
      <c r="H16646" s="711"/>
      <c r="I16646" s="711"/>
      <c r="J16646" s="711"/>
      <c r="K16646" s="711"/>
      <c r="L16646" s="711"/>
      <c r="Q16646" s="11"/>
      <c r="R16646" s="11"/>
      <c r="S16646" s="11"/>
      <c r="T16646" s="11"/>
    </row>
    <row r="16647" spans="8:20" x14ac:dyDescent="0.35">
      <c r="H16647" s="711"/>
      <c r="I16647" s="711"/>
      <c r="J16647" s="711"/>
      <c r="K16647" s="711"/>
      <c r="L16647" s="711"/>
      <c r="Q16647" s="11"/>
      <c r="R16647" s="11"/>
      <c r="S16647" s="11"/>
      <c r="T16647" s="11"/>
    </row>
    <row r="16648" spans="8:20" x14ac:dyDescent="0.35">
      <c r="H16648" s="711"/>
      <c r="I16648" s="711"/>
      <c r="J16648" s="711"/>
      <c r="K16648" s="711"/>
      <c r="L16648" s="711"/>
      <c r="Q16648" s="11"/>
      <c r="R16648" s="11"/>
      <c r="S16648" s="11"/>
      <c r="T16648" s="11"/>
    </row>
    <row r="16649" spans="8:20" x14ac:dyDescent="0.35">
      <c r="H16649" s="711"/>
      <c r="I16649" s="711"/>
      <c r="J16649" s="711"/>
      <c r="K16649" s="711"/>
      <c r="L16649" s="711"/>
      <c r="Q16649" s="11"/>
      <c r="R16649" s="11"/>
      <c r="S16649" s="11"/>
      <c r="T16649" s="11"/>
    </row>
    <row r="16650" spans="8:20" x14ac:dyDescent="0.35">
      <c r="H16650" s="711"/>
      <c r="I16650" s="711"/>
      <c r="J16650" s="711"/>
      <c r="K16650" s="711"/>
      <c r="L16650" s="711"/>
      <c r="Q16650" s="11"/>
      <c r="R16650" s="11"/>
      <c r="S16650" s="11"/>
      <c r="T16650" s="11"/>
    </row>
    <row r="16651" spans="8:20" x14ac:dyDescent="0.35">
      <c r="H16651" s="711"/>
      <c r="I16651" s="711"/>
      <c r="J16651" s="711"/>
      <c r="K16651" s="711"/>
      <c r="L16651" s="711"/>
      <c r="Q16651" s="11"/>
      <c r="R16651" s="11"/>
      <c r="S16651" s="11"/>
      <c r="T16651" s="11"/>
    </row>
    <row r="16652" spans="8:20" x14ac:dyDescent="0.35">
      <c r="H16652" s="711"/>
      <c r="I16652" s="711"/>
      <c r="J16652" s="711"/>
      <c r="K16652" s="711"/>
      <c r="L16652" s="711"/>
      <c r="Q16652" s="11"/>
      <c r="R16652" s="11"/>
      <c r="S16652" s="11"/>
      <c r="T16652" s="11"/>
    </row>
    <row r="16653" spans="8:20" x14ac:dyDescent="0.35">
      <c r="H16653" s="711"/>
      <c r="I16653" s="711"/>
      <c r="J16653" s="711"/>
      <c r="K16653" s="711"/>
      <c r="L16653" s="711"/>
      <c r="Q16653" s="11"/>
      <c r="R16653" s="11"/>
      <c r="S16653" s="11"/>
      <c r="T16653" s="11"/>
    </row>
    <row r="16654" spans="8:20" x14ac:dyDescent="0.35">
      <c r="H16654" s="711"/>
      <c r="I16654" s="711"/>
      <c r="J16654" s="711"/>
      <c r="K16654" s="711"/>
      <c r="L16654" s="711"/>
      <c r="Q16654" s="11"/>
      <c r="R16654" s="11"/>
      <c r="S16654" s="11"/>
      <c r="T16654" s="11"/>
    </row>
    <row r="16655" spans="8:20" x14ac:dyDescent="0.35">
      <c r="H16655" s="711"/>
      <c r="I16655" s="711"/>
      <c r="J16655" s="711"/>
      <c r="K16655" s="711"/>
      <c r="L16655" s="711"/>
      <c r="Q16655" s="11"/>
      <c r="R16655" s="11"/>
      <c r="S16655" s="11"/>
      <c r="T16655" s="11"/>
    </row>
    <row r="16656" spans="8:20" x14ac:dyDescent="0.35">
      <c r="H16656" s="711"/>
      <c r="I16656" s="711"/>
      <c r="J16656" s="711"/>
      <c r="K16656" s="711"/>
      <c r="L16656" s="711"/>
      <c r="Q16656" s="11"/>
      <c r="R16656" s="11"/>
      <c r="S16656" s="11"/>
      <c r="T16656" s="11"/>
    </row>
    <row r="16657" spans="8:20" x14ac:dyDescent="0.35">
      <c r="H16657" s="711"/>
      <c r="I16657" s="711"/>
      <c r="J16657" s="711"/>
      <c r="K16657" s="711"/>
      <c r="L16657" s="711"/>
      <c r="Q16657" s="11"/>
      <c r="R16657" s="11"/>
      <c r="S16657" s="11"/>
      <c r="T16657" s="11"/>
    </row>
    <row r="16658" spans="8:20" x14ac:dyDescent="0.35">
      <c r="H16658" s="711"/>
      <c r="I16658" s="711"/>
      <c r="J16658" s="711"/>
      <c r="K16658" s="711"/>
      <c r="L16658" s="711"/>
      <c r="Q16658" s="11"/>
      <c r="R16658" s="11"/>
      <c r="S16658" s="11"/>
      <c r="T16658" s="11"/>
    </row>
    <row r="16659" spans="8:20" x14ac:dyDescent="0.35">
      <c r="H16659" s="711"/>
      <c r="I16659" s="711"/>
      <c r="J16659" s="711"/>
      <c r="K16659" s="711"/>
      <c r="L16659" s="711"/>
      <c r="Q16659" s="11"/>
      <c r="R16659" s="11"/>
      <c r="S16659" s="11"/>
      <c r="T16659" s="11"/>
    </row>
    <row r="16660" spans="8:20" x14ac:dyDescent="0.35">
      <c r="H16660" s="711"/>
      <c r="I16660" s="711"/>
      <c r="J16660" s="711"/>
      <c r="K16660" s="711"/>
      <c r="L16660" s="711"/>
      <c r="Q16660" s="11"/>
      <c r="R16660" s="11"/>
      <c r="S16660" s="11"/>
      <c r="T16660" s="11"/>
    </row>
    <row r="16661" spans="8:20" x14ac:dyDescent="0.35">
      <c r="H16661" s="711"/>
      <c r="I16661" s="711"/>
      <c r="J16661" s="711"/>
      <c r="K16661" s="711"/>
      <c r="L16661" s="711"/>
      <c r="Q16661" s="11"/>
      <c r="R16661" s="11"/>
      <c r="S16661" s="11"/>
      <c r="T16661" s="11"/>
    </row>
    <row r="16662" spans="8:20" x14ac:dyDescent="0.35">
      <c r="H16662" s="711"/>
      <c r="I16662" s="711"/>
      <c r="J16662" s="711"/>
      <c r="K16662" s="711"/>
      <c r="L16662" s="711"/>
      <c r="Q16662" s="11"/>
      <c r="R16662" s="11"/>
      <c r="S16662" s="11"/>
      <c r="T16662" s="11"/>
    </row>
    <row r="16663" spans="8:20" x14ac:dyDescent="0.35">
      <c r="H16663" s="711"/>
      <c r="I16663" s="711"/>
      <c r="J16663" s="711"/>
      <c r="K16663" s="711"/>
      <c r="L16663" s="711"/>
      <c r="Q16663" s="11"/>
      <c r="R16663" s="11"/>
      <c r="S16663" s="11"/>
      <c r="T16663" s="11"/>
    </row>
    <row r="16664" spans="8:20" x14ac:dyDescent="0.35">
      <c r="H16664" s="711"/>
      <c r="I16664" s="711"/>
      <c r="J16664" s="711"/>
      <c r="K16664" s="711"/>
      <c r="L16664" s="711"/>
      <c r="Q16664" s="11"/>
      <c r="R16664" s="11"/>
      <c r="S16664" s="11"/>
      <c r="T16664" s="11"/>
    </row>
    <row r="16665" spans="8:20" x14ac:dyDescent="0.35">
      <c r="H16665" s="711"/>
      <c r="I16665" s="711"/>
      <c r="J16665" s="711"/>
      <c r="K16665" s="711"/>
      <c r="L16665" s="711"/>
      <c r="Q16665" s="11"/>
      <c r="R16665" s="11"/>
      <c r="S16665" s="11"/>
      <c r="T16665" s="11"/>
    </row>
    <row r="16666" spans="8:20" x14ac:dyDescent="0.35">
      <c r="H16666" s="711"/>
      <c r="I16666" s="711"/>
      <c r="J16666" s="711"/>
      <c r="K16666" s="711"/>
      <c r="L16666" s="711"/>
      <c r="Q16666" s="11"/>
      <c r="R16666" s="11"/>
      <c r="S16666" s="11"/>
      <c r="T16666" s="11"/>
    </row>
    <row r="16667" spans="8:20" x14ac:dyDescent="0.35">
      <c r="H16667" s="711"/>
      <c r="I16667" s="711"/>
      <c r="J16667" s="711"/>
      <c r="K16667" s="711"/>
      <c r="L16667" s="711"/>
      <c r="Q16667" s="11"/>
      <c r="R16667" s="11"/>
      <c r="S16667" s="11"/>
      <c r="T16667" s="11"/>
    </row>
    <row r="16668" spans="8:20" x14ac:dyDescent="0.35">
      <c r="H16668" s="711"/>
      <c r="I16668" s="711"/>
      <c r="J16668" s="711"/>
      <c r="K16668" s="711"/>
      <c r="L16668" s="711"/>
      <c r="Q16668" s="11"/>
      <c r="R16668" s="11"/>
      <c r="S16668" s="11"/>
      <c r="T16668" s="11"/>
    </row>
    <row r="16669" spans="8:20" x14ac:dyDescent="0.35">
      <c r="H16669" s="711"/>
      <c r="I16669" s="711"/>
      <c r="J16669" s="711"/>
      <c r="K16669" s="711"/>
      <c r="L16669" s="711"/>
      <c r="Q16669" s="11"/>
      <c r="R16669" s="11"/>
      <c r="S16669" s="11"/>
      <c r="T16669" s="11"/>
    </row>
    <row r="16670" spans="8:20" x14ac:dyDescent="0.35">
      <c r="H16670" s="711"/>
      <c r="I16670" s="711"/>
      <c r="J16670" s="711"/>
      <c r="K16670" s="711"/>
      <c r="L16670" s="711"/>
      <c r="Q16670" s="11"/>
      <c r="R16670" s="11"/>
      <c r="S16670" s="11"/>
      <c r="T16670" s="11"/>
    </row>
    <row r="16671" spans="8:20" x14ac:dyDescent="0.35">
      <c r="H16671" s="711"/>
      <c r="I16671" s="711"/>
      <c r="J16671" s="711"/>
      <c r="K16671" s="711"/>
      <c r="L16671" s="711"/>
      <c r="Q16671" s="11"/>
      <c r="R16671" s="11"/>
      <c r="S16671" s="11"/>
      <c r="T16671" s="11"/>
    </row>
    <row r="16672" spans="8:20" x14ac:dyDescent="0.35">
      <c r="H16672" s="711"/>
      <c r="I16672" s="711"/>
      <c r="J16672" s="711"/>
      <c r="K16672" s="711"/>
      <c r="L16672" s="711"/>
      <c r="Q16672" s="11"/>
      <c r="R16672" s="11"/>
      <c r="S16672" s="11"/>
      <c r="T16672" s="11"/>
    </row>
    <row r="16673" spans="8:20" x14ac:dyDescent="0.35">
      <c r="H16673" s="711"/>
      <c r="I16673" s="711"/>
      <c r="J16673" s="711"/>
      <c r="K16673" s="711"/>
      <c r="L16673" s="711"/>
      <c r="Q16673" s="11"/>
      <c r="R16673" s="11"/>
      <c r="S16673" s="11"/>
      <c r="T16673" s="11"/>
    </row>
    <row r="16674" spans="8:20" x14ac:dyDescent="0.35">
      <c r="H16674" s="711"/>
      <c r="I16674" s="711"/>
      <c r="J16674" s="711"/>
      <c r="K16674" s="711"/>
      <c r="L16674" s="711"/>
      <c r="Q16674" s="11"/>
      <c r="R16674" s="11"/>
      <c r="S16674" s="11"/>
      <c r="T16674" s="11"/>
    </row>
    <row r="16675" spans="8:20" x14ac:dyDescent="0.35">
      <c r="H16675" s="711"/>
      <c r="I16675" s="711"/>
      <c r="J16675" s="711"/>
      <c r="K16675" s="711"/>
      <c r="L16675" s="711"/>
      <c r="Q16675" s="11"/>
      <c r="R16675" s="11"/>
      <c r="S16675" s="11"/>
      <c r="T16675" s="11"/>
    </row>
    <row r="16676" spans="8:20" x14ac:dyDescent="0.35">
      <c r="H16676" s="711"/>
      <c r="I16676" s="711"/>
      <c r="J16676" s="711"/>
      <c r="K16676" s="711"/>
      <c r="L16676" s="711"/>
      <c r="Q16676" s="11"/>
      <c r="R16676" s="11"/>
      <c r="S16676" s="11"/>
      <c r="T16676" s="11"/>
    </row>
    <row r="16677" spans="8:20" x14ac:dyDescent="0.35">
      <c r="H16677" s="711"/>
      <c r="I16677" s="711"/>
      <c r="J16677" s="711"/>
      <c r="K16677" s="711"/>
      <c r="L16677" s="711"/>
      <c r="Q16677" s="11"/>
      <c r="R16677" s="11"/>
      <c r="S16677" s="11"/>
      <c r="T16677" s="11"/>
    </row>
    <row r="16678" spans="8:20" x14ac:dyDescent="0.35">
      <c r="H16678" s="711"/>
      <c r="I16678" s="711"/>
      <c r="J16678" s="711"/>
      <c r="K16678" s="711"/>
      <c r="L16678" s="711"/>
      <c r="Q16678" s="11"/>
      <c r="R16678" s="11"/>
      <c r="S16678" s="11"/>
      <c r="T16678" s="11"/>
    </row>
    <row r="16679" spans="8:20" x14ac:dyDescent="0.35">
      <c r="H16679" s="711"/>
      <c r="I16679" s="711"/>
      <c r="J16679" s="711"/>
      <c r="K16679" s="711"/>
      <c r="L16679" s="711"/>
      <c r="Q16679" s="11"/>
      <c r="R16679" s="11"/>
      <c r="S16679" s="11"/>
      <c r="T16679" s="11"/>
    </row>
    <row r="16680" spans="8:20" x14ac:dyDescent="0.35">
      <c r="H16680" s="711"/>
      <c r="I16680" s="711"/>
      <c r="J16680" s="711"/>
      <c r="K16680" s="711"/>
      <c r="L16680" s="711"/>
      <c r="Q16680" s="11"/>
      <c r="R16680" s="11"/>
      <c r="S16680" s="11"/>
      <c r="T16680" s="11"/>
    </row>
    <row r="16681" spans="8:20" x14ac:dyDescent="0.35">
      <c r="H16681" s="711"/>
      <c r="I16681" s="711"/>
      <c r="J16681" s="711"/>
      <c r="K16681" s="711"/>
      <c r="L16681" s="711"/>
      <c r="Q16681" s="11"/>
      <c r="R16681" s="11"/>
      <c r="S16681" s="11"/>
      <c r="T16681" s="11"/>
    </row>
    <row r="16682" spans="8:20" x14ac:dyDescent="0.35">
      <c r="H16682" s="711"/>
      <c r="I16682" s="711"/>
      <c r="J16682" s="711"/>
      <c r="K16682" s="711"/>
      <c r="L16682" s="711"/>
      <c r="Q16682" s="11"/>
      <c r="R16682" s="11"/>
      <c r="S16682" s="11"/>
      <c r="T16682" s="11"/>
    </row>
    <row r="16683" spans="8:20" x14ac:dyDescent="0.35">
      <c r="H16683" s="711"/>
      <c r="I16683" s="711"/>
      <c r="J16683" s="711"/>
      <c r="K16683" s="711"/>
      <c r="L16683" s="711"/>
      <c r="Q16683" s="11"/>
      <c r="R16683" s="11"/>
      <c r="S16683" s="11"/>
      <c r="T16683" s="11"/>
    </row>
    <row r="16684" spans="8:20" x14ac:dyDescent="0.35">
      <c r="H16684" s="711"/>
      <c r="I16684" s="711"/>
      <c r="J16684" s="711"/>
      <c r="K16684" s="711"/>
      <c r="L16684" s="711"/>
      <c r="Q16684" s="11"/>
      <c r="R16684" s="11"/>
      <c r="S16684" s="11"/>
      <c r="T16684" s="11"/>
    </row>
    <row r="16685" spans="8:20" x14ac:dyDescent="0.35">
      <c r="H16685" s="711"/>
      <c r="I16685" s="711"/>
      <c r="J16685" s="711"/>
      <c r="K16685" s="711"/>
      <c r="L16685" s="711"/>
      <c r="Q16685" s="11"/>
      <c r="R16685" s="11"/>
      <c r="S16685" s="11"/>
      <c r="T16685" s="11"/>
    </row>
    <row r="16686" spans="8:20" x14ac:dyDescent="0.35">
      <c r="H16686" s="711"/>
      <c r="I16686" s="711"/>
      <c r="J16686" s="711"/>
      <c r="K16686" s="711"/>
      <c r="L16686" s="711"/>
      <c r="Q16686" s="11"/>
      <c r="R16686" s="11"/>
      <c r="S16686" s="11"/>
      <c r="T16686" s="11"/>
    </row>
    <row r="16687" spans="8:20" x14ac:dyDescent="0.35">
      <c r="H16687" s="711"/>
      <c r="I16687" s="711"/>
      <c r="J16687" s="711"/>
      <c r="K16687" s="711"/>
      <c r="L16687" s="711"/>
      <c r="Q16687" s="11"/>
      <c r="R16687" s="11"/>
      <c r="S16687" s="11"/>
      <c r="T16687" s="11"/>
    </row>
    <row r="16688" spans="8:20" x14ac:dyDescent="0.35">
      <c r="H16688" s="711"/>
      <c r="I16688" s="711"/>
      <c r="J16688" s="711"/>
      <c r="K16688" s="711"/>
      <c r="L16688" s="711"/>
      <c r="Q16688" s="11"/>
      <c r="R16688" s="11"/>
      <c r="S16688" s="11"/>
      <c r="T16688" s="11"/>
    </row>
    <row r="16689" spans="8:20" x14ac:dyDescent="0.35">
      <c r="H16689" s="711"/>
      <c r="I16689" s="711"/>
      <c r="J16689" s="711"/>
      <c r="K16689" s="711"/>
      <c r="L16689" s="711"/>
      <c r="Q16689" s="11"/>
      <c r="R16689" s="11"/>
      <c r="S16689" s="11"/>
      <c r="T16689" s="11"/>
    </row>
    <row r="16690" spans="8:20" x14ac:dyDescent="0.35">
      <c r="H16690" s="711"/>
      <c r="I16690" s="711"/>
      <c r="J16690" s="711"/>
      <c r="K16690" s="711"/>
      <c r="L16690" s="711"/>
      <c r="Q16690" s="11"/>
      <c r="R16690" s="11"/>
      <c r="S16690" s="11"/>
      <c r="T16690" s="11"/>
    </row>
    <row r="16691" spans="8:20" x14ac:dyDescent="0.35">
      <c r="H16691" s="711"/>
      <c r="I16691" s="711"/>
      <c r="J16691" s="711"/>
      <c r="K16691" s="711"/>
      <c r="L16691" s="711"/>
      <c r="Q16691" s="11"/>
      <c r="R16691" s="11"/>
      <c r="S16691" s="11"/>
      <c r="T16691" s="11"/>
    </row>
    <row r="16692" spans="8:20" x14ac:dyDescent="0.35">
      <c r="H16692" s="711"/>
      <c r="I16692" s="711"/>
      <c r="J16692" s="711"/>
      <c r="K16692" s="711"/>
      <c r="L16692" s="711"/>
      <c r="Q16692" s="11"/>
      <c r="R16692" s="11"/>
      <c r="S16692" s="11"/>
      <c r="T16692" s="11"/>
    </row>
    <row r="16693" spans="8:20" x14ac:dyDescent="0.35">
      <c r="H16693" s="711"/>
      <c r="I16693" s="711"/>
      <c r="J16693" s="711"/>
      <c r="K16693" s="711"/>
      <c r="L16693" s="711"/>
      <c r="Q16693" s="11"/>
      <c r="R16693" s="11"/>
      <c r="S16693" s="11"/>
      <c r="T16693" s="11"/>
    </row>
    <row r="16694" spans="8:20" x14ac:dyDescent="0.35">
      <c r="H16694" s="711"/>
      <c r="I16694" s="711"/>
      <c r="J16694" s="711"/>
      <c r="K16694" s="711"/>
      <c r="L16694" s="711"/>
      <c r="Q16694" s="11"/>
      <c r="R16694" s="11"/>
      <c r="S16694" s="11"/>
      <c r="T16694" s="11"/>
    </row>
    <row r="16695" spans="8:20" x14ac:dyDescent="0.35">
      <c r="H16695" s="711"/>
      <c r="I16695" s="711"/>
      <c r="J16695" s="711"/>
      <c r="K16695" s="711"/>
      <c r="L16695" s="711"/>
      <c r="Q16695" s="11"/>
      <c r="R16695" s="11"/>
      <c r="S16695" s="11"/>
      <c r="T16695" s="11"/>
    </row>
    <row r="16696" spans="8:20" x14ac:dyDescent="0.35">
      <c r="H16696" s="711"/>
      <c r="I16696" s="711"/>
      <c r="J16696" s="711"/>
      <c r="K16696" s="711"/>
      <c r="L16696" s="711"/>
      <c r="Q16696" s="11"/>
      <c r="R16696" s="11"/>
      <c r="S16696" s="11"/>
      <c r="T16696" s="11"/>
    </row>
    <row r="16697" spans="8:20" x14ac:dyDescent="0.35">
      <c r="H16697" s="711"/>
      <c r="I16697" s="711"/>
      <c r="J16697" s="711"/>
      <c r="K16697" s="711"/>
      <c r="L16697" s="711"/>
      <c r="Q16697" s="11"/>
      <c r="R16697" s="11"/>
      <c r="S16697" s="11"/>
      <c r="T16697" s="11"/>
    </row>
    <row r="16698" spans="8:20" x14ac:dyDescent="0.35">
      <c r="H16698" s="711"/>
      <c r="I16698" s="711"/>
      <c r="J16698" s="711"/>
      <c r="K16698" s="711"/>
      <c r="L16698" s="711"/>
      <c r="Q16698" s="11"/>
      <c r="R16698" s="11"/>
      <c r="S16698" s="11"/>
      <c r="T16698" s="11"/>
    </row>
    <row r="16699" spans="8:20" x14ac:dyDescent="0.35">
      <c r="H16699" s="711"/>
      <c r="I16699" s="711"/>
      <c r="J16699" s="711"/>
      <c r="K16699" s="711"/>
      <c r="L16699" s="711"/>
      <c r="Q16699" s="11"/>
      <c r="R16699" s="11"/>
      <c r="S16699" s="11"/>
      <c r="T16699" s="11"/>
    </row>
    <row r="16700" spans="8:20" x14ac:dyDescent="0.35">
      <c r="H16700" s="711"/>
      <c r="I16700" s="711"/>
      <c r="J16700" s="711"/>
      <c r="K16700" s="711"/>
      <c r="L16700" s="711"/>
      <c r="Q16700" s="11"/>
      <c r="R16700" s="11"/>
      <c r="S16700" s="11"/>
      <c r="T16700" s="11"/>
    </row>
    <row r="16701" spans="8:20" x14ac:dyDescent="0.35">
      <c r="H16701" s="711"/>
      <c r="I16701" s="711"/>
      <c r="J16701" s="711"/>
      <c r="K16701" s="711"/>
      <c r="L16701" s="711"/>
      <c r="Q16701" s="11"/>
      <c r="R16701" s="11"/>
      <c r="S16701" s="11"/>
      <c r="T16701" s="11"/>
    </row>
    <row r="16702" spans="8:20" x14ac:dyDescent="0.35">
      <c r="H16702" s="711"/>
      <c r="I16702" s="711"/>
      <c r="J16702" s="711"/>
      <c r="K16702" s="711"/>
      <c r="L16702" s="711"/>
      <c r="Q16702" s="11"/>
      <c r="R16702" s="11"/>
      <c r="S16702" s="11"/>
      <c r="T16702" s="11"/>
    </row>
    <row r="16703" spans="8:20" x14ac:dyDescent="0.35">
      <c r="H16703" s="711"/>
      <c r="I16703" s="711"/>
      <c r="J16703" s="711"/>
      <c r="K16703" s="711"/>
      <c r="L16703" s="711"/>
      <c r="Q16703" s="11"/>
      <c r="R16703" s="11"/>
      <c r="S16703" s="11"/>
      <c r="T16703" s="11"/>
    </row>
    <row r="16704" spans="8:20" x14ac:dyDescent="0.35">
      <c r="H16704" s="711"/>
      <c r="I16704" s="711"/>
      <c r="J16704" s="711"/>
      <c r="K16704" s="711"/>
      <c r="L16704" s="711"/>
      <c r="Q16704" s="11"/>
      <c r="R16704" s="11"/>
      <c r="S16704" s="11"/>
      <c r="T16704" s="11"/>
    </row>
    <row r="16705" spans="8:20" x14ac:dyDescent="0.35">
      <c r="H16705" s="711"/>
      <c r="I16705" s="711"/>
      <c r="J16705" s="711"/>
      <c r="K16705" s="711"/>
      <c r="L16705" s="711"/>
      <c r="Q16705" s="11"/>
      <c r="R16705" s="11"/>
      <c r="S16705" s="11"/>
      <c r="T16705" s="11"/>
    </row>
    <row r="16706" spans="8:20" x14ac:dyDescent="0.35">
      <c r="H16706" s="711"/>
      <c r="I16706" s="711"/>
      <c r="J16706" s="711"/>
      <c r="K16706" s="711"/>
      <c r="L16706" s="711"/>
      <c r="Q16706" s="11"/>
      <c r="R16706" s="11"/>
      <c r="S16706" s="11"/>
      <c r="T16706" s="11"/>
    </row>
    <row r="16707" spans="8:20" x14ac:dyDescent="0.35">
      <c r="H16707" s="711"/>
      <c r="I16707" s="711"/>
      <c r="J16707" s="711"/>
      <c r="K16707" s="711"/>
      <c r="L16707" s="711"/>
      <c r="Q16707" s="11"/>
      <c r="R16707" s="11"/>
      <c r="S16707" s="11"/>
      <c r="T16707" s="11"/>
    </row>
    <row r="16708" spans="8:20" x14ac:dyDescent="0.35">
      <c r="H16708" s="711"/>
      <c r="I16708" s="711"/>
      <c r="J16708" s="711"/>
      <c r="K16708" s="711"/>
      <c r="L16708" s="711"/>
      <c r="Q16708" s="11"/>
      <c r="R16708" s="11"/>
      <c r="S16708" s="11"/>
      <c r="T16708" s="11"/>
    </row>
    <row r="16709" spans="8:20" x14ac:dyDescent="0.35">
      <c r="H16709" s="711"/>
      <c r="I16709" s="711"/>
      <c r="J16709" s="711"/>
      <c r="K16709" s="711"/>
      <c r="L16709" s="711"/>
      <c r="Q16709" s="11"/>
      <c r="R16709" s="11"/>
      <c r="S16709" s="11"/>
      <c r="T16709" s="11"/>
    </row>
    <row r="16710" spans="8:20" x14ac:dyDescent="0.35">
      <c r="H16710" s="711"/>
      <c r="I16710" s="711"/>
      <c r="J16710" s="711"/>
      <c r="K16710" s="711"/>
      <c r="L16710" s="711"/>
      <c r="Q16710" s="11"/>
      <c r="R16710" s="11"/>
      <c r="S16710" s="11"/>
      <c r="T16710" s="11"/>
    </row>
    <row r="16711" spans="8:20" x14ac:dyDescent="0.35">
      <c r="H16711" s="711"/>
      <c r="I16711" s="711"/>
      <c r="J16711" s="711"/>
      <c r="K16711" s="711"/>
      <c r="L16711" s="711"/>
      <c r="Q16711" s="11"/>
      <c r="R16711" s="11"/>
      <c r="S16711" s="11"/>
      <c r="T16711" s="11"/>
    </row>
    <row r="16712" spans="8:20" x14ac:dyDescent="0.35">
      <c r="H16712" s="711"/>
      <c r="I16712" s="711"/>
      <c r="J16712" s="711"/>
      <c r="K16712" s="711"/>
      <c r="L16712" s="711"/>
      <c r="Q16712" s="11"/>
      <c r="R16712" s="11"/>
      <c r="S16712" s="11"/>
      <c r="T16712" s="11"/>
    </row>
    <row r="16713" spans="8:20" x14ac:dyDescent="0.35">
      <c r="H16713" s="711"/>
      <c r="I16713" s="711"/>
      <c r="J16713" s="711"/>
      <c r="K16713" s="711"/>
      <c r="L16713" s="711"/>
      <c r="Q16713" s="11"/>
      <c r="R16713" s="11"/>
      <c r="S16713" s="11"/>
      <c r="T16713" s="11"/>
    </row>
    <row r="16714" spans="8:20" x14ac:dyDescent="0.35">
      <c r="H16714" s="711"/>
      <c r="I16714" s="711"/>
      <c r="J16714" s="711"/>
      <c r="K16714" s="711"/>
      <c r="L16714" s="711"/>
      <c r="Q16714" s="11"/>
      <c r="R16714" s="11"/>
      <c r="S16714" s="11"/>
      <c r="T16714" s="11"/>
    </row>
    <row r="16715" spans="8:20" x14ac:dyDescent="0.35">
      <c r="H16715" s="711"/>
      <c r="I16715" s="711"/>
      <c r="J16715" s="711"/>
      <c r="K16715" s="711"/>
      <c r="L16715" s="711"/>
      <c r="Q16715" s="11"/>
      <c r="R16715" s="11"/>
      <c r="S16715" s="11"/>
      <c r="T16715" s="11"/>
    </row>
    <row r="16716" spans="8:20" x14ac:dyDescent="0.35">
      <c r="H16716" s="711"/>
      <c r="I16716" s="711"/>
      <c r="J16716" s="711"/>
      <c r="K16716" s="711"/>
      <c r="L16716" s="711"/>
      <c r="Q16716" s="11"/>
      <c r="R16716" s="11"/>
      <c r="S16716" s="11"/>
      <c r="T16716" s="11"/>
    </row>
    <row r="16717" spans="8:20" x14ac:dyDescent="0.35">
      <c r="H16717" s="711"/>
      <c r="I16717" s="711"/>
      <c r="J16717" s="711"/>
      <c r="K16717" s="711"/>
      <c r="L16717" s="711"/>
      <c r="Q16717" s="11"/>
      <c r="R16717" s="11"/>
      <c r="S16717" s="11"/>
      <c r="T16717" s="11"/>
    </row>
    <row r="16718" spans="8:20" x14ac:dyDescent="0.35">
      <c r="H16718" s="711"/>
      <c r="I16718" s="711"/>
      <c r="J16718" s="711"/>
      <c r="K16718" s="711"/>
      <c r="L16718" s="711"/>
      <c r="Q16718" s="11"/>
      <c r="R16718" s="11"/>
      <c r="S16718" s="11"/>
      <c r="T16718" s="11"/>
    </row>
    <row r="16719" spans="8:20" x14ac:dyDescent="0.35">
      <c r="H16719" s="711"/>
      <c r="I16719" s="711"/>
      <c r="J16719" s="711"/>
      <c r="K16719" s="711"/>
      <c r="L16719" s="711"/>
      <c r="Q16719" s="11"/>
      <c r="R16719" s="11"/>
      <c r="S16719" s="11"/>
      <c r="T16719" s="11"/>
    </row>
    <row r="16720" spans="8:20" x14ac:dyDescent="0.35">
      <c r="H16720" s="711"/>
      <c r="I16720" s="711"/>
      <c r="J16720" s="711"/>
      <c r="K16720" s="711"/>
      <c r="L16720" s="711"/>
      <c r="Q16720" s="11"/>
      <c r="R16720" s="11"/>
      <c r="S16720" s="11"/>
      <c r="T16720" s="11"/>
    </row>
    <row r="16721" spans="8:20" x14ac:dyDescent="0.35">
      <c r="H16721" s="711"/>
      <c r="I16721" s="711"/>
      <c r="J16721" s="711"/>
      <c r="K16721" s="711"/>
      <c r="L16721" s="711"/>
      <c r="Q16721" s="11"/>
      <c r="R16721" s="11"/>
      <c r="S16721" s="11"/>
      <c r="T16721" s="11"/>
    </row>
    <row r="16722" spans="8:20" x14ac:dyDescent="0.35">
      <c r="H16722" s="711"/>
      <c r="I16722" s="711"/>
      <c r="J16722" s="711"/>
      <c r="K16722" s="711"/>
      <c r="L16722" s="711"/>
      <c r="Q16722" s="11"/>
      <c r="R16722" s="11"/>
      <c r="S16722" s="11"/>
      <c r="T16722" s="11"/>
    </row>
    <row r="16723" spans="8:20" x14ac:dyDescent="0.35">
      <c r="H16723" s="711"/>
      <c r="I16723" s="711"/>
      <c r="J16723" s="711"/>
      <c r="K16723" s="711"/>
      <c r="L16723" s="711"/>
      <c r="Q16723" s="11"/>
      <c r="R16723" s="11"/>
      <c r="S16723" s="11"/>
      <c r="T16723" s="11"/>
    </row>
    <row r="16724" spans="8:20" x14ac:dyDescent="0.35">
      <c r="H16724" s="711"/>
      <c r="I16724" s="711"/>
      <c r="J16724" s="711"/>
      <c r="K16724" s="711"/>
      <c r="L16724" s="711"/>
      <c r="Q16724" s="11"/>
      <c r="R16724" s="11"/>
      <c r="S16724" s="11"/>
      <c r="T16724" s="11"/>
    </row>
    <row r="16725" spans="8:20" x14ac:dyDescent="0.35">
      <c r="H16725" s="711"/>
      <c r="I16725" s="711"/>
      <c r="J16725" s="711"/>
      <c r="K16725" s="711"/>
      <c r="L16725" s="711"/>
      <c r="Q16725" s="11"/>
      <c r="R16725" s="11"/>
      <c r="S16725" s="11"/>
      <c r="T16725" s="11"/>
    </row>
    <row r="16726" spans="8:20" x14ac:dyDescent="0.35">
      <c r="H16726" s="711"/>
      <c r="I16726" s="711"/>
      <c r="J16726" s="711"/>
      <c r="K16726" s="711"/>
      <c r="L16726" s="711"/>
      <c r="Q16726" s="11"/>
      <c r="R16726" s="11"/>
      <c r="S16726" s="11"/>
      <c r="T16726" s="11"/>
    </row>
    <row r="16727" spans="8:20" x14ac:dyDescent="0.35">
      <c r="H16727" s="711"/>
      <c r="I16727" s="711"/>
      <c r="J16727" s="711"/>
      <c r="K16727" s="711"/>
      <c r="L16727" s="711"/>
      <c r="Q16727" s="11"/>
      <c r="R16727" s="11"/>
      <c r="S16727" s="11"/>
      <c r="T16727" s="11"/>
    </row>
    <row r="16728" spans="8:20" x14ac:dyDescent="0.35">
      <c r="H16728" s="711"/>
      <c r="I16728" s="711"/>
      <c r="J16728" s="711"/>
      <c r="K16728" s="711"/>
      <c r="L16728" s="711"/>
      <c r="Q16728" s="11"/>
      <c r="R16728" s="11"/>
      <c r="S16728" s="11"/>
      <c r="T16728" s="11"/>
    </row>
    <row r="16729" spans="8:20" x14ac:dyDescent="0.35">
      <c r="H16729" s="711"/>
      <c r="I16729" s="711"/>
      <c r="J16729" s="711"/>
      <c r="K16729" s="711"/>
      <c r="L16729" s="711"/>
      <c r="Q16729" s="11"/>
      <c r="R16729" s="11"/>
      <c r="S16729" s="11"/>
      <c r="T16729" s="11"/>
    </row>
    <row r="16730" spans="8:20" x14ac:dyDescent="0.35">
      <c r="H16730" s="711"/>
      <c r="I16730" s="711"/>
      <c r="J16730" s="711"/>
      <c r="K16730" s="711"/>
      <c r="L16730" s="711"/>
      <c r="Q16730" s="11"/>
      <c r="R16730" s="11"/>
      <c r="S16730" s="11"/>
      <c r="T16730" s="11"/>
    </row>
    <row r="16731" spans="8:20" x14ac:dyDescent="0.35">
      <c r="H16731" s="711"/>
      <c r="I16731" s="711"/>
      <c r="J16731" s="711"/>
      <c r="K16731" s="711"/>
      <c r="L16731" s="711"/>
      <c r="Q16731" s="11"/>
      <c r="R16731" s="11"/>
      <c r="S16731" s="11"/>
      <c r="T16731" s="11"/>
    </row>
    <row r="16732" spans="8:20" x14ac:dyDescent="0.35">
      <c r="H16732" s="711"/>
      <c r="I16732" s="711"/>
      <c r="J16732" s="711"/>
      <c r="K16732" s="711"/>
      <c r="L16732" s="711"/>
      <c r="Q16732" s="11"/>
      <c r="R16732" s="11"/>
      <c r="S16732" s="11"/>
      <c r="T16732" s="11"/>
    </row>
    <row r="16733" spans="8:20" x14ac:dyDescent="0.35">
      <c r="H16733" s="711"/>
      <c r="I16733" s="711"/>
      <c r="J16733" s="711"/>
      <c r="K16733" s="711"/>
      <c r="L16733" s="711"/>
      <c r="Q16733" s="11"/>
      <c r="R16733" s="11"/>
      <c r="S16733" s="11"/>
      <c r="T16733" s="11"/>
    </row>
    <row r="16734" spans="8:20" x14ac:dyDescent="0.35">
      <c r="H16734" s="711"/>
      <c r="I16734" s="711"/>
      <c r="J16734" s="711"/>
      <c r="K16734" s="711"/>
      <c r="L16734" s="711"/>
      <c r="Q16734" s="11"/>
      <c r="R16734" s="11"/>
      <c r="S16734" s="11"/>
      <c r="T16734" s="11"/>
    </row>
    <row r="16735" spans="8:20" x14ac:dyDescent="0.35">
      <c r="H16735" s="711"/>
      <c r="I16735" s="711"/>
      <c r="J16735" s="711"/>
      <c r="K16735" s="711"/>
      <c r="L16735" s="711"/>
      <c r="Q16735" s="11"/>
      <c r="R16735" s="11"/>
      <c r="S16735" s="11"/>
      <c r="T16735" s="11"/>
    </row>
    <row r="16736" spans="8:20" x14ac:dyDescent="0.35">
      <c r="H16736" s="711"/>
      <c r="I16736" s="711"/>
      <c r="J16736" s="711"/>
      <c r="K16736" s="711"/>
      <c r="L16736" s="711"/>
      <c r="Q16736" s="11"/>
      <c r="R16736" s="11"/>
      <c r="S16736" s="11"/>
      <c r="T16736" s="11"/>
    </row>
    <row r="16737" spans="8:20" x14ac:dyDescent="0.35">
      <c r="H16737" s="711"/>
      <c r="I16737" s="711"/>
      <c r="J16737" s="711"/>
      <c r="K16737" s="711"/>
      <c r="L16737" s="711"/>
      <c r="Q16737" s="11"/>
      <c r="R16737" s="11"/>
      <c r="S16737" s="11"/>
      <c r="T16737" s="11"/>
    </row>
    <row r="16738" spans="8:20" x14ac:dyDescent="0.35">
      <c r="H16738" s="711"/>
      <c r="I16738" s="711"/>
      <c r="J16738" s="711"/>
      <c r="K16738" s="711"/>
      <c r="L16738" s="711"/>
      <c r="Q16738" s="11"/>
      <c r="R16738" s="11"/>
      <c r="S16738" s="11"/>
      <c r="T16738" s="11"/>
    </row>
    <row r="16739" spans="8:20" x14ac:dyDescent="0.35">
      <c r="H16739" s="711"/>
      <c r="I16739" s="711"/>
      <c r="J16739" s="711"/>
      <c r="K16739" s="711"/>
      <c r="L16739" s="711"/>
      <c r="Q16739" s="11"/>
      <c r="R16739" s="11"/>
      <c r="S16739" s="11"/>
      <c r="T16739" s="11"/>
    </row>
    <row r="16740" spans="8:20" x14ac:dyDescent="0.35">
      <c r="H16740" s="711"/>
      <c r="I16740" s="711"/>
      <c r="J16740" s="711"/>
      <c r="K16740" s="711"/>
      <c r="L16740" s="711"/>
      <c r="Q16740" s="11"/>
      <c r="R16740" s="11"/>
      <c r="S16740" s="11"/>
      <c r="T16740" s="11"/>
    </row>
    <row r="16741" spans="8:20" x14ac:dyDescent="0.35">
      <c r="H16741" s="711"/>
      <c r="I16741" s="711"/>
      <c r="J16741" s="711"/>
      <c r="K16741" s="711"/>
      <c r="L16741" s="711"/>
      <c r="Q16741" s="11"/>
      <c r="R16741" s="11"/>
      <c r="S16741" s="11"/>
      <c r="T16741" s="11"/>
    </row>
    <row r="16742" spans="8:20" x14ac:dyDescent="0.35">
      <c r="H16742" s="711"/>
      <c r="I16742" s="711"/>
      <c r="J16742" s="711"/>
      <c r="K16742" s="711"/>
      <c r="L16742" s="711"/>
      <c r="Q16742" s="11"/>
      <c r="R16742" s="11"/>
      <c r="S16742" s="11"/>
      <c r="T16742" s="11"/>
    </row>
    <row r="16743" spans="8:20" x14ac:dyDescent="0.35">
      <c r="H16743" s="711"/>
      <c r="I16743" s="711"/>
      <c r="J16743" s="711"/>
      <c r="K16743" s="711"/>
      <c r="L16743" s="711"/>
      <c r="Q16743" s="11"/>
      <c r="R16743" s="11"/>
      <c r="S16743" s="11"/>
      <c r="T16743" s="11"/>
    </row>
    <row r="16744" spans="8:20" x14ac:dyDescent="0.35">
      <c r="H16744" s="711"/>
      <c r="I16744" s="711"/>
      <c r="J16744" s="711"/>
      <c r="K16744" s="711"/>
      <c r="L16744" s="711"/>
      <c r="Q16744" s="11"/>
      <c r="R16744" s="11"/>
      <c r="S16744" s="11"/>
      <c r="T16744" s="11"/>
    </row>
    <row r="16745" spans="8:20" x14ac:dyDescent="0.35">
      <c r="H16745" s="711"/>
      <c r="I16745" s="711"/>
      <c r="J16745" s="711"/>
      <c r="K16745" s="711"/>
      <c r="L16745" s="711"/>
      <c r="Q16745" s="11"/>
      <c r="R16745" s="11"/>
      <c r="S16745" s="11"/>
      <c r="T16745" s="11"/>
    </row>
    <row r="16746" spans="8:20" x14ac:dyDescent="0.35">
      <c r="H16746" s="711"/>
      <c r="I16746" s="711"/>
      <c r="J16746" s="711"/>
      <c r="K16746" s="711"/>
      <c r="L16746" s="711"/>
      <c r="Q16746" s="11"/>
      <c r="R16746" s="11"/>
      <c r="S16746" s="11"/>
      <c r="T16746" s="11"/>
    </row>
    <row r="16747" spans="8:20" x14ac:dyDescent="0.35">
      <c r="H16747" s="711"/>
      <c r="I16747" s="711"/>
      <c r="J16747" s="711"/>
      <c r="K16747" s="711"/>
      <c r="L16747" s="711"/>
      <c r="Q16747" s="11"/>
      <c r="R16747" s="11"/>
      <c r="S16747" s="11"/>
      <c r="T16747" s="11"/>
    </row>
    <row r="16748" spans="8:20" x14ac:dyDescent="0.35">
      <c r="H16748" s="711"/>
      <c r="I16748" s="711"/>
      <c r="J16748" s="711"/>
      <c r="K16748" s="711"/>
      <c r="L16748" s="711"/>
      <c r="Q16748" s="11"/>
      <c r="R16748" s="11"/>
      <c r="S16748" s="11"/>
      <c r="T16748" s="11"/>
    </row>
    <row r="16749" spans="8:20" x14ac:dyDescent="0.35">
      <c r="H16749" s="711"/>
      <c r="I16749" s="711"/>
      <c r="J16749" s="711"/>
      <c r="K16749" s="711"/>
      <c r="L16749" s="711"/>
      <c r="Q16749" s="11"/>
      <c r="R16749" s="11"/>
      <c r="S16749" s="11"/>
      <c r="T16749" s="11"/>
    </row>
    <row r="16750" spans="8:20" x14ac:dyDescent="0.35">
      <c r="H16750" s="711"/>
      <c r="I16750" s="711"/>
      <c r="J16750" s="711"/>
      <c r="K16750" s="711"/>
      <c r="L16750" s="711"/>
      <c r="Q16750" s="11"/>
      <c r="R16750" s="11"/>
      <c r="S16750" s="11"/>
      <c r="T16750" s="11"/>
    </row>
    <row r="16751" spans="8:20" x14ac:dyDescent="0.35">
      <c r="H16751" s="711"/>
      <c r="I16751" s="711"/>
      <c r="J16751" s="711"/>
      <c r="K16751" s="711"/>
      <c r="L16751" s="711"/>
      <c r="Q16751" s="11"/>
      <c r="R16751" s="11"/>
      <c r="S16751" s="11"/>
      <c r="T16751" s="11"/>
    </row>
    <row r="16752" spans="8:20" x14ac:dyDescent="0.35">
      <c r="H16752" s="711"/>
      <c r="I16752" s="711"/>
      <c r="J16752" s="711"/>
      <c r="K16752" s="711"/>
      <c r="L16752" s="711"/>
      <c r="Q16752" s="11"/>
      <c r="R16752" s="11"/>
      <c r="S16752" s="11"/>
      <c r="T16752" s="11"/>
    </row>
    <row r="16753" spans="8:20" x14ac:dyDescent="0.35">
      <c r="H16753" s="711"/>
      <c r="I16753" s="711"/>
      <c r="J16753" s="711"/>
      <c r="K16753" s="711"/>
      <c r="L16753" s="711"/>
      <c r="Q16753" s="11"/>
      <c r="R16753" s="11"/>
      <c r="S16753" s="11"/>
      <c r="T16753" s="11"/>
    </row>
    <row r="16754" spans="8:20" x14ac:dyDescent="0.35">
      <c r="H16754" s="711"/>
      <c r="I16754" s="711"/>
      <c r="J16754" s="711"/>
      <c r="K16754" s="711"/>
      <c r="L16754" s="711"/>
      <c r="Q16754" s="11"/>
      <c r="R16754" s="11"/>
      <c r="S16754" s="11"/>
      <c r="T16754" s="11"/>
    </row>
    <row r="16755" spans="8:20" x14ac:dyDescent="0.35">
      <c r="H16755" s="711"/>
      <c r="I16755" s="711"/>
      <c r="J16755" s="711"/>
      <c r="K16755" s="711"/>
      <c r="L16755" s="711"/>
      <c r="Q16755" s="11"/>
      <c r="R16755" s="11"/>
      <c r="S16755" s="11"/>
      <c r="T16755" s="11"/>
    </row>
    <row r="16756" spans="8:20" x14ac:dyDescent="0.35">
      <c r="H16756" s="711"/>
      <c r="I16756" s="711"/>
      <c r="J16756" s="711"/>
      <c r="K16756" s="711"/>
      <c r="L16756" s="711"/>
      <c r="Q16756" s="11"/>
      <c r="R16756" s="11"/>
      <c r="S16756" s="11"/>
      <c r="T16756" s="11"/>
    </row>
    <row r="16757" spans="8:20" x14ac:dyDescent="0.35">
      <c r="H16757" s="711"/>
      <c r="I16757" s="711"/>
      <c r="J16757" s="711"/>
      <c r="K16757" s="711"/>
      <c r="L16757" s="711"/>
      <c r="Q16757" s="11"/>
      <c r="R16757" s="11"/>
      <c r="S16757" s="11"/>
      <c r="T16757" s="11"/>
    </row>
    <row r="16758" spans="8:20" x14ac:dyDescent="0.35">
      <c r="H16758" s="711"/>
      <c r="I16758" s="711"/>
      <c r="J16758" s="711"/>
      <c r="K16758" s="711"/>
      <c r="L16758" s="711"/>
      <c r="Q16758" s="11"/>
      <c r="R16758" s="11"/>
      <c r="S16758" s="11"/>
      <c r="T16758" s="11"/>
    </row>
    <row r="16759" spans="8:20" x14ac:dyDescent="0.35">
      <c r="H16759" s="711"/>
      <c r="I16759" s="711"/>
      <c r="J16759" s="711"/>
      <c r="K16759" s="711"/>
      <c r="L16759" s="711"/>
      <c r="Q16759" s="11"/>
      <c r="R16759" s="11"/>
      <c r="S16759" s="11"/>
      <c r="T16759" s="11"/>
    </row>
    <row r="16760" spans="8:20" x14ac:dyDescent="0.35">
      <c r="H16760" s="711"/>
      <c r="I16760" s="711"/>
      <c r="J16760" s="711"/>
      <c r="K16760" s="711"/>
      <c r="L16760" s="711"/>
      <c r="Q16760" s="11"/>
      <c r="R16760" s="11"/>
      <c r="S16760" s="11"/>
      <c r="T16760" s="11"/>
    </row>
    <row r="16761" spans="8:20" x14ac:dyDescent="0.35">
      <c r="H16761" s="711"/>
      <c r="I16761" s="711"/>
      <c r="J16761" s="711"/>
      <c r="K16761" s="711"/>
      <c r="L16761" s="711"/>
      <c r="Q16761" s="11"/>
      <c r="R16761" s="11"/>
      <c r="S16761" s="11"/>
      <c r="T16761" s="11"/>
    </row>
    <row r="16762" spans="8:20" x14ac:dyDescent="0.35">
      <c r="H16762" s="711"/>
      <c r="I16762" s="711"/>
      <c r="J16762" s="711"/>
      <c r="K16762" s="711"/>
      <c r="L16762" s="711"/>
      <c r="Q16762" s="11"/>
      <c r="R16762" s="11"/>
      <c r="S16762" s="11"/>
      <c r="T16762" s="11"/>
    </row>
    <row r="16763" spans="8:20" x14ac:dyDescent="0.35">
      <c r="H16763" s="711"/>
      <c r="I16763" s="711"/>
      <c r="J16763" s="711"/>
      <c r="K16763" s="711"/>
      <c r="L16763" s="711"/>
      <c r="Q16763" s="11"/>
      <c r="R16763" s="11"/>
      <c r="S16763" s="11"/>
      <c r="T16763" s="11"/>
    </row>
    <row r="16764" spans="8:20" x14ac:dyDescent="0.35">
      <c r="H16764" s="711"/>
      <c r="I16764" s="711"/>
      <c r="J16764" s="711"/>
      <c r="K16764" s="711"/>
      <c r="L16764" s="711"/>
      <c r="Q16764" s="11"/>
      <c r="R16764" s="11"/>
      <c r="S16764" s="11"/>
      <c r="T16764" s="11"/>
    </row>
    <row r="16765" spans="8:20" x14ac:dyDescent="0.35">
      <c r="H16765" s="711"/>
      <c r="I16765" s="711"/>
      <c r="J16765" s="711"/>
      <c r="K16765" s="711"/>
      <c r="L16765" s="711"/>
      <c r="Q16765" s="11"/>
      <c r="R16765" s="11"/>
      <c r="S16765" s="11"/>
      <c r="T16765" s="11"/>
    </row>
    <row r="16766" spans="8:20" x14ac:dyDescent="0.35">
      <c r="H16766" s="711"/>
      <c r="I16766" s="711"/>
      <c r="J16766" s="711"/>
      <c r="K16766" s="711"/>
      <c r="L16766" s="711"/>
      <c r="Q16766" s="11"/>
      <c r="R16766" s="11"/>
      <c r="S16766" s="11"/>
      <c r="T16766" s="11"/>
    </row>
    <row r="16767" spans="8:20" x14ac:dyDescent="0.35">
      <c r="H16767" s="711"/>
      <c r="I16767" s="711"/>
      <c r="J16767" s="711"/>
      <c r="K16767" s="711"/>
      <c r="L16767" s="711"/>
      <c r="Q16767" s="11"/>
      <c r="R16767" s="11"/>
      <c r="S16767" s="11"/>
      <c r="T16767" s="11"/>
    </row>
    <row r="16768" spans="8:20" x14ac:dyDescent="0.35">
      <c r="H16768" s="711"/>
      <c r="I16768" s="711"/>
      <c r="J16768" s="711"/>
      <c r="K16768" s="711"/>
      <c r="L16768" s="711"/>
      <c r="Q16768" s="11"/>
      <c r="R16768" s="11"/>
      <c r="S16768" s="11"/>
      <c r="T16768" s="11"/>
    </row>
    <row r="16769" spans="8:20" x14ac:dyDescent="0.35">
      <c r="H16769" s="711"/>
      <c r="I16769" s="711"/>
      <c r="J16769" s="711"/>
      <c r="K16769" s="711"/>
      <c r="L16769" s="711"/>
      <c r="Q16769" s="11"/>
      <c r="R16769" s="11"/>
      <c r="S16769" s="11"/>
      <c r="T16769" s="11"/>
    </row>
    <row r="16770" spans="8:20" x14ac:dyDescent="0.35">
      <c r="H16770" s="711"/>
      <c r="I16770" s="711"/>
      <c r="J16770" s="711"/>
      <c r="K16770" s="711"/>
      <c r="L16770" s="711"/>
      <c r="Q16770" s="11"/>
      <c r="R16770" s="11"/>
      <c r="S16770" s="11"/>
      <c r="T16770" s="11"/>
    </row>
    <row r="16771" spans="8:20" x14ac:dyDescent="0.35">
      <c r="H16771" s="711"/>
      <c r="I16771" s="711"/>
      <c r="J16771" s="711"/>
      <c r="K16771" s="711"/>
      <c r="L16771" s="711"/>
      <c r="Q16771" s="11"/>
      <c r="R16771" s="11"/>
      <c r="S16771" s="11"/>
      <c r="T16771" s="11"/>
    </row>
    <row r="16772" spans="8:20" x14ac:dyDescent="0.35">
      <c r="H16772" s="711"/>
      <c r="I16772" s="711"/>
      <c r="J16772" s="711"/>
      <c r="K16772" s="711"/>
      <c r="L16772" s="711"/>
      <c r="Q16772" s="11"/>
      <c r="R16772" s="11"/>
      <c r="S16772" s="11"/>
      <c r="T16772" s="11"/>
    </row>
    <row r="16773" spans="8:20" x14ac:dyDescent="0.35">
      <c r="H16773" s="711"/>
      <c r="I16773" s="711"/>
      <c r="J16773" s="711"/>
      <c r="K16773" s="711"/>
      <c r="L16773" s="711"/>
      <c r="Q16773" s="11"/>
      <c r="R16773" s="11"/>
      <c r="S16773" s="11"/>
      <c r="T16773" s="11"/>
    </row>
    <row r="16774" spans="8:20" x14ac:dyDescent="0.35">
      <c r="H16774" s="711"/>
      <c r="I16774" s="711"/>
      <c r="J16774" s="711"/>
      <c r="K16774" s="711"/>
      <c r="L16774" s="711"/>
      <c r="Q16774" s="11"/>
      <c r="R16774" s="11"/>
      <c r="S16774" s="11"/>
      <c r="T16774" s="11"/>
    </row>
    <row r="16775" spans="8:20" x14ac:dyDescent="0.35">
      <c r="H16775" s="711"/>
      <c r="I16775" s="711"/>
      <c r="J16775" s="711"/>
      <c r="K16775" s="711"/>
      <c r="L16775" s="711"/>
      <c r="Q16775" s="11"/>
      <c r="R16775" s="11"/>
      <c r="S16775" s="11"/>
      <c r="T16775" s="11"/>
    </row>
    <row r="16776" spans="8:20" x14ac:dyDescent="0.35">
      <c r="H16776" s="711"/>
      <c r="I16776" s="711"/>
      <c r="J16776" s="711"/>
      <c r="K16776" s="711"/>
      <c r="L16776" s="711"/>
      <c r="Q16776" s="11"/>
      <c r="R16776" s="11"/>
      <c r="S16776" s="11"/>
      <c r="T16776" s="11"/>
    </row>
    <row r="16777" spans="8:20" x14ac:dyDescent="0.35">
      <c r="H16777" s="711"/>
      <c r="I16777" s="711"/>
      <c r="J16777" s="711"/>
      <c r="K16777" s="711"/>
      <c r="L16777" s="711"/>
      <c r="Q16777" s="11"/>
      <c r="R16777" s="11"/>
      <c r="S16777" s="11"/>
      <c r="T16777" s="11"/>
    </row>
    <row r="16778" spans="8:20" x14ac:dyDescent="0.35">
      <c r="H16778" s="711"/>
      <c r="I16778" s="711"/>
      <c r="J16778" s="711"/>
      <c r="K16778" s="711"/>
      <c r="L16778" s="711"/>
      <c r="Q16778" s="11"/>
      <c r="R16778" s="11"/>
      <c r="S16778" s="11"/>
      <c r="T16778" s="11"/>
    </row>
    <row r="16779" spans="8:20" x14ac:dyDescent="0.35">
      <c r="H16779" s="711"/>
      <c r="I16779" s="711"/>
      <c r="J16779" s="711"/>
      <c r="K16779" s="711"/>
      <c r="L16779" s="711"/>
      <c r="Q16779" s="11"/>
      <c r="R16779" s="11"/>
      <c r="S16779" s="11"/>
      <c r="T16779" s="11"/>
    </row>
    <row r="16780" spans="8:20" x14ac:dyDescent="0.35">
      <c r="H16780" s="711"/>
      <c r="I16780" s="711"/>
      <c r="J16780" s="711"/>
      <c r="K16780" s="711"/>
      <c r="L16780" s="711"/>
      <c r="Q16780" s="11"/>
      <c r="R16780" s="11"/>
      <c r="S16780" s="11"/>
      <c r="T16780" s="11"/>
    </row>
    <row r="16781" spans="8:20" x14ac:dyDescent="0.35">
      <c r="H16781" s="711"/>
      <c r="I16781" s="711"/>
      <c r="J16781" s="711"/>
      <c r="K16781" s="711"/>
      <c r="L16781" s="711"/>
      <c r="Q16781" s="11"/>
      <c r="R16781" s="11"/>
      <c r="S16781" s="11"/>
      <c r="T16781" s="11"/>
    </row>
    <row r="16782" spans="8:20" x14ac:dyDescent="0.35">
      <c r="H16782" s="711"/>
      <c r="I16782" s="711"/>
      <c r="J16782" s="711"/>
      <c r="K16782" s="711"/>
      <c r="L16782" s="711"/>
      <c r="Q16782" s="11"/>
      <c r="R16782" s="11"/>
      <c r="S16782" s="11"/>
      <c r="T16782" s="11"/>
    </row>
    <row r="16783" spans="8:20" x14ac:dyDescent="0.35">
      <c r="H16783" s="711"/>
      <c r="I16783" s="711"/>
      <c r="J16783" s="711"/>
      <c r="K16783" s="711"/>
      <c r="L16783" s="711"/>
      <c r="Q16783" s="11"/>
      <c r="R16783" s="11"/>
      <c r="S16783" s="11"/>
      <c r="T16783" s="11"/>
    </row>
    <row r="16784" spans="8:20" x14ac:dyDescent="0.35">
      <c r="H16784" s="711"/>
      <c r="I16784" s="711"/>
      <c r="J16784" s="711"/>
      <c r="K16784" s="711"/>
      <c r="L16784" s="711"/>
      <c r="Q16784" s="11"/>
      <c r="R16784" s="11"/>
      <c r="S16784" s="11"/>
      <c r="T16784" s="11"/>
    </row>
    <row r="16785" spans="8:20" x14ac:dyDescent="0.35">
      <c r="H16785" s="711"/>
      <c r="I16785" s="711"/>
      <c r="J16785" s="711"/>
      <c r="K16785" s="711"/>
      <c r="L16785" s="711"/>
      <c r="Q16785" s="11"/>
      <c r="R16785" s="11"/>
      <c r="S16785" s="11"/>
      <c r="T16785" s="11"/>
    </row>
    <row r="16786" spans="8:20" x14ac:dyDescent="0.35">
      <c r="H16786" s="711"/>
      <c r="I16786" s="711"/>
      <c r="J16786" s="711"/>
      <c r="K16786" s="711"/>
      <c r="L16786" s="711"/>
      <c r="Q16786" s="11"/>
      <c r="R16786" s="11"/>
      <c r="S16786" s="11"/>
      <c r="T16786" s="11"/>
    </row>
    <row r="16787" spans="8:20" x14ac:dyDescent="0.35">
      <c r="H16787" s="711"/>
      <c r="I16787" s="711"/>
      <c r="J16787" s="711"/>
      <c r="K16787" s="711"/>
      <c r="L16787" s="711"/>
      <c r="Q16787" s="11"/>
      <c r="R16787" s="11"/>
      <c r="S16787" s="11"/>
      <c r="T16787" s="11"/>
    </row>
    <row r="16788" spans="8:20" x14ac:dyDescent="0.35">
      <c r="H16788" s="711"/>
      <c r="I16788" s="711"/>
      <c r="J16788" s="711"/>
      <c r="K16788" s="711"/>
      <c r="L16788" s="711"/>
      <c r="Q16788" s="11"/>
      <c r="R16788" s="11"/>
      <c r="S16788" s="11"/>
      <c r="T16788" s="11"/>
    </row>
    <row r="16789" spans="8:20" x14ac:dyDescent="0.35">
      <c r="H16789" s="711"/>
      <c r="I16789" s="711"/>
      <c r="J16789" s="711"/>
      <c r="K16789" s="711"/>
      <c r="L16789" s="711"/>
      <c r="Q16789" s="11"/>
      <c r="R16789" s="11"/>
      <c r="S16789" s="11"/>
      <c r="T16789" s="11"/>
    </row>
    <row r="16790" spans="8:20" x14ac:dyDescent="0.35">
      <c r="H16790" s="711"/>
      <c r="I16790" s="711"/>
      <c r="J16790" s="711"/>
      <c r="K16790" s="711"/>
      <c r="L16790" s="711"/>
      <c r="Q16790" s="11"/>
      <c r="R16790" s="11"/>
      <c r="S16790" s="11"/>
      <c r="T16790" s="11"/>
    </row>
    <row r="16791" spans="8:20" x14ac:dyDescent="0.35">
      <c r="H16791" s="711"/>
      <c r="I16791" s="711"/>
      <c r="J16791" s="711"/>
      <c r="K16791" s="711"/>
      <c r="L16791" s="711"/>
      <c r="Q16791" s="11"/>
      <c r="R16791" s="11"/>
      <c r="S16791" s="11"/>
      <c r="T16791" s="11"/>
    </row>
    <row r="16792" spans="8:20" x14ac:dyDescent="0.35">
      <c r="H16792" s="711"/>
      <c r="I16792" s="711"/>
      <c r="J16792" s="711"/>
      <c r="K16792" s="711"/>
      <c r="L16792" s="711"/>
      <c r="Q16792" s="11"/>
      <c r="R16792" s="11"/>
      <c r="S16792" s="11"/>
      <c r="T16792" s="11"/>
    </row>
    <row r="16793" spans="8:20" x14ac:dyDescent="0.35">
      <c r="H16793" s="711"/>
      <c r="I16793" s="711"/>
      <c r="J16793" s="711"/>
      <c r="K16793" s="711"/>
      <c r="L16793" s="711"/>
      <c r="Q16793" s="11"/>
      <c r="R16793" s="11"/>
      <c r="S16793" s="11"/>
      <c r="T16793" s="11"/>
    </row>
    <row r="16794" spans="8:20" x14ac:dyDescent="0.35">
      <c r="H16794" s="711"/>
      <c r="I16794" s="711"/>
      <c r="J16794" s="711"/>
      <c r="K16794" s="711"/>
      <c r="L16794" s="711"/>
      <c r="Q16794" s="11"/>
      <c r="R16794" s="11"/>
      <c r="S16794" s="11"/>
      <c r="T16794" s="11"/>
    </row>
    <row r="16795" spans="8:20" x14ac:dyDescent="0.35">
      <c r="H16795" s="711"/>
      <c r="I16795" s="711"/>
      <c r="J16795" s="711"/>
      <c r="K16795" s="711"/>
      <c r="L16795" s="711"/>
      <c r="Q16795" s="11"/>
      <c r="R16795" s="11"/>
      <c r="S16795" s="11"/>
      <c r="T16795" s="11"/>
    </row>
    <row r="16796" spans="8:20" x14ac:dyDescent="0.35">
      <c r="H16796" s="711"/>
      <c r="I16796" s="711"/>
      <c r="J16796" s="711"/>
      <c r="K16796" s="711"/>
      <c r="L16796" s="711"/>
      <c r="Q16796" s="11"/>
      <c r="R16796" s="11"/>
      <c r="S16796" s="11"/>
      <c r="T16796" s="11"/>
    </row>
    <row r="16797" spans="8:20" x14ac:dyDescent="0.35">
      <c r="H16797" s="711"/>
      <c r="I16797" s="711"/>
      <c r="J16797" s="711"/>
      <c r="K16797" s="711"/>
      <c r="L16797" s="711"/>
      <c r="Q16797" s="11"/>
      <c r="R16797" s="11"/>
      <c r="S16797" s="11"/>
      <c r="T16797" s="11"/>
    </row>
    <row r="16798" spans="8:20" x14ac:dyDescent="0.35">
      <c r="H16798" s="711"/>
      <c r="I16798" s="711"/>
      <c r="J16798" s="711"/>
      <c r="K16798" s="711"/>
      <c r="L16798" s="711"/>
      <c r="Q16798" s="11"/>
      <c r="R16798" s="11"/>
      <c r="S16798" s="11"/>
      <c r="T16798" s="11"/>
    </row>
    <row r="16799" spans="8:20" x14ac:dyDescent="0.35">
      <c r="H16799" s="711"/>
      <c r="I16799" s="711"/>
      <c r="J16799" s="711"/>
      <c r="K16799" s="711"/>
      <c r="L16799" s="711"/>
      <c r="Q16799" s="11"/>
      <c r="R16799" s="11"/>
      <c r="S16799" s="11"/>
      <c r="T16799" s="11"/>
    </row>
    <row r="16800" spans="8:20" x14ac:dyDescent="0.35">
      <c r="H16800" s="711"/>
      <c r="I16800" s="711"/>
      <c r="J16800" s="711"/>
      <c r="K16800" s="711"/>
      <c r="L16800" s="711"/>
      <c r="Q16800" s="11"/>
      <c r="R16800" s="11"/>
      <c r="S16800" s="11"/>
      <c r="T16800" s="11"/>
    </row>
    <row r="16801" spans="8:20" x14ac:dyDescent="0.35">
      <c r="H16801" s="711"/>
      <c r="I16801" s="711"/>
      <c r="J16801" s="711"/>
      <c r="K16801" s="711"/>
      <c r="L16801" s="711"/>
      <c r="Q16801" s="11"/>
      <c r="R16801" s="11"/>
      <c r="S16801" s="11"/>
      <c r="T16801" s="11"/>
    </row>
    <row r="16802" spans="8:20" x14ac:dyDescent="0.35">
      <c r="H16802" s="711"/>
      <c r="I16802" s="711"/>
      <c r="J16802" s="711"/>
      <c r="K16802" s="711"/>
      <c r="L16802" s="711"/>
      <c r="Q16802" s="11"/>
      <c r="R16802" s="11"/>
      <c r="S16802" s="11"/>
      <c r="T16802" s="11"/>
    </row>
    <row r="16803" spans="8:20" x14ac:dyDescent="0.35">
      <c r="H16803" s="711"/>
      <c r="I16803" s="711"/>
      <c r="J16803" s="711"/>
      <c r="K16803" s="711"/>
      <c r="L16803" s="711"/>
      <c r="Q16803" s="11"/>
      <c r="R16803" s="11"/>
      <c r="S16803" s="11"/>
      <c r="T16803" s="11"/>
    </row>
    <row r="16804" spans="8:20" x14ac:dyDescent="0.35">
      <c r="H16804" s="711"/>
      <c r="I16804" s="711"/>
      <c r="J16804" s="711"/>
      <c r="K16804" s="711"/>
      <c r="L16804" s="711"/>
      <c r="Q16804" s="11"/>
      <c r="R16804" s="11"/>
      <c r="S16804" s="11"/>
      <c r="T16804" s="11"/>
    </row>
    <row r="16805" spans="8:20" x14ac:dyDescent="0.35">
      <c r="H16805" s="711"/>
      <c r="I16805" s="711"/>
      <c r="J16805" s="711"/>
      <c r="K16805" s="711"/>
      <c r="L16805" s="711"/>
      <c r="Q16805" s="11"/>
      <c r="R16805" s="11"/>
      <c r="S16805" s="11"/>
      <c r="T16805" s="11"/>
    </row>
    <row r="16806" spans="8:20" x14ac:dyDescent="0.35">
      <c r="H16806" s="711"/>
      <c r="I16806" s="711"/>
      <c r="J16806" s="711"/>
      <c r="K16806" s="711"/>
      <c r="L16806" s="711"/>
      <c r="Q16806" s="11"/>
      <c r="R16806" s="11"/>
      <c r="S16806" s="11"/>
      <c r="T16806" s="11"/>
    </row>
    <row r="16807" spans="8:20" x14ac:dyDescent="0.35">
      <c r="H16807" s="711"/>
      <c r="I16807" s="711"/>
      <c r="J16807" s="711"/>
      <c r="K16807" s="711"/>
      <c r="L16807" s="711"/>
      <c r="Q16807" s="11"/>
      <c r="R16807" s="11"/>
      <c r="S16807" s="11"/>
      <c r="T16807" s="11"/>
    </row>
    <row r="16808" spans="8:20" x14ac:dyDescent="0.35">
      <c r="H16808" s="711"/>
      <c r="I16808" s="711"/>
      <c r="J16808" s="711"/>
      <c r="K16808" s="711"/>
      <c r="L16808" s="711"/>
      <c r="Q16808" s="11"/>
      <c r="R16808" s="11"/>
      <c r="S16808" s="11"/>
      <c r="T16808" s="11"/>
    </row>
    <row r="16809" spans="8:20" x14ac:dyDescent="0.35">
      <c r="H16809" s="711"/>
      <c r="I16809" s="711"/>
      <c r="J16809" s="711"/>
      <c r="K16809" s="711"/>
      <c r="L16809" s="711"/>
      <c r="Q16809" s="11"/>
      <c r="R16809" s="11"/>
      <c r="S16809" s="11"/>
      <c r="T16809" s="11"/>
    </row>
    <row r="16810" spans="8:20" x14ac:dyDescent="0.35">
      <c r="H16810" s="711"/>
      <c r="I16810" s="711"/>
      <c r="J16810" s="711"/>
      <c r="K16810" s="711"/>
      <c r="L16810" s="711"/>
      <c r="Q16810" s="11"/>
      <c r="R16810" s="11"/>
      <c r="S16810" s="11"/>
      <c r="T16810" s="11"/>
    </row>
    <row r="16811" spans="8:20" x14ac:dyDescent="0.35">
      <c r="H16811" s="711"/>
      <c r="I16811" s="711"/>
      <c r="J16811" s="711"/>
      <c r="K16811" s="711"/>
      <c r="L16811" s="711"/>
      <c r="Q16811" s="11"/>
      <c r="R16811" s="11"/>
      <c r="S16811" s="11"/>
      <c r="T16811" s="11"/>
    </row>
    <row r="16812" spans="8:20" x14ac:dyDescent="0.35">
      <c r="H16812" s="711"/>
      <c r="I16812" s="711"/>
      <c r="J16812" s="711"/>
      <c r="K16812" s="711"/>
      <c r="L16812" s="711"/>
      <c r="Q16812" s="11"/>
      <c r="R16812" s="11"/>
      <c r="S16812" s="11"/>
      <c r="T16812" s="11"/>
    </row>
    <row r="16813" spans="8:20" x14ac:dyDescent="0.35">
      <c r="H16813" s="711"/>
      <c r="I16813" s="711"/>
      <c r="J16813" s="711"/>
      <c r="K16813" s="711"/>
      <c r="L16813" s="711"/>
      <c r="Q16813" s="11"/>
      <c r="R16813" s="11"/>
      <c r="S16813" s="11"/>
      <c r="T16813" s="11"/>
    </row>
    <row r="16814" spans="8:20" x14ac:dyDescent="0.35">
      <c r="H16814" s="711"/>
      <c r="I16814" s="711"/>
      <c r="J16814" s="711"/>
      <c r="K16814" s="711"/>
      <c r="L16814" s="711"/>
      <c r="Q16814" s="11"/>
      <c r="R16814" s="11"/>
      <c r="S16814" s="11"/>
      <c r="T16814" s="11"/>
    </row>
    <row r="16815" spans="8:20" x14ac:dyDescent="0.35">
      <c r="H16815" s="711"/>
      <c r="I16815" s="711"/>
      <c r="J16815" s="711"/>
      <c r="K16815" s="711"/>
      <c r="L16815" s="711"/>
      <c r="Q16815" s="11"/>
      <c r="R16815" s="11"/>
      <c r="S16815" s="11"/>
      <c r="T16815" s="11"/>
    </row>
    <row r="16816" spans="8:20" x14ac:dyDescent="0.35">
      <c r="H16816" s="711"/>
      <c r="I16816" s="711"/>
      <c r="J16816" s="711"/>
      <c r="K16816" s="711"/>
      <c r="L16816" s="711"/>
      <c r="Q16816" s="11"/>
      <c r="R16816" s="11"/>
      <c r="S16816" s="11"/>
      <c r="T16816" s="11"/>
    </row>
    <row r="16817" spans="8:20" x14ac:dyDescent="0.35">
      <c r="H16817" s="711"/>
      <c r="I16817" s="711"/>
      <c r="J16817" s="711"/>
      <c r="K16817" s="711"/>
      <c r="L16817" s="711"/>
      <c r="Q16817" s="11"/>
      <c r="R16817" s="11"/>
      <c r="S16817" s="11"/>
      <c r="T16817" s="11"/>
    </row>
    <row r="16818" spans="8:20" x14ac:dyDescent="0.35">
      <c r="H16818" s="711"/>
      <c r="I16818" s="711"/>
      <c r="J16818" s="711"/>
      <c r="K16818" s="711"/>
      <c r="L16818" s="711"/>
      <c r="Q16818" s="11"/>
      <c r="R16818" s="11"/>
      <c r="S16818" s="11"/>
      <c r="T16818" s="11"/>
    </row>
    <row r="16819" spans="8:20" x14ac:dyDescent="0.35">
      <c r="H16819" s="711"/>
      <c r="I16819" s="711"/>
      <c r="J16819" s="711"/>
      <c r="K16819" s="711"/>
      <c r="L16819" s="711"/>
      <c r="Q16819" s="11"/>
      <c r="R16819" s="11"/>
      <c r="S16819" s="11"/>
      <c r="T16819" s="11"/>
    </row>
    <row r="16820" spans="8:20" x14ac:dyDescent="0.35">
      <c r="H16820" s="711"/>
      <c r="I16820" s="711"/>
      <c r="J16820" s="711"/>
      <c r="K16820" s="711"/>
      <c r="L16820" s="711"/>
      <c r="Q16820" s="11"/>
      <c r="R16820" s="11"/>
      <c r="S16820" s="11"/>
      <c r="T16820" s="11"/>
    </row>
    <row r="16821" spans="8:20" x14ac:dyDescent="0.35">
      <c r="H16821" s="711"/>
      <c r="I16821" s="711"/>
      <c r="J16821" s="711"/>
      <c r="K16821" s="711"/>
      <c r="L16821" s="711"/>
      <c r="Q16821" s="11"/>
      <c r="R16821" s="11"/>
      <c r="S16821" s="11"/>
      <c r="T16821" s="11"/>
    </row>
    <row r="16822" spans="8:20" x14ac:dyDescent="0.35">
      <c r="H16822" s="711"/>
      <c r="I16822" s="711"/>
      <c r="J16822" s="711"/>
      <c r="K16822" s="711"/>
      <c r="L16822" s="711"/>
      <c r="Q16822" s="11"/>
      <c r="R16822" s="11"/>
      <c r="S16822" s="11"/>
      <c r="T16822" s="11"/>
    </row>
    <row r="16823" spans="8:20" x14ac:dyDescent="0.35">
      <c r="H16823" s="711"/>
      <c r="I16823" s="711"/>
      <c r="J16823" s="711"/>
      <c r="K16823" s="711"/>
      <c r="L16823" s="711"/>
      <c r="Q16823" s="11"/>
      <c r="R16823" s="11"/>
      <c r="S16823" s="11"/>
      <c r="T16823" s="11"/>
    </row>
    <row r="16824" spans="8:20" x14ac:dyDescent="0.35">
      <c r="H16824" s="711"/>
      <c r="I16824" s="711"/>
      <c r="J16824" s="711"/>
      <c r="K16824" s="711"/>
      <c r="L16824" s="711"/>
      <c r="Q16824" s="11"/>
      <c r="R16824" s="11"/>
      <c r="S16824" s="11"/>
      <c r="T16824" s="11"/>
    </row>
    <row r="16825" spans="8:20" x14ac:dyDescent="0.35">
      <c r="H16825" s="711"/>
      <c r="I16825" s="711"/>
      <c r="J16825" s="711"/>
      <c r="K16825" s="711"/>
      <c r="L16825" s="711"/>
      <c r="Q16825" s="11"/>
      <c r="R16825" s="11"/>
      <c r="S16825" s="11"/>
      <c r="T16825" s="11"/>
    </row>
    <row r="16826" spans="8:20" x14ac:dyDescent="0.35">
      <c r="H16826" s="711"/>
      <c r="I16826" s="711"/>
      <c r="J16826" s="711"/>
      <c r="K16826" s="711"/>
      <c r="L16826" s="711"/>
      <c r="Q16826" s="11"/>
      <c r="R16826" s="11"/>
      <c r="S16826" s="11"/>
      <c r="T16826" s="11"/>
    </row>
    <row r="16827" spans="8:20" x14ac:dyDescent="0.35">
      <c r="H16827" s="711"/>
      <c r="I16827" s="711"/>
      <c r="J16827" s="711"/>
      <c r="K16827" s="711"/>
      <c r="L16827" s="711"/>
      <c r="Q16827" s="11"/>
      <c r="R16827" s="11"/>
      <c r="S16827" s="11"/>
      <c r="T16827" s="11"/>
    </row>
    <row r="16828" spans="8:20" x14ac:dyDescent="0.35">
      <c r="H16828" s="711"/>
      <c r="I16828" s="711"/>
      <c r="J16828" s="711"/>
      <c r="K16828" s="711"/>
      <c r="L16828" s="711"/>
      <c r="Q16828" s="11"/>
      <c r="R16828" s="11"/>
      <c r="S16828" s="11"/>
      <c r="T16828" s="11"/>
    </row>
    <row r="16829" spans="8:20" x14ac:dyDescent="0.35">
      <c r="H16829" s="711"/>
      <c r="I16829" s="711"/>
      <c r="J16829" s="711"/>
      <c r="K16829" s="711"/>
      <c r="L16829" s="711"/>
      <c r="Q16829" s="11"/>
      <c r="R16829" s="11"/>
      <c r="S16829" s="11"/>
      <c r="T16829" s="11"/>
    </row>
    <row r="16830" spans="8:20" x14ac:dyDescent="0.35">
      <c r="H16830" s="711"/>
      <c r="I16830" s="711"/>
      <c r="J16830" s="711"/>
      <c r="K16830" s="711"/>
      <c r="L16830" s="711"/>
      <c r="Q16830" s="11"/>
      <c r="R16830" s="11"/>
      <c r="S16830" s="11"/>
      <c r="T16830" s="11"/>
    </row>
    <row r="16831" spans="8:20" x14ac:dyDescent="0.35">
      <c r="H16831" s="711"/>
      <c r="I16831" s="711"/>
      <c r="J16831" s="711"/>
      <c r="K16831" s="711"/>
      <c r="L16831" s="711"/>
      <c r="Q16831" s="11"/>
      <c r="R16831" s="11"/>
      <c r="S16831" s="11"/>
      <c r="T16831" s="11"/>
    </row>
    <row r="16832" spans="8:20" x14ac:dyDescent="0.35">
      <c r="H16832" s="711"/>
      <c r="I16832" s="711"/>
      <c r="J16832" s="711"/>
      <c r="K16832" s="711"/>
      <c r="L16832" s="711"/>
      <c r="Q16832" s="11"/>
      <c r="R16832" s="11"/>
      <c r="S16832" s="11"/>
      <c r="T16832" s="11"/>
    </row>
    <row r="16833" spans="8:20" x14ac:dyDescent="0.35">
      <c r="H16833" s="711"/>
      <c r="I16833" s="711"/>
      <c r="J16833" s="711"/>
      <c r="K16833" s="711"/>
      <c r="L16833" s="711"/>
      <c r="Q16833" s="11"/>
      <c r="R16833" s="11"/>
      <c r="S16833" s="11"/>
      <c r="T16833" s="11"/>
    </row>
    <row r="16834" spans="8:20" x14ac:dyDescent="0.35">
      <c r="H16834" s="711"/>
      <c r="I16834" s="711"/>
      <c r="J16834" s="711"/>
      <c r="K16834" s="711"/>
      <c r="L16834" s="711"/>
      <c r="Q16834" s="11"/>
      <c r="R16834" s="11"/>
      <c r="S16834" s="11"/>
      <c r="T16834" s="11"/>
    </row>
    <row r="16835" spans="8:20" x14ac:dyDescent="0.35">
      <c r="H16835" s="711"/>
      <c r="I16835" s="711"/>
      <c r="J16835" s="711"/>
      <c r="K16835" s="711"/>
      <c r="L16835" s="711"/>
      <c r="Q16835" s="11"/>
      <c r="R16835" s="11"/>
      <c r="S16835" s="11"/>
      <c r="T16835" s="11"/>
    </row>
    <row r="16836" spans="8:20" x14ac:dyDescent="0.35">
      <c r="H16836" s="711"/>
      <c r="I16836" s="711"/>
      <c r="J16836" s="711"/>
      <c r="K16836" s="711"/>
      <c r="L16836" s="711"/>
      <c r="Q16836" s="11"/>
      <c r="R16836" s="11"/>
      <c r="S16836" s="11"/>
      <c r="T16836" s="11"/>
    </row>
    <row r="16837" spans="8:20" x14ac:dyDescent="0.35">
      <c r="H16837" s="711"/>
      <c r="I16837" s="711"/>
      <c r="J16837" s="711"/>
      <c r="K16837" s="711"/>
      <c r="L16837" s="711"/>
      <c r="Q16837" s="11"/>
      <c r="R16837" s="11"/>
      <c r="S16837" s="11"/>
      <c r="T16837" s="11"/>
    </row>
    <row r="16838" spans="8:20" x14ac:dyDescent="0.35">
      <c r="H16838" s="711"/>
      <c r="I16838" s="711"/>
      <c r="J16838" s="711"/>
      <c r="K16838" s="711"/>
      <c r="L16838" s="711"/>
      <c r="Q16838" s="11"/>
      <c r="R16838" s="11"/>
      <c r="S16838" s="11"/>
      <c r="T16838" s="11"/>
    </row>
    <row r="16839" spans="8:20" x14ac:dyDescent="0.35">
      <c r="H16839" s="711"/>
      <c r="I16839" s="711"/>
      <c r="J16839" s="711"/>
      <c r="K16839" s="711"/>
      <c r="L16839" s="711"/>
      <c r="Q16839" s="11"/>
      <c r="R16839" s="11"/>
      <c r="S16839" s="11"/>
      <c r="T16839" s="11"/>
    </row>
    <row r="16840" spans="8:20" x14ac:dyDescent="0.35">
      <c r="H16840" s="711"/>
      <c r="I16840" s="711"/>
      <c r="J16840" s="711"/>
      <c r="K16840" s="711"/>
      <c r="L16840" s="711"/>
      <c r="Q16840" s="11"/>
      <c r="R16840" s="11"/>
      <c r="S16840" s="11"/>
      <c r="T16840" s="11"/>
    </row>
    <row r="16841" spans="8:20" x14ac:dyDescent="0.35">
      <c r="H16841" s="711"/>
      <c r="I16841" s="711"/>
      <c r="J16841" s="711"/>
      <c r="K16841" s="711"/>
      <c r="L16841" s="711"/>
      <c r="Q16841" s="11"/>
      <c r="R16841" s="11"/>
      <c r="S16841" s="11"/>
      <c r="T16841" s="11"/>
    </row>
    <row r="16842" spans="8:20" x14ac:dyDescent="0.35">
      <c r="H16842" s="711"/>
      <c r="I16842" s="711"/>
      <c r="J16842" s="711"/>
      <c r="K16842" s="711"/>
      <c r="L16842" s="711"/>
      <c r="Q16842" s="11"/>
      <c r="R16842" s="11"/>
      <c r="S16842" s="11"/>
      <c r="T16842" s="11"/>
    </row>
    <row r="16843" spans="8:20" x14ac:dyDescent="0.35">
      <c r="H16843" s="711"/>
      <c r="I16843" s="711"/>
      <c r="J16843" s="711"/>
      <c r="K16843" s="711"/>
      <c r="L16843" s="711"/>
      <c r="Q16843" s="11"/>
      <c r="R16843" s="11"/>
      <c r="S16843" s="11"/>
      <c r="T16843" s="11"/>
    </row>
    <row r="16844" spans="8:20" x14ac:dyDescent="0.35">
      <c r="H16844" s="711"/>
      <c r="I16844" s="711"/>
      <c r="J16844" s="711"/>
      <c r="K16844" s="711"/>
      <c r="L16844" s="711"/>
      <c r="Q16844" s="11"/>
      <c r="R16844" s="11"/>
      <c r="S16844" s="11"/>
      <c r="T16844" s="11"/>
    </row>
    <row r="16845" spans="8:20" x14ac:dyDescent="0.35">
      <c r="H16845" s="711"/>
      <c r="I16845" s="711"/>
      <c r="J16845" s="711"/>
      <c r="K16845" s="711"/>
      <c r="L16845" s="711"/>
      <c r="Q16845" s="11"/>
      <c r="R16845" s="11"/>
      <c r="S16845" s="11"/>
      <c r="T16845" s="11"/>
    </row>
    <row r="16846" spans="8:20" x14ac:dyDescent="0.35">
      <c r="H16846" s="711"/>
      <c r="I16846" s="711"/>
      <c r="J16846" s="711"/>
      <c r="K16846" s="711"/>
      <c r="L16846" s="711"/>
      <c r="Q16846" s="11"/>
      <c r="R16846" s="11"/>
      <c r="S16846" s="11"/>
      <c r="T16846" s="11"/>
    </row>
    <row r="16847" spans="8:20" x14ac:dyDescent="0.35">
      <c r="H16847" s="711"/>
      <c r="I16847" s="711"/>
      <c r="J16847" s="711"/>
      <c r="K16847" s="711"/>
      <c r="L16847" s="711"/>
      <c r="Q16847" s="11"/>
      <c r="R16847" s="11"/>
      <c r="S16847" s="11"/>
      <c r="T16847" s="11"/>
    </row>
    <row r="16848" spans="8:20" x14ac:dyDescent="0.35">
      <c r="H16848" s="711"/>
      <c r="I16848" s="711"/>
      <c r="J16848" s="711"/>
      <c r="K16848" s="711"/>
      <c r="L16848" s="711"/>
      <c r="Q16848" s="11"/>
      <c r="R16848" s="11"/>
      <c r="S16848" s="11"/>
      <c r="T16848" s="11"/>
    </row>
    <row r="16849" spans="8:20" x14ac:dyDescent="0.35">
      <c r="H16849" s="711"/>
      <c r="I16849" s="711"/>
      <c r="J16849" s="711"/>
      <c r="K16849" s="711"/>
      <c r="L16849" s="711"/>
      <c r="Q16849" s="11"/>
      <c r="R16849" s="11"/>
      <c r="S16849" s="11"/>
      <c r="T16849" s="11"/>
    </row>
    <row r="16850" spans="8:20" x14ac:dyDescent="0.35">
      <c r="H16850" s="711"/>
      <c r="I16850" s="711"/>
      <c r="J16850" s="711"/>
      <c r="K16850" s="711"/>
      <c r="L16850" s="711"/>
      <c r="Q16850" s="11"/>
      <c r="R16850" s="11"/>
      <c r="S16850" s="11"/>
      <c r="T16850" s="11"/>
    </row>
    <row r="16851" spans="8:20" x14ac:dyDescent="0.35">
      <c r="H16851" s="711"/>
      <c r="I16851" s="711"/>
      <c r="J16851" s="711"/>
      <c r="K16851" s="711"/>
      <c r="L16851" s="711"/>
      <c r="Q16851" s="11"/>
      <c r="R16851" s="11"/>
      <c r="S16851" s="11"/>
      <c r="T16851" s="11"/>
    </row>
    <row r="16852" spans="8:20" x14ac:dyDescent="0.35">
      <c r="H16852" s="711"/>
      <c r="I16852" s="711"/>
      <c r="J16852" s="711"/>
      <c r="K16852" s="711"/>
      <c r="L16852" s="711"/>
      <c r="Q16852" s="11"/>
      <c r="R16852" s="11"/>
      <c r="S16852" s="11"/>
      <c r="T16852" s="11"/>
    </row>
    <row r="16853" spans="8:20" x14ac:dyDescent="0.35">
      <c r="H16853" s="711"/>
      <c r="I16853" s="711"/>
      <c r="J16853" s="711"/>
      <c r="K16853" s="711"/>
      <c r="L16853" s="711"/>
      <c r="Q16853" s="11"/>
      <c r="R16853" s="11"/>
      <c r="S16853" s="11"/>
      <c r="T16853" s="11"/>
    </row>
    <row r="16854" spans="8:20" x14ac:dyDescent="0.35">
      <c r="H16854" s="711"/>
      <c r="I16854" s="711"/>
      <c r="J16854" s="711"/>
      <c r="K16854" s="711"/>
      <c r="L16854" s="711"/>
      <c r="Q16854" s="11"/>
      <c r="R16854" s="11"/>
      <c r="S16854" s="11"/>
      <c r="T16854" s="11"/>
    </row>
    <row r="16855" spans="8:20" x14ac:dyDescent="0.35">
      <c r="H16855" s="711"/>
      <c r="I16855" s="711"/>
      <c r="J16855" s="711"/>
      <c r="K16855" s="711"/>
      <c r="L16855" s="711"/>
      <c r="Q16855" s="11"/>
      <c r="R16855" s="11"/>
      <c r="S16855" s="11"/>
      <c r="T16855" s="11"/>
    </row>
    <row r="16856" spans="8:20" x14ac:dyDescent="0.35">
      <c r="H16856" s="711"/>
      <c r="I16856" s="711"/>
      <c r="J16856" s="711"/>
      <c r="K16856" s="711"/>
      <c r="L16856" s="711"/>
      <c r="Q16856" s="11"/>
      <c r="R16856" s="11"/>
      <c r="S16856" s="11"/>
      <c r="T16856" s="11"/>
    </row>
    <row r="16857" spans="8:20" x14ac:dyDescent="0.35">
      <c r="H16857" s="711"/>
      <c r="I16857" s="711"/>
      <c r="J16857" s="711"/>
      <c r="K16857" s="711"/>
      <c r="L16857" s="711"/>
      <c r="Q16857" s="11"/>
      <c r="R16857" s="11"/>
      <c r="S16857" s="11"/>
      <c r="T16857" s="11"/>
    </row>
    <row r="16858" spans="8:20" x14ac:dyDescent="0.35">
      <c r="H16858" s="711"/>
      <c r="I16858" s="711"/>
      <c r="J16858" s="711"/>
      <c r="K16858" s="711"/>
      <c r="L16858" s="711"/>
      <c r="Q16858" s="11"/>
      <c r="R16858" s="11"/>
      <c r="S16858" s="11"/>
      <c r="T16858" s="11"/>
    </row>
    <row r="16859" spans="8:20" x14ac:dyDescent="0.35">
      <c r="H16859" s="711"/>
      <c r="I16859" s="711"/>
      <c r="J16859" s="711"/>
      <c r="K16859" s="711"/>
      <c r="L16859" s="711"/>
      <c r="Q16859" s="11"/>
      <c r="R16859" s="11"/>
      <c r="S16859" s="11"/>
      <c r="T16859" s="11"/>
    </row>
    <row r="16860" spans="8:20" x14ac:dyDescent="0.35">
      <c r="H16860" s="711"/>
      <c r="I16860" s="711"/>
      <c r="J16860" s="711"/>
      <c r="K16860" s="711"/>
      <c r="L16860" s="711"/>
      <c r="Q16860" s="11"/>
      <c r="R16860" s="11"/>
      <c r="S16860" s="11"/>
      <c r="T16860" s="11"/>
    </row>
    <row r="16861" spans="8:20" x14ac:dyDescent="0.35">
      <c r="H16861" s="711"/>
      <c r="I16861" s="711"/>
      <c r="J16861" s="711"/>
      <c r="K16861" s="711"/>
      <c r="L16861" s="711"/>
      <c r="Q16861" s="11"/>
      <c r="R16861" s="11"/>
      <c r="S16861" s="11"/>
      <c r="T16861" s="11"/>
    </row>
    <row r="16862" spans="8:20" x14ac:dyDescent="0.35">
      <c r="H16862" s="711"/>
      <c r="I16862" s="711"/>
      <c r="J16862" s="711"/>
      <c r="K16862" s="711"/>
      <c r="L16862" s="711"/>
      <c r="Q16862" s="11"/>
      <c r="R16862" s="11"/>
      <c r="S16862" s="11"/>
      <c r="T16862" s="11"/>
    </row>
    <row r="16863" spans="8:20" x14ac:dyDescent="0.35">
      <c r="H16863" s="711"/>
      <c r="I16863" s="711"/>
      <c r="J16863" s="711"/>
      <c r="K16863" s="711"/>
      <c r="L16863" s="711"/>
      <c r="Q16863" s="11"/>
      <c r="R16863" s="11"/>
      <c r="S16863" s="11"/>
      <c r="T16863" s="11"/>
    </row>
    <row r="16864" spans="8:20" x14ac:dyDescent="0.35">
      <c r="H16864" s="711"/>
      <c r="I16864" s="711"/>
      <c r="J16864" s="711"/>
      <c r="K16864" s="711"/>
      <c r="L16864" s="711"/>
      <c r="Q16864" s="11"/>
      <c r="R16864" s="11"/>
      <c r="S16864" s="11"/>
      <c r="T16864" s="11"/>
    </row>
    <row r="16865" spans="8:20" x14ac:dyDescent="0.35">
      <c r="H16865" s="711"/>
      <c r="I16865" s="711"/>
      <c r="J16865" s="711"/>
      <c r="K16865" s="711"/>
      <c r="L16865" s="711"/>
      <c r="Q16865" s="11"/>
      <c r="R16865" s="11"/>
      <c r="S16865" s="11"/>
      <c r="T16865" s="11"/>
    </row>
    <row r="16866" spans="8:20" x14ac:dyDescent="0.35">
      <c r="H16866" s="711"/>
      <c r="I16866" s="711"/>
      <c r="J16866" s="711"/>
      <c r="K16866" s="711"/>
      <c r="L16866" s="711"/>
      <c r="Q16866" s="11"/>
      <c r="R16866" s="11"/>
      <c r="S16866" s="11"/>
      <c r="T16866" s="11"/>
    </row>
    <row r="16867" spans="8:20" x14ac:dyDescent="0.35">
      <c r="H16867" s="711"/>
      <c r="I16867" s="711"/>
      <c r="J16867" s="711"/>
      <c r="K16867" s="711"/>
      <c r="L16867" s="711"/>
      <c r="Q16867" s="11"/>
      <c r="R16867" s="11"/>
      <c r="S16867" s="11"/>
      <c r="T16867" s="11"/>
    </row>
    <row r="16868" spans="8:20" x14ac:dyDescent="0.35">
      <c r="H16868" s="711"/>
      <c r="I16868" s="711"/>
      <c r="J16868" s="711"/>
      <c r="K16868" s="711"/>
      <c r="L16868" s="711"/>
      <c r="Q16868" s="11"/>
      <c r="R16868" s="11"/>
      <c r="S16868" s="11"/>
      <c r="T16868" s="11"/>
    </row>
    <row r="16869" spans="8:20" x14ac:dyDescent="0.35">
      <c r="H16869" s="711"/>
      <c r="I16869" s="711"/>
      <c r="J16869" s="711"/>
      <c r="K16869" s="711"/>
      <c r="L16869" s="711"/>
      <c r="Q16869" s="11"/>
      <c r="R16869" s="11"/>
      <c r="S16869" s="11"/>
      <c r="T16869" s="11"/>
    </row>
    <row r="16870" spans="8:20" x14ac:dyDescent="0.35">
      <c r="H16870" s="711"/>
      <c r="I16870" s="711"/>
      <c r="J16870" s="711"/>
      <c r="K16870" s="711"/>
      <c r="L16870" s="711"/>
      <c r="Q16870" s="11"/>
      <c r="R16870" s="11"/>
      <c r="S16870" s="11"/>
      <c r="T16870" s="11"/>
    </row>
    <row r="16871" spans="8:20" x14ac:dyDescent="0.35">
      <c r="H16871" s="711"/>
      <c r="I16871" s="711"/>
      <c r="J16871" s="711"/>
      <c r="K16871" s="711"/>
      <c r="L16871" s="711"/>
      <c r="Q16871" s="11"/>
      <c r="R16871" s="11"/>
      <c r="S16871" s="11"/>
      <c r="T16871" s="11"/>
    </row>
    <row r="16872" spans="8:20" x14ac:dyDescent="0.35">
      <c r="H16872" s="711"/>
      <c r="I16872" s="711"/>
      <c r="J16872" s="711"/>
      <c r="K16872" s="711"/>
      <c r="L16872" s="711"/>
      <c r="Q16872" s="11"/>
      <c r="R16872" s="11"/>
      <c r="S16872" s="11"/>
      <c r="T16872" s="11"/>
    </row>
    <row r="16873" spans="8:20" x14ac:dyDescent="0.35">
      <c r="H16873" s="711"/>
      <c r="I16873" s="711"/>
      <c r="J16873" s="711"/>
      <c r="K16873" s="711"/>
      <c r="L16873" s="711"/>
      <c r="Q16873" s="11"/>
      <c r="R16873" s="11"/>
      <c r="S16873" s="11"/>
      <c r="T16873" s="11"/>
    </row>
    <row r="16874" spans="8:20" x14ac:dyDescent="0.35">
      <c r="H16874" s="711"/>
      <c r="I16874" s="711"/>
      <c r="J16874" s="711"/>
      <c r="K16874" s="711"/>
      <c r="L16874" s="711"/>
      <c r="Q16874" s="11"/>
      <c r="R16874" s="11"/>
      <c r="S16874" s="11"/>
      <c r="T16874" s="11"/>
    </row>
    <row r="16875" spans="8:20" x14ac:dyDescent="0.35">
      <c r="H16875" s="711"/>
      <c r="I16875" s="711"/>
      <c r="J16875" s="711"/>
      <c r="K16875" s="711"/>
      <c r="L16875" s="711"/>
      <c r="Q16875" s="11"/>
      <c r="R16875" s="11"/>
      <c r="S16875" s="11"/>
      <c r="T16875" s="11"/>
    </row>
    <row r="16876" spans="8:20" x14ac:dyDescent="0.35">
      <c r="H16876" s="711"/>
      <c r="I16876" s="711"/>
      <c r="J16876" s="711"/>
      <c r="K16876" s="711"/>
      <c r="L16876" s="711"/>
      <c r="Q16876" s="11"/>
      <c r="R16876" s="11"/>
      <c r="S16876" s="11"/>
      <c r="T16876" s="11"/>
    </row>
    <row r="16877" spans="8:20" x14ac:dyDescent="0.35">
      <c r="H16877" s="711"/>
      <c r="I16877" s="711"/>
      <c r="J16877" s="711"/>
      <c r="K16877" s="711"/>
      <c r="L16877" s="711"/>
      <c r="Q16877" s="11"/>
      <c r="R16877" s="11"/>
      <c r="S16877" s="11"/>
      <c r="T16877" s="11"/>
    </row>
    <row r="16878" spans="8:20" x14ac:dyDescent="0.35">
      <c r="H16878" s="711"/>
      <c r="I16878" s="711"/>
      <c r="J16878" s="711"/>
      <c r="K16878" s="711"/>
      <c r="L16878" s="711"/>
      <c r="Q16878" s="11"/>
      <c r="R16878" s="11"/>
      <c r="S16878" s="11"/>
      <c r="T16878" s="11"/>
    </row>
    <row r="16879" spans="8:20" x14ac:dyDescent="0.35">
      <c r="H16879" s="711"/>
      <c r="I16879" s="711"/>
      <c r="J16879" s="711"/>
      <c r="K16879" s="711"/>
      <c r="L16879" s="711"/>
      <c r="Q16879" s="11"/>
      <c r="R16879" s="11"/>
      <c r="S16879" s="11"/>
      <c r="T16879" s="11"/>
    </row>
    <row r="16880" spans="8:20" x14ac:dyDescent="0.35">
      <c r="H16880" s="711"/>
      <c r="I16880" s="711"/>
      <c r="J16880" s="711"/>
      <c r="K16880" s="711"/>
      <c r="L16880" s="711"/>
      <c r="Q16880" s="11"/>
      <c r="R16880" s="11"/>
      <c r="S16880" s="11"/>
      <c r="T16880" s="11"/>
    </row>
    <row r="16881" spans="8:20" x14ac:dyDescent="0.35">
      <c r="H16881" s="711"/>
      <c r="I16881" s="711"/>
      <c r="J16881" s="711"/>
      <c r="K16881" s="711"/>
      <c r="L16881" s="711"/>
      <c r="Q16881" s="11"/>
      <c r="R16881" s="11"/>
      <c r="S16881" s="11"/>
      <c r="T16881" s="11"/>
    </row>
    <row r="16882" spans="8:20" x14ac:dyDescent="0.35">
      <c r="H16882" s="711"/>
      <c r="I16882" s="711"/>
      <c r="J16882" s="711"/>
      <c r="K16882" s="711"/>
      <c r="L16882" s="711"/>
      <c r="Q16882" s="11"/>
      <c r="R16882" s="11"/>
      <c r="S16882" s="11"/>
      <c r="T16882" s="11"/>
    </row>
    <row r="16883" spans="8:20" x14ac:dyDescent="0.35">
      <c r="H16883" s="711"/>
      <c r="I16883" s="711"/>
      <c r="J16883" s="711"/>
      <c r="K16883" s="711"/>
      <c r="L16883" s="711"/>
      <c r="Q16883" s="11"/>
      <c r="R16883" s="11"/>
      <c r="S16883" s="11"/>
      <c r="T16883" s="11"/>
    </row>
    <row r="16884" spans="8:20" x14ac:dyDescent="0.35">
      <c r="H16884" s="711"/>
      <c r="I16884" s="711"/>
      <c r="J16884" s="711"/>
      <c r="K16884" s="711"/>
      <c r="L16884" s="711"/>
      <c r="Q16884" s="11"/>
      <c r="R16884" s="11"/>
      <c r="S16884" s="11"/>
      <c r="T16884" s="11"/>
    </row>
    <row r="16885" spans="8:20" x14ac:dyDescent="0.35">
      <c r="H16885" s="711"/>
      <c r="I16885" s="711"/>
      <c r="J16885" s="711"/>
      <c r="K16885" s="711"/>
      <c r="L16885" s="711"/>
      <c r="Q16885" s="11"/>
      <c r="R16885" s="11"/>
      <c r="S16885" s="11"/>
      <c r="T16885" s="11"/>
    </row>
    <row r="16886" spans="8:20" x14ac:dyDescent="0.35">
      <c r="H16886" s="711"/>
      <c r="I16886" s="711"/>
      <c r="J16886" s="711"/>
      <c r="K16886" s="711"/>
      <c r="L16886" s="711"/>
      <c r="Q16886" s="11"/>
      <c r="R16886" s="11"/>
      <c r="S16886" s="11"/>
      <c r="T16886" s="11"/>
    </row>
    <row r="16887" spans="8:20" x14ac:dyDescent="0.35">
      <c r="H16887" s="711"/>
      <c r="I16887" s="711"/>
      <c r="J16887" s="711"/>
      <c r="K16887" s="711"/>
      <c r="L16887" s="711"/>
      <c r="Q16887" s="11"/>
      <c r="R16887" s="11"/>
      <c r="S16887" s="11"/>
      <c r="T16887" s="11"/>
    </row>
    <row r="16888" spans="8:20" x14ac:dyDescent="0.35">
      <c r="H16888" s="711"/>
      <c r="I16888" s="711"/>
      <c r="J16888" s="711"/>
      <c r="K16888" s="711"/>
      <c r="L16888" s="711"/>
      <c r="Q16888" s="11"/>
      <c r="R16888" s="11"/>
      <c r="S16888" s="11"/>
      <c r="T16888" s="11"/>
    </row>
    <row r="16889" spans="8:20" x14ac:dyDescent="0.35">
      <c r="H16889" s="711"/>
      <c r="I16889" s="711"/>
      <c r="J16889" s="711"/>
      <c r="K16889" s="711"/>
      <c r="L16889" s="711"/>
      <c r="Q16889" s="11"/>
      <c r="R16889" s="11"/>
      <c r="S16889" s="11"/>
      <c r="T16889" s="11"/>
    </row>
    <row r="16890" spans="8:20" x14ac:dyDescent="0.35">
      <c r="H16890" s="711"/>
      <c r="I16890" s="711"/>
      <c r="J16890" s="711"/>
      <c r="K16890" s="711"/>
      <c r="L16890" s="711"/>
      <c r="Q16890" s="11"/>
      <c r="R16890" s="11"/>
      <c r="S16890" s="11"/>
      <c r="T16890" s="11"/>
    </row>
    <row r="16891" spans="8:20" x14ac:dyDescent="0.35">
      <c r="H16891" s="711"/>
      <c r="I16891" s="711"/>
      <c r="J16891" s="711"/>
      <c r="K16891" s="711"/>
      <c r="L16891" s="711"/>
      <c r="Q16891" s="11"/>
      <c r="R16891" s="11"/>
      <c r="S16891" s="11"/>
      <c r="T16891" s="11"/>
    </row>
    <row r="16892" spans="8:20" x14ac:dyDescent="0.35">
      <c r="H16892" s="711"/>
      <c r="I16892" s="711"/>
      <c r="J16892" s="711"/>
      <c r="K16892" s="711"/>
      <c r="L16892" s="711"/>
      <c r="Q16892" s="11"/>
      <c r="R16892" s="11"/>
      <c r="S16892" s="11"/>
      <c r="T16892" s="11"/>
    </row>
    <row r="16893" spans="8:20" x14ac:dyDescent="0.35">
      <c r="H16893" s="711"/>
      <c r="I16893" s="711"/>
      <c r="J16893" s="711"/>
      <c r="K16893" s="711"/>
      <c r="L16893" s="711"/>
      <c r="Q16893" s="11"/>
      <c r="R16893" s="11"/>
      <c r="S16893" s="11"/>
      <c r="T16893" s="11"/>
    </row>
    <row r="16894" spans="8:20" x14ac:dyDescent="0.35">
      <c r="H16894" s="711"/>
      <c r="I16894" s="711"/>
      <c r="J16894" s="711"/>
      <c r="K16894" s="711"/>
      <c r="L16894" s="711"/>
      <c r="Q16894" s="11"/>
      <c r="R16894" s="11"/>
      <c r="S16894" s="11"/>
      <c r="T16894" s="11"/>
    </row>
    <row r="16895" spans="8:20" x14ac:dyDescent="0.35">
      <c r="H16895" s="711"/>
      <c r="I16895" s="711"/>
      <c r="J16895" s="711"/>
      <c r="K16895" s="711"/>
      <c r="L16895" s="711"/>
      <c r="Q16895" s="11"/>
      <c r="R16895" s="11"/>
      <c r="S16895" s="11"/>
      <c r="T16895" s="11"/>
    </row>
    <row r="16896" spans="8:20" x14ac:dyDescent="0.35">
      <c r="H16896" s="711"/>
      <c r="I16896" s="711"/>
      <c r="J16896" s="711"/>
      <c r="K16896" s="711"/>
      <c r="L16896" s="711"/>
      <c r="Q16896" s="11"/>
      <c r="R16896" s="11"/>
      <c r="S16896" s="11"/>
      <c r="T16896" s="11"/>
    </row>
    <row r="16897" spans="8:20" x14ac:dyDescent="0.35">
      <c r="H16897" s="711"/>
      <c r="I16897" s="711"/>
      <c r="J16897" s="711"/>
      <c r="K16897" s="711"/>
      <c r="L16897" s="711"/>
      <c r="Q16897" s="11"/>
      <c r="R16897" s="11"/>
      <c r="S16897" s="11"/>
      <c r="T16897" s="11"/>
    </row>
    <row r="16898" spans="8:20" x14ac:dyDescent="0.35">
      <c r="H16898" s="711"/>
      <c r="I16898" s="711"/>
      <c r="J16898" s="711"/>
      <c r="K16898" s="711"/>
      <c r="L16898" s="711"/>
      <c r="Q16898" s="11"/>
      <c r="R16898" s="11"/>
      <c r="S16898" s="11"/>
      <c r="T16898" s="11"/>
    </row>
    <row r="16899" spans="8:20" x14ac:dyDescent="0.35">
      <c r="H16899" s="711"/>
      <c r="I16899" s="711"/>
      <c r="J16899" s="711"/>
      <c r="K16899" s="711"/>
      <c r="L16899" s="711"/>
      <c r="Q16899" s="11"/>
      <c r="R16899" s="11"/>
      <c r="S16899" s="11"/>
      <c r="T16899" s="11"/>
    </row>
    <row r="16900" spans="8:20" x14ac:dyDescent="0.35">
      <c r="H16900" s="711"/>
      <c r="I16900" s="711"/>
      <c r="J16900" s="711"/>
      <c r="K16900" s="711"/>
      <c r="L16900" s="711"/>
      <c r="Q16900" s="11"/>
      <c r="R16900" s="11"/>
      <c r="S16900" s="11"/>
      <c r="T16900" s="11"/>
    </row>
    <row r="16901" spans="8:20" x14ac:dyDescent="0.35">
      <c r="H16901" s="711"/>
      <c r="I16901" s="711"/>
      <c r="J16901" s="711"/>
      <c r="K16901" s="711"/>
      <c r="L16901" s="711"/>
      <c r="Q16901" s="11"/>
      <c r="R16901" s="11"/>
      <c r="S16901" s="11"/>
      <c r="T16901" s="11"/>
    </row>
    <row r="16902" spans="8:20" x14ac:dyDescent="0.35">
      <c r="H16902" s="711"/>
      <c r="I16902" s="711"/>
      <c r="J16902" s="711"/>
      <c r="K16902" s="711"/>
      <c r="L16902" s="711"/>
      <c r="Q16902" s="11"/>
      <c r="R16902" s="11"/>
      <c r="S16902" s="11"/>
      <c r="T16902" s="11"/>
    </row>
    <row r="16903" spans="8:20" x14ac:dyDescent="0.35">
      <c r="H16903" s="711"/>
      <c r="I16903" s="711"/>
      <c r="J16903" s="711"/>
      <c r="K16903" s="711"/>
      <c r="L16903" s="711"/>
      <c r="Q16903" s="11"/>
      <c r="R16903" s="11"/>
      <c r="S16903" s="11"/>
      <c r="T16903" s="11"/>
    </row>
    <row r="16904" spans="8:20" x14ac:dyDescent="0.35">
      <c r="H16904" s="711"/>
      <c r="I16904" s="711"/>
      <c r="J16904" s="711"/>
      <c r="K16904" s="711"/>
      <c r="L16904" s="711"/>
      <c r="Q16904" s="11"/>
      <c r="R16904" s="11"/>
      <c r="S16904" s="11"/>
      <c r="T16904" s="11"/>
    </row>
    <row r="16905" spans="8:20" x14ac:dyDescent="0.35">
      <c r="H16905" s="711"/>
      <c r="I16905" s="711"/>
      <c r="J16905" s="711"/>
      <c r="K16905" s="711"/>
      <c r="L16905" s="711"/>
      <c r="Q16905" s="11"/>
      <c r="R16905" s="11"/>
      <c r="S16905" s="11"/>
      <c r="T16905" s="11"/>
    </row>
    <row r="16906" spans="8:20" x14ac:dyDescent="0.35">
      <c r="H16906" s="711"/>
      <c r="I16906" s="711"/>
      <c r="J16906" s="711"/>
      <c r="K16906" s="711"/>
      <c r="L16906" s="711"/>
      <c r="Q16906" s="11"/>
      <c r="R16906" s="11"/>
      <c r="S16906" s="11"/>
      <c r="T16906" s="11"/>
    </row>
    <row r="16907" spans="8:20" x14ac:dyDescent="0.35">
      <c r="H16907" s="711"/>
      <c r="I16907" s="711"/>
      <c r="J16907" s="711"/>
      <c r="K16907" s="711"/>
      <c r="L16907" s="711"/>
      <c r="Q16907" s="11"/>
      <c r="R16907" s="11"/>
      <c r="S16907" s="11"/>
      <c r="T16907" s="11"/>
    </row>
    <row r="16908" spans="8:20" x14ac:dyDescent="0.35">
      <c r="H16908" s="711"/>
      <c r="I16908" s="711"/>
      <c r="J16908" s="711"/>
      <c r="K16908" s="711"/>
      <c r="L16908" s="711"/>
      <c r="Q16908" s="11"/>
      <c r="R16908" s="11"/>
      <c r="S16908" s="11"/>
      <c r="T16908" s="11"/>
    </row>
    <row r="16909" spans="8:20" x14ac:dyDescent="0.35">
      <c r="H16909" s="711"/>
      <c r="I16909" s="711"/>
      <c r="J16909" s="711"/>
      <c r="K16909" s="711"/>
      <c r="L16909" s="711"/>
      <c r="Q16909" s="11"/>
      <c r="R16909" s="11"/>
      <c r="S16909" s="11"/>
      <c r="T16909" s="11"/>
    </row>
    <row r="16910" spans="8:20" x14ac:dyDescent="0.35">
      <c r="H16910" s="711"/>
      <c r="I16910" s="711"/>
      <c r="J16910" s="711"/>
      <c r="K16910" s="711"/>
      <c r="L16910" s="711"/>
      <c r="Q16910" s="11"/>
      <c r="R16910" s="11"/>
      <c r="S16910" s="11"/>
      <c r="T16910" s="11"/>
    </row>
    <row r="16911" spans="8:20" x14ac:dyDescent="0.35">
      <c r="H16911" s="711"/>
      <c r="I16911" s="711"/>
      <c r="J16911" s="711"/>
      <c r="K16911" s="711"/>
      <c r="L16911" s="711"/>
      <c r="Q16911" s="11"/>
      <c r="R16911" s="11"/>
      <c r="S16911" s="11"/>
      <c r="T16911" s="11"/>
    </row>
    <row r="16912" spans="8:20" x14ac:dyDescent="0.35">
      <c r="H16912" s="711"/>
      <c r="I16912" s="711"/>
      <c r="J16912" s="711"/>
      <c r="K16912" s="711"/>
      <c r="L16912" s="711"/>
      <c r="Q16912" s="11"/>
      <c r="R16912" s="11"/>
      <c r="S16912" s="11"/>
      <c r="T16912" s="11"/>
    </row>
    <row r="16913" spans="8:20" x14ac:dyDescent="0.35">
      <c r="H16913" s="711"/>
      <c r="I16913" s="711"/>
      <c r="J16913" s="711"/>
      <c r="K16913" s="711"/>
      <c r="L16913" s="711"/>
      <c r="Q16913" s="11"/>
      <c r="R16913" s="11"/>
      <c r="S16913" s="11"/>
      <c r="T16913" s="11"/>
    </row>
    <row r="16914" spans="8:20" x14ac:dyDescent="0.35">
      <c r="H16914" s="711"/>
      <c r="I16914" s="711"/>
      <c r="J16914" s="711"/>
      <c r="K16914" s="711"/>
      <c r="L16914" s="711"/>
      <c r="Q16914" s="11"/>
      <c r="R16914" s="11"/>
      <c r="S16914" s="11"/>
      <c r="T16914" s="11"/>
    </row>
    <row r="16915" spans="8:20" x14ac:dyDescent="0.35">
      <c r="H16915" s="711"/>
      <c r="I16915" s="711"/>
      <c r="J16915" s="711"/>
      <c r="K16915" s="711"/>
      <c r="L16915" s="711"/>
      <c r="Q16915" s="11"/>
      <c r="R16915" s="11"/>
      <c r="S16915" s="11"/>
      <c r="T16915" s="11"/>
    </row>
    <row r="16916" spans="8:20" x14ac:dyDescent="0.35">
      <c r="H16916" s="711"/>
      <c r="I16916" s="711"/>
      <c r="J16916" s="711"/>
      <c r="K16916" s="711"/>
      <c r="L16916" s="711"/>
      <c r="Q16916" s="11"/>
      <c r="R16916" s="11"/>
      <c r="S16916" s="11"/>
      <c r="T16916" s="11"/>
    </row>
    <row r="16917" spans="8:20" x14ac:dyDescent="0.35">
      <c r="H16917" s="711"/>
      <c r="I16917" s="711"/>
      <c r="J16917" s="711"/>
      <c r="K16917" s="711"/>
      <c r="L16917" s="711"/>
      <c r="Q16917" s="11"/>
      <c r="R16917" s="11"/>
      <c r="S16917" s="11"/>
      <c r="T16917" s="11"/>
    </row>
    <row r="16918" spans="8:20" x14ac:dyDescent="0.35">
      <c r="H16918" s="711"/>
      <c r="I16918" s="711"/>
      <c r="J16918" s="711"/>
      <c r="K16918" s="711"/>
      <c r="L16918" s="711"/>
      <c r="Q16918" s="11"/>
      <c r="R16918" s="11"/>
      <c r="S16918" s="11"/>
      <c r="T16918" s="11"/>
    </row>
    <row r="16919" spans="8:20" x14ac:dyDescent="0.35">
      <c r="H16919" s="711"/>
      <c r="I16919" s="711"/>
      <c r="J16919" s="711"/>
      <c r="K16919" s="711"/>
      <c r="L16919" s="711"/>
      <c r="Q16919" s="11"/>
      <c r="R16919" s="11"/>
      <c r="S16919" s="11"/>
      <c r="T16919" s="11"/>
    </row>
    <row r="16920" spans="8:20" x14ac:dyDescent="0.35">
      <c r="H16920" s="711"/>
      <c r="I16920" s="711"/>
      <c r="J16920" s="711"/>
      <c r="K16920" s="711"/>
      <c r="L16920" s="711"/>
      <c r="Q16920" s="11"/>
      <c r="R16920" s="11"/>
      <c r="S16920" s="11"/>
      <c r="T16920" s="11"/>
    </row>
    <row r="16921" spans="8:20" x14ac:dyDescent="0.35">
      <c r="H16921" s="711"/>
      <c r="I16921" s="711"/>
      <c r="J16921" s="711"/>
      <c r="K16921" s="711"/>
      <c r="L16921" s="711"/>
      <c r="Q16921" s="11"/>
      <c r="R16921" s="11"/>
      <c r="S16921" s="11"/>
      <c r="T16921" s="11"/>
    </row>
    <row r="16922" spans="8:20" x14ac:dyDescent="0.35">
      <c r="H16922" s="711"/>
      <c r="I16922" s="711"/>
      <c r="J16922" s="711"/>
      <c r="K16922" s="711"/>
      <c r="L16922" s="711"/>
      <c r="Q16922" s="11"/>
      <c r="R16922" s="11"/>
      <c r="S16922" s="11"/>
      <c r="T16922" s="11"/>
    </row>
    <row r="16923" spans="8:20" x14ac:dyDescent="0.35">
      <c r="H16923" s="711"/>
      <c r="I16923" s="711"/>
      <c r="J16923" s="711"/>
      <c r="K16923" s="711"/>
      <c r="L16923" s="711"/>
      <c r="Q16923" s="11"/>
      <c r="R16923" s="11"/>
      <c r="S16923" s="11"/>
      <c r="T16923" s="11"/>
    </row>
    <row r="16924" spans="8:20" x14ac:dyDescent="0.35">
      <c r="H16924" s="711"/>
      <c r="I16924" s="711"/>
      <c r="J16924" s="711"/>
      <c r="K16924" s="711"/>
      <c r="L16924" s="711"/>
      <c r="Q16924" s="11"/>
      <c r="R16924" s="11"/>
      <c r="S16924" s="11"/>
      <c r="T16924" s="11"/>
    </row>
    <row r="16925" spans="8:20" x14ac:dyDescent="0.35">
      <c r="H16925" s="711"/>
      <c r="I16925" s="711"/>
      <c r="J16925" s="711"/>
      <c r="K16925" s="711"/>
      <c r="L16925" s="711"/>
      <c r="Q16925" s="11"/>
      <c r="R16925" s="11"/>
      <c r="S16925" s="11"/>
      <c r="T16925" s="11"/>
    </row>
    <row r="16926" spans="8:20" x14ac:dyDescent="0.35">
      <c r="H16926" s="711"/>
      <c r="I16926" s="711"/>
      <c r="J16926" s="711"/>
      <c r="K16926" s="711"/>
      <c r="L16926" s="711"/>
      <c r="Q16926" s="11"/>
      <c r="R16926" s="11"/>
      <c r="S16926" s="11"/>
      <c r="T16926" s="11"/>
    </row>
    <row r="16927" spans="8:20" x14ac:dyDescent="0.35">
      <c r="H16927" s="711"/>
      <c r="I16927" s="711"/>
      <c r="J16927" s="711"/>
      <c r="K16927" s="711"/>
      <c r="L16927" s="711"/>
      <c r="Q16927" s="11"/>
      <c r="R16927" s="11"/>
      <c r="S16927" s="11"/>
      <c r="T16927" s="11"/>
    </row>
    <row r="16928" spans="8:20" x14ac:dyDescent="0.35">
      <c r="H16928" s="711"/>
      <c r="I16928" s="711"/>
      <c r="J16928" s="711"/>
      <c r="K16928" s="711"/>
      <c r="L16928" s="711"/>
      <c r="Q16928" s="11"/>
      <c r="R16928" s="11"/>
      <c r="S16928" s="11"/>
      <c r="T16928" s="11"/>
    </row>
    <row r="16929" spans="8:20" x14ac:dyDescent="0.35">
      <c r="H16929" s="711"/>
      <c r="I16929" s="711"/>
      <c r="J16929" s="711"/>
      <c r="K16929" s="711"/>
      <c r="L16929" s="711"/>
      <c r="Q16929" s="11"/>
      <c r="R16929" s="11"/>
      <c r="S16929" s="11"/>
      <c r="T16929" s="11"/>
    </row>
    <row r="16930" spans="8:20" x14ac:dyDescent="0.35">
      <c r="H16930" s="711"/>
      <c r="I16930" s="711"/>
      <c r="J16930" s="711"/>
      <c r="K16930" s="711"/>
      <c r="L16930" s="711"/>
      <c r="Q16930" s="11"/>
      <c r="R16930" s="11"/>
      <c r="S16930" s="11"/>
      <c r="T16930" s="11"/>
    </row>
    <row r="16931" spans="8:20" x14ac:dyDescent="0.35">
      <c r="H16931" s="711"/>
      <c r="I16931" s="711"/>
      <c r="J16931" s="711"/>
      <c r="K16931" s="711"/>
      <c r="L16931" s="711"/>
      <c r="Q16931" s="11"/>
      <c r="R16931" s="11"/>
      <c r="S16931" s="11"/>
      <c r="T16931" s="11"/>
    </row>
    <row r="16932" spans="8:20" x14ac:dyDescent="0.35">
      <c r="H16932" s="711"/>
      <c r="I16932" s="711"/>
      <c r="J16932" s="711"/>
      <c r="K16932" s="711"/>
      <c r="L16932" s="711"/>
      <c r="Q16932" s="11"/>
      <c r="R16932" s="11"/>
      <c r="S16932" s="11"/>
      <c r="T16932" s="11"/>
    </row>
    <row r="16933" spans="8:20" x14ac:dyDescent="0.35">
      <c r="H16933" s="711"/>
      <c r="I16933" s="711"/>
      <c r="J16933" s="711"/>
      <c r="K16933" s="711"/>
      <c r="L16933" s="711"/>
      <c r="Q16933" s="11"/>
      <c r="R16933" s="11"/>
      <c r="S16933" s="11"/>
      <c r="T16933" s="11"/>
    </row>
    <row r="16934" spans="8:20" x14ac:dyDescent="0.35">
      <c r="H16934" s="711"/>
      <c r="I16934" s="711"/>
      <c r="J16934" s="711"/>
      <c r="K16934" s="711"/>
      <c r="L16934" s="711"/>
      <c r="Q16934" s="11"/>
      <c r="R16934" s="11"/>
      <c r="S16934" s="11"/>
      <c r="T16934" s="11"/>
    </row>
    <row r="16935" spans="8:20" x14ac:dyDescent="0.35">
      <c r="H16935" s="711"/>
      <c r="I16935" s="711"/>
      <c r="J16935" s="711"/>
      <c r="K16935" s="711"/>
      <c r="L16935" s="711"/>
      <c r="Q16935" s="11"/>
      <c r="R16935" s="11"/>
      <c r="S16935" s="11"/>
      <c r="T16935" s="11"/>
    </row>
    <row r="16936" spans="8:20" x14ac:dyDescent="0.35">
      <c r="H16936" s="711"/>
      <c r="I16936" s="711"/>
      <c r="J16936" s="711"/>
      <c r="K16936" s="711"/>
      <c r="L16936" s="711"/>
      <c r="Q16936" s="11"/>
      <c r="R16936" s="11"/>
      <c r="S16936" s="11"/>
      <c r="T16936" s="11"/>
    </row>
    <row r="16937" spans="8:20" x14ac:dyDescent="0.35">
      <c r="H16937" s="711"/>
      <c r="I16937" s="711"/>
      <c r="J16937" s="711"/>
      <c r="K16937" s="711"/>
      <c r="L16937" s="711"/>
      <c r="Q16937" s="11"/>
      <c r="R16937" s="11"/>
      <c r="S16937" s="11"/>
      <c r="T16937" s="11"/>
    </row>
    <row r="16938" spans="8:20" x14ac:dyDescent="0.35">
      <c r="H16938" s="711"/>
      <c r="I16938" s="711"/>
      <c r="J16938" s="711"/>
      <c r="K16938" s="711"/>
      <c r="L16938" s="711"/>
      <c r="Q16938" s="11"/>
      <c r="R16938" s="11"/>
      <c r="S16938" s="11"/>
      <c r="T16938" s="11"/>
    </row>
    <row r="16939" spans="8:20" x14ac:dyDescent="0.35">
      <c r="H16939" s="711"/>
      <c r="I16939" s="711"/>
      <c r="J16939" s="711"/>
      <c r="K16939" s="711"/>
      <c r="L16939" s="711"/>
      <c r="Q16939" s="11"/>
      <c r="R16939" s="11"/>
      <c r="S16939" s="11"/>
      <c r="T16939" s="11"/>
    </row>
    <row r="16940" spans="8:20" x14ac:dyDescent="0.35">
      <c r="H16940" s="711"/>
      <c r="I16940" s="711"/>
      <c r="J16940" s="711"/>
      <c r="K16940" s="711"/>
      <c r="L16940" s="711"/>
      <c r="Q16940" s="11"/>
      <c r="R16940" s="11"/>
      <c r="S16940" s="11"/>
      <c r="T16940" s="11"/>
    </row>
    <row r="16941" spans="8:20" x14ac:dyDescent="0.35">
      <c r="H16941" s="711"/>
      <c r="I16941" s="711"/>
      <c r="J16941" s="711"/>
      <c r="K16941" s="711"/>
      <c r="L16941" s="711"/>
      <c r="Q16941" s="11"/>
      <c r="R16941" s="11"/>
      <c r="S16941" s="11"/>
      <c r="T16941" s="11"/>
    </row>
    <row r="16942" spans="8:20" x14ac:dyDescent="0.35">
      <c r="H16942" s="711"/>
      <c r="I16942" s="711"/>
      <c r="J16942" s="711"/>
      <c r="K16942" s="711"/>
      <c r="L16942" s="711"/>
      <c r="Q16942" s="11"/>
      <c r="R16942" s="11"/>
      <c r="S16942" s="11"/>
      <c r="T16942" s="11"/>
    </row>
    <row r="16943" spans="8:20" x14ac:dyDescent="0.35">
      <c r="H16943" s="711"/>
      <c r="I16943" s="711"/>
      <c r="J16943" s="711"/>
      <c r="K16943" s="711"/>
      <c r="L16943" s="711"/>
      <c r="Q16943" s="11"/>
      <c r="R16943" s="11"/>
      <c r="S16943" s="11"/>
      <c r="T16943" s="11"/>
    </row>
    <row r="16944" spans="8:20" x14ac:dyDescent="0.35">
      <c r="H16944" s="711"/>
      <c r="I16944" s="711"/>
      <c r="J16944" s="711"/>
      <c r="K16944" s="711"/>
      <c r="L16944" s="711"/>
      <c r="Q16944" s="11"/>
      <c r="R16944" s="11"/>
      <c r="S16944" s="11"/>
      <c r="T16944" s="11"/>
    </row>
    <row r="16945" spans="8:20" x14ac:dyDescent="0.35">
      <c r="H16945" s="711"/>
      <c r="I16945" s="711"/>
      <c r="J16945" s="711"/>
      <c r="K16945" s="711"/>
      <c r="L16945" s="711"/>
      <c r="Q16945" s="11"/>
      <c r="R16945" s="11"/>
      <c r="S16945" s="11"/>
      <c r="T16945" s="11"/>
    </row>
    <row r="16946" spans="8:20" x14ac:dyDescent="0.35">
      <c r="H16946" s="711"/>
      <c r="I16946" s="711"/>
      <c r="J16946" s="711"/>
      <c r="K16946" s="711"/>
      <c r="L16946" s="711"/>
      <c r="Q16946" s="11"/>
      <c r="R16946" s="11"/>
      <c r="S16946" s="11"/>
      <c r="T16946" s="11"/>
    </row>
    <row r="16947" spans="8:20" x14ac:dyDescent="0.35">
      <c r="H16947" s="711"/>
      <c r="I16947" s="711"/>
      <c r="J16947" s="711"/>
      <c r="K16947" s="711"/>
      <c r="L16947" s="711"/>
      <c r="Q16947" s="11"/>
      <c r="R16947" s="11"/>
      <c r="S16947" s="11"/>
      <c r="T16947" s="11"/>
    </row>
    <row r="16948" spans="8:20" x14ac:dyDescent="0.35">
      <c r="H16948" s="711"/>
      <c r="I16948" s="711"/>
      <c r="J16948" s="711"/>
      <c r="K16948" s="711"/>
      <c r="L16948" s="711"/>
      <c r="Q16948" s="11"/>
      <c r="R16948" s="11"/>
      <c r="S16948" s="11"/>
      <c r="T16948" s="11"/>
    </row>
    <row r="16949" spans="8:20" x14ac:dyDescent="0.35">
      <c r="H16949" s="711"/>
      <c r="I16949" s="711"/>
      <c r="J16949" s="711"/>
      <c r="K16949" s="711"/>
      <c r="L16949" s="711"/>
      <c r="Q16949" s="11"/>
      <c r="R16949" s="11"/>
      <c r="S16949" s="11"/>
      <c r="T16949" s="11"/>
    </row>
    <row r="16950" spans="8:20" x14ac:dyDescent="0.35">
      <c r="H16950" s="711"/>
      <c r="I16950" s="711"/>
      <c r="J16950" s="711"/>
      <c r="K16950" s="711"/>
      <c r="L16950" s="711"/>
      <c r="Q16950" s="11"/>
      <c r="R16950" s="11"/>
      <c r="S16950" s="11"/>
      <c r="T16950" s="11"/>
    </row>
    <row r="16951" spans="8:20" x14ac:dyDescent="0.35">
      <c r="H16951" s="711"/>
      <c r="I16951" s="711"/>
      <c r="J16951" s="711"/>
      <c r="K16951" s="711"/>
      <c r="L16951" s="711"/>
      <c r="Q16951" s="11"/>
      <c r="R16951" s="11"/>
      <c r="S16951" s="11"/>
      <c r="T16951" s="11"/>
    </row>
    <row r="16952" spans="8:20" x14ac:dyDescent="0.35">
      <c r="H16952" s="711"/>
      <c r="I16952" s="711"/>
      <c r="J16952" s="711"/>
      <c r="K16952" s="711"/>
      <c r="L16952" s="711"/>
      <c r="Q16952" s="11"/>
      <c r="R16952" s="11"/>
      <c r="S16952" s="11"/>
      <c r="T16952" s="11"/>
    </row>
    <row r="16953" spans="8:20" x14ac:dyDescent="0.35">
      <c r="H16953" s="711"/>
      <c r="I16953" s="711"/>
      <c r="J16953" s="711"/>
      <c r="K16953" s="711"/>
      <c r="L16953" s="711"/>
      <c r="Q16953" s="11"/>
      <c r="R16953" s="11"/>
      <c r="S16953" s="11"/>
      <c r="T16953" s="11"/>
    </row>
    <row r="16954" spans="8:20" x14ac:dyDescent="0.35">
      <c r="H16954" s="711"/>
      <c r="I16954" s="711"/>
      <c r="J16954" s="711"/>
      <c r="K16954" s="711"/>
      <c r="L16954" s="711"/>
      <c r="Q16954" s="11"/>
      <c r="R16954" s="11"/>
      <c r="S16954" s="11"/>
      <c r="T16954" s="11"/>
    </row>
    <row r="16955" spans="8:20" x14ac:dyDescent="0.35">
      <c r="H16955" s="711"/>
      <c r="I16955" s="711"/>
      <c r="J16955" s="711"/>
      <c r="K16955" s="711"/>
      <c r="L16955" s="711"/>
      <c r="Q16955" s="11"/>
      <c r="R16955" s="11"/>
      <c r="S16955" s="11"/>
      <c r="T16955" s="11"/>
    </row>
    <row r="16956" spans="8:20" x14ac:dyDescent="0.35">
      <c r="H16956" s="711"/>
      <c r="I16956" s="711"/>
      <c r="J16956" s="711"/>
      <c r="K16956" s="711"/>
      <c r="L16956" s="711"/>
      <c r="Q16956" s="11"/>
      <c r="R16956" s="11"/>
      <c r="S16956" s="11"/>
      <c r="T16956" s="11"/>
    </row>
    <row r="16957" spans="8:20" x14ac:dyDescent="0.35">
      <c r="H16957" s="711"/>
      <c r="I16957" s="711"/>
      <c r="J16957" s="711"/>
      <c r="K16957" s="711"/>
      <c r="L16957" s="711"/>
      <c r="Q16957" s="11"/>
      <c r="R16957" s="11"/>
      <c r="S16957" s="11"/>
      <c r="T16957" s="11"/>
    </row>
    <row r="16958" spans="8:20" x14ac:dyDescent="0.35">
      <c r="H16958" s="711"/>
      <c r="I16958" s="711"/>
      <c r="J16958" s="711"/>
      <c r="K16958" s="711"/>
      <c r="L16958" s="711"/>
      <c r="Q16958" s="11"/>
      <c r="R16958" s="11"/>
      <c r="S16958" s="11"/>
      <c r="T16958" s="11"/>
    </row>
    <row r="16959" spans="8:20" x14ac:dyDescent="0.35">
      <c r="H16959" s="711"/>
      <c r="I16959" s="711"/>
      <c r="J16959" s="711"/>
      <c r="K16959" s="711"/>
      <c r="L16959" s="711"/>
      <c r="Q16959" s="11"/>
      <c r="R16959" s="11"/>
      <c r="S16959" s="11"/>
      <c r="T16959" s="11"/>
    </row>
    <row r="16960" spans="8:20" x14ac:dyDescent="0.35">
      <c r="H16960" s="711"/>
      <c r="I16960" s="711"/>
      <c r="J16960" s="711"/>
      <c r="K16960" s="711"/>
      <c r="L16960" s="711"/>
      <c r="Q16960" s="11"/>
      <c r="R16960" s="11"/>
      <c r="S16960" s="11"/>
      <c r="T16960" s="11"/>
    </row>
    <row r="16961" spans="8:20" x14ac:dyDescent="0.35">
      <c r="H16961" s="711"/>
      <c r="I16961" s="711"/>
      <c r="J16961" s="711"/>
      <c r="K16961" s="711"/>
      <c r="L16961" s="711"/>
      <c r="Q16961" s="11"/>
      <c r="R16961" s="11"/>
      <c r="S16961" s="11"/>
      <c r="T16961" s="11"/>
    </row>
    <row r="16962" spans="8:20" x14ac:dyDescent="0.35">
      <c r="H16962" s="711"/>
      <c r="I16962" s="711"/>
      <c r="J16962" s="711"/>
      <c r="K16962" s="711"/>
      <c r="L16962" s="711"/>
      <c r="Q16962" s="11"/>
      <c r="R16962" s="11"/>
      <c r="S16962" s="11"/>
      <c r="T16962" s="11"/>
    </row>
    <row r="16963" spans="8:20" x14ac:dyDescent="0.35">
      <c r="H16963" s="711"/>
      <c r="I16963" s="711"/>
      <c r="J16963" s="711"/>
      <c r="K16963" s="711"/>
      <c r="L16963" s="711"/>
      <c r="Q16963" s="11"/>
      <c r="R16963" s="11"/>
      <c r="S16963" s="11"/>
      <c r="T16963" s="11"/>
    </row>
    <row r="16964" spans="8:20" x14ac:dyDescent="0.35">
      <c r="H16964" s="711"/>
      <c r="I16964" s="711"/>
      <c r="J16964" s="711"/>
      <c r="K16964" s="711"/>
      <c r="L16964" s="711"/>
      <c r="Q16964" s="11"/>
      <c r="R16964" s="11"/>
      <c r="S16964" s="11"/>
      <c r="T16964" s="11"/>
    </row>
    <row r="16965" spans="8:20" x14ac:dyDescent="0.35">
      <c r="H16965" s="711"/>
      <c r="I16965" s="711"/>
      <c r="J16965" s="711"/>
      <c r="K16965" s="711"/>
      <c r="L16965" s="711"/>
      <c r="Q16965" s="11"/>
      <c r="R16965" s="11"/>
      <c r="S16965" s="11"/>
      <c r="T16965" s="11"/>
    </row>
    <row r="16966" spans="8:20" x14ac:dyDescent="0.35">
      <c r="H16966" s="711"/>
      <c r="I16966" s="711"/>
      <c r="J16966" s="711"/>
      <c r="K16966" s="711"/>
      <c r="L16966" s="711"/>
      <c r="Q16966" s="11"/>
      <c r="R16966" s="11"/>
      <c r="S16966" s="11"/>
      <c r="T16966" s="11"/>
    </row>
    <row r="16967" spans="8:20" x14ac:dyDescent="0.35">
      <c r="H16967" s="711"/>
      <c r="I16967" s="711"/>
      <c r="J16967" s="711"/>
      <c r="K16967" s="711"/>
      <c r="L16967" s="711"/>
      <c r="Q16967" s="11"/>
      <c r="R16967" s="11"/>
      <c r="S16967" s="11"/>
      <c r="T16967" s="11"/>
    </row>
    <row r="16968" spans="8:20" x14ac:dyDescent="0.35">
      <c r="H16968" s="711"/>
      <c r="I16968" s="711"/>
      <c r="J16968" s="711"/>
      <c r="K16968" s="711"/>
      <c r="L16968" s="711"/>
      <c r="Q16968" s="11"/>
      <c r="R16968" s="11"/>
      <c r="S16968" s="11"/>
      <c r="T16968" s="11"/>
    </row>
    <row r="16969" spans="8:20" x14ac:dyDescent="0.35">
      <c r="H16969" s="711"/>
      <c r="I16969" s="711"/>
      <c r="J16969" s="711"/>
      <c r="K16969" s="711"/>
      <c r="L16969" s="711"/>
      <c r="Q16969" s="11"/>
      <c r="R16969" s="11"/>
      <c r="S16969" s="11"/>
      <c r="T16969" s="11"/>
    </row>
    <row r="16970" spans="8:20" x14ac:dyDescent="0.35">
      <c r="H16970" s="711"/>
      <c r="I16970" s="711"/>
      <c r="J16970" s="711"/>
      <c r="K16970" s="711"/>
      <c r="L16970" s="711"/>
      <c r="Q16970" s="11"/>
      <c r="R16970" s="11"/>
      <c r="S16970" s="11"/>
      <c r="T16970" s="11"/>
    </row>
    <row r="16971" spans="8:20" x14ac:dyDescent="0.35">
      <c r="H16971" s="711"/>
      <c r="I16971" s="711"/>
      <c r="J16971" s="711"/>
      <c r="K16971" s="711"/>
      <c r="L16971" s="711"/>
      <c r="Q16971" s="11"/>
      <c r="R16971" s="11"/>
      <c r="S16971" s="11"/>
      <c r="T16971" s="11"/>
    </row>
    <row r="16972" spans="8:20" x14ac:dyDescent="0.35">
      <c r="H16972" s="711"/>
      <c r="I16972" s="711"/>
      <c r="J16972" s="711"/>
      <c r="K16972" s="711"/>
      <c r="L16972" s="711"/>
      <c r="Q16972" s="11"/>
      <c r="R16972" s="11"/>
      <c r="S16972" s="11"/>
      <c r="T16972" s="11"/>
    </row>
    <row r="16973" spans="8:20" x14ac:dyDescent="0.35">
      <c r="H16973" s="711"/>
      <c r="I16973" s="711"/>
      <c r="J16973" s="711"/>
      <c r="K16973" s="711"/>
      <c r="L16973" s="711"/>
      <c r="Q16973" s="11"/>
      <c r="R16973" s="11"/>
      <c r="S16973" s="11"/>
      <c r="T16973" s="11"/>
    </row>
    <row r="16974" spans="8:20" x14ac:dyDescent="0.35">
      <c r="H16974" s="711"/>
      <c r="I16974" s="711"/>
      <c r="J16974" s="711"/>
      <c r="K16974" s="711"/>
      <c r="L16974" s="711"/>
      <c r="Q16974" s="11"/>
      <c r="R16974" s="11"/>
      <c r="S16974" s="11"/>
      <c r="T16974" s="11"/>
    </row>
    <row r="16975" spans="8:20" x14ac:dyDescent="0.35">
      <c r="H16975" s="711"/>
      <c r="I16975" s="711"/>
      <c r="J16975" s="711"/>
      <c r="K16975" s="711"/>
      <c r="L16975" s="711"/>
      <c r="Q16975" s="11"/>
      <c r="R16975" s="11"/>
      <c r="S16975" s="11"/>
      <c r="T16975" s="11"/>
    </row>
    <row r="16976" spans="8:20" x14ac:dyDescent="0.35">
      <c r="H16976" s="711"/>
      <c r="I16976" s="711"/>
      <c r="J16976" s="711"/>
      <c r="K16976" s="711"/>
      <c r="L16976" s="711"/>
      <c r="Q16976" s="11"/>
      <c r="R16976" s="11"/>
      <c r="S16976" s="11"/>
      <c r="T16976" s="11"/>
    </row>
    <row r="16977" spans="8:20" x14ac:dyDescent="0.35">
      <c r="H16977" s="711"/>
      <c r="I16977" s="711"/>
      <c r="J16977" s="711"/>
      <c r="K16977" s="711"/>
      <c r="L16977" s="711"/>
      <c r="Q16977" s="11"/>
      <c r="R16977" s="11"/>
      <c r="S16977" s="11"/>
      <c r="T16977" s="11"/>
    </row>
    <row r="16978" spans="8:20" x14ac:dyDescent="0.35">
      <c r="H16978" s="711"/>
      <c r="I16978" s="711"/>
      <c r="J16978" s="711"/>
      <c r="K16978" s="711"/>
      <c r="L16978" s="711"/>
      <c r="Q16978" s="11"/>
      <c r="R16978" s="11"/>
      <c r="S16978" s="11"/>
      <c r="T16978" s="11"/>
    </row>
    <row r="16979" spans="8:20" x14ac:dyDescent="0.35">
      <c r="H16979" s="711"/>
      <c r="I16979" s="711"/>
      <c r="J16979" s="711"/>
      <c r="K16979" s="711"/>
      <c r="L16979" s="711"/>
      <c r="Q16979" s="11"/>
      <c r="R16979" s="11"/>
      <c r="S16979" s="11"/>
      <c r="T16979" s="11"/>
    </row>
    <row r="16980" spans="8:20" x14ac:dyDescent="0.35">
      <c r="H16980" s="711"/>
      <c r="I16980" s="711"/>
      <c r="J16980" s="711"/>
      <c r="K16980" s="711"/>
      <c r="L16980" s="711"/>
      <c r="Q16980" s="11"/>
      <c r="R16980" s="11"/>
      <c r="S16980" s="11"/>
      <c r="T16980" s="11"/>
    </row>
    <row r="16981" spans="8:20" x14ac:dyDescent="0.35">
      <c r="H16981" s="711"/>
      <c r="I16981" s="711"/>
      <c r="J16981" s="711"/>
      <c r="K16981" s="711"/>
      <c r="L16981" s="711"/>
      <c r="Q16981" s="11"/>
      <c r="R16981" s="11"/>
      <c r="S16981" s="11"/>
      <c r="T16981" s="11"/>
    </row>
    <row r="16982" spans="8:20" x14ac:dyDescent="0.35">
      <c r="H16982" s="711"/>
      <c r="I16982" s="711"/>
      <c r="J16982" s="711"/>
      <c r="K16982" s="711"/>
      <c r="L16982" s="711"/>
      <c r="Q16982" s="11"/>
      <c r="R16982" s="11"/>
      <c r="S16982" s="11"/>
      <c r="T16982" s="11"/>
    </row>
    <row r="16983" spans="8:20" x14ac:dyDescent="0.35">
      <c r="H16983" s="711"/>
      <c r="I16983" s="711"/>
      <c r="J16983" s="711"/>
      <c r="K16983" s="711"/>
      <c r="L16983" s="711"/>
      <c r="Q16983" s="11"/>
      <c r="R16983" s="11"/>
      <c r="S16983" s="11"/>
      <c r="T16983" s="11"/>
    </row>
    <row r="16984" spans="8:20" x14ac:dyDescent="0.35">
      <c r="H16984" s="711"/>
      <c r="I16984" s="711"/>
      <c r="J16984" s="711"/>
      <c r="K16984" s="711"/>
      <c r="L16984" s="711"/>
      <c r="Q16984" s="11"/>
      <c r="R16984" s="11"/>
      <c r="S16984" s="11"/>
      <c r="T16984" s="11"/>
    </row>
    <row r="16985" spans="8:20" x14ac:dyDescent="0.35">
      <c r="H16985" s="711"/>
      <c r="I16985" s="711"/>
      <c r="J16985" s="711"/>
      <c r="K16985" s="711"/>
      <c r="L16985" s="711"/>
      <c r="Q16985" s="11"/>
      <c r="R16985" s="11"/>
      <c r="S16985" s="11"/>
      <c r="T16985" s="11"/>
    </row>
    <row r="16986" spans="8:20" x14ac:dyDescent="0.35">
      <c r="H16986" s="711"/>
      <c r="I16986" s="711"/>
      <c r="J16986" s="711"/>
      <c r="K16986" s="711"/>
      <c r="L16986" s="711"/>
      <c r="Q16986" s="11"/>
      <c r="R16986" s="11"/>
      <c r="S16986" s="11"/>
      <c r="T16986" s="11"/>
    </row>
    <row r="16987" spans="8:20" x14ac:dyDescent="0.35">
      <c r="H16987" s="711"/>
      <c r="I16987" s="711"/>
      <c r="J16987" s="711"/>
      <c r="K16987" s="711"/>
      <c r="L16987" s="711"/>
      <c r="Q16987" s="11"/>
      <c r="R16987" s="11"/>
      <c r="S16987" s="11"/>
      <c r="T16987" s="11"/>
    </row>
    <row r="16988" spans="8:20" x14ac:dyDescent="0.35">
      <c r="H16988" s="711"/>
      <c r="I16988" s="711"/>
      <c r="J16988" s="711"/>
      <c r="K16988" s="711"/>
      <c r="L16988" s="711"/>
      <c r="Q16988" s="11"/>
      <c r="R16988" s="11"/>
      <c r="S16988" s="11"/>
      <c r="T16988" s="11"/>
    </row>
    <row r="16989" spans="8:20" x14ac:dyDescent="0.35">
      <c r="H16989" s="711"/>
      <c r="I16989" s="711"/>
      <c r="J16989" s="711"/>
      <c r="K16989" s="711"/>
      <c r="L16989" s="711"/>
      <c r="Q16989" s="11"/>
      <c r="R16989" s="11"/>
      <c r="S16989" s="11"/>
      <c r="T16989" s="11"/>
    </row>
    <row r="16990" spans="8:20" x14ac:dyDescent="0.35">
      <c r="H16990" s="711"/>
      <c r="I16990" s="711"/>
      <c r="J16990" s="711"/>
      <c r="K16990" s="711"/>
      <c r="L16990" s="711"/>
      <c r="Q16990" s="11"/>
      <c r="R16990" s="11"/>
      <c r="S16990" s="11"/>
      <c r="T16990" s="11"/>
    </row>
    <row r="16991" spans="8:20" x14ac:dyDescent="0.35">
      <c r="H16991" s="711"/>
      <c r="I16991" s="711"/>
      <c r="J16991" s="711"/>
      <c r="K16991" s="711"/>
      <c r="L16991" s="711"/>
      <c r="Q16991" s="11"/>
      <c r="R16991" s="11"/>
      <c r="S16991" s="11"/>
      <c r="T16991" s="11"/>
    </row>
    <row r="16992" spans="8:20" x14ac:dyDescent="0.35">
      <c r="H16992" s="711"/>
      <c r="I16992" s="711"/>
      <c r="J16992" s="711"/>
      <c r="K16992" s="711"/>
      <c r="L16992" s="711"/>
      <c r="Q16992" s="11"/>
      <c r="R16992" s="11"/>
      <c r="S16992" s="11"/>
      <c r="T16992" s="11"/>
    </row>
    <row r="16993" spans="8:20" x14ac:dyDescent="0.35">
      <c r="H16993" s="711"/>
      <c r="I16993" s="711"/>
      <c r="J16993" s="711"/>
      <c r="K16993" s="711"/>
      <c r="L16993" s="711"/>
      <c r="Q16993" s="11"/>
      <c r="R16993" s="11"/>
      <c r="S16993" s="11"/>
      <c r="T16993" s="11"/>
    </row>
    <row r="16994" spans="8:20" x14ac:dyDescent="0.35">
      <c r="H16994" s="711"/>
      <c r="I16994" s="711"/>
      <c r="J16994" s="711"/>
      <c r="K16994" s="711"/>
      <c r="L16994" s="711"/>
      <c r="Q16994" s="11"/>
      <c r="R16994" s="11"/>
      <c r="S16994" s="11"/>
      <c r="T16994" s="11"/>
    </row>
    <row r="16995" spans="8:20" x14ac:dyDescent="0.35">
      <c r="H16995" s="711"/>
      <c r="I16995" s="711"/>
      <c r="J16995" s="711"/>
      <c r="K16995" s="711"/>
      <c r="L16995" s="711"/>
      <c r="Q16995" s="11"/>
      <c r="R16995" s="11"/>
      <c r="S16995" s="11"/>
      <c r="T16995" s="11"/>
    </row>
    <row r="16996" spans="8:20" x14ac:dyDescent="0.35">
      <c r="H16996" s="711"/>
      <c r="I16996" s="711"/>
      <c r="J16996" s="711"/>
      <c r="K16996" s="711"/>
      <c r="L16996" s="711"/>
      <c r="Q16996" s="11"/>
      <c r="R16996" s="11"/>
      <c r="S16996" s="11"/>
      <c r="T16996" s="11"/>
    </row>
    <row r="16997" spans="8:20" x14ac:dyDescent="0.35">
      <c r="H16997" s="711"/>
      <c r="I16997" s="711"/>
      <c r="J16997" s="711"/>
      <c r="K16997" s="711"/>
      <c r="L16997" s="711"/>
      <c r="Q16997" s="11"/>
      <c r="R16997" s="11"/>
      <c r="S16997" s="11"/>
      <c r="T16997" s="11"/>
    </row>
    <row r="16998" spans="8:20" x14ac:dyDescent="0.35">
      <c r="H16998" s="711"/>
      <c r="I16998" s="711"/>
      <c r="J16998" s="711"/>
      <c r="K16998" s="711"/>
      <c r="L16998" s="711"/>
      <c r="Q16998" s="11"/>
      <c r="R16998" s="11"/>
      <c r="S16998" s="11"/>
      <c r="T16998" s="11"/>
    </row>
    <row r="16999" spans="8:20" x14ac:dyDescent="0.35">
      <c r="H16999" s="711"/>
      <c r="I16999" s="711"/>
      <c r="J16999" s="711"/>
      <c r="K16999" s="711"/>
      <c r="L16999" s="711"/>
      <c r="Q16999" s="11"/>
      <c r="R16999" s="11"/>
      <c r="S16999" s="11"/>
      <c r="T16999" s="11"/>
    </row>
    <row r="17000" spans="8:20" x14ac:dyDescent="0.35">
      <c r="H17000" s="711"/>
      <c r="I17000" s="711"/>
      <c r="J17000" s="711"/>
      <c r="K17000" s="711"/>
      <c r="L17000" s="711"/>
      <c r="Q17000" s="11"/>
      <c r="R17000" s="11"/>
      <c r="S17000" s="11"/>
      <c r="T17000" s="11"/>
    </row>
    <row r="17001" spans="8:20" x14ac:dyDescent="0.35">
      <c r="H17001" s="711"/>
      <c r="I17001" s="711"/>
      <c r="J17001" s="711"/>
      <c r="K17001" s="711"/>
      <c r="L17001" s="711"/>
      <c r="Q17001" s="11"/>
      <c r="R17001" s="11"/>
      <c r="S17001" s="11"/>
      <c r="T17001" s="11"/>
    </row>
    <row r="17002" spans="8:20" x14ac:dyDescent="0.35">
      <c r="H17002" s="711"/>
      <c r="I17002" s="711"/>
      <c r="J17002" s="711"/>
      <c r="K17002" s="711"/>
      <c r="L17002" s="711"/>
      <c r="Q17002" s="11"/>
      <c r="R17002" s="11"/>
      <c r="S17002" s="11"/>
      <c r="T17002" s="11"/>
    </row>
    <row r="17003" spans="8:20" x14ac:dyDescent="0.35">
      <c r="H17003" s="711"/>
      <c r="I17003" s="711"/>
      <c r="J17003" s="711"/>
      <c r="K17003" s="711"/>
      <c r="L17003" s="711"/>
      <c r="Q17003" s="11"/>
      <c r="R17003" s="11"/>
      <c r="S17003" s="11"/>
      <c r="T17003" s="11"/>
    </row>
    <row r="17004" spans="8:20" x14ac:dyDescent="0.35">
      <c r="H17004" s="711"/>
      <c r="I17004" s="711"/>
      <c r="J17004" s="711"/>
      <c r="K17004" s="711"/>
      <c r="L17004" s="711"/>
      <c r="Q17004" s="11"/>
      <c r="R17004" s="11"/>
      <c r="S17004" s="11"/>
      <c r="T17004" s="11"/>
    </row>
    <row r="17005" spans="8:20" x14ac:dyDescent="0.35">
      <c r="H17005" s="711"/>
      <c r="I17005" s="711"/>
      <c r="J17005" s="711"/>
      <c r="K17005" s="711"/>
      <c r="L17005" s="711"/>
      <c r="Q17005" s="11"/>
      <c r="R17005" s="11"/>
      <c r="S17005" s="11"/>
      <c r="T17005" s="11"/>
    </row>
    <row r="17006" spans="8:20" x14ac:dyDescent="0.35">
      <c r="H17006" s="711"/>
      <c r="I17006" s="711"/>
      <c r="J17006" s="711"/>
      <c r="K17006" s="711"/>
      <c r="L17006" s="711"/>
      <c r="Q17006" s="11"/>
      <c r="R17006" s="11"/>
      <c r="S17006" s="11"/>
      <c r="T17006" s="11"/>
    </row>
    <row r="17007" spans="8:20" x14ac:dyDescent="0.35">
      <c r="H17007" s="711"/>
      <c r="I17007" s="711"/>
      <c r="J17007" s="711"/>
      <c r="K17007" s="711"/>
      <c r="L17007" s="711"/>
      <c r="Q17007" s="11"/>
      <c r="R17007" s="11"/>
      <c r="S17007" s="11"/>
      <c r="T17007" s="11"/>
    </row>
    <row r="17008" spans="8:20" x14ac:dyDescent="0.35">
      <c r="H17008" s="711"/>
      <c r="I17008" s="711"/>
      <c r="J17008" s="711"/>
      <c r="K17008" s="711"/>
      <c r="L17008" s="711"/>
      <c r="Q17008" s="11"/>
      <c r="R17008" s="11"/>
      <c r="S17008" s="11"/>
      <c r="T17008" s="11"/>
    </row>
    <row r="17009" spans="8:20" x14ac:dyDescent="0.35">
      <c r="H17009" s="711"/>
      <c r="I17009" s="711"/>
      <c r="J17009" s="711"/>
      <c r="K17009" s="711"/>
      <c r="L17009" s="711"/>
      <c r="Q17009" s="11"/>
      <c r="R17009" s="11"/>
      <c r="S17009" s="11"/>
      <c r="T17009" s="11"/>
    </row>
    <row r="17010" spans="8:20" x14ac:dyDescent="0.35">
      <c r="H17010" s="711"/>
      <c r="I17010" s="711"/>
      <c r="J17010" s="711"/>
      <c r="K17010" s="711"/>
      <c r="L17010" s="711"/>
      <c r="Q17010" s="11"/>
      <c r="R17010" s="11"/>
      <c r="S17010" s="11"/>
      <c r="T17010" s="11"/>
    </row>
    <row r="17011" spans="8:20" x14ac:dyDescent="0.35">
      <c r="H17011" s="711"/>
      <c r="I17011" s="711"/>
      <c r="J17011" s="711"/>
      <c r="K17011" s="711"/>
      <c r="L17011" s="711"/>
      <c r="Q17011" s="11"/>
      <c r="R17011" s="11"/>
      <c r="S17011" s="11"/>
      <c r="T17011" s="11"/>
    </row>
    <row r="17012" spans="8:20" x14ac:dyDescent="0.35">
      <c r="H17012" s="711"/>
      <c r="I17012" s="711"/>
      <c r="J17012" s="711"/>
      <c r="K17012" s="711"/>
      <c r="L17012" s="711"/>
      <c r="Q17012" s="11"/>
      <c r="R17012" s="11"/>
      <c r="S17012" s="11"/>
      <c r="T17012" s="11"/>
    </row>
    <row r="17013" spans="8:20" x14ac:dyDescent="0.35">
      <c r="H17013" s="711"/>
      <c r="I17013" s="711"/>
      <c r="J17013" s="711"/>
      <c r="K17013" s="711"/>
      <c r="L17013" s="711"/>
      <c r="Q17013" s="11"/>
      <c r="R17013" s="11"/>
      <c r="S17013" s="11"/>
      <c r="T17013" s="11"/>
    </row>
    <row r="17014" spans="8:20" x14ac:dyDescent="0.35">
      <c r="H17014" s="711"/>
      <c r="I17014" s="711"/>
      <c r="J17014" s="711"/>
      <c r="K17014" s="711"/>
      <c r="L17014" s="711"/>
      <c r="Q17014" s="11"/>
      <c r="R17014" s="11"/>
      <c r="S17014" s="11"/>
      <c r="T17014" s="11"/>
    </row>
    <row r="17015" spans="8:20" x14ac:dyDescent="0.35">
      <c r="H17015" s="711"/>
      <c r="I17015" s="711"/>
      <c r="J17015" s="711"/>
      <c r="K17015" s="711"/>
      <c r="L17015" s="711"/>
      <c r="Q17015" s="11"/>
      <c r="R17015" s="11"/>
      <c r="S17015" s="11"/>
      <c r="T17015" s="11"/>
    </row>
    <row r="17016" spans="8:20" x14ac:dyDescent="0.35">
      <c r="H17016" s="711"/>
      <c r="I17016" s="711"/>
      <c r="J17016" s="711"/>
      <c r="K17016" s="711"/>
      <c r="L17016" s="711"/>
      <c r="Q17016" s="11"/>
      <c r="R17016" s="11"/>
      <c r="S17016" s="11"/>
      <c r="T17016" s="11"/>
    </row>
    <row r="17017" spans="8:20" x14ac:dyDescent="0.35">
      <c r="H17017" s="711"/>
      <c r="I17017" s="711"/>
      <c r="J17017" s="711"/>
      <c r="K17017" s="711"/>
      <c r="L17017" s="711"/>
      <c r="Q17017" s="11"/>
      <c r="R17017" s="11"/>
      <c r="S17017" s="11"/>
      <c r="T17017" s="11"/>
    </row>
    <row r="17018" spans="8:20" x14ac:dyDescent="0.35">
      <c r="H17018" s="711"/>
      <c r="I17018" s="711"/>
      <c r="J17018" s="711"/>
      <c r="K17018" s="711"/>
      <c r="L17018" s="711"/>
      <c r="Q17018" s="11"/>
      <c r="R17018" s="11"/>
      <c r="S17018" s="11"/>
      <c r="T17018" s="11"/>
    </row>
    <row r="17019" spans="8:20" x14ac:dyDescent="0.35">
      <c r="H17019" s="711"/>
      <c r="I17019" s="711"/>
      <c r="J17019" s="711"/>
      <c r="K17019" s="711"/>
      <c r="L17019" s="711"/>
      <c r="Q17019" s="11"/>
      <c r="R17019" s="11"/>
      <c r="S17019" s="11"/>
      <c r="T17019" s="11"/>
    </row>
    <row r="17020" spans="8:20" x14ac:dyDescent="0.35">
      <c r="H17020" s="711"/>
      <c r="I17020" s="711"/>
      <c r="J17020" s="711"/>
      <c r="K17020" s="711"/>
      <c r="L17020" s="711"/>
      <c r="Q17020" s="11"/>
      <c r="R17020" s="11"/>
      <c r="S17020" s="11"/>
      <c r="T17020" s="11"/>
    </row>
    <row r="17021" spans="8:20" x14ac:dyDescent="0.35">
      <c r="H17021" s="711"/>
      <c r="I17021" s="711"/>
      <c r="J17021" s="711"/>
      <c r="K17021" s="711"/>
      <c r="L17021" s="711"/>
      <c r="Q17021" s="11"/>
      <c r="R17021" s="11"/>
      <c r="S17021" s="11"/>
      <c r="T17021" s="11"/>
    </row>
    <row r="17022" spans="8:20" x14ac:dyDescent="0.35">
      <c r="H17022" s="711"/>
      <c r="I17022" s="711"/>
      <c r="J17022" s="711"/>
      <c r="K17022" s="711"/>
      <c r="L17022" s="711"/>
      <c r="Q17022" s="11"/>
      <c r="R17022" s="11"/>
      <c r="S17022" s="11"/>
      <c r="T17022" s="11"/>
    </row>
    <row r="17023" spans="8:20" x14ac:dyDescent="0.35">
      <c r="H17023" s="711"/>
      <c r="I17023" s="711"/>
      <c r="J17023" s="711"/>
      <c r="K17023" s="711"/>
      <c r="L17023" s="711"/>
      <c r="Q17023" s="11"/>
      <c r="R17023" s="11"/>
      <c r="S17023" s="11"/>
      <c r="T17023" s="11"/>
    </row>
    <row r="17024" spans="8:20" x14ac:dyDescent="0.35">
      <c r="H17024" s="711"/>
      <c r="I17024" s="711"/>
      <c r="J17024" s="711"/>
      <c r="K17024" s="711"/>
      <c r="L17024" s="711"/>
      <c r="Q17024" s="11"/>
      <c r="R17024" s="11"/>
      <c r="S17024" s="11"/>
      <c r="T17024" s="11"/>
    </row>
    <row r="17025" spans="8:20" x14ac:dyDescent="0.35">
      <c r="H17025" s="711"/>
      <c r="I17025" s="711"/>
      <c r="J17025" s="711"/>
      <c r="K17025" s="711"/>
      <c r="L17025" s="711"/>
      <c r="Q17025" s="11"/>
      <c r="R17025" s="11"/>
      <c r="S17025" s="11"/>
      <c r="T17025" s="11"/>
    </row>
    <row r="17026" spans="8:20" x14ac:dyDescent="0.35">
      <c r="H17026" s="711"/>
      <c r="I17026" s="711"/>
      <c r="J17026" s="711"/>
      <c r="K17026" s="711"/>
      <c r="L17026" s="711"/>
      <c r="Q17026" s="11"/>
      <c r="R17026" s="11"/>
      <c r="S17026" s="11"/>
      <c r="T17026" s="11"/>
    </row>
    <row r="17027" spans="8:20" x14ac:dyDescent="0.35">
      <c r="H17027" s="711"/>
      <c r="I17027" s="711"/>
      <c r="J17027" s="711"/>
      <c r="K17027" s="711"/>
      <c r="L17027" s="711"/>
      <c r="Q17027" s="11"/>
      <c r="R17027" s="11"/>
      <c r="S17027" s="11"/>
      <c r="T17027" s="11"/>
    </row>
    <row r="17028" spans="8:20" x14ac:dyDescent="0.35">
      <c r="H17028" s="711"/>
      <c r="I17028" s="711"/>
      <c r="J17028" s="711"/>
      <c r="K17028" s="711"/>
      <c r="L17028" s="711"/>
      <c r="Q17028" s="11"/>
      <c r="R17028" s="11"/>
      <c r="S17028" s="11"/>
      <c r="T17028" s="11"/>
    </row>
    <row r="17029" spans="8:20" x14ac:dyDescent="0.35">
      <c r="H17029" s="711"/>
      <c r="I17029" s="711"/>
      <c r="J17029" s="711"/>
      <c r="K17029" s="711"/>
      <c r="L17029" s="711"/>
      <c r="Q17029" s="11"/>
      <c r="R17029" s="11"/>
      <c r="S17029" s="11"/>
      <c r="T17029" s="11"/>
    </row>
    <row r="17030" spans="8:20" x14ac:dyDescent="0.35">
      <c r="H17030" s="711"/>
      <c r="I17030" s="711"/>
      <c r="J17030" s="711"/>
      <c r="K17030" s="711"/>
      <c r="L17030" s="711"/>
      <c r="Q17030" s="11"/>
      <c r="R17030" s="11"/>
      <c r="S17030" s="11"/>
      <c r="T17030" s="11"/>
    </row>
    <row r="17031" spans="8:20" x14ac:dyDescent="0.35">
      <c r="H17031" s="711"/>
      <c r="I17031" s="711"/>
      <c r="J17031" s="711"/>
      <c r="K17031" s="711"/>
      <c r="L17031" s="711"/>
      <c r="Q17031" s="11"/>
      <c r="R17031" s="11"/>
      <c r="S17031" s="11"/>
      <c r="T17031" s="11"/>
    </row>
    <row r="17032" spans="8:20" x14ac:dyDescent="0.35">
      <c r="H17032" s="711"/>
      <c r="I17032" s="711"/>
      <c r="J17032" s="711"/>
      <c r="K17032" s="711"/>
      <c r="L17032" s="711"/>
      <c r="Q17032" s="11"/>
      <c r="R17032" s="11"/>
      <c r="S17032" s="11"/>
      <c r="T17032" s="11"/>
    </row>
    <row r="17033" spans="8:20" x14ac:dyDescent="0.35">
      <c r="H17033" s="711"/>
      <c r="I17033" s="711"/>
      <c r="J17033" s="711"/>
      <c r="K17033" s="711"/>
      <c r="L17033" s="711"/>
      <c r="Q17033" s="11"/>
      <c r="R17033" s="11"/>
      <c r="S17033" s="11"/>
      <c r="T17033" s="11"/>
    </row>
    <row r="17034" spans="8:20" x14ac:dyDescent="0.35">
      <c r="H17034" s="711"/>
      <c r="I17034" s="711"/>
      <c r="J17034" s="711"/>
      <c r="K17034" s="711"/>
      <c r="L17034" s="711"/>
      <c r="Q17034" s="11"/>
      <c r="R17034" s="11"/>
      <c r="S17034" s="11"/>
      <c r="T17034" s="11"/>
    </row>
    <row r="17035" spans="8:20" x14ac:dyDescent="0.35">
      <c r="H17035" s="711"/>
      <c r="I17035" s="711"/>
      <c r="J17035" s="711"/>
      <c r="K17035" s="711"/>
      <c r="L17035" s="711"/>
      <c r="Q17035" s="11"/>
      <c r="R17035" s="11"/>
      <c r="S17035" s="11"/>
      <c r="T17035" s="11"/>
    </row>
    <row r="17036" spans="8:20" x14ac:dyDescent="0.35">
      <c r="H17036" s="711"/>
      <c r="I17036" s="711"/>
      <c r="J17036" s="711"/>
      <c r="K17036" s="711"/>
      <c r="L17036" s="711"/>
      <c r="Q17036" s="11"/>
      <c r="R17036" s="11"/>
      <c r="S17036" s="11"/>
      <c r="T17036" s="11"/>
    </row>
    <row r="17037" spans="8:20" x14ac:dyDescent="0.35">
      <c r="H17037" s="711"/>
      <c r="I17037" s="711"/>
      <c r="J17037" s="711"/>
      <c r="K17037" s="711"/>
      <c r="L17037" s="711"/>
      <c r="Q17037" s="11"/>
      <c r="R17037" s="11"/>
      <c r="S17037" s="11"/>
      <c r="T17037" s="11"/>
    </row>
    <row r="17038" spans="8:20" x14ac:dyDescent="0.35">
      <c r="H17038" s="711"/>
      <c r="I17038" s="711"/>
      <c r="J17038" s="711"/>
      <c r="K17038" s="711"/>
      <c r="L17038" s="711"/>
      <c r="Q17038" s="11"/>
      <c r="R17038" s="11"/>
      <c r="S17038" s="11"/>
      <c r="T17038" s="11"/>
    </row>
    <row r="17039" spans="8:20" x14ac:dyDescent="0.35">
      <c r="H17039" s="711"/>
      <c r="I17039" s="711"/>
      <c r="J17039" s="711"/>
      <c r="K17039" s="711"/>
      <c r="L17039" s="711"/>
      <c r="Q17039" s="11"/>
      <c r="R17039" s="11"/>
      <c r="S17039" s="11"/>
      <c r="T17039" s="11"/>
    </row>
    <row r="17040" spans="8:20" x14ac:dyDescent="0.35">
      <c r="H17040" s="711"/>
      <c r="I17040" s="711"/>
      <c r="J17040" s="711"/>
      <c r="K17040" s="711"/>
      <c r="L17040" s="711"/>
      <c r="Q17040" s="11"/>
      <c r="R17040" s="11"/>
      <c r="S17040" s="11"/>
      <c r="T17040" s="11"/>
    </row>
    <row r="17041" spans="8:20" x14ac:dyDescent="0.35">
      <c r="H17041" s="711"/>
      <c r="I17041" s="711"/>
      <c r="J17041" s="711"/>
      <c r="K17041" s="711"/>
      <c r="L17041" s="711"/>
      <c r="Q17041" s="11"/>
      <c r="R17041" s="11"/>
      <c r="S17041" s="11"/>
      <c r="T17041" s="11"/>
    </row>
    <row r="17042" spans="8:20" x14ac:dyDescent="0.35">
      <c r="H17042" s="711"/>
      <c r="I17042" s="711"/>
      <c r="J17042" s="711"/>
      <c r="K17042" s="711"/>
      <c r="L17042" s="711"/>
      <c r="Q17042" s="11"/>
      <c r="R17042" s="11"/>
      <c r="S17042" s="11"/>
      <c r="T17042" s="11"/>
    </row>
    <row r="17043" spans="8:20" x14ac:dyDescent="0.35">
      <c r="H17043" s="711"/>
      <c r="I17043" s="711"/>
      <c r="J17043" s="711"/>
      <c r="K17043" s="711"/>
      <c r="L17043" s="711"/>
      <c r="Q17043" s="11"/>
      <c r="R17043" s="11"/>
      <c r="S17043" s="11"/>
      <c r="T17043" s="11"/>
    </row>
    <row r="17044" spans="8:20" x14ac:dyDescent="0.35">
      <c r="H17044" s="711"/>
      <c r="I17044" s="711"/>
      <c r="J17044" s="711"/>
      <c r="K17044" s="711"/>
      <c r="L17044" s="711"/>
      <c r="Q17044" s="11"/>
      <c r="R17044" s="11"/>
      <c r="S17044" s="11"/>
      <c r="T17044" s="11"/>
    </row>
    <row r="17045" spans="8:20" x14ac:dyDescent="0.35">
      <c r="H17045" s="711"/>
      <c r="I17045" s="711"/>
      <c r="J17045" s="711"/>
      <c r="K17045" s="711"/>
      <c r="L17045" s="711"/>
      <c r="Q17045" s="11"/>
      <c r="R17045" s="11"/>
      <c r="S17045" s="11"/>
      <c r="T17045" s="11"/>
    </row>
    <row r="17046" spans="8:20" x14ac:dyDescent="0.35">
      <c r="H17046" s="711"/>
      <c r="I17046" s="711"/>
      <c r="J17046" s="711"/>
      <c r="K17046" s="711"/>
      <c r="L17046" s="711"/>
      <c r="Q17046" s="11"/>
      <c r="R17046" s="11"/>
      <c r="S17046" s="11"/>
      <c r="T17046" s="11"/>
    </row>
    <row r="17047" spans="8:20" x14ac:dyDescent="0.35">
      <c r="H17047" s="711"/>
      <c r="I17047" s="711"/>
      <c r="J17047" s="711"/>
      <c r="K17047" s="711"/>
      <c r="L17047" s="711"/>
      <c r="Q17047" s="11"/>
      <c r="R17047" s="11"/>
      <c r="S17047" s="11"/>
      <c r="T17047" s="11"/>
    </row>
    <row r="17048" spans="8:20" x14ac:dyDescent="0.35">
      <c r="H17048" s="711"/>
      <c r="I17048" s="711"/>
      <c r="J17048" s="711"/>
      <c r="K17048" s="711"/>
      <c r="L17048" s="711"/>
      <c r="Q17048" s="11"/>
      <c r="R17048" s="11"/>
      <c r="S17048" s="11"/>
      <c r="T17048" s="11"/>
    </row>
    <row r="17049" spans="8:20" x14ac:dyDescent="0.35">
      <c r="H17049" s="711"/>
      <c r="I17049" s="711"/>
      <c r="J17049" s="711"/>
      <c r="K17049" s="711"/>
      <c r="L17049" s="711"/>
      <c r="Q17049" s="11"/>
      <c r="R17049" s="11"/>
      <c r="S17049" s="11"/>
      <c r="T17049" s="11"/>
    </row>
    <row r="17050" spans="8:20" x14ac:dyDescent="0.35">
      <c r="H17050" s="711"/>
      <c r="I17050" s="711"/>
      <c r="J17050" s="711"/>
      <c r="K17050" s="711"/>
      <c r="L17050" s="711"/>
      <c r="Q17050" s="11"/>
      <c r="R17050" s="11"/>
      <c r="S17050" s="11"/>
      <c r="T17050" s="11"/>
    </row>
    <row r="17051" spans="8:20" x14ac:dyDescent="0.35">
      <c r="H17051" s="711"/>
      <c r="I17051" s="711"/>
      <c r="J17051" s="711"/>
      <c r="K17051" s="711"/>
      <c r="L17051" s="711"/>
      <c r="Q17051" s="11"/>
      <c r="R17051" s="11"/>
      <c r="S17051" s="11"/>
      <c r="T17051" s="11"/>
    </row>
    <row r="17052" spans="8:20" x14ac:dyDescent="0.35">
      <c r="H17052" s="711"/>
      <c r="I17052" s="711"/>
      <c r="J17052" s="711"/>
      <c r="K17052" s="711"/>
      <c r="L17052" s="711"/>
      <c r="Q17052" s="11"/>
      <c r="R17052" s="11"/>
      <c r="S17052" s="11"/>
      <c r="T17052" s="11"/>
    </row>
    <row r="17053" spans="8:20" x14ac:dyDescent="0.35">
      <c r="H17053" s="711"/>
      <c r="I17053" s="711"/>
      <c r="J17053" s="711"/>
      <c r="K17053" s="711"/>
      <c r="L17053" s="711"/>
      <c r="Q17053" s="11"/>
      <c r="R17053" s="11"/>
      <c r="S17053" s="11"/>
      <c r="T17053" s="11"/>
    </row>
    <row r="17054" spans="8:20" x14ac:dyDescent="0.35">
      <c r="H17054" s="711"/>
      <c r="I17054" s="711"/>
      <c r="J17054" s="711"/>
      <c r="K17054" s="711"/>
      <c r="L17054" s="711"/>
      <c r="Q17054" s="11"/>
      <c r="R17054" s="11"/>
      <c r="S17054" s="11"/>
      <c r="T17054" s="11"/>
    </row>
    <row r="17055" spans="8:20" x14ac:dyDescent="0.35">
      <c r="H17055" s="711"/>
      <c r="I17055" s="711"/>
      <c r="J17055" s="711"/>
      <c r="K17055" s="711"/>
      <c r="L17055" s="711"/>
      <c r="Q17055" s="11"/>
      <c r="R17055" s="11"/>
      <c r="S17055" s="11"/>
      <c r="T17055" s="11"/>
    </row>
    <row r="17056" spans="8:20" x14ac:dyDescent="0.35">
      <c r="H17056" s="711"/>
      <c r="I17056" s="711"/>
      <c r="J17056" s="711"/>
      <c r="K17056" s="711"/>
      <c r="L17056" s="711"/>
      <c r="Q17056" s="11"/>
      <c r="R17056" s="11"/>
      <c r="S17056" s="11"/>
      <c r="T17056" s="11"/>
    </row>
    <row r="17057" spans="8:20" x14ac:dyDescent="0.35">
      <c r="H17057" s="711"/>
      <c r="I17057" s="711"/>
      <c r="J17057" s="711"/>
      <c r="K17057" s="711"/>
      <c r="L17057" s="711"/>
      <c r="Q17057" s="11"/>
      <c r="R17057" s="11"/>
      <c r="S17057" s="11"/>
      <c r="T17057" s="11"/>
    </row>
    <row r="17058" spans="8:20" x14ac:dyDescent="0.35">
      <c r="H17058" s="711"/>
      <c r="I17058" s="711"/>
      <c r="J17058" s="711"/>
      <c r="K17058" s="711"/>
      <c r="L17058" s="711"/>
      <c r="Q17058" s="11"/>
      <c r="R17058" s="11"/>
      <c r="S17058" s="11"/>
      <c r="T17058" s="11"/>
    </row>
    <row r="17059" spans="8:20" x14ac:dyDescent="0.35">
      <c r="H17059" s="711"/>
      <c r="I17059" s="711"/>
      <c r="J17059" s="711"/>
      <c r="K17059" s="711"/>
      <c r="L17059" s="711"/>
      <c r="Q17059" s="11"/>
      <c r="R17059" s="11"/>
      <c r="S17059" s="11"/>
      <c r="T17059" s="11"/>
    </row>
    <row r="17060" spans="8:20" x14ac:dyDescent="0.35">
      <c r="H17060" s="711"/>
      <c r="I17060" s="711"/>
      <c r="J17060" s="711"/>
      <c r="K17060" s="711"/>
      <c r="L17060" s="711"/>
      <c r="Q17060" s="11"/>
      <c r="R17060" s="11"/>
      <c r="S17060" s="11"/>
      <c r="T17060" s="11"/>
    </row>
    <row r="17061" spans="8:20" x14ac:dyDescent="0.35">
      <c r="H17061" s="711"/>
      <c r="I17061" s="711"/>
      <c r="J17061" s="711"/>
      <c r="K17061" s="711"/>
      <c r="L17061" s="711"/>
      <c r="Q17061" s="11"/>
      <c r="R17061" s="11"/>
      <c r="S17061" s="11"/>
      <c r="T17061" s="11"/>
    </row>
    <row r="17062" spans="8:20" x14ac:dyDescent="0.35">
      <c r="H17062" s="711"/>
      <c r="I17062" s="711"/>
      <c r="J17062" s="711"/>
      <c r="K17062" s="711"/>
      <c r="L17062" s="711"/>
      <c r="Q17062" s="11"/>
      <c r="R17062" s="11"/>
      <c r="S17062" s="11"/>
      <c r="T17062" s="11"/>
    </row>
    <row r="17063" spans="8:20" x14ac:dyDescent="0.35">
      <c r="H17063" s="711"/>
      <c r="I17063" s="711"/>
      <c r="J17063" s="711"/>
      <c r="K17063" s="711"/>
      <c r="L17063" s="711"/>
      <c r="Q17063" s="11"/>
      <c r="R17063" s="11"/>
      <c r="S17063" s="11"/>
      <c r="T17063" s="11"/>
    </row>
    <row r="17064" spans="8:20" x14ac:dyDescent="0.35">
      <c r="H17064" s="711"/>
      <c r="I17064" s="711"/>
      <c r="J17064" s="711"/>
      <c r="K17064" s="711"/>
      <c r="L17064" s="711"/>
      <c r="Q17064" s="11"/>
      <c r="R17064" s="11"/>
      <c r="S17064" s="11"/>
      <c r="T17064" s="11"/>
    </row>
    <row r="17065" spans="8:20" x14ac:dyDescent="0.35">
      <c r="H17065" s="711"/>
      <c r="I17065" s="711"/>
      <c r="J17065" s="711"/>
      <c r="K17065" s="711"/>
      <c r="L17065" s="711"/>
      <c r="Q17065" s="11"/>
      <c r="R17065" s="11"/>
      <c r="S17065" s="11"/>
      <c r="T17065" s="11"/>
    </row>
    <row r="17066" spans="8:20" x14ac:dyDescent="0.35">
      <c r="H17066" s="711"/>
      <c r="I17066" s="711"/>
      <c r="J17066" s="711"/>
      <c r="K17066" s="711"/>
      <c r="L17066" s="711"/>
      <c r="Q17066" s="11"/>
      <c r="R17066" s="11"/>
      <c r="S17066" s="11"/>
      <c r="T17066" s="11"/>
    </row>
    <row r="17067" spans="8:20" x14ac:dyDescent="0.35">
      <c r="H17067" s="711"/>
      <c r="I17067" s="711"/>
      <c r="J17067" s="711"/>
      <c r="K17067" s="711"/>
      <c r="L17067" s="711"/>
      <c r="Q17067" s="11"/>
      <c r="R17067" s="11"/>
      <c r="S17067" s="11"/>
      <c r="T17067" s="11"/>
    </row>
    <row r="17068" spans="8:20" x14ac:dyDescent="0.35">
      <c r="H17068" s="711"/>
      <c r="I17068" s="711"/>
      <c r="J17068" s="711"/>
      <c r="K17068" s="711"/>
      <c r="L17068" s="711"/>
      <c r="Q17068" s="11"/>
      <c r="R17068" s="11"/>
      <c r="S17068" s="11"/>
      <c r="T17068" s="11"/>
    </row>
    <row r="17069" spans="8:20" x14ac:dyDescent="0.35">
      <c r="H17069" s="711"/>
      <c r="I17069" s="711"/>
      <c r="J17069" s="711"/>
      <c r="K17069" s="711"/>
      <c r="L17069" s="711"/>
      <c r="Q17069" s="11"/>
      <c r="R17069" s="11"/>
      <c r="S17069" s="11"/>
      <c r="T17069" s="11"/>
    </row>
    <row r="17070" spans="8:20" x14ac:dyDescent="0.35">
      <c r="H17070" s="711"/>
      <c r="I17070" s="711"/>
      <c r="J17070" s="711"/>
      <c r="K17070" s="711"/>
      <c r="L17070" s="711"/>
      <c r="Q17070" s="11"/>
      <c r="R17070" s="11"/>
      <c r="S17070" s="11"/>
      <c r="T17070" s="11"/>
    </row>
    <row r="17071" spans="8:20" x14ac:dyDescent="0.35">
      <c r="H17071" s="711"/>
      <c r="I17071" s="711"/>
      <c r="J17071" s="711"/>
      <c r="K17071" s="711"/>
      <c r="L17071" s="711"/>
      <c r="Q17071" s="11"/>
      <c r="R17071" s="11"/>
      <c r="S17071" s="11"/>
      <c r="T17071" s="11"/>
    </row>
    <row r="17072" spans="8:20" x14ac:dyDescent="0.35">
      <c r="H17072" s="711"/>
      <c r="I17072" s="711"/>
      <c r="J17072" s="711"/>
      <c r="K17072" s="711"/>
      <c r="L17072" s="711"/>
      <c r="Q17072" s="11"/>
      <c r="R17072" s="11"/>
      <c r="S17072" s="11"/>
      <c r="T17072" s="11"/>
    </row>
    <row r="17073" spans="8:20" x14ac:dyDescent="0.35">
      <c r="H17073" s="711"/>
      <c r="I17073" s="711"/>
      <c r="J17073" s="711"/>
      <c r="K17073" s="711"/>
      <c r="L17073" s="711"/>
      <c r="Q17073" s="11"/>
      <c r="R17073" s="11"/>
      <c r="S17073" s="11"/>
      <c r="T17073" s="11"/>
    </row>
    <row r="17074" spans="8:20" x14ac:dyDescent="0.35">
      <c r="H17074" s="711"/>
      <c r="I17074" s="711"/>
      <c r="J17074" s="711"/>
      <c r="K17074" s="711"/>
      <c r="L17074" s="711"/>
      <c r="Q17074" s="11"/>
      <c r="R17074" s="11"/>
      <c r="S17074" s="11"/>
      <c r="T17074" s="11"/>
    </row>
    <row r="17075" spans="8:20" x14ac:dyDescent="0.35">
      <c r="H17075" s="711"/>
      <c r="I17075" s="711"/>
      <c r="J17075" s="711"/>
      <c r="K17075" s="711"/>
      <c r="L17075" s="711"/>
      <c r="Q17075" s="11"/>
      <c r="R17075" s="11"/>
      <c r="S17075" s="11"/>
      <c r="T17075" s="11"/>
    </row>
    <row r="17076" spans="8:20" x14ac:dyDescent="0.35">
      <c r="H17076" s="711"/>
      <c r="I17076" s="711"/>
      <c r="J17076" s="711"/>
      <c r="K17076" s="711"/>
      <c r="L17076" s="711"/>
      <c r="Q17076" s="11"/>
      <c r="R17076" s="11"/>
      <c r="S17076" s="11"/>
      <c r="T17076" s="11"/>
    </row>
    <row r="17077" spans="8:20" x14ac:dyDescent="0.35">
      <c r="H17077" s="711"/>
      <c r="I17077" s="711"/>
      <c r="J17077" s="711"/>
      <c r="K17077" s="711"/>
      <c r="L17077" s="711"/>
      <c r="Q17077" s="11"/>
      <c r="R17077" s="11"/>
      <c r="S17077" s="11"/>
      <c r="T17077" s="11"/>
    </row>
    <row r="17078" spans="8:20" x14ac:dyDescent="0.35">
      <c r="H17078" s="711"/>
      <c r="I17078" s="711"/>
      <c r="J17078" s="711"/>
      <c r="K17078" s="711"/>
      <c r="L17078" s="711"/>
      <c r="Q17078" s="11"/>
      <c r="R17078" s="11"/>
      <c r="S17078" s="11"/>
      <c r="T17078" s="11"/>
    </row>
    <row r="17079" spans="8:20" x14ac:dyDescent="0.35">
      <c r="H17079" s="711"/>
      <c r="I17079" s="711"/>
      <c r="J17079" s="711"/>
      <c r="K17079" s="711"/>
      <c r="L17079" s="711"/>
      <c r="Q17079" s="11"/>
      <c r="R17079" s="11"/>
      <c r="S17079" s="11"/>
      <c r="T17079" s="11"/>
    </row>
    <row r="17080" spans="8:20" x14ac:dyDescent="0.35">
      <c r="H17080" s="711"/>
      <c r="I17080" s="711"/>
      <c r="J17080" s="711"/>
      <c r="K17080" s="711"/>
      <c r="L17080" s="711"/>
      <c r="Q17080" s="11"/>
      <c r="R17080" s="11"/>
      <c r="S17080" s="11"/>
      <c r="T17080" s="11"/>
    </row>
    <row r="17081" spans="8:20" x14ac:dyDescent="0.35">
      <c r="H17081" s="711"/>
      <c r="I17081" s="711"/>
      <c r="J17081" s="711"/>
      <c r="K17081" s="711"/>
      <c r="L17081" s="711"/>
      <c r="Q17081" s="11"/>
      <c r="R17081" s="11"/>
      <c r="S17081" s="11"/>
      <c r="T17081" s="11"/>
    </row>
    <row r="17082" spans="8:20" x14ac:dyDescent="0.35">
      <c r="H17082" s="711"/>
      <c r="I17082" s="711"/>
      <c r="J17082" s="711"/>
      <c r="K17082" s="711"/>
      <c r="L17082" s="711"/>
      <c r="Q17082" s="11"/>
      <c r="R17082" s="11"/>
      <c r="S17082" s="11"/>
      <c r="T17082" s="11"/>
    </row>
    <row r="17083" spans="8:20" x14ac:dyDescent="0.35">
      <c r="H17083" s="711"/>
      <c r="I17083" s="711"/>
      <c r="J17083" s="711"/>
      <c r="K17083" s="711"/>
      <c r="L17083" s="711"/>
      <c r="Q17083" s="11"/>
      <c r="R17083" s="11"/>
      <c r="S17083" s="11"/>
      <c r="T17083" s="11"/>
    </row>
    <row r="17084" spans="8:20" x14ac:dyDescent="0.35">
      <c r="H17084" s="711"/>
      <c r="I17084" s="711"/>
      <c r="J17084" s="711"/>
      <c r="K17084" s="711"/>
      <c r="L17084" s="711"/>
      <c r="Q17084" s="11"/>
      <c r="R17084" s="11"/>
      <c r="S17084" s="11"/>
      <c r="T17084" s="11"/>
    </row>
    <row r="17085" spans="8:20" x14ac:dyDescent="0.35">
      <c r="H17085" s="711"/>
      <c r="I17085" s="711"/>
      <c r="J17085" s="711"/>
      <c r="K17085" s="711"/>
      <c r="L17085" s="711"/>
      <c r="Q17085" s="11"/>
      <c r="R17085" s="11"/>
      <c r="S17085" s="11"/>
      <c r="T17085" s="11"/>
    </row>
    <row r="17086" spans="8:20" x14ac:dyDescent="0.35">
      <c r="H17086" s="711"/>
      <c r="I17086" s="711"/>
      <c r="J17086" s="711"/>
      <c r="K17086" s="711"/>
      <c r="L17086" s="711"/>
      <c r="Q17086" s="11"/>
      <c r="R17086" s="11"/>
      <c r="S17086" s="11"/>
      <c r="T17086" s="11"/>
    </row>
    <row r="17087" spans="8:20" x14ac:dyDescent="0.35">
      <c r="H17087" s="711"/>
      <c r="I17087" s="711"/>
      <c r="J17087" s="711"/>
      <c r="K17087" s="711"/>
      <c r="L17087" s="711"/>
      <c r="Q17087" s="11"/>
      <c r="R17087" s="11"/>
      <c r="S17087" s="11"/>
      <c r="T17087" s="11"/>
    </row>
    <row r="17088" spans="8:20" x14ac:dyDescent="0.35">
      <c r="H17088" s="711"/>
      <c r="I17088" s="711"/>
      <c r="J17088" s="711"/>
      <c r="K17088" s="711"/>
      <c r="L17088" s="711"/>
      <c r="Q17088" s="11"/>
      <c r="R17088" s="11"/>
      <c r="S17088" s="11"/>
      <c r="T17088" s="11"/>
    </row>
    <row r="17089" spans="8:20" x14ac:dyDescent="0.35">
      <c r="H17089" s="711"/>
      <c r="I17089" s="711"/>
      <c r="J17089" s="711"/>
      <c r="K17089" s="711"/>
      <c r="L17089" s="711"/>
      <c r="Q17089" s="11"/>
      <c r="R17089" s="11"/>
      <c r="S17089" s="11"/>
      <c r="T17089" s="11"/>
    </row>
    <row r="17090" spans="8:20" x14ac:dyDescent="0.35">
      <c r="H17090" s="711"/>
      <c r="I17090" s="711"/>
      <c r="J17090" s="711"/>
      <c r="K17090" s="711"/>
      <c r="L17090" s="711"/>
      <c r="Q17090" s="11"/>
      <c r="R17090" s="11"/>
      <c r="S17090" s="11"/>
      <c r="T17090" s="11"/>
    </row>
    <row r="17091" spans="8:20" x14ac:dyDescent="0.35">
      <c r="H17091" s="711"/>
      <c r="I17091" s="711"/>
      <c r="J17091" s="711"/>
      <c r="K17091" s="711"/>
      <c r="L17091" s="711"/>
      <c r="Q17091" s="11"/>
      <c r="R17091" s="11"/>
      <c r="S17091" s="11"/>
      <c r="T17091" s="11"/>
    </row>
    <row r="17092" spans="8:20" x14ac:dyDescent="0.35">
      <c r="H17092" s="711"/>
      <c r="I17092" s="711"/>
      <c r="J17092" s="711"/>
      <c r="K17092" s="711"/>
      <c r="L17092" s="711"/>
      <c r="Q17092" s="11"/>
      <c r="R17092" s="11"/>
      <c r="S17092" s="11"/>
      <c r="T17092" s="11"/>
    </row>
    <row r="17093" spans="8:20" x14ac:dyDescent="0.35">
      <c r="H17093" s="711"/>
      <c r="I17093" s="711"/>
      <c r="J17093" s="711"/>
      <c r="K17093" s="711"/>
      <c r="L17093" s="711"/>
      <c r="Q17093" s="11"/>
      <c r="R17093" s="11"/>
      <c r="S17093" s="11"/>
      <c r="T17093" s="11"/>
    </row>
    <row r="17094" spans="8:20" x14ac:dyDescent="0.35">
      <c r="H17094" s="711"/>
      <c r="I17094" s="711"/>
      <c r="J17094" s="711"/>
      <c r="K17094" s="711"/>
      <c r="L17094" s="711"/>
      <c r="Q17094" s="11"/>
      <c r="R17094" s="11"/>
      <c r="S17094" s="11"/>
      <c r="T17094" s="11"/>
    </row>
    <row r="17095" spans="8:20" x14ac:dyDescent="0.35">
      <c r="H17095" s="711"/>
      <c r="I17095" s="711"/>
      <c r="J17095" s="711"/>
      <c r="K17095" s="711"/>
      <c r="L17095" s="711"/>
      <c r="Q17095" s="11"/>
      <c r="R17095" s="11"/>
      <c r="S17095" s="11"/>
      <c r="T17095" s="11"/>
    </row>
    <row r="17096" spans="8:20" x14ac:dyDescent="0.35">
      <c r="H17096" s="711"/>
      <c r="I17096" s="711"/>
      <c r="J17096" s="711"/>
      <c r="K17096" s="711"/>
      <c r="L17096" s="711"/>
      <c r="Q17096" s="11"/>
      <c r="R17096" s="11"/>
      <c r="S17096" s="11"/>
      <c r="T17096" s="11"/>
    </row>
    <row r="17097" spans="8:20" x14ac:dyDescent="0.35">
      <c r="H17097" s="711"/>
      <c r="I17097" s="711"/>
      <c r="J17097" s="711"/>
      <c r="K17097" s="711"/>
      <c r="L17097" s="711"/>
      <c r="Q17097" s="11"/>
      <c r="R17097" s="11"/>
      <c r="S17097" s="11"/>
      <c r="T17097" s="11"/>
    </row>
    <row r="17098" spans="8:20" x14ac:dyDescent="0.35">
      <c r="H17098" s="711"/>
      <c r="I17098" s="711"/>
      <c r="J17098" s="711"/>
      <c r="K17098" s="711"/>
      <c r="L17098" s="711"/>
      <c r="Q17098" s="11"/>
      <c r="R17098" s="11"/>
      <c r="S17098" s="11"/>
      <c r="T17098" s="11"/>
    </row>
    <row r="17099" spans="8:20" x14ac:dyDescent="0.35">
      <c r="H17099" s="711"/>
      <c r="I17099" s="711"/>
      <c r="J17099" s="711"/>
      <c r="K17099" s="711"/>
      <c r="L17099" s="711"/>
      <c r="Q17099" s="11"/>
      <c r="R17099" s="11"/>
      <c r="S17099" s="11"/>
      <c r="T17099" s="11"/>
    </row>
    <row r="17100" spans="8:20" x14ac:dyDescent="0.35">
      <c r="H17100" s="711"/>
      <c r="I17100" s="711"/>
      <c r="J17100" s="711"/>
      <c r="K17100" s="711"/>
      <c r="L17100" s="711"/>
      <c r="Q17100" s="11"/>
      <c r="R17100" s="11"/>
      <c r="S17100" s="11"/>
      <c r="T17100" s="11"/>
    </row>
    <row r="17101" spans="8:20" x14ac:dyDescent="0.35">
      <c r="H17101" s="711"/>
      <c r="I17101" s="711"/>
      <c r="J17101" s="711"/>
      <c r="K17101" s="711"/>
      <c r="L17101" s="711"/>
      <c r="Q17101" s="11"/>
      <c r="R17101" s="11"/>
      <c r="S17101" s="11"/>
      <c r="T17101" s="11"/>
    </row>
    <row r="17102" spans="8:20" x14ac:dyDescent="0.35">
      <c r="H17102" s="711"/>
      <c r="I17102" s="711"/>
      <c r="J17102" s="711"/>
      <c r="K17102" s="711"/>
      <c r="L17102" s="711"/>
      <c r="Q17102" s="11"/>
      <c r="R17102" s="11"/>
      <c r="S17102" s="11"/>
      <c r="T17102" s="11"/>
    </row>
    <row r="17103" spans="8:20" x14ac:dyDescent="0.35">
      <c r="H17103" s="711"/>
      <c r="I17103" s="711"/>
      <c r="J17103" s="711"/>
      <c r="K17103" s="711"/>
      <c r="L17103" s="711"/>
      <c r="Q17103" s="11"/>
      <c r="R17103" s="11"/>
      <c r="S17103" s="11"/>
      <c r="T17103" s="11"/>
    </row>
    <row r="17104" spans="8:20" x14ac:dyDescent="0.35">
      <c r="H17104" s="711"/>
      <c r="I17104" s="711"/>
      <c r="J17104" s="711"/>
      <c r="K17104" s="711"/>
      <c r="L17104" s="711"/>
      <c r="Q17104" s="11"/>
      <c r="R17104" s="11"/>
      <c r="S17104" s="11"/>
      <c r="T17104" s="11"/>
    </row>
    <row r="17105" spans="8:20" x14ac:dyDescent="0.35">
      <c r="H17105" s="711"/>
      <c r="I17105" s="711"/>
      <c r="J17105" s="711"/>
      <c r="K17105" s="711"/>
      <c r="L17105" s="711"/>
      <c r="Q17105" s="11"/>
      <c r="R17105" s="11"/>
      <c r="S17105" s="11"/>
      <c r="T17105" s="11"/>
    </row>
    <row r="17106" spans="8:20" x14ac:dyDescent="0.35">
      <c r="H17106" s="711"/>
      <c r="I17106" s="711"/>
      <c r="J17106" s="711"/>
      <c r="K17106" s="711"/>
      <c r="L17106" s="711"/>
      <c r="Q17106" s="11"/>
      <c r="R17106" s="11"/>
      <c r="S17106" s="11"/>
      <c r="T17106" s="11"/>
    </row>
    <row r="17107" spans="8:20" x14ac:dyDescent="0.35">
      <c r="H17107" s="711"/>
      <c r="I17107" s="711"/>
      <c r="J17107" s="711"/>
      <c r="K17107" s="711"/>
      <c r="L17107" s="711"/>
      <c r="Q17107" s="11"/>
      <c r="R17107" s="11"/>
      <c r="S17107" s="11"/>
      <c r="T17107" s="11"/>
    </row>
    <row r="17108" spans="8:20" x14ac:dyDescent="0.35">
      <c r="H17108" s="711"/>
      <c r="I17108" s="711"/>
      <c r="J17108" s="711"/>
      <c r="K17108" s="711"/>
      <c r="L17108" s="711"/>
      <c r="Q17108" s="11"/>
      <c r="R17108" s="11"/>
      <c r="S17108" s="11"/>
      <c r="T17108" s="11"/>
    </row>
    <row r="17109" spans="8:20" x14ac:dyDescent="0.35">
      <c r="H17109" s="711"/>
      <c r="I17109" s="711"/>
      <c r="J17109" s="711"/>
      <c r="K17109" s="711"/>
      <c r="L17109" s="711"/>
      <c r="Q17109" s="11"/>
      <c r="R17109" s="11"/>
      <c r="S17109" s="11"/>
      <c r="T17109" s="11"/>
    </row>
    <row r="17110" spans="8:20" x14ac:dyDescent="0.35">
      <c r="H17110" s="711"/>
      <c r="I17110" s="711"/>
      <c r="J17110" s="711"/>
      <c r="K17110" s="711"/>
      <c r="L17110" s="711"/>
      <c r="Q17110" s="11"/>
      <c r="R17110" s="11"/>
      <c r="S17110" s="11"/>
      <c r="T17110" s="11"/>
    </row>
    <row r="17111" spans="8:20" x14ac:dyDescent="0.35">
      <c r="H17111" s="711"/>
      <c r="I17111" s="711"/>
      <c r="J17111" s="711"/>
      <c r="K17111" s="711"/>
      <c r="L17111" s="711"/>
      <c r="Q17111" s="11"/>
      <c r="R17111" s="11"/>
      <c r="S17111" s="11"/>
      <c r="T17111" s="11"/>
    </row>
    <row r="17112" spans="8:20" x14ac:dyDescent="0.35">
      <c r="H17112" s="711"/>
      <c r="I17112" s="711"/>
      <c r="J17112" s="711"/>
      <c r="K17112" s="711"/>
      <c r="L17112" s="711"/>
      <c r="Q17112" s="11"/>
      <c r="R17112" s="11"/>
      <c r="S17112" s="11"/>
      <c r="T17112" s="11"/>
    </row>
    <row r="17113" spans="8:20" x14ac:dyDescent="0.35">
      <c r="H17113" s="711"/>
      <c r="I17113" s="711"/>
      <c r="J17113" s="711"/>
      <c r="K17113" s="711"/>
      <c r="L17113" s="711"/>
      <c r="Q17113" s="11"/>
      <c r="R17113" s="11"/>
      <c r="S17113" s="11"/>
      <c r="T17113" s="11"/>
    </row>
    <row r="17114" spans="8:20" x14ac:dyDescent="0.35">
      <c r="H17114" s="711"/>
      <c r="I17114" s="711"/>
      <c r="J17114" s="711"/>
      <c r="K17114" s="711"/>
      <c r="L17114" s="711"/>
      <c r="Q17114" s="11"/>
      <c r="R17114" s="11"/>
      <c r="S17114" s="11"/>
      <c r="T17114" s="11"/>
    </row>
    <row r="17115" spans="8:20" x14ac:dyDescent="0.35">
      <c r="H17115" s="711"/>
      <c r="I17115" s="711"/>
      <c r="J17115" s="711"/>
      <c r="K17115" s="711"/>
      <c r="L17115" s="711"/>
      <c r="Q17115" s="11"/>
      <c r="R17115" s="11"/>
      <c r="S17115" s="11"/>
      <c r="T17115" s="11"/>
    </row>
    <row r="17116" spans="8:20" x14ac:dyDescent="0.35">
      <c r="H17116" s="711"/>
      <c r="I17116" s="711"/>
      <c r="J17116" s="711"/>
      <c r="K17116" s="711"/>
      <c r="L17116" s="711"/>
      <c r="Q17116" s="11"/>
      <c r="R17116" s="11"/>
      <c r="S17116" s="11"/>
      <c r="T17116" s="11"/>
    </row>
    <row r="17117" spans="8:20" x14ac:dyDescent="0.35">
      <c r="H17117" s="711"/>
      <c r="I17117" s="711"/>
      <c r="J17117" s="711"/>
      <c r="K17117" s="711"/>
      <c r="L17117" s="711"/>
      <c r="Q17117" s="11"/>
      <c r="R17117" s="11"/>
      <c r="S17117" s="11"/>
      <c r="T17117" s="11"/>
    </row>
    <row r="17118" spans="8:20" x14ac:dyDescent="0.35">
      <c r="H17118" s="711"/>
      <c r="I17118" s="711"/>
      <c r="J17118" s="711"/>
      <c r="K17118" s="711"/>
      <c r="L17118" s="711"/>
      <c r="Q17118" s="11"/>
      <c r="R17118" s="11"/>
      <c r="S17118" s="11"/>
      <c r="T17118" s="11"/>
    </row>
    <row r="17119" spans="8:20" x14ac:dyDescent="0.35">
      <c r="H17119" s="711"/>
      <c r="I17119" s="711"/>
      <c r="J17119" s="711"/>
      <c r="K17119" s="711"/>
      <c r="L17119" s="711"/>
      <c r="Q17119" s="11"/>
      <c r="R17119" s="11"/>
      <c r="S17119" s="11"/>
      <c r="T17119" s="11"/>
    </row>
    <row r="17120" spans="8:20" x14ac:dyDescent="0.35">
      <c r="H17120" s="711"/>
      <c r="I17120" s="711"/>
      <c r="J17120" s="711"/>
      <c r="K17120" s="711"/>
      <c r="L17120" s="711"/>
      <c r="Q17120" s="11"/>
      <c r="R17120" s="11"/>
      <c r="S17120" s="11"/>
      <c r="T17120" s="11"/>
    </row>
    <row r="17121" spans="8:20" x14ac:dyDescent="0.35">
      <c r="H17121" s="711"/>
      <c r="I17121" s="711"/>
      <c r="J17121" s="711"/>
      <c r="K17121" s="711"/>
      <c r="L17121" s="711"/>
      <c r="Q17121" s="11"/>
      <c r="R17121" s="11"/>
      <c r="S17121" s="11"/>
      <c r="T17121" s="11"/>
    </row>
    <row r="17122" spans="8:20" x14ac:dyDescent="0.35">
      <c r="H17122" s="711"/>
      <c r="I17122" s="711"/>
      <c r="J17122" s="711"/>
      <c r="K17122" s="711"/>
      <c r="L17122" s="711"/>
      <c r="Q17122" s="11"/>
      <c r="R17122" s="11"/>
      <c r="S17122" s="11"/>
      <c r="T17122" s="11"/>
    </row>
    <row r="17123" spans="8:20" x14ac:dyDescent="0.35">
      <c r="H17123" s="711"/>
      <c r="I17123" s="711"/>
      <c r="J17123" s="711"/>
      <c r="K17123" s="711"/>
      <c r="L17123" s="711"/>
      <c r="Q17123" s="11"/>
      <c r="R17123" s="11"/>
      <c r="S17123" s="11"/>
      <c r="T17123" s="11"/>
    </row>
    <row r="17124" spans="8:20" x14ac:dyDescent="0.35">
      <c r="H17124" s="711"/>
      <c r="I17124" s="711"/>
      <c r="J17124" s="711"/>
      <c r="K17124" s="711"/>
      <c r="L17124" s="711"/>
      <c r="Q17124" s="11"/>
      <c r="R17124" s="11"/>
      <c r="S17124" s="11"/>
      <c r="T17124" s="11"/>
    </row>
    <row r="17125" spans="8:20" x14ac:dyDescent="0.35">
      <c r="H17125" s="711"/>
      <c r="I17125" s="711"/>
      <c r="J17125" s="711"/>
      <c r="K17125" s="711"/>
      <c r="L17125" s="711"/>
      <c r="Q17125" s="11"/>
      <c r="R17125" s="11"/>
      <c r="S17125" s="11"/>
      <c r="T17125" s="11"/>
    </row>
    <row r="17126" spans="8:20" x14ac:dyDescent="0.35">
      <c r="H17126" s="711"/>
      <c r="I17126" s="711"/>
      <c r="J17126" s="711"/>
      <c r="K17126" s="711"/>
      <c r="L17126" s="711"/>
      <c r="Q17126" s="11"/>
      <c r="R17126" s="11"/>
      <c r="S17126" s="11"/>
      <c r="T17126" s="11"/>
    </row>
    <row r="17127" spans="8:20" x14ac:dyDescent="0.35">
      <c r="H17127" s="711"/>
      <c r="I17127" s="711"/>
      <c r="J17127" s="711"/>
      <c r="K17127" s="711"/>
      <c r="L17127" s="711"/>
      <c r="Q17127" s="11"/>
      <c r="R17127" s="11"/>
      <c r="S17127" s="11"/>
      <c r="T17127" s="11"/>
    </row>
    <row r="17128" spans="8:20" x14ac:dyDescent="0.35">
      <c r="H17128" s="711"/>
      <c r="I17128" s="711"/>
      <c r="J17128" s="711"/>
      <c r="K17128" s="711"/>
      <c r="L17128" s="711"/>
      <c r="Q17128" s="11"/>
      <c r="R17128" s="11"/>
      <c r="S17128" s="11"/>
      <c r="T17128" s="11"/>
    </row>
    <row r="17129" spans="8:20" x14ac:dyDescent="0.35">
      <c r="H17129" s="711"/>
      <c r="I17129" s="711"/>
      <c r="J17129" s="711"/>
      <c r="K17129" s="711"/>
      <c r="L17129" s="711"/>
      <c r="Q17129" s="11"/>
      <c r="R17129" s="11"/>
      <c r="S17129" s="11"/>
      <c r="T17129" s="11"/>
    </row>
    <row r="17130" spans="8:20" x14ac:dyDescent="0.35">
      <c r="H17130" s="711"/>
      <c r="I17130" s="711"/>
      <c r="J17130" s="711"/>
      <c r="K17130" s="711"/>
      <c r="L17130" s="711"/>
      <c r="Q17130" s="11"/>
      <c r="R17130" s="11"/>
      <c r="S17130" s="11"/>
      <c r="T17130" s="11"/>
    </row>
    <row r="17131" spans="8:20" x14ac:dyDescent="0.35">
      <c r="H17131" s="711"/>
      <c r="I17131" s="711"/>
      <c r="J17131" s="711"/>
      <c r="K17131" s="711"/>
      <c r="L17131" s="711"/>
      <c r="Q17131" s="11"/>
      <c r="R17131" s="11"/>
      <c r="S17131" s="11"/>
      <c r="T17131" s="11"/>
    </row>
    <row r="17132" spans="8:20" x14ac:dyDescent="0.35">
      <c r="H17132" s="711"/>
      <c r="I17132" s="711"/>
      <c r="J17132" s="711"/>
      <c r="K17132" s="711"/>
      <c r="L17132" s="711"/>
      <c r="Q17132" s="11"/>
      <c r="R17132" s="11"/>
      <c r="S17132" s="11"/>
      <c r="T17132" s="11"/>
    </row>
    <row r="17133" spans="8:20" x14ac:dyDescent="0.35">
      <c r="H17133" s="711"/>
      <c r="I17133" s="711"/>
      <c r="J17133" s="711"/>
      <c r="K17133" s="711"/>
      <c r="L17133" s="711"/>
      <c r="Q17133" s="11"/>
      <c r="R17133" s="11"/>
      <c r="S17133" s="11"/>
      <c r="T17133" s="11"/>
    </row>
    <row r="17134" spans="8:20" x14ac:dyDescent="0.35">
      <c r="H17134" s="711"/>
      <c r="I17134" s="711"/>
      <c r="J17134" s="711"/>
      <c r="K17134" s="711"/>
      <c r="L17134" s="711"/>
      <c r="Q17134" s="11"/>
      <c r="R17134" s="11"/>
      <c r="S17134" s="11"/>
      <c r="T17134" s="11"/>
    </row>
    <row r="17135" spans="8:20" x14ac:dyDescent="0.35">
      <c r="H17135" s="711"/>
      <c r="I17135" s="711"/>
      <c r="J17135" s="711"/>
      <c r="K17135" s="711"/>
      <c r="L17135" s="711"/>
      <c r="Q17135" s="11"/>
      <c r="R17135" s="11"/>
      <c r="S17135" s="11"/>
      <c r="T17135" s="11"/>
    </row>
    <row r="17136" spans="8:20" x14ac:dyDescent="0.35">
      <c r="H17136" s="711"/>
      <c r="I17136" s="711"/>
      <c r="J17136" s="711"/>
      <c r="K17136" s="711"/>
      <c r="L17136" s="711"/>
      <c r="Q17136" s="11"/>
      <c r="R17136" s="11"/>
      <c r="S17136" s="11"/>
      <c r="T17136" s="11"/>
    </row>
    <row r="17137" spans="8:20" x14ac:dyDescent="0.35">
      <c r="H17137" s="711"/>
      <c r="I17137" s="711"/>
      <c r="J17137" s="711"/>
      <c r="K17137" s="711"/>
      <c r="L17137" s="711"/>
      <c r="Q17137" s="11"/>
      <c r="R17137" s="11"/>
      <c r="S17137" s="11"/>
      <c r="T17137" s="11"/>
    </row>
    <row r="17138" spans="8:20" x14ac:dyDescent="0.35">
      <c r="H17138" s="711"/>
      <c r="I17138" s="711"/>
      <c r="J17138" s="711"/>
      <c r="K17138" s="711"/>
      <c r="L17138" s="711"/>
      <c r="Q17138" s="11"/>
      <c r="R17138" s="11"/>
      <c r="S17138" s="11"/>
      <c r="T17138" s="11"/>
    </row>
    <row r="17139" spans="8:20" x14ac:dyDescent="0.35">
      <c r="H17139" s="711"/>
      <c r="I17139" s="711"/>
      <c r="J17139" s="711"/>
      <c r="K17139" s="711"/>
      <c r="L17139" s="711"/>
      <c r="Q17139" s="11"/>
      <c r="R17139" s="11"/>
      <c r="S17139" s="11"/>
      <c r="T17139" s="11"/>
    </row>
    <row r="17140" spans="8:20" x14ac:dyDescent="0.35">
      <c r="H17140" s="711"/>
      <c r="I17140" s="711"/>
      <c r="J17140" s="711"/>
      <c r="K17140" s="711"/>
      <c r="L17140" s="711"/>
      <c r="Q17140" s="11"/>
      <c r="R17140" s="11"/>
      <c r="S17140" s="11"/>
      <c r="T17140" s="11"/>
    </row>
    <row r="17141" spans="8:20" x14ac:dyDescent="0.35">
      <c r="H17141" s="711"/>
      <c r="I17141" s="711"/>
      <c r="J17141" s="711"/>
      <c r="K17141" s="711"/>
      <c r="L17141" s="711"/>
      <c r="Q17141" s="11"/>
      <c r="R17141" s="11"/>
      <c r="S17141" s="11"/>
      <c r="T17141" s="11"/>
    </row>
    <row r="17142" spans="8:20" x14ac:dyDescent="0.35">
      <c r="H17142" s="711"/>
      <c r="I17142" s="711"/>
      <c r="J17142" s="711"/>
      <c r="K17142" s="711"/>
      <c r="L17142" s="711"/>
      <c r="Q17142" s="11"/>
      <c r="R17142" s="11"/>
      <c r="S17142" s="11"/>
      <c r="T17142" s="11"/>
    </row>
    <row r="17143" spans="8:20" x14ac:dyDescent="0.35">
      <c r="H17143" s="711"/>
      <c r="I17143" s="711"/>
      <c r="J17143" s="711"/>
      <c r="K17143" s="711"/>
      <c r="L17143" s="711"/>
      <c r="Q17143" s="11"/>
      <c r="R17143" s="11"/>
      <c r="S17143" s="11"/>
      <c r="T17143" s="11"/>
    </row>
    <row r="17144" spans="8:20" x14ac:dyDescent="0.35">
      <c r="H17144" s="711"/>
      <c r="I17144" s="711"/>
      <c r="J17144" s="711"/>
      <c r="K17144" s="711"/>
      <c r="L17144" s="711"/>
      <c r="Q17144" s="11"/>
      <c r="R17144" s="11"/>
      <c r="S17144" s="11"/>
      <c r="T17144" s="11"/>
    </row>
    <row r="17145" spans="8:20" x14ac:dyDescent="0.35">
      <c r="H17145" s="711"/>
      <c r="I17145" s="711"/>
      <c r="J17145" s="711"/>
      <c r="K17145" s="711"/>
      <c r="L17145" s="711"/>
      <c r="Q17145" s="11"/>
      <c r="R17145" s="11"/>
      <c r="S17145" s="11"/>
      <c r="T17145" s="11"/>
    </row>
    <row r="17146" spans="8:20" x14ac:dyDescent="0.35">
      <c r="H17146" s="711"/>
      <c r="I17146" s="711"/>
      <c r="J17146" s="711"/>
      <c r="K17146" s="711"/>
      <c r="L17146" s="711"/>
      <c r="Q17146" s="11"/>
      <c r="R17146" s="11"/>
      <c r="S17146" s="11"/>
      <c r="T17146" s="11"/>
    </row>
    <row r="17147" spans="8:20" x14ac:dyDescent="0.35">
      <c r="H17147" s="711"/>
      <c r="I17147" s="711"/>
      <c r="J17147" s="711"/>
      <c r="K17147" s="711"/>
      <c r="L17147" s="711"/>
      <c r="Q17147" s="11"/>
      <c r="R17147" s="11"/>
      <c r="S17147" s="11"/>
      <c r="T17147" s="11"/>
    </row>
    <row r="17148" spans="8:20" x14ac:dyDescent="0.35">
      <c r="H17148" s="711"/>
      <c r="I17148" s="711"/>
      <c r="J17148" s="711"/>
      <c r="K17148" s="711"/>
      <c r="L17148" s="711"/>
      <c r="Q17148" s="11"/>
      <c r="R17148" s="11"/>
      <c r="S17148" s="11"/>
      <c r="T17148" s="11"/>
    </row>
    <row r="17149" spans="8:20" x14ac:dyDescent="0.35">
      <c r="H17149" s="711"/>
      <c r="I17149" s="711"/>
      <c r="J17149" s="711"/>
      <c r="K17149" s="711"/>
      <c r="L17149" s="711"/>
      <c r="Q17149" s="11"/>
      <c r="R17149" s="11"/>
      <c r="S17149" s="11"/>
      <c r="T17149" s="11"/>
    </row>
    <row r="17150" spans="8:20" x14ac:dyDescent="0.35">
      <c r="H17150" s="711"/>
      <c r="I17150" s="711"/>
      <c r="J17150" s="711"/>
      <c r="K17150" s="711"/>
      <c r="L17150" s="711"/>
      <c r="Q17150" s="11"/>
      <c r="R17150" s="11"/>
      <c r="S17150" s="11"/>
      <c r="T17150" s="11"/>
    </row>
    <row r="17151" spans="8:20" x14ac:dyDescent="0.35">
      <c r="H17151" s="711"/>
      <c r="I17151" s="711"/>
      <c r="J17151" s="711"/>
      <c r="K17151" s="711"/>
      <c r="L17151" s="711"/>
      <c r="Q17151" s="11"/>
      <c r="R17151" s="11"/>
      <c r="S17151" s="11"/>
      <c r="T17151" s="11"/>
    </row>
    <row r="17152" spans="8:20" x14ac:dyDescent="0.35">
      <c r="H17152" s="711"/>
      <c r="I17152" s="711"/>
      <c r="J17152" s="711"/>
      <c r="K17152" s="711"/>
      <c r="L17152" s="711"/>
      <c r="Q17152" s="11"/>
      <c r="R17152" s="11"/>
      <c r="S17152" s="11"/>
      <c r="T17152" s="11"/>
    </row>
    <row r="17153" spans="8:20" x14ac:dyDescent="0.35">
      <c r="H17153" s="711"/>
      <c r="I17153" s="711"/>
      <c r="J17153" s="711"/>
      <c r="K17153" s="711"/>
      <c r="L17153" s="711"/>
      <c r="Q17153" s="11"/>
      <c r="R17153" s="11"/>
      <c r="S17153" s="11"/>
      <c r="T17153" s="11"/>
    </row>
    <row r="17154" spans="8:20" x14ac:dyDescent="0.35">
      <c r="H17154" s="711"/>
      <c r="I17154" s="711"/>
      <c r="J17154" s="711"/>
      <c r="K17154" s="711"/>
      <c r="L17154" s="711"/>
      <c r="Q17154" s="11"/>
      <c r="R17154" s="11"/>
      <c r="S17154" s="11"/>
      <c r="T17154" s="11"/>
    </row>
    <row r="17155" spans="8:20" x14ac:dyDescent="0.35">
      <c r="H17155" s="711"/>
      <c r="I17155" s="711"/>
      <c r="J17155" s="711"/>
      <c r="K17155" s="711"/>
      <c r="L17155" s="711"/>
      <c r="Q17155" s="11"/>
      <c r="R17155" s="11"/>
      <c r="S17155" s="11"/>
      <c r="T17155" s="11"/>
    </row>
    <row r="17156" spans="8:20" x14ac:dyDescent="0.35">
      <c r="H17156" s="711"/>
      <c r="I17156" s="711"/>
      <c r="J17156" s="711"/>
      <c r="K17156" s="711"/>
      <c r="L17156" s="711"/>
      <c r="Q17156" s="11"/>
      <c r="R17156" s="11"/>
      <c r="S17156" s="11"/>
      <c r="T17156" s="11"/>
    </row>
    <row r="17157" spans="8:20" x14ac:dyDescent="0.35">
      <c r="H17157" s="711"/>
      <c r="I17157" s="711"/>
      <c r="J17157" s="711"/>
      <c r="K17157" s="711"/>
      <c r="L17157" s="711"/>
      <c r="Q17157" s="11"/>
      <c r="R17157" s="11"/>
      <c r="S17157" s="11"/>
      <c r="T17157" s="11"/>
    </row>
    <row r="17158" spans="8:20" x14ac:dyDescent="0.35">
      <c r="H17158" s="711"/>
      <c r="I17158" s="711"/>
      <c r="J17158" s="711"/>
      <c r="K17158" s="711"/>
      <c r="L17158" s="711"/>
      <c r="Q17158" s="11"/>
      <c r="R17158" s="11"/>
      <c r="S17158" s="11"/>
      <c r="T17158" s="11"/>
    </row>
    <row r="17159" spans="8:20" x14ac:dyDescent="0.35">
      <c r="H17159" s="711"/>
      <c r="I17159" s="711"/>
      <c r="J17159" s="711"/>
      <c r="K17159" s="711"/>
      <c r="L17159" s="711"/>
      <c r="Q17159" s="11"/>
      <c r="R17159" s="11"/>
      <c r="S17159" s="11"/>
      <c r="T17159" s="11"/>
    </row>
    <row r="17160" spans="8:20" x14ac:dyDescent="0.35">
      <c r="H17160" s="711"/>
      <c r="I17160" s="711"/>
      <c r="J17160" s="711"/>
      <c r="K17160" s="711"/>
      <c r="L17160" s="711"/>
      <c r="Q17160" s="11"/>
      <c r="R17160" s="11"/>
      <c r="S17160" s="11"/>
      <c r="T17160" s="11"/>
    </row>
    <row r="17161" spans="8:20" x14ac:dyDescent="0.35">
      <c r="H17161" s="711"/>
      <c r="I17161" s="711"/>
      <c r="J17161" s="711"/>
      <c r="K17161" s="711"/>
      <c r="L17161" s="711"/>
      <c r="Q17161" s="11"/>
      <c r="R17161" s="11"/>
      <c r="S17161" s="11"/>
      <c r="T17161" s="11"/>
    </row>
    <row r="17162" spans="8:20" x14ac:dyDescent="0.35">
      <c r="H17162" s="711"/>
      <c r="I17162" s="711"/>
      <c r="J17162" s="711"/>
      <c r="K17162" s="711"/>
      <c r="L17162" s="711"/>
      <c r="Q17162" s="11"/>
      <c r="R17162" s="11"/>
      <c r="S17162" s="11"/>
      <c r="T17162" s="11"/>
    </row>
    <row r="17163" spans="8:20" x14ac:dyDescent="0.35">
      <c r="H17163" s="711"/>
      <c r="I17163" s="711"/>
      <c r="J17163" s="711"/>
      <c r="K17163" s="711"/>
      <c r="L17163" s="711"/>
      <c r="Q17163" s="11"/>
      <c r="R17163" s="11"/>
      <c r="S17163" s="11"/>
      <c r="T17163" s="11"/>
    </row>
    <row r="17164" spans="8:20" x14ac:dyDescent="0.35">
      <c r="H17164" s="711"/>
      <c r="I17164" s="711"/>
      <c r="J17164" s="711"/>
      <c r="K17164" s="711"/>
      <c r="L17164" s="711"/>
      <c r="Q17164" s="11"/>
      <c r="R17164" s="11"/>
      <c r="S17164" s="11"/>
      <c r="T17164" s="11"/>
    </row>
    <row r="17165" spans="8:20" x14ac:dyDescent="0.35">
      <c r="H17165" s="711"/>
      <c r="I17165" s="711"/>
      <c r="J17165" s="711"/>
      <c r="K17165" s="711"/>
      <c r="L17165" s="711"/>
      <c r="Q17165" s="11"/>
      <c r="R17165" s="11"/>
      <c r="S17165" s="11"/>
      <c r="T17165" s="11"/>
    </row>
    <row r="17166" spans="8:20" x14ac:dyDescent="0.35">
      <c r="H17166" s="711"/>
      <c r="I17166" s="711"/>
      <c r="J17166" s="711"/>
      <c r="K17166" s="711"/>
      <c r="L17166" s="711"/>
      <c r="Q17166" s="11"/>
      <c r="R17166" s="11"/>
      <c r="S17166" s="11"/>
      <c r="T17166" s="11"/>
    </row>
    <row r="17167" spans="8:20" x14ac:dyDescent="0.35">
      <c r="H17167" s="711"/>
      <c r="I17167" s="711"/>
      <c r="J17167" s="711"/>
      <c r="K17167" s="711"/>
      <c r="L17167" s="711"/>
      <c r="Q17167" s="11"/>
      <c r="R17167" s="11"/>
      <c r="S17167" s="11"/>
      <c r="T17167" s="11"/>
    </row>
    <row r="17168" spans="8:20" x14ac:dyDescent="0.35">
      <c r="H17168" s="711"/>
      <c r="I17168" s="711"/>
      <c r="J17168" s="711"/>
      <c r="K17168" s="711"/>
      <c r="L17168" s="711"/>
      <c r="Q17168" s="11"/>
      <c r="R17168" s="11"/>
      <c r="S17168" s="11"/>
      <c r="T17168" s="11"/>
    </row>
    <row r="17169" spans="8:20" x14ac:dyDescent="0.35">
      <c r="H17169" s="711"/>
      <c r="I17169" s="711"/>
      <c r="J17169" s="711"/>
      <c r="K17169" s="711"/>
      <c r="L17169" s="711"/>
      <c r="Q17169" s="11"/>
      <c r="R17169" s="11"/>
      <c r="S17169" s="11"/>
      <c r="T17169" s="11"/>
    </row>
    <row r="17170" spans="8:20" x14ac:dyDescent="0.35">
      <c r="H17170" s="711"/>
      <c r="I17170" s="711"/>
      <c r="J17170" s="711"/>
      <c r="K17170" s="711"/>
      <c r="L17170" s="711"/>
      <c r="Q17170" s="11"/>
      <c r="R17170" s="11"/>
      <c r="S17170" s="11"/>
      <c r="T17170" s="11"/>
    </row>
    <row r="17171" spans="8:20" x14ac:dyDescent="0.35">
      <c r="H17171" s="711"/>
      <c r="I17171" s="711"/>
      <c r="J17171" s="711"/>
      <c r="K17171" s="711"/>
      <c r="L17171" s="711"/>
      <c r="Q17171" s="11"/>
      <c r="R17171" s="11"/>
      <c r="S17171" s="11"/>
      <c r="T17171" s="11"/>
    </row>
    <row r="17172" spans="8:20" x14ac:dyDescent="0.35">
      <c r="H17172" s="711"/>
      <c r="I17172" s="711"/>
      <c r="J17172" s="711"/>
      <c r="K17172" s="711"/>
      <c r="L17172" s="711"/>
      <c r="Q17172" s="11"/>
      <c r="R17172" s="11"/>
      <c r="S17172" s="11"/>
      <c r="T17172" s="11"/>
    </row>
    <row r="17173" spans="8:20" x14ac:dyDescent="0.35">
      <c r="H17173" s="711"/>
      <c r="I17173" s="711"/>
      <c r="J17173" s="711"/>
      <c r="K17173" s="711"/>
      <c r="L17173" s="711"/>
      <c r="Q17173" s="11"/>
      <c r="R17173" s="11"/>
      <c r="S17173" s="11"/>
      <c r="T17173" s="11"/>
    </row>
    <row r="17174" spans="8:20" x14ac:dyDescent="0.35">
      <c r="H17174" s="711"/>
      <c r="I17174" s="711"/>
      <c r="J17174" s="711"/>
      <c r="K17174" s="711"/>
      <c r="L17174" s="711"/>
      <c r="Q17174" s="11"/>
      <c r="R17174" s="11"/>
      <c r="S17174" s="11"/>
      <c r="T17174" s="11"/>
    </row>
    <row r="17175" spans="8:20" x14ac:dyDescent="0.35">
      <c r="H17175" s="711"/>
      <c r="I17175" s="711"/>
      <c r="J17175" s="711"/>
      <c r="K17175" s="711"/>
      <c r="L17175" s="711"/>
      <c r="Q17175" s="11"/>
      <c r="R17175" s="11"/>
      <c r="S17175" s="11"/>
      <c r="T17175" s="11"/>
    </row>
    <row r="17176" spans="8:20" x14ac:dyDescent="0.35">
      <c r="H17176" s="711"/>
      <c r="I17176" s="711"/>
      <c r="J17176" s="711"/>
      <c r="K17176" s="711"/>
      <c r="L17176" s="711"/>
      <c r="Q17176" s="11"/>
      <c r="R17176" s="11"/>
      <c r="S17176" s="11"/>
      <c r="T17176" s="11"/>
    </row>
    <row r="17177" spans="8:20" x14ac:dyDescent="0.35">
      <c r="H17177" s="711"/>
      <c r="I17177" s="711"/>
      <c r="J17177" s="711"/>
      <c r="K17177" s="711"/>
      <c r="L17177" s="711"/>
      <c r="Q17177" s="11"/>
      <c r="R17177" s="11"/>
      <c r="S17177" s="11"/>
      <c r="T17177" s="11"/>
    </row>
    <row r="17178" spans="8:20" x14ac:dyDescent="0.35">
      <c r="H17178" s="711"/>
      <c r="I17178" s="711"/>
      <c r="J17178" s="711"/>
      <c r="K17178" s="711"/>
      <c r="L17178" s="711"/>
      <c r="Q17178" s="11"/>
      <c r="R17178" s="11"/>
      <c r="S17178" s="11"/>
      <c r="T17178" s="11"/>
    </row>
    <row r="17179" spans="8:20" x14ac:dyDescent="0.35">
      <c r="H17179" s="711"/>
      <c r="I17179" s="711"/>
      <c r="J17179" s="711"/>
      <c r="K17179" s="711"/>
      <c r="L17179" s="711"/>
      <c r="Q17179" s="11"/>
      <c r="R17179" s="11"/>
      <c r="S17179" s="11"/>
      <c r="T17179" s="11"/>
    </row>
    <row r="17180" spans="8:20" x14ac:dyDescent="0.35">
      <c r="H17180" s="711"/>
      <c r="I17180" s="711"/>
      <c r="J17180" s="711"/>
      <c r="K17180" s="711"/>
      <c r="L17180" s="711"/>
      <c r="Q17180" s="11"/>
      <c r="R17180" s="11"/>
      <c r="S17180" s="11"/>
      <c r="T17180" s="11"/>
    </row>
    <row r="17181" spans="8:20" x14ac:dyDescent="0.35">
      <c r="H17181" s="711"/>
      <c r="I17181" s="711"/>
      <c r="J17181" s="711"/>
      <c r="K17181" s="711"/>
      <c r="L17181" s="711"/>
      <c r="Q17181" s="11"/>
      <c r="R17181" s="11"/>
      <c r="S17181" s="11"/>
      <c r="T17181" s="11"/>
    </row>
    <row r="17182" spans="8:20" x14ac:dyDescent="0.35">
      <c r="H17182" s="711"/>
      <c r="I17182" s="711"/>
      <c r="J17182" s="711"/>
      <c r="K17182" s="711"/>
      <c r="L17182" s="711"/>
      <c r="Q17182" s="11"/>
      <c r="R17182" s="11"/>
      <c r="S17182" s="11"/>
      <c r="T17182" s="11"/>
    </row>
    <row r="17183" spans="8:20" x14ac:dyDescent="0.35">
      <c r="H17183" s="711"/>
      <c r="I17183" s="711"/>
      <c r="J17183" s="711"/>
      <c r="K17183" s="711"/>
      <c r="L17183" s="711"/>
      <c r="Q17183" s="11"/>
      <c r="R17183" s="11"/>
      <c r="S17183" s="11"/>
      <c r="T17183" s="11"/>
    </row>
    <row r="17184" spans="8:20" x14ac:dyDescent="0.35">
      <c r="H17184" s="711"/>
      <c r="I17184" s="711"/>
      <c r="J17184" s="711"/>
      <c r="K17184" s="711"/>
      <c r="L17184" s="711"/>
      <c r="Q17184" s="11"/>
      <c r="R17184" s="11"/>
      <c r="S17184" s="11"/>
      <c r="T17184" s="11"/>
    </row>
    <row r="17185" spans="8:20" x14ac:dyDescent="0.35">
      <c r="H17185" s="711"/>
      <c r="I17185" s="711"/>
      <c r="J17185" s="711"/>
      <c r="K17185" s="711"/>
      <c r="L17185" s="711"/>
      <c r="Q17185" s="11"/>
      <c r="R17185" s="11"/>
      <c r="S17185" s="11"/>
      <c r="T17185" s="11"/>
    </row>
    <row r="17186" spans="8:20" x14ac:dyDescent="0.35">
      <c r="H17186" s="711"/>
      <c r="I17186" s="711"/>
      <c r="J17186" s="711"/>
      <c r="K17186" s="711"/>
      <c r="L17186" s="711"/>
      <c r="Q17186" s="11"/>
      <c r="R17186" s="11"/>
      <c r="S17186" s="11"/>
      <c r="T17186" s="11"/>
    </row>
    <row r="17187" spans="8:20" x14ac:dyDescent="0.35">
      <c r="H17187" s="711"/>
      <c r="I17187" s="711"/>
      <c r="J17187" s="711"/>
      <c r="K17187" s="711"/>
      <c r="L17187" s="711"/>
      <c r="Q17187" s="11"/>
      <c r="R17187" s="11"/>
      <c r="S17187" s="11"/>
      <c r="T17187" s="11"/>
    </row>
    <row r="17188" spans="8:20" x14ac:dyDescent="0.35">
      <c r="H17188" s="711"/>
      <c r="I17188" s="711"/>
      <c r="J17188" s="711"/>
      <c r="K17188" s="711"/>
      <c r="L17188" s="711"/>
      <c r="Q17188" s="11"/>
      <c r="R17188" s="11"/>
      <c r="S17188" s="11"/>
      <c r="T17188" s="11"/>
    </row>
    <row r="17189" spans="8:20" x14ac:dyDescent="0.35">
      <c r="H17189" s="711"/>
      <c r="I17189" s="711"/>
      <c r="J17189" s="711"/>
      <c r="K17189" s="711"/>
      <c r="L17189" s="711"/>
      <c r="Q17189" s="11"/>
      <c r="R17189" s="11"/>
      <c r="S17189" s="11"/>
      <c r="T17189" s="11"/>
    </row>
    <row r="17190" spans="8:20" x14ac:dyDescent="0.35">
      <c r="H17190" s="711"/>
      <c r="I17190" s="711"/>
      <c r="J17190" s="711"/>
      <c r="K17190" s="711"/>
      <c r="L17190" s="711"/>
      <c r="Q17190" s="11"/>
      <c r="R17190" s="11"/>
      <c r="S17190" s="11"/>
      <c r="T17190" s="11"/>
    </row>
    <row r="17191" spans="8:20" x14ac:dyDescent="0.35">
      <c r="H17191" s="711"/>
      <c r="I17191" s="711"/>
      <c r="J17191" s="711"/>
      <c r="K17191" s="711"/>
      <c r="L17191" s="711"/>
      <c r="Q17191" s="11"/>
      <c r="R17191" s="11"/>
      <c r="S17191" s="11"/>
      <c r="T17191" s="11"/>
    </row>
    <row r="17192" spans="8:20" x14ac:dyDescent="0.35">
      <c r="H17192" s="711"/>
      <c r="I17192" s="711"/>
      <c r="J17192" s="711"/>
      <c r="K17192" s="711"/>
      <c r="L17192" s="711"/>
      <c r="Q17192" s="11"/>
      <c r="R17192" s="11"/>
      <c r="S17192" s="11"/>
      <c r="T17192" s="11"/>
    </row>
    <row r="17193" spans="8:20" x14ac:dyDescent="0.35">
      <c r="H17193" s="711"/>
      <c r="I17193" s="711"/>
      <c r="J17193" s="711"/>
      <c r="K17193" s="711"/>
      <c r="L17193" s="711"/>
      <c r="Q17193" s="11"/>
      <c r="R17193" s="11"/>
      <c r="S17193" s="11"/>
      <c r="T17193" s="11"/>
    </row>
    <row r="17194" spans="8:20" x14ac:dyDescent="0.35">
      <c r="H17194" s="711"/>
      <c r="I17194" s="711"/>
      <c r="J17194" s="711"/>
      <c r="K17194" s="711"/>
      <c r="L17194" s="711"/>
      <c r="Q17194" s="11"/>
      <c r="R17194" s="11"/>
      <c r="S17194" s="11"/>
      <c r="T17194" s="11"/>
    </row>
    <row r="17195" spans="8:20" x14ac:dyDescent="0.35">
      <c r="H17195" s="711"/>
      <c r="I17195" s="711"/>
      <c r="J17195" s="711"/>
      <c r="K17195" s="711"/>
      <c r="L17195" s="711"/>
      <c r="Q17195" s="11"/>
      <c r="R17195" s="11"/>
      <c r="S17195" s="11"/>
      <c r="T17195" s="11"/>
    </row>
    <row r="17196" spans="8:20" x14ac:dyDescent="0.35">
      <c r="H17196" s="711"/>
      <c r="I17196" s="711"/>
      <c r="J17196" s="711"/>
      <c r="K17196" s="711"/>
      <c r="L17196" s="711"/>
      <c r="Q17196" s="11"/>
      <c r="R17196" s="11"/>
      <c r="S17196" s="11"/>
      <c r="T17196" s="11"/>
    </row>
    <row r="17197" spans="8:20" x14ac:dyDescent="0.35">
      <c r="H17197" s="711"/>
      <c r="I17197" s="711"/>
      <c r="J17197" s="711"/>
      <c r="K17197" s="711"/>
      <c r="L17197" s="711"/>
      <c r="Q17197" s="11"/>
      <c r="R17197" s="11"/>
      <c r="S17197" s="11"/>
      <c r="T17197" s="11"/>
    </row>
    <row r="17198" spans="8:20" x14ac:dyDescent="0.35">
      <c r="H17198" s="711"/>
      <c r="I17198" s="711"/>
      <c r="J17198" s="711"/>
      <c r="K17198" s="711"/>
      <c r="L17198" s="711"/>
      <c r="Q17198" s="11"/>
      <c r="R17198" s="11"/>
      <c r="S17198" s="11"/>
      <c r="T17198" s="11"/>
    </row>
    <row r="17199" spans="8:20" x14ac:dyDescent="0.35">
      <c r="H17199" s="711"/>
      <c r="I17199" s="711"/>
      <c r="J17199" s="711"/>
      <c r="K17199" s="711"/>
      <c r="L17199" s="711"/>
      <c r="Q17199" s="11"/>
      <c r="R17199" s="11"/>
      <c r="S17199" s="11"/>
      <c r="T17199" s="11"/>
    </row>
    <row r="17200" spans="8:20" x14ac:dyDescent="0.35">
      <c r="H17200" s="711"/>
      <c r="I17200" s="711"/>
      <c r="J17200" s="711"/>
      <c r="K17200" s="711"/>
      <c r="L17200" s="711"/>
      <c r="Q17200" s="11"/>
      <c r="R17200" s="11"/>
      <c r="S17200" s="11"/>
      <c r="T17200" s="11"/>
    </row>
    <row r="17201" spans="8:20" x14ac:dyDescent="0.35">
      <c r="H17201" s="711"/>
      <c r="I17201" s="711"/>
      <c r="J17201" s="711"/>
      <c r="K17201" s="711"/>
      <c r="L17201" s="711"/>
      <c r="Q17201" s="11"/>
      <c r="R17201" s="11"/>
      <c r="S17201" s="11"/>
      <c r="T17201" s="11"/>
    </row>
    <row r="17202" spans="8:20" x14ac:dyDescent="0.35">
      <c r="H17202" s="711"/>
      <c r="I17202" s="711"/>
      <c r="J17202" s="711"/>
      <c r="K17202" s="711"/>
      <c r="L17202" s="711"/>
      <c r="Q17202" s="11"/>
      <c r="R17202" s="11"/>
      <c r="S17202" s="11"/>
      <c r="T17202" s="11"/>
    </row>
    <row r="17203" spans="8:20" x14ac:dyDescent="0.35">
      <c r="H17203" s="711"/>
      <c r="I17203" s="711"/>
      <c r="J17203" s="711"/>
      <c r="K17203" s="711"/>
      <c r="L17203" s="711"/>
      <c r="Q17203" s="11"/>
      <c r="R17203" s="11"/>
      <c r="S17203" s="11"/>
      <c r="T17203" s="11"/>
    </row>
    <row r="17204" spans="8:20" x14ac:dyDescent="0.35">
      <c r="H17204" s="711"/>
      <c r="I17204" s="711"/>
      <c r="J17204" s="711"/>
      <c r="K17204" s="711"/>
      <c r="L17204" s="711"/>
      <c r="Q17204" s="11"/>
      <c r="R17204" s="11"/>
      <c r="S17204" s="11"/>
      <c r="T17204" s="11"/>
    </row>
    <row r="17205" spans="8:20" x14ac:dyDescent="0.35">
      <c r="H17205" s="711"/>
      <c r="I17205" s="711"/>
      <c r="J17205" s="711"/>
      <c r="K17205" s="711"/>
      <c r="L17205" s="711"/>
      <c r="Q17205" s="11"/>
      <c r="R17205" s="11"/>
      <c r="S17205" s="11"/>
      <c r="T17205" s="11"/>
    </row>
    <row r="17206" spans="8:20" x14ac:dyDescent="0.35">
      <c r="H17206" s="711"/>
      <c r="I17206" s="711"/>
      <c r="J17206" s="711"/>
      <c r="K17206" s="711"/>
      <c r="L17206" s="711"/>
      <c r="Q17206" s="11"/>
      <c r="R17206" s="11"/>
      <c r="S17206" s="11"/>
      <c r="T17206" s="11"/>
    </row>
    <row r="17207" spans="8:20" x14ac:dyDescent="0.35">
      <c r="H17207" s="711"/>
      <c r="I17207" s="711"/>
      <c r="J17207" s="711"/>
      <c r="K17207" s="711"/>
      <c r="L17207" s="711"/>
      <c r="Q17207" s="11"/>
      <c r="R17207" s="11"/>
      <c r="S17207" s="11"/>
      <c r="T17207" s="11"/>
    </row>
    <row r="17208" spans="8:20" x14ac:dyDescent="0.35">
      <c r="H17208" s="711"/>
      <c r="I17208" s="711"/>
      <c r="J17208" s="711"/>
      <c r="K17208" s="711"/>
      <c r="L17208" s="711"/>
      <c r="Q17208" s="11"/>
      <c r="R17208" s="11"/>
      <c r="S17208" s="11"/>
      <c r="T17208" s="11"/>
    </row>
    <row r="17209" spans="8:20" x14ac:dyDescent="0.35">
      <c r="H17209" s="711"/>
      <c r="I17209" s="711"/>
      <c r="J17209" s="711"/>
      <c r="K17209" s="711"/>
      <c r="L17209" s="711"/>
      <c r="Q17209" s="11"/>
      <c r="R17209" s="11"/>
      <c r="S17209" s="11"/>
      <c r="T17209" s="11"/>
    </row>
    <row r="17210" spans="8:20" x14ac:dyDescent="0.35">
      <c r="H17210" s="711"/>
      <c r="I17210" s="711"/>
      <c r="J17210" s="711"/>
      <c r="K17210" s="711"/>
      <c r="L17210" s="711"/>
      <c r="Q17210" s="11"/>
      <c r="R17210" s="11"/>
      <c r="S17210" s="11"/>
      <c r="T17210" s="11"/>
    </row>
    <row r="17211" spans="8:20" x14ac:dyDescent="0.35">
      <c r="H17211" s="711"/>
      <c r="I17211" s="711"/>
      <c r="J17211" s="711"/>
      <c r="K17211" s="711"/>
      <c r="L17211" s="711"/>
      <c r="Q17211" s="11"/>
      <c r="R17211" s="11"/>
      <c r="S17211" s="11"/>
      <c r="T17211" s="11"/>
    </row>
    <row r="17212" spans="8:20" x14ac:dyDescent="0.35">
      <c r="H17212" s="711"/>
      <c r="I17212" s="711"/>
      <c r="J17212" s="711"/>
      <c r="K17212" s="711"/>
      <c r="L17212" s="711"/>
      <c r="Q17212" s="11"/>
      <c r="R17212" s="11"/>
      <c r="S17212" s="11"/>
      <c r="T17212" s="11"/>
    </row>
    <row r="17213" spans="8:20" x14ac:dyDescent="0.35">
      <c r="H17213" s="711"/>
      <c r="I17213" s="711"/>
      <c r="J17213" s="711"/>
      <c r="K17213" s="711"/>
      <c r="L17213" s="711"/>
      <c r="Q17213" s="11"/>
      <c r="R17213" s="11"/>
      <c r="S17213" s="11"/>
      <c r="T17213" s="11"/>
    </row>
    <row r="17214" spans="8:20" x14ac:dyDescent="0.35">
      <c r="H17214" s="711"/>
      <c r="I17214" s="711"/>
      <c r="J17214" s="711"/>
      <c r="K17214" s="711"/>
      <c r="L17214" s="711"/>
      <c r="Q17214" s="11"/>
      <c r="R17214" s="11"/>
      <c r="S17214" s="11"/>
      <c r="T17214" s="11"/>
    </row>
    <row r="17215" spans="8:20" x14ac:dyDescent="0.35">
      <c r="H17215" s="711"/>
      <c r="I17215" s="711"/>
      <c r="J17215" s="711"/>
      <c r="K17215" s="711"/>
      <c r="L17215" s="711"/>
      <c r="Q17215" s="11"/>
      <c r="R17215" s="11"/>
      <c r="S17215" s="11"/>
      <c r="T17215" s="11"/>
    </row>
    <row r="17216" spans="8:20" x14ac:dyDescent="0.35">
      <c r="H17216" s="711"/>
      <c r="I17216" s="711"/>
      <c r="J17216" s="711"/>
      <c r="K17216" s="711"/>
      <c r="L17216" s="711"/>
      <c r="Q17216" s="11"/>
      <c r="R17216" s="11"/>
      <c r="S17216" s="11"/>
      <c r="T17216" s="11"/>
    </row>
    <row r="17217" spans="8:20" x14ac:dyDescent="0.35">
      <c r="H17217" s="711"/>
      <c r="I17217" s="711"/>
      <c r="J17217" s="711"/>
      <c r="K17217" s="711"/>
      <c r="L17217" s="711"/>
      <c r="Q17217" s="11"/>
      <c r="R17217" s="11"/>
      <c r="S17217" s="11"/>
      <c r="T17217" s="11"/>
    </row>
    <row r="17218" spans="8:20" x14ac:dyDescent="0.35">
      <c r="H17218" s="711"/>
      <c r="I17218" s="711"/>
      <c r="J17218" s="711"/>
      <c r="K17218" s="711"/>
      <c r="L17218" s="711"/>
      <c r="Q17218" s="11"/>
      <c r="R17218" s="11"/>
      <c r="S17218" s="11"/>
      <c r="T17218" s="11"/>
    </row>
    <row r="17219" spans="8:20" x14ac:dyDescent="0.35">
      <c r="H17219" s="711"/>
      <c r="I17219" s="711"/>
      <c r="J17219" s="711"/>
      <c r="K17219" s="711"/>
      <c r="L17219" s="711"/>
      <c r="Q17219" s="11"/>
      <c r="R17219" s="11"/>
      <c r="S17219" s="11"/>
      <c r="T17219" s="11"/>
    </row>
    <row r="17220" spans="8:20" x14ac:dyDescent="0.35">
      <c r="H17220" s="711"/>
      <c r="I17220" s="711"/>
      <c r="J17220" s="711"/>
      <c r="K17220" s="711"/>
      <c r="L17220" s="711"/>
      <c r="Q17220" s="11"/>
      <c r="R17220" s="11"/>
      <c r="S17220" s="11"/>
      <c r="T17220" s="11"/>
    </row>
    <row r="17221" spans="8:20" x14ac:dyDescent="0.35">
      <c r="H17221" s="711"/>
      <c r="I17221" s="711"/>
      <c r="J17221" s="711"/>
      <c r="K17221" s="711"/>
      <c r="L17221" s="711"/>
      <c r="Q17221" s="11"/>
      <c r="R17221" s="11"/>
      <c r="S17221" s="11"/>
      <c r="T17221" s="11"/>
    </row>
    <row r="17222" spans="8:20" x14ac:dyDescent="0.35">
      <c r="H17222" s="711"/>
      <c r="I17222" s="711"/>
      <c r="J17222" s="711"/>
      <c r="K17222" s="711"/>
      <c r="L17222" s="711"/>
      <c r="Q17222" s="11"/>
      <c r="R17222" s="11"/>
      <c r="S17222" s="11"/>
      <c r="T17222" s="11"/>
    </row>
    <row r="17223" spans="8:20" x14ac:dyDescent="0.35">
      <c r="H17223" s="711"/>
      <c r="I17223" s="711"/>
      <c r="J17223" s="711"/>
      <c r="K17223" s="711"/>
      <c r="L17223" s="711"/>
      <c r="Q17223" s="11"/>
      <c r="R17223" s="11"/>
      <c r="S17223" s="11"/>
      <c r="T17223" s="11"/>
    </row>
    <row r="17224" spans="8:20" x14ac:dyDescent="0.35">
      <c r="H17224" s="711"/>
      <c r="I17224" s="711"/>
      <c r="J17224" s="711"/>
      <c r="K17224" s="711"/>
      <c r="L17224" s="711"/>
      <c r="Q17224" s="11"/>
      <c r="R17224" s="11"/>
      <c r="S17224" s="11"/>
      <c r="T17224" s="11"/>
    </row>
    <row r="17225" spans="8:20" x14ac:dyDescent="0.35">
      <c r="H17225" s="711"/>
      <c r="I17225" s="711"/>
      <c r="J17225" s="711"/>
      <c r="K17225" s="711"/>
      <c r="L17225" s="711"/>
      <c r="Q17225" s="11"/>
      <c r="R17225" s="11"/>
      <c r="S17225" s="11"/>
      <c r="T17225" s="11"/>
    </row>
    <row r="17226" spans="8:20" x14ac:dyDescent="0.35">
      <c r="H17226" s="711"/>
      <c r="I17226" s="711"/>
      <c r="J17226" s="711"/>
      <c r="K17226" s="711"/>
      <c r="L17226" s="711"/>
      <c r="Q17226" s="11"/>
      <c r="R17226" s="11"/>
      <c r="S17226" s="11"/>
      <c r="T17226" s="11"/>
    </row>
    <row r="17227" spans="8:20" x14ac:dyDescent="0.35">
      <c r="H17227" s="711"/>
      <c r="I17227" s="711"/>
      <c r="J17227" s="711"/>
      <c r="K17227" s="711"/>
      <c r="L17227" s="711"/>
      <c r="Q17227" s="11"/>
      <c r="R17227" s="11"/>
      <c r="S17227" s="11"/>
      <c r="T17227" s="11"/>
    </row>
    <row r="17228" spans="8:20" x14ac:dyDescent="0.35">
      <c r="H17228" s="711"/>
      <c r="I17228" s="711"/>
      <c r="J17228" s="711"/>
      <c r="K17228" s="711"/>
      <c r="L17228" s="711"/>
      <c r="Q17228" s="11"/>
      <c r="R17228" s="11"/>
      <c r="S17228" s="11"/>
      <c r="T17228" s="11"/>
    </row>
    <row r="17229" spans="8:20" x14ac:dyDescent="0.35">
      <c r="H17229" s="711"/>
      <c r="I17229" s="711"/>
      <c r="J17229" s="711"/>
      <c r="K17229" s="711"/>
      <c r="L17229" s="711"/>
      <c r="Q17229" s="11"/>
      <c r="R17229" s="11"/>
      <c r="S17229" s="11"/>
      <c r="T17229" s="11"/>
    </row>
    <row r="17230" spans="8:20" x14ac:dyDescent="0.35">
      <c r="H17230" s="711"/>
      <c r="I17230" s="711"/>
      <c r="J17230" s="711"/>
      <c r="K17230" s="711"/>
      <c r="L17230" s="711"/>
      <c r="Q17230" s="11"/>
      <c r="R17230" s="11"/>
      <c r="S17230" s="11"/>
      <c r="T17230" s="11"/>
    </row>
    <row r="17231" spans="8:20" x14ac:dyDescent="0.35">
      <c r="H17231" s="711"/>
      <c r="I17231" s="711"/>
      <c r="J17231" s="711"/>
      <c r="K17231" s="711"/>
      <c r="L17231" s="711"/>
      <c r="Q17231" s="11"/>
      <c r="R17231" s="11"/>
      <c r="S17231" s="11"/>
      <c r="T17231" s="11"/>
    </row>
    <row r="17232" spans="8:20" x14ac:dyDescent="0.35">
      <c r="H17232" s="711"/>
      <c r="I17232" s="711"/>
      <c r="J17232" s="711"/>
      <c r="K17232" s="711"/>
      <c r="L17232" s="711"/>
      <c r="Q17232" s="11"/>
      <c r="R17232" s="11"/>
      <c r="S17232" s="11"/>
      <c r="T17232" s="11"/>
    </row>
    <row r="17233" spans="8:20" x14ac:dyDescent="0.35">
      <c r="H17233" s="711"/>
      <c r="I17233" s="711"/>
      <c r="J17233" s="711"/>
      <c r="K17233" s="711"/>
      <c r="L17233" s="711"/>
      <c r="Q17233" s="11"/>
      <c r="R17233" s="11"/>
      <c r="S17233" s="11"/>
      <c r="T17233" s="11"/>
    </row>
    <row r="17234" spans="8:20" x14ac:dyDescent="0.35">
      <c r="H17234" s="711"/>
      <c r="I17234" s="711"/>
      <c r="J17234" s="711"/>
      <c r="K17234" s="711"/>
      <c r="L17234" s="711"/>
      <c r="Q17234" s="11"/>
      <c r="R17234" s="11"/>
      <c r="S17234" s="11"/>
      <c r="T17234" s="11"/>
    </row>
    <row r="17235" spans="8:20" x14ac:dyDescent="0.35">
      <c r="H17235" s="711"/>
      <c r="I17235" s="711"/>
      <c r="J17235" s="711"/>
      <c r="K17235" s="711"/>
      <c r="L17235" s="711"/>
      <c r="Q17235" s="11"/>
      <c r="R17235" s="11"/>
      <c r="S17235" s="11"/>
      <c r="T17235" s="11"/>
    </row>
    <row r="17236" spans="8:20" x14ac:dyDescent="0.35">
      <c r="H17236" s="711"/>
      <c r="I17236" s="711"/>
      <c r="J17236" s="711"/>
      <c r="K17236" s="711"/>
      <c r="L17236" s="711"/>
      <c r="Q17236" s="11"/>
      <c r="R17236" s="11"/>
      <c r="S17236" s="11"/>
      <c r="T17236" s="11"/>
    </row>
    <row r="17237" spans="8:20" x14ac:dyDescent="0.35">
      <c r="H17237" s="711"/>
      <c r="I17237" s="711"/>
      <c r="J17237" s="711"/>
      <c r="K17237" s="711"/>
      <c r="L17237" s="711"/>
      <c r="Q17237" s="11"/>
      <c r="R17237" s="11"/>
      <c r="S17237" s="11"/>
      <c r="T17237" s="11"/>
    </row>
    <row r="17238" spans="8:20" x14ac:dyDescent="0.35">
      <c r="H17238" s="711"/>
      <c r="I17238" s="711"/>
      <c r="J17238" s="711"/>
      <c r="K17238" s="711"/>
      <c r="L17238" s="711"/>
      <c r="Q17238" s="11"/>
      <c r="R17238" s="11"/>
      <c r="S17238" s="11"/>
      <c r="T17238" s="11"/>
    </row>
    <row r="17239" spans="8:20" x14ac:dyDescent="0.35">
      <c r="H17239" s="711"/>
      <c r="I17239" s="711"/>
      <c r="J17239" s="711"/>
      <c r="K17239" s="711"/>
      <c r="L17239" s="711"/>
      <c r="Q17239" s="11"/>
      <c r="R17239" s="11"/>
      <c r="S17239" s="11"/>
      <c r="T17239" s="11"/>
    </row>
    <row r="17240" spans="8:20" x14ac:dyDescent="0.35">
      <c r="H17240" s="711"/>
      <c r="I17240" s="711"/>
      <c r="J17240" s="711"/>
      <c r="K17240" s="711"/>
      <c r="L17240" s="711"/>
      <c r="Q17240" s="11"/>
      <c r="R17240" s="11"/>
      <c r="S17240" s="11"/>
      <c r="T17240" s="11"/>
    </row>
    <row r="17241" spans="8:20" x14ac:dyDescent="0.35">
      <c r="H17241" s="711"/>
      <c r="I17241" s="711"/>
      <c r="J17241" s="711"/>
      <c r="K17241" s="711"/>
      <c r="L17241" s="711"/>
      <c r="Q17241" s="11"/>
      <c r="R17241" s="11"/>
      <c r="S17241" s="11"/>
      <c r="T17241" s="11"/>
    </row>
    <row r="17242" spans="8:20" x14ac:dyDescent="0.35">
      <c r="H17242" s="711"/>
      <c r="I17242" s="711"/>
      <c r="J17242" s="711"/>
      <c r="K17242" s="711"/>
      <c r="L17242" s="711"/>
      <c r="Q17242" s="11"/>
      <c r="R17242" s="11"/>
      <c r="S17242" s="11"/>
      <c r="T17242" s="11"/>
    </row>
    <row r="17243" spans="8:20" x14ac:dyDescent="0.35">
      <c r="H17243" s="711"/>
      <c r="I17243" s="711"/>
      <c r="J17243" s="711"/>
      <c r="K17243" s="711"/>
      <c r="L17243" s="711"/>
      <c r="Q17243" s="11"/>
      <c r="R17243" s="11"/>
      <c r="S17243" s="11"/>
      <c r="T17243" s="11"/>
    </row>
    <row r="17244" spans="8:20" x14ac:dyDescent="0.35">
      <c r="H17244" s="711"/>
      <c r="I17244" s="711"/>
      <c r="J17244" s="711"/>
      <c r="K17244" s="711"/>
      <c r="L17244" s="711"/>
      <c r="Q17244" s="11"/>
      <c r="R17244" s="11"/>
      <c r="S17244" s="11"/>
      <c r="T17244" s="11"/>
    </row>
    <row r="17245" spans="8:20" x14ac:dyDescent="0.35">
      <c r="H17245" s="711"/>
      <c r="I17245" s="711"/>
      <c r="J17245" s="711"/>
      <c r="K17245" s="711"/>
      <c r="L17245" s="711"/>
      <c r="Q17245" s="11"/>
      <c r="R17245" s="11"/>
      <c r="S17245" s="11"/>
      <c r="T17245" s="11"/>
    </row>
    <row r="17246" spans="8:20" x14ac:dyDescent="0.35">
      <c r="H17246" s="711"/>
      <c r="I17246" s="711"/>
      <c r="J17246" s="711"/>
      <c r="K17246" s="711"/>
      <c r="L17246" s="711"/>
      <c r="Q17246" s="11"/>
      <c r="R17246" s="11"/>
      <c r="S17246" s="11"/>
      <c r="T17246" s="11"/>
    </row>
    <row r="17247" spans="8:20" x14ac:dyDescent="0.35">
      <c r="H17247" s="711"/>
      <c r="I17247" s="711"/>
      <c r="J17247" s="711"/>
      <c r="K17247" s="711"/>
      <c r="L17247" s="711"/>
      <c r="Q17247" s="11"/>
      <c r="R17247" s="11"/>
      <c r="S17247" s="11"/>
      <c r="T17247" s="11"/>
    </row>
    <row r="17248" spans="8:20" x14ac:dyDescent="0.35">
      <c r="H17248" s="711"/>
      <c r="I17248" s="711"/>
      <c r="J17248" s="711"/>
      <c r="K17248" s="711"/>
      <c r="L17248" s="711"/>
      <c r="Q17248" s="11"/>
      <c r="R17248" s="11"/>
      <c r="S17248" s="11"/>
      <c r="T17248" s="11"/>
    </row>
    <row r="17249" spans="8:20" x14ac:dyDescent="0.35">
      <c r="H17249" s="711"/>
      <c r="I17249" s="711"/>
      <c r="J17249" s="711"/>
      <c r="K17249" s="711"/>
      <c r="L17249" s="711"/>
      <c r="Q17249" s="11"/>
      <c r="R17249" s="11"/>
      <c r="S17249" s="11"/>
      <c r="T17249" s="11"/>
    </row>
    <row r="17250" spans="8:20" x14ac:dyDescent="0.35">
      <c r="H17250" s="711"/>
      <c r="I17250" s="711"/>
      <c r="J17250" s="711"/>
      <c r="K17250" s="711"/>
      <c r="L17250" s="711"/>
      <c r="Q17250" s="11"/>
      <c r="R17250" s="11"/>
      <c r="S17250" s="11"/>
      <c r="T17250" s="11"/>
    </row>
    <row r="17251" spans="8:20" x14ac:dyDescent="0.35">
      <c r="H17251" s="711"/>
      <c r="I17251" s="711"/>
      <c r="J17251" s="711"/>
      <c r="K17251" s="711"/>
      <c r="L17251" s="711"/>
      <c r="Q17251" s="11"/>
      <c r="R17251" s="11"/>
      <c r="S17251" s="11"/>
      <c r="T17251" s="11"/>
    </row>
    <row r="17252" spans="8:20" x14ac:dyDescent="0.35">
      <c r="H17252" s="711"/>
      <c r="I17252" s="711"/>
      <c r="J17252" s="711"/>
      <c r="K17252" s="711"/>
      <c r="L17252" s="711"/>
      <c r="Q17252" s="11"/>
      <c r="R17252" s="11"/>
      <c r="S17252" s="11"/>
      <c r="T17252" s="11"/>
    </row>
    <row r="17253" spans="8:20" x14ac:dyDescent="0.35">
      <c r="H17253" s="711"/>
      <c r="I17253" s="711"/>
      <c r="J17253" s="711"/>
      <c r="K17253" s="711"/>
      <c r="L17253" s="711"/>
      <c r="Q17253" s="11"/>
      <c r="R17253" s="11"/>
      <c r="S17253" s="11"/>
      <c r="T17253" s="11"/>
    </row>
    <row r="17254" spans="8:20" x14ac:dyDescent="0.35">
      <c r="H17254" s="711"/>
      <c r="I17254" s="711"/>
      <c r="J17254" s="711"/>
      <c r="K17254" s="711"/>
      <c r="L17254" s="711"/>
      <c r="Q17254" s="11"/>
      <c r="R17254" s="11"/>
      <c r="S17254" s="11"/>
      <c r="T17254" s="11"/>
    </row>
    <row r="17255" spans="8:20" x14ac:dyDescent="0.35">
      <c r="H17255" s="711"/>
      <c r="I17255" s="711"/>
      <c r="J17255" s="711"/>
      <c r="K17255" s="711"/>
      <c r="L17255" s="711"/>
      <c r="Q17255" s="11"/>
      <c r="R17255" s="11"/>
      <c r="S17255" s="11"/>
      <c r="T17255" s="11"/>
    </row>
    <row r="17256" spans="8:20" x14ac:dyDescent="0.35">
      <c r="H17256" s="711"/>
      <c r="I17256" s="711"/>
      <c r="J17256" s="711"/>
      <c r="K17256" s="711"/>
      <c r="L17256" s="711"/>
      <c r="Q17256" s="11"/>
      <c r="R17256" s="11"/>
      <c r="S17256" s="11"/>
      <c r="T17256" s="11"/>
    </row>
    <row r="17257" spans="8:20" x14ac:dyDescent="0.35">
      <c r="H17257" s="711"/>
      <c r="I17257" s="711"/>
      <c r="J17257" s="711"/>
      <c r="K17257" s="711"/>
      <c r="L17257" s="711"/>
      <c r="Q17257" s="11"/>
      <c r="R17257" s="11"/>
      <c r="S17257" s="11"/>
      <c r="T17257" s="11"/>
    </row>
    <row r="17258" spans="8:20" x14ac:dyDescent="0.35">
      <c r="H17258" s="711"/>
      <c r="I17258" s="711"/>
      <c r="J17258" s="711"/>
      <c r="K17258" s="711"/>
      <c r="L17258" s="711"/>
      <c r="Q17258" s="11"/>
      <c r="R17258" s="11"/>
      <c r="S17258" s="11"/>
      <c r="T17258" s="11"/>
    </row>
    <row r="17259" spans="8:20" x14ac:dyDescent="0.35">
      <c r="H17259" s="711"/>
      <c r="I17259" s="711"/>
      <c r="J17259" s="711"/>
      <c r="K17259" s="711"/>
      <c r="L17259" s="711"/>
      <c r="Q17259" s="11"/>
      <c r="R17259" s="11"/>
      <c r="S17259" s="11"/>
      <c r="T17259" s="11"/>
    </row>
    <row r="17260" spans="8:20" x14ac:dyDescent="0.35">
      <c r="H17260" s="711"/>
      <c r="I17260" s="711"/>
      <c r="J17260" s="711"/>
      <c r="K17260" s="711"/>
      <c r="L17260" s="711"/>
      <c r="Q17260" s="11"/>
      <c r="R17260" s="11"/>
      <c r="S17260" s="11"/>
      <c r="T17260" s="11"/>
    </row>
    <row r="17261" spans="8:20" x14ac:dyDescent="0.35">
      <c r="H17261" s="711"/>
      <c r="I17261" s="711"/>
      <c r="J17261" s="711"/>
      <c r="K17261" s="711"/>
      <c r="L17261" s="711"/>
      <c r="Q17261" s="11"/>
      <c r="R17261" s="11"/>
      <c r="S17261" s="11"/>
      <c r="T17261" s="11"/>
    </row>
    <row r="17262" spans="8:20" x14ac:dyDescent="0.35">
      <c r="H17262" s="711"/>
      <c r="I17262" s="711"/>
      <c r="J17262" s="711"/>
      <c r="K17262" s="711"/>
      <c r="L17262" s="711"/>
      <c r="Q17262" s="11"/>
      <c r="R17262" s="11"/>
      <c r="S17262" s="11"/>
      <c r="T17262" s="11"/>
    </row>
    <row r="17263" spans="8:20" x14ac:dyDescent="0.35">
      <c r="H17263" s="711"/>
      <c r="I17263" s="711"/>
      <c r="J17263" s="711"/>
      <c r="K17263" s="711"/>
      <c r="L17263" s="711"/>
      <c r="Q17263" s="11"/>
      <c r="R17263" s="11"/>
      <c r="S17263" s="11"/>
      <c r="T17263" s="11"/>
    </row>
    <row r="17264" spans="8:20" x14ac:dyDescent="0.35">
      <c r="H17264" s="711"/>
      <c r="I17264" s="711"/>
      <c r="J17264" s="711"/>
      <c r="K17264" s="711"/>
      <c r="L17264" s="711"/>
      <c r="Q17264" s="11"/>
      <c r="R17264" s="11"/>
      <c r="S17264" s="11"/>
      <c r="T17264" s="11"/>
    </row>
    <row r="17265" spans="8:20" x14ac:dyDescent="0.35">
      <c r="H17265" s="711"/>
      <c r="I17265" s="711"/>
      <c r="J17265" s="711"/>
      <c r="K17265" s="711"/>
      <c r="L17265" s="711"/>
      <c r="Q17265" s="11"/>
      <c r="R17265" s="11"/>
      <c r="S17265" s="11"/>
      <c r="T17265" s="11"/>
    </row>
    <row r="17266" spans="8:20" x14ac:dyDescent="0.35">
      <c r="H17266" s="711"/>
      <c r="I17266" s="711"/>
      <c r="J17266" s="711"/>
      <c r="K17266" s="711"/>
      <c r="L17266" s="711"/>
      <c r="Q17266" s="11"/>
      <c r="R17266" s="11"/>
      <c r="S17266" s="11"/>
      <c r="T17266" s="11"/>
    </row>
    <row r="17267" spans="8:20" x14ac:dyDescent="0.35">
      <c r="H17267" s="711"/>
      <c r="I17267" s="711"/>
      <c r="J17267" s="711"/>
      <c r="K17267" s="711"/>
      <c r="L17267" s="711"/>
      <c r="Q17267" s="11"/>
      <c r="R17267" s="11"/>
      <c r="S17267" s="11"/>
      <c r="T17267" s="11"/>
    </row>
    <row r="17268" spans="8:20" x14ac:dyDescent="0.35">
      <c r="H17268" s="711"/>
      <c r="I17268" s="711"/>
      <c r="J17268" s="711"/>
      <c r="K17268" s="711"/>
      <c r="L17268" s="711"/>
      <c r="Q17268" s="11"/>
      <c r="R17268" s="11"/>
      <c r="S17268" s="11"/>
      <c r="T17268" s="11"/>
    </row>
    <row r="17269" spans="8:20" x14ac:dyDescent="0.35">
      <c r="H17269" s="711"/>
      <c r="I17269" s="711"/>
      <c r="J17269" s="711"/>
      <c r="K17269" s="711"/>
      <c r="L17269" s="711"/>
      <c r="Q17269" s="11"/>
      <c r="R17269" s="11"/>
      <c r="S17269" s="11"/>
      <c r="T17269" s="11"/>
    </row>
    <row r="17270" spans="8:20" x14ac:dyDescent="0.35">
      <c r="H17270" s="711"/>
      <c r="I17270" s="711"/>
      <c r="J17270" s="711"/>
      <c r="K17270" s="711"/>
      <c r="L17270" s="711"/>
      <c r="Q17270" s="11"/>
      <c r="R17270" s="11"/>
      <c r="S17270" s="11"/>
      <c r="T17270" s="11"/>
    </row>
    <row r="17271" spans="8:20" x14ac:dyDescent="0.35">
      <c r="H17271" s="711"/>
      <c r="I17271" s="711"/>
      <c r="J17271" s="711"/>
      <c r="K17271" s="711"/>
      <c r="L17271" s="711"/>
      <c r="Q17271" s="11"/>
      <c r="R17271" s="11"/>
      <c r="S17271" s="11"/>
      <c r="T17271" s="11"/>
    </row>
    <row r="17272" spans="8:20" x14ac:dyDescent="0.35">
      <c r="H17272" s="711"/>
      <c r="I17272" s="711"/>
      <c r="J17272" s="711"/>
      <c r="K17272" s="711"/>
      <c r="L17272" s="711"/>
      <c r="Q17272" s="11"/>
      <c r="R17272" s="11"/>
      <c r="S17272" s="11"/>
      <c r="T17272" s="11"/>
    </row>
    <row r="17273" spans="8:20" x14ac:dyDescent="0.35">
      <c r="H17273" s="711"/>
      <c r="I17273" s="711"/>
      <c r="J17273" s="711"/>
      <c r="K17273" s="711"/>
      <c r="L17273" s="711"/>
      <c r="Q17273" s="11"/>
      <c r="R17273" s="11"/>
      <c r="S17273" s="11"/>
      <c r="T17273" s="11"/>
    </row>
    <row r="17274" spans="8:20" x14ac:dyDescent="0.35">
      <c r="H17274" s="711"/>
      <c r="I17274" s="711"/>
      <c r="J17274" s="711"/>
      <c r="K17274" s="711"/>
      <c r="L17274" s="711"/>
      <c r="Q17274" s="11"/>
      <c r="R17274" s="11"/>
      <c r="S17274" s="11"/>
      <c r="T17274" s="11"/>
    </row>
    <row r="17275" spans="8:20" x14ac:dyDescent="0.35">
      <c r="H17275" s="711"/>
      <c r="I17275" s="711"/>
      <c r="J17275" s="711"/>
      <c r="K17275" s="711"/>
      <c r="L17275" s="711"/>
      <c r="Q17275" s="11"/>
      <c r="R17275" s="11"/>
      <c r="S17275" s="11"/>
      <c r="T17275" s="11"/>
    </row>
    <row r="17276" spans="8:20" x14ac:dyDescent="0.35">
      <c r="H17276" s="711"/>
      <c r="I17276" s="711"/>
      <c r="J17276" s="711"/>
      <c r="K17276" s="711"/>
      <c r="L17276" s="711"/>
      <c r="Q17276" s="11"/>
      <c r="R17276" s="11"/>
      <c r="S17276" s="11"/>
      <c r="T17276" s="11"/>
    </row>
    <row r="17277" spans="8:20" x14ac:dyDescent="0.35">
      <c r="H17277" s="711"/>
      <c r="I17277" s="711"/>
      <c r="J17277" s="711"/>
      <c r="K17277" s="711"/>
      <c r="L17277" s="711"/>
      <c r="Q17277" s="11"/>
      <c r="R17277" s="11"/>
      <c r="S17277" s="11"/>
      <c r="T17277" s="11"/>
    </row>
    <row r="17278" spans="8:20" x14ac:dyDescent="0.35">
      <c r="H17278" s="711"/>
      <c r="I17278" s="711"/>
      <c r="J17278" s="711"/>
      <c r="K17278" s="711"/>
      <c r="L17278" s="711"/>
      <c r="Q17278" s="11"/>
      <c r="R17278" s="11"/>
      <c r="S17278" s="11"/>
      <c r="T17278" s="11"/>
    </row>
    <row r="17279" spans="8:20" x14ac:dyDescent="0.35">
      <c r="H17279" s="711"/>
      <c r="I17279" s="711"/>
      <c r="J17279" s="711"/>
      <c r="K17279" s="711"/>
      <c r="L17279" s="711"/>
      <c r="Q17279" s="11"/>
      <c r="R17279" s="11"/>
      <c r="S17279" s="11"/>
      <c r="T17279" s="11"/>
    </row>
    <row r="17280" spans="8:20" x14ac:dyDescent="0.35">
      <c r="H17280" s="711"/>
      <c r="I17280" s="711"/>
      <c r="J17280" s="711"/>
      <c r="K17280" s="711"/>
      <c r="L17280" s="711"/>
      <c r="Q17280" s="11"/>
      <c r="R17280" s="11"/>
      <c r="S17280" s="11"/>
      <c r="T17280" s="11"/>
    </row>
    <row r="17281" spans="8:20" x14ac:dyDescent="0.35">
      <c r="H17281" s="711"/>
      <c r="I17281" s="711"/>
      <c r="J17281" s="711"/>
      <c r="K17281" s="711"/>
      <c r="L17281" s="711"/>
      <c r="Q17281" s="11"/>
      <c r="R17281" s="11"/>
      <c r="S17281" s="11"/>
      <c r="T17281" s="11"/>
    </row>
    <row r="17282" spans="8:20" x14ac:dyDescent="0.35">
      <c r="H17282" s="711"/>
      <c r="I17282" s="711"/>
      <c r="J17282" s="711"/>
      <c r="K17282" s="711"/>
      <c r="L17282" s="711"/>
      <c r="Q17282" s="11"/>
      <c r="R17282" s="11"/>
      <c r="S17282" s="11"/>
      <c r="T17282" s="11"/>
    </row>
    <row r="17283" spans="8:20" x14ac:dyDescent="0.35">
      <c r="H17283" s="711"/>
      <c r="I17283" s="711"/>
      <c r="J17283" s="711"/>
      <c r="K17283" s="711"/>
      <c r="L17283" s="711"/>
      <c r="Q17283" s="11"/>
      <c r="R17283" s="11"/>
      <c r="S17283" s="11"/>
      <c r="T17283" s="11"/>
    </row>
    <row r="17284" spans="8:20" x14ac:dyDescent="0.35">
      <c r="H17284" s="711"/>
      <c r="I17284" s="711"/>
      <c r="J17284" s="711"/>
      <c r="K17284" s="711"/>
      <c r="L17284" s="711"/>
      <c r="Q17284" s="11"/>
      <c r="R17284" s="11"/>
      <c r="S17284" s="11"/>
      <c r="T17284" s="11"/>
    </row>
    <row r="17285" spans="8:20" x14ac:dyDescent="0.35">
      <c r="H17285" s="711"/>
      <c r="I17285" s="711"/>
      <c r="J17285" s="711"/>
      <c r="K17285" s="711"/>
      <c r="L17285" s="711"/>
      <c r="Q17285" s="11"/>
      <c r="R17285" s="11"/>
      <c r="S17285" s="11"/>
      <c r="T17285" s="11"/>
    </row>
    <row r="17286" spans="8:20" x14ac:dyDescent="0.35">
      <c r="H17286" s="711"/>
      <c r="I17286" s="711"/>
      <c r="J17286" s="711"/>
      <c r="K17286" s="711"/>
      <c r="L17286" s="711"/>
      <c r="Q17286" s="11"/>
      <c r="R17286" s="11"/>
      <c r="S17286" s="11"/>
      <c r="T17286" s="11"/>
    </row>
    <row r="17287" spans="8:20" x14ac:dyDescent="0.35">
      <c r="H17287" s="711"/>
      <c r="I17287" s="711"/>
      <c r="J17287" s="711"/>
      <c r="K17287" s="711"/>
      <c r="L17287" s="711"/>
      <c r="Q17287" s="11"/>
      <c r="R17287" s="11"/>
      <c r="S17287" s="11"/>
      <c r="T17287" s="11"/>
    </row>
    <row r="17288" spans="8:20" x14ac:dyDescent="0.35">
      <c r="H17288" s="711"/>
      <c r="I17288" s="711"/>
      <c r="J17288" s="711"/>
      <c r="K17288" s="711"/>
      <c r="L17288" s="711"/>
      <c r="Q17288" s="11"/>
      <c r="R17288" s="11"/>
      <c r="S17288" s="11"/>
      <c r="T17288" s="11"/>
    </row>
    <row r="17289" spans="8:20" x14ac:dyDescent="0.35">
      <c r="H17289" s="711"/>
      <c r="I17289" s="711"/>
      <c r="J17289" s="711"/>
      <c r="K17289" s="711"/>
      <c r="L17289" s="711"/>
      <c r="Q17289" s="11"/>
      <c r="R17289" s="11"/>
      <c r="S17289" s="11"/>
      <c r="T17289" s="11"/>
    </row>
    <row r="17290" spans="8:20" x14ac:dyDescent="0.35">
      <c r="H17290" s="711"/>
      <c r="I17290" s="711"/>
      <c r="J17290" s="711"/>
      <c r="K17290" s="711"/>
      <c r="L17290" s="711"/>
      <c r="Q17290" s="11"/>
      <c r="R17290" s="11"/>
      <c r="S17290" s="11"/>
      <c r="T17290" s="11"/>
    </row>
    <row r="17291" spans="8:20" x14ac:dyDescent="0.35">
      <c r="H17291" s="711"/>
      <c r="I17291" s="711"/>
      <c r="J17291" s="711"/>
      <c r="K17291" s="711"/>
      <c r="L17291" s="711"/>
      <c r="Q17291" s="11"/>
      <c r="R17291" s="11"/>
      <c r="S17291" s="11"/>
      <c r="T17291" s="11"/>
    </row>
    <row r="17292" spans="8:20" x14ac:dyDescent="0.35">
      <c r="H17292" s="711"/>
      <c r="I17292" s="711"/>
      <c r="J17292" s="711"/>
      <c r="K17292" s="711"/>
      <c r="L17292" s="711"/>
      <c r="Q17292" s="11"/>
      <c r="R17292" s="11"/>
      <c r="S17292" s="11"/>
      <c r="T17292" s="11"/>
    </row>
    <row r="17293" spans="8:20" x14ac:dyDescent="0.35">
      <c r="H17293" s="711"/>
      <c r="I17293" s="711"/>
      <c r="J17293" s="711"/>
      <c r="K17293" s="711"/>
      <c r="L17293" s="711"/>
      <c r="Q17293" s="11"/>
      <c r="R17293" s="11"/>
      <c r="S17293" s="11"/>
      <c r="T17293" s="11"/>
    </row>
    <row r="17294" spans="8:20" x14ac:dyDescent="0.35">
      <c r="H17294" s="711"/>
      <c r="I17294" s="711"/>
      <c r="J17294" s="711"/>
      <c r="K17294" s="711"/>
      <c r="L17294" s="711"/>
      <c r="Q17294" s="11"/>
      <c r="R17294" s="11"/>
      <c r="S17294" s="11"/>
      <c r="T17294" s="11"/>
    </row>
    <row r="17295" spans="8:20" x14ac:dyDescent="0.35">
      <c r="H17295" s="711"/>
      <c r="I17295" s="711"/>
      <c r="J17295" s="711"/>
      <c r="K17295" s="711"/>
      <c r="L17295" s="711"/>
      <c r="Q17295" s="11"/>
      <c r="R17295" s="11"/>
      <c r="S17295" s="11"/>
      <c r="T17295" s="11"/>
    </row>
    <row r="17296" spans="8:20" x14ac:dyDescent="0.35">
      <c r="H17296" s="711"/>
      <c r="I17296" s="711"/>
      <c r="J17296" s="711"/>
      <c r="K17296" s="711"/>
      <c r="L17296" s="711"/>
      <c r="Q17296" s="11"/>
      <c r="R17296" s="11"/>
      <c r="S17296" s="11"/>
      <c r="T17296" s="11"/>
    </row>
    <row r="17297" spans="8:20" x14ac:dyDescent="0.35">
      <c r="H17297" s="711"/>
      <c r="I17297" s="711"/>
      <c r="J17297" s="711"/>
      <c r="K17297" s="711"/>
      <c r="L17297" s="711"/>
      <c r="Q17297" s="11"/>
      <c r="R17297" s="11"/>
      <c r="S17297" s="11"/>
      <c r="T17297" s="11"/>
    </row>
    <row r="17298" spans="8:20" x14ac:dyDescent="0.35">
      <c r="H17298" s="711"/>
      <c r="I17298" s="711"/>
      <c r="J17298" s="711"/>
      <c r="K17298" s="711"/>
      <c r="L17298" s="711"/>
      <c r="Q17298" s="11"/>
      <c r="R17298" s="11"/>
      <c r="S17298" s="11"/>
      <c r="T17298" s="11"/>
    </row>
    <row r="17299" spans="8:20" x14ac:dyDescent="0.35">
      <c r="H17299" s="711"/>
      <c r="I17299" s="711"/>
      <c r="J17299" s="711"/>
      <c r="K17299" s="711"/>
      <c r="L17299" s="711"/>
      <c r="Q17299" s="11"/>
      <c r="R17299" s="11"/>
      <c r="S17299" s="11"/>
      <c r="T17299" s="11"/>
    </row>
    <row r="17300" spans="8:20" x14ac:dyDescent="0.35">
      <c r="H17300" s="711"/>
      <c r="I17300" s="711"/>
      <c r="J17300" s="711"/>
      <c r="K17300" s="711"/>
      <c r="L17300" s="711"/>
      <c r="Q17300" s="11"/>
      <c r="R17300" s="11"/>
      <c r="S17300" s="11"/>
      <c r="T17300" s="11"/>
    </row>
    <row r="17301" spans="8:20" x14ac:dyDescent="0.35">
      <c r="H17301" s="711"/>
      <c r="I17301" s="711"/>
      <c r="J17301" s="711"/>
      <c r="K17301" s="711"/>
      <c r="L17301" s="711"/>
      <c r="Q17301" s="11"/>
      <c r="R17301" s="11"/>
      <c r="S17301" s="11"/>
      <c r="T17301" s="11"/>
    </row>
    <row r="17302" spans="8:20" x14ac:dyDescent="0.35">
      <c r="H17302" s="711"/>
      <c r="I17302" s="711"/>
      <c r="J17302" s="711"/>
      <c r="K17302" s="711"/>
      <c r="L17302" s="711"/>
      <c r="Q17302" s="11"/>
      <c r="R17302" s="11"/>
      <c r="S17302" s="11"/>
      <c r="T17302" s="11"/>
    </row>
    <row r="17303" spans="8:20" x14ac:dyDescent="0.35">
      <c r="H17303" s="711"/>
      <c r="I17303" s="711"/>
      <c r="J17303" s="711"/>
      <c r="K17303" s="711"/>
      <c r="L17303" s="711"/>
      <c r="Q17303" s="11"/>
      <c r="R17303" s="11"/>
      <c r="S17303" s="11"/>
      <c r="T17303" s="11"/>
    </row>
    <row r="17304" spans="8:20" x14ac:dyDescent="0.35">
      <c r="H17304" s="711"/>
      <c r="I17304" s="711"/>
      <c r="J17304" s="711"/>
      <c r="K17304" s="711"/>
      <c r="L17304" s="711"/>
      <c r="Q17304" s="11"/>
      <c r="R17304" s="11"/>
      <c r="S17304" s="11"/>
      <c r="T17304" s="11"/>
    </row>
    <row r="17305" spans="8:20" x14ac:dyDescent="0.35">
      <c r="H17305" s="711"/>
      <c r="I17305" s="711"/>
      <c r="J17305" s="711"/>
      <c r="K17305" s="711"/>
      <c r="L17305" s="711"/>
      <c r="Q17305" s="11"/>
      <c r="R17305" s="11"/>
      <c r="S17305" s="11"/>
      <c r="T17305" s="11"/>
    </row>
    <row r="17306" spans="8:20" x14ac:dyDescent="0.35">
      <c r="H17306" s="711"/>
      <c r="I17306" s="711"/>
      <c r="J17306" s="711"/>
      <c r="K17306" s="711"/>
      <c r="L17306" s="711"/>
      <c r="Q17306" s="11"/>
      <c r="R17306" s="11"/>
      <c r="S17306" s="11"/>
      <c r="T17306" s="11"/>
    </row>
    <row r="17307" spans="8:20" x14ac:dyDescent="0.35">
      <c r="H17307" s="711"/>
      <c r="I17307" s="711"/>
      <c r="J17307" s="711"/>
      <c r="K17307" s="711"/>
      <c r="L17307" s="711"/>
      <c r="Q17307" s="11"/>
      <c r="R17307" s="11"/>
      <c r="S17307" s="11"/>
      <c r="T17307" s="11"/>
    </row>
    <row r="17308" spans="8:20" x14ac:dyDescent="0.35">
      <c r="H17308" s="711"/>
      <c r="I17308" s="711"/>
      <c r="J17308" s="711"/>
      <c r="K17308" s="711"/>
      <c r="L17308" s="711"/>
      <c r="Q17308" s="11"/>
      <c r="R17308" s="11"/>
      <c r="S17308" s="11"/>
      <c r="T17308" s="11"/>
    </row>
    <row r="17309" spans="8:20" x14ac:dyDescent="0.35">
      <c r="H17309" s="711"/>
      <c r="I17309" s="711"/>
      <c r="J17309" s="711"/>
      <c r="K17309" s="711"/>
      <c r="L17309" s="711"/>
      <c r="Q17309" s="11"/>
      <c r="R17309" s="11"/>
      <c r="S17309" s="11"/>
      <c r="T17309" s="11"/>
    </row>
    <row r="17310" spans="8:20" x14ac:dyDescent="0.35">
      <c r="H17310" s="711"/>
      <c r="I17310" s="711"/>
      <c r="J17310" s="711"/>
      <c r="K17310" s="711"/>
      <c r="L17310" s="711"/>
      <c r="Q17310" s="11"/>
      <c r="R17310" s="11"/>
      <c r="S17310" s="11"/>
      <c r="T17310" s="11"/>
    </row>
    <row r="17311" spans="8:20" x14ac:dyDescent="0.35">
      <c r="H17311" s="711"/>
      <c r="I17311" s="711"/>
      <c r="J17311" s="711"/>
      <c r="K17311" s="711"/>
      <c r="L17311" s="711"/>
      <c r="Q17311" s="11"/>
      <c r="R17311" s="11"/>
      <c r="S17311" s="11"/>
      <c r="T17311" s="11"/>
    </row>
    <row r="17312" spans="8:20" x14ac:dyDescent="0.35">
      <c r="H17312" s="711"/>
      <c r="I17312" s="711"/>
      <c r="J17312" s="711"/>
      <c r="K17312" s="711"/>
      <c r="L17312" s="711"/>
      <c r="Q17312" s="11"/>
      <c r="R17312" s="11"/>
      <c r="S17312" s="11"/>
      <c r="T17312" s="11"/>
    </row>
    <row r="17313" spans="8:20" x14ac:dyDescent="0.35">
      <c r="H17313" s="711"/>
      <c r="I17313" s="711"/>
      <c r="J17313" s="711"/>
      <c r="K17313" s="711"/>
      <c r="L17313" s="711"/>
      <c r="Q17313" s="11"/>
      <c r="R17313" s="11"/>
      <c r="S17313" s="11"/>
      <c r="T17313" s="11"/>
    </row>
    <row r="17314" spans="8:20" x14ac:dyDescent="0.35">
      <c r="H17314" s="711"/>
      <c r="I17314" s="711"/>
      <c r="J17314" s="711"/>
      <c r="K17314" s="711"/>
      <c r="L17314" s="711"/>
      <c r="Q17314" s="11"/>
      <c r="R17314" s="11"/>
      <c r="S17314" s="11"/>
      <c r="T17314" s="11"/>
    </row>
    <row r="17315" spans="8:20" x14ac:dyDescent="0.35">
      <c r="H17315" s="711"/>
      <c r="I17315" s="711"/>
      <c r="J17315" s="711"/>
      <c r="K17315" s="711"/>
      <c r="L17315" s="711"/>
      <c r="Q17315" s="11"/>
      <c r="R17315" s="11"/>
      <c r="S17315" s="11"/>
      <c r="T17315" s="11"/>
    </row>
    <row r="17316" spans="8:20" x14ac:dyDescent="0.35">
      <c r="H17316" s="711"/>
      <c r="I17316" s="711"/>
      <c r="J17316" s="711"/>
      <c r="K17316" s="711"/>
      <c r="L17316" s="711"/>
      <c r="Q17316" s="11"/>
      <c r="R17316" s="11"/>
      <c r="S17316" s="11"/>
      <c r="T17316" s="11"/>
    </row>
    <row r="17317" spans="8:20" x14ac:dyDescent="0.35">
      <c r="H17317" s="711"/>
      <c r="I17317" s="711"/>
      <c r="J17317" s="711"/>
      <c r="K17317" s="711"/>
      <c r="L17317" s="711"/>
      <c r="Q17317" s="11"/>
      <c r="R17317" s="11"/>
      <c r="S17317" s="11"/>
      <c r="T17317" s="11"/>
    </row>
    <row r="17318" spans="8:20" x14ac:dyDescent="0.35">
      <c r="H17318" s="711"/>
      <c r="I17318" s="711"/>
      <c r="J17318" s="711"/>
      <c r="K17318" s="711"/>
      <c r="L17318" s="711"/>
      <c r="Q17318" s="11"/>
      <c r="R17318" s="11"/>
      <c r="S17318" s="11"/>
      <c r="T17318" s="11"/>
    </row>
    <row r="17319" spans="8:20" x14ac:dyDescent="0.35">
      <c r="H17319" s="711"/>
      <c r="I17319" s="711"/>
      <c r="J17319" s="711"/>
      <c r="K17319" s="711"/>
      <c r="L17319" s="711"/>
      <c r="Q17319" s="11"/>
      <c r="R17319" s="11"/>
      <c r="S17319" s="11"/>
      <c r="T17319" s="11"/>
    </row>
    <row r="17320" spans="8:20" x14ac:dyDescent="0.35">
      <c r="H17320" s="711"/>
      <c r="I17320" s="711"/>
      <c r="J17320" s="711"/>
      <c r="K17320" s="711"/>
      <c r="L17320" s="711"/>
      <c r="Q17320" s="11"/>
      <c r="R17320" s="11"/>
      <c r="S17320" s="11"/>
      <c r="T17320" s="11"/>
    </row>
    <row r="17321" spans="8:20" x14ac:dyDescent="0.35">
      <c r="H17321" s="711"/>
      <c r="I17321" s="711"/>
      <c r="J17321" s="711"/>
      <c r="K17321" s="711"/>
      <c r="L17321" s="711"/>
      <c r="Q17321" s="11"/>
      <c r="R17321" s="11"/>
      <c r="S17321" s="11"/>
      <c r="T17321" s="11"/>
    </row>
    <row r="17322" spans="8:20" x14ac:dyDescent="0.35">
      <c r="H17322" s="711"/>
      <c r="I17322" s="711"/>
      <c r="J17322" s="711"/>
      <c r="K17322" s="711"/>
      <c r="L17322" s="711"/>
      <c r="Q17322" s="11"/>
      <c r="R17322" s="11"/>
      <c r="S17322" s="11"/>
      <c r="T17322" s="11"/>
    </row>
    <row r="17323" spans="8:20" x14ac:dyDescent="0.35">
      <c r="H17323" s="711"/>
      <c r="I17323" s="711"/>
      <c r="J17323" s="711"/>
      <c r="K17323" s="711"/>
      <c r="L17323" s="711"/>
      <c r="Q17323" s="11"/>
      <c r="R17323" s="11"/>
      <c r="S17323" s="11"/>
      <c r="T17323" s="11"/>
    </row>
    <row r="17324" spans="8:20" x14ac:dyDescent="0.35">
      <c r="H17324" s="711"/>
      <c r="I17324" s="711"/>
      <c r="J17324" s="711"/>
      <c r="K17324" s="711"/>
      <c r="L17324" s="711"/>
      <c r="Q17324" s="11"/>
      <c r="R17324" s="11"/>
      <c r="S17324" s="11"/>
      <c r="T17324" s="11"/>
    </row>
    <row r="17325" spans="8:20" x14ac:dyDescent="0.35">
      <c r="H17325" s="711"/>
      <c r="I17325" s="711"/>
      <c r="J17325" s="711"/>
      <c r="K17325" s="711"/>
      <c r="L17325" s="711"/>
      <c r="Q17325" s="11"/>
      <c r="R17325" s="11"/>
      <c r="S17325" s="11"/>
      <c r="T17325" s="11"/>
    </row>
    <row r="17326" spans="8:20" x14ac:dyDescent="0.35">
      <c r="H17326" s="711"/>
      <c r="I17326" s="711"/>
      <c r="J17326" s="711"/>
      <c r="K17326" s="711"/>
      <c r="L17326" s="711"/>
      <c r="Q17326" s="11"/>
      <c r="R17326" s="11"/>
      <c r="S17326" s="11"/>
      <c r="T17326" s="11"/>
    </row>
    <row r="17327" spans="8:20" x14ac:dyDescent="0.35">
      <c r="H17327" s="711"/>
      <c r="I17327" s="711"/>
      <c r="J17327" s="711"/>
      <c r="K17327" s="711"/>
      <c r="L17327" s="711"/>
      <c r="Q17327" s="11"/>
      <c r="R17327" s="11"/>
      <c r="S17327" s="11"/>
      <c r="T17327" s="11"/>
    </row>
    <row r="17328" spans="8:20" x14ac:dyDescent="0.35">
      <c r="H17328" s="711"/>
      <c r="I17328" s="711"/>
      <c r="J17328" s="711"/>
      <c r="K17328" s="711"/>
      <c r="L17328" s="711"/>
      <c r="Q17328" s="11"/>
      <c r="R17328" s="11"/>
      <c r="S17328" s="11"/>
      <c r="T17328" s="11"/>
    </row>
    <row r="17329" spans="8:20" x14ac:dyDescent="0.35">
      <c r="H17329" s="711"/>
      <c r="I17329" s="711"/>
      <c r="J17329" s="711"/>
      <c r="K17329" s="711"/>
      <c r="L17329" s="711"/>
      <c r="Q17329" s="11"/>
      <c r="R17329" s="11"/>
      <c r="S17329" s="11"/>
      <c r="T17329" s="11"/>
    </row>
    <row r="17330" spans="8:20" x14ac:dyDescent="0.35">
      <c r="H17330" s="711"/>
      <c r="I17330" s="711"/>
      <c r="J17330" s="711"/>
      <c r="K17330" s="711"/>
      <c r="L17330" s="711"/>
      <c r="Q17330" s="11"/>
      <c r="R17330" s="11"/>
      <c r="S17330" s="11"/>
      <c r="T17330" s="11"/>
    </row>
    <row r="17331" spans="8:20" x14ac:dyDescent="0.35">
      <c r="H17331" s="711"/>
      <c r="I17331" s="711"/>
      <c r="J17331" s="711"/>
      <c r="K17331" s="711"/>
      <c r="L17331" s="711"/>
      <c r="Q17331" s="11"/>
      <c r="R17331" s="11"/>
      <c r="S17331" s="11"/>
      <c r="T17331" s="11"/>
    </row>
    <row r="17332" spans="8:20" x14ac:dyDescent="0.35">
      <c r="H17332" s="711"/>
      <c r="I17332" s="711"/>
      <c r="J17332" s="711"/>
      <c r="K17332" s="711"/>
      <c r="L17332" s="711"/>
      <c r="Q17332" s="11"/>
      <c r="R17332" s="11"/>
      <c r="S17332" s="11"/>
      <c r="T17332" s="11"/>
    </row>
    <row r="17333" spans="8:20" x14ac:dyDescent="0.35">
      <c r="H17333" s="711"/>
      <c r="I17333" s="711"/>
      <c r="J17333" s="711"/>
      <c r="K17333" s="711"/>
      <c r="L17333" s="711"/>
      <c r="Q17333" s="11"/>
      <c r="R17333" s="11"/>
      <c r="S17333" s="11"/>
      <c r="T17333" s="11"/>
    </row>
    <row r="17334" spans="8:20" x14ac:dyDescent="0.35">
      <c r="H17334" s="711"/>
      <c r="I17334" s="711"/>
      <c r="J17334" s="711"/>
      <c r="K17334" s="711"/>
      <c r="L17334" s="711"/>
      <c r="Q17334" s="11"/>
      <c r="R17334" s="11"/>
      <c r="S17334" s="11"/>
      <c r="T17334" s="11"/>
    </row>
    <row r="17335" spans="8:20" x14ac:dyDescent="0.35">
      <c r="H17335" s="711"/>
      <c r="I17335" s="711"/>
      <c r="J17335" s="711"/>
      <c r="K17335" s="711"/>
      <c r="L17335" s="711"/>
      <c r="Q17335" s="11"/>
      <c r="R17335" s="11"/>
      <c r="S17335" s="11"/>
      <c r="T17335" s="11"/>
    </row>
    <row r="17336" spans="8:20" x14ac:dyDescent="0.35">
      <c r="H17336" s="711"/>
      <c r="I17336" s="711"/>
      <c r="J17336" s="711"/>
      <c r="K17336" s="711"/>
      <c r="L17336" s="711"/>
      <c r="Q17336" s="11"/>
      <c r="R17336" s="11"/>
      <c r="S17336" s="11"/>
      <c r="T17336" s="11"/>
    </row>
    <row r="17337" spans="8:20" x14ac:dyDescent="0.35">
      <c r="H17337" s="711"/>
      <c r="I17337" s="711"/>
      <c r="J17337" s="711"/>
      <c r="K17337" s="711"/>
      <c r="L17337" s="711"/>
      <c r="Q17337" s="11"/>
      <c r="R17337" s="11"/>
      <c r="S17337" s="11"/>
      <c r="T17337" s="11"/>
    </row>
    <row r="17338" spans="8:20" x14ac:dyDescent="0.35">
      <c r="H17338" s="711"/>
      <c r="I17338" s="711"/>
      <c r="J17338" s="711"/>
      <c r="K17338" s="711"/>
      <c r="L17338" s="711"/>
      <c r="Q17338" s="11"/>
      <c r="R17338" s="11"/>
      <c r="S17338" s="11"/>
      <c r="T17338" s="11"/>
    </row>
    <row r="17339" spans="8:20" x14ac:dyDescent="0.35">
      <c r="H17339" s="711"/>
      <c r="I17339" s="711"/>
      <c r="J17339" s="711"/>
      <c r="K17339" s="711"/>
      <c r="L17339" s="711"/>
      <c r="Q17339" s="11"/>
      <c r="R17339" s="11"/>
      <c r="S17339" s="11"/>
      <c r="T17339" s="11"/>
    </row>
    <row r="17340" spans="8:20" x14ac:dyDescent="0.35">
      <c r="H17340" s="711"/>
      <c r="I17340" s="711"/>
      <c r="J17340" s="711"/>
      <c r="K17340" s="711"/>
      <c r="L17340" s="711"/>
      <c r="Q17340" s="11"/>
      <c r="R17340" s="11"/>
      <c r="S17340" s="11"/>
      <c r="T17340" s="11"/>
    </row>
    <row r="17341" spans="8:20" x14ac:dyDescent="0.35">
      <c r="H17341" s="711"/>
      <c r="I17341" s="711"/>
      <c r="J17341" s="711"/>
      <c r="K17341" s="711"/>
      <c r="L17341" s="711"/>
      <c r="Q17341" s="11"/>
      <c r="R17341" s="11"/>
      <c r="S17341" s="11"/>
      <c r="T17341" s="11"/>
    </row>
    <row r="17342" spans="8:20" x14ac:dyDescent="0.35">
      <c r="H17342" s="711"/>
      <c r="I17342" s="711"/>
      <c r="J17342" s="711"/>
      <c r="K17342" s="711"/>
      <c r="L17342" s="711"/>
      <c r="Q17342" s="11"/>
      <c r="R17342" s="11"/>
      <c r="S17342" s="11"/>
      <c r="T17342" s="11"/>
    </row>
    <row r="17343" spans="8:20" x14ac:dyDescent="0.35">
      <c r="H17343" s="711"/>
      <c r="I17343" s="711"/>
      <c r="J17343" s="711"/>
      <c r="K17343" s="711"/>
      <c r="L17343" s="711"/>
      <c r="Q17343" s="11"/>
      <c r="R17343" s="11"/>
      <c r="S17343" s="11"/>
      <c r="T17343" s="11"/>
    </row>
    <row r="17344" spans="8:20" x14ac:dyDescent="0.35">
      <c r="H17344" s="711"/>
      <c r="I17344" s="711"/>
      <c r="J17344" s="711"/>
      <c r="K17344" s="711"/>
      <c r="L17344" s="711"/>
      <c r="Q17344" s="11"/>
      <c r="R17344" s="11"/>
      <c r="S17344" s="11"/>
      <c r="T17344" s="11"/>
    </row>
    <row r="17345" spans="8:20" x14ac:dyDescent="0.35">
      <c r="H17345" s="711"/>
      <c r="I17345" s="711"/>
      <c r="J17345" s="711"/>
      <c r="K17345" s="711"/>
      <c r="L17345" s="711"/>
      <c r="Q17345" s="11"/>
      <c r="R17345" s="11"/>
      <c r="S17345" s="11"/>
      <c r="T17345" s="11"/>
    </row>
    <row r="17346" spans="8:20" x14ac:dyDescent="0.35">
      <c r="H17346" s="711"/>
      <c r="I17346" s="711"/>
      <c r="J17346" s="711"/>
      <c r="K17346" s="711"/>
      <c r="L17346" s="711"/>
      <c r="Q17346" s="11"/>
      <c r="R17346" s="11"/>
      <c r="S17346" s="11"/>
      <c r="T17346" s="11"/>
    </row>
    <row r="17347" spans="8:20" x14ac:dyDescent="0.35">
      <c r="H17347" s="711"/>
      <c r="I17347" s="711"/>
      <c r="J17347" s="711"/>
      <c r="K17347" s="711"/>
      <c r="L17347" s="711"/>
      <c r="Q17347" s="11"/>
      <c r="R17347" s="11"/>
      <c r="S17347" s="11"/>
      <c r="T17347" s="11"/>
    </row>
    <row r="17348" spans="8:20" x14ac:dyDescent="0.35">
      <c r="H17348" s="711"/>
      <c r="I17348" s="711"/>
      <c r="J17348" s="711"/>
      <c r="K17348" s="711"/>
      <c r="L17348" s="711"/>
      <c r="Q17348" s="11"/>
      <c r="R17348" s="11"/>
      <c r="S17348" s="11"/>
      <c r="T17348" s="11"/>
    </row>
    <row r="17349" spans="8:20" x14ac:dyDescent="0.35">
      <c r="H17349" s="711"/>
      <c r="I17349" s="711"/>
      <c r="J17349" s="711"/>
      <c r="K17349" s="711"/>
      <c r="L17349" s="711"/>
      <c r="Q17349" s="11"/>
      <c r="R17349" s="11"/>
      <c r="S17349" s="11"/>
      <c r="T17349" s="11"/>
    </row>
    <row r="17350" spans="8:20" x14ac:dyDescent="0.35">
      <c r="H17350" s="711"/>
      <c r="I17350" s="711"/>
      <c r="J17350" s="711"/>
      <c r="K17350" s="711"/>
      <c r="L17350" s="711"/>
      <c r="Q17350" s="11"/>
      <c r="R17350" s="11"/>
      <c r="S17350" s="11"/>
      <c r="T17350" s="11"/>
    </row>
    <row r="17351" spans="8:20" x14ac:dyDescent="0.35">
      <c r="H17351" s="711"/>
      <c r="I17351" s="711"/>
      <c r="J17351" s="711"/>
      <c r="K17351" s="711"/>
      <c r="L17351" s="711"/>
      <c r="Q17351" s="11"/>
      <c r="R17351" s="11"/>
      <c r="S17351" s="11"/>
      <c r="T17351" s="11"/>
    </row>
    <row r="17352" spans="8:20" x14ac:dyDescent="0.35">
      <c r="H17352" s="711"/>
      <c r="I17352" s="711"/>
      <c r="J17352" s="711"/>
      <c r="K17352" s="711"/>
      <c r="L17352" s="711"/>
      <c r="Q17352" s="11"/>
      <c r="R17352" s="11"/>
      <c r="S17352" s="11"/>
      <c r="T17352" s="11"/>
    </row>
    <row r="17353" spans="8:20" x14ac:dyDescent="0.35">
      <c r="H17353" s="711"/>
      <c r="I17353" s="711"/>
      <c r="J17353" s="711"/>
      <c r="K17353" s="711"/>
      <c r="L17353" s="711"/>
      <c r="Q17353" s="11"/>
      <c r="R17353" s="11"/>
      <c r="S17353" s="11"/>
      <c r="T17353" s="11"/>
    </row>
    <row r="17354" spans="8:20" x14ac:dyDescent="0.35">
      <c r="H17354" s="711"/>
      <c r="I17354" s="711"/>
      <c r="J17354" s="711"/>
      <c r="K17354" s="711"/>
      <c r="L17354" s="711"/>
      <c r="Q17354" s="11"/>
      <c r="R17354" s="11"/>
      <c r="S17354" s="11"/>
      <c r="T17354" s="11"/>
    </row>
    <row r="17355" spans="8:20" x14ac:dyDescent="0.35">
      <c r="H17355" s="711"/>
      <c r="I17355" s="711"/>
      <c r="J17355" s="711"/>
      <c r="K17355" s="711"/>
      <c r="L17355" s="711"/>
      <c r="Q17355" s="11"/>
      <c r="R17355" s="11"/>
      <c r="S17355" s="11"/>
      <c r="T17355" s="11"/>
    </row>
    <row r="17356" spans="8:20" x14ac:dyDescent="0.35">
      <c r="H17356" s="711"/>
      <c r="I17356" s="711"/>
      <c r="J17356" s="711"/>
      <c r="K17356" s="711"/>
      <c r="L17356" s="711"/>
      <c r="Q17356" s="11"/>
      <c r="R17356" s="11"/>
      <c r="S17356" s="11"/>
      <c r="T17356" s="11"/>
    </row>
    <row r="17357" spans="8:20" x14ac:dyDescent="0.35">
      <c r="H17357" s="711"/>
      <c r="I17357" s="711"/>
      <c r="J17357" s="711"/>
      <c r="K17357" s="711"/>
      <c r="L17357" s="711"/>
      <c r="Q17357" s="11"/>
      <c r="R17357" s="11"/>
      <c r="S17357" s="11"/>
      <c r="T17357" s="11"/>
    </row>
    <row r="17358" spans="8:20" x14ac:dyDescent="0.35">
      <c r="H17358" s="711"/>
      <c r="I17358" s="711"/>
      <c r="J17358" s="711"/>
      <c r="K17358" s="711"/>
      <c r="L17358" s="711"/>
      <c r="Q17358" s="11"/>
      <c r="R17358" s="11"/>
      <c r="S17358" s="11"/>
      <c r="T17358" s="11"/>
    </row>
    <row r="17359" spans="8:20" x14ac:dyDescent="0.35">
      <c r="H17359" s="711"/>
      <c r="I17359" s="711"/>
      <c r="J17359" s="711"/>
      <c r="K17359" s="711"/>
      <c r="L17359" s="711"/>
      <c r="Q17359" s="11"/>
      <c r="R17359" s="11"/>
      <c r="S17359" s="11"/>
      <c r="T17359" s="11"/>
    </row>
    <row r="17360" spans="8:20" x14ac:dyDescent="0.35">
      <c r="H17360" s="711"/>
      <c r="I17360" s="711"/>
      <c r="J17360" s="711"/>
      <c r="K17360" s="711"/>
      <c r="L17360" s="711"/>
      <c r="Q17360" s="11"/>
      <c r="R17360" s="11"/>
      <c r="S17360" s="11"/>
      <c r="T17360" s="11"/>
    </row>
    <row r="17361" spans="8:20" x14ac:dyDescent="0.35">
      <c r="H17361" s="711"/>
      <c r="I17361" s="711"/>
      <c r="J17361" s="711"/>
      <c r="K17361" s="711"/>
      <c r="L17361" s="711"/>
      <c r="Q17361" s="11"/>
      <c r="R17361" s="11"/>
      <c r="S17361" s="11"/>
      <c r="T17361" s="11"/>
    </row>
    <row r="17362" spans="8:20" x14ac:dyDescent="0.35">
      <c r="H17362" s="711"/>
      <c r="I17362" s="711"/>
      <c r="J17362" s="711"/>
      <c r="K17362" s="711"/>
      <c r="L17362" s="711"/>
      <c r="Q17362" s="11"/>
      <c r="R17362" s="11"/>
      <c r="S17362" s="11"/>
      <c r="T17362" s="11"/>
    </row>
    <row r="17363" spans="8:20" x14ac:dyDescent="0.35">
      <c r="H17363" s="711"/>
      <c r="I17363" s="711"/>
      <c r="J17363" s="711"/>
      <c r="K17363" s="711"/>
      <c r="L17363" s="711"/>
      <c r="Q17363" s="11"/>
      <c r="R17363" s="11"/>
      <c r="S17363" s="11"/>
      <c r="T17363" s="11"/>
    </row>
    <row r="17364" spans="8:20" x14ac:dyDescent="0.35">
      <c r="H17364" s="711"/>
      <c r="I17364" s="711"/>
      <c r="J17364" s="711"/>
      <c r="K17364" s="711"/>
      <c r="L17364" s="711"/>
      <c r="Q17364" s="11"/>
      <c r="R17364" s="11"/>
      <c r="S17364" s="11"/>
      <c r="T17364" s="11"/>
    </row>
    <row r="17365" spans="8:20" x14ac:dyDescent="0.35">
      <c r="H17365" s="711"/>
      <c r="I17365" s="711"/>
      <c r="J17365" s="711"/>
      <c r="K17365" s="711"/>
      <c r="L17365" s="711"/>
      <c r="Q17365" s="11"/>
      <c r="R17365" s="11"/>
      <c r="S17365" s="11"/>
      <c r="T17365" s="11"/>
    </row>
    <row r="17366" spans="8:20" x14ac:dyDescent="0.35">
      <c r="H17366" s="711"/>
      <c r="I17366" s="711"/>
      <c r="J17366" s="711"/>
      <c r="K17366" s="711"/>
      <c r="L17366" s="711"/>
      <c r="Q17366" s="11"/>
      <c r="R17366" s="11"/>
      <c r="S17366" s="11"/>
      <c r="T17366" s="11"/>
    </row>
    <row r="17367" spans="8:20" x14ac:dyDescent="0.35">
      <c r="H17367" s="711"/>
      <c r="I17367" s="711"/>
      <c r="J17367" s="711"/>
      <c r="K17367" s="711"/>
      <c r="L17367" s="711"/>
      <c r="Q17367" s="11"/>
      <c r="R17367" s="11"/>
      <c r="S17367" s="11"/>
      <c r="T17367" s="11"/>
    </row>
    <row r="17368" spans="8:20" x14ac:dyDescent="0.35">
      <c r="H17368" s="711"/>
      <c r="I17368" s="711"/>
      <c r="J17368" s="711"/>
      <c r="K17368" s="711"/>
      <c r="L17368" s="711"/>
      <c r="Q17368" s="11"/>
      <c r="R17368" s="11"/>
      <c r="S17368" s="11"/>
      <c r="T17368" s="11"/>
    </row>
    <row r="17369" spans="8:20" x14ac:dyDescent="0.35">
      <c r="H17369" s="711"/>
      <c r="I17369" s="711"/>
      <c r="J17369" s="711"/>
      <c r="K17369" s="711"/>
      <c r="L17369" s="711"/>
      <c r="Q17369" s="11"/>
      <c r="R17369" s="11"/>
      <c r="S17369" s="11"/>
      <c r="T17369" s="11"/>
    </row>
    <row r="17370" spans="8:20" x14ac:dyDescent="0.35">
      <c r="H17370" s="711"/>
      <c r="I17370" s="711"/>
      <c r="J17370" s="711"/>
      <c r="K17370" s="711"/>
      <c r="L17370" s="711"/>
      <c r="Q17370" s="11"/>
      <c r="R17370" s="11"/>
      <c r="S17370" s="11"/>
      <c r="T17370" s="11"/>
    </row>
    <row r="17371" spans="8:20" x14ac:dyDescent="0.35">
      <c r="H17371" s="711"/>
      <c r="I17371" s="711"/>
      <c r="J17371" s="711"/>
      <c r="K17371" s="711"/>
      <c r="L17371" s="711"/>
      <c r="Q17371" s="11"/>
      <c r="R17371" s="11"/>
      <c r="S17371" s="11"/>
      <c r="T17371" s="11"/>
    </row>
    <row r="17372" spans="8:20" x14ac:dyDescent="0.35">
      <c r="H17372" s="711"/>
      <c r="I17372" s="711"/>
      <c r="J17372" s="711"/>
      <c r="K17372" s="711"/>
      <c r="L17372" s="711"/>
      <c r="Q17372" s="11"/>
      <c r="R17372" s="11"/>
      <c r="S17372" s="11"/>
      <c r="T17372" s="11"/>
    </row>
    <row r="17373" spans="8:20" x14ac:dyDescent="0.35">
      <c r="H17373" s="711"/>
      <c r="I17373" s="711"/>
      <c r="J17373" s="711"/>
      <c r="K17373" s="711"/>
      <c r="L17373" s="711"/>
      <c r="Q17373" s="11"/>
      <c r="R17373" s="11"/>
      <c r="S17373" s="11"/>
      <c r="T17373" s="11"/>
    </row>
    <row r="17374" spans="8:20" x14ac:dyDescent="0.35">
      <c r="H17374" s="711"/>
      <c r="I17374" s="711"/>
      <c r="J17374" s="711"/>
      <c r="K17374" s="711"/>
      <c r="L17374" s="711"/>
      <c r="Q17374" s="11"/>
      <c r="R17374" s="11"/>
      <c r="S17374" s="11"/>
      <c r="T17374" s="11"/>
    </row>
    <row r="17375" spans="8:20" x14ac:dyDescent="0.35">
      <c r="H17375" s="711"/>
      <c r="I17375" s="711"/>
      <c r="J17375" s="711"/>
      <c r="K17375" s="711"/>
      <c r="L17375" s="711"/>
      <c r="Q17375" s="11"/>
      <c r="R17375" s="11"/>
      <c r="S17375" s="11"/>
      <c r="T17375" s="11"/>
    </row>
    <row r="17376" spans="8:20" x14ac:dyDescent="0.35">
      <c r="H17376" s="711"/>
      <c r="I17376" s="711"/>
      <c r="J17376" s="711"/>
      <c r="K17376" s="711"/>
      <c r="L17376" s="711"/>
      <c r="Q17376" s="11"/>
      <c r="R17376" s="11"/>
      <c r="S17376" s="11"/>
      <c r="T17376" s="11"/>
    </row>
    <row r="17377" spans="8:20" x14ac:dyDescent="0.35">
      <c r="H17377" s="711"/>
      <c r="I17377" s="711"/>
      <c r="J17377" s="711"/>
      <c r="K17377" s="711"/>
      <c r="L17377" s="711"/>
      <c r="Q17377" s="11"/>
      <c r="R17377" s="11"/>
      <c r="S17377" s="11"/>
      <c r="T17377" s="11"/>
    </row>
    <row r="17378" spans="8:20" x14ac:dyDescent="0.35">
      <c r="H17378" s="711"/>
      <c r="I17378" s="711"/>
      <c r="J17378" s="711"/>
      <c r="K17378" s="711"/>
      <c r="L17378" s="711"/>
      <c r="Q17378" s="11"/>
      <c r="R17378" s="11"/>
      <c r="S17378" s="11"/>
      <c r="T17378" s="11"/>
    </row>
    <row r="17379" spans="8:20" x14ac:dyDescent="0.35">
      <c r="H17379" s="711"/>
      <c r="I17379" s="711"/>
      <c r="J17379" s="711"/>
      <c r="K17379" s="711"/>
      <c r="L17379" s="711"/>
      <c r="Q17379" s="11"/>
      <c r="R17379" s="11"/>
      <c r="S17379" s="11"/>
      <c r="T17379" s="11"/>
    </row>
    <row r="17380" spans="8:20" x14ac:dyDescent="0.35">
      <c r="H17380" s="711"/>
      <c r="I17380" s="711"/>
      <c r="J17380" s="711"/>
      <c r="K17380" s="711"/>
      <c r="L17380" s="711"/>
      <c r="Q17380" s="11"/>
      <c r="R17380" s="11"/>
      <c r="S17380" s="11"/>
      <c r="T17380" s="11"/>
    </row>
    <row r="17381" spans="8:20" x14ac:dyDescent="0.35">
      <c r="H17381" s="711"/>
      <c r="I17381" s="711"/>
      <c r="J17381" s="711"/>
      <c r="K17381" s="711"/>
      <c r="L17381" s="711"/>
      <c r="Q17381" s="11"/>
      <c r="R17381" s="11"/>
      <c r="S17381" s="11"/>
      <c r="T17381" s="11"/>
    </row>
    <row r="17382" spans="8:20" x14ac:dyDescent="0.35">
      <c r="H17382" s="711"/>
      <c r="I17382" s="711"/>
      <c r="J17382" s="711"/>
      <c r="K17382" s="711"/>
      <c r="L17382" s="711"/>
      <c r="Q17382" s="11"/>
      <c r="R17382" s="11"/>
      <c r="S17382" s="11"/>
      <c r="T17382" s="11"/>
    </row>
    <row r="17383" spans="8:20" x14ac:dyDescent="0.35">
      <c r="H17383" s="711"/>
      <c r="I17383" s="711"/>
      <c r="J17383" s="711"/>
      <c r="K17383" s="711"/>
      <c r="L17383" s="711"/>
      <c r="Q17383" s="11"/>
      <c r="R17383" s="11"/>
      <c r="S17383" s="11"/>
      <c r="T17383" s="11"/>
    </row>
    <row r="17384" spans="8:20" x14ac:dyDescent="0.35">
      <c r="H17384" s="711"/>
      <c r="I17384" s="711"/>
      <c r="J17384" s="711"/>
      <c r="K17384" s="711"/>
      <c r="L17384" s="711"/>
      <c r="Q17384" s="11"/>
      <c r="R17384" s="11"/>
      <c r="S17384" s="11"/>
      <c r="T17384" s="11"/>
    </row>
    <row r="17385" spans="8:20" x14ac:dyDescent="0.35">
      <c r="H17385" s="711"/>
      <c r="I17385" s="711"/>
      <c r="J17385" s="711"/>
      <c r="K17385" s="711"/>
      <c r="L17385" s="711"/>
      <c r="Q17385" s="11"/>
      <c r="R17385" s="11"/>
      <c r="S17385" s="11"/>
      <c r="T17385" s="11"/>
    </row>
    <row r="17386" spans="8:20" x14ac:dyDescent="0.35">
      <c r="H17386" s="711"/>
      <c r="I17386" s="711"/>
      <c r="J17386" s="711"/>
      <c r="K17386" s="711"/>
      <c r="L17386" s="711"/>
      <c r="Q17386" s="11"/>
      <c r="R17386" s="11"/>
      <c r="S17386" s="11"/>
      <c r="T17386" s="11"/>
    </row>
    <row r="17387" spans="8:20" x14ac:dyDescent="0.35">
      <c r="H17387" s="711"/>
      <c r="I17387" s="711"/>
      <c r="J17387" s="711"/>
      <c r="K17387" s="711"/>
      <c r="L17387" s="711"/>
      <c r="Q17387" s="11"/>
      <c r="R17387" s="11"/>
      <c r="S17387" s="11"/>
      <c r="T17387" s="11"/>
    </row>
    <row r="17388" spans="8:20" x14ac:dyDescent="0.35">
      <c r="H17388" s="711"/>
      <c r="I17388" s="711"/>
      <c r="J17388" s="711"/>
      <c r="K17388" s="711"/>
      <c r="L17388" s="711"/>
      <c r="Q17388" s="11"/>
      <c r="R17388" s="11"/>
      <c r="S17388" s="11"/>
      <c r="T17388" s="11"/>
    </row>
    <row r="17389" spans="8:20" x14ac:dyDescent="0.35">
      <c r="H17389" s="711"/>
      <c r="I17389" s="711"/>
      <c r="J17389" s="711"/>
      <c r="K17389" s="711"/>
      <c r="L17389" s="711"/>
      <c r="Q17389" s="11"/>
      <c r="R17389" s="11"/>
      <c r="S17389" s="11"/>
      <c r="T17389" s="11"/>
    </row>
    <row r="17390" spans="8:20" x14ac:dyDescent="0.35">
      <c r="H17390" s="711"/>
      <c r="I17390" s="711"/>
      <c r="J17390" s="711"/>
      <c r="K17390" s="711"/>
      <c r="L17390" s="711"/>
      <c r="Q17390" s="11"/>
      <c r="R17390" s="11"/>
      <c r="S17390" s="11"/>
      <c r="T17390" s="11"/>
    </row>
    <row r="17391" spans="8:20" x14ac:dyDescent="0.35">
      <c r="H17391" s="711"/>
      <c r="I17391" s="711"/>
      <c r="J17391" s="711"/>
      <c r="K17391" s="711"/>
      <c r="L17391" s="711"/>
      <c r="Q17391" s="11"/>
      <c r="R17391" s="11"/>
      <c r="S17391" s="11"/>
      <c r="T17391" s="11"/>
    </row>
    <row r="17392" spans="8:20" x14ac:dyDescent="0.35">
      <c r="H17392" s="711"/>
      <c r="I17392" s="711"/>
      <c r="J17392" s="711"/>
      <c r="K17392" s="711"/>
      <c r="L17392" s="711"/>
      <c r="Q17392" s="11"/>
      <c r="R17392" s="11"/>
      <c r="S17392" s="11"/>
      <c r="T17392" s="11"/>
    </row>
    <row r="17393" spans="8:20" x14ac:dyDescent="0.35">
      <c r="H17393" s="711"/>
      <c r="I17393" s="711"/>
      <c r="J17393" s="711"/>
      <c r="K17393" s="711"/>
      <c r="L17393" s="711"/>
      <c r="Q17393" s="11"/>
      <c r="R17393" s="11"/>
      <c r="S17393" s="11"/>
      <c r="T17393" s="11"/>
    </row>
    <row r="17394" spans="8:20" x14ac:dyDescent="0.35">
      <c r="H17394" s="711"/>
      <c r="I17394" s="711"/>
      <c r="J17394" s="711"/>
      <c r="K17394" s="711"/>
      <c r="L17394" s="711"/>
      <c r="Q17394" s="11"/>
      <c r="R17394" s="11"/>
      <c r="S17394" s="11"/>
      <c r="T17394" s="11"/>
    </row>
    <row r="17395" spans="8:20" x14ac:dyDescent="0.35">
      <c r="H17395" s="711"/>
      <c r="I17395" s="711"/>
      <c r="J17395" s="711"/>
      <c r="K17395" s="711"/>
      <c r="L17395" s="711"/>
      <c r="Q17395" s="11"/>
      <c r="R17395" s="11"/>
      <c r="S17395" s="11"/>
      <c r="T17395" s="11"/>
    </row>
    <row r="17396" spans="8:20" x14ac:dyDescent="0.35">
      <c r="H17396" s="711"/>
      <c r="I17396" s="711"/>
      <c r="J17396" s="711"/>
      <c r="K17396" s="711"/>
      <c r="L17396" s="711"/>
      <c r="Q17396" s="11"/>
      <c r="R17396" s="11"/>
      <c r="S17396" s="11"/>
      <c r="T17396" s="11"/>
    </row>
    <row r="17397" spans="8:20" x14ac:dyDescent="0.35">
      <c r="H17397" s="711"/>
      <c r="I17397" s="711"/>
      <c r="J17397" s="711"/>
      <c r="K17397" s="711"/>
      <c r="L17397" s="711"/>
      <c r="Q17397" s="11"/>
      <c r="R17397" s="11"/>
      <c r="S17397" s="11"/>
      <c r="T17397" s="11"/>
    </row>
    <row r="17398" spans="8:20" x14ac:dyDescent="0.35">
      <c r="H17398" s="711"/>
      <c r="I17398" s="711"/>
      <c r="J17398" s="711"/>
      <c r="K17398" s="711"/>
      <c r="L17398" s="711"/>
      <c r="Q17398" s="11"/>
      <c r="R17398" s="11"/>
      <c r="S17398" s="11"/>
      <c r="T17398" s="11"/>
    </row>
    <row r="17399" spans="8:20" x14ac:dyDescent="0.35">
      <c r="H17399" s="711"/>
      <c r="I17399" s="711"/>
      <c r="J17399" s="711"/>
      <c r="K17399" s="711"/>
      <c r="L17399" s="711"/>
      <c r="Q17399" s="11"/>
      <c r="R17399" s="11"/>
      <c r="S17399" s="11"/>
      <c r="T17399" s="11"/>
    </row>
    <row r="17400" spans="8:20" x14ac:dyDescent="0.35">
      <c r="H17400" s="711"/>
      <c r="I17400" s="711"/>
      <c r="J17400" s="711"/>
      <c r="K17400" s="711"/>
      <c r="L17400" s="711"/>
      <c r="Q17400" s="11"/>
      <c r="R17400" s="11"/>
      <c r="S17400" s="11"/>
      <c r="T17400" s="11"/>
    </row>
    <row r="17401" spans="8:20" x14ac:dyDescent="0.35">
      <c r="H17401" s="711"/>
      <c r="I17401" s="711"/>
      <c r="J17401" s="711"/>
      <c r="K17401" s="711"/>
      <c r="L17401" s="711"/>
      <c r="Q17401" s="11"/>
      <c r="R17401" s="11"/>
      <c r="S17401" s="11"/>
      <c r="T17401" s="11"/>
    </row>
    <row r="17402" spans="8:20" x14ac:dyDescent="0.35">
      <c r="H17402" s="711"/>
      <c r="I17402" s="711"/>
      <c r="J17402" s="711"/>
      <c r="K17402" s="711"/>
      <c r="L17402" s="711"/>
      <c r="Q17402" s="11"/>
      <c r="R17402" s="11"/>
      <c r="S17402" s="11"/>
      <c r="T17402" s="11"/>
    </row>
    <row r="17403" spans="8:20" x14ac:dyDescent="0.35">
      <c r="H17403" s="711"/>
      <c r="I17403" s="711"/>
      <c r="J17403" s="711"/>
      <c r="K17403" s="711"/>
      <c r="L17403" s="711"/>
      <c r="Q17403" s="11"/>
      <c r="R17403" s="11"/>
      <c r="S17403" s="11"/>
      <c r="T17403" s="11"/>
    </row>
    <row r="17404" spans="8:20" x14ac:dyDescent="0.35">
      <c r="H17404" s="711"/>
      <c r="I17404" s="711"/>
      <c r="J17404" s="711"/>
      <c r="K17404" s="711"/>
      <c r="L17404" s="711"/>
      <c r="Q17404" s="11"/>
      <c r="R17404" s="11"/>
      <c r="S17404" s="11"/>
      <c r="T17404" s="11"/>
    </row>
    <row r="17405" spans="8:20" x14ac:dyDescent="0.35">
      <c r="H17405" s="711"/>
      <c r="I17405" s="711"/>
      <c r="J17405" s="711"/>
      <c r="K17405" s="711"/>
      <c r="L17405" s="711"/>
      <c r="Q17405" s="11"/>
      <c r="R17405" s="11"/>
      <c r="S17405" s="11"/>
      <c r="T17405" s="11"/>
    </row>
    <row r="17406" spans="8:20" x14ac:dyDescent="0.35">
      <c r="H17406" s="711"/>
      <c r="I17406" s="711"/>
      <c r="J17406" s="711"/>
      <c r="K17406" s="711"/>
      <c r="L17406" s="711"/>
      <c r="Q17406" s="11"/>
      <c r="R17406" s="11"/>
      <c r="S17406" s="11"/>
      <c r="T17406" s="11"/>
    </row>
    <row r="17407" spans="8:20" x14ac:dyDescent="0.35">
      <c r="H17407" s="711"/>
      <c r="I17407" s="711"/>
      <c r="J17407" s="711"/>
      <c r="K17407" s="711"/>
      <c r="L17407" s="711"/>
      <c r="Q17407" s="11"/>
      <c r="R17407" s="11"/>
      <c r="S17407" s="11"/>
      <c r="T17407" s="11"/>
    </row>
    <row r="17408" spans="8:20" x14ac:dyDescent="0.35">
      <c r="H17408" s="711"/>
      <c r="I17408" s="711"/>
      <c r="J17408" s="711"/>
      <c r="K17408" s="711"/>
      <c r="L17408" s="711"/>
      <c r="Q17408" s="11"/>
      <c r="R17408" s="11"/>
      <c r="S17408" s="11"/>
      <c r="T17408" s="11"/>
    </row>
    <row r="17409" spans="8:20" x14ac:dyDescent="0.35">
      <c r="H17409" s="711"/>
      <c r="I17409" s="711"/>
      <c r="J17409" s="711"/>
      <c r="K17409" s="711"/>
      <c r="L17409" s="711"/>
      <c r="Q17409" s="11"/>
      <c r="R17409" s="11"/>
      <c r="S17409" s="11"/>
      <c r="T17409" s="11"/>
    </row>
    <row r="17410" spans="8:20" x14ac:dyDescent="0.35">
      <c r="H17410" s="711"/>
      <c r="I17410" s="711"/>
      <c r="J17410" s="711"/>
      <c r="K17410" s="711"/>
      <c r="L17410" s="711"/>
      <c r="Q17410" s="11"/>
      <c r="R17410" s="11"/>
      <c r="S17410" s="11"/>
      <c r="T17410" s="11"/>
    </row>
    <row r="17411" spans="8:20" x14ac:dyDescent="0.35">
      <c r="H17411" s="711"/>
      <c r="I17411" s="711"/>
      <c r="J17411" s="711"/>
      <c r="K17411" s="711"/>
      <c r="L17411" s="711"/>
      <c r="Q17411" s="11"/>
      <c r="R17411" s="11"/>
      <c r="S17411" s="11"/>
      <c r="T17411" s="11"/>
    </row>
    <row r="17412" spans="8:20" x14ac:dyDescent="0.35">
      <c r="H17412" s="711"/>
      <c r="I17412" s="711"/>
      <c r="J17412" s="711"/>
      <c r="K17412" s="711"/>
      <c r="L17412" s="711"/>
      <c r="Q17412" s="11"/>
      <c r="R17412" s="11"/>
      <c r="S17412" s="11"/>
      <c r="T17412" s="11"/>
    </row>
    <row r="17413" spans="8:20" x14ac:dyDescent="0.35">
      <c r="H17413" s="711"/>
      <c r="I17413" s="711"/>
      <c r="J17413" s="711"/>
      <c r="K17413" s="711"/>
      <c r="L17413" s="711"/>
      <c r="Q17413" s="11"/>
      <c r="R17413" s="11"/>
      <c r="S17413" s="11"/>
      <c r="T17413" s="11"/>
    </row>
    <row r="17414" spans="8:20" x14ac:dyDescent="0.35">
      <c r="H17414" s="711"/>
      <c r="I17414" s="711"/>
      <c r="J17414" s="711"/>
      <c r="K17414" s="711"/>
      <c r="L17414" s="711"/>
      <c r="Q17414" s="11"/>
      <c r="R17414" s="11"/>
      <c r="S17414" s="11"/>
      <c r="T17414" s="11"/>
    </row>
    <row r="17415" spans="8:20" x14ac:dyDescent="0.35">
      <c r="H17415" s="711"/>
      <c r="I17415" s="711"/>
      <c r="J17415" s="711"/>
      <c r="K17415" s="711"/>
      <c r="L17415" s="711"/>
      <c r="Q17415" s="11"/>
      <c r="R17415" s="11"/>
      <c r="S17415" s="11"/>
      <c r="T17415" s="11"/>
    </row>
    <row r="17416" spans="8:20" x14ac:dyDescent="0.35">
      <c r="H17416" s="711"/>
      <c r="I17416" s="711"/>
      <c r="J17416" s="711"/>
      <c r="K17416" s="711"/>
      <c r="L17416" s="711"/>
      <c r="Q17416" s="11"/>
      <c r="R17416" s="11"/>
      <c r="S17416" s="11"/>
      <c r="T17416" s="11"/>
    </row>
    <row r="17417" spans="8:20" x14ac:dyDescent="0.35">
      <c r="H17417" s="711"/>
      <c r="I17417" s="711"/>
      <c r="J17417" s="711"/>
      <c r="K17417" s="711"/>
      <c r="L17417" s="711"/>
      <c r="Q17417" s="11"/>
      <c r="R17417" s="11"/>
      <c r="S17417" s="11"/>
      <c r="T17417" s="11"/>
    </row>
    <row r="17418" spans="8:20" x14ac:dyDescent="0.35">
      <c r="H17418" s="711"/>
      <c r="I17418" s="711"/>
      <c r="J17418" s="711"/>
      <c r="K17418" s="711"/>
      <c r="L17418" s="711"/>
      <c r="Q17418" s="11"/>
      <c r="R17418" s="11"/>
      <c r="S17418" s="11"/>
      <c r="T17418" s="11"/>
    </row>
    <row r="17419" spans="8:20" x14ac:dyDescent="0.35">
      <c r="H17419" s="711"/>
      <c r="I17419" s="711"/>
      <c r="J17419" s="711"/>
      <c r="K17419" s="711"/>
      <c r="L17419" s="711"/>
      <c r="Q17419" s="11"/>
      <c r="R17419" s="11"/>
      <c r="S17419" s="11"/>
      <c r="T17419" s="11"/>
    </row>
    <row r="17420" spans="8:20" x14ac:dyDescent="0.35">
      <c r="H17420" s="711"/>
      <c r="I17420" s="711"/>
      <c r="J17420" s="711"/>
      <c r="K17420" s="711"/>
      <c r="L17420" s="711"/>
      <c r="Q17420" s="11"/>
      <c r="R17420" s="11"/>
      <c r="S17420" s="11"/>
      <c r="T17420" s="11"/>
    </row>
    <row r="17421" spans="8:20" x14ac:dyDescent="0.35">
      <c r="H17421" s="711"/>
      <c r="I17421" s="711"/>
      <c r="J17421" s="711"/>
      <c r="K17421" s="711"/>
      <c r="L17421" s="711"/>
      <c r="Q17421" s="11"/>
      <c r="R17421" s="11"/>
      <c r="S17421" s="11"/>
      <c r="T17421" s="11"/>
    </row>
    <row r="17422" spans="8:20" x14ac:dyDescent="0.35">
      <c r="H17422" s="711"/>
      <c r="I17422" s="711"/>
      <c r="J17422" s="711"/>
      <c r="K17422" s="711"/>
      <c r="L17422" s="711"/>
      <c r="Q17422" s="11"/>
      <c r="R17422" s="11"/>
      <c r="S17422" s="11"/>
      <c r="T17422" s="11"/>
    </row>
    <row r="17423" spans="8:20" x14ac:dyDescent="0.35">
      <c r="H17423" s="711"/>
      <c r="I17423" s="711"/>
      <c r="J17423" s="711"/>
      <c r="K17423" s="711"/>
      <c r="L17423" s="711"/>
      <c r="Q17423" s="11"/>
      <c r="R17423" s="11"/>
      <c r="S17423" s="11"/>
      <c r="T17423" s="11"/>
    </row>
    <row r="17424" spans="8:20" x14ac:dyDescent="0.35">
      <c r="H17424" s="711"/>
      <c r="I17424" s="711"/>
      <c r="J17424" s="711"/>
      <c r="K17424" s="711"/>
      <c r="L17424" s="711"/>
      <c r="Q17424" s="11"/>
      <c r="R17424" s="11"/>
      <c r="S17424" s="11"/>
      <c r="T17424" s="11"/>
    </row>
    <row r="17425" spans="8:20" x14ac:dyDescent="0.35">
      <c r="H17425" s="711"/>
      <c r="I17425" s="711"/>
      <c r="J17425" s="711"/>
      <c r="K17425" s="711"/>
      <c r="L17425" s="711"/>
      <c r="Q17425" s="11"/>
      <c r="R17425" s="11"/>
      <c r="S17425" s="11"/>
      <c r="T17425" s="11"/>
    </row>
    <row r="17426" spans="8:20" x14ac:dyDescent="0.35">
      <c r="H17426" s="711"/>
      <c r="I17426" s="711"/>
      <c r="J17426" s="711"/>
      <c r="K17426" s="711"/>
      <c r="L17426" s="711"/>
      <c r="Q17426" s="11"/>
      <c r="R17426" s="11"/>
      <c r="S17426" s="11"/>
      <c r="T17426" s="11"/>
    </row>
    <row r="17427" spans="8:20" x14ac:dyDescent="0.35">
      <c r="H17427" s="711"/>
      <c r="I17427" s="711"/>
      <c r="J17427" s="711"/>
      <c r="K17427" s="711"/>
      <c r="L17427" s="711"/>
      <c r="Q17427" s="11"/>
      <c r="R17427" s="11"/>
      <c r="S17427" s="11"/>
      <c r="T17427" s="11"/>
    </row>
    <row r="17428" spans="8:20" x14ac:dyDescent="0.35">
      <c r="H17428" s="711"/>
      <c r="I17428" s="711"/>
      <c r="J17428" s="711"/>
      <c r="K17428" s="711"/>
      <c r="L17428" s="711"/>
      <c r="Q17428" s="11"/>
      <c r="R17428" s="11"/>
      <c r="S17428" s="11"/>
      <c r="T17428" s="11"/>
    </row>
    <row r="17429" spans="8:20" x14ac:dyDescent="0.35">
      <c r="H17429" s="711"/>
      <c r="I17429" s="711"/>
      <c r="J17429" s="711"/>
      <c r="K17429" s="711"/>
      <c r="L17429" s="711"/>
      <c r="Q17429" s="11"/>
      <c r="R17429" s="11"/>
      <c r="S17429" s="11"/>
      <c r="T17429" s="11"/>
    </row>
    <row r="17430" spans="8:20" x14ac:dyDescent="0.35">
      <c r="H17430" s="711"/>
      <c r="I17430" s="711"/>
      <c r="J17430" s="711"/>
      <c r="K17430" s="711"/>
      <c r="L17430" s="711"/>
      <c r="Q17430" s="11"/>
      <c r="R17430" s="11"/>
      <c r="S17430" s="11"/>
      <c r="T17430" s="11"/>
    </row>
    <row r="17431" spans="8:20" x14ac:dyDescent="0.35">
      <c r="H17431" s="711"/>
      <c r="I17431" s="711"/>
      <c r="J17431" s="711"/>
      <c r="K17431" s="711"/>
      <c r="L17431" s="711"/>
      <c r="Q17431" s="11"/>
      <c r="R17431" s="11"/>
      <c r="S17431" s="11"/>
      <c r="T17431" s="11"/>
    </row>
    <row r="17432" spans="8:20" x14ac:dyDescent="0.35">
      <c r="H17432" s="711"/>
      <c r="I17432" s="711"/>
      <c r="J17432" s="711"/>
      <c r="K17432" s="711"/>
      <c r="L17432" s="711"/>
      <c r="Q17432" s="11"/>
      <c r="R17432" s="11"/>
      <c r="S17432" s="11"/>
      <c r="T17432" s="11"/>
    </row>
    <row r="17433" spans="8:20" x14ac:dyDescent="0.35">
      <c r="H17433" s="711"/>
      <c r="I17433" s="711"/>
      <c r="J17433" s="711"/>
      <c r="K17433" s="711"/>
      <c r="L17433" s="711"/>
      <c r="Q17433" s="11"/>
      <c r="R17433" s="11"/>
      <c r="S17433" s="11"/>
      <c r="T17433" s="11"/>
    </row>
    <row r="17434" spans="8:20" x14ac:dyDescent="0.35">
      <c r="H17434" s="711"/>
      <c r="I17434" s="711"/>
      <c r="J17434" s="711"/>
      <c r="K17434" s="711"/>
      <c r="L17434" s="711"/>
      <c r="Q17434" s="11"/>
      <c r="R17434" s="11"/>
      <c r="S17434" s="11"/>
      <c r="T17434" s="11"/>
    </row>
    <row r="17435" spans="8:20" x14ac:dyDescent="0.35">
      <c r="H17435" s="711"/>
      <c r="I17435" s="711"/>
      <c r="J17435" s="711"/>
      <c r="K17435" s="711"/>
      <c r="L17435" s="711"/>
      <c r="Q17435" s="11"/>
      <c r="R17435" s="11"/>
      <c r="S17435" s="11"/>
      <c r="T17435" s="11"/>
    </row>
    <row r="17436" spans="8:20" x14ac:dyDescent="0.35">
      <c r="H17436" s="711"/>
      <c r="I17436" s="711"/>
      <c r="J17436" s="711"/>
      <c r="K17436" s="711"/>
      <c r="L17436" s="711"/>
      <c r="Q17436" s="11"/>
      <c r="R17436" s="11"/>
      <c r="S17436" s="11"/>
      <c r="T17436" s="11"/>
    </row>
    <row r="17437" spans="8:20" x14ac:dyDescent="0.35">
      <c r="H17437" s="711"/>
      <c r="I17437" s="711"/>
      <c r="J17437" s="711"/>
      <c r="K17437" s="711"/>
      <c r="L17437" s="711"/>
      <c r="Q17437" s="11"/>
      <c r="R17437" s="11"/>
      <c r="S17437" s="11"/>
      <c r="T17437" s="11"/>
    </row>
    <row r="17438" spans="8:20" x14ac:dyDescent="0.35">
      <c r="H17438" s="711"/>
      <c r="I17438" s="711"/>
      <c r="J17438" s="711"/>
      <c r="K17438" s="711"/>
      <c r="L17438" s="711"/>
      <c r="Q17438" s="11"/>
      <c r="R17438" s="11"/>
      <c r="S17438" s="11"/>
      <c r="T17438" s="11"/>
    </row>
    <row r="17439" spans="8:20" x14ac:dyDescent="0.35">
      <c r="H17439" s="711"/>
      <c r="I17439" s="711"/>
      <c r="J17439" s="711"/>
      <c r="K17439" s="711"/>
      <c r="L17439" s="711"/>
      <c r="Q17439" s="11"/>
      <c r="R17439" s="11"/>
      <c r="S17439" s="11"/>
      <c r="T17439" s="11"/>
    </row>
    <row r="17440" spans="8:20" x14ac:dyDescent="0.35">
      <c r="H17440" s="711"/>
      <c r="I17440" s="711"/>
      <c r="J17440" s="711"/>
      <c r="K17440" s="711"/>
      <c r="L17440" s="711"/>
      <c r="Q17440" s="11"/>
      <c r="R17440" s="11"/>
      <c r="S17440" s="11"/>
      <c r="T17440" s="11"/>
    </row>
    <row r="17441" spans="8:20" x14ac:dyDescent="0.35">
      <c r="H17441" s="711"/>
      <c r="I17441" s="711"/>
      <c r="J17441" s="711"/>
      <c r="K17441" s="711"/>
      <c r="L17441" s="711"/>
      <c r="Q17441" s="11"/>
      <c r="R17441" s="11"/>
      <c r="S17441" s="11"/>
      <c r="T17441" s="11"/>
    </row>
    <row r="17442" spans="8:20" x14ac:dyDescent="0.35">
      <c r="H17442" s="711"/>
      <c r="I17442" s="711"/>
      <c r="J17442" s="711"/>
      <c r="K17442" s="711"/>
      <c r="L17442" s="711"/>
      <c r="Q17442" s="11"/>
      <c r="R17442" s="11"/>
      <c r="S17442" s="11"/>
      <c r="T17442" s="11"/>
    </row>
    <row r="17443" spans="8:20" x14ac:dyDescent="0.35">
      <c r="H17443" s="711"/>
      <c r="I17443" s="711"/>
      <c r="J17443" s="711"/>
      <c r="K17443" s="711"/>
      <c r="L17443" s="711"/>
      <c r="Q17443" s="11"/>
      <c r="R17443" s="11"/>
      <c r="S17443" s="11"/>
      <c r="T17443" s="11"/>
    </row>
    <row r="17444" spans="8:20" x14ac:dyDescent="0.35">
      <c r="H17444" s="711"/>
      <c r="I17444" s="711"/>
      <c r="J17444" s="711"/>
      <c r="K17444" s="711"/>
      <c r="L17444" s="711"/>
      <c r="Q17444" s="11"/>
      <c r="R17444" s="11"/>
      <c r="S17444" s="11"/>
      <c r="T17444" s="11"/>
    </row>
    <row r="17445" spans="8:20" x14ac:dyDescent="0.35">
      <c r="H17445" s="711"/>
      <c r="I17445" s="711"/>
      <c r="J17445" s="711"/>
      <c r="K17445" s="711"/>
      <c r="L17445" s="711"/>
      <c r="Q17445" s="11"/>
      <c r="R17445" s="11"/>
      <c r="S17445" s="11"/>
      <c r="T17445" s="11"/>
    </row>
    <row r="17446" spans="8:20" x14ac:dyDescent="0.35">
      <c r="H17446" s="711"/>
      <c r="I17446" s="711"/>
      <c r="J17446" s="711"/>
      <c r="K17446" s="711"/>
      <c r="L17446" s="711"/>
      <c r="Q17446" s="11"/>
      <c r="R17446" s="11"/>
      <c r="S17446" s="11"/>
      <c r="T17446" s="11"/>
    </row>
    <row r="17447" spans="8:20" x14ac:dyDescent="0.35">
      <c r="H17447" s="711"/>
      <c r="I17447" s="711"/>
      <c r="J17447" s="711"/>
      <c r="K17447" s="711"/>
      <c r="L17447" s="711"/>
      <c r="Q17447" s="11"/>
      <c r="R17447" s="11"/>
      <c r="S17447" s="11"/>
      <c r="T17447" s="11"/>
    </row>
    <row r="17448" spans="8:20" x14ac:dyDescent="0.35">
      <c r="H17448" s="711"/>
      <c r="I17448" s="711"/>
      <c r="J17448" s="711"/>
      <c r="K17448" s="711"/>
      <c r="L17448" s="711"/>
      <c r="Q17448" s="11"/>
      <c r="R17448" s="11"/>
      <c r="S17448" s="11"/>
      <c r="T17448" s="11"/>
    </row>
    <row r="17449" spans="8:20" x14ac:dyDescent="0.35">
      <c r="H17449" s="711"/>
      <c r="I17449" s="711"/>
      <c r="J17449" s="711"/>
      <c r="K17449" s="711"/>
      <c r="L17449" s="711"/>
      <c r="Q17449" s="11"/>
      <c r="R17449" s="11"/>
      <c r="S17449" s="11"/>
      <c r="T17449" s="11"/>
    </row>
    <row r="17450" spans="8:20" x14ac:dyDescent="0.35">
      <c r="H17450" s="711"/>
      <c r="I17450" s="711"/>
      <c r="J17450" s="711"/>
      <c r="K17450" s="711"/>
      <c r="L17450" s="711"/>
      <c r="Q17450" s="11"/>
      <c r="R17450" s="11"/>
      <c r="S17450" s="11"/>
      <c r="T17450" s="11"/>
    </row>
    <row r="17451" spans="8:20" x14ac:dyDescent="0.35">
      <c r="H17451" s="711"/>
      <c r="I17451" s="711"/>
      <c r="J17451" s="711"/>
      <c r="K17451" s="711"/>
      <c r="L17451" s="711"/>
      <c r="Q17451" s="11"/>
      <c r="R17451" s="11"/>
      <c r="S17451" s="11"/>
      <c r="T17451" s="11"/>
    </row>
    <row r="17452" spans="8:20" x14ac:dyDescent="0.35">
      <c r="H17452" s="711"/>
      <c r="I17452" s="711"/>
      <c r="J17452" s="711"/>
      <c r="K17452" s="711"/>
      <c r="L17452" s="711"/>
      <c r="Q17452" s="11"/>
      <c r="R17452" s="11"/>
      <c r="S17452" s="11"/>
      <c r="T17452" s="11"/>
    </row>
    <row r="17453" spans="8:20" x14ac:dyDescent="0.35">
      <c r="H17453" s="711"/>
      <c r="I17453" s="711"/>
      <c r="J17453" s="711"/>
      <c r="K17453" s="711"/>
      <c r="L17453" s="711"/>
      <c r="Q17453" s="11"/>
      <c r="R17453" s="11"/>
      <c r="S17453" s="11"/>
      <c r="T17453" s="11"/>
    </row>
    <row r="17454" spans="8:20" x14ac:dyDescent="0.35">
      <c r="H17454" s="711"/>
      <c r="I17454" s="711"/>
      <c r="J17454" s="711"/>
      <c r="K17454" s="711"/>
      <c r="L17454" s="711"/>
      <c r="Q17454" s="11"/>
      <c r="R17454" s="11"/>
      <c r="S17454" s="11"/>
      <c r="T17454" s="11"/>
    </row>
    <row r="17455" spans="8:20" x14ac:dyDescent="0.35">
      <c r="H17455" s="711"/>
      <c r="I17455" s="711"/>
      <c r="J17455" s="711"/>
      <c r="K17455" s="711"/>
      <c r="L17455" s="711"/>
      <c r="Q17455" s="11"/>
      <c r="R17455" s="11"/>
      <c r="S17455" s="11"/>
      <c r="T17455" s="11"/>
    </row>
    <row r="17456" spans="8:20" x14ac:dyDescent="0.35">
      <c r="H17456" s="711"/>
      <c r="I17456" s="711"/>
      <c r="J17456" s="711"/>
      <c r="K17456" s="711"/>
      <c r="L17456" s="711"/>
      <c r="Q17456" s="11"/>
      <c r="R17456" s="11"/>
      <c r="S17456" s="11"/>
      <c r="T17456" s="11"/>
    </row>
    <row r="17457" spans="8:20" x14ac:dyDescent="0.35">
      <c r="H17457" s="711"/>
      <c r="I17457" s="711"/>
      <c r="J17457" s="711"/>
      <c r="K17457" s="711"/>
      <c r="L17457" s="711"/>
      <c r="Q17457" s="11"/>
      <c r="R17457" s="11"/>
      <c r="S17457" s="11"/>
      <c r="T17457" s="11"/>
    </row>
    <row r="17458" spans="8:20" x14ac:dyDescent="0.35">
      <c r="H17458" s="711"/>
      <c r="I17458" s="711"/>
      <c r="J17458" s="711"/>
      <c r="K17458" s="711"/>
      <c r="L17458" s="711"/>
      <c r="Q17458" s="11"/>
      <c r="R17458" s="11"/>
      <c r="S17458" s="11"/>
      <c r="T17458" s="11"/>
    </row>
    <row r="17459" spans="8:20" x14ac:dyDescent="0.35">
      <c r="H17459" s="711"/>
      <c r="I17459" s="711"/>
      <c r="J17459" s="711"/>
      <c r="K17459" s="711"/>
      <c r="L17459" s="711"/>
      <c r="Q17459" s="11"/>
      <c r="R17459" s="11"/>
      <c r="S17459" s="11"/>
      <c r="T17459" s="11"/>
    </row>
    <row r="17460" spans="8:20" x14ac:dyDescent="0.35">
      <c r="H17460" s="711"/>
      <c r="I17460" s="711"/>
      <c r="J17460" s="711"/>
      <c r="K17460" s="711"/>
      <c r="L17460" s="711"/>
      <c r="Q17460" s="11"/>
      <c r="R17460" s="11"/>
      <c r="S17460" s="11"/>
      <c r="T17460" s="11"/>
    </row>
    <row r="17461" spans="8:20" x14ac:dyDescent="0.35">
      <c r="H17461" s="711"/>
      <c r="I17461" s="711"/>
      <c r="J17461" s="711"/>
      <c r="K17461" s="711"/>
      <c r="L17461" s="711"/>
      <c r="Q17461" s="11"/>
      <c r="R17461" s="11"/>
      <c r="S17461" s="11"/>
      <c r="T17461" s="11"/>
    </row>
    <row r="17462" spans="8:20" x14ac:dyDescent="0.35">
      <c r="H17462" s="711"/>
      <c r="I17462" s="711"/>
      <c r="J17462" s="711"/>
      <c r="K17462" s="711"/>
      <c r="L17462" s="711"/>
      <c r="Q17462" s="11"/>
      <c r="R17462" s="11"/>
      <c r="S17462" s="11"/>
      <c r="T17462" s="11"/>
    </row>
    <row r="17463" spans="8:20" x14ac:dyDescent="0.35">
      <c r="H17463" s="711"/>
      <c r="I17463" s="711"/>
      <c r="J17463" s="711"/>
      <c r="K17463" s="711"/>
      <c r="L17463" s="711"/>
      <c r="Q17463" s="11"/>
      <c r="R17463" s="11"/>
      <c r="S17463" s="11"/>
      <c r="T17463" s="11"/>
    </row>
    <row r="17464" spans="8:20" x14ac:dyDescent="0.35">
      <c r="H17464" s="711"/>
      <c r="I17464" s="711"/>
      <c r="J17464" s="711"/>
      <c r="K17464" s="711"/>
      <c r="L17464" s="711"/>
      <c r="Q17464" s="11"/>
      <c r="R17464" s="11"/>
      <c r="S17464" s="11"/>
      <c r="T17464" s="11"/>
    </row>
    <row r="17465" spans="8:20" x14ac:dyDescent="0.35">
      <c r="H17465" s="711"/>
      <c r="I17465" s="711"/>
      <c r="J17465" s="711"/>
      <c r="K17465" s="711"/>
      <c r="L17465" s="711"/>
      <c r="Q17465" s="11"/>
      <c r="R17465" s="11"/>
      <c r="S17465" s="11"/>
      <c r="T17465" s="11"/>
    </row>
    <row r="17466" spans="8:20" x14ac:dyDescent="0.35">
      <c r="H17466" s="711"/>
      <c r="I17466" s="711"/>
      <c r="J17466" s="711"/>
      <c r="K17466" s="711"/>
      <c r="L17466" s="711"/>
      <c r="Q17466" s="11"/>
      <c r="R17466" s="11"/>
      <c r="S17466" s="11"/>
      <c r="T17466" s="11"/>
    </row>
    <row r="17467" spans="8:20" x14ac:dyDescent="0.35">
      <c r="H17467" s="711"/>
      <c r="I17467" s="711"/>
      <c r="J17467" s="711"/>
      <c r="K17467" s="711"/>
      <c r="L17467" s="711"/>
      <c r="Q17467" s="11"/>
      <c r="R17467" s="11"/>
      <c r="S17467" s="11"/>
      <c r="T17467" s="11"/>
    </row>
    <row r="17468" spans="8:20" x14ac:dyDescent="0.35">
      <c r="H17468" s="711"/>
      <c r="I17468" s="711"/>
      <c r="J17468" s="711"/>
      <c r="K17468" s="711"/>
      <c r="L17468" s="711"/>
      <c r="Q17468" s="11"/>
      <c r="R17468" s="11"/>
      <c r="S17468" s="11"/>
      <c r="T17468" s="11"/>
    </row>
    <row r="17469" spans="8:20" x14ac:dyDescent="0.35">
      <c r="H17469" s="711"/>
      <c r="I17469" s="711"/>
      <c r="J17469" s="711"/>
      <c r="K17469" s="711"/>
      <c r="L17469" s="711"/>
      <c r="Q17469" s="11"/>
      <c r="R17469" s="11"/>
      <c r="S17469" s="11"/>
      <c r="T17469" s="11"/>
    </row>
    <row r="17470" spans="8:20" x14ac:dyDescent="0.35">
      <c r="H17470" s="711"/>
      <c r="I17470" s="711"/>
      <c r="J17470" s="711"/>
      <c r="K17470" s="711"/>
      <c r="L17470" s="711"/>
      <c r="Q17470" s="11"/>
      <c r="R17470" s="11"/>
      <c r="S17470" s="11"/>
      <c r="T17470" s="11"/>
    </row>
    <row r="17471" spans="8:20" x14ac:dyDescent="0.35">
      <c r="H17471" s="711"/>
      <c r="I17471" s="711"/>
      <c r="J17471" s="711"/>
      <c r="K17471" s="711"/>
      <c r="L17471" s="711"/>
      <c r="Q17471" s="11"/>
      <c r="R17471" s="11"/>
      <c r="S17471" s="11"/>
      <c r="T17471" s="11"/>
    </row>
    <row r="17472" spans="8:20" x14ac:dyDescent="0.35">
      <c r="H17472" s="711"/>
      <c r="I17472" s="711"/>
      <c r="J17472" s="711"/>
      <c r="K17472" s="711"/>
      <c r="L17472" s="711"/>
      <c r="Q17472" s="11"/>
      <c r="R17472" s="11"/>
      <c r="S17472" s="11"/>
      <c r="T17472" s="11"/>
    </row>
    <row r="17473" spans="8:20" x14ac:dyDescent="0.35">
      <c r="H17473" s="711"/>
      <c r="I17473" s="711"/>
      <c r="J17473" s="711"/>
      <c r="K17473" s="711"/>
      <c r="L17473" s="711"/>
      <c r="Q17473" s="11"/>
      <c r="R17473" s="11"/>
      <c r="S17473" s="11"/>
      <c r="T17473" s="11"/>
    </row>
    <row r="17474" spans="8:20" x14ac:dyDescent="0.35">
      <c r="H17474" s="711"/>
      <c r="I17474" s="711"/>
      <c r="J17474" s="711"/>
      <c r="K17474" s="711"/>
      <c r="L17474" s="711"/>
      <c r="Q17474" s="11"/>
      <c r="R17474" s="11"/>
      <c r="S17474" s="11"/>
      <c r="T17474" s="11"/>
    </row>
    <row r="17475" spans="8:20" x14ac:dyDescent="0.35">
      <c r="H17475" s="711"/>
      <c r="I17475" s="711"/>
      <c r="J17475" s="711"/>
      <c r="K17475" s="711"/>
      <c r="L17475" s="711"/>
      <c r="Q17475" s="11"/>
      <c r="R17475" s="11"/>
      <c r="S17475" s="11"/>
      <c r="T17475" s="11"/>
    </row>
    <row r="17476" spans="8:20" x14ac:dyDescent="0.35">
      <c r="H17476" s="711"/>
      <c r="I17476" s="711"/>
      <c r="J17476" s="711"/>
      <c r="K17476" s="711"/>
      <c r="L17476" s="711"/>
      <c r="Q17476" s="11"/>
      <c r="R17476" s="11"/>
      <c r="S17476" s="11"/>
      <c r="T17476" s="11"/>
    </row>
    <row r="17477" spans="8:20" x14ac:dyDescent="0.35">
      <c r="H17477" s="711"/>
      <c r="I17477" s="711"/>
      <c r="J17477" s="711"/>
      <c r="K17477" s="711"/>
      <c r="L17477" s="711"/>
      <c r="Q17477" s="11"/>
      <c r="R17477" s="11"/>
      <c r="S17477" s="11"/>
      <c r="T17477" s="11"/>
    </row>
    <row r="17478" spans="8:20" x14ac:dyDescent="0.35">
      <c r="H17478" s="711"/>
      <c r="I17478" s="711"/>
      <c r="J17478" s="711"/>
      <c r="K17478" s="711"/>
      <c r="L17478" s="711"/>
      <c r="Q17478" s="11"/>
      <c r="R17478" s="11"/>
      <c r="S17478" s="11"/>
      <c r="T17478" s="11"/>
    </row>
    <row r="17479" spans="8:20" x14ac:dyDescent="0.35">
      <c r="H17479" s="711"/>
      <c r="I17479" s="711"/>
      <c r="J17479" s="711"/>
      <c r="K17479" s="711"/>
      <c r="L17479" s="711"/>
      <c r="Q17479" s="11"/>
      <c r="R17479" s="11"/>
      <c r="S17479" s="11"/>
      <c r="T17479" s="11"/>
    </row>
    <row r="17480" spans="8:20" x14ac:dyDescent="0.35">
      <c r="H17480" s="711"/>
      <c r="I17480" s="711"/>
      <c r="J17480" s="711"/>
      <c r="K17480" s="711"/>
      <c r="L17480" s="711"/>
      <c r="Q17480" s="11"/>
      <c r="R17480" s="11"/>
      <c r="S17480" s="11"/>
      <c r="T17480" s="11"/>
    </row>
    <row r="17481" spans="8:20" x14ac:dyDescent="0.35">
      <c r="H17481" s="711"/>
      <c r="I17481" s="711"/>
      <c r="J17481" s="711"/>
      <c r="K17481" s="711"/>
      <c r="L17481" s="711"/>
      <c r="Q17481" s="11"/>
      <c r="R17481" s="11"/>
      <c r="S17481" s="11"/>
      <c r="T17481" s="11"/>
    </row>
    <row r="17482" spans="8:20" x14ac:dyDescent="0.35">
      <c r="H17482" s="711"/>
      <c r="I17482" s="711"/>
      <c r="J17482" s="711"/>
      <c r="K17482" s="711"/>
      <c r="L17482" s="711"/>
      <c r="Q17482" s="11"/>
      <c r="R17482" s="11"/>
      <c r="S17482" s="11"/>
      <c r="T17482" s="11"/>
    </row>
    <row r="17483" spans="8:20" x14ac:dyDescent="0.35">
      <c r="H17483" s="711"/>
      <c r="I17483" s="711"/>
      <c r="J17483" s="711"/>
      <c r="K17483" s="711"/>
      <c r="L17483" s="711"/>
      <c r="Q17483" s="11"/>
      <c r="R17483" s="11"/>
      <c r="S17483" s="11"/>
      <c r="T17483" s="11"/>
    </row>
    <row r="17484" spans="8:20" x14ac:dyDescent="0.35">
      <c r="H17484" s="711"/>
      <c r="I17484" s="711"/>
      <c r="J17484" s="711"/>
      <c r="K17484" s="711"/>
      <c r="L17484" s="711"/>
      <c r="Q17484" s="11"/>
      <c r="R17484" s="11"/>
      <c r="S17484" s="11"/>
      <c r="T17484" s="11"/>
    </row>
    <row r="17485" spans="8:20" x14ac:dyDescent="0.35">
      <c r="H17485" s="711"/>
      <c r="I17485" s="711"/>
      <c r="J17485" s="711"/>
      <c r="K17485" s="711"/>
      <c r="L17485" s="711"/>
      <c r="Q17485" s="11"/>
      <c r="R17485" s="11"/>
      <c r="S17485" s="11"/>
      <c r="T17485" s="11"/>
    </row>
    <row r="17486" spans="8:20" x14ac:dyDescent="0.35">
      <c r="H17486" s="711"/>
      <c r="I17486" s="711"/>
      <c r="J17486" s="711"/>
      <c r="K17486" s="711"/>
      <c r="L17486" s="711"/>
      <c r="Q17486" s="11"/>
      <c r="R17486" s="11"/>
      <c r="S17486" s="11"/>
      <c r="T17486" s="11"/>
    </row>
    <row r="17487" spans="8:20" x14ac:dyDescent="0.35">
      <c r="H17487" s="711"/>
      <c r="I17487" s="711"/>
      <c r="J17487" s="711"/>
      <c r="K17487" s="711"/>
      <c r="L17487" s="711"/>
      <c r="Q17487" s="11"/>
      <c r="R17487" s="11"/>
      <c r="S17487" s="11"/>
      <c r="T17487" s="11"/>
    </row>
    <row r="17488" spans="8:20" x14ac:dyDescent="0.35">
      <c r="H17488" s="711"/>
      <c r="I17488" s="711"/>
      <c r="J17488" s="711"/>
      <c r="K17488" s="711"/>
      <c r="L17488" s="711"/>
      <c r="Q17488" s="11"/>
      <c r="R17488" s="11"/>
      <c r="S17488" s="11"/>
      <c r="T17488" s="11"/>
    </row>
    <row r="17489" spans="8:20" x14ac:dyDescent="0.35">
      <c r="H17489" s="711"/>
      <c r="I17489" s="711"/>
      <c r="J17489" s="711"/>
      <c r="K17489" s="711"/>
      <c r="L17489" s="711"/>
      <c r="Q17489" s="11"/>
      <c r="R17489" s="11"/>
      <c r="S17489" s="11"/>
      <c r="T17489" s="11"/>
    </row>
    <row r="17490" spans="8:20" x14ac:dyDescent="0.35">
      <c r="H17490" s="711"/>
      <c r="I17490" s="711"/>
      <c r="J17490" s="711"/>
      <c r="K17490" s="711"/>
      <c r="L17490" s="711"/>
      <c r="Q17490" s="11"/>
      <c r="R17490" s="11"/>
      <c r="S17490" s="11"/>
      <c r="T17490" s="11"/>
    </row>
    <row r="17491" spans="8:20" x14ac:dyDescent="0.35">
      <c r="H17491" s="711"/>
      <c r="I17491" s="711"/>
      <c r="J17491" s="711"/>
      <c r="K17491" s="711"/>
      <c r="L17491" s="711"/>
      <c r="Q17491" s="11"/>
      <c r="R17491" s="11"/>
      <c r="S17491" s="11"/>
      <c r="T17491" s="11"/>
    </row>
    <row r="17492" spans="8:20" x14ac:dyDescent="0.35">
      <c r="H17492" s="711"/>
      <c r="I17492" s="711"/>
      <c r="J17492" s="711"/>
      <c r="K17492" s="711"/>
      <c r="L17492" s="711"/>
      <c r="Q17492" s="11"/>
      <c r="R17492" s="11"/>
      <c r="S17492" s="11"/>
      <c r="T17492" s="11"/>
    </row>
    <row r="17493" spans="8:20" x14ac:dyDescent="0.35">
      <c r="H17493" s="711"/>
      <c r="I17493" s="711"/>
      <c r="J17493" s="711"/>
      <c r="K17493" s="711"/>
      <c r="L17493" s="711"/>
      <c r="Q17493" s="11"/>
      <c r="R17493" s="11"/>
      <c r="S17493" s="11"/>
      <c r="T17493" s="11"/>
    </row>
    <row r="17494" spans="8:20" x14ac:dyDescent="0.35">
      <c r="H17494" s="711"/>
      <c r="I17494" s="711"/>
      <c r="J17494" s="711"/>
      <c r="K17494" s="711"/>
      <c r="L17494" s="711"/>
      <c r="Q17494" s="11"/>
      <c r="R17494" s="11"/>
      <c r="S17494" s="11"/>
      <c r="T17494" s="11"/>
    </row>
    <row r="17495" spans="8:20" x14ac:dyDescent="0.35">
      <c r="H17495" s="711"/>
      <c r="I17495" s="711"/>
      <c r="J17495" s="711"/>
      <c r="K17495" s="711"/>
      <c r="L17495" s="711"/>
      <c r="Q17495" s="11"/>
      <c r="R17495" s="11"/>
      <c r="S17495" s="11"/>
      <c r="T17495" s="11"/>
    </row>
    <row r="17496" spans="8:20" x14ac:dyDescent="0.35">
      <c r="H17496" s="711"/>
      <c r="I17496" s="711"/>
      <c r="J17496" s="711"/>
      <c r="K17496" s="711"/>
      <c r="L17496" s="711"/>
      <c r="Q17496" s="11"/>
      <c r="R17496" s="11"/>
      <c r="S17496" s="11"/>
      <c r="T17496" s="11"/>
    </row>
    <row r="17497" spans="8:20" x14ac:dyDescent="0.35">
      <c r="H17497" s="711"/>
      <c r="I17497" s="711"/>
      <c r="J17497" s="711"/>
      <c r="K17497" s="711"/>
      <c r="L17497" s="711"/>
      <c r="Q17497" s="11"/>
      <c r="R17497" s="11"/>
      <c r="S17497" s="11"/>
      <c r="T17497" s="11"/>
    </row>
    <row r="17498" spans="8:20" x14ac:dyDescent="0.35">
      <c r="H17498" s="711"/>
      <c r="I17498" s="711"/>
      <c r="J17498" s="711"/>
      <c r="K17498" s="711"/>
      <c r="L17498" s="711"/>
      <c r="Q17498" s="11"/>
      <c r="R17498" s="11"/>
      <c r="S17498" s="11"/>
      <c r="T17498" s="11"/>
    </row>
    <row r="17499" spans="8:20" x14ac:dyDescent="0.35">
      <c r="H17499" s="711"/>
      <c r="I17499" s="711"/>
      <c r="J17499" s="711"/>
      <c r="K17499" s="711"/>
      <c r="L17499" s="711"/>
      <c r="Q17499" s="11"/>
      <c r="R17499" s="11"/>
      <c r="S17499" s="11"/>
      <c r="T17499" s="11"/>
    </row>
    <row r="17500" spans="8:20" x14ac:dyDescent="0.35">
      <c r="H17500" s="711"/>
      <c r="I17500" s="711"/>
      <c r="J17500" s="711"/>
      <c r="K17500" s="711"/>
      <c r="L17500" s="711"/>
      <c r="Q17500" s="11"/>
      <c r="R17500" s="11"/>
      <c r="S17500" s="11"/>
      <c r="T17500" s="11"/>
    </row>
    <row r="17501" spans="8:20" x14ac:dyDescent="0.35">
      <c r="H17501" s="711"/>
      <c r="I17501" s="711"/>
      <c r="J17501" s="711"/>
      <c r="K17501" s="711"/>
      <c r="L17501" s="711"/>
      <c r="Q17501" s="11"/>
      <c r="R17501" s="11"/>
      <c r="S17501" s="11"/>
      <c r="T17501" s="11"/>
    </row>
    <row r="17502" spans="8:20" x14ac:dyDescent="0.35">
      <c r="H17502" s="711"/>
      <c r="I17502" s="711"/>
      <c r="J17502" s="711"/>
      <c r="K17502" s="711"/>
      <c r="L17502" s="711"/>
      <c r="Q17502" s="11"/>
      <c r="R17502" s="11"/>
      <c r="S17502" s="11"/>
      <c r="T17502" s="11"/>
    </row>
    <row r="17503" spans="8:20" x14ac:dyDescent="0.35">
      <c r="H17503" s="711"/>
      <c r="I17503" s="711"/>
      <c r="J17503" s="711"/>
      <c r="K17503" s="711"/>
      <c r="L17503" s="711"/>
      <c r="Q17503" s="11"/>
      <c r="R17503" s="11"/>
      <c r="S17503" s="11"/>
      <c r="T17503" s="11"/>
    </row>
    <row r="17504" spans="8:20" x14ac:dyDescent="0.35">
      <c r="H17504" s="711"/>
      <c r="I17504" s="711"/>
      <c r="J17504" s="711"/>
      <c r="K17504" s="711"/>
      <c r="L17504" s="711"/>
      <c r="Q17504" s="11"/>
      <c r="R17504" s="11"/>
      <c r="S17504" s="11"/>
      <c r="T17504" s="11"/>
    </row>
    <row r="17505" spans="8:20" x14ac:dyDescent="0.35">
      <c r="H17505" s="711"/>
      <c r="I17505" s="711"/>
      <c r="J17505" s="711"/>
      <c r="K17505" s="711"/>
      <c r="L17505" s="711"/>
      <c r="Q17505" s="11"/>
      <c r="R17505" s="11"/>
      <c r="S17505" s="11"/>
      <c r="T17505" s="11"/>
    </row>
    <row r="17506" spans="8:20" x14ac:dyDescent="0.35">
      <c r="H17506" s="711"/>
      <c r="I17506" s="711"/>
      <c r="J17506" s="711"/>
      <c r="K17506" s="711"/>
      <c r="L17506" s="711"/>
      <c r="Q17506" s="11"/>
      <c r="R17506" s="11"/>
      <c r="S17506" s="11"/>
      <c r="T17506" s="11"/>
    </row>
    <row r="17507" spans="8:20" x14ac:dyDescent="0.35">
      <c r="H17507" s="711"/>
      <c r="I17507" s="711"/>
      <c r="J17507" s="711"/>
      <c r="K17507" s="711"/>
      <c r="L17507" s="711"/>
      <c r="Q17507" s="11"/>
      <c r="R17507" s="11"/>
      <c r="S17507" s="11"/>
      <c r="T17507" s="11"/>
    </row>
    <row r="17508" spans="8:20" x14ac:dyDescent="0.35">
      <c r="H17508" s="711"/>
      <c r="I17508" s="711"/>
      <c r="J17508" s="711"/>
      <c r="K17508" s="711"/>
      <c r="L17508" s="711"/>
      <c r="Q17508" s="11"/>
      <c r="R17508" s="11"/>
      <c r="S17508" s="11"/>
      <c r="T17508" s="11"/>
    </row>
    <row r="17509" spans="8:20" x14ac:dyDescent="0.35">
      <c r="H17509" s="711"/>
      <c r="I17509" s="711"/>
      <c r="J17509" s="711"/>
      <c r="K17509" s="711"/>
      <c r="L17509" s="711"/>
      <c r="Q17509" s="11"/>
      <c r="R17509" s="11"/>
      <c r="S17509" s="11"/>
      <c r="T17509" s="11"/>
    </row>
    <row r="17510" spans="8:20" x14ac:dyDescent="0.35">
      <c r="H17510" s="711"/>
      <c r="I17510" s="711"/>
      <c r="J17510" s="711"/>
      <c r="K17510" s="711"/>
      <c r="L17510" s="711"/>
      <c r="Q17510" s="11"/>
      <c r="R17510" s="11"/>
      <c r="S17510" s="11"/>
      <c r="T17510" s="11"/>
    </row>
    <row r="17511" spans="8:20" x14ac:dyDescent="0.35">
      <c r="H17511" s="711"/>
      <c r="I17511" s="711"/>
      <c r="J17511" s="711"/>
      <c r="K17511" s="711"/>
      <c r="L17511" s="711"/>
      <c r="Q17511" s="11"/>
      <c r="R17511" s="11"/>
      <c r="S17511" s="11"/>
      <c r="T17511" s="11"/>
    </row>
    <row r="17512" spans="8:20" x14ac:dyDescent="0.35">
      <c r="H17512" s="711"/>
      <c r="I17512" s="711"/>
      <c r="J17512" s="711"/>
      <c r="K17512" s="711"/>
      <c r="L17512" s="711"/>
      <c r="Q17512" s="11"/>
      <c r="R17512" s="11"/>
      <c r="S17512" s="11"/>
      <c r="T17512" s="11"/>
    </row>
    <row r="17513" spans="8:20" x14ac:dyDescent="0.35">
      <c r="H17513" s="711"/>
      <c r="I17513" s="711"/>
      <c r="J17513" s="711"/>
      <c r="K17513" s="711"/>
      <c r="L17513" s="711"/>
      <c r="Q17513" s="11"/>
      <c r="R17513" s="11"/>
      <c r="S17513" s="11"/>
      <c r="T17513" s="11"/>
    </row>
    <row r="17514" spans="8:20" x14ac:dyDescent="0.35">
      <c r="H17514" s="711"/>
      <c r="I17514" s="711"/>
      <c r="J17514" s="711"/>
      <c r="K17514" s="711"/>
      <c r="L17514" s="711"/>
      <c r="Q17514" s="11"/>
      <c r="R17514" s="11"/>
      <c r="S17514" s="11"/>
      <c r="T17514" s="11"/>
    </row>
    <row r="17515" spans="8:20" x14ac:dyDescent="0.35">
      <c r="H17515" s="711"/>
      <c r="I17515" s="711"/>
      <c r="J17515" s="711"/>
      <c r="K17515" s="711"/>
      <c r="L17515" s="711"/>
      <c r="Q17515" s="11"/>
      <c r="R17515" s="11"/>
      <c r="S17515" s="11"/>
      <c r="T17515" s="11"/>
    </row>
    <row r="17516" spans="8:20" x14ac:dyDescent="0.35">
      <c r="H17516" s="711"/>
      <c r="I17516" s="711"/>
      <c r="J17516" s="711"/>
      <c r="K17516" s="711"/>
      <c r="L17516" s="711"/>
      <c r="Q17516" s="11"/>
      <c r="R17516" s="11"/>
      <c r="S17516" s="11"/>
      <c r="T17516" s="11"/>
    </row>
    <row r="17517" spans="8:20" x14ac:dyDescent="0.35">
      <c r="H17517" s="711"/>
      <c r="I17517" s="711"/>
      <c r="J17517" s="711"/>
      <c r="K17517" s="711"/>
      <c r="L17517" s="711"/>
      <c r="Q17517" s="11"/>
      <c r="R17517" s="11"/>
      <c r="S17517" s="11"/>
      <c r="T17517" s="11"/>
    </row>
    <row r="17518" spans="8:20" x14ac:dyDescent="0.35">
      <c r="H17518" s="711"/>
      <c r="I17518" s="711"/>
      <c r="J17518" s="711"/>
      <c r="K17518" s="711"/>
      <c r="L17518" s="711"/>
      <c r="Q17518" s="11"/>
      <c r="R17518" s="11"/>
      <c r="S17518" s="11"/>
      <c r="T17518" s="11"/>
    </row>
    <row r="17519" spans="8:20" x14ac:dyDescent="0.35">
      <c r="H17519" s="711"/>
      <c r="I17519" s="711"/>
      <c r="J17519" s="711"/>
      <c r="K17519" s="711"/>
      <c r="L17519" s="711"/>
      <c r="Q17519" s="11"/>
      <c r="R17519" s="11"/>
      <c r="S17519" s="11"/>
      <c r="T17519" s="11"/>
    </row>
    <row r="17520" spans="8:20" x14ac:dyDescent="0.35">
      <c r="H17520" s="711"/>
      <c r="I17520" s="711"/>
      <c r="J17520" s="711"/>
      <c r="K17520" s="711"/>
      <c r="L17520" s="711"/>
      <c r="Q17520" s="11"/>
      <c r="R17520" s="11"/>
      <c r="S17520" s="11"/>
      <c r="T17520" s="11"/>
    </row>
    <row r="17521" spans="8:20" x14ac:dyDescent="0.35">
      <c r="H17521" s="711"/>
      <c r="I17521" s="711"/>
      <c r="J17521" s="711"/>
      <c r="K17521" s="711"/>
      <c r="L17521" s="711"/>
      <c r="Q17521" s="11"/>
      <c r="R17521" s="11"/>
      <c r="S17521" s="11"/>
      <c r="T17521" s="11"/>
    </row>
    <row r="17522" spans="8:20" x14ac:dyDescent="0.35">
      <c r="H17522" s="711"/>
      <c r="I17522" s="711"/>
      <c r="J17522" s="711"/>
      <c r="K17522" s="711"/>
      <c r="L17522" s="711"/>
      <c r="Q17522" s="11"/>
      <c r="R17522" s="11"/>
      <c r="S17522" s="11"/>
      <c r="T17522" s="11"/>
    </row>
    <row r="17523" spans="8:20" x14ac:dyDescent="0.35">
      <c r="H17523" s="711"/>
      <c r="I17523" s="711"/>
      <c r="J17523" s="711"/>
      <c r="K17523" s="711"/>
      <c r="L17523" s="711"/>
      <c r="Q17523" s="11"/>
      <c r="R17523" s="11"/>
      <c r="S17523" s="11"/>
      <c r="T17523" s="11"/>
    </row>
    <row r="17524" spans="8:20" x14ac:dyDescent="0.35">
      <c r="H17524" s="711"/>
      <c r="I17524" s="711"/>
      <c r="J17524" s="711"/>
      <c r="K17524" s="711"/>
      <c r="L17524" s="711"/>
      <c r="Q17524" s="11"/>
      <c r="R17524" s="11"/>
      <c r="S17524" s="11"/>
      <c r="T17524" s="11"/>
    </row>
    <row r="17525" spans="8:20" x14ac:dyDescent="0.35">
      <c r="H17525" s="711"/>
      <c r="I17525" s="711"/>
      <c r="J17525" s="711"/>
      <c r="K17525" s="711"/>
      <c r="L17525" s="711"/>
      <c r="Q17525" s="11"/>
      <c r="R17525" s="11"/>
      <c r="S17525" s="11"/>
      <c r="T17525" s="11"/>
    </row>
    <row r="17526" spans="8:20" x14ac:dyDescent="0.35">
      <c r="H17526" s="711"/>
      <c r="I17526" s="711"/>
      <c r="J17526" s="711"/>
      <c r="K17526" s="711"/>
      <c r="L17526" s="711"/>
      <c r="Q17526" s="11"/>
      <c r="R17526" s="11"/>
      <c r="S17526" s="11"/>
      <c r="T17526" s="11"/>
    </row>
    <row r="17527" spans="8:20" x14ac:dyDescent="0.35">
      <c r="H17527" s="711"/>
      <c r="I17527" s="711"/>
      <c r="J17527" s="711"/>
      <c r="K17527" s="711"/>
      <c r="L17527" s="711"/>
      <c r="Q17527" s="11"/>
      <c r="R17527" s="11"/>
      <c r="S17527" s="11"/>
      <c r="T17527" s="11"/>
    </row>
    <row r="17528" spans="8:20" x14ac:dyDescent="0.35">
      <c r="H17528" s="711"/>
      <c r="I17528" s="711"/>
      <c r="J17528" s="711"/>
      <c r="K17528" s="711"/>
      <c r="L17528" s="711"/>
      <c r="Q17528" s="11"/>
      <c r="R17528" s="11"/>
      <c r="S17528" s="11"/>
      <c r="T17528" s="11"/>
    </row>
    <row r="17529" spans="8:20" x14ac:dyDescent="0.35">
      <c r="H17529" s="711"/>
      <c r="I17529" s="711"/>
      <c r="J17529" s="711"/>
      <c r="K17529" s="711"/>
      <c r="L17529" s="711"/>
      <c r="Q17529" s="11"/>
      <c r="R17529" s="11"/>
      <c r="S17529" s="11"/>
      <c r="T17529" s="11"/>
    </row>
    <row r="17530" spans="8:20" x14ac:dyDescent="0.35">
      <c r="H17530" s="711"/>
      <c r="I17530" s="711"/>
      <c r="J17530" s="711"/>
      <c r="K17530" s="711"/>
      <c r="L17530" s="711"/>
      <c r="Q17530" s="11"/>
      <c r="R17530" s="11"/>
      <c r="S17530" s="11"/>
      <c r="T17530" s="11"/>
    </row>
    <row r="17531" spans="8:20" x14ac:dyDescent="0.35">
      <c r="H17531" s="711"/>
      <c r="I17531" s="711"/>
      <c r="J17531" s="711"/>
      <c r="K17531" s="711"/>
      <c r="L17531" s="711"/>
      <c r="Q17531" s="11"/>
      <c r="R17531" s="11"/>
      <c r="S17531" s="11"/>
      <c r="T17531" s="11"/>
    </row>
    <row r="17532" spans="8:20" x14ac:dyDescent="0.35">
      <c r="H17532" s="711"/>
      <c r="I17532" s="711"/>
      <c r="J17532" s="711"/>
      <c r="K17532" s="711"/>
      <c r="L17532" s="711"/>
      <c r="Q17532" s="11"/>
      <c r="R17532" s="11"/>
      <c r="S17532" s="11"/>
      <c r="T17532" s="11"/>
    </row>
    <row r="17533" spans="8:20" x14ac:dyDescent="0.35">
      <c r="H17533" s="711"/>
      <c r="I17533" s="711"/>
      <c r="J17533" s="711"/>
      <c r="K17533" s="711"/>
      <c r="L17533" s="711"/>
      <c r="Q17533" s="11"/>
      <c r="R17533" s="11"/>
      <c r="S17533" s="11"/>
      <c r="T17533" s="11"/>
    </row>
    <row r="17534" spans="8:20" x14ac:dyDescent="0.35">
      <c r="H17534" s="711"/>
      <c r="I17534" s="711"/>
      <c r="J17534" s="711"/>
      <c r="K17534" s="711"/>
      <c r="L17534" s="711"/>
      <c r="Q17534" s="11"/>
      <c r="R17534" s="11"/>
      <c r="S17534" s="11"/>
      <c r="T17534" s="11"/>
    </row>
    <row r="17535" spans="8:20" x14ac:dyDescent="0.35">
      <c r="H17535" s="711"/>
      <c r="I17535" s="711"/>
      <c r="J17535" s="711"/>
      <c r="K17535" s="711"/>
      <c r="L17535" s="711"/>
      <c r="Q17535" s="11"/>
      <c r="R17535" s="11"/>
      <c r="S17535" s="11"/>
      <c r="T17535" s="11"/>
    </row>
    <row r="17536" spans="8:20" x14ac:dyDescent="0.35">
      <c r="H17536" s="711"/>
      <c r="I17536" s="711"/>
      <c r="J17536" s="711"/>
      <c r="K17536" s="711"/>
      <c r="L17536" s="711"/>
      <c r="Q17536" s="11"/>
      <c r="R17536" s="11"/>
      <c r="S17536" s="11"/>
      <c r="T17536" s="11"/>
    </row>
    <row r="17537" spans="8:20" x14ac:dyDescent="0.35">
      <c r="H17537" s="711"/>
      <c r="I17537" s="711"/>
      <c r="J17537" s="711"/>
      <c r="K17537" s="711"/>
      <c r="L17537" s="711"/>
      <c r="Q17537" s="11"/>
      <c r="R17537" s="11"/>
      <c r="S17537" s="11"/>
      <c r="T17537" s="11"/>
    </row>
    <row r="17538" spans="8:20" x14ac:dyDescent="0.35">
      <c r="H17538" s="711"/>
      <c r="I17538" s="711"/>
      <c r="J17538" s="711"/>
      <c r="K17538" s="711"/>
      <c r="L17538" s="711"/>
      <c r="Q17538" s="11"/>
      <c r="R17538" s="11"/>
      <c r="S17538" s="11"/>
      <c r="T17538" s="11"/>
    </row>
    <row r="17539" spans="8:20" x14ac:dyDescent="0.35">
      <c r="H17539" s="711"/>
      <c r="I17539" s="711"/>
      <c r="J17539" s="711"/>
      <c r="K17539" s="711"/>
      <c r="L17539" s="711"/>
      <c r="Q17539" s="11"/>
      <c r="R17539" s="11"/>
      <c r="S17539" s="11"/>
      <c r="T17539" s="11"/>
    </row>
    <row r="17540" spans="8:20" x14ac:dyDescent="0.35">
      <c r="H17540" s="711"/>
      <c r="I17540" s="711"/>
      <c r="J17540" s="711"/>
      <c r="K17540" s="711"/>
      <c r="L17540" s="711"/>
      <c r="Q17540" s="11"/>
      <c r="R17540" s="11"/>
      <c r="S17540" s="11"/>
      <c r="T17540" s="11"/>
    </row>
    <row r="17541" spans="8:20" x14ac:dyDescent="0.35">
      <c r="H17541" s="711"/>
      <c r="I17541" s="711"/>
      <c r="J17541" s="711"/>
      <c r="K17541" s="711"/>
      <c r="L17541" s="711"/>
      <c r="Q17541" s="11"/>
      <c r="R17541" s="11"/>
      <c r="S17541" s="11"/>
      <c r="T17541" s="11"/>
    </row>
    <row r="17542" spans="8:20" x14ac:dyDescent="0.35">
      <c r="H17542" s="711"/>
      <c r="I17542" s="711"/>
      <c r="J17542" s="711"/>
      <c r="K17542" s="711"/>
      <c r="L17542" s="711"/>
      <c r="Q17542" s="11"/>
      <c r="R17542" s="11"/>
      <c r="S17542" s="11"/>
      <c r="T17542" s="11"/>
    </row>
    <row r="17543" spans="8:20" x14ac:dyDescent="0.35">
      <c r="H17543" s="711"/>
      <c r="I17543" s="711"/>
      <c r="J17543" s="711"/>
      <c r="K17543" s="711"/>
      <c r="L17543" s="711"/>
      <c r="Q17543" s="11"/>
      <c r="R17543" s="11"/>
      <c r="S17543" s="11"/>
      <c r="T17543" s="11"/>
    </row>
    <row r="17544" spans="8:20" x14ac:dyDescent="0.35">
      <c r="H17544" s="711"/>
      <c r="I17544" s="711"/>
      <c r="J17544" s="711"/>
      <c r="K17544" s="711"/>
      <c r="L17544" s="711"/>
      <c r="Q17544" s="11"/>
      <c r="R17544" s="11"/>
      <c r="S17544" s="11"/>
      <c r="T17544" s="11"/>
    </row>
    <row r="17545" spans="8:20" x14ac:dyDescent="0.35">
      <c r="H17545" s="711"/>
      <c r="I17545" s="711"/>
      <c r="J17545" s="711"/>
      <c r="K17545" s="711"/>
      <c r="L17545" s="711"/>
      <c r="Q17545" s="11"/>
      <c r="R17545" s="11"/>
      <c r="S17545" s="11"/>
      <c r="T17545" s="11"/>
    </row>
    <row r="17546" spans="8:20" x14ac:dyDescent="0.35">
      <c r="H17546" s="711"/>
      <c r="I17546" s="711"/>
      <c r="J17546" s="711"/>
      <c r="K17546" s="711"/>
      <c r="L17546" s="711"/>
      <c r="Q17546" s="11"/>
      <c r="R17546" s="11"/>
      <c r="S17546" s="11"/>
      <c r="T17546" s="11"/>
    </row>
    <row r="17547" spans="8:20" x14ac:dyDescent="0.35">
      <c r="H17547" s="711"/>
      <c r="I17547" s="711"/>
      <c r="J17547" s="711"/>
      <c r="K17547" s="711"/>
      <c r="L17547" s="711"/>
      <c r="Q17547" s="11"/>
      <c r="R17547" s="11"/>
      <c r="S17547" s="11"/>
      <c r="T17547" s="11"/>
    </row>
    <row r="17548" spans="8:20" x14ac:dyDescent="0.35">
      <c r="H17548" s="711"/>
      <c r="I17548" s="711"/>
      <c r="J17548" s="711"/>
      <c r="K17548" s="711"/>
      <c r="L17548" s="711"/>
      <c r="Q17548" s="11"/>
      <c r="R17548" s="11"/>
      <c r="S17548" s="11"/>
      <c r="T17548" s="11"/>
    </row>
    <row r="17549" spans="8:20" x14ac:dyDescent="0.35">
      <c r="H17549" s="711"/>
      <c r="I17549" s="711"/>
      <c r="J17549" s="711"/>
      <c r="K17549" s="711"/>
      <c r="L17549" s="711"/>
      <c r="Q17549" s="11"/>
      <c r="R17549" s="11"/>
      <c r="S17549" s="11"/>
      <c r="T17549" s="11"/>
    </row>
    <row r="17550" spans="8:20" x14ac:dyDescent="0.35">
      <c r="H17550" s="711"/>
      <c r="I17550" s="711"/>
      <c r="J17550" s="711"/>
      <c r="K17550" s="711"/>
      <c r="L17550" s="711"/>
      <c r="Q17550" s="11"/>
      <c r="R17550" s="11"/>
      <c r="S17550" s="11"/>
      <c r="T17550" s="11"/>
    </row>
    <row r="17551" spans="8:20" x14ac:dyDescent="0.35">
      <c r="H17551" s="711"/>
      <c r="I17551" s="711"/>
      <c r="J17551" s="711"/>
      <c r="K17551" s="711"/>
      <c r="L17551" s="711"/>
      <c r="Q17551" s="11"/>
      <c r="R17551" s="11"/>
      <c r="S17551" s="11"/>
      <c r="T17551" s="11"/>
    </row>
    <row r="17552" spans="8:20" x14ac:dyDescent="0.35">
      <c r="H17552" s="711"/>
      <c r="I17552" s="711"/>
      <c r="J17552" s="711"/>
      <c r="K17552" s="711"/>
      <c r="L17552" s="711"/>
      <c r="Q17552" s="11"/>
      <c r="R17552" s="11"/>
      <c r="S17552" s="11"/>
      <c r="T17552" s="11"/>
    </row>
    <row r="17553" spans="8:20" x14ac:dyDescent="0.35">
      <c r="H17553" s="711"/>
      <c r="I17553" s="711"/>
      <c r="J17553" s="711"/>
      <c r="K17553" s="711"/>
      <c r="L17553" s="711"/>
      <c r="Q17553" s="11"/>
      <c r="R17553" s="11"/>
      <c r="S17553" s="11"/>
      <c r="T17553" s="11"/>
    </row>
    <row r="17554" spans="8:20" x14ac:dyDescent="0.35">
      <c r="H17554" s="711"/>
      <c r="I17554" s="711"/>
      <c r="J17554" s="711"/>
      <c r="K17554" s="711"/>
      <c r="L17554" s="711"/>
      <c r="Q17554" s="11"/>
      <c r="R17554" s="11"/>
      <c r="S17554" s="11"/>
      <c r="T17554" s="11"/>
    </row>
    <row r="17555" spans="8:20" x14ac:dyDescent="0.35">
      <c r="H17555" s="711"/>
      <c r="I17555" s="711"/>
      <c r="J17555" s="711"/>
      <c r="K17555" s="711"/>
      <c r="L17555" s="711"/>
      <c r="Q17555" s="11"/>
      <c r="R17555" s="11"/>
      <c r="S17555" s="11"/>
      <c r="T17555" s="11"/>
    </row>
    <row r="17556" spans="8:20" x14ac:dyDescent="0.35">
      <c r="H17556" s="711"/>
      <c r="I17556" s="711"/>
      <c r="J17556" s="711"/>
      <c r="K17556" s="711"/>
      <c r="L17556" s="711"/>
      <c r="Q17556" s="11"/>
      <c r="R17556" s="11"/>
      <c r="S17556" s="11"/>
      <c r="T17556" s="11"/>
    </row>
    <row r="17557" spans="8:20" x14ac:dyDescent="0.35">
      <c r="H17557" s="711"/>
      <c r="I17557" s="711"/>
      <c r="J17557" s="711"/>
      <c r="K17557" s="711"/>
      <c r="L17557" s="711"/>
      <c r="Q17557" s="11"/>
      <c r="R17557" s="11"/>
      <c r="S17557" s="11"/>
      <c r="T17557" s="11"/>
    </row>
    <row r="17558" spans="8:20" x14ac:dyDescent="0.35">
      <c r="H17558" s="711"/>
      <c r="I17558" s="711"/>
      <c r="J17558" s="711"/>
      <c r="K17558" s="711"/>
      <c r="L17558" s="711"/>
      <c r="Q17558" s="11"/>
      <c r="R17558" s="11"/>
      <c r="S17558" s="11"/>
      <c r="T17558" s="11"/>
    </row>
    <row r="17559" spans="8:20" x14ac:dyDescent="0.35">
      <c r="H17559" s="711"/>
      <c r="I17559" s="711"/>
      <c r="J17559" s="711"/>
      <c r="K17559" s="711"/>
      <c r="L17559" s="711"/>
      <c r="Q17559" s="11"/>
      <c r="R17559" s="11"/>
      <c r="S17559" s="11"/>
      <c r="T17559" s="11"/>
    </row>
    <row r="17560" spans="8:20" x14ac:dyDescent="0.35">
      <c r="H17560" s="711"/>
      <c r="I17560" s="711"/>
      <c r="J17560" s="711"/>
      <c r="K17560" s="711"/>
      <c r="L17560" s="711"/>
      <c r="Q17560" s="11"/>
      <c r="R17560" s="11"/>
      <c r="S17560" s="11"/>
      <c r="T17560" s="11"/>
    </row>
    <row r="17561" spans="8:20" x14ac:dyDescent="0.35">
      <c r="H17561" s="711"/>
      <c r="I17561" s="711"/>
      <c r="J17561" s="711"/>
      <c r="K17561" s="711"/>
      <c r="L17561" s="711"/>
      <c r="Q17561" s="11"/>
      <c r="R17561" s="11"/>
      <c r="S17561" s="11"/>
      <c r="T17561" s="11"/>
    </row>
    <row r="17562" spans="8:20" x14ac:dyDescent="0.35">
      <c r="H17562" s="711"/>
      <c r="I17562" s="711"/>
      <c r="J17562" s="711"/>
      <c r="K17562" s="711"/>
      <c r="L17562" s="711"/>
      <c r="Q17562" s="11"/>
      <c r="R17562" s="11"/>
      <c r="S17562" s="11"/>
      <c r="T17562" s="11"/>
    </row>
    <row r="17563" spans="8:20" x14ac:dyDescent="0.35">
      <c r="H17563" s="711"/>
      <c r="I17563" s="711"/>
      <c r="J17563" s="711"/>
      <c r="K17563" s="711"/>
      <c r="L17563" s="711"/>
      <c r="Q17563" s="11"/>
      <c r="R17563" s="11"/>
      <c r="S17563" s="11"/>
      <c r="T17563" s="11"/>
    </row>
    <row r="17564" spans="8:20" x14ac:dyDescent="0.35">
      <c r="H17564" s="711"/>
      <c r="I17564" s="711"/>
      <c r="J17564" s="711"/>
      <c r="K17564" s="711"/>
      <c r="L17564" s="711"/>
      <c r="Q17564" s="11"/>
      <c r="R17564" s="11"/>
      <c r="S17564" s="11"/>
      <c r="T17564" s="11"/>
    </row>
    <row r="17565" spans="8:20" x14ac:dyDescent="0.35">
      <c r="H17565" s="711"/>
      <c r="I17565" s="711"/>
      <c r="J17565" s="711"/>
      <c r="K17565" s="711"/>
      <c r="L17565" s="711"/>
      <c r="Q17565" s="11"/>
      <c r="R17565" s="11"/>
      <c r="S17565" s="11"/>
      <c r="T17565" s="11"/>
    </row>
    <row r="17566" spans="8:20" x14ac:dyDescent="0.35">
      <c r="H17566" s="711"/>
      <c r="I17566" s="711"/>
      <c r="J17566" s="711"/>
      <c r="K17566" s="711"/>
      <c r="L17566" s="711"/>
      <c r="Q17566" s="11"/>
      <c r="R17566" s="11"/>
      <c r="S17566" s="11"/>
      <c r="T17566" s="11"/>
    </row>
    <row r="17567" spans="8:20" x14ac:dyDescent="0.35">
      <c r="H17567" s="711"/>
      <c r="I17567" s="711"/>
      <c r="J17567" s="711"/>
      <c r="K17567" s="711"/>
      <c r="L17567" s="711"/>
      <c r="Q17567" s="11"/>
      <c r="R17567" s="11"/>
      <c r="S17567" s="11"/>
      <c r="T17567" s="11"/>
    </row>
    <row r="17568" spans="8:20" x14ac:dyDescent="0.35">
      <c r="H17568" s="711"/>
      <c r="I17568" s="711"/>
      <c r="J17568" s="711"/>
      <c r="K17568" s="711"/>
      <c r="L17568" s="711"/>
      <c r="Q17568" s="11"/>
      <c r="R17568" s="11"/>
      <c r="S17568" s="11"/>
      <c r="T17568" s="11"/>
    </row>
    <row r="17569" spans="8:20" x14ac:dyDescent="0.35">
      <c r="H17569" s="711"/>
      <c r="I17569" s="711"/>
      <c r="J17569" s="711"/>
      <c r="K17569" s="711"/>
      <c r="L17569" s="711"/>
      <c r="Q17569" s="11"/>
      <c r="R17569" s="11"/>
      <c r="S17569" s="11"/>
      <c r="T17569" s="11"/>
    </row>
    <row r="17570" spans="8:20" x14ac:dyDescent="0.35">
      <c r="H17570" s="711"/>
      <c r="I17570" s="711"/>
      <c r="J17570" s="711"/>
      <c r="K17570" s="711"/>
      <c r="L17570" s="711"/>
      <c r="Q17570" s="11"/>
      <c r="R17570" s="11"/>
      <c r="S17570" s="11"/>
      <c r="T17570" s="11"/>
    </row>
    <row r="17571" spans="8:20" x14ac:dyDescent="0.35">
      <c r="H17571" s="711"/>
      <c r="I17571" s="711"/>
      <c r="J17571" s="711"/>
      <c r="K17571" s="711"/>
      <c r="L17571" s="711"/>
      <c r="Q17571" s="11"/>
      <c r="R17571" s="11"/>
      <c r="S17571" s="11"/>
      <c r="T17571" s="11"/>
    </row>
    <row r="17572" spans="8:20" x14ac:dyDescent="0.35">
      <c r="H17572" s="711"/>
      <c r="I17572" s="711"/>
      <c r="J17572" s="711"/>
      <c r="K17572" s="711"/>
      <c r="L17572" s="711"/>
      <c r="Q17572" s="11"/>
      <c r="R17572" s="11"/>
      <c r="S17572" s="11"/>
      <c r="T17572" s="11"/>
    </row>
    <row r="17573" spans="8:20" x14ac:dyDescent="0.35">
      <c r="H17573" s="711"/>
      <c r="I17573" s="711"/>
      <c r="J17573" s="711"/>
      <c r="K17573" s="711"/>
      <c r="L17573" s="711"/>
      <c r="Q17573" s="11"/>
      <c r="R17573" s="11"/>
      <c r="S17573" s="11"/>
      <c r="T17573" s="11"/>
    </row>
    <row r="17574" spans="8:20" x14ac:dyDescent="0.35">
      <c r="H17574" s="711"/>
      <c r="I17574" s="711"/>
      <c r="J17574" s="711"/>
      <c r="K17574" s="711"/>
      <c r="L17574" s="711"/>
      <c r="Q17574" s="11"/>
      <c r="R17574" s="11"/>
      <c r="S17574" s="11"/>
      <c r="T17574" s="11"/>
    </row>
    <row r="17575" spans="8:20" x14ac:dyDescent="0.35">
      <c r="H17575" s="711"/>
      <c r="I17575" s="711"/>
      <c r="J17575" s="711"/>
      <c r="K17575" s="711"/>
      <c r="L17575" s="711"/>
      <c r="Q17575" s="11"/>
      <c r="R17575" s="11"/>
      <c r="S17575" s="11"/>
      <c r="T17575" s="11"/>
    </row>
    <row r="17576" spans="8:20" x14ac:dyDescent="0.35">
      <c r="H17576" s="711"/>
      <c r="I17576" s="711"/>
      <c r="J17576" s="711"/>
      <c r="K17576" s="711"/>
      <c r="L17576" s="711"/>
      <c r="Q17576" s="11"/>
      <c r="R17576" s="11"/>
      <c r="S17576" s="11"/>
      <c r="T17576" s="11"/>
    </row>
    <row r="17577" spans="8:20" x14ac:dyDescent="0.35">
      <c r="H17577" s="711"/>
      <c r="I17577" s="711"/>
      <c r="J17577" s="711"/>
      <c r="K17577" s="711"/>
      <c r="L17577" s="711"/>
      <c r="Q17577" s="11"/>
      <c r="R17577" s="11"/>
      <c r="S17577" s="11"/>
      <c r="T17577" s="11"/>
    </row>
    <row r="17578" spans="8:20" x14ac:dyDescent="0.35">
      <c r="H17578" s="711"/>
      <c r="I17578" s="711"/>
      <c r="J17578" s="711"/>
      <c r="K17578" s="711"/>
      <c r="L17578" s="711"/>
      <c r="Q17578" s="11"/>
      <c r="R17578" s="11"/>
      <c r="S17578" s="11"/>
      <c r="T17578" s="11"/>
    </row>
    <row r="17579" spans="8:20" x14ac:dyDescent="0.35">
      <c r="H17579" s="711"/>
      <c r="I17579" s="711"/>
      <c r="J17579" s="711"/>
      <c r="K17579" s="711"/>
      <c r="L17579" s="711"/>
      <c r="Q17579" s="11"/>
      <c r="R17579" s="11"/>
      <c r="S17579" s="11"/>
      <c r="T17579" s="11"/>
    </row>
    <row r="17580" spans="8:20" x14ac:dyDescent="0.35">
      <c r="H17580" s="711"/>
      <c r="I17580" s="711"/>
      <c r="J17580" s="711"/>
      <c r="K17580" s="711"/>
      <c r="L17580" s="711"/>
      <c r="Q17580" s="11"/>
      <c r="R17580" s="11"/>
      <c r="S17580" s="11"/>
      <c r="T17580" s="11"/>
    </row>
    <row r="17581" spans="8:20" x14ac:dyDescent="0.35">
      <c r="H17581" s="711"/>
      <c r="I17581" s="711"/>
      <c r="J17581" s="711"/>
      <c r="K17581" s="711"/>
      <c r="L17581" s="711"/>
      <c r="Q17581" s="11"/>
      <c r="R17581" s="11"/>
      <c r="S17581" s="11"/>
      <c r="T17581" s="11"/>
    </row>
    <row r="17582" spans="8:20" x14ac:dyDescent="0.35">
      <c r="H17582" s="711"/>
      <c r="I17582" s="711"/>
      <c r="J17582" s="711"/>
      <c r="K17582" s="711"/>
      <c r="L17582" s="711"/>
      <c r="Q17582" s="11"/>
      <c r="R17582" s="11"/>
      <c r="S17582" s="11"/>
      <c r="T17582" s="11"/>
    </row>
    <row r="17583" spans="8:20" x14ac:dyDescent="0.35">
      <c r="H17583" s="711"/>
      <c r="I17583" s="711"/>
      <c r="J17583" s="711"/>
      <c r="K17583" s="711"/>
      <c r="L17583" s="711"/>
      <c r="Q17583" s="11"/>
      <c r="R17583" s="11"/>
      <c r="S17583" s="11"/>
      <c r="T17583" s="11"/>
    </row>
    <row r="17584" spans="8:20" x14ac:dyDescent="0.35">
      <c r="H17584" s="711"/>
      <c r="I17584" s="711"/>
      <c r="J17584" s="711"/>
      <c r="K17584" s="711"/>
      <c r="L17584" s="711"/>
      <c r="Q17584" s="11"/>
      <c r="R17584" s="11"/>
      <c r="S17584" s="11"/>
      <c r="T17584" s="11"/>
    </row>
    <row r="17585" spans="8:20" x14ac:dyDescent="0.35">
      <c r="H17585" s="711"/>
      <c r="I17585" s="711"/>
      <c r="J17585" s="711"/>
      <c r="K17585" s="711"/>
      <c r="L17585" s="711"/>
      <c r="Q17585" s="11"/>
      <c r="R17585" s="11"/>
      <c r="S17585" s="11"/>
      <c r="T17585" s="11"/>
    </row>
    <row r="17586" spans="8:20" x14ac:dyDescent="0.35">
      <c r="H17586" s="711"/>
      <c r="I17586" s="711"/>
      <c r="J17586" s="711"/>
      <c r="K17586" s="711"/>
      <c r="L17586" s="711"/>
      <c r="Q17586" s="11"/>
      <c r="R17586" s="11"/>
      <c r="S17586" s="11"/>
      <c r="T17586" s="11"/>
    </row>
    <row r="17587" spans="8:20" x14ac:dyDescent="0.35">
      <c r="H17587" s="711"/>
      <c r="I17587" s="711"/>
      <c r="J17587" s="711"/>
      <c r="K17587" s="711"/>
      <c r="L17587" s="711"/>
      <c r="Q17587" s="11"/>
      <c r="R17587" s="11"/>
      <c r="S17587" s="11"/>
      <c r="T17587" s="11"/>
    </row>
    <row r="17588" spans="8:20" x14ac:dyDescent="0.35">
      <c r="H17588" s="711"/>
      <c r="I17588" s="711"/>
      <c r="J17588" s="711"/>
      <c r="K17588" s="711"/>
      <c r="L17588" s="711"/>
      <c r="Q17588" s="11"/>
      <c r="R17588" s="11"/>
      <c r="S17588" s="11"/>
      <c r="T17588" s="11"/>
    </row>
    <row r="17589" spans="8:20" x14ac:dyDescent="0.35">
      <c r="H17589" s="711"/>
      <c r="I17589" s="711"/>
      <c r="J17589" s="711"/>
      <c r="K17589" s="711"/>
      <c r="L17589" s="711"/>
      <c r="Q17589" s="11"/>
      <c r="R17589" s="11"/>
      <c r="S17589" s="11"/>
      <c r="T17589" s="11"/>
    </row>
    <row r="17590" spans="8:20" x14ac:dyDescent="0.35">
      <c r="H17590" s="711"/>
      <c r="I17590" s="711"/>
      <c r="J17590" s="711"/>
      <c r="K17590" s="711"/>
      <c r="L17590" s="711"/>
      <c r="Q17590" s="11"/>
      <c r="R17590" s="11"/>
      <c r="S17590" s="11"/>
      <c r="T17590" s="11"/>
    </row>
    <row r="17591" spans="8:20" x14ac:dyDescent="0.35">
      <c r="H17591" s="711"/>
      <c r="I17591" s="711"/>
      <c r="J17591" s="711"/>
      <c r="K17591" s="711"/>
      <c r="L17591" s="711"/>
      <c r="Q17591" s="11"/>
      <c r="R17591" s="11"/>
      <c r="S17591" s="11"/>
      <c r="T17591" s="11"/>
    </row>
    <row r="17592" spans="8:20" x14ac:dyDescent="0.35">
      <c r="H17592" s="711"/>
      <c r="I17592" s="711"/>
      <c r="J17592" s="711"/>
      <c r="K17592" s="711"/>
      <c r="L17592" s="711"/>
      <c r="Q17592" s="11"/>
      <c r="R17592" s="11"/>
      <c r="S17592" s="11"/>
      <c r="T17592" s="11"/>
    </row>
    <row r="17593" spans="8:20" x14ac:dyDescent="0.35">
      <c r="H17593" s="711"/>
      <c r="I17593" s="711"/>
      <c r="J17593" s="711"/>
      <c r="K17593" s="711"/>
      <c r="L17593" s="711"/>
      <c r="Q17593" s="11"/>
      <c r="R17593" s="11"/>
      <c r="S17593" s="11"/>
      <c r="T17593" s="11"/>
    </row>
    <row r="17594" spans="8:20" x14ac:dyDescent="0.35">
      <c r="H17594" s="711"/>
      <c r="I17594" s="711"/>
      <c r="J17594" s="711"/>
      <c r="K17594" s="711"/>
      <c r="L17594" s="711"/>
      <c r="Q17594" s="11"/>
      <c r="R17594" s="11"/>
      <c r="S17594" s="11"/>
      <c r="T17594" s="11"/>
    </row>
    <row r="17595" spans="8:20" x14ac:dyDescent="0.35">
      <c r="H17595" s="711"/>
      <c r="I17595" s="711"/>
      <c r="J17595" s="711"/>
      <c r="K17595" s="711"/>
      <c r="L17595" s="711"/>
      <c r="Q17595" s="11"/>
      <c r="R17595" s="11"/>
      <c r="S17595" s="11"/>
      <c r="T17595" s="11"/>
    </row>
    <row r="17596" spans="8:20" x14ac:dyDescent="0.35">
      <c r="H17596" s="711"/>
      <c r="I17596" s="711"/>
      <c r="J17596" s="711"/>
      <c r="K17596" s="711"/>
      <c r="L17596" s="711"/>
      <c r="Q17596" s="11"/>
      <c r="R17596" s="11"/>
      <c r="S17596" s="11"/>
      <c r="T17596" s="11"/>
    </row>
    <row r="17597" spans="8:20" x14ac:dyDescent="0.35">
      <c r="H17597" s="711"/>
      <c r="I17597" s="711"/>
      <c r="J17597" s="711"/>
      <c r="K17597" s="711"/>
      <c r="L17597" s="711"/>
      <c r="Q17597" s="11"/>
      <c r="R17597" s="11"/>
      <c r="S17597" s="11"/>
      <c r="T17597" s="11"/>
    </row>
    <row r="17598" spans="8:20" x14ac:dyDescent="0.35">
      <c r="H17598" s="711"/>
      <c r="I17598" s="711"/>
      <c r="J17598" s="711"/>
      <c r="K17598" s="711"/>
      <c r="L17598" s="711"/>
      <c r="Q17598" s="11"/>
      <c r="R17598" s="11"/>
      <c r="S17598" s="11"/>
      <c r="T17598" s="11"/>
    </row>
    <row r="17599" spans="8:20" x14ac:dyDescent="0.35">
      <c r="H17599" s="711"/>
      <c r="I17599" s="711"/>
      <c r="J17599" s="711"/>
      <c r="K17599" s="711"/>
      <c r="L17599" s="711"/>
      <c r="Q17599" s="11"/>
      <c r="R17599" s="11"/>
      <c r="S17599" s="11"/>
      <c r="T17599" s="11"/>
    </row>
    <row r="17600" spans="8:20" x14ac:dyDescent="0.35">
      <c r="H17600" s="711"/>
      <c r="I17600" s="711"/>
      <c r="J17600" s="711"/>
      <c r="K17600" s="711"/>
      <c r="L17600" s="711"/>
      <c r="Q17600" s="11"/>
      <c r="R17600" s="11"/>
      <c r="S17600" s="11"/>
      <c r="T17600" s="11"/>
    </row>
    <row r="17601" spans="8:20" x14ac:dyDescent="0.35">
      <c r="H17601" s="711"/>
      <c r="I17601" s="711"/>
      <c r="J17601" s="711"/>
      <c r="K17601" s="711"/>
      <c r="L17601" s="711"/>
      <c r="Q17601" s="11"/>
      <c r="R17601" s="11"/>
      <c r="S17601" s="11"/>
      <c r="T17601" s="11"/>
    </row>
    <row r="17602" spans="8:20" x14ac:dyDescent="0.35">
      <c r="H17602" s="711"/>
      <c r="I17602" s="711"/>
      <c r="J17602" s="711"/>
      <c r="K17602" s="711"/>
      <c r="L17602" s="711"/>
      <c r="Q17602" s="11"/>
      <c r="R17602" s="11"/>
      <c r="S17602" s="11"/>
      <c r="T17602" s="11"/>
    </row>
    <row r="17603" spans="8:20" x14ac:dyDescent="0.35">
      <c r="H17603" s="711"/>
      <c r="I17603" s="711"/>
      <c r="J17603" s="711"/>
      <c r="K17603" s="711"/>
      <c r="L17603" s="711"/>
      <c r="Q17603" s="11"/>
      <c r="R17603" s="11"/>
      <c r="S17603" s="11"/>
      <c r="T17603" s="11"/>
    </row>
    <row r="17604" spans="8:20" x14ac:dyDescent="0.35">
      <c r="H17604" s="711"/>
      <c r="I17604" s="711"/>
      <c r="J17604" s="711"/>
      <c r="K17604" s="711"/>
      <c r="L17604" s="711"/>
      <c r="Q17604" s="11"/>
      <c r="R17604" s="11"/>
      <c r="S17604" s="11"/>
      <c r="T17604" s="11"/>
    </row>
    <row r="17605" spans="8:20" x14ac:dyDescent="0.35">
      <c r="H17605" s="711"/>
      <c r="I17605" s="711"/>
      <c r="J17605" s="711"/>
      <c r="K17605" s="711"/>
      <c r="L17605" s="711"/>
      <c r="Q17605" s="11"/>
      <c r="R17605" s="11"/>
      <c r="S17605" s="11"/>
      <c r="T17605" s="11"/>
    </row>
    <row r="17606" spans="8:20" x14ac:dyDescent="0.35">
      <c r="H17606" s="711"/>
      <c r="I17606" s="711"/>
      <c r="J17606" s="711"/>
      <c r="K17606" s="711"/>
      <c r="L17606" s="711"/>
      <c r="Q17606" s="11"/>
      <c r="R17606" s="11"/>
      <c r="S17606" s="11"/>
      <c r="T17606" s="11"/>
    </row>
    <row r="17607" spans="8:20" x14ac:dyDescent="0.35">
      <c r="H17607" s="711"/>
      <c r="I17607" s="711"/>
      <c r="J17607" s="711"/>
      <c r="K17607" s="711"/>
      <c r="L17607" s="711"/>
      <c r="Q17607" s="11"/>
      <c r="R17607" s="11"/>
      <c r="S17607" s="11"/>
      <c r="T17607" s="11"/>
    </row>
    <row r="17608" spans="8:20" x14ac:dyDescent="0.35">
      <c r="H17608" s="711"/>
      <c r="I17608" s="711"/>
      <c r="J17608" s="711"/>
      <c r="K17608" s="711"/>
      <c r="L17608" s="711"/>
      <c r="Q17608" s="11"/>
      <c r="R17608" s="11"/>
      <c r="S17608" s="11"/>
      <c r="T17608" s="11"/>
    </row>
    <row r="17609" spans="8:20" x14ac:dyDescent="0.35">
      <c r="H17609" s="711"/>
      <c r="I17609" s="711"/>
      <c r="J17609" s="711"/>
      <c r="K17609" s="711"/>
      <c r="L17609" s="711"/>
      <c r="Q17609" s="11"/>
      <c r="R17609" s="11"/>
      <c r="S17609" s="11"/>
      <c r="T17609" s="11"/>
    </row>
    <row r="17610" spans="8:20" x14ac:dyDescent="0.35">
      <c r="H17610" s="711"/>
      <c r="I17610" s="711"/>
      <c r="J17610" s="711"/>
      <c r="K17610" s="711"/>
      <c r="L17610" s="711"/>
      <c r="Q17610" s="11"/>
      <c r="R17610" s="11"/>
      <c r="S17610" s="11"/>
      <c r="T17610" s="11"/>
    </row>
    <row r="17611" spans="8:20" x14ac:dyDescent="0.35">
      <c r="H17611" s="711"/>
      <c r="I17611" s="711"/>
      <c r="J17611" s="711"/>
      <c r="K17611" s="711"/>
      <c r="L17611" s="711"/>
      <c r="Q17611" s="11"/>
      <c r="R17611" s="11"/>
      <c r="S17611" s="11"/>
      <c r="T17611" s="11"/>
    </row>
    <row r="17612" spans="8:20" x14ac:dyDescent="0.35">
      <c r="H17612" s="711"/>
      <c r="I17612" s="711"/>
      <c r="J17612" s="711"/>
      <c r="K17612" s="711"/>
      <c r="L17612" s="711"/>
      <c r="Q17612" s="11"/>
      <c r="R17612" s="11"/>
      <c r="S17612" s="11"/>
      <c r="T17612" s="11"/>
    </row>
    <row r="17613" spans="8:20" x14ac:dyDescent="0.35">
      <c r="H17613" s="711"/>
      <c r="I17613" s="711"/>
      <c r="J17613" s="711"/>
      <c r="K17613" s="711"/>
      <c r="L17613" s="711"/>
      <c r="Q17613" s="11"/>
      <c r="R17613" s="11"/>
      <c r="S17613" s="11"/>
      <c r="T17613" s="11"/>
    </row>
    <row r="17614" spans="8:20" x14ac:dyDescent="0.35">
      <c r="H17614" s="711"/>
      <c r="I17614" s="711"/>
      <c r="J17614" s="711"/>
      <c r="K17614" s="711"/>
      <c r="L17614" s="711"/>
      <c r="Q17614" s="11"/>
      <c r="R17614" s="11"/>
      <c r="S17614" s="11"/>
      <c r="T17614" s="11"/>
    </row>
    <row r="17615" spans="8:20" x14ac:dyDescent="0.35">
      <c r="H17615" s="711"/>
      <c r="I17615" s="711"/>
      <c r="J17615" s="711"/>
      <c r="K17615" s="711"/>
      <c r="L17615" s="711"/>
      <c r="Q17615" s="11"/>
      <c r="R17615" s="11"/>
      <c r="S17615" s="11"/>
      <c r="T17615" s="11"/>
    </row>
    <row r="17616" spans="8:20" x14ac:dyDescent="0.35">
      <c r="H17616" s="711"/>
      <c r="I17616" s="711"/>
      <c r="J17616" s="711"/>
      <c r="K17616" s="711"/>
      <c r="L17616" s="711"/>
      <c r="Q17616" s="11"/>
      <c r="R17616" s="11"/>
      <c r="S17616" s="11"/>
      <c r="T17616" s="11"/>
    </row>
    <row r="17617" spans="8:20" x14ac:dyDescent="0.35">
      <c r="H17617" s="711"/>
      <c r="I17617" s="711"/>
      <c r="J17617" s="711"/>
      <c r="K17617" s="711"/>
      <c r="L17617" s="711"/>
      <c r="Q17617" s="11"/>
      <c r="R17617" s="11"/>
      <c r="S17617" s="11"/>
      <c r="T17617" s="11"/>
    </row>
    <row r="17618" spans="8:20" x14ac:dyDescent="0.35">
      <c r="H17618" s="711"/>
      <c r="I17618" s="711"/>
      <c r="J17618" s="711"/>
      <c r="K17618" s="711"/>
      <c r="L17618" s="711"/>
      <c r="Q17618" s="11"/>
      <c r="R17618" s="11"/>
      <c r="S17618" s="11"/>
      <c r="T17618" s="11"/>
    </row>
    <row r="17619" spans="8:20" x14ac:dyDescent="0.35">
      <c r="H17619" s="711"/>
      <c r="I17619" s="711"/>
      <c r="J17619" s="711"/>
      <c r="K17619" s="711"/>
      <c r="L17619" s="711"/>
      <c r="Q17619" s="11"/>
      <c r="R17619" s="11"/>
      <c r="S17619" s="11"/>
      <c r="T17619" s="11"/>
    </row>
    <row r="17620" spans="8:20" x14ac:dyDescent="0.35">
      <c r="H17620" s="711"/>
      <c r="I17620" s="711"/>
      <c r="J17620" s="711"/>
      <c r="K17620" s="711"/>
      <c r="L17620" s="711"/>
      <c r="Q17620" s="11"/>
      <c r="R17620" s="11"/>
      <c r="S17620" s="11"/>
      <c r="T17620" s="11"/>
    </row>
    <row r="17621" spans="8:20" x14ac:dyDescent="0.35">
      <c r="H17621" s="711"/>
      <c r="I17621" s="711"/>
      <c r="J17621" s="711"/>
      <c r="K17621" s="711"/>
      <c r="L17621" s="711"/>
      <c r="Q17621" s="11"/>
      <c r="R17621" s="11"/>
      <c r="S17621" s="11"/>
      <c r="T17621" s="11"/>
    </row>
    <row r="17622" spans="8:20" x14ac:dyDescent="0.35">
      <c r="H17622" s="711"/>
      <c r="I17622" s="711"/>
      <c r="J17622" s="711"/>
      <c r="K17622" s="711"/>
      <c r="L17622" s="711"/>
      <c r="Q17622" s="11"/>
      <c r="R17622" s="11"/>
      <c r="S17622" s="11"/>
      <c r="T17622" s="11"/>
    </row>
    <row r="17623" spans="8:20" x14ac:dyDescent="0.35">
      <c r="H17623" s="711"/>
      <c r="I17623" s="711"/>
      <c r="J17623" s="711"/>
      <c r="K17623" s="711"/>
      <c r="L17623" s="711"/>
      <c r="Q17623" s="11"/>
      <c r="R17623" s="11"/>
      <c r="S17623" s="11"/>
      <c r="T17623" s="11"/>
    </row>
    <row r="17624" spans="8:20" x14ac:dyDescent="0.35">
      <c r="H17624" s="711"/>
      <c r="I17624" s="711"/>
      <c r="J17624" s="711"/>
      <c r="K17624" s="711"/>
      <c r="L17624" s="711"/>
      <c r="Q17624" s="11"/>
      <c r="R17624" s="11"/>
      <c r="S17624" s="11"/>
      <c r="T17624" s="11"/>
    </row>
    <row r="17625" spans="8:20" x14ac:dyDescent="0.35">
      <c r="H17625" s="711"/>
      <c r="I17625" s="711"/>
      <c r="J17625" s="711"/>
      <c r="K17625" s="711"/>
      <c r="L17625" s="711"/>
      <c r="Q17625" s="11"/>
      <c r="R17625" s="11"/>
      <c r="S17625" s="11"/>
      <c r="T17625" s="11"/>
    </row>
    <row r="17626" spans="8:20" x14ac:dyDescent="0.35">
      <c r="H17626" s="711"/>
      <c r="I17626" s="711"/>
      <c r="J17626" s="711"/>
      <c r="K17626" s="711"/>
      <c r="L17626" s="711"/>
      <c r="Q17626" s="11"/>
      <c r="R17626" s="11"/>
      <c r="S17626" s="11"/>
      <c r="T17626" s="11"/>
    </row>
    <row r="17627" spans="8:20" x14ac:dyDescent="0.35">
      <c r="H17627" s="711"/>
      <c r="I17627" s="711"/>
      <c r="J17627" s="711"/>
      <c r="K17627" s="711"/>
      <c r="L17627" s="711"/>
      <c r="Q17627" s="11"/>
      <c r="R17627" s="11"/>
      <c r="S17627" s="11"/>
      <c r="T17627" s="11"/>
    </row>
    <row r="17628" spans="8:20" x14ac:dyDescent="0.35">
      <c r="H17628" s="711"/>
      <c r="I17628" s="711"/>
      <c r="J17628" s="711"/>
      <c r="K17628" s="711"/>
      <c r="L17628" s="711"/>
      <c r="Q17628" s="11"/>
      <c r="R17628" s="11"/>
      <c r="S17628" s="11"/>
      <c r="T17628" s="11"/>
    </row>
    <row r="17629" spans="8:20" x14ac:dyDescent="0.35">
      <c r="H17629" s="711"/>
      <c r="I17629" s="711"/>
      <c r="J17629" s="711"/>
      <c r="K17629" s="711"/>
      <c r="L17629" s="711"/>
      <c r="Q17629" s="11"/>
      <c r="R17629" s="11"/>
      <c r="S17629" s="11"/>
      <c r="T17629" s="11"/>
    </row>
    <row r="17630" spans="8:20" x14ac:dyDescent="0.35">
      <c r="H17630" s="711"/>
      <c r="I17630" s="711"/>
      <c r="J17630" s="711"/>
      <c r="K17630" s="711"/>
      <c r="L17630" s="711"/>
      <c r="Q17630" s="11"/>
      <c r="R17630" s="11"/>
      <c r="S17630" s="11"/>
      <c r="T17630" s="11"/>
    </row>
    <row r="17631" spans="8:20" x14ac:dyDescent="0.35">
      <c r="H17631" s="711"/>
      <c r="I17631" s="711"/>
      <c r="J17631" s="711"/>
      <c r="K17631" s="711"/>
      <c r="L17631" s="711"/>
      <c r="Q17631" s="11"/>
      <c r="R17631" s="11"/>
      <c r="S17631" s="11"/>
      <c r="T17631" s="11"/>
    </row>
    <row r="17632" spans="8:20" x14ac:dyDescent="0.35">
      <c r="H17632" s="711"/>
      <c r="I17632" s="711"/>
      <c r="J17632" s="711"/>
      <c r="K17632" s="711"/>
      <c r="L17632" s="711"/>
      <c r="Q17632" s="11"/>
      <c r="R17632" s="11"/>
      <c r="S17632" s="11"/>
      <c r="T17632" s="11"/>
    </row>
    <row r="17633" spans="8:20" x14ac:dyDescent="0.35">
      <c r="H17633" s="711"/>
      <c r="I17633" s="711"/>
      <c r="J17633" s="711"/>
      <c r="K17633" s="711"/>
      <c r="L17633" s="711"/>
      <c r="Q17633" s="11"/>
      <c r="R17633" s="11"/>
      <c r="S17633" s="11"/>
      <c r="T17633" s="11"/>
    </row>
    <row r="17634" spans="8:20" x14ac:dyDescent="0.35">
      <c r="H17634" s="711"/>
      <c r="I17634" s="711"/>
      <c r="J17634" s="711"/>
      <c r="K17634" s="711"/>
      <c r="L17634" s="711"/>
      <c r="Q17634" s="11"/>
      <c r="R17634" s="11"/>
      <c r="S17634" s="11"/>
      <c r="T17634" s="11"/>
    </row>
    <row r="17635" spans="8:20" x14ac:dyDescent="0.35">
      <c r="H17635" s="711"/>
      <c r="I17635" s="711"/>
      <c r="J17635" s="711"/>
      <c r="K17635" s="711"/>
      <c r="L17635" s="711"/>
      <c r="Q17635" s="11"/>
      <c r="R17635" s="11"/>
      <c r="S17635" s="11"/>
      <c r="T17635" s="11"/>
    </row>
    <row r="17636" spans="8:20" x14ac:dyDescent="0.35">
      <c r="H17636" s="711"/>
      <c r="I17636" s="711"/>
      <c r="J17636" s="711"/>
      <c r="K17636" s="711"/>
      <c r="L17636" s="711"/>
      <c r="Q17636" s="11"/>
      <c r="R17636" s="11"/>
      <c r="S17636" s="11"/>
      <c r="T17636" s="11"/>
    </row>
    <row r="17637" spans="8:20" x14ac:dyDescent="0.35">
      <c r="H17637" s="711"/>
      <c r="I17637" s="711"/>
      <c r="J17637" s="711"/>
      <c r="K17637" s="711"/>
      <c r="L17637" s="711"/>
      <c r="Q17637" s="11"/>
      <c r="R17637" s="11"/>
      <c r="S17637" s="11"/>
      <c r="T17637" s="11"/>
    </row>
    <row r="17638" spans="8:20" x14ac:dyDescent="0.35">
      <c r="H17638" s="711"/>
      <c r="I17638" s="711"/>
      <c r="J17638" s="711"/>
      <c r="K17638" s="711"/>
      <c r="L17638" s="711"/>
      <c r="Q17638" s="11"/>
      <c r="R17638" s="11"/>
      <c r="S17638" s="11"/>
      <c r="T17638" s="11"/>
    </row>
    <row r="17639" spans="8:20" x14ac:dyDescent="0.35">
      <c r="H17639" s="711"/>
      <c r="I17639" s="711"/>
      <c r="J17639" s="711"/>
      <c r="K17639" s="711"/>
      <c r="L17639" s="711"/>
      <c r="Q17639" s="11"/>
      <c r="R17639" s="11"/>
      <c r="S17639" s="11"/>
      <c r="T17639" s="11"/>
    </row>
    <row r="17640" spans="8:20" x14ac:dyDescent="0.35">
      <c r="H17640" s="711"/>
      <c r="I17640" s="711"/>
      <c r="J17640" s="711"/>
      <c r="K17640" s="711"/>
      <c r="L17640" s="711"/>
      <c r="Q17640" s="11"/>
      <c r="R17640" s="11"/>
      <c r="S17640" s="11"/>
      <c r="T17640" s="11"/>
    </row>
    <row r="17641" spans="8:20" x14ac:dyDescent="0.35">
      <c r="H17641" s="711"/>
      <c r="I17641" s="711"/>
      <c r="J17641" s="711"/>
      <c r="K17641" s="711"/>
      <c r="L17641" s="711"/>
      <c r="Q17641" s="11"/>
      <c r="R17641" s="11"/>
      <c r="S17641" s="11"/>
      <c r="T17641" s="11"/>
    </row>
    <row r="17642" spans="8:20" x14ac:dyDescent="0.35">
      <c r="H17642" s="711"/>
      <c r="I17642" s="711"/>
      <c r="J17642" s="711"/>
      <c r="K17642" s="711"/>
      <c r="L17642" s="711"/>
      <c r="Q17642" s="11"/>
      <c r="R17642" s="11"/>
      <c r="S17642" s="11"/>
      <c r="T17642" s="11"/>
    </row>
    <row r="17643" spans="8:20" x14ac:dyDescent="0.35">
      <c r="H17643" s="711"/>
      <c r="I17643" s="711"/>
      <c r="J17643" s="711"/>
      <c r="K17643" s="711"/>
      <c r="L17643" s="711"/>
      <c r="Q17643" s="11"/>
      <c r="R17643" s="11"/>
      <c r="S17643" s="11"/>
      <c r="T17643" s="11"/>
    </row>
    <row r="17644" spans="8:20" x14ac:dyDescent="0.35">
      <c r="H17644" s="711"/>
      <c r="I17644" s="711"/>
      <c r="J17644" s="711"/>
      <c r="K17644" s="711"/>
      <c r="L17644" s="711"/>
      <c r="Q17644" s="11"/>
      <c r="R17644" s="11"/>
      <c r="S17644" s="11"/>
      <c r="T17644" s="11"/>
    </row>
    <row r="17645" spans="8:20" x14ac:dyDescent="0.35">
      <c r="H17645" s="711"/>
      <c r="I17645" s="711"/>
      <c r="J17645" s="711"/>
      <c r="K17645" s="711"/>
      <c r="L17645" s="711"/>
      <c r="Q17645" s="11"/>
      <c r="R17645" s="11"/>
      <c r="S17645" s="11"/>
      <c r="T17645" s="11"/>
    </row>
    <row r="17646" spans="8:20" x14ac:dyDescent="0.35">
      <c r="H17646" s="711"/>
      <c r="I17646" s="711"/>
      <c r="J17646" s="711"/>
      <c r="K17646" s="711"/>
      <c r="L17646" s="711"/>
      <c r="Q17646" s="11"/>
      <c r="R17646" s="11"/>
      <c r="S17646" s="11"/>
      <c r="T17646" s="11"/>
    </row>
    <row r="17647" spans="8:20" x14ac:dyDescent="0.35">
      <c r="H17647" s="711"/>
      <c r="I17647" s="711"/>
      <c r="J17647" s="711"/>
      <c r="K17647" s="711"/>
      <c r="L17647" s="711"/>
      <c r="Q17647" s="11"/>
      <c r="R17647" s="11"/>
      <c r="S17647" s="11"/>
      <c r="T17647" s="11"/>
    </row>
    <row r="17648" spans="8:20" x14ac:dyDescent="0.35">
      <c r="H17648" s="711"/>
      <c r="I17648" s="711"/>
      <c r="J17648" s="711"/>
      <c r="K17648" s="711"/>
      <c r="L17648" s="711"/>
      <c r="Q17648" s="11"/>
      <c r="R17648" s="11"/>
      <c r="S17648" s="11"/>
      <c r="T17648" s="11"/>
    </row>
    <row r="17649" spans="8:20" x14ac:dyDescent="0.35">
      <c r="H17649" s="711"/>
      <c r="I17649" s="711"/>
      <c r="J17649" s="711"/>
      <c r="K17649" s="711"/>
      <c r="L17649" s="711"/>
      <c r="Q17649" s="11"/>
      <c r="R17649" s="11"/>
      <c r="S17649" s="11"/>
      <c r="T17649" s="11"/>
    </row>
    <row r="17650" spans="8:20" x14ac:dyDescent="0.35">
      <c r="H17650" s="711"/>
      <c r="I17650" s="711"/>
      <c r="J17650" s="711"/>
      <c r="K17650" s="711"/>
      <c r="L17650" s="711"/>
      <c r="Q17650" s="11"/>
      <c r="R17650" s="11"/>
      <c r="S17650" s="11"/>
      <c r="T17650" s="11"/>
    </row>
    <row r="17651" spans="8:20" x14ac:dyDescent="0.35">
      <c r="H17651" s="711"/>
      <c r="I17651" s="711"/>
      <c r="J17651" s="711"/>
      <c r="K17651" s="711"/>
      <c r="L17651" s="711"/>
      <c r="Q17651" s="11"/>
      <c r="R17651" s="11"/>
      <c r="S17651" s="11"/>
      <c r="T17651" s="11"/>
    </row>
    <row r="17652" spans="8:20" x14ac:dyDescent="0.35">
      <c r="H17652" s="711"/>
      <c r="I17652" s="711"/>
      <c r="J17652" s="711"/>
      <c r="K17652" s="711"/>
      <c r="L17652" s="711"/>
      <c r="Q17652" s="11"/>
      <c r="R17652" s="11"/>
      <c r="S17652" s="11"/>
      <c r="T17652" s="11"/>
    </row>
    <row r="17653" spans="8:20" x14ac:dyDescent="0.35">
      <c r="H17653" s="711"/>
      <c r="I17653" s="711"/>
      <c r="J17653" s="711"/>
      <c r="K17653" s="711"/>
      <c r="L17653" s="711"/>
      <c r="Q17653" s="11"/>
      <c r="R17653" s="11"/>
      <c r="S17653" s="11"/>
      <c r="T17653" s="11"/>
    </row>
    <row r="17654" spans="8:20" x14ac:dyDescent="0.35">
      <c r="H17654" s="711"/>
      <c r="I17654" s="711"/>
      <c r="J17654" s="711"/>
      <c r="K17654" s="711"/>
      <c r="L17654" s="711"/>
      <c r="Q17654" s="11"/>
      <c r="R17654" s="11"/>
      <c r="S17654" s="11"/>
      <c r="T17654" s="11"/>
    </row>
    <row r="17655" spans="8:20" x14ac:dyDescent="0.35">
      <c r="H17655" s="711"/>
      <c r="I17655" s="711"/>
      <c r="J17655" s="711"/>
      <c r="K17655" s="711"/>
      <c r="L17655" s="711"/>
      <c r="Q17655" s="11"/>
      <c r="R17655" s="11"/>
      <c r="S17655" s="11"/>
      <c r="T17655" s="11"/>
    </row>
    <row r="17656" spans="8:20" x14ac:dyDescent="0.35">
      <c r="H17656" s="711"/>
      <c r="I17656" s="711"/>
      <c r="J17656" s="711"/>
      <c r="K17656" s="711"/>
      <c r="L17656" s="711"/>
      <c r="Q17656" s="11"/>
      <c r="R17656" s="11"/>
      <c r="S17656" s="11"/>
      <c r="T17656" s="11"/>
    </row>
    <row r="17657" spans="8:20" x14ac:dyDescent="0.35">
      <c r="H17657" s="711"/>
      <c r="I17657" s="711"/>
      <c r="J17657" s="711"/>
      <c r="K17657" s="711"/>
      <c r="L17657" s="711"/>
      <c r="Q17657" s="11"/>
      <c r="R17657" s="11"/>
      <c r="S17657" s="11"/>
      <c r="T17657" s="11"/>
    </row>
    <row r="17658" spans="8:20" x14ac:dyDescent="0.35">
      <c r="H17658" s="711"/>
      <c r="I17658" s="711"/>
      <c r="J17658" s="711"/>
      <c r="K17658" s="711"/>
      <c r="L17658" s="711"/>
      <c r="Q17658" s="11"/>
      <c r="R17658" s="11"/>
      <c r="S17658" s="11"/>
      <c r="T17658" s="11"/>
    </row>
    <row r="17659" spans="8:20" x14ac:dyDescent="0.35">
      <c r="H17659" s="711"/>
      <c r="I17659" s="711"/>
      <c r="J17659" s="711"/>
      <c r="K17659" s="711"/>
      <c r="L17659" s="711"/>
      <c r="Q17659" s="11"/>
      <c r="R17659" s="11"/>
      <c r="S17659" s="11"/>
      <c r="T17659" s="11"/>
    </row>
    <row r="17660" spans="8:20" x14ac:dyDescent="0.35">
      <c r="H17660" s="711"/>
      <c r="I17660" s="711"/>
      <c r="J17660" s="711"/>
      <c r="K17660" s="711"/>
      <c r="L17660" s="711"/>
      <c r="Q17660" s="11"/>
      <c r="R17660" s="11"/>
      <c r="S17660" s="11"/>
      <c r="T17660" s="11"/>
    </row>
    <row r="17661" spans="8:20" x14ac:dyDescent="0.35">
      <c r="H17661" s="711"/>
      <c r="I17661" s="711"/>
      <c r="J17661" s="711"/>
      <c r="K17661" s="711"/>
      <c r="L17661" s="711"/>
      <c r="Q17661" s="11"/>
      <c r="R17661" s="11"/>
      <c r="S17661" s="11"/>
      <c r="T17661" s="11"/>
    </row>
    <row r="17662" spans="8:20" x14ac:dyDescent="0.35">
      <c r="H17662" s="711"/>
      <c r="I17662" s="711"/>
      <c r="J17662" s="711"/>
      <c r="K17662" s="711"/>
      <c r="L17662" s="711"/>
      <c r="Q17662" s="11"/>
      <c r="R17662" s="11"/>
      <c r="S17662" s="11"/>
      <c r="T17662" s="11"/>
    </row>
    <row r="17663" spans="8:20" x14ac:dyDescent="0.35">
      <c r="H17663" s="711"/>
      <c r="I17663" s="711"/>
      <c r="J17663" s="711"/>
      <c r="K17663" s="711"/>
      <c r="L17663" s="711"/>
      <c r="Q17663" s="11"/>
      <c r="R17663" s="11"/>
      <c r="S17663" s="11"/>
      <c r="T17663" s="11"/>
    </row>
    <row r="17664" spans="8:20" x14ac:dyDescent="0.35">
      <c r="H17664" s="711"/>
      <c r="I17664" s="711"/>
      <c r="J17664" s="711"/>
      <c r="K17664" s="711"/>
      <c r="L17664" s="711"/>
      <c r="Q17664" s="11"/>
      <c r="R17664" s="11"/>
      <c r="S17664" s="11"/>
      <c r="T17664" s="11"/>
    </row>
    <row r="17665" spans="8:20" x14ac:dyDescent="0.35">
      <c r="H17665" s="711"/>
      <c r="I17665" s="711"/>
      <c r="J17665" s="711"/>
      <c r="K17665" s="711"/>
      <c r="L17665" s="711"/>
      <c r="Q17665" s="11"/>
      <c r="R17665" s="11"/>
      <c r="S17665" s="11"/>
      <c r="T17665" s="11"/>
    </row>
    <row r="17666" spans="8:20" x14ac:dyDescent="0.35">
      <c r="H17666" s="711"/>
      <c r="I17666" s="711"/>
      <c r="J17666" s="711"/>
      <c r="K17666" s="711"/>
      <c r="L17666" s="711"/>
      <c r="Q17666" s="11"/>
      <c r="R17666" s="11"/>
      <c r="S17666" s="11"/>
      <c r="T17666" s="11"/>
    </row>
    <row r="17667" spans="8:20" x14ac:dyDescent="0.35">
      <c r="H17667" s="711"/>
      <c r="I17667" s="711"/>
      <c r="J17667" s="711"/>
      <c r="K17667" s="711"/>
      <c r="L17667" s="711"/>
      <c r="Q17667" s="11"/>
      <c r="R17667" s="11"/>
      <c r="S17667" s="11"/>
      <c r="T17667" s="11"/>
    </row>
    <row r="17668" spans="8:20" x14ac:dyDescent="0.35">
      <c r="H17668" s="711"/>
      <c r="I17668" s="711"/>
      <c r="J17668" s="711"/>
      <c r="K17668" s="711"/>
      <c r="L17668" s="711"/>
      <c r="Q17668" s="11"/>
      <c r="R17668" s="11"/>
      <c r="S17668" s="11"/>
      <c r="T17668" s="11"/>
    </row>
    <row r="17669" spans="8:20" x14ac:dyDescent="0.35">
      <c r="H17669" s="711"/>
      <c r="I17669" s="711"/>
      <c r="J17669" s="711"/>
      <c r="K17669" s="711"/>
      <c r="L17669" s="711"/>
      <c r="Q17669" s="11"/>
      <c r="R17669" s="11"/>
      <c r="S17669" s="11"/>
      <c r="T17669" s="11"/>
    </row>
    <row r="17670" spans="8:20" x14ac:dyDescent="0.35">
      <c r="H17670" s="711"/>
      <c r="I17670" s="711"/>
      <c r="J17670" s="711"/>
      <c r="K17670" s="711"/>
      <c r="L17670" s="711"/>
      <c r="Q17670" s="11"/>
      <c r="R17670" s="11"/>
      <c r="S17670" s="11"/>
      <c r="T17670" s="11"/>
    </row>
    <row r="17671" spans="8:20" x14ac:dyDescent="0.35">
      <c r="H17671" s="711"/>
      <c r="I17671" s="711"/>
      <c r="J17671" s="711"/>
      <c r="K17671" s="711"/>
      <c r="L17671" s="711"/>
      <c r="Q17671" s="11"/>
      <c r="R17671" s="11"/>
      <c r="S17671" s="11"/>
      <c r="T17671" s="11"/>
    </row>
    <row r="17672" spans="8:20" x14ac:dyDescent="0.35">
      <c r="H17672" s="711"/>
      <c r="I17672" s="711"/>
      <c r="J17672" s="711"/>
      <c r="K17672" s="711"/>
      <c r="L17672" s="711"/>
      <c r="Q17672" s="11"/>
      <c r="R17672" s="11"/>
      <c r="S17672" s="11"/>
      <c r="T17672" s="11"/>
    </row>
    <row r="17673" spans="8:20" x14ac:dyDescent="0.35">
      <c r="H17673" s="711"/>
      <c r="I17673" s="711"/>
      <c r="J17673" s="711"/>
      <c r="K17673" s="711"/>
      <c r="L17673" s="711"/>
      <c r="Q17673" s="11"/>
      <c r="R17673" s="11"/>
      <c r="S17673" s="11"/>
      <c r="T17673" s="11"/>
    </row>
    <row r="17674" spans="8:20" x14ac:dyDescent="0.35">
      <c r="H17674" s="711"/>
      <c r="I17674" s="711"/>
      <c r="J17674" s="711"/>
      <c r="K17674" s="711"/>
      <c r="L17674" s="711"/>
      <c r="Q17674" s="11"/>
      <c r="R17674" s="11"/>
      <c r="S17674" s="11"/>
      <c r="T17674" s="11"/>
    </row>
    <row r="17675" spans="8:20" x14ac:dyDescent="0.35">
      <c r="H17675" s="711"/>
      <c r="I17675" s="711"/>
      <c r="J17675" s="711"/>
      <c r="K17675" s="711"/>
      <c r="L17675" s="711"/>
      <c r="Q17675" s="11"/>
      <c r="R17675" s="11"/>
      <c r="S17675" s="11"/>
      <c r="T17675" s="11"/>
    </row>
    <row r="17676" spans="8:20" x14ac:dyDescent="0.35">
      <c r="H17676" s="711"/>
      <c r="I17676" s="711"/>
      <c r="J17676" s="711"/>
      <c r="K17676" s="711"/>
      <c r="L17676" s="711"/>
      <c r="Q17676" s="11"/>
      <c r="R17676" s="11"/>
      <c r="S17676" s="11"/>
      <c r="T17676" s="11"/>
    </row>
    <row r="17677" spans="8:20" x14ac:dyDescent="0.35">
      <c r="H17677" s="711"/>
      <c r="I17677" s="711"/>
      <c r="J17677" s="711"/>
      <c r="K17677" s="711"/>
      <c r="L17677" s="711"/>
      <c r="Q17677" s="11"/>
      <c r="R17677" s="11"/>
      <c r="S17677" s="11"/>
      <c r="T17677" s="11"/>
    </row>
    <row r="17678" spans="8:20" x14ac:dyDescent="0.35">
      <c r="H17678" s="711"/>
      <c r="I17678" s="711"/>
      <c r="J17678" s="711"/>
      <c r="K17678" s="711"/>
      <c r="L17678" s="711"/>
      <c r="Q17678" s="11"/>
      <c r="R17678" s="11"/>
      <c r="S17678" s="11"/>
      <c r="T17678" s="11"/>
    </row>
    <row r="17679" spans="8:20" x14ac:dyDescent="0.35">
      <c r="H17679" s="711"/>
      <c r="I17679" s="711"/>
      <c r="J17679" s="711"/>
      <c r="K17679" s="711"/>
      <c r="L17679" s="711"/>
      <c r="Q17679" s="11"/>
      <c r="R17679" s="11"/>
      <c r="S17679" s="11"/>
      <c r="T17679" s="11"/>
    </row>
    <row r="17680" spans="8:20" x14ac:dyDescent="0.35">
      <c r="H17680" s="711"/>
      <c r="I17680" s="711"/>
      <c r="J17680" s="711"/>
      <c r="K17680" s="711"/>
      <c r="L17680" s="711"/>
      <c r="Q17680" s="11"/>
      <c r="R17680" s="11"/>
      <c r="S17680" s="11"/>
      <c r="T17680" s="11"/>
    </row>
    <row r="17681" spans="8:20" x14ac:dyDescent="0.35">
      <c r="H17681" s="711"/>
      <c r="I17681" s="711"/>
      <c r="J17681" s="711"/>
      <c r="K17681" s="711"/>
      <c r="L17681" s="711"/>
      <c r="Q17681" s="11"/>
      <c r="R17681" s="11"/>
      <c r="S17681" s="11"/>
      <c r="T17681" s="11"/>
    </row>
    <row r="17682" spans="8:20" x14ac:dyDescent="0.35">
      <c r="H17682" s="711"/>
      <c r="I17682" s="711"/>
      <c r="J17682" s="711"/>
      <c r="K17682" s="711"/>
      <c r="L17682" s="711"/>
      <c r="Q17682" s="11"/>
      <c r="R17682" s="11"/>
      <c r="S17682" s="11"/>
      <c r="T17682" s="11"/>
    </row>
    <row r="17683" spans="8:20" x14ac:dyDescent="0.35">
      <c r="H17683" s="711"/>
      <c r="I17683" s="711"/>
      <c r="J17683" s="711"/>
      <c r="K17683" s="711"/>
      <c r="L17683" s="711"/>
      <c r="Q17683" s="11"/>
      <c r="R17683" s="11"/>
      <c r="S17683" s="11"/>
      <c r="T17683" s="11"/>
    </row>
    <row r="17684" spans="8:20" x14ac:dyDescent="0.35">
      <c r="H17684" s="711"/>
      <c r="I17684" s="711"/>
      <c r="J17684" s="711"/>
      <c r="K17684" s="711"/>
      <c r="L17684" s="711"/>
      <c r="Q17684" s="11"/>
      <c r="R17684" s="11"/>
      <c r="S17684" s="11"/>
      <c r="T17684" s="11"/>
    </row>
    <row r="17685" spans="8:20" x14ac:dyDescent="0.35">
      <c r="H17685" s="711"/>
      <c r="I17685" s="711"/>
      <c r="J17685" s="711"/>
      <c r="K17685" s="711"/>
      <c r="L17685" s="711"/>
      <c r="Q17685" s="11"/>
      <c r="R17685" s="11"/>
      <c r="S17685" s="11"/>
      <c r="T17685" s="11"/>
    </row>
    <row r="17686" spans="8:20" x14ac:dyDescent="0.35">
      <c r="H17686" s="711"/>
      <c r="I17686" s="711"/>
      <c r="J17686" s="711"/>
      <c r="K17686" s="711"/>
      <c r="L17686" s="711"/>
      <c r="Q17686" s="11"/>
      <c r="R17686" s="11"/>
      <c r="S17686" s="11"/>
      <c r="T17686" s="11"/>
    </row>
    <row r="17687" spans="8:20" x14ac:dyDescent="0.35">
      <c r="H17687" s="711"/>
      <c r="I17687" s="711"/>
      <c r="J17687" s="711"/>
      <c r="K17687" s="711"/>
      <c r="L17687" s="711"/>
      <c r="Q17687" s="11"/>
      <c r="R17687" s="11"/>
      <c r="S17687" s="11"/>
      <c r="T17687" s="11"/>
    </row>
    <row r="17688" spans="8:20" x14ac:dyDescent="0.35">
      <c r="H17688" s="711"/>
      <c r="I17688" s="711"/>
      <c r="J17688" s="711"/>
      <c r="K17688" s="711"/>
      <c r="L17688" s="711"/>
      <c r="Q17688" s="11"/>
      <c r="R17688" s="11"/>
      <c r="S17688" s="11"/>
      <c r="T17688" s="11"/>
    </row>
    <row r="17689" spans="8:20" x14ac:dyDescent="0.35">
      <c r="H17689" s="711"/>
      <c r="I17689" s="711"/>
      <c r="J17689" s="711"/>
      <c r="K17689" s="711"/>
      <c r="L17689" s="711"/>
      <c r="Q17689" s="11"/>
      <c r="R17689" s="11"/>
      <c r="S17689" s="11"/>
      <c r="T17689" s="11"/>
    </row>
    <row r="17690" spans="8:20" x14ac:dyDescent="0.35">
      <c r="H17690" s="711"/>
      <c r="I17690" s="711"/>
      <c r="J17690" s="711"/>
      <c r="K17690" s="711"/>
      <c r="L17690" s="711"/>
      <c r="Q17690" s="11"/>
      <c r="R17690" s="11"/>
      <c r="S17690" s="11"/>
      <c r="T17690" s="11"/>
    </row>
    <row r="17691" spans="8:20" x14ac:dyDescent="0.35">
      <c r="H17691" s="711"/>
      <c r="I17691" s="711"/>
      <c r="J17691" s="711"/>
      <c r="K17691" s="711"/>
      <c r="L17691" s="711"/>
      <c r="Q17691" s="11"/>
      <c r="R17691" s="11"/>
      <c r="S17691" s="11"/>
      <c r="T17691" s="11"/>
    </row>
    <row r="17692" spans="8:20" x14ac:dyDescent="0.35">
      <c r="H17692" s="711"/>
      <c r="I17692" s="711"/>
      <c r="J17692" s="711"/>
      <c r="K17692" s="711"/>
      <c r="L17692" s="711"/>
      <c r="Q17692" s="11"/>
      <c r="R17692" s="11"/>
      <c r="S17692" s="11"/>
      <c r="T17692" s="11"/>
    </row>
    <row r="17693" spans="8:20" x14ac:dyDescent="0.35">
      <c r="H17693" s="711"/>
      <c r="I17693" s="711"/>
      <c r="J17693" s="711"/>
      <c r="K17693" s="711"/>
      <c r="L17693" s="711"/>
      <c r="Q17693" s="11"/>
      <c r="R17693" s="11"/>
      <c r="S17693" s="11"/>
      <c r="T17693" s="11"/>
    </row>
    <row r="17694" spans="8:20" x14ac:dyDescent="0.35">
      <c r="H17694" s="711"/>
      <c r="I17694" s="711"/>
      <c r="J17694" s="711"/>
      <c r="K17694" s="711"/>
      <c r="L17694" s="711"/>
      <c r="Q17694" s="11"/>
      <c r="R17694" s="11"/>
      <c r="S17694" s="11"/>
      <c r="T17694" s="11"/>
    </row>
    <row r="17695" spans="8:20" x14ac:dyDescent="0.35">
      <c r="H17695" s="711"/>
      <c r="I17695" s="711"/>
      <c r="J17695" s="711"/>
      <c r="K17695" s="711"/>
      <c r="L17695" s="711"/>
      <c r="Q17695" s="11"/>
      <c r="R17695" s="11"/>
      <c r="S17695" s="11"/>
      <c r="T17695" s="11"/>
    </row>
    <row r="17696" spans="8:20" x14ac:dyDescent="0.35">
      <c r="H17696" s="711"/>
      <c r="I17696" s="711"/>
      <c r="J17696" s="711"/>
      <c r="K17696" s="711"/>
      <c r="L17696" s="711"/>
      <c r="Q17696" s="11"/>
      <c r="R17696" s="11"/>
      <c r="S17696" s="11"/>
      <c r="T17696" s="11"/>
    </row>
    <row r="17697" spans="8:20" x14ac:dyDescent="0.35">
      <c r="H17697" s="711"/>
      <c r="I17697" s="711"/>
      <c r="J17697" s="711"/>
      <c r="K17697" s="711"/>
      <c r="L17697" s="711"/>
      <c r="Q17697" s="11"/>
      <c r="R17697" s="11"/>
      <c r="S17697" s="11"/>
      <c r="T17697" s="11"/>
    </row>
    <row r="17698" spans="8:20" x14ac:dyDescent="0.35">
      <c r="H17698" s="711"/>
      <c r="I17698" s="711"/>
      <c r="J17698" s="711"/>
      <c r="K17698" s="711"/>
      <c r="L17698" s="711"/>
      <c r="Q17698" s="11"/>
      <c r="R17698" s="11"/>
      <c r="S17698" s="11"/>
      <c r="T17698" s="11"/>
    </row>
    <row r="17699" spans="8:20" x14ac:dyDescent="0.35">
      <c r="H17699" s="711"/>
      <c r="I17699" s="711"/>
      <c r="J17699" s="711"/>
      <c r="K17699" s="711"/>
      <c r="L17699" s="711"/>
      <c r="Q17699" s="11"/>
      <c r="R17699" s="11"/>
      <c r="S17699" s="11"/>
      <c r="T17699" s="11"/>
    </row>
    <row r="17700" spans="8:20" x14ac:dyDescent="0.35">
      <c r="H17700" s="711"/>
      <c r="I17700" s="711"/>
      <c r="J17700" s="711"/>
      <c r="K17700" s="711"/>
      <c r="L17700" s="711"/>
      <c r="Q17700" s="11"/>
      <c r="R17700" s="11"/>
      <c r="S17700" s="11"/>
      <c r="T17700" s="11"/>
    </row>
    <row r="17701" spans="8:20" x14ac:dyDescent="0.35">
      <c r="H17701" s="711"/>
      <c r="I17701" s="711"/>
      <c r="J17701" s="711"/>
      <c r="K17701" s="711"/>
      <c r="L17701" s="711"/>
      <c r="Q17701" s="11"/>
      <c r="R17701" s="11"/>
      <c r="S17701" s="11"/>
      <c r="T17701" s="11"/>
    </row>
    <row r="17702" spans="8:20" x14ac:dyDescent="0.35">
      <c r="H17702" s="711"/>
      <c r="I17702" s="711"/>
      <c r="J17702" s="711"/>
      <c r="K17702" s="711"/>
      <c r="L17702" s="711"/>
      <c r="Q17702" s="11"/>
      <c r="R17702" s="11"/>
      <c r="S17702" s="11"/>
      <c r="T17702" s="11"/>
    </row>
    <row r="17703" spans="8:20" x14ac:dyDescent="0.35">
      <c r="H17703" s="711"/>
      <c r="I17703" s="711"/>
      <c r="J17703" s="711"/>
      <c r="K17703" s="711"/>
      <c r="L17703" s="711"/>
      <c r="Q17703" s="11"/>
      <c r="R17703" s="11"/>
      <c r="S17703" s="11"/>
      <c r="T17703" s="11"/>
    </row>
    <row r="17704" spans="8:20" x14ac:dyDescent="0.35">
      <c r="H17704" s="711"/>
      <c r="I17704" s="711"/>
      <c r="J17704" s="711"/>
      <c r="K17704" s="711"/>
      <c r="L17704" s="711"/>
      <c r="Q17704" s="11"/>
      <c r="R17704" s="11"/>
      <c r="S17704" s="11"/>
      <c r="T17704" s="11"/>
    </row>
    <row r="17705" spans="8:20" x14ac:dyDescent="0.35">
      <c r="H17705" s="711"/>
      <c r="I17705" s="711"/>
      <c r="J17705" s="711"/>
      <c r="K17705" s="711"/>
      <c r="L17705" s="711"/>
      <c r="Q17705" s="11"/>
      <c r="R17705" s="11"/>
      <c r="S17705" s="11"/>
      <c r="T17705" s="11"/>
    </row>
    <row r="17706" spans="8:20" x14ac:dyDescent="0.35">
      <c r="H17706" s="711"/>
      <c r="I17706" s="711"/>
      <c r="J17706" s="711"/>
      <c r="K17706" s="711"/>
      <c r="L17706" s="711"/>
      <c r="Q17706" s="11"/>
      <c r="R17706" s="11"/>
      <c r="S17706" s="11"/>
      <c r="T17706" s="11"/>
    </row>
    <row r="17707" spans="8:20" x14ac:dyDescent="0.35">
      <c r="H17707" s="711"/>
      <c r="I17707" s="711"/>
      <c r="J17707" s="711"/>
      <c r="K17707" s="711"/>
      <c r="L17707" s="711"/>
      <c r="Q17707" s="11"/>
      <c r="R17707" s="11"/>
      <c r="S17707" s="11"/>
      <c r="T17707" s="11"/>
    </row>
    <row r="17708" spans="8:20" x14ac:dyDescent="0.35">
      <c r="H17708" s="711"/>
      <c r="I17708" s="711"/>
      <c r="J17708" s="711"/>
      <c r="K17708" s="711"/>
      <c r="L17708" s="711"/>
      <c r="Q17708" s="11"/>
      <c r="R17708" s="11"/>
      <c r="S17708" s="11"/>
      <c r="T17708" s="11"/>
    </row>
    <row r="17709" spans="8:20" x14ac:dyDescent="0.35">
      <c r="H17709" s="711"/>
      <c r="I17709" s="711"/>
      <c r="J17709" s="711"/>
      <c r="K17709" s="711"/>
      <c r="L17709" s="711"/>
      <c r="Q17709" s="11"/>
      <c r="R17709" s="11"/>
      <c r="S17709" s="11"/>
      <c r="T17709" s="11"/>
    </row>
    <row r="17710" spans="8:20" x14ac:dyDescent="0.35">
      <c r="H17710" s="711"/>
      <c r="I17710" s="711"/>
      <c r="J17710" s="711"/>
      <c r="K17710" s="711"/>
      <c r="L17710" s="711"/>
      <c r="Q17710" s="11"/>
      <c r="R17710" s="11"/>
      <c r="S17710" s="11"/>
      <c r="T17710" s="11"/>
    </row>
    <row r="17711" spans="8:20" x14ac:dyDescent="0.35">
      <c r="H17711" s="711"/>
      <c r="I17711" s="711"/>
      <c r="J17711" s="711"/>
      <c r="K17711" s="711"/>
      <c r="L17711" s="711"/>
      <c r="Q17711" s="11"/>
      <c r="R17711" s="11"/>
      <c r="S17711" s="11"/>
      <c r="T17711" s="11"/>
    </row>
    <row r="17712" spans="8:20" x14ac:dyDescent="0.35">
      <c r="H17712" s="711"/>
      <c r="I17712" s="711"/>
      <c r="J17712" s="711"/>
      <c r="K17712" s="711"/>
      <c r="L17712" s="711"/>
      <c r="Q17712" s="11"/>
      <c r="R17712" s="11"/>
      <c r="S17712" s="11"/>
      <c r="T17712" s="11"/>
    </row>
    <row r="17713" spans="8:20" x14ac:dyDescent="0.35">
      <c r="H17713" s="711"/>
      <c r="I17713" s="711"/>
      <c r="J17713" s="711"/>
      <c r="K17713" s="711"/>
      <c r="L17713" s="711"/>
      <c r="Q17713" s="11"/>
      <c r="R17713" s="11"/>
      <c r="S17713" s="11"/>
      <c r="T17713" s="11"/>
    </row>
    <row r="17714" spans="8:20" x14ac:dyDescent="0.35">
      <c r="H17714" s="711"/>
      <c r="I17714" s="711"/>
      <c r="J17714" s="711"/>
      <c r="K17714" s="711"/>
      <c r="L17714" s="711"/>
      <c r="Q17714" s="11"/>
      <c r="R17714" s="11"/>
      <c r="S17714" s="11"/>
      <c r="T17714" s="11"/>
    </row>
    <row r="17715" spans="8:20" x14ac:dyDescent="0.35">
      <c r="H17715" s="711"/>
      <c r="I17715" s="711"/>
      <c r="J17715" s="711"/>
      <c r="K17715" s="711"/>
      <c r="L17715" s="711"/>
      <c r="Q17715" s="11"/>
      <c r="R17715" s="11"/>
      <c r="S17715" s="11"/>
      <c r="T17715" s="11"/>
    </row>
    <row r="17716" spans="8:20" x14ac:dyDescent="0.35">
      <c r="H17716" s="711"/>
      <c r="I17716" s="711"/>
      <c r="J17716" s="711"/>
      <c r="K17716" s="711"/>
      <c r="L17716" s="711"/>
      <c r="Q17716" s="11"/>
      <c r="R17716" s="11"/>
      <c r="S17716" s="11"/>
      <c r="T17716" s="11"/>
    </row>
    <row r="17717" spans="8:20" x14ac:dyDescent="0.35">
      <c r="H17717" s="711"/>
      <c r="I17717" s="711"/>
      <c r="J17717" s="711"/>
      <c r="K17717" s="711"/>
      <c r="L17717" s="711"/>
      <c r="Q17717" s="11"/>
      <c r="R17717" s="11"/>
      <c r="S17717" s="11"/>
      <c r="T17717" s="11"/>
    </row>
    <row r="17718" spans="8:20" x14ac:dyDescent="0.35">
      <c r="H17718" s="711"/>
      <c r="I17718" s="711"/>
      <c r="J17718" s="711"/>
      <c r="K17718" s="711"/>
      <c r="L17718" s="711"/>
      <c r="Q17718" s="11"/>
      <c r="R17718" s="11"/>
      <c r="S17718" s="11"/>
      <c r="T17718" s="11"/>
    </row>
    <row r="17719" spans="8:20" x14ac:dyDescent="0.35">
      <c r="H17719" s="711"/>
      <c r="I17719" s="711"/>
      <c r="J17719" s="711"/>
      <c r="K17719" s="711"/>
      <c r="L17719" s="711"/>
      <c r="Q17719" s="11"/>
      <c r="R17719" s="11"/>
      <c r="S17719" s="11"/>
      <c r="T17719" s="11"/>
    </row>
    <row r="17720" spans="8:20" x14ac:dyDescent="0.35">
      <c r="H17720" s="711"/>
      <c r="I17720" s="711"/>
      <c r="J17720" s="711"/>
      <c r="K17720" s="711"/>
      <c r="L17720" s="711"/>
      <c r="Q17720" s="11"/>
      <c r="R17720" s="11"/>
      <c r="S17720" s="11"/>
      <c r="T17720" s="11"/>
    </row>
    <row r="17721" spans="8:20" x14ac:dyDescent="0.35">
      <c r="H17721" s="711"/>
      <c r="I17721" s="711"/>
      <c r="J17721" s="711"/>
      <c r="K17721" s="711"/>
      <c r="L17721" s="711"/>
      <c r="Q17721" s="11"/>
      <c r="R17721" s="11"/>
      <c r="S17721" s="11"/>
      <c r="T17721" s="11"/>
    </row>
    <row r="17722" spans="8:20" x14ac:dyDescent="0.35">
      <c r="H17722" s="711"/>
      <c r="I17722" s="711"/>
      <c r="J17722" s="711"/>
      <c r="K17722" s="711"/>
      <c r="L17722" s="711"/>
      <c r="Q17722" s="11"/>
      <c r="R17722" s="11"/>
      <c r="S17722" s="11"/>
      <c r="T17722" s="11"/>
    </row>
    <row r="17723" spans="8:20" x14ac:dyDescent="0.35">
      <c r="H17723" s="711"/>
      <c r="I17723" s="711"/>
      <c r="J17723" s="711"/>
      <c r="K17723" s="711"/>
      <c r="L17723" s="711"/>
      <c r="Q17723" s="11"/>
      <c r="R17723" s="11"/>
      <c r="S17723" s="11"/>
      <c r="T17723" s="11"/>
    </row>
    <row r="17724" spans="8:20" x14ac:dyDescent="0.35">
      <c r="H17724" s="711"/>
      <c r="I17724" s="711"/>
      <c r="J17724" s="711"/>
      <c r="K17724" s="711"/>
      <c r="L17724" s="711"/>
      <c r="Q17724" s="11"/>
      <c r="R17724" s="11"/>
      <c r="S17724" s="11"/>
      <c r="T17724" s="11"/>
    </row>
    <row r="17725" spans="8:20" x14ac:dyDescent="0.35">
      <c r="H17725" s="711"/>
      <c r="I17725" s="711"/>
      <c r="J17725" s="711"/>
      <c r="K17725" s="711"/>
      <c r="L17725" s="711"/>
      <c r="Q17725" s="11"/>
      <c r="R17725" s="11"/>
      <c r="S17725" s="11"/>
      <c r="T17725" s="11"/>
    </row>
    <row r="17726" spans="8:20" x14ac:dyDescent="0.35">
      <c r="H17726" s="711"/>
      <c r="I17726" s="711"/>
      <c r="J17726" s="711"/>
      <c r="K17726" s="711"/>
      <c r="L17726" s="711"/>
      <c r="Q17726" s="11"/>
      <c r="R17726" s="11"/>
      <c r="S17726" s="11"/>
      <c r="T17726" s="11"/>
    </row>
    <row r="17727" spans="8:20" x14ac:dyDescent="0.35">
      <c r="H17727" s="711"/>
      <c r="I17727" s="711"/>
      <c r="J17727" s="711"/>
      <c r="K17727" s="711"/>
      <c r="L17727" s="711"/>
      <c r="Q17727" s="11"/>
      <c r="R17727" s="11"/>
      <c r="S17727" s="11"/>
      <c r="T17727" s="11"/>
    </row>
    <row r="17728" spans="8:20" x14ac:dyDescent="0.35">
      <c r="H17728" s="711"/>
      <c r="I17728" s="711"/>
      <c r="J17728" s="711"/>
      <c r="K17728" s="711"/>
      <c r="L17728" s="711"/>
      <c r="Q17728" s="11"/>
      <c r="R17728" s="11"/>
      <c r="S17728" s="11"/>
      <c r="T17728" s="11"/>
    </row>
    <row r="17729" spans="8:20" x14ac:dyDescent="0.35">
      <c r="H17729" s="711"/>
      <c r="I17729" s="711"/>
      <c r="J17729" s="711"/>
      <c r="K17729" s="711"/>
      <c r="L17729" s="711"/>
      <c r="Q17729" s="11"/>
      <c r="R17729" s="11"/>
      <c r="S17729" s="11"/>
      <c r="T17729" s="11"/>
    </row>
    <row r="17730" spans="8:20" x14ac:dyDescent="0.35">
      <c r="H17730" s="711"/>
      <c r="I17730" s="711"/>
      <c r="J17730" s="711"/>
      <c r="K17730" s="711"/>
      <c r="L17730" s="711"/>
      <c r="Q17730" s="11"/>
      <c r="R17730" s="11"/>
      <c r="S17730" s="11"/>
      <c r="T17730" s="11"/>
    </row>
    <row r="17731" spans="8:20" x14ac:dyDescent="0.35">
      <c r="H17731" s="711"/>
      <c r="I17731" s="711"/>
      <c r="J17731" s="711"/>
      <c r="K17731" s="711"/>
      <c r="L17731" s="711"/>
      <c r="Q17731" s="11"/>
      <c r="R17731" s="11"/>
      <c r="S17731" s="11"/>
      <c r="T17731" s="11"/>
    </row>
    <row r="17732" spans="8:20" x14ac:dyDescent="0.35">
      <c r="H17732" s="711"/>
      <c r="I17732" s="711"/>
      <c r="J17732" s="711"/>
      <c r="K17732" s="711"/>
      <c r="L17732" s="711"/>
      <c r="Q17732" s="11"/>
      <c r="R17732" s="11"/>
      <c r="S17732" s="11"/>
      <c r="T17732" s="11"/>
    </row>
    <row r="17733" spans="8:20" x14ac:dyDescent="0.35">
      <c r="H17733" s="711"/>
      <c r="I17733" s="711"/>
      <c r="J17733" s="711"/>
      <c r="K17733" s="711"/>
      <c r="L17733" s="711"/>
      <c r="Q17733" s="11"/>
      <c r="R17733" s="11"/>
      <c r="S17733" s="11"/>
      <c r="T17733" s="11"/>
    </row>
    <row r="17734" spans="8:20" x14ac:dyDescent="0.35">
      <c r="H17734" s="711"/>
      <c r="I17734" s="711"/>
      <c r="J17734" s="711"/>
      <c r="K17734" s="711"/>
      <c r="L17734" s="711"/>
      <c r="Q17734" s="11"/>
      <c r="R17734" s="11"/>
      <c r="S17734" s="11"/>
      <c r="T17734" s="11"/>
    </row>
    <row r="17735" spans="8:20" x14ac:dyDescent="0.35">
      <c r="H17735" s="711"/>
      <c r="I17735" s="711"/>
      <c r="J17735" s="711"/>
      <c r="K17735" s="711"/>
      <c r="L17735" s="711"/>
      <c r="Q17735" s="11"/>
      <c r="R17735" s="11"/>
      <c r="S17735" s="11"/>
      <c r="T17735" s="11"/>
    </row>
    <row r="17736" spans="8:20" x14ac:dyDescent="0.35">
      <c r="H17736" s="711"/>
      <c r="I17736" s="711"/>
      <c r="J17736" s="711"/>
      <c r="K17736" s="711"/>
      <c r="L17736" s="711"/>
      <c r="Q17736" s="11"/>
      <c r="R17736" s="11"/>
      <c r="S17736" s="11"/>
      <c r="T17736" s="11"/>
    </row>
    <row r="17737" spans="8:20" x14ac:dyDescent="0.35">
      <c r="H17737" s="711"/>
      <c r="I17737" s="711"/>
      <c r="J17737" s="711"/>
      <c r="K17737" s="711"/>
      <c r="L17737" s="711"/>
      <c r="Q17737" s="11"/>
      <c r="R17737" s="11"/>
      <c r="S17737" s="11"/>
      <c r="T17737" s="11"/>
    </row>
    <row r="17738" spans="8:20" x14ac:dyDescent="0.35">
      <c r="H17738" s="711"/>
      <c r="I17738" s="711"/>
      <c r="J17738" s="711"/>
      <c r="K17738" s="711"/>
      <c r="L17738" s="711"/>
      <c r="Q17738" s="11"/>
      <c r="R17738" s="11"/>
      <c r="S17738" s="11"/>
      <c r="T17738" s="11"/>
    </row>
    <row r="17739" spans="8:20" x14ac:dyDescent="0.35">
      <c r="H17739" s="711"/>
      <c r="I17739" s="711"/>
      <c r="J17739" s="711"/>
      <c r="K17739" s="711"/>
      <c r="L17739" s="711"/>
      <c r="Q17739" s="11"/>
      <c r="R17739" s="11"/>
      <c r="S17739" s="11"/>
      <c r="T17739" s="11"/>
    </row>
    <row r="17740" spans="8:20" x14ac:dyDescent="0.35">
      <c r="H17740" s="711"/>
      <c r="I17740" s="711"/>
      <c r="J17740" s="711"/>
      <c r="K17740" s="711"/>
      <c r="L17740" s="711"/>
      <c r="Q17740" s="11"/>
      <c r="R17740" s="11"/>
      <c r="S17740" s="11"/>
      <c r="T17740" s="11"/>
    </row>
    <row r="17741" spans="8:20" x14ac:dyDescent="0.35">
      <c r="H17741" s="711"/>
      <c r="I17741" s="711"/>
      <c r="J17741" s="711"/>
      <c r="K17741" s="711"/>
      <c r="L17741" s="711"/>
      <c r="Q17741" s="11"/>
      <c r="R17741" s="11"/>
      <c r="S17741" s="11"/>
      <c r="T17741" s="11"/>
    </row>
    <row r="17742" spans="8:20" x14ac:dyDescent="0.35">
      <c r="H17742" s="711"/>
      <c r="I17742" s="711"/>
      <c r="J17742" s="711"/>
      <c r="K17742" s="711"/>
      <c r="L17742" s="711"/>
      <c r="Q17742" s="11"/>
      <c r="R17742" s="11"/>
      <c r="S17742" s="11"/>
      <c r="T17742" s="11"/>
    </row>
    <row r="17743" spans="8:20" x14ac:dyDescent="0.35">
      <c r="H17743" s="711"/>
      <c r="I17743" s="711"/>
      <c r="J17743" s="711"/>
      <c r="K17743" s="711"/>
      <c r="L17743" s="711"/>
      <c r="Q17743" s="11"/>
      <c r="R17743" s="11"/>
      <c r="S17743" s="11"/>
      <c r="T17743" s="11"/>
    </row>
    <row r="17744" spans="8:20" x14ac:dyDescent="0.35">
      <c r="H17744" s="711"/>
      <c r="I17744" s="711"/>
      <c r="J17744" s="711"/>
      <c r="K17744" s="711"/>
      <c r="L17744" s="711"/>
      <c r="Q17744" s="11"/>
      <c r="R17744" s="11"/>
      <c r="S17744" s="11"/>
      <c r="T17744" s="11"/>
    </row>
    <row r="17745" spans="8:20" x14ac:dyDescent="0.35">
      <c r="H17745" s="711"/>
      <c r="I17745" s="711"/>
      <c r="J17745" s="711"/>
      <c r="K17745" s="711"/>
      <c r="L17745" s="711"/>
      <c r="Q17745" s="11"/>
      <c r="R17745" s="11"/>
      <c r="S17745" s="11"/>
      <c r="T17745" s="11"/>
    </row>
    <row r="17746" spans="8:20" x14ac:dyDescent="0.35">
      <c r="H17746" s="711"/>
      <c r="I17746" s="711"/>
      <c r="J17746" s="711"/>
      <c r="K17746" s="711"/>
      <c r="L17746" s="711"/>
      <c r="Q17746" s="11"/>
      <c r="R17746" s="11"/>
      <c r="S17746" s="11"/>
      <c r="T17746" s="11"/>
    </row>
    <row r="17747" spans="8:20" x14ac:dyDescent="0.35">
      <c r="H17747" s="711"/>
      <c r="I17747" s="711"/>
      <c r="J17747" s="711"/>
      <c r="K17747" s="711"/>
      <c r="L17747" s="711"/>
      <c r="Q17747" s="11"/>
      <c r="R17747" s="11"/>
      <c r="S17747" s="11"/>
      <c r="T17747" s="11"/>
    </row>
    <row r="17748" spans="8:20" x14ac:dyDescent="0.35">
      <c r="H17748" s="711"/>
      <c r="I17748" s="711"/>
      <c r="J17748" s="711"/>
      <c r="K17748" s="711"/>
      <c r="L17748" s="711"/>
      <c r="Q17748" s="11"/>
      <c r="R17748" s="11"/>
      <c r="S17748" s="11"/>
      <c r="T17748" s="11"/>
    </row>
    <row r="17749" spans="8:20" x14ac:dyDescent="0.35">
      <c r="H17749" s="711"/>
      <c r="I17749" s="711"/>
      <c r="J17749" s="711"/>
      <c r="K17749" s="711"/>
      <c r="L17749" s="711"/>
      <c r="Q17749" s="11"/>
      <c r="R17749" s="11"/>
      <c r="S17749" s="11"/>
      <c r="T17749" s="11"/>
    </row>
    <row r="17750" spans="8:20" x14ac:dyDescent="0.35">
      <c r="H17750" s="711"/>
      <c r="I17750" s="711"/>
      <c r="J17750" s="711"/>
      <c r="K17750" s="711"/>
      <c r="L17750" s="711"/>
      <c r="Q17750" s="11"/>
      <c r="R17750" s="11"/>
      <c r="S17750" s="11"/>
      <c r="T17750" s="11"/>
    </row>
    <row r="17751" spans="8:20" x14ac:dyDescent="0.35">
      <c r="H17751" s="711"/>
      <c r="I17751" s="711"/>
      <c r="J17751" s="711"/>
      <c r="K17751" s="711"/>
      <c r="L17751" s="711"/>
      <c r="Q17751" s="11"/>
      <c r="R17751" s="11"/>
      <c r="S17751" s="11"/>
      <c r="T17751" s="11"/>
    </row>
    <row r="17752" spans="8:20" x14ac:dyDescent="0.35">
      <c r="H17752" s="711"/>
      <c r="I17752" s="711"/>
      <c r="J17752" s="711"/>
      <c r="K17752" s="711"/>
      <c r="L17752" s="711"/>
      <c r="Q17752" s="11"/>
      <c r="R17752" s="11"/>
      <c r="S17752" s="11"/>
      <c r="T17752" s="11"/>
    </row>
    <row r="17753" spans="8:20" x14ac:dyDescent="0.35">
      <c r="H17753" s="711"/>
      <c r="I17753" s="711"/>
      <c r="J17753" s="711"/>
      <c r="K17753" s="711"/>
      <c r="L17753" s="711"/>
      <c r="Q17753" s="11"/>
      <c r="R17753" s="11"/>
      <c r="S17753" s="11"/>
      <c r="T17753" s="11"/>
    </row>
    <row r="17754" spans="8:20" x14ac:dyDescent="0.35">
      <c r="H17754" s="711"/>
      <c r="I17754" s="711"/>
      <c r="J17754" s="711"/>
      <c r="K17754" s="711"/>
      <c r="L17754" s="711"/>
      <c r="Q17754" s="11"/>
      <c r="R17754" s="11"/>
      <c r="S17754" s="11"/>
      <c r="T17754" s="11"/>
    </row>
    <row r="17755" spans="8:20" x14ac:dyDescent="0.35">
      <c r="H17755" s="711"/>
      <c r="I17755" s="711"/>
      <c r="J17755" s="711"/>
      <c r="K17755" s="711"/>
      <c r="L17755" s="711"/>
      <c r="Q17755" s="11"/>
      <c r="R17755" s="11"/>
      <c r="S17755" s="11"/>
      <c r="T17755" s="11"/>
    </row>
    <row r="17756" spans="8:20" x14ac:dyDescent="0.35">
      <c r="H17756" s="711"/>
      <c r="I17756" s="711"/>
      <c r="J17756" s="711"/>
      <c r="K17756" s="711"/>
      <c r="L17756" s="711"/>
      <c r="Q17756" s="11"/>
      <c r="R17756" s="11"/>
      <c r="S17756" s="11"/>
      <c r="T17756" s="11"/>
    </row>
    <row r="17757" spans="8:20" x14ac:dyDescent="0.35">
      <c r="H17757" s="711"/>
      <c r="I17757" s="711"/>
      <c r="J17757" s="711"/>
      <c r="K17757" s="711"/>
      <c r="L17757" s="711"/>
      <c r="Q17757" s="11"/>
      <c r="R17757" s="11"/>
      <c r="S17757" s="11"/>
      <c r="T17757" s="11"/>
    </row>
    <row r="17758" spans="8:20" x14ac:dyDescent="0.35">
      <c r="H17758" s="711"/>
      <c r="I17758" s="711"/>
      <c r="J17758" s="711"/>
      <c r="K17758" s="711"/>
      <c r="L17758" s="711"/>
      <c r="Q17758" s="11"/>
      <c r="R17758" s="11"/>
      <c r="S17758" s="11"/>
      <c r="T17758" s="11"/>
    </row>
    <row r="17759" spans="8:20" x14ac:dyDescent="0.35">
      <c r="H17759" s="711"/>
      <c r="I17759" s="711"/>
      <c r="J17759" s="711"/>
      <c r="K17759" s="711"/>
      <c r="L17759" s="711"/>
      <c r="Q17759" s="11"/>
      <c r="R17759" s="11"/>
      <c r="S17759" s="11"/>
      <c r="T17759" s="11"/>
    </row>
    <row r="17760" spans="8:20" x14ac:dyDescent="0.35">
      <c r="H17760" s="711"/>
      <c r="I17760" s="711"/>
      <c r="J17760" s="711"/>
      <c r="K17760" s="711"/>
      <c r="L17760" s="711"/>
      <c r="Q17760" s="11"/>
      <c r="R17760" s="11"/>
      <c r="S17760" s="11"/>
      <c r="T17760" s="11"/>
    </row>
    <row r="17761" spans="8:20" x14ac:dyDescent="0.35">
      <c r="H17761" s="711"/>
      <c r="I17761" s="711"/>
      <c r="J17761" s="711"/>
      <c r="K17761" s="711"/>
      <c r="L17761" s="711"/>
      <c r="Q17761" s="11"/>
      <c r="R17761" s="11"/>
      <c r="S17761" s="11"/>
      <c r="T17761" s="11"/>
    </row>
    <row r="17762" spans="8:20" x14ac:dyDescent="0.35">
      <c r="H17762" s="711"/>
      <c r="I17762" s="711"/>
      <c r="J17762" s="711"/>
      <c r="K17762" s="711"/>
      <c r="L17762" s="711"/>
      <c r="Q17762" s="11"/>
      <c r="R17762" s="11"/>
      <c r="S17762" s="11"/>
      <c r="T17762" s="11"/>
    </row>
    <row r="17763" spans="8:20" x14ac:dyDescent="0.35">
      <c r="H17763" s="711"/>
      <c r="I17763" s="711"/>
      <c r="J17763" s="711"/>
      <c r="K17763" s="711"/>
      <c r="L17763" s="711"/>
      <c r="Q17763" s="11"/>
      <c r="R17763" s="11"/>
      <c r="S17763" s="11"/>
      <c r="T17763" s="11"/>
    </row>
    <row r="17764" spans="8:20" x14ac:dyDescent="0.35">
      <c r="H17764" s="711"/>
      <c r="I17764" s="711"/>
      <c r="J17764" s="711"/>
      <c r="K17764" s="711"/>
      <c r="L17764" s="711"/>
      <c r="Q17764" s="11"/>
      <c r="R17764" s="11"/>
      <c r="S17764" s="11"/>
      <c r="T17764" s="11"/>
    </row>
    <row r="17765" spans="8:20" x14ac:dyDescent="0.35">
      <c r="H17765" s="711"/>
      <c r="I17765" s="711"/>
      <c r="J17765" s="711"/>
      <c r="K17765" s="711"/>
      <c r="L17765" s="711"/>
      <c r="Q17765" s="11"/>
      <c r="R17765" s="11"/>
      <c r="S17765" s="11"/>
      <c r="T17765" s="11"/>
    </row>
    <row r="17766" spans="8:20" x14ac:dyDescent="0.35">
      <c r="H17766" s="711"/>
      <c r="I17766" s="711"/>
      <c r="J17766" s="711"/>
      <c r="K17766" s="711"/>
      <c r="L17766" s="711"/>
      <c r="Q17766" s="11"/>
      <c r="R17766" s="11"/>
      <c r="S17766" s="11"/>
      <c r="T17766" s="11"/>
    </row>
    <row r="17767" spans="8:20" x14ac:dyDescent="0.35">
      <c r="H17767" s="711"/>
      <c r="I17767" s="711"/>
      <c r="J17767" s="711"/>
      <c r="K17767" s="711"/>
      <c r="L17767" s="711"/>
      <c r="Q17767" s="11"/>
      <c r="R17767" s="11"/>
      <c r="S17767" s="11"/>
      <c r="T17767" s="11"/>
    </row>
    <row r="17768" spans="8:20" x14ac:dyDescent="0.35">
      <c r="H17768" s="711"/>
      <c r="I17768" s="711"/>
      <c r="J17768" s="711"/>
      <c r="K17768" s="711"/>
      <c r="L17768" s="711"/>
      <c r="Q17768" s="11"/>
      <c r="R17768" s="11"/>
      <c r="S17768" s="11"/>
      <c r="T17768" s="11"/>
    </row>
    <row r="17769" spans="8:20" x14ac:dyDescent="0.35">
      <c r="H17769" s="711"/>
      <c r="I17769" s="711"/>
      <c r="J17769" s="711"/>
      <c r="K17769" s="711"/>
      <c r="L17769" s="711"/>
      <c r="Q17769" s="11"/>
      <c r="R17769" s="11"/>
      <c r="S17769" s="11"/>
      <c r="T17769" s="11"/>
    </row>
    <row r="17770" spans="8:20" x14ac:dyDescent="0.35">
      <c r="H17770" s="711"/>
      <c r="I17770" s="711"/>
      <c r="J17770" s="711"/>
      <c r="K17770" s="711"/>
      <c r="L17770" s="711"/>
      <c r="Q17770" s="11"/>
      <c r="R17770" s="11"/>
      <c r="S17770" s="11"/>
      <c r="T17770" s="11"/>
    </row>
    <row r="17771" spans="8:20" x14ac:dyDescent="0.35">
      <c r="H17771" s="711"/>
      <c r="I17771" s="711"/>
      <c r="J17771" s="711"/>
      <c r="K17771" s="711"/>
      <c r="L17771" s="711"/>
      <c r="Q17771" s="11"/>
      <c r="R17771" s="11"/>
      <c r="S17771" s="11"/>
      <c r="T17771" s="11"/>
    </row>
    <row r="17772" spans="8:20" x14ac:dyDescent="0.35">
      <c r="H17772" s="711"/>
      <c r="I17772" s="711"/>
      <c r="J17772" s="711"/>
      <c r="K17772" s="711"/>
      <c r="L17772" s="711"/>
      <c r="Q17772" s="11"/>
      <c r="R17772" s="11"/>
      <c r="S17772" s="11"/>
      <c r="T17772" s="11"/>
    </row>
    <row r="17773" spans="8:20" x14ac:dyDescent="0.35">
      <c r="H17773" s="711"/>
      <c r="I17773" s="711"/>
      <c r="J17773" s="711"/>
      <c r="K17773" s="711"/>
      <c r="L17773" s="711"/>
      <c r="Q17773" s="11"/>
      <c r="R17773" s="11"/>
      <c r="S17773" s="11"/>
      <c r="T17773" s="11"/>
    </row>
    <row r="17774" spans="8:20" x14ac:dyDescent="0.35">
      <c r="H17774" s="711"/>
      <c r="I17774" s="711"/>
      <c r="J17774" s="711"/>
      <c r="K17774" s="711"/>
      <c r="L17774" s="711"/>
      <c r="Q17774" s="11"/>
      <c r="R17774" s="11"/>
      <c r="S17774" s="11"/>
      <c r="T17774" s="11"/>
    </row>
    <row r="17775" spans="8:20" x14ac:dyDescent="0.35">
      <c r="H17775" s="711"/>
      <c r="I17775" s="711"/>
      <c r="J17775" s="711"/>
      <c r="K17775" s="711"/>
      <c r="L17775" s="711"/>
      <c r="Q17775" s="11"/>
      <c r="R17775" s="11"/>
      <c r="S17775" s="11"/>
      <c r="T17775" s="11"/>
    </row>
    <row r="17776" spans="8:20" x14ac:dyDescent="0.35">
      <c r="H17776" s="711"/>
      <c r="I17776" s="711"/>
      <c r="J17776" s="711"/>
      <c r="K17776" s="711"/>
      <c r="L17776" s="711"/>
      <c r="Q17776" s="11"/>
      <c r="R17776" s="11"/>
      <c r="S17776" s="11"/>
      <c r="T17776" s="11"/>
    </row>
    <row r="17777" spans="8:20" x14ac:dyDescent="0.35">
      <c r="H17777" s="711"/>
      <c r="I17777" s="711"/>
      <c r="J17777" s="711"/>
      <c r="K17777" s="711"/>
      <c r="L17777" s="711"/>
      <c r="Q17777" s="11"/>
      <c r="R17777" s="11"/>
      <c r="S17777" s="11"/>
      <c r="T17777" s="11"/>
    </row>
    <row r="17778" spans="8:20" x14ac:dyDescent="0.35">
      <c r="H17778" s="711"/>
      <c r="I17778" s="711"/>
      <c r="J17778" s="711"/>
      <c r="K17778" s="711"/>
      <c r="L17778" s="711"/>
      <c r="Q17778" s="11"/>
      <c r="R17778" s="11"/>
      <c r="S17778" s="11"/>
      <c r="T17778" s="11"/>
    </row>
    <row r="17779" spans="8:20" x14ac:dyDescent="0.35">
      <c r="H17779" s="711"/>
      <c r="I17779" s="711"/>
      <c r="J17779" s="711"/>
      <c r="K17779" s="711"/>
      <c r="L17779" s="711"/>
      <c r="Q17779" s="11"/>
      <c r="R17779" s="11"/>
      <c r="S17779" s="11"/>
      <c r="T17779" s="11"/>
    </row>
    <row r="17780" spans="8:20" x14ac:dyDescent="0.35">
      <c r="H17780" s="711"/>
      <c r="I17780" s="711"/>
      <c r="J17780" s="711"/>
      <c r="K17780" s="711"/>
      <c r="L17780" s="711"/>
      <c r="Q17780" s="11"/>
      <c r="R17780" s="11"/>
      <c r="S17780" s="11"/>
      <c r="T17780" s="11"/>
    </row>
    <row r="17781" spans="8:20" x14ac:dyDescent="0.35">
      <c r="H17781" s="711"/>
      <c r="I17781" s="711"/>
      <c r="J17781" s="711"/>
      <c r="K17781" s="711"/>
      <c r="L17781" s="711"/>
      <c r="Q17781" s="11"/>
      <c r="R17781" s="11"/>
      <c r="S17781" s="11"/>
      <c r="T17781" s="11"/>
    </row>
    <row r="17782" spans="8:20" x14ac:dyDescent="0.35">
      <c r="H17782" s="711"/>
      <c r="I17782" s="711"/>
      <c r="J17782" s="711"/>
      <c r="K17782" s="711"/>
      <c r="L17782" s="711"/>
      <c r="Q17782" s="11"/>
      <c r="R17782" s="11"/>
      <c r="S17782" s="11"/>
      <c r="T17782" s="11"/>
    </row>
    <row r="17783" spans="8:20" x14ac:dyDescent="0.35">
      <c r="H17783" s="711"/>
      <c r="I17783" s="711"/>
      <c r="J17783" s="711"/>
      <c r="K17783" s="711"/>
      <c r="L17783" s="711"/>
      <c r="Q17783" s="11"/>
      <c r="R17783" s="11"/>
      <c r="S17783" s="11"/>
      <c r="T17783" s="11"/>
    </row>
    <row r="17784" spans="8:20" x14ac:dyDescent="0.35">
      <c r="H17784" s="711"/>
      <c r="I17784" s="711"/>
      <c r="J17784" s="711"/>
      <c r="K17784" s="711"/>
      <c r="L17784" s="711"/>
      <c r="Q17784" s="11"/>
      <c r="R17784" s="11"/>
      <c r="S17784" s="11"/>
      <c r="T17784" s="11"/>
    </row>
    <row r="17785" spans="8:20" x14ac:dyDescent="0.35">
      <c r="H17785" s="711"/>
      <c r="I17785" s="711"/>
      <c r="J17785" s="711"/>
      <c r="K17785" s="711"/>
      <c r="L17785" s="711"/>
      <c r="Q17785" s="11"/>
      <c r="R17785" s="11"/>
      <c r="S17785" s="11"/>
      <c r="T17785" s="11"/>
    </row>
    <row r="17786" spans="8:20" x14ac:dyDescent="0.35">
      <c r="H17786" s="711"/>
      <c r="I17786" s="711"/>
      <c r="J17786" s="711"/>
      <c r="K17786" s="711"/>
      <c r="L17786" s="711"/>
      <c r="Q17786" s="11"/>
      <c r="R17786" s="11"/>
      <c r="S17786" s="11"/>
      <c r="T17786" s="11"/>
    </row>
    <row r="17787" spans="8:20" x14ac:dyDescent="0.35">
      <c r="H17787" s="711"/>
      <c r="I17787" s="711"/>
      <c r="J17787" s="711"/>
      <c r="K17787" s="711"/>
      <c r="L17787" s="711"/>
      <c r="Q17787" s="11"/>
      <c r="R17787" s="11"/>
      <c r="S17787" s="11"/>
      <c r="T17787" s="11"/>
    </row>
    <row r="17788" spans="8:20" x14ac:dyDescent="0.35">
      <c r="H17788" s="711"/>
      <c r="I17788" s="711"/>
      <c r="J17788" s="711"/>
      <c r="K17788" s="711"/>
      <c r="L17788" s="711"/>
      <c r="Q17788" s="11"/>
      <c r="R17788" s="11"/>
      <c r="S17788" s="11"/>
      <c r="T17788" s="11"/>
    </row>
    <row r="17789" spans="8:20" x14ac:dyDescent="0.35">
      <c r="H17789" s="711"/>
      <c r="I17789" s="711"/>
      <c r="J17789" s="711"/>
      <c r="K17789" s="711"/>
      <c r="L17789" s="711"/>
      <c r="Q17789" s="11"/>
      <c r="R17789" s="11"/>
      <c r="S17789" s="11"/>
      <c r="T17789" s="11"/>
    </row>
    <row r="17790" spans="8:20" x14ac:dyDescent="0.35">
      <c r="H17790" s="711"/>
      <c r="I17790" s="711"/>
      <c r="J17790" s="711"/>
      <c r="K17790" s="711"/>
      <c r="L17790" s="711"/>
      <c r="Q17790" s="11"/>
      <c r="R17790" s="11"/>
      <c r="S17790" s="11"/>
      <c r="T17790" s="11"/>
    </row>
    <row r="17791" spans="8:20" x14ac:dyDescent="0.35">
      <c r="H17791" s="711"/>
      <c r="I17791" s="711"/>
      <c r="J17791" s="711"/>
      <c r="K17791" s="711"/>
      <c r="L17791" s="711"/>
      <c r="Q17791" s="11"/>
      <c r="R17791" s="11"/>
      <c r="S17791" s="11"/>
      <c r="T17791" s="11"/>
    </row>
    <row r="17792" spans="8:20" x14ac:dyDescent="0.35">
      <c r="H17792" s="711"/>
      <c r="I17792" s="711"/>
      <c r="J17792" s="711"/>
      <c r="K17792" s="711"/>
      <c r="L17792" s="711"/>
      <c r="Q17792" s="11"/>
      <c r="R17792" s="11"/>
      <c r="S17792" s="11"/>
      <c r="T17792" s="11"/>
    </row>
    <row r="17793" spans="8:20" x14ac:dyDescent="0.35">
      <c r="H17793" s="711"/>
      <c r="I17793" s="711"/>
      <c r="J17793" s="711"/>
      <c r="K17793" s="711"/>
      <c r="L17793" s="711"/>
      <c r="Q17793" s="11"/>
      <c r="R17793" s="11"/>
      <c r="S17793" s="11"/>
      <c r="T17793" s="11"/>
    </row>
    <row r="17794" spans="8:20" x14ac:dyDescent="0.35">
      <c r="H17794" s="711"/>
      <c r="I17794" s="711"/>
      <c r="J17794" s="711"/>
      <c r="K17794" s="711"/>
      <c r="L17794" s="711"/>
      <c r="Q17794" s="11"/>
      <c r="R17794" s="11"/>
      <c r="S17794" s="11"/>
      <c r="T17794" s="11"/>
    </row>
    <row r="17795" spans="8:20" x14ac:dyDescent="0.35">
      <c r="H17795" s="711"/>
      <c r="I17795" s="711"/>
      <c r="J17795" s="711"/>
      <c r="K17795" s="711"/>
      <c r="L17795" s="711"/>
      <c r="Q17795" s="11"/>
      <c r="R17795" s="11"/>
      <c r="S17795" s="11"/>
      <c r="T17795" s="11"/>
    </row>
    <row r="17796" spans="8:20" x14ac:dyDescent="0.35">
      <c r="H17796" s="711"/>
      <c r="I17796" s="711"/>
      <c r="J17796" s="711"/>
      <c r="K17796" s="711"/>
      <c r="L17796" s="711"/>
      <c r="Q17796" s="11"/>
      <c r="R17796" s="11"/>
      <c r="S17796" s="11"/>
      <c r="T17796" s="11"/>
    </row>
    <row r="17797" spans="8:20" x14ac:dyDescent="0.35">
      <c r="H17797" s="711"/>
      <c r="I17797" s="711"/>
      <c r="J17797" s="711"/>
      <c r="K17797" s="711"/>
      <c r="L17797" s="711"/>
      <c r="Q17797" s="11"/>
      <c r="R17797" s="11"/>
      <c r="S17797" s="11"/>
      <c r="T17797" s="11"/>
    </row>
    <row r="17798" spans="8:20" x14ac:dyDescent="0.35">
      <c r="H17798" s="711"/>
      <c r="I17798" s="711"/>
      <c r="J17798" s="711"/>
      <c r="K17798" s="711"/>
      <c r="L17798" s="711"/>
      <c r="Q17798" s="11"/>
      <c r="R17798" s="11"/>
      <c r="S17798" s="11"/>
      <c r="T17798" s="11"/>
    </row>
    <row r="17799" spans="8:20" x14ac:dyDescent="0.35">
      <c r="H17799" s="711"/>
      <c r="I17799" s="711"/>
      <c r="J17799" s="711"/>
      <c r="K17799" s="711"/>
      <c r="L17799" s="711"/>
      <c r="Q17799" s="11"/>
      <c r="R17799" s="11"/>
      <c r="S17799" s="11"/>
      <c r="T17799" s="11"/>
    </row>
    <row r="17800" spans="8:20" x14ac:dyDescent="0.35">
      <c r="H17800" s="711"/>
      <c r="I17800" s="711"/>
      <c r="J17800" s="711"/>
      <c r="K17800" s="711"/>
      <c r="L17800" s="711"/>
      <c r="Q17800" s="11"/>
      <c r="R17800" s="11"/>
      <c r="S17800" s="11"/>
      <c r="T17800" s="11"/>
    </row>
    <row r="17801" spans="8:20" x14ac:dyDescent="0.35">
      <c r="H17801" s="711"/>
      <c r="I17801" s="711"/>
      <c r="J17801" s="711"/>
      <c r="K17801" s="711"/>
      <c r="L17801" s="711"/>
      <c r="Q17801" s="11"/>
      <c r="R17801" s="11"/>
      <c r="S17801" s="11"/>
      <c r="T17801" s="11"/>
    </row>
    <row r="17802" spans="8:20" x14ac:dyDescent="0.35">
      <c r="H17802" s="711"/>
      <c r="I17802" s="711"/>
      <c r="J17802" s="711"/>
      <c r="K17802" s="711"/>
      <c r="L17802" s="711"/>
      <c r="Q17802" s="11"/>
      <c r="R17802" s="11"/>
      <c r="S17802" s="11"/>
      <c r="T17802" s="11"/>
    </row>
    <row r="17803" spans="8:20" x14ac:dyDescent="0.35">
      <c r="H17803" s="711"/>
      <c r="I17803" s="711"/>
      <c r="J17803" s="711"/>
      <c r="K17803" s="711"/>
      <c r="L17803" s="711"/>
      <c r="Q17803" s="11"/>
      <c r="R17803" s="11"/>
      <c r="S17803" s="11"/>
      <c r="T17803" s="11"/>
    </row>
    <row r="17804" spans="8:20" x14ac:dyDescent="0.35">
      <c r="H17804" s="711"/>
      <c r="I17804" s="711"/>
      <c r="J17804" s="711"/>
      <c r="K17804" s="711"/>
      <c r="L17804" s="711"/>
      <c r="Q17804" s="11"/>
      <c r="R17804" s="11"/>
      <c r="S17804" s="11"/>
      <c r="T17804" s="11"/>
    </row>
    <row r="17805" spans="8:20" x14ac:dyDescent="0.35">
      <c r="H17805" s="711"/>
      <c r="I17805" s="711"/>
      <c r="J17805" s="711"/>
      <c r="K17805" s="711"/>
      <c r="L17805" s="711"/>
      <c r="Q17805" s="11"/>
      <c r="R17805" s="11"/>
      <c r="S17805" s="11"/>
      <c r="T17805" s="11"/>
    </row>
    <row r="17806" spans="8:20" x14ac:dyDescent="0.35">
      <c r="H17806" s="711"/>
      <c r="I17806" s="711"/>
      <c r="J17806" s="711"/>
      <c r="K17806" s="711"/>
      <c r="L17806" s="711"/>
      <c r="Q17806" s="11"/>
      <c r="R17806" s="11"/>
      <c r="S17806" s="11"/>
      <c r="T17806" s="11"/>
    </row>
    <row r="17807" spans="8:20" x14ac:dyDescent="0.35">
      <c r="H17807" s="711"/>
      <c r="I17807" s="711"/>
      <c r="J17807" s="711"/>
      <c r="K17807" s="711"/>
      <c r="L17807" s="711"/>
      <c r="Q17807" s="11"/>
      <c r="R17807" s="11"/>
      <c r="S17807" s="11"/>
      <c r="T17807" s="11"/>
    </row>
    <row r="17808" spans="8:20" x14ac:dyDescent="0.35">
      <c r="H17808" s="711"/>
      <c r="I17808" s="711"/>
      <c r="J17808" s="711"/>
      <c r="K17808" s="711"/>
      <c r="L17808" s="711"/>
      <c r="Q17808" s="11"/>
      <c r="R17808" s="11"/>
      <c r="S17808" s="11"/>
      <c r="T17808" s="11"/>
    </row>
    <row r="17809" spans="8:20" x14ac:dyDescent="0.35">
      <c r="H17809" s="711"/>
      <c r="I17809" s="711"/>
      <c r="J17809" s="711"/>
      <c r="K17809" s="711"/>
      <c r="L17809" s="711"/>
      <c r="Q17809" s="11"/>
      <c r="R17809" s="11"/>
      <c r="S17809" s="11"/>
      <c r="T17809" s="11"/>
    </row>
    <row r="17810" spans="8:20" x14ac:dyDescent="0.35">
      <c r="H17810" s="711"/>
      <c r="I17810" s="711"/>
      <c r="J17810" s="711"/>
      <c r="K17810" s="711"/>
      <c r="L17810" s="711"/>
      <c r="Q17810" s="11"/>
      <c r="R17810" s="11"/>
      <c r="S17810" s="11"/>
      <c r="T17810" s="11"/>
    </row>
    <row r="17811" spans="8:20" x14ac:dyDescent="0.35">
      <c r="H17811" s="711"/>
      <c r="I17811" s="711"/>
      <c r="J17811" s="711"/>
      <c r="K17811" s="711"/>
      <c r="L17811" s="711"/>
      <c r="Q17811" s="11"/>
      <c r="R17811" s="11"/>
      <c r="S17811" s="11"/>
      <c r="T17811" s="11"/>
    </row>
    <row r="17812" spans="8:20" x14ac:dyDescent="0.35">
      <c r="H17812" s="711"/>
      <c r="I17812" s="711"/>
      <c r="J17812" s="711"/>
      <c r="K17812" s="711"/>
      <c r="L17812" s="711"/>
      <c r="Q17812" s="11"/>
      <c r="R17812" s="11"/>
      <c r="S17812" s="11"/>
      <c r="T17812" s="11"/>
    </row>
    <row r="17813" spans="8:20" x14ac:dyDescent="0.35">
      <c r="H17813" s="711"/>
      <c r="I17813" s="711"/>
      <c r="J17813" s="711"/>
      <c r="K17813" s="711"/>
      <c r="L17813" s="711"/>
      <c r="Q17813" s="11"/>
      <c r="R17813" s="11"/>
      <c r="S17813" s="11"/>
      <c r="T17813" s="11"/>
    </row>
    <row r="17814" spans="8:20" x14ac:dyDescent="0.35">
      <c r="H17814" s="711"/>
      <c r="I17814" s="711"/>
      <c r="J17814" s="711"/>
      <c r="K17814" s="711"/>
      <c r="L17814" s="711"/>
      <c r="Q17814" s="11"/>
      <c r="R17814" s="11"/>
      <c r="S17814" s="11"/>
      <c r="T17814" s="11"/>
    </row>
    <row r="17815" spans="8:20" x14ac:dyDescent="0.35">
      <c r="H17815" s="711"/>
      <c r="I17815" s="711"/>
      <c r="J17815" s="711"/>
      <c r="K17815" s="711"/>
      <c r="L17815" s="711"/>
      <c r="Q17815" s="11"/>
      <c r="R17815" s="11"/>
      <c r="S17815" s="11"/>
      <c r="T17815" s="11"/>
    </row>
    <row r="17816" spans="8:20" x14ac:dyDescent="0.35">
      <c r="H17816" s="711"/>
      <c r="I17816" s="711"/>
      <c r="J17816" s="711"/>
      <c r="K17816" s="711"/>
      <c r="L17816" s="711"/>
      <c r="Q17816" s="11"/>
      <c r="R17816" s="11"/>
      <c r="S17816" s="11"/>
      <c r="T17816" s="11"/>
    </row>
    <row r="17817" spans="8:20" x14ac:dyDescent="0.35">
      <c r="H17817" s="711"/>
      <c r="I17817" s="711"/>
      <c r="J17817" s="711"/>
      <c r="K17817" s="711"/>
      <c r="L17817" s="711"/>
      <c r="Q17817" s="11"/>
      <c r="R17817" s="11"/>
      <c r="S17817" s="11"/>
      <c r="T17817" s="11"/>
    </row>
    <row r="17818" spans="8:20" x14ac:dyDescent="0.35">
      <c r="H17818" s="711"/>
      <c r="I17818" s="711"/>
      <c r="J17818" s="711"/>
      <c r="K17818" s="711"/>
      <c r="L17818" s="711"/>
      <c r="Q17818" s="11"/>
      <c r="R17818" s="11"/>
      <c r="S17818" s="11"/>
      <c r="T17818" s="11"/>
    </row>
    <row r="17819" spans="8:20" x14ac:dyDescent="0.35">
      <c r="H17819" s="711"/>
      <c r="I17819" s="711"/>
      <c r="J17819" s="711"/>
      <c r="K17819" s="711"/>
      <c r="L17819" s="711"/>
      <c r="Q17819" s="11"/>
      <c r="R17819" s="11"/>
      <c r="S17819" s="11"/>
      <c r="T17819" s="11"/>
    </row>
    <row r="17820" spans="8:20" x14ac:dyDescent="0.35">
      <c r="H17820" s="711"/>
      <c r="I17820" s="711"/>
      <c r="J17820" s="711"/>
      <c r="K17820" s="711"/>
      <c r="L17820" s="711"/>
      <c r="Q17820" s="11"/>
      <c r="R17820" s="11"/>
      <c r="S17820" s="11"/>
      <c r="T17820" s="11"/>
    </row>
    <row r="17821" spans="8:20" x14ac:dyDescent="0.35">
      <c r="H17821" s="711"/>
      <c r="I17821" s="711"/>
      <c r="J17821" s="711"/>
      <c r="K17821" s="711"/>
      <c r="L17821" s="711"/>
      <c r="Q17821" s="11"/>
      <c r="R17821" s="11"/>
      <c r="S17821" s="11"/>
      <c r="T17821" s="11"/>
    </row>
    <row r="17822" spans="8:20" x14ac:dyDescent="0.35">
      <c r="H17822" s="711"/>
      <c r="I17822" s="711"/>
      <c r="J17822" s="711"/>
      <c r="K17822" s="711"/>
      <c r="L17822" s="711"/>
      <c r="Q17822" s="11"/>
      <c r="R17822" s="11"/>
      <c r="S17822" s="11"/>
      <c r="T17822" s="11"/>
    </row>
    <row r="17823" spans="8:20" x14ac:dyDescent="0.35">
      <c r="H17823" s="711"/>
      <c r="I17823" s="711"/>
      <c r="J17823" s="711"/>
      <c r="K17823" s="711"/>
      <c r="L17823" s="711"/>
      <c r="Q17823" s="11"/>
      <c r="R17823" s="11"/>
      <c r="S17823" s="11"/>
      <c r="T17823" s="11"/>
    </row>
    <row r="17824" spans="8:20" x14ac:dyDescent="0.35">
      <c r="H17824" s="711"/>
      <c r="I17824" s="711"/>
      <c r="J17824" s="711"/>
      <c r="K17824" s="711"/>
      <c r="L17824" s="711"/>
      <c r="Q17824" s="11"/>
      <c r="R17824" s="11"/>
      <c r="S17824" s="11"/>
      <c r="T17824" s="11"/>
    </row>
    <row r="17825" spans="8:20" x14ac:dyDescent="0.35">
      <c r="H17825" s="711"/>
      <c r="I17825" s="711"/>
      <c r="J17825" s="711"/>
      <c r="K17825" s="711"/>
      <c r="L17825" s="711"/>
      <c r="Q17825" s="11"/>
      <c r="R17825" s="11"/>
      <c r="S17825" s="11"/>
      <c r="T17825" s="11"/>
    </row>
    <row r="17826" spans="8:20" x14ac:dyDescent="0.35">
      <c r="H17826" s="711"/>
      <c r="I17826" s="711"/>
      <c r="J17826" s="711"/>
      <c r="K17826" s="711"/>
      <c r="L17826" s="711"/>
      <c r="Q17826" s="11"/>
      <c r="R17826" s="11"/>
      <c r="S17826" s="11"/>
      <c r="T17826" s="11"/>
    </row>
    <row r="17827" spans="8:20" x14ac:dyDescent="0.35">
      <c r="H17827" s="711"/>
      <c r="I17827" s="711"/>
      <c r="J17827" s="711"/>
      <c r="K17827" s="711"/>
      <c r="L17827" s="711"/>
      <c r="Q17827" s="11"/>
      <c r="R17827" s="11"/>
      <c r="S17827" s="11"/>
      <c r="T17827" s="11"/>
    </row>
    <row r="17828" spans="8:20" x14ac:dyDescent="0.35">
      <c r="H17828" s="711"/>
      <c r="I17828" s="711"/>
      <c r="J17828" s="711"/>
      <c r="K17828" s="711"/>
      <c r="L17828" s="711"/>
      <c r="Q17828" s="11"/>
      <c r="R17828" s="11"/>
      <c r="S17828" s="11"/>
      <c r="T17828" s="11"/>
    </row>
    <row r="17829" spans="8:20" x14ac:dyDescent="0.35">
      <c r="H17829" s="711"/>
      <c r="I17829" s="711"/>
      <c r="J17829" s="711"/>
      <c r="K17829" s="711"/>
      <c r="L17829" s="711"/>
      <c r="Q17829" s="11"/>
      <c r="R17829" s="11"/>
      <c r="S17829" s="11"/>
      <c r="T17829" s="11"/>
    </row>
    <row r="17830" spans="8:20" x14ac:dyDescent="0.35">
      <c r="H17830" s="711"/>
      <c r="I17830" s="711"/>
      <c r="J17830" s="711"/>
      <c r="K17830" s="711"/>
      <c r="L17830" s="711"/>
      <c r="Q17830" s="11"/>
      <c r="R17830" s="11"/>
      <c r="S17830" s="11"/>
      <c r="T17830" s="11"/>
    </row>
    <row r="17831" spans="8:20" x14ac:dyDescent="0.35">
      <c r="H17831" s="711"/>
      <c r="I17831" s="711"/>
      <c r="J17831" s="711"/>
      <c r="K17831" s="711"/>
      <c r="L17831" s="711"/>
      <c r="Q17831" s="11"/>
      <c r="R17831" s="11"/>
      <c r="S17831" s="11"/>
      <c r="T17831" s="11"/>
    </row>
    <row r="17832" spans="8:20" x14ac:dyDescent="0.35">
      <c r="H17832" s="711"/>
      <c r="I17832" s="711"/>
      <c r="J17832" s="711"/>
      <c r="K17832" s="711"/>
      <c r="L17832" s="711"/>
      <c r="Q17832" s="11"/>
      <c r="R17832" s="11"/>
      <c r="S17832" s="11"/>
      <c r="T17832" s="11"/>
    </row>
    <row r="17833" spans="8:20" x14ac:dyDescent="0.35">
      <c r="H17833" s="711"/>
      <c r="I17833" s="711"/>
      <c r="J17833" s="711"/>
      <c r="K17833" s="711"/>
      <c r="L17833" s="711"/>
      <c r="Q17833" s="11"/>
      <c r="R17833" s="11"/>
      <c r="S17833" s="11"/>
      <c r="T17833" s="11"/>
    </row>
    <row r="17834" spans="8:20" x14ac:dyDescent="0.35">
      <c r="H17834" s="711"/>
      <c r="I17834" s="711"/>
      <c r="J17834" s="711"/>
      <c r="K17834" s="711"/>
      <c r="L17834" s="711"/>
      <c r="Q17834" s="11"/>
      <c r="R17834" s="11"/>
      <c r="S17834" s="11"/>
      <c r="T17834" s="11"/>
    </row>
    <row r="17835" spans="8:20" x14ac:dyDescent="0.35">
      <c r="H17835" s="711"/>
      <c r="I17835" s="711"/>
      <c r="J17835" s="711"/>
      <c r="K17835" s="711"/>
      <c r="L17835" s="711"/>
      <c r="Q17835" s="11"/>
      <c r="R17835" s="11"/>
      <c r="S17835" s="11"/>
      <c r="T17835" s="11"/>
    </row>
    <row r="17836" spans="8:20" x14ac:dyDescent="0.35">
      <c r="H17836" s="711"/>
      <c r="I17836" s="711"/>
      <c r="J17836" s="711"/>
      <c r="K17836" s="711"/>
      <c r="L17836" s="711"/>
      <c r="Q17836" s="11"/>
      <c r="R17836" s="11"/>
      <c r="S17836" s="11"/>
      <c r="T17836" s="11"/>
    </row>
    <row r="17837" spans="8:20" x14ac:dyDescent="0.35">
      <c r="H17837" s="711"/>
      <c r="I17837" s="711"/>
      <c r="J17837" s="711"/>
      <c r="K17837" s="711"/>
      <c r="L17837" s="711"/>
      <c r="Q17837" s="11"/>
      <c r="R17837" s="11"/>
      <c r="S17837" s="11"/>
      <c r="T17837" s="11"/>
    </row>
    <row r="17838" spans="8:20" x14ac:dyDescent="0.35">
      <c r="H17838" s="711"/>
      <c r="I17838" s="711"/>
      <c r="J17838" s="711"/>
      <c r="K17838" s="711"/>
      <c r="L17838" s="711"/>
      <c r="Q17838" s="11"/>
      <c r="R17838" s="11"/>
      <c r="S17838" s="11"/>
      <c r="T17838" s="11"/>
    </row>
    <row r="17839" spans="8:20" x14ac:dyDescent="0.35">
      <c r="H17839" s="711"/>
      <c r="I17839" s="711"/>
      <c r="J17839" s="711"/>
      <c r="K17839" s="711"/>
      <c r="L17839" s="711"/>
      <c r="Q17839" s="11"/>
      <c r="R17839" s="11"/>
      <c r="S17839" s="11"/>
      <c r="T17839" s="11"/>
    </row>
    <row r="17840" spans="8:20" x14ac:dyDescent="0.35">
      <c r="H17840" s="711"/>
      <c r="I17840" s="711"/>
      <c r="J17840" s="711"/>
      <c r="K17840" s="711"/>
      <c r="L17840" s="711"/>
      <c r="Q17840" s="11"/>
      <c r="R17840" s="11"/>
      <c r="S17840" s="11"/>
      <c r="T17840" s="11"/>
    </row>
    <row r="17841" spans="8:20" x14ac:dyDescent="0.35">
      <c r="H17841" s="711"/>
      <c r="I17841" s="711"/>
      <c r="J17841" s="711"/>
      <c r="K17841" s="711"/>
      <c r="L17841" s="711"/>
      <c r="Q17841" s="11"/>
      <c r="R17841" s="11"/>
      <c r="S17841" s="11"/>
      <c r="T17841" s="11"/>
    </row>
    <row r="17842" spans="8:20" x14ac:dyDescent="0.35">
      <c r="H17842" s="711"/>
      <c r="I17842" s="711"/>
      <c r="J17842" s="711"/>
      <c r="K17842" s="711"/>
      <c r="L17842" s="711"/>
      <c r="Q17842" s="11"/>
      <c r="R17842" s="11"/>
      <c r="S17842" s="11"/>
      <c r="T17842" s="11"/>
    </row>
    <row r="17843" spans="8:20" x14ac:dyDescent="0.35">
      <c r="H17843" s="711"/>
      <c r="I17843" s="711"/>
      <c r="J17843" s="711"/>
      <c r="K17843" s="711"/>
      <c r="L17843" s="711"/>
      <c r="Q17843" s="11"/>
      <c r="R17843" s="11"/>
      <c r="S17843" s="11"/>
      <c r="T17843" s="11"/>
    </row>
    <row r="17844" spans="8:20" x14ac:dyDescent="0.35">
      <c r="H17844" s="711"/>
      <c r="I17844" s="711"/>
      <c r="J17844" s="711"/>
      <c r="K17844" s="711"/>
      <c r="L17844" s="711"/>
      <c r="Q17844" s="11"/>
      <c r="R17844" s="11"/>
      <c r="S17844" s="11"/>
      <c r="T17844" s="11"/>
    </row>
    <row r="17845" spans="8:20" x14ac:dyDescent="0.35">
      <c r="H17845" s="711"/>
      <c r="I17845" s="711"/>
      <c r="J17845" s="711"/>
      <c r="K17845" s="711"/>
      <c r="L17845" s="711"/>
      <c r="Q17845" s="11"/>
      <c r="R17845" s="11"/>
      <c r="S17845" s="11"/>
      <c r="T17845" s="11"/>
    </row>
    <row r="17846" spans="8:20" x14ac:dyDescent="0.35">
      <c r="H17846" s="711"/>
      <c r="I17846" s="711"/>
      <c r="J17846" s="711"/>
      <c r="K17846" s="711"/>
      <c r="L17846" s="711"/>
      <c r="Q17846" s="11"/>
      <c r="R17846" s="11"/>
      <c r="S17846" s="11"/>
      <c r="T17846" s="11"/>
    </row>
    <row r="17847" spans="8:20" x14ac:dyDescent="0.35">
      <c r="H17847" s="711"/>
      <c r="I17847" s="711"/>
      <c r="J17847" s="711"/>
      <c r="K17847" s="711"/>
      <c r="L17847" s="711"/>
      <c r="Q17847" s="11"/>
      <c r="R17847" s="11"/>
      <c r="S17847" s="11"/>
      <c r="T17847" s="11"/>
    </row>
    <row r="17848" spans="8:20" x14ac:dyDescent="0.35">
      <c r="H17848" s="711"/>
      <c r="I17848" s="711"/>
      <c r="J17848" s="711"/>
      <c r="K17848" s="711"/>
      <c r="L17848" s="711"/>
      <c r="Q17848" s="11"/>
      <c r="R17848" s="11"/>
      <c r="S17848" s="11"/>
      <c r="T17848" s="11"/>
    </row>
    <row r="17849" spans="8:20" x14ac:dyDescent="0.35">
      <c r="H17849" s="711"/>
      <c r="I17849" s="711"/>
      <c r="J17849" s="711"/>
      <c r="K17849" s="711"/>
      <c r="L17849" s="711"/>
      <c r="Q17849" s="11"/>
      <c r="R17849" s="11"/>
      <c r="S17849" s="11"/>
      <c r="T17849" s="11"/>
    </row>
    <row r="17850" spans="8:20" x14ac:dyDescent="0.35">
      <c r="H17850" s="711"/>
      <c r="I17850" s="711"/>
      <c r="J17850" s="711"/>
      <c r="K17850" s="711"/>
      <c r="L17850" s="711"/>
      <c r="Q17850" s="11"/>
      <c r="R17850" s="11"/>
      <c r="S17850" s="11"/>
      <c r="T17850" s="11"/>
    </row>
    <row r="17851" spans="8:20" x14ac:dyDescent="0.35">
      <c r="H17851" s="711"/>
      <c r="I17851" s="711"/>
      <c r="J17851" s="711"/>
      <c r="K17851" s="711"/>
      <c r="L17851" s="711"/>
      <c r="Q17851" s="11"/>
      <c r="R17851" s="11"/>
      <c r="S17851" s="11"/>
      <c r="T17851" s="11"/>
    </row>
    <row r="17852" spans="8:20" x14ac:dyDescent="0.35">
      <c r="H17852" s="711"/>
      <c r="I17852" s="711"/>
      <c r="J17852" s="711"/>
      <c r="K17852" s="711"/>
      <c r="L17852" s="711"/>
      <c r="Q17852" s="11"/>
      <c r="R17852" s="11"/>
      <c r="S17852" s="11"/>
      <c r="T17852" s="11"/>
    </row>
    <row r="17853" spans="8:20" x14ac:dyDescent="0.35">
      <c r="H17853" s="711"/>
      <c r="I17853" s="711"/>
      <c r="J17853" s="711"/>
      <c r="K17853" s="711"/>
      <c r="L17853" s="711"/>
      <c r="Q17853" s="11"/>
      <c r="R17853" s="11"/>
      <c r="S17853" s="11"/>
      <c r="T17853" s="11"/>
    </row>
    <row r="17854" spans="8:20" x14ac:dyDescent="0.35">
      <c r="H17854" s="711"/>
      <c r="I17854" s="711"/>
      <c r="J17854" s="711"/>
      <c r="K17854" s="711"/>
      <c r="L17854" s="711"/>
      <c r="Q17854" s="11"/>
      <c r="R17854" s="11"/>
      <c r="S17854" s="11"/>
      <c r="T17854" s="11"/>
    </row>
    <row r="17855" spans="8:20" x14ac:dyDescent="0.35">
      <c r="H17855" s="711"/>
      <c r="I17855" s="711"/>
      <c r="J17855" s="711"/>
      <c r="K17855" s="711"/>
      <c r="L17855" s="711"/>
      <c r="Q17855" s="11"/>
      <c r="R17855" s="11"/>
      <c r="S17855" s="11"/>
      <c r="T17855" s="11"/>
    </row>
    <row r="17856" spans="8:20" x14ac:dyDescent="0.35">
      <c r="H17856" s="711"/>
      <c r="I17856" s="711"/>
      <c r="J17856" s="711"/>
      <c r="K17856" s="711"/>
      <c r="L17856" s="711"/>
      <c r="Q17856" s="11"/>
      <c r="R17856" s="11"/>
      <c r="S17856" s="11"/>
      <c r="T17856" s="11"/>
    </row>
    <row r="17857" spans="8:20" x14ac:dyDescent="0.35">
      <c r="H17857" s="711"/>
      <c r="I17857" s="711"/>
      <c r="J17857" s="711"/>
      <c r="K17857" s="711"/>
      <c r="L17857" s="711"/>
      <c r="Q17857" s="11"/>
      <c r="R17857" s="11"/>
      <c r="S17857" s="11"/>
      <c r="T17857" s="11"/>
    </row>
    <row r="17858" spans="8:20" x14ac:dyDescent="0.35">
      <c r="H17858" s="711"/>
      <c r="I17858" s="711"/>
      <c r="J17858" s="711"/>
      <c r="K17858" s="711"/>
      <c r="L17858" s="711"/>
      <c r="Q17858" s="11"/>
      <c r="R17858" s="11"/>
      <c r="S17858" s="11"/>
      <c r="T17858" s="11"/>
    </row>
    <row r="17859" spans="8:20" x14ac:dyDescent="0.35">
      <c r="H17859" s="711"/>
      <c r="I17859" s="711"/>
      <c r="J17859" s="711"/>
      <c r="K17859" s="711"/>
      <c r="L17859" s="711"/>
      <c r="Q17859" s="11"/>
      <c r="R17859" s="11"/>
      <c r="S17859" s="11"/>
      <c r="T17859" s="11"/>
    </row>
    <row r="17860" spans="8:20" x14ac:dyDescent="0.35">
      <c r="H17860" s="711"/>
      <c r="I17860" s="711"/>
      <c r="J17860" s="711"/>
      <c r="K17860" s="711"/>
      <c r="L17860" s="711"/>
      <c r="Q17860" s="11"/>
      <c r="R17860" s="11"/>
      <c r="S17860" s="11"/>
      <c r="T17860" s="11"/>
    </row>
    <row r="17861" spans="8:20" x14ac:dyDescent="0.35">
      <c r="H17861" s="711"/>
      <c r="I17861" s="711"/>
      <c r="J17861" s="711"/>
      <c r="K17861" s="711"/>
      <c r="L17861" s="711"/>
      <c r="Q17861" s="11"/>
      <c r="R17861" s="11"/>
      <c r="S17861" s="11"/>
      <c r="T17861" s="11"/>
    </row>
    <row r="17862" spans="8:20" x14ac:dyDescent="0.35">
      <c r="H17862" s="711"/>
      <c r="I17862" s="711"/>
      <c r="J17862" s="711"/>
      <c r="K17862" s="711"/>
      <c r="L17862" s="711"/>
      <c r="Q17862" s="11"/>
      <c r="R17862" s="11"/>
      <c r="S17862" s="11"/>
      <c r="T17862" s="11"/>
    </row>
    <row r="17863" spans="8:20" x14ac:dyDescent="0.35">
      <c r="H17863" s="711"/>
      <c r="I17863" s="711"/>
      <c r="J17863" s="711"/>
      <c r="K17863" s="711"/>
      <c r="L17863" s="711"/>
      <c r="Q17863" s="11"/>
      <c r="R17863" s="11"/>
      <c r="S17863" s="11"/>
      <c r="T17863" s="11"/>
    </row>
    <row r="17864" spans="8:20" x14ac:dyDescent="0.35">
      <c r="H17864" s="711"/>
      <c r="I17864" s="711"/>
      <c r="J17864" s="711"/>
      <c r="K17864" s="711"/>
      <c r="L17864" s="711"/>
      <c r="Q17864" s="11"/>
      <c r="R17864" s="11"/>
      <c r="S17864" s="11"/>
      <c r="T17864" s="11"/>
    </row>
    <row r="17865" spans="8:20" x14ac:dyDescent="0.35">
      <c r="H17865" s="711"/>
      <c r="I17865" s="711"/>
      <c r="J17865" s="711"/>
      <c r="K17865" s="711"/>
      <c r="L17865" s="711"/>
      <c r="Q17865" s="11"/>
      <c r="R17865" s="11"/>
      <c r="S17865" s="11"/>
      <c r="T17865" s="11"/>
    </row>
    <row r="17866" spans="8:20" x14ac:dyDescent="0.35">
      <c r="H17866" s="711"/>
      <c r="I17866" s="711"/>
      <c r="J17866" s="711"/>
      <c r="K17866" s="711"/>
      <c r="L17866" s="711"/>
      <c r="Q17866" s="11"/>
      <c r="R17866" s="11"/>
      <c r="S17866" s="11"/>
      <c r="T17866" s="11"/>
    </row>
    <row r="17867" spans="8:20" x14ac:dyDescent="0.35">
      <c r="H17867" s="711"/>
      <c r="I17867" s="711"/>
      <c r="J17867" s="711"/>
      <c r="K17867" s="711"/>
      <c r="L17867" s="711"/>
      <c r="Q17867" s="11"/>
      <c r="R17867" s="11"/>
      <c r="S17867" s="11"/>
      <c r="T17867" s="11"/>
    </row>
    <row r="17868" spans="8:20" x14ac:dyDescent="0.35">
      <c r="H17868" s="711"/>
      <c r="I17868" s="711"/>
      <c r="J17868" s="711"/>
      <c r="K17868" s="711"/>
      <c r="L17868" s="711"/>
      <c r="Q17868" s="11"/>
      <c r="R17868" s="11"/>
      <c r="S17868" s="11"/>
      <c r="T17868" s="11"/>
    </row>
    <row r="17869" spans="8:20" x14ac:dyDescent="0.35">
      <c r="H17869" s="711"/>
      <c r="I17869" s="711"/>
      <c r="J17869" s="711"/>
      <c r="K17869" s="711"/>
      <c r="L17869" s="711"/>
      <c r="Q17869" s="11"/>
      <c r="R17869" s="11"/>
      <c r="S17869" s="11"/>
      <c r="T17869" s="11"/>
    </row>
    <row r="17870" spans="8:20" x14ac:dyDescent="0.35">
      <c r="H17870" s="711"/>
      <c r="I17870" s="711"/>
      <c r="J17870" s="711"/>
      <c r="K17870" s="711"/>
      <c r="L17870" s="711"/>
      <c r="Q17870" s="11"/>
      <c r="R17870" s="11"/>
      <c r="S17870" s="11"/>
      <c r="T17870" s="11"/>
    </row>
    <row r="17871" spans="8:20" x14ac:dyDescent="0.35">
      <c r="H17871" s="711"/>
      <c r="I17871" s="711"/>
      <c r="J17871" s="711"/>
      <c r="K17871" s="711"/>
      <c r="L17871" s="711"/>
      <c r="Q17871" s="11"/>
      <c r="R17871" s="11"/>
      <c r="S17871" s="11"/>
      <c r="T17871" s="11"/>
    </row>
    <row r="17872" spans="8:20" x14ac:dyDescent="0.35">
      <c r="H17872" s="711"/>
      <c r="I17872" s="711"/>
      <c r="J17872" s="711"/>
      <c r="K17872" s="711"/>
      <c r="L17872" s="711"/>
      <c r="Q17872" s="11"/>
      <c r="R17872" s="11"/>
      <c r="S17872" s="11"/>
      <c r="T17872" s="11"/>
    </row>
    <row r="17873" spans="8:20" x14ac:dyDescent="0.35">
      <c r="H17873" s="711"/>
      <c r="I17873" s="711"/>
      <c r="J17873" s="711"/>
      <c r="K17873" s="711"/>
      <c r="L17873" s="711"/>
      <c r="Q17873" s="11"/>
      <c r="R17873" s="11"/>
      <c r="S17873" s="11"/>
      <c r="T17873" s="11"/>
    </row>
    <row r="17874" spans="8:20" x14ac:dyDescent="0.35">
      <c r="H17874" s="711"/>
      <c r="I17874" s="711"/>
      <c r="J17874" s="711"/>
      <c r="K17874" s="711"/>
      <c r="L17874" s="711"/>
      <c r="Q17874" s="11"/>
      <c r="R17874" s="11"/>
      <c r="S17874" s="11"/>
      <c r="T17874" s="11"/>
    </row>
    <row r="17875" spans="8:20" x14ac:dyDescent="0.35">
      <c r="H17875" s="711"/>
      <c r="I17875" s="711"/>
      <c r="J17875" s="711"/>
      <c r="K17875" s="711"/>
      <c r="L17875" s="711"/>
      <c r="Q17875" s="11"/>
      <c r="R17875" s="11"/>
      <c r="S17875" s="11"/>
      <c r="T17875" s="11"/>
    </row>
    <row r="17876" spans="8:20" x14ac:dyDescent="0.35">
      <c r="H17876" s="711"/>
      <c r="I17876" s="711"/>
      <c r="J17876" s="711"/>
      <c r="K17876" s="711"/>
      <c r="L17876" s="711"/>
      <c r="Q17876" s="11"/>
      <c r="R17876" s="11"/>
      <c r="S17876" s="11"/>
      <c r="T17876" s="11"/>
    </row>
    <row r="17877" spans="8:20" x14ac:dyDescent="0.35">
      <c r="H17877" s="711"/>
      <c r="I17877" s="711"/>
      <c r="J17877" s="711"/>
      <c r="K17877" s="711"/>
      <c r="L17877" s="711"/>
      <c r="Q17877" s="11"/>
      <c r="R17877" s="11"/>
      <c r="S17877" s="11"/>
      <c r="T17877" s="11"/>
    </row>
    <row r="17878" spans="8:20" x14ac:dyDescent="0.35">
      <c r="H17878" s="711"/>
      <c r="I17878" s="711"/>
      <c r="J17878" s="711"/>
      <c r="K17878" s="711"/>
      <c r="L17878" s="711"/>
      <c r="Q17878" s="11"/>
      <c r="R17878" s="11"/>
      <c r="S17878" s="11"/>
      <c r="T17878" s="11"/>
    </row>
    <row r="17879" spans="8:20" x14ac:dyDescent="0.35">
      <c r="H17879" s="711"/>
      <c r="I17879" s="711"/>
      <c r="J17879" s="711"/>
      <c r="K17879" s="711"/>
      <c r="L17879" s="711"/>
      <c r="Q17879" s="11"/>
      <c r="R17879" s="11"/>
      <c r="S17879" s="11"/>
      <c r="T17879" s="11"/>
    </row>
    <row r="17880" spans="8:20" x14ac:dyDescent="0.35">
      <c r="H17880" s="711"/>
      <c r="I17880" s="711"/>
      <c r="J17880" s="711"/>
      <c r="K17880" s="711"/>
      <c r="L17880" s="711"/>
      <c r="Q17880" s="11"/>
      <c r="R17880" s="11"/>
      <c r="S17880" s="11"/>
      <c r="T17880" s="11"/>
    </row>
    <row r="17881" spans="8:20" x14ac:dyDescent="0.35">
      <c r="H17881" s="711"/>
      <c r="I17881" s="711"/>
      <c r="J17881" s="711"/>
      <c r="K17881" s="711"/>
      <c r="L17881" s="711"/>
      <c r="Q17881" s="11"/>
      <c r="R17881" s="11"/>
      <c r="S17881" s="11"/>
      <c r="T17881" s="11"/>
    </row>
    <row r="17882" spans="8:20" x14ac:dyDescent="0.35">
      <c r="H17882" s="711"/>
      <c r="I17882" s="711"/>
      <c r="J17882" s="711"/>
      <c r="K17882" s="711"/>
      <c r="L17882" s="711"/>
      <c r="Q17882" s="11"/>
      <c r="R17882" s="11"/>
      <c r="S17882" s="11"/>
      <c r="T17882" s="11"/>
    </row>
    <row r="17883" spans="8:20" x14ac:dyDescent="0.35">
      <c r="H17883" s="711"/>
      <c r="I17883" s="711"/>
      <c r="J17883" s="711"/>
      <c r="K17883" s="711"/>
      <c r="L17883" s="711"/>
      <c r="Q17883" s="11"/>
      <c r="R17883" s="11"/>
      <c r="S17883" s="11"/>
      <c r="T17883" s="11"/>
    </row>
    <row r="17884" spans="8:20" x14ac:dyDescent="0.35">
      <c r="H17884" s="711"/>
      <c r="I17884" s="711"/>
      <c r="J17884" s="711"/>
      <c r="K17884" s="711"/>
      <c r="L17884" s="711"/>
      <c r="Q17884" s="11"/>
      <c r="R17884" s="11"/>
      <c r="S17884" s="11"/>
      <c r="T17884" s="11"/>
    </row>
    <row r="17885" spans="8:20" x14ac:dyDescent="0.35">
      <c r="H17885" s="711"/>
      <c r="I17885" s="711"/>
      <c r="J17885" s="711"/>
      <c r="K17885" s="711"/>
      <c r="L17885" s="711"/>
      <c r="Q17885" s="11"/>
      <c r="R17885" s="11"/>
      <c r="S17885" s="11"/>
      <c r="T17885" s="11"/>
    </row>
    <row r="17886" spans="8:20" x14ac:dyDescent="0.35">
      <c r="H17886" s="711"/>
      <c r="I17886" s="711"/>
      <c r="J17886" s="711"/>
      <c r="K17886" s="711"/>
      <c r="L17886" s="711"/>
      <c r="Q17886" s="11"/>
      <c r="R17886" s="11"/>
      <c r="S17886" s="11"/>
      <c r="T17886" s="11"/>
    </row>
    <row r="17887" spans="8:20" x14ac:dyDescent="0.35">
      <c r="H17887" s="711"/>
      <c r="I17887" s="711"/>
      <c r="J17887" s="711"/>
      <c r="K17887" s="711"/>
      <c r="L17887" s="711"/>
      <c r="Q17887" s="11"/>
      <c r="R17887" s="11"/>
      <c r="S17887" s="11"/>
      <c r="T17887" s="11"/>
    </row>
    <row r="17888" spans="8:20" x14ac:dyDescent="0.35">
      <c r="H17888" s="711"/>
      <c r="I17888" s="711"/>
      <c r="J17888" s="711"/>
      <c r="K17888" s="711"/>
      <c r="L17888" s="711"/>
      <c r="Q17888" s="11"/>
      <c r="R17888" s="11"/>
      <c r="S17888" s="11"/>
      <c r="T17888" s="11"/>
    </row>
    <row r="17889" spans="8:20" x14ac:dyDescent="0.35">
      <c r="H17889" s="711"/>
      <c r="I17889" s="711"/>
      <c r="J17889" s="711"/>
      <c r="K17889" s="711"/>
      <c r="L17889" s="711"/>
      <c r="Q17889" s="11"/>
      <c r="R17889" s="11"/>
      <c r="S17889" s="11"/>
      <c r="T17889" s="11"/>
    </row>
    <row r="17890" spans="8:20" x14ac:dyDescent="0.35">
      <c r="H17890" s="711"/>
      <c r="I17890" s="711"/>
      <c r="J17890" s="711"/>
      <c r="K17890" s="711"/>
      <c r="L17890" s="711"/>
      <c r="Q17890" s="11"/>
      <c r="R17890" s="11"/>
      <c r="S17890" s="11"/>
      <c r="T17890" s="11"/>
    </row>
    <row r="17891" spans="8:20" x14ac:dyDescent="0.35">
      <c r="H17891" s="711"/>
      <c r="I17891" s="711"/>
      <c r="J17891" s="711"/>
      <c r="K17891" s="711"/>
      <c r="L17891" s="711"/>
      <c r="Q17891" s="11"/>
      <c r="R17891" s="11"/>
      <c r="S17891" s="11"/>
      <c r="T17891" s="11"/>
    </row>
    <row r="17892" spans="8:20" x14ac:dyDescent="0.35">
      <c r="H17892" s="711"/>
      <c r="I17892" s="711"/>
      <c r="J17892" s="711"/>
      <c r="K17892" s="711"/>
      <c r="L17892" s="711"/>
      <c r="Q17892" s="11"/>
      <c r="R17892" s="11"/>
      <c r="S17892" s="11"/>
      <c r="T17892" s="11"/>
    </row>
    <row r="17893" spans="8:20" x14ac:dyDescent="0.35">
      <c r="H17893" s="711"/>
      <c r="I17893" s="711"/>
      <c r="J17893" s="711"/>
      <c r="K17893" s="711"/>
      <c r="L17893" s="711"/>
      <c r="Q17893" s="11"/>
      <c r="R17893" s="11"/>
      <c r="S17893" s="11"/>
      <c r="T17893" s="11"/>
    </row>
    <row r="17894" spans="8:20" x14ac:dyDescent="0.35">
      <c r="H17894" s="711"/>
      <c r="I17894" s="711"/>
      <c r="J17894" s="711"/>
      <c r="K17894" s="711"/>
      <c r="L17894" s="711"/>
      <c r="Q17894" s="11"/>
      <c r="R17894" s="11"/>
      <c r="S17894" s="11"/>
      <c r="T17894" s="11"/>
    </row>
    <row r="17895" spans="8:20" x14ac:dyDescent="0.35">
      <c r="H17895" s="711"/>
      <c r="I17895" s="711"/>
      <c r="J17895" s="711"/>
      <c r="K17895" s="711"/>
      <c r="L17895" s="711"/>
      <c r="Q17895" s="11"/>
      <c r="R17895" s="11"/>
      <c r="S17895" s="11"/>
      <c r="T17895" s="11"/>
    </row>
    <row r="17896" spans="8:20" x14ac:dyDescent="0.35">
      <c r="H17896" s="711"/>
      <c r="I17896" s="711"/>
      <c r="J17896" s="711"/>
      <c r="K17896" s="711"/>
      <c r="L17896" s="711"/>
      <c r="Q17896" s="11"/>
      <c r="R17896" s="11"/>
      <c r="S17896" s="11"/>
      <c r="T17896" s="11"/>
    </row>
    <row r="17897" spans="8:20" x14ac:dyDescent="0.35">
      <c r="H17897" s="711"/>
      <c r="I17897" s="711"/>
      <c r="J17897" s="711"/>
      <c r="K17897" s="711"/>
      <c r="L17897" s="711"/>
      <c r="Q17897" s="11"/>
      <c r="R17897" s="11"/>
      <c r="S17897" s="11"/>
      <c r="T17897" s="11"/>
    </row>
    <row r="17898" spans="8:20" x14ac:dyDescent="0.35">
      <c r="H17898" s="711"/>
      <c r="I17898" s="711"/>
      <c r="J17898" s="711"/>
      <c r="K17898" s="711"/>
      <c r="L17898" s="711"/>
      <c r="Q17898" s="11"/>
      <c r="R17898" s="11"/>
      <c r="S17898" s="11"/>
      <c r="T17898" s="11"/>
    </row>
    <row r="17899" spans="8:20" x14ac:dyDescent="0.35">
      <c r="H17899" s="711"/>
      <c r="I17899" s="711"/>
      <c r="J17899" s="711"/>
      <c r="K17899" s="711"/>
      <c r="L17899" s="711"/>
      <c r="Q17899" s="11"/>
      <c r="R17899" s="11"/>
      <c r="S17899" s="11"/>
      <c r="T17899" s="11"/>
    </row>
    <row r="17900" spans="8:20" x14ac:dyDescent="0.35">
      <c r="H17900" s="711"/>
      <c r="I17900" s="711"/>
      <c r="J17900" s="711"/>
      <c r="K17900" s="711"/>
      <c r="L17900" s="711"/>
      <c r="Q17900" s="11"/>
      <c r="R17900" s="11"/>
      <c r="S17900" s="11"/>
      <c r="T17900" s="11"/>
    </row>
    <row r="17901" spans="8:20" x14ac:dyDescent="0.35">
      <c r="H17901" s="711"/>
      <c r="I17901" s="711"/>
      <c r="J17901" s="711"/>
      <c r="K17901" s="711"/>
      <c r="L17901" s="711"/>
      <c r="Q17901" s="11"/>
      <c r="R17901" s="11"/>
      <c r="S17901" s="11"/>
      <c r="T17901" s="11"/>
    </row>
    <row r="17902" spans="8:20" x14ac:dyDescent="0.35">
      <c r="H17902" s="711"/>
      <c r="I17902" s="711"/>
      <c r="J17902" s="711"/>
      <c r="K17902" s="711"/>
      <c r="L17902" s="711"/>
      <c r="Q17902" s="11"/>
      <c r="R17902" s="11"/>
      <c r="S17902" s="11"/>
      <c r="T17902" s="11"/>
    </row>
    <row r="17903" spans="8:20" x14ac:dyDescent="0.35">
      <c r="H17903" s="711"/>
      <c r="I17903" s="711"/>
      <c r="J17903" s="711"/>
      <c r="K17903" s="711"/>
      <c r="L17903" s="711"/>
      <c r="Q17903" s="11"/>
      <c r="R17903" s="11"/>
      <c r="S17903" s="11"/>
      <c r="T17903" s="11"/>
    </row>
    <row r="17904" spans="8:20" x14ac:dyDescent="0.35">
      <c r="H17904" s="711"/>
      <c r="I17904" s="711"/>
      <c r="J17904" s="711"/>
      <c r="K17904" s="711"/>
      <c r="L17904" s="711"/>
      <c r="Q17904" s="11"/>
      <c r="R17904" s="11"/>
      <c r="S17904" s="11"/>
      <c r="T17904" s="11"/>
    </row>
    <row r="17905" spans="8:20" x14ac:dyDescent="0.35">
      <c r="H17905" s="711"/>
      <c r="I17905" s="711"/>
      <c r="J17905" s="711"/>
      <c r="K17905" s="711"/>
      <c r="L17905" s="711"/>
      <c r="Q17905" s="11"/>
      <c r="R17905" s="11"/>
      <c r="S17905" s="11"/>
      <c r="T17905" s="11"/>
    </row>
    <row r="17906" spans="8:20" x14ac:dyDescent="0.35">
      <c r="H17906" s="711"/>
      <c r="I17906" s="711"/>
      <c r="J17906" s="711"/>
      <c r="K17906" s="711"/>
      <c r="L17906" s="711"/>
      <c r="Q17906" s="11"/>
      <c r="R17906" s="11"/>
      <c r="S17906" s="11"/>
      <c r="T17906" s="11"/>
    </row>
    <row r="17907" spans="8:20" x14ac:dyDescent="0.35">
      <c r="H17907" s="711"/>
      <c r="I17907" s="711"/>
      <c r="J17907" s="711"/>
      <c r="K17907" s="711"/>
      <c r="L17907" s="711"/>
      <c r="Q17907" s="11"/>
      <c r="R17907" s="11"/>
      <c r="S17907" s="11"/>
      <c r="T17907" s="11"/>
    </row>
    <row r="17908" spans="8:20" x14ac:dyDescent="0.35">
      <c r="H17908" s="711"/>
      <c r="I17908" s="711"/>
      <c r="J17908" s="711"/>
      <c r="K17908" s="711"/>
      <c r="L17908" s="711"/>
      <c r="Q17908" s="11"/>
      <c r="R17908" s="11"/>
      <c r="S17908" s="11"/>
      <c r="T17908" s="11"/>
    </row>
    <row r="17909" spans="8:20" x14ac:dyDescent="0.35">
      <c r="H17909" s="711"/>
      <c r="I17909" s="711"/>
      <c r="J17909" s="711"/>
      <c r="K17909" s="711"/>
      <c r="L17909" s="711"/>
      <c r="Q17909" s="11"/>
      <c r="R17909" s="11"/>
      <c r="S17909" s="11"/>
      <c r="T17909" s="11"/>
    </row>
    <row r="17910" spans="8:20" x14ac:dyDescent="0.35">
      <c r="H17910" s="711"/>
      <c r="I17910" s="711"/>
      <c r="J17910" s="711"/>
      <c r="K17910" s="711"/>
      <c r="L17910" s="711"/>
      <c r="Q17910" s="11"/>
      <c r="R17910" s="11"/>
      <c r="S17910" s="11"/>
      <c r="T17910" s="11"/>
    </row>
    <row r="17911" spans="8:20" x14ac:dyDescent="0.35">
      <c r="H17911" s="711"/>
      <c r="I17911" s="711"/>
      <c r="J17911" s="711"/>
      <c r="K17911" s="711"/>
      <c r="L17911" s="711"/>
      <c r="Q17911" s="11"/>
      <c r="R17911" s="11"/>
      <c r="S17911" s="11"/>
      <c r="T17911" s="11"/>
    </row>
    <row r="17912" spans="8:20" x14ac:dyDescent="0.35">
      <c r="H17912" s="711"/>
      <c r="I17912" s="711"/>
      <c r="J17912" s="711"/>
      <c r="K17912" s="711"/>
      <c r="L17912" s="711"/>
      <c r="Q17912" s="11"/>
      <c r="R17912" s="11"/>
      <c r="S17912" s="11"/>
      <c r="T17912" s="11"/>
    </row>
    <row r="17913" spans="8:20" x14ac:dyDescent="0.35">
      <c r="H17913" s="711"/>
      <c r="I17913" s="711"/>
      <c r="J17913" s="711"/>
      <c r="K17913" s="711"/>
      <c r="L17913" s="711"/>
      <c r="Q17913" s="11"/>
      <c r="R17913" s="11"/>
      <c r="S17913" s="11"/>
      <c r="T17913" s="11"/>
    </row>
    <row r="17914" spans="8:20" x14ac:dyDescent="0.35">
      <c r="H17914" s="711"/>
      <c r="I17914" s="711"/>
      <c r="J17914" s="711"/>
      <c r="K17914" s="711"/>
      <c r="L17914" s="711"/>
      <c r="Q17914" s="11"/>
      <c r="R17914" s="11"/>
      <c r="S17914" s="11"/>
      <c r="T17914" s="11"/>
    </row>
    <row r="17915" spans="8:20" x14ac:dyDescent="0.35">
      <c r="H17915" s="711"/>
      <c r="I17915" s="711"/>
      <c r="J17915" s="711"/>
      <c r="K17915" s="711"/>
      <c r="L17915" s="711"/>
      <c r="Q17915" s="11"/>
      <c r="R17915" s="11"/>
      <c r="S17915" s="11"/>
      <c r="T17915" s="11"/>
    </row>
    <row r="17916" spans="8:20" x14ac:dyDescent="0.35">
      <c r="H17916" s="711"/>
      <c r="I17916" s="711"/>
      <c r="J17916" s="711"/>
      <c r="K17916" s="711"/>
      <c r="L17916" s="711"/>
      <c r="Q17916" s="11"/>
      <c r="R17916" s="11"/>
      <c r="S17916" s="11"/>
      <c r="T17916" s="11"/>
    </row>
    <row r="17917" spans="8:20" x14ac:dyDescent="0.35">
      <c r="H17917" s="711"/>
      <c r="I17917" s="711"/>
      <c r="J17917" s="711"/>
      <c r="K17917" s="711"/>
      <c r="L17917" s="711"/>
      <c r="Q17917" s="11"/>
      <c r="R17917" s="11"/>
      <c r="S17917" s="11"/>
      <c r="T17917" s="11"/>
    </row>
    <row r="17918" spans="8:20" x14ac:dyDescent="0.35">
      <c r="H17918" s="711"/>
      <c r="I17918" s="711"/>
      <c r="J17918" s="711"/>
      <c r="K17918" s="711"/>
      <c r="L17918" s="711"/>
      <c r="Q17918" s="11"/>
      <c r="R17918" s="11"/>
      <c r="S17918" s="11"/>
      <c r="T17918" s="11"/>
    </row>
    <row r="17919" spans="8:20" x14ac:dyDescent="0.35">
      <c r="H17919" s="711"/>
      <c r="I17919" s="711"/>
      <c r="J17919" s="711"/>
      <c r="K17919" s="711"/>
      <c r="L17919" s="711"/>
      <c r="Q17919" s="11"/>
      <c r="R17919" s="11"/>
      <c r="S17919" s="11"/>
      <c r="T17919" s="11"/>
    </row>
    <row r="17920" spans="8:20" x14ac:dyDescent="0.35">
      <c r="H17920" s="711"/>
      <c r="I17920" s="711"/>
      <c r="J17920" s="711"/>
      <c r="K17920" s="711"/>
      <c r="L17920" s="711"/>
      <c r="Q17920" s="11"/>
      <c r="R17920" s="11"/>
      <c r="S17920" s="11"/>
      <c r="T17920" s="11"/>
    </row>
    <row r="17921" spans="8:20" x14ac:dyDescent="0.35">
      <c r="H17921" s="711"/>
      <c r="I17921" s="711"/>
      <c r="J17921" s="711"/>
      <c r="K17921" s="711"/>
      <c r="L17921" s="711"/>
      <c r="Q17921" s="11"/>
      <c r="R17921" s="11"/>
      <c r="S17921" s="11"/>
      <c r="T17921" s="11"/>
    </row>
    <row r="17922" spans="8:20" x14ac:dyDescent="0.35">
      <c r="H17922" s="711"/>
      <c r="I17922" s="711"/>
      <c r="J17922" s="711"/>
      <c r="K17922" s="711"/>
      <c r="L17922" s="711"/>
      <c r="Q17922" s="11"/>
      <c r="R17922" s="11"/>
      <c r="S17922" s="11"/>
      <c r="T17922" s="11"/>
    </row>
    <row r="17923" spans="8:20" x14ac:dyDescent="0.35">
      <c r="H17923" s="711"/>
      <c r="I17923" s="711"/>
      <c r="J17923" s="711"/>
      <c r="K17923" s="711"/>
      <c r="L17923" s="711"/>
      <c r="Q17923" s="11"/>
      <c r="R17923" s="11"/>
      <c r="S17923" s="11"/>
      <c r="T17923" s="11"/>
    </row>
    <row r="17924" spans="8:20" x14ac:dyDescent="0.35">
      <c r="H17924" s="711"/>
      <c r="I17924" s="711"/>
      <c r="J17924" s="711"/>
      <c r="K17924" s="711"/>
      <c r="L17924" s="711"/>
      <c r="Q17924" s="11"/>
      <c r="R17924" s="11"/>
      <c r="S17924" s="11"/>
      <c r="T17924" s="11"/>
    </row>
    <row r="17925" spans="8:20" x14ac:dyDescent="0.35">
      <c r="H17925" s="711"/>
      <c r="I17925" s="711"/>
      <c r="J17925" s="711"/>
      <c r="K17925" s="711"/>
      <c r="L17925" s="711"/>
      <c r="Q17925" s="11"/>
      <c r="R17925" s="11"/>
      <c r="S17925" s="11"/>
      <c r="T17925" s="11"/>
    </row>
    <row r="17926" spans="8:20" x14ac:dyDescent="0.35">
      <c r="H17926" s="711"/>
      <c r="I17926" s="711"/>
      <c r="J17926" s="711"/>
      <c r="K17926" s="711"/>
      <c r="L17926" s="711"/>
      <c r="Q17926" s="11"/>
      <c r="R17926" s="11"/>
      <c r="S17926" s="11"/>
      <c r="T17926" s="11"/>
    </row>
    <row r="17927" spans="8:20" x14ac:dyDescent="0.35">
      <c r="H17927" s="711"/>
      <c r="I17927" s="711"/>
      <c r="J17927" s="711"/>
      <c r="K17927" s="711"/>
      <c r="L17927" s="711"/>
      <c r="Q17927" s="11"/>
      <c r="R17927" s="11"/>
      <c r="S17927" s="11"/>
      <c r="T17927" s="11"/>
    </row>
    <row r="17928" spans="8:20" x14ac:dyDescent="0.35">
      <c r="H17928" s="711"/>
      <c r="I17928" s="711"/>
      <c r="J17928" s="711"/>
      <c r="K17928" s="711"/>
      <c r="L17928" s="711"/>
      <c r="Q17928" s="11"/>
      <c r="R17928" s="11"/>
      <c r="S17928" s="11"/>
      <c r="T17928" s="11"/>
    </row>
    <row r="17929" spans="8:20" x14ac:dyDescent="0.35">
      <c r="H17929" s="711"/>
      <c r="I17929" s="711"/>
      <c r="J17929" s="711"/>
      <c r="K17929" s="711"/>
      <c r="L17929" s="711"/>
      <c r="Q17929" s="11"/>
      <c r="R17929" s="11"/>
      <c r="S17929" s="11"/>
      <c r="T17929" s="11"/>
    </row>
    <row r="17930" spans="8:20" x14ac:dyDescent="0.35">
      <c r="H17930" s="711"/>
      <c r="I17930" s="711"/>
      <c r="J17930" s="711"/>
      <c r="K17930" s="711"/>
      <c r="L17930" s="711"/>
      <c r="Q17930" s="11"/>
      <c r="R17930" s="11"/>
      <c r="S17930" s="11"/>
      <c r="T17930" s="11"/>
    </row>
    <row r="17931" spans="8:20" x14ac:dyDescent="0.35">
      <c r="H17931" s="711"/>
      <c r="I17931" s="711"/>
      <c r="J17931" s="711"/>
      <c r="K17931" s="711"/>
      <c r="L17931" s="711"/>
      <c r="Q17931" s="11"/>
      <c r="R17931" s="11"/>
      <c r="S17931" s="11"/>
      <c r="T17931" s="11"/>
    </row>
    <row r="17932" spans="8:20" x14ac:dyDescent="0.35">
      <c r="H17932" s="711"/>
      <c r="I17932" s="711"/>
      <c r="J17932" s="711"/>
      <c r="K17932" s="711"/>
      <c r="L17932" s="711"/>
      <c r="Q17932" s="11"/>
      <c r="R17932" s="11"/>
      <c r="S17932" s="11"/>
      <c r="T17932" s="11"/>
    </row>
    <row r="17933" spans="8:20" x14ac:dyDescent="0.35">
      <c r="H17933" s="711"/>
      <c r="I17933" s="711"/>
      <c r="J17933" s="711"/>
      <c r="K17933" s="711"/>
      <c r="L17933" s="711"/>
      <c r="Q17933" s="11"/>
      <c r="R17933" s="11"/>
      <c r="S17933" s="11"/>
      <c r="T17933" s="11"/>
    </row>
    <row r="17934" spans="8:20" x14ac:dyDescent="0.35">
      <c r="H17934" s="711"/>
      <c r="I17934" s="711"/>
      <c r="J17934" s="711"/>
      <c r="K17934" s="711"/>
      <c r="L17934" s="711"/>
      <c r="Q17934" s="11"/>
      <c r="R17934" s="11"/>
      <c r="S17934" s="11"/>
      <c r="T17934" s="11"/>
    </row>
    <row r="17935" spans="8:20" x14ac:dyDescent="0.35">
      <c r="H17935" s="711"/>
      <c r="I17935" s="711"/>
      <c r="J17935" s="711"/>
      <c r="K17935" s="711"/>
      <c r="L17935" s="711"/>
      <c r="Q17935" s="11"/>
      <c r="R17935" s="11"/>
      <c r="S17935" s="11"/>
      <c r="T17935" s="11"/>
    </row>
    <row r="17936" spans="8:20" x14ac:dyDescent="0.35">
      <c r="H17936" s="711"/>
      <c r="I17936" s="711"/>
      <c r="J17936" s="711"/>
      <c r="K17936" s="711"/>
      <c r="L17936" s="711"/>
      <c r="Q17936" s="11"/>
      <c r="R17936" s="11"/>
      <c r="S17936" s="11"/>
      <c r="T17936" s="11"/>
    </row>
    <row r="17937" spans="8:20" x14ac:dyDescent="0.35">
      <c r="H17937" s="711"/>
      <c r="I17937" s="711"/>
      <c r="J17937" s="711"/>
      <c r="K17937" s="711"/>
      <c r="L17937" s="711"/>
      <c r="Q17937" s="11"/>
      <c r="R17937" s="11"/>
      <c r="S17937" s="11"/>
      <c r="T17937" s="11"/>
    </row>
    <row r="17938" spans="8:20" x14ac:dyDescent="0.35">
      <c r="H17938" s="711"/>
      <c r="I17938" s="711"/>
      <c r="J17938" s="711"/>
      <c r="K17938" s="711"/>
      <c r="L17938" s="711"/>
      <c r="Q17938" s="11"/>
      <c r="R17938" s="11"/>
      <c r="S17938" s="11"/>
      <c r="T17938" s="11"/>
    </row>
    <row r="17939" spans="8:20" x14ac:dyDescent="0.35">
      <c r="H17939" s="711"/>
      <c r="I17939" s="711"/>
      <c r="J17939" s="711"/>
      <c r="K17939" s="711"/>
      <c r="L17939" s="711"/>
      <c r="Q17939" s="11"/>
      <c r="R17939" s="11"/>
      <c r="S17939" s="11"/>
      <c r="T17939" s="11"/>
    </row>
    <row r="17940" spans="8:20" x14ac:dyDescent="0.35">
      <c r="H17940" s="711"/>
      <c r="I17940" s="711"/>
      <c r="J17940" s="711"/>
      <c r="K17940" s="711"/>
      <c r="L17940" s="711"/>
      <c r="Q17940" s="11"/>
      <c r="R17940" s="11"/>
      <c r="S17940" s="11"/>
      <c r="T17940" s="11"/>
    </row>
    <row r="17941" spans="8:20" x14ac:dyDescent="0.35">
      <c r="H17941" s="711"/>
      <c r="I17941" s="711"/>
      <c r="J17941" s="711"/>
      <c r="K17941" s="711"/>
      <c r="L17941" s="711"/>
      <c r="Q17941" s="11"/>
      <c r="R17941" s="11"/>
      <c r="S17941" s="11"/>
      <c r="T17941" s="11"/>
    </row>
    <row r="17942" spans="8:20" x14ac:dyDescent="0.35">
      <c r="H17942" s="711"/>
      <c r="I17942" s="711"/>
      <c r="J17942" s="711"/>
      <c r="K17942" s="711"/>
      <c r="L17942" s="711"/>
      <c r="Q17942" s="11"/>
      <c r="R17942" s="11"/>
      <c r="S17942" s="11"/>
      <c r="T17942" s="11"/>
    </row>
    <row r="17943" spans="8:20" x14ac:dyDescent="0.35">
      <c r="H17943" s="711"/>
      <c r="I17943" s="711"/>
      <c r="J17943" s="711"/>
      <c r="K17943" s="711"/>
      <c r="L17943" s="711"/>
      <c r="Q17943" s="11"/>
      <c r="R17943" s="11"/>
      <c r="S17943" s="11"/>
      <c r="T17943" s="11"/>
    </row>
    <row r="17944" spans="8:20" x14ac:dyDescent="0.35">
      <c r="H17944" s="711"/>
      <c r="I17944" s="711"/>
      <c r="J17944" s="711"/>
      <c r="K17944" s="711"/>
      <c r="L17944" s="711"/>
      <c r="Q17944" s="11"/>
      <c r="R17944" s="11"/>
      <c r="S17944" s="11"/>
      <c r="T17944" s="11"/>
    </row>
    <row r="17945" spans="8:20" x14ac:dyDescent="0.35">
      <c r="H17945" s="711"/>
      <c r="I17945" s="711"/>
      <c r="J17945" s="711"/>
      <c r="K17945" s="711"/>
      <c r="L17945" s="711"/>
      <c r="Q17945" s="11"/>
      <c r="R17945" s="11"/>
      <c r="S17945" s="11"/>
      <c r="T17945" s="11"/>
    </row>
    <row r="17946" spans="8:20" x14ac:dyDescent="0.35">
      <c r="H17946" s="711"/>
      <c r="I17946" s="711"/>
      <c r="J17946" s="711"/>
      <c r="K17946" s="711"/>
      <c r="L17946" s="711"/>
      <c r="Q17946" s="11"/>
      <c r="R17946" s="11"/>
      <c r="S17946" s="11"/>
      <c r="T17946" s="11"/>
    </row>
    <row r="17947" spans="8:20" x14ac:dyDescent="0.35">
      <c r="H17947" s="711"/>
      <c r="I17947" s="711"/>
      <c r="J17947" s="711"/>
      <c r="K17947" s="711"/>
      <c r="L17947" s="711"/>
      <c r="Q17947" s="11"/>
      <c r="R17947" s="11"/>
      <c r="S17947" s="11"/>
      <c r="T17947" s="11"/>
    </row>
    <row r="17948" spans="8:20" x14ac:dyDescent="0.35">
      <c r="H17948" s="711"/>
      <c r="I17948" s="711"/>
      <c r="J17948" s="711"/>
      <c r="K17948" s="711"/>
      <c r="L17948" s="711"/>
      <c r="Q17948" s="11"/>
      <c r="R17948" s="11"/>
      <c r="S17948" s="11"/>
      <c r="T17948" s="11"/>
    </row>
    <row r="17949" spans="8:20" x14ac:dyDescent="0.35">
      <c r="H17949" s="711"/>
      <c r="I17949" s="711"/>
      <c r="J17949" s="711"/>
      <c r="K17949" s="711"/>
      <c r="L17949" s="711"/>
      <c r="Q17949" s="11"/>
      <c r="R17949" s="11"/>
      <c r="S17949" s="11"/>
      <c r="T17949" s="11"/>
    </row>
    <row r="17950" spans="8:20" x14ac:dyDescent="0.35">
      <c r="H17950" s="711"/>
      <c r="I17950" s="711"/>
      <c r="J17950" s="711"/>
      <c r="K17950" s="711"/>
      <c r="L17950" s="711"/>
      <c r="Q17950" s="11"/>
      <c r="R17950" s="11"/>
      <c r="S17950" s="11"/>
      <c r="T17950" s="11"/>
    </row>
    <row r="17951" spans="8:20" x14ac:dyDescent="0.35">
      <c r="H17951" s="711"/>
      <c r="I17951" s="711"/>
      <c r="J17951" s="711"/>
      <c r="K17951" s="711"/>
      <c r="L17951" s="711"/>
      <c r="Q17951" s="11"/>
      <c r="R17951" s="11"/>
      <c r="S17951" s="11"/>
      <c r="T17951" s="11"/>
    </row>
    <row r="17952" spans="8:20" x14ac:dyDescent="0.35">
      <c r="H17952" s="711"/>
      <c r="I17952" s="711"/>
      <c r="J17952" s="711"/>
      <c r="K17952" s="711"/>
      <c r="L17952" s="711"/>
      <c r="Q17952" s="11"/>
      <c r="R17952" s="11"/>
      <c r="S17952" s="11"/>
      <c r="T17952" s="11"/>
    </row>
    <row r="17953" spans="8:20" x14ac:dyDescent="0.35">
      <c r="H17953" s="711"/>
      <c r="I17953" s="711"/>
      <c r="J17953" s="711"/>
      <c r="K17953" s="711"/>
      <c r="L17953" s="711"/>
      <c r="Q17953" s="11"/>
      <c r="R17953" s="11"/>
      <c r="S17953" s="11"/>
      <c r="T17953" s="11"/>
    </row>
    <row r="17954" spans="8:20" x14ac:dyDescent="0.35">
      <c r="H17954" s="711"/>
      <c r="I17954" s="711"/>
      <c r="J17954" s="711"/>
      <c r="K17954" s="711"/>
      <c r="L17954" s="711"/>
      <c r="Q17954" s="11"/>
      <c r="R17954" s="11"/>
      <c r="S17954" s="11"/>
      <c r="T17954" s="11"/>
    </row>
    <row r="17955" spans="8:20" x14ac:dyDescent="0.35">
      <c r="H17955" s="711"/>
      <c r="I17955" s="711"/>
      <c r="J17955" s="711"/>
      <c r="K17955" s="711"/>
      <c r="L17955" s="711"/>
      <c r="Q17955" s="11"/>
      <c r="R17955" s="11"/>
      <c r="S17955" s="11"/>
      <c r="T17955" s="11"/>
    </row>
    <row r="17956" spans="8:20" x14ac:dyDescent="0.35">
      <c r="H17956" s="711"/>
      <c r="I17956" s="711"/>
      <c r="J17956" s="711"/>
      <c r="K17956" s="711"/>
      <c r="L17956" s="711"/>
      <c r="Q17956" s="11"/>
      <c r="R17956" s="11"/>
      <c r="S17956" s="11"/>
      <c r="T17956" s="11"/>
    </row>
    <row r="17957" spans="8:20" x14ac:dyDescent="0.35">
      <c r="H17957" s="711"/>
      <c r="I17957" s="711"/>
      <c r="J17957" s="711"/>
      <c r="K17957" s="711"/>
      <c r="L17957" s="711"/>
      <c r="Q17957" s="11"/>
      <c r="R17957" s="11"/>
      <c r="S17957" s="11"/>
      <c r="T17957" s="11"/>
    </row>
    <row r="17958" spans="8:20" x14ac:dyDescent="0.35">
      <c r="H17958" s="711"/>
      <c r="I17958" s="711"/>
      <c r="J17958" s="711"/>
      <c r="K17958" s="711"/>
      <c r="L17958" s="711"/>
      <c r="Q17958" s="11"/>
      <c r="R17958" s="11"/>
      <c r="S17958" s="11"/>
      <c r="T17958" s="11"/>
    </row>
    <row r="17959" spans="8:20" x14ac:dyDescent="0.35">
      <c r="H17959" s="711"/>
      <c r="I17959" s="711"/>
      <c r="J17959" s="711"/>
      <c r="K17959" s="711"/>
      <c r="L17959" s="711"/>
      <c r="Q17959" s="11"/>
      <c r="R17959" s="11"/>
      <c r="S17959" s="11"/>
      <c r="T17959" s="11"/>
    </row>
    <row r="17960" spans="8:20" x14ac:dyDescent="0.35">
      <c r="H17960" s="711"/>
      <c r="I17960" s="711"/>
      <c r="J17960" s="711"/>
      <c r="K17960" s="711"/>
      <c r="L17960" s="711"/>
      <c r="Q17960" s="11"/>
      <c r="R17960" s="11"/>
      <c r="S17960" s="11"/>
      <c r="T17960" s="11"/>
    </row>
    <row r="17961" spans="8:20" x14ac:dyDescent="0.35">
      <c r="H17961" s="711"/>
      <c r="I17961" s="711"/>
      <c r="J17961" s="711"/>
      <c r="K17961" s="711"/>
      <c r="L17961" s="711"/>
      <c r="Q17961" s="11"/>
      <c r="R17961" s="11"/>
      <c r="S17961" s="11"/>
      <c r="T17961" s="11"/>
    </row>
    <row r="17962" spans="8:20" x14ac:dyDescent="0.35">
      <c r="H17962" s="711"/>
      <c r="I17962" s="711"/>
      <c r="J17962" s="711"/>
      <c r="K17962" s="711"/>
      <c r="L17962" s="711"/>
      <c r="Q17962" s="11"/>
      <c r="R17962" s="11"/>
      <c r="S17962" s="11"/>
      <c r="T17962" s="11"/>
    </row>
    <row r="17963" spans="8:20" x14ac:dyDescent="0.35">
      <c r="H17963" s="711"/>
      <c r="I17963" s="711"/>
      <c r="J17963" s="711"/>
      <c r="K17963" s="711"/>
      <c r="L17963" s="711"/>
      <c r="Q17963" s="11"/>
      <c r="R17963" s="11"/>
      <c r="S17963" s="11"/>
      <c r="T17963" s="11"/>
    </row>
    <row r="17964" spans="8:20" x14ac:dyDescent="0.35">
      <c r="H17964" s="711"/>
      <c r="I17964" s="711"/>
      <c r="J17964" s="711"/>
      <c r="K17964" s="711"/>
      <c r="L17964" s="711"/>
      <c r="Q17964" s="11"/>
      <c r="R17964" s="11"/>
      <c r="S17964" s="11"/>
      <c r="T17964" s="11"/>
    </row>
    <row r="17965" spans="8:20" x14ac:dyDescent="0.35">
      <c r="H17965" s="711"/>
      <c r="I17965" s="711"/>
      <c r="J17965" s="711"/>
      <c r="K17965" s="711"/>
      <c r="L17965" s="711"/>
      <c r="Q17965" s="11"/>
      <c r="R17965" s="11"/>
      <c r="S17965" s="11"/>
      <c r="T17965" s="11"/>
    </row>
    <row r="17966" spans="8:20" x14ac:dyDescent="0.35">
      <c r="H17966" s="711"/>
      <c r="I17966" s="711"/>
      <c r="J17966" s="711"/>
      <c r="K17966" s="711"/>
      <c r="L17966" s="711"/>
      <c r="Q17966" s="11"/>
      <c r="R17966" s="11"/>
      <c r="S17966" s="11"/>
      <c r="T17966" s="11"/>
    </row>
    <row r="17967" spans="8:20" x14ac:dyDescent="0.35">
      <c r="H17967" s="711"/>
      <c r="I17967" s="711"/>
      <c r="J17967" s="711"/>
      <c r="K17967" s="711"/>
      <c r="L17967" s="711"/>
      <c r="Q17967" s="11"/>
      <c r="R17967" s="11"/>
      <c r="S17967" s="11"/>
      <c r="T17967" s="11"/>
    </row>
    <row r="17968" spans="8:20" x14ac:dyDescent="0.35">
      <c r="H17968" s="711"/>
      <c r="I17968" s="711"/>
      <c r="J17968" s="711"/>
      <c r="K17968" s="711"/>
      <c r="L17968" s="711"/>
      <c r="Q17968" s="11"/>
      <c r="R17968" s="11"/>
      <c r="S17968" s="11"/>
      <c r="T17968" s="11"/>
    </row>
    <row r="17969" spans="8:20" x14ac:dyDescent="0.35">
      <c r="H17969" s="711"/>
      <c r="I17969" s="711"/>
      <c r="J17969" s="711"/>
      <c r="K17969" s="711"/>
      <c r="L17969" s="711"/>
      <c r="Q17969" s="11"/>
      <c r="R17969" s="11"/>
      <c r="S17969" s="11"/>
      <c r="T17969" s="11"/>
    </row>
    <row r="17970" spans="8:20" x14ac:dyDescent="0.35">
      <c r="H17970" s="711"/>
      <c r="I17970" s="711"/>
      <c r="J17970" s="711"/>
      <c r="K17970" s="711"/>
      <c r="L17970" s="711"/>
      <c r="Q17970" s="11"/>
      <c r="R17970" s="11"/>
      <c r="S17970" s="11"/>
      <c r="T17970" s="11"/>
    </row>
    <row r="17971" spans="8:20" x14ac:dyDescent="0.35">
      <c r="H17971" s="711"/>
      <c r="I17971" s="711"/>
      <c r="J17971" s="711"/>
      <c r="K17971" s="711"/>
      <c r="L17971" s="711"/>
      <c r="Q17971" s="11"/>
      <c r="R17971" s="11"/>
      <c r="S17971" s="11"/>
      <c r="T17971" s="11"/>
    </row>
    <row r="17972" spans="8:20" x14ac:dyDescent="0.35">
      <c r="H17972" s="711"/>
      <c r="I17972" s="711"/>
      <c r="J17972" s="711"/>
      <c r="K17972" s="711"/>
      <c r="L17972" s="711"/>
      <c r="Q17972" s="11"/>
      <c r="R17972" s="11"/>
      <c r="S17972" s="11"/>
      <c r="T17972" s="11"/>
    </row>
    <row r="17973" spans="8:20" x14ac:dyDescent="0.35">
      <c r="H17973" s="711"/>
      <c r="I17973" s="711"/>
      <c r="J17973" s="711"/>
      <c r="K17973" s="711"/>
      <c r="L17973" s="711"/>
      <c r="Q17973" s="11"/>
      <c r="R17973" s="11"/>
      <c r="S17973" s="11"/>
      <c r="T17973" s="11"/>
    </row>
    <row r="17974" spans="8:20" x14ac:dyDescent="0.35">
      <c r="H17974" s="711"/>
      <c r="I17974" s="711"/>
      <c r="J17974" s="711"/>
      <c r="K17974" s="711"/>
      <c r="L17974" s="711"/>
      <c r="Q17974" s="11"/>
      <c r="R17974" s="11"/>
      <c r="S17974" s="11"/>
      <c r="T17974" s="11"/>
    </row>
    <row r="17975" spans="8:20" x14ac:dyDescent="0.35">
      <c r="H17975" s="711"/>
      <c r="I17975" s="711"/>
      <c r="J17975" s="711"/>
      <c r="K17975" s="711"/>
      <c r="L17975" s="711"/>
      <c r="Q17975" s="11"/>
      <c r="R17975" s="11"/>
      <c r="S17975" s="11"/>
      <c r="T17975" s="11"/>
    </row>
    <row r="17976" spans="8:20" x14ac:dyDescent="0.35">
      <c r="H17976" s="711"/>
      <c r="I17976" s="711"/>
      <c r="J17976" s="711"/>
      <c r="K17976" s="711"/>
      <c r="L17976" s="711"/>
      <c r="Q17976" s="11"/>
      <c r="R17976" s="11"/>
      <c r="S17976" s="11"/>
      <c r="T17976" s="11"/>
    </row>
    <row r="17977" spans="8:20" x14ac:dyDescent="0.35">
      <c r="H17977" s="711"/>
      <c r="I17977" s="711"/>
      <c r="J17977" s="711"/>
      <c r="K17977" s="711"/>
      <c r="L17977" s="711"/>
      <c r="Q17977" s="11"/>
      <c r="R17977" s="11"/>
      <c r="S17977" s="11"/>
      <c r="T17977" s="11"/>
    </row>
    <row r="17978" spans="8:20" x14ac:dyDescent="0.35">
      <c r="H17978" s="711"/>
      <c r="I17978" s="711"/>
      <c r="J17978" s="711"/>
      <c r="K17978" s="711"/>
      <c r="L17978" s="711"/>
      <c r="Q17978" s="11"/>
      <c r="R17978" s="11"/>
      <c r="S17978" s="11"/>
      <c r="T17978" s="11"/>
    </row>
    <row r="17979" spans="8:20" x14ac:dyDescent="0.35">
      <c r="H17979" s="711"/>
      <c r="I17979" s="711"/>
      <c r="J17979" s="711"/>
      <c r="K17979" s="711"/>
      <c r="L17979" s="711"/>
      <c r="Q17979" s="11"/>
      <c r="R17979" s="11"/>
      <c r="S17979" s="11"/>
      <c r="T17979" s="11"/>
    </row>
    <row r="17980" spans="8:20" x14ac:dyDescent="0.35">
      <c r="H17980" s="711"/>
      <c r="I17980" s="711"/>
      <c r="J17980" s="711"/>
      <c r="K17980" s="711"/>
      <c r="L17980" s="711"/>
      <c r="Q17980" s="11"/>
      <c r="R17980" s="11"/>
      <c r="S17980" s="11"/>
      <c r="T17980" s="11"/>
    </row>
    <row r="17981" spans="8:20" x14ac:dyDescent="0.35">
      <c r="H17981" s="711"/>
      <c r="I17981" s="711"/>
      <c r="J17981" s="711"/>
      <c r="K17981" s="711"/>
      <c r="L17981" s="711"/>
      <c r="Q17981" s="11"/>
      <c r="R17981" s="11"/>
      <c r="S17981" s="11"/>
      <c r="T17981" s="11"/>
    </row>
    <row r="17982" spans="8:20" x14ac:dyDescent="0.35">
      <c r="H17982" s="711"/>
      <c r="I17982" s="711"/>
      <c r="J17982" s="711"/>
      <c r="K17982" s="711"/>
      <c r="L17982" s="711"/>
      <c r="Q17982" s="11"/>
      <c r="R17982" s="11"/>
      <c r="S17982" s="11"/>
      <c r="T17982" s="11"/>
    </row>
    <row r="17983" spans="8:20" x14ac:dyDescent="0.35">
      <c r="H17983" s="711"/>
      <c r="I17983" s="711"/>
      <c r="J17983" s="711"/>
      <c r="K17983" s="711"/>
      <c r="L17983" s="711"/>
      <c r="Q17983" s="11"/>
      <c r="R17983" s="11"/>
      <c r="S17983" s="11"/>
      <c r="T17983" s="11"/>
    </row>
    <row r="17984" spans="8:20" x14ac:dyDescent="0.35">
      <c r="H17984" s="711"/>
      <c r="I17984" s="711"/>
      <c r="J17984" s="711"/>
      <c r="K17984" s="711"/>
      <c r="L17984" s="711"/>
      <c r="Q17984" s="11"/>
      <c r="R17984" s="11"/>
      <c r="S17984" s="11"/>
      <c r="T17984" s="11"/>
    </row>
    <row r="17985" spans="8:20" x14ac:dyDescent="0.35">
      <c r="H17985" s="711"/>
      <c r="I17985" s="711"/>
      <c r="J17985" s="711"/>
      <c r="K17985" s="711"/>
      <c r="L17985" s="711"/>
      <c r="Q17985" s="11"/>
      <c r="R17985" s="11"/>
      <c r="S17985" s="11"/>
      <c r="T17985" s="11"/>
    </row>
    <row r="17986" spans="8:20" x14ac:dyDescent="0.35">
      <c r="H17986" s="711"/>
      <c r="I17986" s="711"/>
      <c r="J17986" s="711"/>
      <c r="K17986" s="711"/>
      <c r="L17986" s="711"/>
      <c r="Q17986" s="11"/>
      <c r="R17986" s="11"/>
      <c r="S17986" s="11"/>
      <c r="T17986" s="11"/>
    </row>
    <row r="17987" spans="8:20" x14ac:dyDescent="0.35">
      <c r="H17987" s="711"/>
      <c r="I17987" s="711"/>
      <c r="J17987" s="711"/>
      <c r="K17987" s="711"/>
      <c r="L17987" s="711"/>
      <c r="Q17987" s="11"/>
      <c r="R17987" s="11"/>
      <c r="S17987" s="11"/>
      <c r="T17987" s="11"/>
    </row>
    <row r="17988" spans="8:20" x14ac:dyDescent="0.35">
      <c r="H17988" s="711"/>
      <c r="I17988" s="711"/>
      <c r="J17988" s="711"/>
      <c r="K17988" s="711"/>
      <c r="L17988" s="711"/>
      <c r="Q17988" s="11"/>
      <c r="R17988" s="11"/>
      <c r="S17988" s="11"/>
      <c r="T17988" s="11"/>
    </row>
    <row r="17989" spans="8:20" x14ac:dyDescent="0.35">
      <c r="H17989" s="711"/>
      <c r="I17989" s="711"/>
      <c r="J17989" s="711"/>
      <c r="K17989" s="711"/>
      <c r="L17989" s="711"/>
      <c r="Q17989" s="11"/>
      <c r="R17989" s="11"/>
      <c r="S17989" s="11"/>
      <c r="T17989" s="11"/>
    </row>
    <row r="17990" spans="8:20" x14ac:dyDescent="0.35">
      <c r="H17990" s="711"/>
      <c r="I17990" s="711"/>
      <c r="J17990" s="711"/>
      <c r="K17990" s="711"/>
      <c r="L17990" s="711"/>
      <c r="Q17990" s="11"/>
      <c r="R17990" s="11"/>
      <c r="S17990" s="11"/>
      <c r="T17990" s="11"/>
    </row>
    <row r="17991" spans="8:20" x14ac:dyDescent="0.35">
      <c r="H17991" s="711"/>
      <c r="I17991" s="711"/>
      <c r="J17991" s="711"/>
      <c r="K17991" s="711"/>
      <c r="L17991" s="711"/>
      <c r="Q17991" s="11"/>
      <c r="R17991" s="11"/>
      <c r="S17991" s="11"/>
      <c r="T17991" s="11"/>
    </row>
    <row r="17992" spans="8:20" x14ac:dyDescent="0.35">
      <c r="H17992" s="711"/>
      <c r="I17992" s="711"/>
      <c r="J17992" s="711"/>
      <c r="K17992" s="711"/>
      <c r="L17992" s="711"/>
      <c r="Q17992" s="11"/>
      <c r="R17992" s="11"/>
      <c r="S17992" s="11"/>
      <c r="T17992" s="11"/>
    </row>
    <row r="17993" spans="8:20" x14ac:dyDescent="0.35">
      <c r="H17993" s="711"/>
      <c r="I17993" s="711"/>
      <c r="J17993" s="711"/>
      <c r="K17993" s="711"/>
      <c r="L17993" s="711"/>
      <c r="Q17993" s="11"/>
      <c r="R17993" s="11"/>
      <c r="S17993" s="11"/>
      <c r="T17993" s="11"/>
    </row>
    <row r="17994" spans="8:20" x14ac:dyDescent="0.35">
      <c r="H17994" s="711"/>
      <c r="I17994" s="711"/>
      <c r="J17994" s="711"/>
      <c r="K17994" s="711"/>
      <c r="L17994" s="711"/>
      <c r="Q17994" s="11"/>
      <c r="R17994" s="11"/>
      <c r="S17994" s="11"/>
      <c r="T17994" s="11"/>
    </row>
    <row r="17995" spans="8:20" x14ac:dyDescent="0.35">
      <c r="H17995" s="711"/>
      <c r="I17995" s="711"/>
      <c r="J17995" s="711"/>
      <c r="K17995" s="711"/>
      <c r="L17995" s="711"/>
      <c r="Q17995" s="11"/>
      <c r="R17995" s="11"/>
      <c r="S17995" s="11"/>
      <c r="T17995" s="11"/>
    </row>
    <row r="17996" spans="8:20" x14ac:dyDescent="0.35">
      <c r="H17996" s="711"/>
      <c r="I17996" s="711"/>
      <c r="J17996" s="711"/>
      <c r="K17996" s="711"/>
      <c r="L17996" s="711"/>
      <c r="Q17996" s="11"/>
      <c r="R17996" s="11"/>
      <c r="S17996" s="11"/>
      <c r="T17996" s="11"/>
    </row>
    <row r="17997" spans="8:20" x14ac:dyDescent="0.35">
      <c r="H17997" s="711"/>
      <c r="I17997" s="711"/>
      <c r="J17997" s="711"/>
      <c r="K17997" s="711"/>
      <c r="L17997" s="711"/>
      <c r="Q17997" s="11"/>
      <c r="R17997" s="11"/>
      <c r="S17997" s="11"/>
      <c r="T17997" s="11"/>
    </row>
    <row r="17998" spans="8:20" x14ac:dyDescent="0.35">
      <c r="H17998" s="711"/>
      <c r="I17998" s="711"/>
      <c r="J17998" s="711"/>
      <c r="K17998" s="711"/>
      <c r="L17998" s="711"/>
      <c r="Q17998" s="11"/>
      <c r="R17998" s="11"/>
      <c r="S17998" s="11"/>
      <c r="T17998" s="11"/>
    </row>
    <row r="17999" spans="8:20" x14ac:dyDescent="0.35">
      <c r="H17999" s="711"/>
      <c r="I17999" s="711"/>
      <c r="J17999" s="711"/>
      <c r="K17999" s="711"/>
      <c r="L17999" s="711"/>
      <c r="Q17999" s="11"/>
      <c r="R17999" s="11"/>
      <c r="S17999" s="11"/>
      <c r="T17999" s="11"/>
    </row>
    <row r="18000" spans="8:20" x14ac:dyDescent="0.35">
      <c r="H18000" s="711"/>
      <c r="I18000" s="711"/>
      <c r="J18000" s="711"/>
      <c r="K18000" s="711"/>
      <c r="L18000" s="711"/>
      <c r="Q18000" s="11"/>
      <c r="R18000" s="11"/>
      <c r="S18000" s="11"/>
      <c r="T18000" s="11"/>
    </row>
    <row r="18001" spans="8:20" x14ac:dyDescent="0.35">
      <c r="H18001" s="711"/>
      <c r="I18001" s="711"/>
      <c r="J18001" s="711"/>
      <c r="K18001" s="711"/>
      <c r="L18001" s="711"/>
      <c r="Q18001" s="11"/>
      <c r="R18001" s="11"/>
      <c r="S18001" s="11"/>
      <c r="T18001" s="11"/>
    </row>
    <row r="18002" spans="8:20" x14ac:dyDescent="0.35">
      <c r="H18002" s="711"/>
      <c r="I18002" s="711"/>
      <c r="J18002" s="711"/>
      <c r="K18002" s="711"/>
      <c r="L18002" s="711"/>
      <c r="Q18002" s="11"/>
      <c r="R18002" s="11"/>
      <c r="S18002" s="11"/>
      <c r="T18002" s="11"/>
    </row>
    <row r="18003" spans="8:20" x14ac:dyDescent="0.35">
      <c r="H18003" s="711"/>
      <c r="I18003" s="711"/>
      <c r="J18003" s="711"/>
      <c r="K18003" s="711"/>
      <c r="L18003" s="711"/>
      <c r="Q18003" s="11"/>
      <c r="R18003" s="11"/>
      <c r="S18003" s="11"/>
      <c r="T18003" s="11"/>
    </row>
    <row r="18004" spans="8:20" x14ac:dyDescent="0.35">
      <c r="H18004" s="711"/>
      <c r="I18004" s="711"/>
      <c r="J18004" s="711"/>
      <c r="K18004" s="711"/>
      <c r="L18004" s="711"/>
      <c r="Q18004" s="11"/>
      <c r="R18004" s="11"/>
      <c r="S18004" s="11"/>
      <c r="T18004" s="11"/>
    </row>
    <row r="18005" spans="8:20" x14ac:dyDescent="0.35">
      <c r="H18005" s="711"/>
      <c r="I18005" s="711"/>
      <c r="J18005" s="711"/>
      <c r="K18005" s="711"/>
      <c r="L18005" s="711"/>
      <c r="Q18005" s="11"/>
      <c r="R18005" s="11"/>
      <c r="S18005" s="11"/>
      <c r="T18005" s="11"/>
    </row>
    <row r="18006" spans="8:20" x14ac:dyDescent="0.35">
      <c r="H18006" s="711"/>
      <c r="I18006" s="711"/>
      <c r="J18006" s="711"/>
      <c r="K18006" s="711"/>
      <c r="L18006" s="711"/>
      <c r="Q18006" s="11"/>
      <c r="R18006" s="11"/>
      <c r="S18006" s="11"/>
      <c r="T18006" s="11"/>
    </row>
    <row r="18007" spans="8:20" x14ac:dyDescent="0.35">
      <c r="H18007" s="711"/>
      <c r="I18007" s="711"/>
      <c r="J18007" s="711"/>
      <c r="K18007" s="711"/>
      <c r="L18007" s="711"/>
      <c r="Q18007" s="11"/>
      <c r="R18007" s="11"/>
      <c r="S18007" s="11"/>
      <c r="T18007" s="11"/>
    </row>
    <row r="18008" spans="8:20" x14ac:dyDescent="0.35">
      <c r="H18008" s="711"/>
      <c r="I18008" s="711"/>
      <c r="J18008" s="711"/>
      <c r="K18008" s="711"/>
      <c r="L18008" s="711"/>
      <c r="Q18008" s="11"/>
      <c r="R18008" s="11"/>
      <c r="S18008" s="11"/>
      <c r="T18008" s="11"/>
    </row>
    <row r="18009" spans="8:20" x14ac:dyDescent="0.35">
      <c r="H18009" s="711"/>
      <c r="I18009" s="711"/>
      <c r="J18009" s="711"/>
      <c r="K18009" s="711"/>
      <c r="L18009" s="711"/>
      <c r="Q18009" s="11"/>
      <c r="R18009" s="11"/>
      <c r="S18009" s="11"/>
      <c r="T18009" s="11"/>
    </row>
    <row r="18010" spans="8:20" x14ac:dyDescent="0.35">
      <c r="H18010" s="711"/>
      <c r="I18010" s="711"/>
      <c r="J18010" s="711"/>
      <c r="K18010" s="711"/>
      <c r="L18010" s="711"/>
      <c r="Q18010" s="11"/>
      <c r="R18010" s="11"/>
      <c r="S18010" s="11"/>
      <c r="T18010" s="11"/>
    </row>
    <row r="18011" spans="8:20" x14ac:dyDescent="0.35">
      <c r="H18011" s="711"/>
      <c r="I18011" s="711"/>
      <c r="J18011" s="711"/>
      <c r="K18011" s="711"/>
      <c r="L18011" s="711"/>
      <c r="Q18011" s="11"/>
      <c r="R18011" s="11"/>
      <c r="S18011" s="11"/>
      <c r="T18011" s="11"/>
    </row>
    <row r="18012" spans="8:20" x14ac:dyDescent="0.35">
      <c r="H18012" s="711"/>
      <c r="I18012" s="711"/>
      <c r="J18012" s="711"/>
      <c r="K18012" s="711"/>
      <c r="L18012" s="711"/>
      <c r="Q18012" s="11"/>
      <c r="R18012" s="11"/>
      <c r="S18012" s="11"/>
      <c r="T18012" s="11"/>
    </row>
    <row r="18013" spans="8:20" x14ac:dyDescent="0.35">
      <c r="H18013" s="711"/>
      <c r="I18013" s="711"/>
      <c r="J18013" s="711"/>
      <c r="K18013" s="711"/>
      <c r="L18013" s="711"/>
      <c r="Q18013" s="11"/>
      <c r="R18013" s="11"/>
      <c r="S18013" s="11"/>
      <c r="T18013" s="11"/>
    </row>
    <row r="18014" spans="8:20" x14ac:dyDescent="0.35">
      <c r="H18014" s="711"/>
      <c r="I18014" s="711"/>
      <c r="J18014" s="711"/>
      <c r="K18014" s="711"/>
      <c r="L18014" s="711"/>
      <c r="Q18014" s="11"/>
      <c r="R18014" s="11"/>
      <c r="S18014" s="11"/>
      <c r="T18014" s="11"/>
    </row>
    <row r="18015" spans="8:20" x14ac:dyDescent="0.35">
      <c r="H18015" s="711"/>
      <c r="I18015" s="711"/>
      <c r="J18015" s="711"/>
      <c r="K18015" s="711"/>
      <c r="L18015" s="711"/>
      <c r="Q18015" s="11"/>
      <c r="R18015" s="11"/>
      <c r="S18015" s="11"/>
      <c r="T18015" s="11"/>
    </row>
    <row r="18016" spans="8:20" x14ac:dyDescent="0.35">
      <c r="H18016" s="711"/>
      <c r="I18016" s="711"/>
      <c r="J18016" s="711"/>
      <c r="K18016" s="711"/>
      <c r="L18016" s="711"/>
      <c r="Q18016" s="11"/>
      <c r="R18016" s="11"/>
      <c r="S18016" s="11"/>
      <c r="T18016" s="11"/>
    </row>
    <row r="18017" spans="8:20" x14ac:dyDescent="0.35">
      <c r="H18017" s="711"/>
      <c r="I18017" s="711"/>
      <c r="J18017" s="711"/>
      <c r="K18017" s="711"/>
      <c r="L18017" s="711"/>
      <c r="Q18017" s="11"/>
      <c r="R18017" s="11"/>
      <c r="S18017" s="11"/>
      <c r="T18017" s="11"/>
    </row>
    <row r="18018" spans="8:20" x14ac:dyDescent="0.35">
      <c r="H18018" s="711"/>
      <c r="I18018" s="711"/>
      <c r="J18018" s="711"/>
      <c r="K18018" s="711"/>
      <c r="L18018" s="711"/>
      <c r="Q18018" s="11"/>
      <c r="R18018" s="11"/>
      <c r="S18018" s="11"/>
      <c r="T18018" s="11"/>
    </row>
    <row r="18019" spans="8:20" x14ac:dyDescent="0.35">
      <c r="H18019" s="711"/>
      <c r="I18019" s="711"/>
      <c r="J18019" s="711"/>
      <c r="K18019" s="711"/>
      <c r="L18019" s="711"/>
      <c r="Q18019" s="11"/>
      <c r="R18019" s="11"/>
      <c r="S18019" s="11"/>
      <c r="T18019" s="11"/>
    </row>
    <row r="18020" spans="8:20" x14ac:dyDescent="0.35">
      <c r="H18020" s="711"/>
      <c r="I18020" s="711"/>
      <c r="J18020" s="711"/>
      <c r="K18020" s="711"/>
      <c r="L18020" s="711"/>
      <c r="Q18020" s="11"/>
      <c r="R18020" s="11"/>
      <c r="S18020" s="11"/>
      <c r="T18020" s="11"/>
    </row>
    <row r="18021" spans="8:20" x14ac:dyDescent="0.35">
      <c r="H18021" s="711"/>
      <c r="I18021" s="711"/>
      <c r="J18021" s="711"/>
      <c r="K18021" s="711"/>
      <c r="L18021" s="711"/>
      <c r="Q18021" s="11"/>
      <c r="R18021" s="11"/>
      <c r="S18021" s="11"/>
      <c r="T18021" s="11"/>
    </row>
    <row r="18022" spans="8:20" x14ac:dyDescent="0.35">
      <c r="H18022" s="711"/>
      <c r="I18022" s="711"/>
      <c r="J18022" s="711"/>
      <c r="K18022" s="711"/>
      <c r="L18022" s="711"/>
      <c r="Q18022" s="11"/>
      <c r="R18022" s="11"/>
      <c r="S18022" s="11"/>
      <c r="T18022" s="11"/>
    </row>
    <row r="18023" spans="8:20" x14ac:dyDescent="0.35">
      <c r="H18023" s="711"/>
      <c r="I18023" s="711"/>
      <c r="J18023" s="711"/>
      <c r="K18023" s="711"/>
      <c r="L18023" s="711"/>
      <c r="Q18023" s="11"/>
      <c r="R18023" s="11"/>
      <c r="S18023" s="11"/>
      <c r="T18023" s="11"/>
    </row>
    <row r="18024" spans="8:20" x14ac:dyDescent="0.35">
      <c r="H18024" s="711"/>
      <c r="I18024" s="711"/>
      <c r="J18024" s="711"/>
      <c r="K18024" s="711"/>
      <c r="L18024" s="711"/>
      <c r="Q18024" s="11"/>
      <c r="R18024" s="11"/>
      <c r="S18024" s="11"/>
      <c r="T18024" s="11"/>
    </row>
    <row r="18025" spans="8:20" x14ac:dyDescent="0.35">
      <c r="H18025" s="711"/>
      <c r="I18025" s="711"/>
      <c r="J18025" s="711"/>
      <c r="K18025" s="711"/>
      <c r="L18025" s="711"/>
      <c r="Q18025" s="11"/>
      <c r="R18025" s="11"/>
      <c r="S18025" s="11"/>
      <c r="T18025" s="11"/>
    </row>
    <row r="18026" spans="8:20" x14ac:dyDescent="0.35">
      <c r="H18026" s="711"/>
      <c r="I18026" s="711"/>
      <c r="J18026" s="711"/>
      <c r="K18026" s="711"/>
      <c r="L18026" s="711"/>
      <c r="Q18026" s="11"/>
      <c r="R18026" s="11"/>
      <c r="S18026" s="11"/>
      <c r="T18026" s="11"/>
    </row>
    <row r="18027" spans="8:20" x14ac:dyDescent="0.35">
      <c r="H18027" s="711"/>
      <c r="I18027" s="711"/>
      <c r="J18027" s="711"/>
      <c r="K18027" s="711"/>
      <c r="L18027" s="711"/>
      <c r="Q18027" s="11"/>
      <c r="R18027" s="11"/>
      <c r="S18027" s="11"/>
      <c r="T18027" s="11"/>
    </row>
    <row r="18028" spans="8:20" x14ac:dyDescent="0.35">
      <c r="H18028" s="711"/>
      <c r="I18028" s="711"/>
      <c r="J18028" s="711"/>
      <c r="K18028" s="711"/>
      <c r="L18028" s="711"/>
      <c r="Q18028" s="11"/>
      <c r="R18028" s="11"/>
      <c r="S18028" s="11"/>
      <c r="T18028" s="11"/>
    </row>
    <row r="18029" spans="8:20" x14ac:dyDescent="0.35">
      <c r="H18029" s="711"/>
      <c r="I18029" s="711"/>
      <c r="J18029" s="711"/>
      <c r="K18029" s="711"/>
      <c r="L18029" s="711"/>
      <c r="Q18029" s="11"/>
      <c r="R18029" s="11"/>
      <c r="S18029" s="11"/>
      <c r="T18029" s="11"/>
    </row>
    <row r="18030" spans="8:20" x14ac:dyDescent="0.35">
      <c r="H18030" s="711"/>
      <c r="I18030" s="711"/>
      <c r="J18030" s="711"/>
      <c r="K18030" s="711"/>
      <c r="L18030" s="711"/>
      <c r="Q18030" s="11"/>
      <c r="R18030" s="11"/>
      <c r="S18030" s="11"/>
      <c r="T18030" s="11"/>
    </row>
    <row r="18031" spans="8:20" x14ac:dyDescent="0.35">
      <c r="H18031" s="711"/>
      <c r="I18031" s="711"/>
      <c r="J18031" s="711"/>
      <c r="K18031" s="711"/>
      <c r="L18031" s="711"/>
      <c r="Q18031" s="11"/>
      <c r="R18031" s="11"/>
      <c r="S18031" s="11"/>
      <c r="T18031" s="11"/>
    </row>
    <row r="18032" spans="8:20" x14ac:dyDescent="0.35">
      <c r="H18032" s="711"/>
      <c r="I18032" s="711"/>
      <c r="J18032" s="711"/>
      <c r="K18032" s="711"/>
      <c r="L18032" s="711"/>
      <c r="Q18032" s="11"/>
      <c r="R18032" s="11"/>
      <c r="S18032" s="11"/>
      <c r="T18032" s="11"/>
    </row>
    <row r="18033" spans="8:20" x14ac:dyDescent="0.35">
      <c r="H18033" s="711"/>
      <c r="I18033" s="711"/>
      <c r="J18033" s="711"/>
      <c r="K18033" s="711"/>
      <c r="L18033" s="711"/>
      <c r="Q18033" s="11"/>
      <c r="R18033" s="11"/>
      <c r="S18033" s="11"/>
      <c r="T18033" s="11"/>
    </row>
    <row r="18034" spans="8:20" x14ac:dyDescent="0.35">
      <c r="H18034" s="711"/>
      <c r="I18034" s="711"/>
      <c r="J18034" s="711"/>
      <c r="K18034" s="711"/>
      <c r="L18034" s="711"/>
      <c r="Q18034" s="11"/>
      <c r="R18034" s="11"/>
      <c r="S18034" s="11"/>
      <c r="T18034" s="11"/>
    </row>
    <row r="18035" spans="8:20" x14ac:dyDescent="0.35">
      <c r="H18035" s="711"/>
      <c r="I18035" s="711"/>
      <c r="J18035" s="711"/>
      <c r="K18035" s="711"/>
      <c r="L18035" s="711"/>
      <c r="Q18035" s="11"/>
      <c r="R18035" s="11"/>
      <c r="S18035" s="11"/>
      <c r="T18035" s="11"/>
    </row>
    <row r="18036" spans="8:20" x14ac:dyDescent="0.35">
      <c r="H18036" s="711"/>
      <c r="I18036" s="711"/>
      <c r="J18036" s="711"/>
      <c r="K18036" s="711"/>
      <c r="L18036" s="711"/>
      <c r="Q18036" s="11"/>
      <c r="R18036" s="11"/>
      <c r="S18036" s="11"/>
      <c r="T18036" s="11"/>
    </row>
    <row r="18037" spans="8:20" x14ac:dyDescent="0.35">
      <c r="H18037" s="711"/>
      <c r="I18037" s="711"/>
      <c r="J18037" s="711"/>
      <c r="K18037" s="711"/>
      <c r="L18037" s="711"/>
      <c r="Q18037" s="11"/>
      <c r="R18037" s="11"/>
      <c r="S18037" s="11"/>
      <c r="T18037" s="11"/>
    </row>
    <row r="18038" spans="8:20" x14ac:dyDescent="0.35">
      <c r="H18038" s="711"/>
      <c r="I18038" s="711"/>
      <c r="J18038" s="711"/>
      <c r="K18038" s="711"/>
      <c r="L18038" s="711"/>
      <c r="Q18038" s="11"/>
      <c r="R18038" s="11"/>
      <c r="S18038" s="11"/>
      <c r="T18038" s="11"/>
    </row>
    <row r="18039" spans="8:20" x14ac:dyDescent="0.35">
      <c r="H18039" s="711"/>
      <c r="I18039" s="711"/>
      <c r="J18039" s="711"/>
      <c r="K18039" s="711"/>
      <c r="L18039" s="711"/>
      <c r="Q18039" s="11"/>
      <c r="R18039" s="11"/>
      <c r="S18039" s="11"/>
      <c r="T18039" s="11"/>
    </row>
    <row r="18040" spans="8:20" x14ac:dyDescent="0.35">
      <c r="H18040" s="711"/>
      <c r="I18040" s="711"/>
      <c r="J18040" s="711"/>
      <c r="K18040" s="711"/>
      <c r="L18040" s="711"/>
      <c r="Q18040" s="11"/>
      <c r="R18040" s="11"/>
      <c r="S18040" s="11"/>
      <c r="T18040" s="11"/>
    </row>
    <row r="18041" spans="8:20" x14ac:dyDescent="0.35">
      <c r="H18041" s="711"/>
      <c r="I18041" s="711"/>
      <c r="J18041" s="711"/>
      <c r="K18041" s="711"/>
      <c r="L18041" s="711"/>
      <c r="Q18041" s="11"/>
      <c r="R18041" s="11"/>
      <c r="S18041" s="11"/>
      <c r="T18041" s="11"/>
    </row>
    <row r="18042" spans="8:20" x14ac:dyDescent="0.35">
      <c r="H18042" s="711"/>
      <c r="I18042" s="711"/>
      <c r="J18042" s="711"/>
      <c r="K18042" s="711"/>
      <c r="L18042" s="711"/>
      <c r="Q18042" s="11"/>
      <c r="R18042" s="11"/>
      <c r="S18042" s="11"/>
      <c r="T18042" s="11"/>
    </row>
    <row r="18043" spans="8:20" x14ac:dyDescent="0.35">
      <c r="H18043" s="711"/>
      <c r="I18043" s="711"/>
      <c r="J18043" s="711"/>
      <c r="K18043" s="711"/>
      <c r="L18043" s="711"/>
      <c r="Q18043" s="11"/>
      <c r="R18043" s="11"/>
      <c r="S18043" s="11"/>
      <c r="T18043" s="11"/>
    </row>
    <row r="18044" spans="8:20" x14ac:dyDescent="0.35">
      <c r="H18044" s="711"/>
      <c r="I18044" s="711"/>
      <c r="J18044" s="711"/>
      <c r="K18044" s="711"/>
      <c r="L18044" s="711"/>
      <c r="Q18044" s="11"/>
      <c r="R18044" s="11"/>
      <c r="S18044" s="11"/>
      <c r="T18044" s="11"/>
    </row>
    <row r="18045" spans="8:20" x14ac:dyDescent="0.35">
      <c r="H18045" s="711"/>
      <c r="I18045" s="711"/>
      <c r="J18045" s="711"/>
      <c r="K18045" s="711"/>
      <c r="L18045" s="711"/>
      <c r="Q18045" s="11"/>
      <c r="R18045" s="11"/>
      <c r="S18045" s="11"/>
      <c r="T18045" s="11"/>
    </row>
    <row r="18046" spans="8:20" x14ac:dyDescent="0.35">
      <c r="H18046" s="711"/>
      <c r="I18046" s="711"/>
      <c r="J18046" s="711"/>
      <c r="K18046" s="711"/>
      <c r="L18046" s="711"/>
      <c r="Q18046" s="11"/>
      <c r="R18046" s="11"/>
      <c r="S18046" s="11"/>
      <c r="T18046" s="11"/>
    </row>
    <row r="18047" spans="8:20" x14ac:dyDescent="0.35">
      <c r="H18047" s="711"/>
      <c r="I18047" s="711"/>
      <c r="J18047" s="711"/>
      <c r="K18047" s="711"/>
      <c r="L18047" s="711"/>
      <c r="Q18047" s="11"/>
      <c r="R18047" s="11"/>
      <c r="S18047" s="11"/>
      <c r="T18047" s="11"/>
    </row>
    <row r="18048" spans="8:20" x14ac:dyDescent="0.35">
      <c r="H18048" s="711"/>
      <c r="I18048" s="711"/>
      <c r="J18048" s="711"/>
      <c r="K18048" s="711"/>
      <c r="L18048" s="711"/>
      <c r="Q18048" s="11"/>
      <c r="R18048" s="11"/>
      <c r="S18048" s="11"/>
      <c r="T18048" s="11"/>
    </row>
    <row r="18049" spans="8:20" x14ac:dyDescent="0.35">
      <c r="H18049" s="711"/>
      <c r="I18049" s="711"/>
      <c r="J18049" s="711"/>
      <c r="K18049" s="711"/>
      <c r="L18049" s="711"/>
      <c r="Q18049" s="11"/>
      <c r="R18049" s="11"/>
      <c r="S18049" s="11"/>
      <c r="T18049" s="11"/>
    </row>
    <row r="18050" spans="8:20" x14ac:dyDescent="0.35">
      <c r="H18050" s="711"/>
      <c r="I18050" s="711"/>
      <c r="J18050" s="711"/>
      <c r="K18050" s="711"/>
      <c r="L18050" s="711"/>
      <c r="Q18050" s="11"/>
      <c r="R18050" s="11"/>
      <c r="S18050" s="11"/>
      <c r="T18050" s="11"/>
    </row>
    <row r="18051" spans="8:20" x14ac:dyDescent="0.35">
      <c r="H18051" s="711"/>
      <c r="I18051" s="711"/>
      <c r="J18051" s="711"/>
      <c r="K18051" s="711"/>
      <c r="L18051" s="711"/>
      <c r="Q18051" s="11"/>
      <c r="R18051" s="11"/>
      <c r="S18051" s="11"/>
      <c r="T18051" s="11"/>
    </row>
    <row r="18052" spans="8:20" x14ac:dyDescent="0.35">
      <c r="H18052" s="711"/>
      <c r="I18052" s="711"/>
      <c r="J18052" s="711"/>
      <c r="K18052" s="711"/>
      <c r="L18052" s="711"/>
      <c r="Q18052" s="11"/>
      <c r="R18052" s="11"/>
      <c r="S18052" s="11"/>
      <c r="T18052" s="11"/>
    </row>
    <row r="18053" spans="8:20" x14ac:dyDescent="0.35">
      <c r="H18053" s="711"/>
      <c r="I18053" s="711"/>
      <c r="J18053" s="711"/>
      <c r="K18053" s="711"/>
      <c r="L18053" s="711"/>
      <c r="Q18053" s="11"/>
      <c r="R18053" s="11"/>
      <c r="S18053" s="11"/>
      <c r="T18053" s="11"/>
    </row>
    <row r="18054" spans="8:20" x14ac:dyDescent="0.35">
      <c r="H18054" s="711"/>
      <c r="I18054" s="711"/>
      <c r="J18054" s="711"/>
      <c r="K18054" s="711"/>
      <c r="L18054" s="711"/>
      <c r="Q18054" s="11"/>
      <c r="R18054" s="11"/>
      <c r="S18054" s="11"/>
      <c r="T18054" s="11"/>
    </row>
    <row r="18055" spans="8:20" x14ac:dyDescent="0.35">
      <c r="H18055" s="711"/>
      <c r="I18055" s="711"/>
      <c r="J18055" s="711"/>
      <c r="K18055" s="711"/>
      <c r="L18055" s="711"/>
      <c r="Q18055" s="11"/>
      <c r="R18055" s="11"/>
      <c r="S18055" s="11"/>
      <c r="T18055" s="11"/>
    </row>
    <row r="18056" spans="8:20" x14ac:dyDescent="0.35">
      <c r="H18056" s="711"/>
      <c r="I18056" s="711"/>
      <c r="J18056" s="711"/>
      <c r="K18056" s="711"/>
      <c r="L18056" s="711"/>
      <c r="Q18056" s="11"/>
      <c r="R18056" s="11"/>
      <c r="S18056" s="11"/>
      <c r="T18056" s="11"/>
    </row>
    <row r="18057" spans="8:20" x14ac:dyDescent="0.35">
      <c r="H18057" s="711"/>
      <c r="I18057" s="711"/>
      <c r="J18057" s="711"/>
      <c r="K18057" s="711"/>
      <c r="L18057" s="711"/>
      <c r="Q18057" s="11"/>
      <c r="R18057" s="11"/>
      <c r="S18057" s="11"/>
      <c r="T18057" s="11"/>
    </row>
    <row r="18058" spans="8:20" x14ac:dyDescent="0.35">
      <c r="H18058" s="711"/>
      <c r="I18058" s="711"/>
      <c r="J18058" s="711"/>
      <c r="K18058" s="711"/>
      <c r="L18058" s="711"/>
      <c r="Q18058" s="11"/>
      <c r="R18058" s="11"/>
      <c r="S18058" s="11"/>
      <c r="T18058" s="11"/>
    </row>
    <row r="18059" spans="8:20" x14ac:dyDescent="0.35">
      <c r="H18059" s="711"/>
      <c r="I18059" s="711"/>
      <c r="J18059" s="711"/>
      <c r="K18059" s="711"/>
      <c r="L18059" s="711"/>
      <c r="Q18059" s="11"/>
      <c r="R18059" s="11"/>
      <c r="S18059" s="11"/>
      <c r="T18059" s="11"/>
    </row>
    <row r="18060" spans="8:20" x14ac:dyDescent="0.35">
      <c r="H18060" s="711"/>
      <c r="I18060" s="711"/>
      <c r="J18060" s="711"/>
      <c r="K18060" s="711"/>
      <c r="L18060" s="711"/>
      <c r="Q18060" s="11"/>
      <c r="R18060" s="11"/>
      <c r="S18060" s="11"/>
      <c r="T18060" s="11"/>
    </row>
    <row r="18061" spans="8:20" x14ac:dyDescent="0.35">
      <c r="H18061" s="711"/>
      <c r="I18061" s="711"/>
      <c r="J18061" s="711"/>
      <c r="K18061" s="711"/>
      <c r="L18061" s="711"/>
      <c r="Q18061" s="11"/>
      <c r="R18061" s="11"/>
      <c r="S18061" s="11"/>
      <c r="T18061" s="11"/>
    </row>
    <row r="18062" spans="8:20" x14ac:dyDescent="0.35">
      <c r="H18062" s="711"/>
      <c r="I18062" s="711"/>
      <c r="J18062" s="711"/>
      <c r="K18062" s="711"/>
      <c r="L18062" s="711"/>
      <c r="Q18062" s="11"/>
      <c r="R18062" s="11"/>
      <c r="S18062" s="11"/>
      <c r="T18062" s="11"/>
    </row>
    <row r="18063" spans="8:20" x14ac:dyDescent="0.35">
      <c r="H18063" s="711"/>
      <c r="I18063" s="711"/>
      <c r="J18063" s="711"/>
      <c r="K18063" s="711"/>
      <c r="L18063" s="711"/>
      <c r="Q18063" s="11"/>
      <c r="R18063" s="11"/>
      <c r="S18063" s="11"/>
      <c r="T18063" s="11"/>
    </row>
    <row r="18064" spans="8:20" x14ac:dyDescent="0.35">
      <c r="H18064" s="711"/>
      <c r="I18064" s="711"/>
      <c r="J18064" s="711"/>
      <c r="K18064" s="711"/>
      <c r="L18064" s="711"/>
      <c r="Q18064" s="11"/>
      <c r="R18064" s="11"/>
      <c r="S18064" s="11"/>
      <c r="T18064" s="11"/>
    </row>
    <row r="18065" spans="8:20" x14ac:dyDescent="0.35">
      <c r="H18065" s="711"/>
      <c r="I18065" s="711"/>
      <c r="J18065" s="711"/>
      <c r="K18065" s="711"/>
      <c r="L18065" s="711"/>
      <c r="Q18065" s="11"/>
      <c r="R18065" s="11"/>
      <c r="S18065" s="11"/>
      <c r="T18065" s="11"/>
    </row>
    <row r="18066" spans="8:20" x14ac:dyDescent="0.35">
      <c r="H18066" s="711"/>
      <c r="I18066" s="711"/>
      <c r="J18066" s="711"/>
      <c r="K18066" s="711"/>
      <c r="L18066" s="711"/>
      <c r="Q18066" s="11"/>
      <c r="R18066" s="11"/>
      <c r="S18066" s="11"/>
      <c r="T18066" s="11"/>
    </row>
    <row r="18067" spans="8:20" x14ac:dyDescent="0.35">
      <c r="H18067" s="711"/>
      <c r="I18067" s="711"/>
      <c r="J18067" s="711"/>
      <c r="K18067" s="711"/>
      <c r="L18067" s="711"/>
      <c r="Q18067" s="11"/>
      <c r="R18067" s="11"/>
      <c r="S18067" s="11"/>
      <c r="T18067" s="11"/>
    </row>
    <row r="18068" spans="8:20" x14ac:dyDescent="0.35">
      <c r="H18068" s="711"/>
      <c r="I18068" s="711"/>
      <c r="J18068" s="711"/>
      <c r="K18068" s="711"/>
      <c r="L18068" s="711"/>
      <c r="Q18068" s="11"/>
      <c r="R18068" s="11"/>
      <c r="S18068" s="11"/>
      <c r="T18068" s="11"/>
    </row>
    <row r="18069" spans="8:20" x14ac:dyDescent="0.35">
      <c r="H18069" s="711"/>
      <c r="I18069" s="711"/>
      <c r="J18069" s="711"/>
      <c r="K18069" s="711"/>
      <c r="L18069" s="711"/>
      <c r="Q18069" s="11"/>
      <c r="R18069" s="11"/>
      <c r="S18069" s="11"/>
      <c r="T18069" s="11"/>
    </row>
    <row r="18070" spans="8:20" x14ac:dyDescent="0.35">
      <c r="H18070" s="711"/>
      <c r="I18070" s="711"/>
      <c r="J18070" s="711"/>
      <c r="K18070" s="711"/>
      <c r="L18070" s="711"/>
      <c r="Q18070" s="11"/>
      <c r="R18070" s="11"/>
      <c r="S18070" s="11"/>
      <c r="T18070" s="11"/>
    </row>
    <row r="18071" spans="8:20" x14ac:dyDescent="0.35">
      <c r="H18071" s="711"/>
      <c r="I18071" s="711"/>
      <c r="J18071" s="711"/>
      <c r="K18071" s="711"/>
      <c r="L18071" s="711"/>
      <c r="Q18071" s="11"/>
      <c r="R18071" s="11"/>
      <c r="S18071" s="11"/>
      <c r="T18071" s="11"/>
    </row>
    <row r="18072" spans="8:20" x14ac:dyDescent="0.35">
      <c r="H18072" s="711"/>
      <c r="I18072" s="711"/>
      <c r="J18072" s="711"/>
      <c r="K18072" s="711"/>
      <c r="L18072" s="711"/>
      <c r="Q18072" s="11"/>
      <c r="R18072" s="11"/>
      <c r="S18072" s="11"/>
      <c r="T18072" s="11"/>
    </row>
    <row r="18073" spans="8:20" x14ac:dyDescent="0.35">
      <c r="H18073" s="711"/>
      <c r="I18073" s="711"/>
      <c r="J18073" s="711"/>
      <c r="K18073" s="711"/>
      <c r="L18073" s="711"/>
      <c r="Q18073" s="11"/>
      <c r="R18073" s="11"/>
      <c r="S18073" s="11"/>
      <c r="T18073" s="11"/>
    </row>
    <row r="18074" spans="8:20" x14ac:dyDescent="0.35">
      <c r="H18074" s="711"/>
      <c r="I18074" s="711"/>
      <c r="J18074" s="711"/>
      <c r="K18074" s="711"/>
      <c r="L18074" s="711"/>
      <c r="Q18074" s="11"/>
      <c r="R18074" s="11"/>
      <c r="S18074" s="11"/>
      <c r="T18074" s="11"/>
    </row>
    <row r="18075" spans="8:20" x14ac:dyDescent="0.35">
      <c r="H18075" s="711"/>
      <c r="I18075" s="711"/>
      <c r="J18075" s="711"/>
      <c r="K18075" s="711"/>
      <c r="L18075" s="711"/>
      <c r="Q18075" s="11"/>
      <c r="R18075" s="11"/>
      <c r="S18075" s="11"/>
      <c r="T18075" s="11"/>
    </row>
    <row r="18076" spans="8:20" x14ac:dyDescent="0.35">
      <c r="H18076" s="711"/>
      <c r="I18076" s="711"/>
      <c r="J18076" s="711"/>
      <c r="K18076" s="711"/>
      <c r="L18076" s="711"/>
      <c r="Q18076" s="11"/>
      <c r="R18076" s="11"/>
      <c r="S18076" s="11"/>
      <c r="T18076" s="11"/>
    </row>
    <row r="18077" spans="8:20" x14ac:dyDescent="0.35">
      <c r="H18077" s="711"/>
      <c r="I18077" s="711"/>
      <c r="J18077" s="711"/>
      <c r="K18077" s="711"/>
      <c r="L18077" s="711"/>
      <c r="Q18077" s="11"/>
      <c r="R18077" s="11"/>
      <c r="S18077" s="11"/>
      <c r="T18077" s="11"/>
    </row>
    <row r="18078" spans="8:20" x14ac:dyDescent="0.35">
      <c r="H18078" s="711"/>
      <c r="I18078" s="711"/>
      <c r="J18078" s="711"/>
      <c r="K18078" s="711"/>
      <c r="L18078" s="711"/>
      <c r="Q18078" s="11"/>
      <c r="R18078" s="11"/>
      <c r="S18078" s="11"/>
      <c r="T18078" s="11"/>
    </row>
    <row r="18079" spans="8:20" x14ac:dyDescent="0.35">
      <c r="H18079" s="711"/>
      <c r="I18079" s="711"/>
      <c r="J18079" s="711"/>
      <c r="K18079" s="711"/>
      <c r="L18079" s="711"/>
      <c r="Q18079" s="11"/>
      <c r="R18079" s="11"/>
      <c r="S18079" s="11"/>
      <c r="T18079" s="11"/>
    </row>
    <row r="18080" spans="8:20" x14ac:dyDescent="0.35">
      <c r="H18080" s="711"/>
      <c r="I18080" s="711"/>
      <c r="J18080" s="711"/>
      <c r="K18080" s="711"/>
      <c r="L18080" s="711"/>
      <c r="Q18080" s="11"/>
      <c r="R18080" s="11"/>
      <c r="S18080" s="11"/>
      <c r="T18080" s="11"/>
    </row>
    <row r="18081" spans="8:20" x14ac:dyDescent="0.35">
      <c r="H18081" s="711"/>
      <c r="I18081" s="711"/>
      <c r="J18081" s="711"/>
      <c r="K18081" s="711"/>
      <c r="L18081" s="711"/>
      <c r="Q18081" s="11"/>
      <c r="R18081" s="11"/>
      <c r="S18081" s="11"/>
      <c r="T18081" s="11"/>
    </row>
    <row r="18082" spans="8:20" x14ac:dyDescent="0.35">
      <c r="H18082" s="711"/>
      <c r="I18082" s="711"/>
      <c r="J18082" s="711"/>
      <c r="K18082" s="711"/>
      <c r="L18082" s="711"/>
      <c r="Q18082" s="11"/>
      <c r="R18082" s="11"/>
      <c r="S18082" s="11"/>
      <c r="T18082" s="11"/>
    </row>
    <row r="18083" spans="8:20" x14ac:dyDescent="0.35">
      <c r="H18083" s="711"/>
      <c r="I18083" s="711"/>
      <c r="J18083" s="711"/>
      <c r="K18083" s="711"/>
      <c r="L18083" s="711"/>
      <c r="Q18083" s="11"/>
      <c r="R18083" s="11"/>
      <c r="S18083" s="11"/>
      <c r="T18083" s="11"/>
    </row>
    <row r="18084" spans="8:20" x14ac:dyDescent="0.35">
      <c r="H18084" s="711"/>
      <c r="I18084" s="711"/>
      <c r="J18084" s="711"/>
      <c r="K18084" s="711"/>
      <c r="L18084" s="711"/>
      <c r="Q18084" s="11"/>
      <c r="R18084" s="11"/>
      <c r="S18084" s="11"/>
      <c r="T18084" s="11"/>
    </row>
    <row r="18085" spans="8:20" x14ac:dyDescent="0.35">
      <c r="H18085" s="711"/>
      <c r="I18085" s="711"/>
      <c r="J18085" s="711"/>
      <c r="K18085" s="711"/>
      <c r="L18085" s="711"/>
      <c r="Q18085" s="11"/>
      <c r="R18085" s="11"/>
      <c r="S18085" s="11"/>
      <c r="T18085" s="11"/>
    </row>
    <row r="18086" spans="8:20" x14ac:dyDescent="0.35">
      <c r="H18086" s="711"/>
      <c r="I18086" s="711"/>
      <c r="J18086" s="711"/>
      <c r="K18086" s="711"/>
      <c r="L18086" s="711"/>
      <c r="Q18086" s="11"/>
      <c r="R18086" s="11"/>
      <c r="S18086" s="11"/>
      <c r="T18086" s="11"/>
    </row>
    <row r="18087" spans="8:20" x14ac:dyDescent="0.35">
      <c r="H18087" s="711"/>
      <c r="I18087" s="711"/>
      <c r="J18087" s="711"/>
      <c r="K18087" s="711"/>
      <c r="L18087" s="711"/>
      <c r="Q18087" s="11"/>
      <c r="R18087" s="11"/>
      <c r="S18087" s="11"/>
      <c r="T18087" s="11"/>
    </row>
    <row r="18088" spans="8:20" x14ac:dyDescent="0.35">
      <c r="H18088" s="711"/>
      <c r="I18088" s="711"/>
      <c r="J18088" s="711"/>
      <c r="K18088" s="711"/>
      <c r="L18088" s="711"/>
      <c r="Q18088" s="11"/>
      <c r="R18088" s="11"/>
      <c r="S18088" s="11"/>
      <c r="T18088" s="11"/>
    </row>
    <row r="18089" spans="8:20" x14ac:dyDescent="0.35">
      <c r="H18089" s="711"/>
      <c r="I18089" s="711"/>
      <c r="J18089" s="711"/>
      <c r="K18089" s="711"/>
      <c r="L18089" s="711"/>
      <c r="Q18089" s="11"/>
      <c r="R18089" s="11"/>
      <c r="S18089" s="11"/>
      <c r="T18089" s="11"/>
    </row>
    <row r="18090" spans="8:20" x14ac:dyDescent="0.35">
      <c r="H18090" s="711"/>
      <c r="I18090" s="711"/>
      <c r="J18090" s="711"/>
      <c r="K18090" s="711"/>
      <c r="L18090" s="711"/>
      <c r="Q18090" s="11"/>
      <c r="R18090" s="11"/>
      <c r="S18090" s="11"/>
      <c r="T18090" s="11"/>
    </row>
    <row r="18091" spans="8:20" x14ac:dyDescent="0.35">
      <c r="H18091" s="711"/>
      <c r="I18091" s="711"/>
      <c r="J18091" s="711"/>
      <c r="K18091" s="711"/>
      <c r="L18091" s="711"/>
      <c r="Q18091" s="11"/>
      <c r="R18091" s="11"/>
      <c r="S18091" s="11"/>
      <c r="T18091" s="11"/>
    </row>
    <row r="18092" spans="8:20" x14ac:dyDescent="0.35">
      <c r="H18092" s="711"/>
      <c r="I18092" s="711"/>
      <c r="J18092" s="711"/>
      <c r="K18092" s="711"/>
      <c r="L18092" s="711"/>
      <c r="Q18092" s="11"/>
      <c r="R18092" s="11"/>
      <c r="S18092" s="11"/>
      <c r="T18092" s="11"/>
    </row>
    <row r="18093" spans="8:20" x14ac:dyDescent="0.35">
      <c r="H18093" s="711"/>
      <c r="I18093" s="711"/>
      <c r="J18093" s="711"/>
      <c r="K18093" s="711"/>
      <c r="L18093" s="711"/>
      <c r="Q18093" s="11"/>
      <c r="R18093" s="11"/>
      <c r="S18093" s="11"/>
      <c r="T18093" s="11"/>
    </row>
    <row r="18094" spans="8:20" x14ac:dyDescent="0.35">
      <c r="H18094" s="711"/>
      <c r="I18094" s="711"/>
      <c r="J18094" s="711"/>
      <c r="K18094" s="711"/>
      <c r="L18094" s="711"/>
      <c r="Q18094" s="11"/>
      <c r="R18094" s="11"/>
      <c r="S18094" s="11"/>
      <c r="T18094" s="11"/>
    </row>
    <row r="18095" spans="8:20" x14ac:dyDescent="0.35">
      <c r="H18095" s="711"/>
      <c r="I18095" s="711"/>
      <c r="J18095" s="711"/>
      <c r="K18095" s="711"/>
      <c r="L18095" s="711"/>
      <c r="Q18095" s="11"/>
      <c r="R18095" s="11"/>
      <c r="S18095" s="11"/>
      <c r="T18095" s="11"/>
    </row>
    <row r="18096" spans="8:20" x14ac:dyDescent="0.35">
      <c r="H18096" s="711"/>
      <c r="I18096" s="711"/>
      <c r="J18096" s="711"/>
      <c r="K18096" s="711"/>
      <c r="L18096" s="711"/>
      <c r="Q18096" s="11"/>
      <c r="R18096" s="11"/>
      <c r="S18096" s="11"/>
      <c r="T18096" s="11"/>
    </row>
    <row r="18097" spans="8:20" x14ac:dyDescent="0.35">
      <c r="H18097" s="711"/>
      <c r="I18097" s="711"/>
      <c r="J18097" s="711"/>
      <c r="K18097" s="711"/>
      <c r="L18097" s="711"/>
      <c r="Q18097" s="11"/>
      <c r="R18097" s="11"/>
      <c r="S18097" s="11"/>
      <c r="T18097" s="11"/>
    </row>
    <row r="18098" spans="8:20" x14ac:dyDescent="0.35">
      <c r="H18098" s="711"/>
      <c r="I18098" s="711"/>
      <c r="J18098" s="711"/>
      <c r="K18098" s="711"/>
      <c r="L18098" s="711"/>
      <c r="Q18098" s="11"/>
      <c r="R18098" s="11"/>
      <c r="S18098" s="11"/>
      <c r="T18098" s="11"/>
    </row>
    <row r="18099" spans="8:20" x14ac:dyDescent="0.35">
      <c r="H18099" s="711"/>
      <c r="I18099" s="711"/>
      <c r="J18099" s="711"/>
      <c r="K18099" s="711"/>
      <c r="L18099" s="711"/>
      <c r="Q18099" s="11"/>
      <c r="R18099" s="11"/>
      <c r="S18099" s="11"/>
      <c r="T18099" s="11"/>
    </row>
    <row r="18100" spans="8:20" x14ac:dyDescent="0.35">
      <c r="H18100" s="711"/>
      <c r="I18100" s="711"/>
      <c r="J18100" s="711"/>
      <c r="K18100" s="711"/>
      <c r="L18100" s="711"/>
      <c r="Q18100" s="11"/>
      <c r="R18100" s="11"/>
      <c r="S18100" s="11"/>
      <c r="T18100" s="11"/>
    </row>
    <row r="18101" spans="8:20" x14ac:dyDescent="0.35">
      <c r="H18101" s="711"/>
      <c r="I18101" s="711"/>
      <c r="J18101" s="711"/>
      <c r="K18101" s="711"/>
      <c r="L18101" s="711"/>
      <c r="Q18101" s="11"/>
      <c r="R18101" s="11"/>
      <c r="S18101" s="11"/>
      <c r="T18101" s="11"/>
    </row>
    <row r="18102" spans="8:20" x14ac:dyDescent="0.35">
      <c r="H18102" s="711"/>
      <c r="I18102" s="711"/>
      <c r="J18102" s="711"/>
      <c r="K18102" s="711"/>
      <c r="L18102" s="711"/>
      <c r="Q18102" s="11"/>
      <c r="R18102" s="11"/>
      <c r="S18102" s="11"/>
      <c r="T18102" s="11"/>
    </row>
    <row r="18103" spans="8:20" x14ac:dyDescent="0.35">
      <c r="H18103" s="711"/>
      <c r="I18103" s="711"/>
      <c r="J18103" s="711"/>
      <c r="K18103" s="711"/>
      <c r="L18103" s="711"/>
      <c r="Q18103" s="11"/>
      <c r="R18103" s="11"/>
      <c r="S18103" s="11"/>
      <c r="T18103" s="11"/>
    </row>
    <row r="18104" spans="8:20" x14ac:dyDescent="0.35">
      <c r="H18104" s="711"/>
      <c r="I18104" s="711"/>
      <c r="J18104" s="711"/>
      <c r="K18104" s="711"/>
      <c r="L18104" s="711"/>
      <c r="Q18104" s="11"/>
      <c r="R18104" s="11"/>
      <c r="S18104" s="11"/>
      <c r="T18104" s="11"/>
    </row>
    <row r="18105" spans="8:20" x14ac:dyDescent="0.35">
      <c r="H18105" s="711"/>
      <c r="I18105" s="711"/>
      <c r="J18105" s="711"/>
      <c r="K18105" s="711"/>
      <c r="L18105" s="711"/>
      <c r="Q18105" s="11"/>
      <c r="R18105" s="11"/>
      <c r="S18105" s="11"/>
      <c r="T18105" s="11"/>
    </row>
    <row r="18106" spans="8:20" x14ac:dyDescent="0.35">
      <c r="H18106" s="711"/>
      <c r="I18106" s="711"/>
      <c r="J18106" s="711"/>
      <c r="K18106" s="711"/>
      <c r="L18106" s="711"/>
      <c r="Q18106" s="11"/>
      <c r="R18106" s="11"/>
      <c r="S18106" s="11"/>
      <c r="T18106" s="11"/>
    </row>
    <row r="18107" spans="8:20" x14ac:dyDescent="0.35">
      <c r="H18107" s="711"/>
      <c r="I18107" s="711"/>
      <c r="J18107" s="711"/>
      <c r="K18107" s="711"/>
      <c r="L18107" s="711"/>
      <c r="Q18107" s="11"/>
      <c r="R18107" s="11"/>
      <c r="S18107" s="11"/>
      <c r="T18107" s="11"/>
    </row>
    <row r="18108" spans="8:20" x14ac:dyDescent="0.35">
      <c r="H18108" s="711"/>
      <c r="I18108" s="711"/>
      <c r="J18108" s="711"/>
      <c r="K18108" s="711"/>
      <c r="L18108" s="711"/>
      <c r="Q18108" s="11"/>
      <c r="R18108" s="11"/>
      <c r="S18108" s="11"/>
      <c r="T18108" s="11"/>
    </row>
    <row r="18109" spans="8:20" x14ac:dyDescent="0.35">
      <c r="H18109" s="711"/>
      <c r="I18109" s="711"/>
      <c r="J18109" s="711"/>
      <c r="K18109" s="711"/>
      <c r="L18109" s="711"/>
      <c r="Q18109" s="11"/>
      <c r="R18109" s="11"/>
      <c r="S18109" s="11"/>
      <c r="T18109" s="11"/>
    </row>
    <row r="18110" spans="8:20" x14ac:dyDescent="0.35">
      <c r="H18110" s="711"/>
      <c r="I18110" s="711"/>
      <c r="J18110" s="711"/>
      <c r="K18110" s="711"/>
      <c r="L18110" s="711"/>
      <c r="Q18110" s="11"/>
      <c r="R18110" s="11"/>
      <c r="S18110" s="11"/>
      <c r="T18110" s="11"/>
    </row>
    <row r="18111" spans="8:20" x14ac:dyDescent="0.35">
      <c r="H18111" s="711"/>
      <c r="I18111" s="711"/>
      <c r="J18111" s="711"/>
      <c r="K18111" s="711"/>
      <c r="L18111" s="711"/>
      <c r="Q18111" s="11"/>
      <c r="R18111" s="11"/>
      <c r="S18111" s="11"/>
      <c r="T18111" s="11"/>
    </row>
    <row r="18112" spans="8:20" x14ac:dyDescent="0.35">
      <c r="H18112" s="711"/>
      <c r="I18112" s="711"/>
      <c r="J18112" s="711"/>
      <c r="K18112" s="711"/>
      <c r="L18112" s="711"/>
      <c r="Q18112" s="11"/>
      <c r="R18112" s="11"/>
      <c r="S18112" s="11"/>
      <c r="T18112" s="11"/>
    </row>
    <row r="18113" spans="8:20" x14ac:dyDescent="0.35">
      <c r="H18113" s="711"/>
      <c r="I18113" s="711"/>
      <c r="J18113" s="711"/>
      <c r="K18113" s="711"/>
      <c r="L18113" s="711"/>
      <c r="Q18113" s="11"/>
      <c r="R18113" s="11"/>
      <c r="S18113" s="11"/>
      <c r="T18113" s="11"/>
    </row>
    <row r="18114" spans="8:20" x14ac:dyDescent="0.35">
      <c r="H18114" s="711"/>
      <c r="I18114" s="711"/>
      <c r="J18114" s="711"/>
      <c r="K18114" s="711"/>
      <c r="L18114" s="711"/>
      <c r="Q18114" s="11"/>
      <c r="R18114" s="11"/>
      <c r="S18114" s="11"/>
      <c r="T18114" s="11"/>
    </row>
    <row r="18115" spans="8:20" x14ac:dyDescent="0.35">
      <c r="H18115" s="711"/>
      <c r="I18115" s="711"/>
      <c r="J18115" s="711"/>
      <c r="K18115" s="711"/>
      <c r="L18115" s="711"/>
      <c r="Q18115" s="11"/>
      <c r="R18115" s="11"/>
      <c r="S18115" s="11"/>
      <c r="T18115" s="11"/>
    </row>
    <row r="18116" spans="8:20" x14ac:dyDescent="0.35">
      <c r="H18116" s="711"/>
      <c r="I18116" s="711"/>
      <c r="J18116" s="711"/>
      <c r="K18116" s="711"/>
      <c r="L18116" s="711"/>
      <c r="Q18116" s="11"/>
      <c r="R18116" s="11"/>
      <c r="S18116" s="11"/>
      <c r="T18116" s="11"/>
    </row>
    <row r="18117" spans="8:20" x14ac:dyDescent="0.35">
      <c r="H18117" s="711"/>
      <c r="I18117" s="711"/>
      <c r="J18117" s="711"/>
      <c r="K18117" s="711"/>
      <c r="L18117" s="711"/>
      <c r="Q18117" s="11"/>
      <c r="R18117" s="11"/>
      <c r="S18117" s="11"/>
      <c r="T18117" s="11"/>
    </row>
    <row r="18118" spans="8:20" x14ac:dyDescent="0.35">
      <c r="H18118" s="711"/>
      <c r="I18118" s="711"/>
      <c r="J18118" s="711"/>
      <c r="K18118" s="711"/>
      <c r="L18118" s="711"/>
      <c r="Q18118" s="11"/>
      <c r="R18118" s="11"/>
      <c r="S18118" s="11"/>
      <c r="T18118" s="11"/>
    </row>
    <row r="18119" spans="8:20" x14ac:dyDescent="0.35">
      <c r="H18119" s="711"/>
      <c r="I18119" s="711"/>
      <c r="J18119" s="711"/>
      <c r="K18119" s="711"/>
      <c r="L18119" s="711"/>
      <c r="Q18119" s="11"/>
      <c r="R18119" s="11"/>
      <c r="S18119" s="11"/>
      <c r="T18119" s="11"/>
    </row>
    <row r="18120" spans="8:20" x14ac:dyDescent="0.35">
      <c r="H18120" s="711"/>
      <c r="I18120" s="711"/>
      <c r="J18120" s="711"/>
      <c r="K18120" s="711"/>
      <c r="L18120" s="711"/>
      <c r="Q18120" s="11"/>
      <c r="R18120" s="11"/>
      <c r="S18120" s="11"/>
      <c r="T18120" s="11"/>
    </row>
    <row r="18121" spans="8:20" x14ac:dyDescent="0.35">
      <c r="H18121" s="711"/>
      <c r="I18121" s="711"/>
      <c r="J18121" s="711"/>
      <c r="K18121" s="711"/>
      <c r="L18121" s="711"/>
      <c r="Q18121" s="11"/>
      <c r="R18121" s="11"/>
      <c r="S18121" s="11"/>
      <c r="T18121" s="11"/>
    </row>
    <row r="18122" spans="8:20" x14ac:dyDescent="0.35">
      <c r="H18122" s="711"/>
      <c r="I18122" s="711"/>
      <c r="J18122" s="711"/>
      <c r="K18122" s="711"/>
      <c r="L18122" s="711"/>
      <c r="Q18122" s="11"/>
      <c r="R18122" s="11"/>
      <c r="S18122" s="11"/>
      <c r="T18122" s="11"/>
    </row>
    <row r="18123" spans="8:20" x14ac:dyDescent="0.35">
      <c r="H18123" s="711"/>
      <c r="I18123" s="711"/>
      <c r="J18123" s="711"/>
      <c r="K18123" s="711"/>
      <c r="L18123" s="711"/>
      <c r="Q18123" s="11"/>
      <c r="R18123" s="11"/>
      <c r="S18123" s="11"/>
      <c r="T18123" s="11"/>
    </row>
    <row r="18124" spans="8:20" x14ac:dyDescent="0.35">
      <c r="H18124" s="711"/>
      <c r="I18124" s="711"/>
      <c r="J18124" s="711"/>
      <c r="K18124" s="711"/>
      <c r="L18124" s="711"/>
      <c r="Q18124" s="11"/>
      <c r="R18124" s="11"/>
      <c r="S18124" s="11"/>
      <c r="T18124" s="11"/>
    </row>
    <row r="18125" spans="8:20" x14ac:dyDescent="0.35">
      <c r="H18125" s="711"/>
      <c r="I18125" s="711"/>
      <c r="J18125" s="711"/>
      <c r="K18125" s="711"/>
      <c r="L18125" s="711"/>
      <c r="Q18125" s="11"/>
      <c r="R18125" s="11"/>
      <c r="S18125" s="11"/>
      <c r="T18125" s="11"/>
    </row>
    <row r="18126" spans="8:20" x14ac:dyDescent="0.35">
      <c r="H18126" s="711"/>
      <c r="I18126" s="711"/>
      <c r="J18126" s="711"/>
      <c r="K18126" s="711"/>
      <c r="L18126" s="711"/>
      <c r="Q18126" s="11"/>
      <c r="R18126" s="11"/>
      <c r="S18126" s="11"/>
      <c r="T18126" s="11"/>
    </row>
    <row r="18127" spans="8:20" x14ac:dyDescent="0.35">
      <c r="H18127" s="711"/>
      <c r="I18127" s="711"/>
      <c r="J18127" s="711"/>
      <c r="K18127" s="711"/>
      <c r="L18127" s="711"/>
      <c r="Q18127" s="11"/>
      <c r="R18127" s="11"/>
      <c r="S18127" s="11"/>
      <c r="T18127" s="11"/>
    </row>
    <row r="18128" spans="8:20" x14ac:dyDescent="0.35">
      <c r="H18128" s="711"/>
      <c r="I18128" s="711"/>
      <c r="J18128" s="711"/>
      <c r="K18128" s="711"/>
      <c r="L18128" s="711"/>
      <c r="Q18128" s="11"/>
      <c r="R18128" s="11"/>
      <c r="S18128" s="11"/>
      <c r="T18128" s="11"/>
    </row>
    <row r="18129" spans="8:20" x14ac:dyDescent="0.35">
      <c r="H18129" s="711"/>
      <c r="I18129" s="711"/>
      <c r="J18129" s="711"/>
      <c r="K18129" s="711"/>
      <c r="L18129" s="711"/>
      <c r="Q18129" s="11"/>
      <c r="R18129" s="11"/>
      <c r="S18129" s="11"/>
      <c r="T18129" s="11"/>
    </row>
    <row r="18130" spans="8:20" x14ac:dyDescent="0.35">
      <c r="H18130" s="711"/>
      <c r="I18130" s="711"/>
      <c r="J18130" s="711"/>
      <c r="K18130" s="711"/>
      <c r="L18130" s="711"/>
      <c r="Q18130" s="11"/>
      <c r="R18130" s="11"/>
      <c r="S18130" s="11"/>
      <c r="T18130" s="11"/>
    </row>
    <row r="18131" spans="8:20" x14ac:dyDescent="0.35">
      <c r="H18131" s="711"/>
      <c r="I18131" s="711"/>
      <c r="J18131" s="711"/>
      <c r="K18131" s="711"/>
      <c r="L18131" s="711"/>
      <c r="Q18131" s="11"/>
      <c r="R18131" s="11"/>
      <c r="S18131" s="11"/>
      <c r="T18131" s="11"/>
    </row>
    <row r="18132" spans="8:20" x14ac:dyDescent="0.35">
      <c r="H18132" s="711"/>
      <c r="I18132" s="711"/>
      <c r="J18132" s="711"/>
      <c r="K18132" s="711"/>
      <c r="L18132" s="711"/>
      <c r="Q18132" s="11"/>
      <c r="R18132" s="11"/>
      <c r="S18132" s="11"/>
      <c r="T18132" s="11"/>
    </row>
    <row r="18133" spans="8:20" x14ac:dyDescent="0.35">
      <c r="H18133" s="711"/>
      <c r="I18133" s="711"/>
      <c r="J18133" s="711"/>
      <c r="K18133" s="711"/>
      <c r="L18133" s="711"/>
      <c r="Q18133" s="11"/>
      <c r="R18133" s="11"/>
      <c r="S18133" s="11"/>
      <c r="T18133" s="11"/>
    </row>
    <row r="18134" spans="8:20" x14ac:dyDescent="0.35">
      <c r="H18134" s="711"/>
      <c r="I18134" s="711"/>
      <c r="J18134" s="711"/>
      <c r="K18134" s="711"/>
      <c r="L18134" s="711"/>
      <c r="Q18134" s="11"/>
      <c r="R18134" s="11"/>
      <c r="S18134" s="11"/>
      <c r="T18134" s="11"/>
    </row>
    <row r="18135" spans="8:20" x14ac:dyDescent="0.35">
      <c r="H18135" s="711"/>
      <c r="I18135" s="711"/>
      <c r="J18135" s="711"/>
      <c r="K18135" s="711"/>
      <c r="L18135" s="711"/>
      <c r="Q18135" s="11"/>
      <c r="R18135" s="11"/>
      <c r="S18135" s="11"/>
      <c r="T18135" s="11"/>
    </row>
    <row r="18136" spans="8:20" x14ac:dyDescent="0.35">
      <c r="H18136" s="711"/>
      <c r="I18136" s="711"/>
      <c r="J18136" s="711"/>
      <c r="K18136" s="711"/>
      <c r="L18136" s="711"/>
      <c r="Q18136" s="11"/>
      <c r="R18136" s="11"/>
      <c r="S18136" s="11"/>
      <c r="T18136" s="11"/>
    </row>
    <row r="18137" spans="8:20" x14ac:dyDescent="0.35">
      <c r="H18137" s="711"/>
      <c r="I18137" s="711"/>
      <c r="J18137" s="711"/>
      <c r="K18137" s="711"/>
      <c r="L18137" s="711"/>
      <c r="Q18137" s="11"/>
      <c r="R18137" s="11"/>
      <c r="S18137" s="11"/>
      <c r="T18137" s="11"/>
    </row>
    <row r="18138" spans="8:20" x14ac:dyDescent="0.35">
      <c r="H18138" s="711"/>
      <c r="I18138" s="711"/>
      <c r="J18138" s="711"/>
      <c r="K18138" s="711"/>
      <c r="L18138" s="711"/>
      <c r="Q18138" s="11"/>
      <c r="R18138" s="11"/>
      <c r="S18138" s="11"/>
      <c r="T18138" s="11"/>
    </row>
    <row r="18139" spans="8:20" x14ac:dyDescent="0.35">
      <c r="H18139" s="711"/>
      <c r="I18139" s="711"/>
      <c r="J18139" s="711"/>
      <c r="K18139" s="711"/>
      <c r="L18139" s="711"/>
      <c r="Q18139" s="11"/>
      <c r="R18139" s="11"/>
      <c r="S18139" s="11"/>
      <c r="T18139" s="11"/>
    </row>
    <row r="18140" spans="8:20" x14ac:dyDescent="0.35">
      <c r="H18140" s="711"/>
      <c r="I18140" s="711"/>
      <c r="J18140" s="711"/>
      <c r="K18140" s="711"/>
      <c r="L18140" s="711"/>
      <c r="Q18140" s="11"/>
      <c r="R18140" s="11"/>
      <c r="S18140" s="11"/>
      <c r="T18140" s="11"/>
    </row>
    <row r="18141" spans="8:20" x14ac:dyDescent="0.35">
      <c r="H18141" s="711"/>
      <c r="I18141" s="711"/>
      <c r="J18141" s="711"/>
      <c r="K18141" s="711"/>
      <c r="L18141" s="711"/>
      <c r="Q18141" s="11"/>
      <c r="R18141" s="11"/>
      <c r="S18141" s="11"/>
      <c r="T18141" s="11"/>
    </row>
    <row r="18142" spans="8:20" x14ac:dyDescent="0.35">
      <c r="H18142" s="711"/>
      <c r="I18142" s="711"/>
      <c r="J18142" s="711"/>
      <c r="K18142" s="711"/>
      <c r="L18142" s="711"/>
      <c r="Q18142" s="11"/>
      <c r="R18142" s="11"/>
      <c r="S18142" s="11"/>
      <c r="T18142" s="11"/>
    </row>
    <row r="18143" spans="8:20" x14ac:dyDescent="0.35">
      <c r="H18143" s="711"/>
      <c r="I18143" s="711"/>
      <c r="J18143" s="711"/>
      <c r="K18143" s="711"/>
      <c r="L18143" s="711"/>
      <c r="Q18143" s="11"/>
      <c r="R18143" s="11"/>
      <c r="S18143" s="11"/>
      <c r="T18143" s="11"/>
    </row>
    <row r="18144" spans="8:20" x14ac:dyDescent="0.35">
      <c r="H18144" s="711"/>
      <c r="I18144" s="711"/>
      <c r="J18144" s="711"/>
      <c r="K18144" s="711"/>
      <c r="L18144" s="711"/>
      <c r="Q18144" s="11"/>
      <c r="R18144" s="11"/>
      <c r="S18144" s="11"/>
      <c r="T18144" s="11"/>
    </row>
    <row r="18145" spans="8:20" x14ac:dyDescent="0.35">
      <c r="H18145" s="711"/>
      <c r="I18145" s="711"/>
      <c r="J18145" s="711"/>
      <c r="K18145" s="711"/>
      <c r="L18145" s="711"/>
      <c r="Q18145" s="11"/>
      <c r="R18145" s="11"/>
      <c r="S18145" s="11"/>
      <c r="T18145" s="11"/>
    </row>
    <row r="18146" spans="8:20" x14ac:dyDescent="0.35">
      <c r="H18146" s="711"/>
      <c r="I18146" s="711"/>
      <c r="J18146" s="711"/>
      <c r="K18146" s="711"/>
      <c r="L18146" s="711"/>
      <c r="Q18146" s="11"/>
      <c r="R18146" s="11"/>
      <c r="S18146" s="11"/>
      <c r="T18146" s="11"/>
    </row>
    <row r="18147" spans="8:20" x14ac:dyDescent="0.35">
      <c r="H18147" s="711"/>
      <c r="I18147" s="711"/>
      <c r="J18147" s="711"/>
      <c r="K18147" s="711"/>
      <c r="L18147" s="711"/>
      <c r="Q18147" s="11"/>
      <c r="R18147" s="11"/>
      <c r="S18147" s="11"/>
      <c r="T18147" s="11"/>
    </row>
    <row r="18148" spans="8:20" x14ac:dyDescent="0.35">
      <c r="H18148" s="711"/>
      <c r="I18148" s="711"/>
      <c r="J18148" s="711"/>
      <c r="K18148" s="711"/>
      <c r="L18148" s="711"/>
      <c r="Q18148" s="11"/>
      <c r="R18148" s="11"/>
      <c r="S18148" s="11"/>
      <c r="T18148" s="11"/>
    </row>
    <row r="18149" spans="8:20" x14ac:dyDescent="0.35">
      <c r="H18149" s="711"/>
      <c r="I18149" s="711"/>
      <c r="J18149" s="711"/>
      <c r="K18149" s="711"/>
      <c r="L18149" s="711"/>
      <c r="Q18149" s="11"/>
      <c r="R18149" s="11"/>
      <c r="S18149" s="11"/>
      <c r="T18149" s="11"/>
    </row>
    <row r="18150" spans="8:20" x14ac:dyDescent="0.35">
      <c r="H18150" s="711"/>
      <c r="I18150" s="711"/>
      <c r="J18150" s="711"/>
      <c r="K18150" s="711"/>
      <c r="L18150" s="711"/>
      <c r="Q18150" s="11"/>
      <c r="R18150" s="11"/>
      <c r="S18150" s="11"/>
      <c r="T18150" s="11"/>
    </row>
    <row r="18151" spans="8:20" x14ac:dyDescent="0.35">
      <c r="H18151" s="711"/>
      <c r="I18151" s="711"/>
      <c r="J18151" s="711"/>
      <c r="K18151" s="711"/>
      <c r="L18151" s="711"/>
      <c r="Q18151" s="11"/>
      <c r="R18151" s="11"/>
      <c r="S18151" s="11"/>
      <c r="T18151" s="11"/>
    </row>
    <row r="18152" spans="8:20" x14ac:dyDescent="0.35">
      <c r="H18152" s="711"/>
      <c r="I18152" s="711"/>
      <c r="J18152" s="711"/>
      <c r="K18152" s="711"/>
      <c r="L18152" s="711"/>
      <c r="Q18152" s="11"/>
      <c r="R18152" s="11"/>
      <c r="S18152" s="11"/>
      <c r="T18152" s="11"/>
    </row>
    <row r="18153" spans="8:20" x14ac:dyDescent="0.35">
      <c r="H18153" s="711"/>
      <c r="I18153" s="711"/>
      <c r="J18153" s="711"/>
      <c r="K18153" s="711"/>
      <c r="L18153" s="711"/>
      <c r="Q18153" s="11"/>
      <c r="R18153" s="11"/>
      <c r="S18153" s="11"/>
      <c r="T18153" s="11"/>
    </row>
    <row r="18154" spans="8:20" x14ac:dyDescent="0.35">
      <c r="H18154" s="711"/>
      <c r="I18154" s="711"/>
      <c r="J18154" s="711"/>
      <c r="K18154" s="711"/>
      <c r="L18154" s="711"/>
      <c r="Q18154" s="11"/>
      <c r="R18154" s="11"/>
      <c r="S18154" s="11"/>
      <c r="T18154" s="11"/>
    </row>
    <row r="18155" spans="8:20" x14ac:dyDescent="0.35">
      <c r="H18155" s="711"/>
      <c r="I18155" s="711"/>
      <c r="J18155" s="711"/>
      <c r="K18155" s="711"/>
      <c r="L18155" s="711"/>
      <c r="Q18155" s="11"/>
      <c r="R18155" s="11"/>
      <c r="S18155" s="11"/>
      <c r="T18155" s="11"/>
    </row>
    <row r="18156" spans="8:20" x14ac:dyDescent="0.35">
      <c r="H18156" s="711"/>
      <c r="I18156" s="711"/>
      <c r="J18156" s="711"/>
      <c r="K18156" s="711"/>
      <c r="L18156" s="711"/>
      <c r="Q18156" s="11"/>
      <c r="R18156" s="11"/>
      <c r="S18156" s="11"/>
      <c r="T18156" s="11"/>
    </row>
    <row r="18157" spans="8:20" x14ac:dyDescent="0.35">
      <c r="H18157" s="711"/>
      <c r="I18157" s="711"/>
      <c r="J18157" s="711"/>
      <c r="K18157" s="711"/>
      <c r="L18157" s="711"/>
      <c r="Q18157" s="11"/>
      <c r="R18157" s="11"/>
      <c r="S18157" s="11"/>
      <c r="T18157" s="11"/>
    </row>
    <row r="18158" spans="8:20" x14ac:dyDescent="0.35">
      <c r="H18158" s="711"/>
      <c r="I18158" s="711"/>
      <c r="J18158" s="711"/>
      <c r="K18158" s="711"/>
      <c r="L18158" s="711"/>
      <c r="Q18158" s="11"/>
      <c r="R18158" s="11"/>
      <c r="S18158" s="11"/>
      <c r="T18158" s="11"/>
    </row>
    <row r="18159" spans="8:20" x14ac:dyDescent="0.35">
      <c r="H18159" s="711"/>
      <c r="I18159" s="711"/>
      <c r="J18159" s="711"/>
      <c r="K18159" s="711"/>
      <c r="L18159" s="711"/>
      <c r="Q18159" s="11"/>
      <c r="R18159" s="11"/>
      <c r="S18159" s="11"/>
      <c r="T18159" s="11"/>
    </row>
    <row r="18160" spans="8:20" x14ac:dyDescent="0.35">
      <c r="H18160" s="711"/>
      <c r="I18160" s="711"/>
      <c r="J18160" s="711"/>
      <c r="K18160" s="711"/>
      <c r="L18160" s="711"/>
      <c r="Q18160" s="11"/>
      <c r="R18160" s="11"/>
      <c r="S18160" s="11"/>
      <c r="T18160" s="11"/>
    </row>
    <row r="18161" spans="8:20" x14ac:dyDescent="0.35">
      <c r="H18161" s="711"/>
      <c r="I18161" s="711"/>
      <c r="J18161" s="711"/>
      <c r="K18161" s="711"/>
      <c r="L18161" s="711"/>
      <c r="Q18161" s="11"/>
      <c r="R18161" s="11"/>
      <c r="S18161" s="11"/>
      <c r="T18161" s="11"/>
    </row>
    <row r="18162" spans="8:20" x14ac:dyDescent="0.35">
      <c r="H18162" s="711"/>
      <c r="I18162" s="711"/>
      <c r="J18162" s="711"/>
      <c r="K18162" s="711"/>
      <c r="L18162" s="711"/>
      <c r="Q18162" s="11"/>
      <c r="R18162" s="11"/>
      <c r="S18162" s="11"/>
      <c r="T18162" s="11"/>
    </row>
    <row r="18163" spans="8:20" x14ac:dyDescent="0.35">
      <c r="H18163" s="711"/>
      <c r="I18163" s="711"/>
      <c r="J18163" s="711"/>
      <c r="K18163" s="711"/>
      <c r="L18163" s="711"/>
      <c r="Q18163" s="11"/>
      <c r="R18163" s="11"/>
      <c r="S18163" s="11"/>
      <c r="T18163" s="11"/>
    </row>
    <row r="18164" spans="8:20" x14ac:dyDescent="0.35">
      <c r="H18164" s="711"/>
      <c r="I18164" s="711"/>
      <c r="J18164" s="711"/>
      <c r="K18164" s="711"/>
      <c r="L18164" s="711"/>
      <c r="Q18164" s="11"/>
      <c r="R18164" s="11"/>
      <c r="S18164" s="11"/>
      <c r="T18164" s="11"/>
    </row>
    <row r="18165" spans="8:20" x14ac:dyDescent="0.35">
      <c r="H18165" s="711"/>
      <c r="I18165" s="711"/>
      <c r="J18165" s="711"/>
      <c r="K18165" s="711"/>
      <c r="L18165" s="711"/>
      <c r="Q18165" s="11"/>
      <c r="R18165" s="11"/>
      <c r="S18165" s="11"/>
      <c r="T18165" s="11"/>
    </row>
    <row r="18166" spans="8:20" x14ac:dyDescent="0.35">
      <c r="H18166" s="711"/>
      <c r="I18166" s="711"/>
      <c r="J18166" s="711"/>
      <c r="K18166" s="711"/>
      <c r="L18166" s="711"/>
      <c r="Q18166" s="11"/>
      <c r="R18166" s="11"/>
      <c r="S18166" s="11"/>
      <c r="T18166" s="11"/>
    </row>
    <row r="18167" spans="8:20" x14ac:dyDescent="0.35">
      <c r="H18167" s="711"/>
      <c r="I18167" s="711"/>
      <c r="J18167" s="711"/>
      <c r="K18167" s="711"/>
      <c r="L18167" s="711"/>
      <c r="Q18167" s="11"/>
      <c r="R18167" s="11"/>
      <c r="S18167" s="11"/>
      <c r="T18167" s="11"/>
    </row>
    <row r="18168" spans="8:20" x14ac:dyDescent="0.35">
      <c r="H18168" s="711"/>
      <c r="I18168" s="711"/>
      <c r="J18168" s="711"/>
      <c r="K18168" s="711"/>
      <c r="L18168" s="711"/>
      <c r="Q18168" s="11"/>
      <c r="R18168" s="11"/>
      <c r="S18168" s="11"/>
      <c r="T18168" s="11"/>
    </row>
    <row r="18169" spans="8:20" x14ac:dyDescent="0.35">
      <c r="H18169" s="711"/>
      <c r="I18169" s="711"/>
      <c r="J18169" s="711"/>
      <c r="K18169" s="711"/>
      <c r="L18169" s="711"/>
      <c r="Q18169" s="11"/>
      <c r="R18169" s="11"/>
      <c r="S18169" s="11"/>
      <c r="T18169" s="11"/>
    </row>
    <row r="18170" spans="8:20" x14ac:dyDescent="0.35">
      <c r="H18170" s="711"/>
      <c r="I18170" s="711"/>
      <c r="J18170" s="711"/>
      <c r="K18170" s="711"/>
      <c r="L18170" s="711"/>
      <c r="Q18170" s="11"/>
      <c r="R18170" s="11"/>
      <c r="S18170" s="11"/>
      <c r="T18170" s="11"/>
    </row>
    <row r="18171" spans="8:20" x14ac:dyDescent="0.35">
      <c r="H18171" s="711"/>
      <c r="I18171" s="711"/>
      <c r="J18171" s="711"/>
      <c r="K18171" s="711"/>
      <c r="L18171" s="711"/>
      <c r="Q18171" s="11"/>
      <c r="R18171" s="11"/>
      <c r="S18171" s="11"/>
      <c r="T18171" s="11"/>
    </row>
    <row r="18172" spans="8:20" x14ac:dyDescent="0.35">
      <c r="H18172" s="711"/>
      <c r="I18172" s="711"/>
      <c r="J18172" s="711"/>
      <c r="K18172" s="711"/>
      <c r="L18172" s="711"/>
      <c r="Q18172" s="11"/>
      <c r="R18172" s="11"/>
      <c r="S18172" s="11"/>
      <c r="T18172" s="11"/>
    </row>
    <row r="18173" spans="8:20" x14ac:dyDescent="0.35">
      <c r="H18173" s="711"/>
      <c r="I18173" s="711"/>
      <c r="J18173" s="711"/>
      <c r="K18173" s="711"/>
      <c r="L18173" s="711"/>
      <c r="Q18173" s="11"/>
      <c r="R18173" s="11"/>
      <c r="S18173" s="11"/>
      <c r="T18173" s="11"/>
    </row>
    <row r="18174" spans="8:20" x14ac:dyDescent="0.35">
      <c r="H18174" s="711"/>
      <c r="I18174" s="711"/>
      <c r="J18174" s="711"/>
      <c r="K18174" s="711"/>
      <c r="L18174" s="711"/>
      <c r="Q18174" s="11"/>
      <c r="R18174" s="11"/>
      <c r="S18174" s="11"/>
      <c r="T18174" s="11"/>
    </row>
    <row r="18175" spans="8:20" x14ac:dyDescent="0.35">
      <c r="H18175" s="711"/>
      <c r="I18175" s="711"/>
      <c r="J18175" s="711"/>
      <c r="K18175" s="711"/>
      <c r="L18175" s="711"/>
      <c r="Q18175" s="11"/>
      <c r="R18175" s="11"/>
      <c r="S18175" s="11"/>
      <c r="T18175" s="11"/>
    </row>
    <row r="18176" spans="8:20" x14ac:dyDescent="0.35">
      <c r="H18176" s="711"/>
      <c r="I18176" s="711"/>
      <c r="J18176" s="711"/>
      <c r="K18176" s="711"/>
      <c r="L18176" s="711"/>
      <c r="Q18176" s="11"/>
      <c r="R18176" s="11"/>
      <c r="S18176" s="11"/>
      <c r="T18176" s="11"/>
    </row>
    <row r="18177" spans="8:20" x14ac:dyDescent="0.35">
      <c r="H18177" s="711"/>
      <c r="I18177" s="711"/>
      <c r="J18177" s="711"/>
      <c r="K18177" s="711"/>
      <c r="L18177" s="711"/>
      <c r="Q18177" s="11"/>
      <c r="R18177" s="11"/>
      <c r="S18177" s="11"/>
      <c r="T18177" s="11"/>
    </row>
    <row r="18178" spans="8:20" x14ac:dyDescent="0.35">
      <c r="H18178" s="711"/>
      <c r="I18178" s="711"/>
      <c r="J18178" s="711"/>
      <c r="K18178" s="711"/>
      <c r="L18178" s="711"/>
      <c r="Q18178" s="11"/>
      <c r="R18178" s="11"/>
      <c r="S18178" s="11"/>
      <c r="T18178" s="11"/>
    </row>
    <row r="18179" spans="8:20" x14ac:dyDescent="0.35">
      <c r="H18179" s="711"/>
      <c r="I18179" s="711"/>
      <c r="J18179" s="711"/>
      <c r="K18179" s="711"/>
      <c r="L18179" s="711"/>
      <c r="Q18179" s="11"/>
      <c r="R18179" s="11"/>
      <c r="S18179" s="11"/>
      <c r="T18179" s="11"/>
    </row>
    <row r="18180" spans="8:20" x14ac:dyDescent="0.35">
      <c r="H18180" s="711"/>
      <c r="I18180" s="711"/>
      <c r="J18180" s="711"/>
      <c r="K18180" s="711"/>
      <c r="L18180" s="711"/>
      <c r="Q18180" s="11"/>
      <c r="R18180" s="11"/>
      <c r="S18180" s="11"/>
      <c r="T18180" s="11"/>
    </row>
    <row r="18181" spans="8:20" x14ac:dyDescent="0.35">
      <c r="H18181" s="711"/>
      <c r="I18181" s="711"/>
      <c r="J18181" s="711"/>
      <c r="K18181" s="711"/>
      <c r="L18181" s="711"/>
      <c r="Q18181" s="11"/>
      <c r="R18181" s="11"/>
      <c r="S18181" s="11"/>
      <c r="T18181" s="11"/>
    </row>
    <row r="18182" spans="8:20" x14ac:dyDescent="0.35">
      <c r="H18182" s="711"/>
      <c r="I18182" s="711"/>
      <c r="J18182" s="711"/>
      <c r="K18182" s="711"/>
      <c r="L18182" s="711"/>
      <c r="Q18182" s="11"/>
      <c r="R18182" s="11"/>
      <c r="S18182" s="11"/>
      <c r="T18182" s="11"/>
    </row>
    <row r="18183" spans="8:20" x14ac:dyDescent="0.35">
      <c r="H18183" s="711"/>
      <c r="I18183" s="711"/>
      <c r="J18183" s="711"/>
      <c r="K18183" s="711"/>
      <c r="L18183" s="711"/>
      <c r="Q18183" s="11"/>
      <c r="R18183" s="11"/>
      <c r="S18183" s="11"/>
      <c r="T18183" s="11"/>
    </row>
    <row r="18184" spans="8:20" x14ac:dyDescent="0.35">
      <c r="H18184" s="711"/>
      <c r="I18184" s="711"/>
      <c r="J18184" s="711"/>
      <c r="K18184" s="711"/>
      <c r="L18184" s="711"/>
      <c r="Q18184" s="11"/>
      <c r="R18184" s="11"/>
      <c r="S18184" s="11"/>
      <c r="T18184" s="11"/>
    </row>
    <row r="18185" spans="8:20" x14ac:dyDescent="0.35">
      <c r="H18185" s="711"/>
      <c r="I18185" s="711"/>
      <c r="J18185" s="711"/>
      <c r="K18185" s="711"/>
      <c r="L18185" s="711"/>
      <c r="Q18185" s="11"/>
      <c r="R18185" s="11"/>
      <c r="S18185" s="11"/>
      <c r="T18185" s="11"/>
    </row>
    <row r="18186" spans="8:20" x14ac:dyDescent="0.35">
      <c r="H18186" s="711"/>
      <c r="I18186" s="711"/>
      <c r="J18186" s="711"/>
      <c r="K18186" s="711"/>
      <c r="L18186" s="711"/>
      <c r="Q18186" s="11"/>
      <c r="R18186" s="11"/>
      <c r="S18186" s="11"/>
      <c r="T18186" s="11"/>
    </row>
    <row r="18187" spans="8:20" x14ac:dyDescent="0.35">
      <c r="H18187" s="711"/>
      <c r="I18187" s="711"/>
      <c r="J18187" s="711"/>
      <c r="K18187" s="711"/>
      <c r="L18187" s="711"/>
      <c r="Q18187" s="11"/>
      <c r="R18187" s="11"/>
      <c r="S18187" s="11"/>
      <c r="T18187" s="11"/>
    </row>
    <row r="18188" spans="8:20" x14ac:dyDescent="0.35">
      <c r="H18188" s="711"/>
      <c r="I18188" s="711"/>
      <c r="J18188" s="711"/>
      <c r="K18188" s="711"/>
      <c r="L18188" s="711"/>
      <c r="Q18188" s="11"/>
      <c r="R18188" s="11"/>
      <c r="S18188" s="11"/>
      <c r="T18188" s="11"/>
    </row>
    <row r="18189" spans="8:20" x14ac:dyDescent="0.35">
      <c r="H18189" s="711"/>
      <c r="I18189" s="711"/>
      <c r="J18189" s="711"/>
      <c r="K18189" s="711"/>
      <c r="L18189" s="711"/>
      <c r="Q18189" s="11"/>
      <c r="R18189" s="11"/>
      <c r="S18189" s="11"/>
      <c r="T18189" s="11"/>
    </row>
    <row r="18190" spans="8:20" x14ac:dyDescent="0.35">
      <c r="H18190" s="711"/>
      <c r="I18190" s="711"/>
      <c r="J18190" s="711"/>
      <c r="K18190" s="711"/>
      <c r="L18190" s="711"/>
      <c r="Q18190" s="11"/>
      <c r="R18190" s="11"/>
      <c r="S18190" s="11"/>
      <c r="T18190" s="11"/>
    </row>
    <row r="18191" spans="8:20" x14ac:dyDescent="0.35">
      <c r="H18191" s="711"/>
      <c r="I18191" s="711"/>
      <c r="J18191" s="711"/>
      <c r="K18191" s="711"/>
      <c r="L18191" s="711"/>
      <c r="Q18191" s="11"/>
      <c r="R18191" s="11"/>
      <c r="S18191" s="11"/>
      <c r="T18191" s="11"/>
    </row>
    <row r="18192" spans="8:20" x14ac:dyDescent="0.35">
      <c r="H18192" s="711"/>
      <c r="I18192" s="711"/>
      <c r="J18192" s="711"/>
      <c r="K18192" s="711"/>
      <c r="L18192" s="711"/>
      <c r="Q18192" s="11"/>
      <c r="R18192" s="11"/>
      <c r="S18192" s="11"/>
      <c r="T18192" s="11"/>
    </row>
    <row r="18193" spans="8:20" x14ac:dyDescent="0.35">
      <c r="H18193" s="711"/>
      <c r="I18193" s="711"/>
      <c r="J18193" s="711"/>
      <c r="K18193" s="711"/>
      <c r="L18193" s="711"/>
      <c r="Q18193" s="11"/>
      <c r="R18193" s="11"/>
      <c r="S18193" s="11"/>
      <c r="T18193" s="11"/>
    </row>
    <row r="18194" spans="8:20" x14ac:dyDescent="0.35">
      <c r="H18194" s="711"/>
      <c r="I18194" s="711"/>
      <c r="J18194" s="711"/>
      <c r="K18194" s="711"/>
      <c r="L18194" s="711"/>
      <c r="Q18194" s="11"/>
      <c r="R18194" s="11"/>
      <c r="S18194" s="11"/>
      <c r="T18194" s="11"/>
    </row>
    <row r="18195" spans="8:20" x14ac:dyDescent="0.35">
      <c r="H18195" s="711"/>
      <c r="I18195" s="711"/>
      <c r="J18195" s="711"/>
      <c r="K18195" s="711"/>
      <c r="L18195" s="711"/>
      <c r="Q18195" s="11"/>
      <c r="R18195" s="11"/>
      <c r="S18195" s="11"/>
      <c r="T18195" s="11"/>
    </row>
    <row r="18196" spans="8:20" x14ac:dyDescent="0.35">
      <c r="H18196" s="711"/>
      <c r="I18196" s="711"/>
      <c r="J18196" s="711"/>
      <c r="K18196" s="711"/>
      <c r="L18196" s="711"/>
      <c r="Q18196" s="11"/>
      <c r="R18196" s="11"/>
      <c r="S18196" s="11"/>
      <c r="T18196" s="11"/>
    </row>
    <row r="18197" spans="8:20" x14ac:dyDescent="0.35">
      <c r="H18197" s="711"/>
      <c r="I18197" s="711"/>
      <c r="J18197" s="711"/>
      <c r="K18197" s="711"/>
      <c r="L18197" s="711"/>
      <c r="Q18197" s="11"/>
      <c r="R18197" s="11"/>
      <c r="S18197" s="11"/>
      <c r="T18197" s="11"/>
    </row>
    <row r="18198" spans="8:20" x14ac:dyDescent="0.35">
      <c r="H18198" s="711"/>
      <c r="I18198" s="711"/>
      <c r="J18198" s="711"/>
      <c r="K18198" s="711"/>
      <c r="L18198" s="711"/>
      <c r="Q18198" s="11"/>
      <c r="R18198" s="11"/>
      <c r="S18198" s="11"/>
      <c r="T18198" s="11"/>
    </row>
    <row r="18199" spans="8:20" x14ac:dyDescent="0.35">
      <c r="H18199" s="711"/>
      <c r="I18199" s="711"/>
      <c r="J18199" s="711"/>
      <c r="K18199" s="711"/>
      <c r="L18199" s="711"/>
      <c r="Q18199" s="11"/>
      <c r="R18199" s="11"/>
      <c r="S18199" s="11"/>
      <c r="T18199" s="11"/>
    </row>
    <row r="18200" spans="8:20" x14ac:dyDescent="0.35">
      <c r="H18200" s="711"/>
      <c r="I18200" s="711"/>
      <c r="J18200" s="711"/>
      <c r="K18200" s="711"/>
      <c r="L18200" s="711"/>
      <c r="Q18200" s="11"/>
      <c r="R18200" s="11"/>
      <c r="S18200" s="11"/>
      <c r="T18200" s="11"/>
    </row>
    <row r="18201" spans="8:20" x14ac:dyDescent="0.35">
      <c r="H18201" s="711"/>
      <c r="I18201" s="711"/>
      <c r="J18201" s="711"/>
      <c r="K18201" s="711"/>
      <c r="L18201" s="711"/>
      <c r="Q18201" s="11"/>
      <c r="R18201" s="11"/>
      <c r="S18201" s="11"/>
      <c r="T18201" s="11"/>
    </row>
    <row r="18202" spans="8:20" x14ac:dyDescent="0.35">
      <c r="H18202" s="711"/>
      <c r="I18202" s="711"/>
      <c r="J18202" s="711"/>
      <c r="K18202" s="711"/>
      <c r="L18202" s="711"/>
      <c r="Q18202" s="11"/>
      <c r="R18202" s="11"/>
      <c r="S18202" s="11"/>
      <c r="T18202" s="11"/>
    </row>
    <row r="18203" spans="8:20" x14ac:dyDescent="0.35">
      <c r="H18203" s="711"/>
      <c r="I18203" s="711"/>
      <c r="J18203" s="711"/>
      <c r="K18203" s="711"/>
      <c r="L18203" s="711"/>
      <c r="Q18203" s="11"/>
      <c r="R18203" s="11"/>
      <c r="S18203" s="11"/>
      <c r="T18203" s="11"/>
    </row>
    <row r="18204" spans="8:20" x14ac:dyDescent="0.35">
      <c r="H18204" s="711"/>
      <c r="I18204" s="711"/>
      <c r="J18204" s="711"/>
      <c r="K18204" s="711"/>
      <c r="L18204" s="711"/>
      <c r="Q18204" s="11"/>
      <c r="R18204" s="11"/>
      <c r="S18204" s="11"/>
      <c r="T18204" s="11"/>
    </row>
    <row r="18205" spans="8:20" x14ac:dyDescent="0.35">
      <c r="H18205" s="711"/>
      <c r="I18205" s="711"/>
      <c r="J18205" s="711"/>
      <c r="K18205" s="711"/>
      <c r="L18205" s="711"/>
      <c r="Q18205" s="11"/>
      <c r="R18205" s="11"/>
      <c r="S18205" s="11"/>
      <c r="T18205" s="11"/>
    </row>
    <row r="18206" spans="8:20" x14ac:dyDescent="0.35">
      <c r="H18206" s="711"/>
      <c r="I18206" s="711"/>
      <c r="J18206" s="711"/>
      <c r="K18206" s="711"/>
      <c r="L18206" s="711"/>
      <c r="Q18206" s="11"/>
      <c r="R18206" s="11"/>
      <c r="S18206" s="11"/>
      <c r="T18206" s="11"/>
    </row>
    <row r="18207" spans="8:20" x14ac:dyDescent="0.35">
      <c r="H18207" s="711"/>
      <c r="I18207" s="711"/>
      <c r="J18207" s="711"/>
      <c r="K18207" s="711"/>
      <c r="L18207" s="711"/>
      <c r="Q18207" s="11"/>
      <c r="R18207" s="11"/>
      <c r="S18207" s="11"/>
      <c r="T18207" s="11"/>
    </row>
    <row r="18208" spans="8:20" x14ac:dyDescent="0.35">
      <c r="H18208" s="711"/>
      <c r="I18208" s="711"/>
      <c r="J18208" s="711"/>
      <c r="K18208" s="711"/>
      <c r="L18208" s="711"/>
      <c r="Q18208" s="11"/>
      <c r="R18208" s="11"/>
      <c r="S18208" s="11"/>
      <c r="T18208" s="11"/>
    </row>
    <row r="18209" spans="8:20" x14ac:dyDescent="0.35">
      <c r="H18209" s="711"/>
      <c r="I18209" s="711"/>
      <c r="J18209" s="711"/>
      <c r="K18209" s="711"/>
      <c r="L18209" s="711"/>
      <c r="Q18209" s="11"/>
      <c r="R18209" s="11"/>
      <c r="S18209" s="11"/>
      <c r="T18209" s="11"/>
    </row>
    <row r="18210" spans="8:20" x14ac:dyDescent="0.35">
      <c r="H18210" s="711"/>
      <c r="I18210" s="711"/>
      <c r="J18210" s="711"/>
      <c r="K18210" s="711"/>
      <c r="L18210" s="711"/>
      <c r="Q18210" s="11"/>
      <c r="R18210" s="11"/>
      <c r="S18210" s="11"/>
      <c r="T18210" s="11"/>
    </row>
    <row r="18211" spans="8:20" x14ac:dyDescent="0.35">
      <c r="H18211" s="711"/>
      <c r="I18211" s="711"/>
      <c r="J18211" s="711"/>
      <c r="K18211" s="711"/>
      <c r="L18211" s="711"/>
      <c r="Q18211" s="11"/>
      <c r="R18211" s="11"/>
      <c r="S18211" s="11"/>
      <c r="T18211" s="11"/>
    </row>
    <row r="18212" spans="8:20" x14ac:dyDescent="0.35">
      <c r="H18212" s="711"/>
      <c r="I18212" s="711"/>
      <c r="J18212" s="711"/>
      <c r="K18212" s="711"/>
      <c r="L18212" s="711"/>
      <c r="Q18212" s="11"/>
      <c r="R18212" s="11"/>
      <c r="S18212" s="11"/>
      <c r="T18212" s="11"/>
    </row>
    <row r="18213" spans="8:20" x14ac:dyDescent="0.35">
      <c r="H18213" s="711"/>
      <c r="I18213" s="711"/>
      <c r="J18213" s="711"/>
      <c r="K18213" s="711"/>
      <c r="L18213" s="711"/>
      <c r="Q18213" s="11"/>
      <c r="R18213" s="11"/>
      <c r="S18213" s="11"/>
      <c r="T18213" s="11"/>
    </row>
    <row r="18214" spans="8:20" x14ac:dyDescent="0.35">
      <c r="H18214" s="711"/>
      <c r="I18214" s="711"/>
      <c r="J18214" s="711"/>
      <c r="K18214" s="711"/>
      <c r="L18214" s="711"/>
      <c r="Q18214" s="11"/>
      <c r="R18214" s="11"/>
      <c r="S18214" s="11"/>
      <c r="T18214" s="11"/>
    </row>
    <row r="18215" spans="8:20" x14ac:dyDescent="0.35">
      <c r="H18215" s="711"/>
      <c r="I18215" s="711"/>
      <c r="J18215" s="711"/>
      <c r="K18215" s="711"/>
      <c r="L18215" s="711"/>
      <c r="Q18215" s="11"/>
      <c r="R18215" s="11"/>
      <c r="S18215" s="11"/>
      <c r="T18215" s="11"/>
    </row>
    <row r="18216" spans="8:20" x14ac:dyDescent="0.35">
      <c r="H18216" s="711"/>
      <c r="I18216" s="711"/>
      <c r="J18216" s="711"/>
      <c r="K18216" s="711"/>
      <c r="L18216" s="711"/>
      <c r="Q18216" s="11"/>
      <c r="R18216" s="11"/>
      <c r="S18216" s="11"/>
      <c r="T18216" s="11"/>
    </row>
    <row r="18217" spans="8:20" x14ac:dyDescent="0.35">
      <c r="H18217" s="711"/>
      <c r="I18217" s="711"/>
      <c r="J18217" s="711"/>
      <c r="K18217" s="711"/>
      <c r="L18217" s="711"/>
      <c r="Q18217" s="11"/>
      <c r="R18217" s="11"/>
      <c r="S18217" s="11"/>
      <c r="T18217" s="11"/>
    </row>
    <row r="18218" spans="8:20" x14ac:dyDescent="0.35">
      <c r="H18218" s="711"/>
      <c r="I18218" s="711"/>
      <c r="J18218" s="711"/>
      <c r="K18218" s="711"/>
      <c r="L18218" s="711"/>
      <c r="Q18218" s="11"/>
      <c r="R18218" s="11"/>
      <c r="S18218" s="11"/>
      <c r="T18218" s="11"/>
    </row>
    <row r="18219" spans="8:20" x14ac:dyDescent="0.35">
      <c r="H18219" s="711"/>
      <c r="I18219" s="711"/>
      <c r="J18219" s="711"/>
      <c r="K18219" s="711"/>
      <c r="L18219" s="711"/>
      <c r="Q18219" s="11"/>
      <c r="R18219" s="11"/>
      <c r="S18219" s="11"/>
      <c r="T18219" s="11"/>
    </row>
    <row r="18220" spans="8:20" x14ac:dyDescent="0.35">
      <c r="H18220" s="711"/>
      <c r="I18220" s="711"/>
      <c r="J18220" s="711"/>
      <c r="K18220" s="711"/>
      <c r="L18220" s="711"/>
      <c r="Q18220" s="11"/>
      <c r="R18220" s="11"/>
      <c r="S18220" s="11"/>
      <c r="T18220" s="11"/>
    </row>
    <row r="18221" spans="8:20" x14ac:dyDescent="0.35">
      <c r="H18221" s="711"/>
      <c r="I18221" s="711"/>
      <c r="J18221" s="711"/>
      <c r="K18221" s="711"/>
      <c r="L18221" s="711"/>
      <c r="Q18221" s="11"/>
      <c r="R18221" s="11"/>
      <c r="S18221" s="11"/>
      <c r="T18221" s="11"/>
    </row>
    <row r="18222" spans="8:20" x14ac:dyDescent="0.35">
      <c r="H18222" s="711"/>
      <c r="I18222" s="711"/>
      <c r="J18222" s="711"/>
      <c r="K18222" s="711"/>
      <c r="L18222" s="711"/>
      <c r="Q18222" s="11"/>
      <c r="R18222" s="11"/>
      <c r="S18222" s="11"/>
      <c r="T18222" s="11"/>
    </row>
    <row r="18223" spans="8:20" x14ac:dyDescent="0.35">
      <c r="H18223" s="711"/>
      <c r="I18223" s="711"/>
      <c r="J18223" s="711"/>
      <c r="K18223" s="711"/>
      <c r="L18223" s="711"/>
      <c r="Q18223" s="11"/>
      <c r="R18223" s="11"/>
      <c r="S18223" s="11"/>
      <c r="T18223" s="11"/>
    </row>
    <row r="18224" spans="8:20" x14ac:dyDescent="0.35">
      <c r="H18224" s="711"/>
      <c r="I18224" s="711"/>
      <c r="J18224" s="711"/>
      <c r="K18224" s="711"/>
      <c r="L18224" s="711"/>
      <c r="Q18224" s="11"/>
      <c r="R18224" s="11"/>
      <c r="S18224" s="11"/>
      <c r="T18224" s="11"/>
    </row>
    <row r="18225" spans="8:20" x14ac:dyDescent="0.35">
      <c r="H18225" s="711"/>
      <c r="I18225" s="711"/>
      <c r="J18225" s="711"/>
      <c r="K18225" s="711"/>
      <c r="L18225" s="711"/>
      <c r="Q18225" s="11"/>
      <c r="R18225" s="11"/>
      <c r="S18225" s="11"/>
      <c r="T18225" s="11"/>
    </row>
    <row r="18226" spans="8:20" x14ac:dyDescent="0.35">
      <c r="H18226" s="711"/>
      <c r="I18226" s="711"/>
      <c r="J18226" s="711"/>
      <c r="K18226" s="711"/>
      <c r="L18226" s="711"/>
      <c r="Q18226" s="11"/>
      <c r="R18226" s="11"/>
      <c r="S18226" s="11"/>
      <c r="T18226" s="11"/>
    </row>
    <row r="18227" spans="8:20" x14ac:dyDescent="0.35">
      <c r="H18227" s="711"/>
      <c r="I18227" s="711"/>
      <c r="J18227" s="711"/>
      <c r="K18227" s="711"/>
      <c r="L18227" s="711"/>
      <c r="Q18227" s="11"/>
      <c r="R18227" s="11"/>
      <c r="S18227" s="11"/>
      <c r="T18227" s="11"/>
    </row>
    <row r="18228" spans="8:20" x14ac:dyDescent="0.35">
      <c r="H18228" s="711"/>
      <c r="I18228" s="711"/>
      <c r="J18228" s="711"/>
      <c r="K18228" s="711"/>
      <c r="L18228" s="711"/>
      <c r="Q18228" s="11"/>
      <c r="R18228" s="11"/>
      <c r="S18228" s="11"/>
      <c r="T18228" s="11"/>
    </row>
    <row r="18229" spans="8:20" x14ac:dyDescent="0.35">
      <c r="H18229" s="711"/>
      <c r="I18229" s="711"/>
      <c r="J18229" s="711"/>
      <c r="K18229" s="711"/>
      <c r="L18229" s="711"/>
      <c r="Q18229" s="11"/>
      <c r="R18229" s="11"/>
      <c r="S18229" s="11"/>
      <c r="T18229" s="11"/>
    </row>
    <row r="18230" spans="8:20" x14ac:dyDescent="0.35">
      <c r="H18230" s="711"/>
      <c r="I18230" s="711"/>
      <c r="J18230" s="711"/>
      <c r="K18230" s="711"/>
      <c r="L18230" s="711"/>
      <c r="Q18230" s="11"/>
      <c r="R18230" s="11"/>
      <c r="S18230" s="11"/>
      <c r="T18230" s="11"/>
    </row>
    <row r="18231" spans="8:20" x14ac:dyDescent="0.35">
      <c r="H18231" s="711"/>
      <c r="I18231" s="711"/>
      <c r="J18231" s="711"/>
      <c r="K18231" s="711"/>
      <c r="L18231" s="711"/>
      <c r="Q18231" s="11"/>
      <c r="R18231" s="11"/>
      <c r="S18231" s="11"/>
      <c r="T18231" s="11"/>
    </row>
    <row r="18232" spans="8:20" x14ac:dyDescent="0.35">
      <c r="H18232" s="711"/>
      <c r="I18232" s="711"/>
      <c r="J18232" s="711"/>
      <c r="K18232" s="711"/>
      <c r="L18232" s="711"/>
      <c r="Q18232" s="11"/>
      <c r="R18232" s="11"/>
      <c r="S18232" s="11"/>
      <c r="T18232" s="11"/>
    </row>
    <row r="18233" spans="8:20" x14ac:dyDescent="0.35">
      <c r="H18233" s="711"/>
      <c r="I18233" s="711"/>
      <c r="J18233" s="711"/>
      <c r="K18233" s="711"/>
      <c r="L18233" s="711"/>
      <c r="Q18233" s="11"/>
      <c r="R18233" s="11"/>
      <c r="S18233" s="11"/>
      <c r="T18233" s="11"/>
    </row>
    <row r="18234" spans="8:20" x14ac:dyDescent="0.35">
      <c r="H18234" s="711"/>
      <c r="I18234" s="711"/>
      <c r="J18234" s="711"/>
      <c r="K18234" s="711"/>
      <c r="L18234" s="711"/>
      <c r="Q18234" s="11"/>
      <c r="R18234" s="11"/>
      <c r="S18234" s="11"/>
      <c r="T18234" s="11"/>
    </row>
    <row r="18235" spans="8:20" x14ac:dyDescent="0.35">
      <c r="H18235" s="711"/>
      <c r="I18235" s="711"/>
      <c r="J18235" s="711"/>
      <c r="K18235" s="711"/>
      <c r="L18235" s="711"/>
      <c r="Q18235" s="11"/>
      <c r="R18235" s="11"/>
      <c r="S18235" s="11"/>
      <c r="T18235" s="11"/>
    </row>
    <row r="18236" spans="8:20" x14ac:dyDescent="0.35">
      <c r="H18236" s="711"/>
      <c r="I18236" s="711"/>
      <c r="J18236" s="711"/>
      <c r="K18236" s="711"/>
      <c r="L18236" s="711"/>
      <c r="Q18236" s="11"/>
      <c r="R18236" s="11"/>
      <c r="S18236" s="11"/>
      <c r="T18236" s="11"/>
    </row>
    <row r="18237" spans="8:20" x14ac:dyDescent="0.35">
      <c r="H18237" s="711"/>
      <c r="I18237" s="711"/>
      <c r="J18237" s="711"/>
      <c r="K18237" s="711"/>
      <c r="L18237" s="711"/>
      <c r="Q18237" s="11"/>
      <c r="R18237" s="11"/>
      <c r="S18237" s="11"/>
      <c r="T18237" s="11"/>
    </row>
    <row r="18238" spans="8:20" x14ac:dyDescent="0.35">
      <c r="H18238" s="711"/>
      <c r="I18238" s="711"/>
      <c r="J18238" s="711"/>
      <c r="K18238" s="711"/>
      <c r="L18238" s="711"/>
      <c r="Q18238" s="11"/>
      <c r="R18238" s="11"/>
      <c r="S18238" s="11"/>
      <c r="T18238" s="11"/>
    </row>
    <row r="18239" spans="8:20" x14ac:dyDescent="0.35">
      <c r="H18239" s="711"/>
      <c r="I18239" s="711"/>
      <c r="J18239" s="711"/>
      <c r="K18239" s="711"/>
      <c r="L18239" s="711"/>
      <c r="Q18239" s="11"/>
      <c r="R18239" s="11"/>
      <c r="S18239" s="11"/>
      <c r="T18239" s="11"/>
    </row>
    <row r="18240" spans="8:20" x14ac:dyDescent="0.35">
      <c r="H18240" s="711"/>
      <c r="I18240" s="711"/>
      <c r="J18240" s="711"/>
      <c r="K18240" s="711"/>
      <c r="L18240" s="711"/>
      <c r="Q18240" s="11"/>
      <c r="R18240" s="11"/>
      <c r="S18240" s="11"/>
      <c r="T18240" s="11"/>
    </row>
    <row r="18241" spans="8:20" x14ac:dyDescent="0.35">
      <c r="H18241" s="711"/>
      <c r="I18241" s="711"/>
      <c r="J18241" s="711"/>
      <c r="K18241" s="711"/>
      <c r="L18241" s="711"/>
      <c r="Q18241" s="11"/>
      <c r="R18241" s="11"/>
      <c r="S18241" s="11"/>
      <c r="T18241" s="11"/>
    </row>
    <row r="18242" spans="8:20" x14ac:dyDescent="0.35">
      <c r="H18242" s="711"/>
      <c r="I18242" s="711"/>
      <c r="J18242" s="711"/>
      <c r="K18242" s="711"/>
      <c r="L18242" s="711"/>
      <c r="Q18242" s="11"/>
      <c r="R18242" s="11"/>
      <c r="S18242" s="11"/>
      <c r="T18242" s="11"/>
    </row>
    <row r="18243" spans="8:20" x14ac:dyDescent="0.35">
      <c r="H18243" s="711"/>
      <c r="I18243" s="711"/>
      <c r="J18243" s="711"/>
      <c r="K18243" s="711"/>
      <c r="L18243" s="711"/>
      <c r="Q18243" s="11"/>
      <c r="R18243" s="11"/>
      <c r="S18243" s="11"/>
      <c r="T18243" s="11"/>
    </row>
    <row r="18244" spans="8:20" x14ac:dyDescent="0.35">
      <c r="H18244" s="711"/>
      <c r="I18244" s="711"/>
      <c r="J18244" s="711"/>
      <c r="K18244" s="711"/>
      <c r="L18244" s="711"/>
      <c r="Q18244" s="11"/>
      <c r="R18244" s="11"/>
      <c r="S18244" s="11"/>
      <c r="T18244" s="11"/>
    </row>
    <row r="18245" spans="8:20" x14ac:dyDescent="0.35">
      <c r="H18245" s="711"/>
      <c r="I18245" s="711"/>
      <c r="J18245" s="711"/>
      <c r="K18245" s="711"/>
      <c r="L18245" s="711"/>
      <c r="Q18245" s="11"/>
      <c r="R18245" s="11"/>
      <c r="S18245" s="11"/>
      <c r="T18245" s="11"/>
    </row>
    <row r="18246" spans="8:20" x14ac:dyDescent="0.35">
      <c r="H18246" s="711"/>
      <c r="I18246" s="711"/>
      <c r="J18246" s="711"/>
      <c r="K18246" s="711"/>
      <c r="L18246" s="711"/>
      <c r="Q18246" s="11"/>
      <c r="R18246" s="11"/>
      <c r="S18246" s="11"/>
      <c r="T18246" s="11"/>
    </row>
    <row r="18247" spans="8:20" x14ac:dyDescent="0.35">
      <c r="H18247" s="711"/>
      <c r="I18247" s="711"/>
      <c r="J18247" s="711"/>
      <c r="K18247" s="711"/>
      <c r="L18247" s="711"/>
      <c r="Q18247" s="11"/>
      <c r="R18247" s="11"/>
      <c r="S18247" s="11"/>
      <c r="T18247" s="11"/>
    </row>
    <row r="18248" spans="8:20" x14ac:dyDescent="0.35">
      <c r="H18248" s="711"/>
      <c r="I18248" s="711"/>
      <c r="J18248" s="711"/>
      <c r="K18248" s="711"/>
      <c r="L18248" s="711"/>
      <c r="Q18248" s="11"/>
      <c r="R18248" s="11"/>
      <c r="S18248" s="11"/>
      <c r="T18248" s="11"/>
    </row>
    <row r="18249" spans="8:20" x14ac:dyDescent="0.35">
      <c r="H18249" s="711"/>
      <c r="I18249" s="711"/>
      <c r="J18249" s="711"/>
      <c r="K18249" s="711"/>
      <c r="L18249" s="711"/>
      <c r="Q18249" s="11"/>
      <c r="R18249" s="11"/>
      <c r="S18249" s="11"/>
      <c r="T18249" s="11"/>
    </row>
    <row r="18250" spans="8:20" x14ac:dyDescent="0.35">
      <c r="H18250" s="711"/>
      <c r="I18250" s="711"/>
      <c r="J18250" s="711"/>
      <c r="K18250" s="711"/>
      <c r="L18250" s="711"/>
      <c r="Q18250" s="11"/>
      <c r="R18250" s="11"/>
      <c r="S18250" s="11"/>
      <c r="T18250" s="11"/>
    </row>
    <row r="18251" spans="8:20" x14ac:dyDescent="0.35">
      <c r="H18251" s="711"/>
      <c r="I18251" s="711"/>
      <c r="J18251" s="711"/>
      <c r="K18251" s="711"/>
      <c r="L18251" s="711"/>
      <c r="Q18251" s="11"/>
      <c r="R18251" s="11"/>
      <c r="S18251" s="11"/>
      <c r="T18251" s="11"/>
    </row>
    <row r="18252" spans="8:20" x14ac:dyDescent="0.35">
      <c r="H18252" s="711"/>
      <c r="I18252" s="711"/>
      <c r="J18252" s="711"/>
      <c r="K18252" s="711"/>
      <c r="L18252" s="711"/>
      <c r="Q18252" s="11"/>
      <c r="R18252" s="11"/>
      <c r="S18252" s="11"/>
      <c r="T18252" s="11"/>
    </row>
    <row r="18253" spans="8:20" x14ac:dyDescent="0.35">
      <c r="H18253" s="711"/>
      <c r="I18253" s="711"/>
      <c r="J18253" s="711"/>
      <c r="K18253" s="711"/>
      <c r="L18253" s="711"/>
      <c r="Q18253" s="11"/>
      <c r="R18253" s="11"/>
      <c r="S18253" s="11"/>
      <c r="T18253" s="11"/>
    </row>
    <row r="18254" spans="8:20" x14ac:dyDescent="0.35">
      <c r="H18254" s="711"/>
      <c r="I18254" s="711"/>
      <c r="J18254" s="711"/>
      <c r="K18254" s="711"/>
      <c r="L18254" s="711"/>
      <c r="Q18254" s="11"/>
      <c r="R18254" s="11"/>
      <c r="S18254" s="11"/>
      <c r="T18254" s="11"/>
    </row>
    <row r="18255" spans="8:20" x14ac:dyDescent="0.35">
      <c r="H18255" s="711"/>
      <c r="I18255" s="711"/>
      <c r="J18255" s="711"/>
      <c r="K18255" s="711"/>
      <c r="L18255" s="711"/>
      <c r="Q18255" s="11"/>
      <c r="R18255" s="11"/>
      <c r="S18255" s="11"/>
      <c r="T18255" s="11"/>
    </row>
    <row r="18256" spans="8:20" x14ac:dyDescent="0.35">
      <c r="H18256" s="711"/>
      <c r="I18256" s="711"/>
      <c r="J18256" s="711"/>
      <c r="K18256" s="711"/>
      <c r="L18256" s="711"/>
      <c r="Q18256" s="11"/>
      <c r="R18256" s="11"/>
      <c r="S18256" s="11"/>
      <c r="T18256" s="11"/>
    </row>
    <row r="18257" spans="8:20" x14ac:dyDescent="0.35">
      <c r="H18257" s="711"/>
      <c r="I18257" s="711"/>
      <c r="J18257" s="711"/>
      <c r="K18257" s="711"/>
      <c r="L18257" s="711"/>
      <c r="Q18257" s="11"/>
      <c r="R18257" s="11"/>
      <c r="S18257" s="11"/>
      <c r="T18257" s="11"/>
    </row>
    <row r="18258" spans="8:20" x14ac:dyDescent="0.35">
      <c r="H18258" s="711"/>
      <c r="I18258" s="711"/>
      <c r="J18258" s="711"/>
      <c r="K18258" s="711"/>
      <c r="L18258" s="711"/>
      <c r="Q18258" s="11"/>
      <c r="R18258" s="11"/>
      <c r="S18258" s="11"/>
      <c r="T18258" s="11"/>
    </row>
    <row r="18259" spans="8:20" x14ac:dyDescent="0.35">
      <c r="H18259" s="711"/>
      <c r="I18259" s="711"/>
      <c r="J18259" s="711"/>
      <c r="K18259" s="711"/>
      <c r="L18259" s="711"/>
      <c r="Q18259" s="11"/>
      <c r="R18259" s="11"/>
      <c r="S18259" s="11"/>
      <c r="T18259" s="11"/>
    </row>
    <row r="18260" spans="8:20" x14ac:dyDescent="0.35">
      <c r="H18260" s="711"/>
      <c r="I18260" s="711"/>
      <c r="J18260" s="711"/>
      <c r="K18260" s="711"/>
      <c r="L18260" s="711"/>
      <c r="Q18260" s="11"/>
      <c r="R18260" s="11"/>
      <c r="S18260" s="11"/>
      <c r="T18260" s="11"/>
    </row>
    <row r="18261" spans="8:20" x14ac:dyDescent="0.35">
      <c r="H18261" s="711"/>
      <c r="I18261" s="711"/>
      <c r="J18261" s="711"/>
      <c r="K18261" s="711"/>
      <c r="L18261" s="711"/>
      <c r="Q18261" s="11"/>
      <c r="R18261" s="11"/>
      <c r="S18261" s="11"/>
      <c r="T18261" s="11"/>
    </row>
    <row r="18262" spans="8:20" x14ac:dyDescent="0.35">
      <c r="H18262" s="711"/>
      <c r="I18262" s="711"/>
      <c r="J18262" s="711"/>
      <c r="K18262" s="711"/>
      <c r="L18262" s="711"/>
      <c r="Q18262" s="11"/>
      <c r="R18262" s="11"/>
      <c r="S18262" s="11"/>
      <c r="T18262" s="11"/>
    </row>
    <row r="18263" spans="8:20" x14ac:dyDescent="0.35">
      <c r="H18263" s="711"/>
      <c r="I18263" s="711"/>
      <c r="J18263" s="711"/>
      <c r="K18263" s="711"/>
      <c r="L18263" s="711"/>
      <c r="Q18263" s="11"/>
      <c r="R18263" s="11"/>
      <c r="S18263" s="11"/>
      <c r="T18263" s="11"/>
    </row>
    <row r="18264" spans="8:20" x14ac:dyDescent="0.35">
      <c r="H18264" s="711"/>
      <c r="I18264" s="711"/>
      <c r="J18264" s="711"/>
      <c r="K18264" s="711"/>
      <c r="L18264" s="711"/>
      <c r="Q18264" s="11"/>
      <c r="R18264" s="11"/>
      <c r="S18264" s="11"/>
      <c r="T18264" s="11"/>
    </row>
    <row r="18265" spans="8:20" x14ac:dyDescent="0.35">
      <c r="H18265" s="711"/>
      <c r="I18265" s="711"/>
      <c r="J18265" s="711"/>
      <c r="K18265" s="711"/>
      <c r="L18265" s="711"/>
      <c r="Q18265" s="11"/>
      <c r="R18265" s="11"/>
      <c r="S18265" s="11"/>
      <c r="T18265" s="11"/>
    </row>
    <row r="18266" spans="8:20" x14ac:dyDescent="0.35">
      <c r="H18266" s="711"/>
      <c r="I18266" s="711"/>
      <c r="J18266" s="711"/>
      <c r="K18266" s="711"/>
      <c r="L18266" s="711"/>
      <c r="Q18266" s="11"/>
      <c r="R18266" s="11"/>
      <c r="S18266" s="11"/>
      <c r="T18266" s="11"/>
    </row>
    <row r="18267" spans="8:20" x14ac:dyDescent="0.35">
      <c r="H18267" s="711"/>
      <c r="I18267" s="711"/>
      <c r="J18267" s="711"/>
      <c r="K18267" s="711"/>
      <c r="L18267" s="711"/>
      <c r="Q18267" s="11"/>
      <c r="R18267" s="11"/>
      <c r="S18267" s="11"/>
      <c r="T18267" s="11"/>
    </row>
    <row r="18268" spans="8:20" x14ac:dyDescent="0.35">
      <c r="H18268" s="711"/>
      <c r="I18268" s="711"/>
      <c r="J18268" s="711"/>
      <c r="K18268" s="711"/>
      <c r="L18268" s="711"/>
      <c r="Q18268" s="11"/>
      <c r="R18268" s="11"/>
      <c r="S18268" s="11"/>
      <c r="T18268" s="11"/>
    </row>
    <row r="18269" spans="8:20" x14ac:dyDescent="0.35">
      <c r="H18269" s="711"/>
      <c r="I18269" s="711"/>
      <c r="J18269" s="711"/>
      <c r="K18269" s="711"/>
      <c r="L18269" s="711"/>
      <c r="Q18269" s="11"/>
      <c r="R18269" s="11"/>
      <c r="S18269" s="11"/>
      <c r="T18269" s="11"/>
    </row>
    <row r="18270" spans="8:20" x14ac:dyDescent="0.35">
      <c r="H18270" s="711"/>
      <c r="I18270" s="711"/>
      <c r="J18270" s="711"/>
      <c r="K18270" s="711"/>
      <c r="L18270" s="711"/>
      <c r="Q18270" s="11"/>
      <c r="R18270" s="11"/>
      <c r="S18270" s="11"/>
      <c r="T18270" s="11"/>
    </row>
    <row r="18271" spans="8:20" x14ac:dyDescent="0.35">
      <c r="H18271" s="711"/>
      <c r="I18271" s="711"/>
      <c r="J18271" s="711"/>
      <c r="K18271" s="711"/>
      <c r="L18271" s="711"/>
      <c r="Q18271" s="11"/>
      <c r="R18271" s="11"/>
      <c r="S18271" s="11"/>
      <c r="T18271" s="11"/>
    </row>
    <row r="18272" spans="8:20" x14ac:dyDescent="0.35">
      <c r="H18272" s="711"/>
      <c r="I18272" s="711"/>
      <c r="J18272" s="711"/>
      <c r="K18272" s="711"/>
      <c r="L18272" s="711"/>
      <c r="Q18272" s="11"/>
      <c r="R18272" s="11"/>
      <c r="S18272" s="11"/>
      <c r="T18272" s="11"/>
    </row>
    <row r="18273" spans="8:20" x14ac:dyDescent="0.35">
      <c r="H18273" s="711"/>
      <c r="I18273" s="711"/>
      <c r="J18273" s="711"/>
      <c r="K18273" s="711"/>
      <c r="L18273" s="711"/>
      <c r="Q18273" s="11"/>
      <c r="R18273" s="11"/>
      <c r="S18273" s="11"/>
      <c r="T18273" s="11"/>
    </row>
    <row r="18274" spans="8:20" x14ac:dyDescent="0.35">
      <c r="H18274" s="711"/>
      <c r="I18274" s="711"/>
      <c r="J18274" s="711"/>
      <c r="K18274" s="711"/>
      <c r="L18274" s="711"/>
      <c r="Q18274" s="11"/>
      <c r="R18274" s="11"/>
      <c r="S18274" s="11"/>
      <c r="T18274" s="11"/>
    </row>
    <row r="18275" spans="8:20" x14ac:dyDescent="0.35">
      <c r="H18275" s="711"/>
      <c r="I18275" s="711"/>
      <c r="J18275" s="711"/>
      <c r="K18275" s="711"/>
      <c r="L18275" s="711"/>
      <c r="Q18275" s="11"/>
      <c r="R18275" s="11"/>
      <c r="S18275" s="11"/>
      <c r="T18275" s="11"/>
    </row>
    <row r="18276" spans="8:20" x14ac:dyDescent="0.35">
      <c r="H18276" s="711"/>
      <c r="I18276" s="711"/>
      <c r="J18276" s="711"/>
      <c r="K18276" s="711"/>
      <c r="L18276" s="711"/>
      <c r="Q18276" s="11"/>
      <c r="R18276" s="11"/>
      <c r="S18276" s="11"/>
      <c r="T18276" s="11"/>
    </row>
    <row r="18277" spans="8:20" x14ac:dyDescent="0.35">
      <c r="H18277" s="711"/>
      <c r="I18277" s="711"/>
      <c r="J18277" s="711"/>
      <c r="K18277" s="711"/>
      <c r="L18277" s="711"/>
      <c r="Q18277" s="11"/>
      <c r="R18277" s="11"/>
      <c r="S18277" s="11"/>
      <c r="T18277" s="11"/>
    </row>
    <row r="18278" spans="8:20" x14ac:dyDescent="0.35">
      <c r="H18278" s="711"/>
      <c r="I18278" s="711"/>
      <c r="J18278" s="711"/>
      <c r="K18278" s="711"/>
      <c r="L18278" s="711"/>
      <c r="Q18278" s="11"/>
      <c r="R18278" s="11"/>
      <c r="S18278" s="11"/>
      <c r="T18278" s="11"/>
    </row>
    <row r="18279" spans="8:20" x14ac:dyDescent="0.35">
      <c r="H18279" s="711"/>
      <c r="I18279" s="711"/>
      <c r="J18279" s="711"/>
      <c r="K18279" s="711"/>
      <c r="L18279" s="711"/>
      <c r="Q18279" s="11"/>
      <c r="R18279" s="11"/>
      <c r="S18279" s="11"/>
      <c r="T18279" s="11"/>
    </row>
    <row r="18280" spans="8:20" x14ac:dyDescent="0.35">
      <c r="H18280" s="711"/>
      <c r="I18280" s="711"/>
      <c r="J18280" s="711"/>
      <c r="K18280" s="711"/>
      <c r="L18280" s="711"/>
      <c r="Q18280" s="11"/>
      <c r="R18280" s="11"/>
      <c r="S18280" s="11"/>
      <c r="T18280" s="11"/>
    </row>
    <row r="18281" spans="8:20" x14ac:dyDescent="0.35">
      <c r="H18281" s="711"/>
      <c r="I18281" s="711"/>
      <c r="J18281" s="711"/>
      <c r="K18281" s="711"/>
      <c r="L18281" s="711"/>
      <c r="Q18281" s="11"/>
      <c r="R18281" s="11"/>
      <c r="S18281" s="11"/>
      <c r="T18281" s="11"/>
    </row>
    <row r="18282" spans="8:20" x14ac:dyDescent="0.35">
      <c r="H18282" s="711"/>
      <c r="I18282" s="711"/>
      <c r="J18282" s="711"/>
      <c r="K18282" s="711"/>
      <c r="L18282" s="711"/>
      <c r="Q18282" s="11"/>
      <c r="R18282" s="11"/>
      <c r="S18282" s="11"/>
      <c r="T18282" s="11"/>
    </row>
    <row r="18283" spans="8:20" x14ac:dyDescent="0.35">
      <c r="H18283" s="711"/>
      <c r="I18283" s="711"/>
      <c r="J18283" s="711"/>
      <c r="K18283" s="711"/>
      <c r="L18283" s="711"/>
      <c r="Q18283" s="11"/>
      <c r="R18283" s="11"/>
      <c r="S18283" s="11"/>
      <c r="T18283" s="11"/>
    </row>
    <row r="18284" spans="8:20" x14ac:dyDescent="0.35">
      <c r="H18284" s="711"/>
      <c r="I18284" s="711"/>
      <c r="J18284" s="711"/>
      <c r="K18284" s="711"/>
      <c r="L18284" s="711"/>
      <c r="Q18284" s="11"/>
      <c r="R18284" s="11"/>
      <c r="S18284" s="11"/>
      <c r="T18284" s="11"/>
    </row>
    <row r="18285" spans="8:20" x14ac:dyDescent="0.35">
      <c r="H18285" s="711"/>
      <c r="I18285" s="711"/>
      <c r="J18285" s="711"/>
      <c r="K18285" s="711"/>
      <c r="L18285" s="711"/>
      <c r="Q18285" s="11"/>
      <c r="R18285" s="11"/>
      <c r="S18285" s="11"/>
      <c r="T18285" s="11"/>
    </row>
    <row r="18286" spans="8:20" x14ac:dyDescent="0.35">
      <c r="H18286" s="711"/>
      <c r="I18286" s="711"/>
      <c r="J18286" s="711"/>
      <c r="K18286" s="711"/>
      <c r="L18286" s="711"/>
      <c r="Q18286" s="11"/>
      <c r="R18286" s="11"/>
      <c r="S18286" s="11"/>
      <c r="T18286" s="11"/>
    </row>
    <row r="18287" spans="8:20" x14ac:dyDescent="0.35">
      <c r="H18287" s="711"/>
      <c r="I18287" s="711"/>
      <c r="J18287" s="711"/>
      <c r="K18287" s="711"/>
      <c r="L18287" s="711"/>
      <c r="Q18287" s="11"/>
      <c r="R18287" s="11"/>
      <c r="S18287" s="11"/>
      <c r="T18287" s="11"/>
    </row>
    <row r="18288" spans="8:20" x14ac:dyDescent="0.35">
      <c r="H18288" s="711"/>
      <c r="I18288" s="711"/>
      <c r="J18288" s="711"/>
      <c r="K18288" s="711"/>
      <c r="L18288" s="711"/>
      <c r="Q18288" s="11"/>
      <c r="R18288" s="11"/>
      <c r="S18288" s="11"/>
      <c r="T18288" s="11"/>
    </row>
    <row r="18289" spans="8:20" x14ac:dyDescent="0.35">
      <c r="H18289" s="711"/>
      <c r="I18289" s="711"/>
      <c r="J18289" s="711"/>
      <c r="K18289" s="711"/>
      <c r="L18289" s="711"/>
      <c r="Q18289" s="11"/>
      <c r="R18289" s="11"/>
      <c r="S18289" s="11"/>
      <c r="T18289" s="11"/>
    </row>
    <row r="18290" spans="8:20" x14ac:dyDescent="0.35">
      <c r="H18290" s="711"/>
      <c r="I18290" s="711"/>
      <c r="J18290" s="711"/>
      <c r="K18290" s="711"/>
      <c r="L18290" s="711"/>
      <c r="Q18290" s="11"/>
      <c r="R18290" s="11"/>
      <c r="S18290" s="11"/>
      <c r="T18290" s="11"/>
    </row>
    <row r="18291" spans="8:20" x14ac:dyDescent="0.35">
      <c r="H18291" s="711"/>
      <c r="I18291" s="711"/>
      <c r="J18291" s="711"/>
      <c r="K18291" s="711"/>
      <c r="L18291" s="711"/>
      <c r="Q18291" s="11"/>
      <c r="R18291" s="11"/>
      <c r="S18291" s="11"/>
      <c r="T18291" s="11"/>
    </row>
    <row r="18292" spans="8:20" x14ac:dyDescent="0.35">
      <c r="H18292" s="711"/>
      <c r="I18292" s="711"/>
      <c r="J18292" s="711"/>
      <c r="K18292" s="711"/>
      <c r="L18292" s="711"/>
      <c r="Q18292" s="11"/>
      <c r="R18292" s="11"/>
      <c r="S18292" s="11"/>
      <c r="T18292" s="11"/>
    </row>
    <row r="18293" spans="8:20" x14ac:dyDescent="0.35">
      <c r="H18293" s="711"/>
      <c r="I18293" s="711"/>
      <c r="J18293" s="711"/>
      <c r="K18293" s="711"/>
      <c r="L18293" s="711"/>
      <c r="Q18293" s="11"/>
      <c r="R18293" s="11"/>
      <c r="S18293" s="11"/>
      <c r="T18293" s="11"/>
    </row>
    <row r="18294" spans="8:20" x14ac:dyDescent="0.35">
      <c r="H18294" s="711"/>
      <c r="I18294" s="711"/>
      <c r="J18294" s="711"/>
      <c r="K18294" s="711"/>
      <c r="L18294" s="711"/>
      <c r="Q18294" s="11"/>
      <c r="R18294" s="11"/>
      <c r="S18294" s="11"/>
      <c r="T18294" s="11"/>
    </row>
    <row r="18295" spans="8:20" x14ac:dyDescent="0.35">
      <c r="H18295" s="711"/>
      <c r="I18295" s="711"/>
      <c r="J18295" s="711"/>
      <c r="K18295" s="711"/>
      <c r="L18295" s="711"/>
      <c r="Q18295" s="11"/>
      <c r="R18295" s="11"/>
      <c r="S18295" s="11"/>
      <c r="T18295" s="11"/>
    </row>
    <row r="18296" spans="8:20" x14ac:dyDescent="0.35">
      <c r="H18296" s="711"/>
      <c r="I18296" s="711"/>
      <c r="J18296" s="711"/>
      <c r="K18296" s="711"/>
      <c r="L18296" s="711"/>
      <c r="Q18296" s="11"/>
      <c r="R18296" s="11"/>
      <c r="S18296" s="11"/>
      <c r="T18296" s="11"/>
    </row>
    <row r="18297" spans="8:20" x14ac:dyDescent="0.35">
      <c r="H18297" s="711"/>
      <c r="I18297" s="711"/>
      <c r="J18297" s="711"/>
      <c r="K18297" s="711"/>
      <c r="L18297" s="711"/>
      <c r="Q18297" s="11"/>
      <c r="R18297" s="11"/>
      <c r="S18297" s="11"/>
      <c r="T18297" s="11"/>
    </row>
    <row r="18298" spans="8:20" x14ac:dyDescent="0.35">
      <c r="H18298" s="711"/>
      <c r="I18298" s="711"/>
      <c r="J18298" s="711"/>
      <c r="K18298" s="711"/>
      <c r="L18298" s="711"/>
      <c r="Q18298" s="11"/>
      <c r="R18298" s="11"/>
      <c r="S18298" s="11"/>
      <c r="T18298" s="11"/>
    </row>
    <row r="18299" spans="8:20" x14ac:dyDescent="0.35">
      <c r="H18299" s="711"/>
      <c r="I18299" s="711"/>
      <c r="J18299" s="711"/>
      <c r="K18299" s="711"/>
      <c r="L18299" s="711"/>
      <c r="Q18299" s="11"/>
      <c r="R18299" s="11"/>
      <c r="S18299" s="11"/>
      <c r="T18299" s="11"/>
    </row>
    <row r="18300" spans="8:20" x14ac:dyDescent="0.35">
      <c r="H18300" s="711"/>
      <c r="I18300" s="711"/>
      <c r="J18300" s="711"/>
      <c r="K18300" s="711"/>
      <c r="L18300" s="711"/>
      <c r="Q18300" s="11"/>
      <c r="R18300" s="11"/>
      <c r="S18300" s="11"/>
      <c r="T18300" s="11"/>
    </row>
    <row r="18301" spans="8:20" x14ac:dyDescent="0.35">
      <c r="H18301" s="711"/>
      <c r="I18301" s="711"/>
      <c r="J18301" s="711"/>
      <c r="K18301" s="711"/>
      <c r="L18301" s="711"/>
      <c r="Q18301" s="11"/>
      <c r="R18301" s="11"/>
      <c r="S18301" s="11"/>
      <c r="T18301" s="11"/>
    </row>
    <row r="18302" spans="8:20" x14ac:dyDescent="0.35">
      <c r="H18302" s="711"/>
      <c r="I18302" s="711"/>
      <c r="J18302" s="711"/>
      <c r="K18302" s="711"/>
      <c r="L18302" s="711"/>
      <c r="Q18302" s="11"/>
      <c r="R18302" s="11"/>
      <c r="S18302" s="11"/>
      <c r="T18302" s="11"/>
    </row>
    <row r="18303" spans="8:20" x14ac:dyDescent="0.35">
      <c r="H18303" s="711"/>
      <c r="I18303" s="711"/>
      <c r="J18303" s="711"/>
      <c r="K18303" s="711"/>
      <c r="L18303" s="711"/>
      <c r="Q18303" s="11"/>
      <c r="R18303" s="11"/>
      <c r="S18303" s="11"/>
      <c r="T18303" s="11"/>
    </row>
    <row r="18304" spans="8:20" x14ac:dyDescent="0.35">
      <c r="H18304" s="711"/>
      <c r="I18304" s="711"/>
      <c r="J18304" s="711"/>
      <c r="K18304" s="711"/>
      <c r="L18304" s="711"/>
      <c r="Q18304" s="11"/>
      <c r="R18304" s="11"/>
      <c r="S18304" s="11"/>
      <c r="T18304" s="11"/>
    </row>
    <row r="18305" spans="8:20" x14ac:dyDescent="0.35">
      <c r="H18305" s="711"/>
      <c r="I18305" s="711"/>
      <c r="J18305" s="711"/>
      <c r="K18305" s="711"/>
      <c r="L18305" s="711"/>
      <c r="Q18305" s="11"/>
      <c r="R18305" s="11"/>
      <c r="S18305" s="11"/>
      <c r="T18305" s="11"/>
    </row>
    <row r="18306" spans="8:20" x14ac:dyDescent="0.35">
      <c r="H18306" s="711"/>
      <c r="I18306" s="711"/>
      <c r="J18306" s="711"/>
      <c r="K18306" s="711"/>
      <c r="L18306" s="711"/>
      <c r="Q18306" s="11"/>
      <c r="R18306" s="11"/>
      <c r="S18306" s="11"/>
      <c r="T18306" s="11"/>
    </row>
    <row r="18307" spans="8:20" x14ac:dyDescent="0.35">
      <c r="H18307" s="711"/>
      <c r="I18307" s="711"/>
      <c r="J18307" s="711"/>
      <c r="K18307" s="711"/>
      <c r="L18307" s="711"/>
      <c r="Q18307" s="11"/>
      <c r="R18307" s="11"/>
      <c r="S18307" s="11"/>
      <c r="T18307" s="11"/>
    </row>
    <row r="18308" spans="8:20" x14ac:dyDescent="0.35">
      <c r="H18308" s="711"/>
      <c r="I18308" s="711"/>
      <c r="J18308" s="711"/>
      <c r="K18308" s="711"/>
      <c r="L18308" s="711"/>
      <c r="Q18308" s="11"/>
      <c r="R18308" s="11"/>
      <c r="S18308" s="11"/>
      <c r="T18308" s="11"/>
    </row>
    <row r="18309" spans="8:20" x14ac:dyDescent="0.35">
      <c r="H18309" s="711"/>
      <c r="I18309" s="711"/>
      <c r="J18309" s="711"/>
      <c r="K18309" s="711"/>
      <c r="L18309" s="711"/>
      <c r="Q18309" s="11"/>
      <c r="R18309" s="11"/>
      <c r="S18309" s="11"/>
      <c r="T18309" s="11"/>
    </row>
    <row r="18310" spans="8:20" x14ac:dyDescent="0.35">
      <c r="H18310" s="711"/>
      <c r="I18310" s="711"/>
      <c r="J18310" s="711"/>
      <c r="K18310" s="711"/>
      <c r="L18310" s="711"/>
      <c r="Q18310" s="11"/>
      <c r="R18310" s="11"/>
      <c r="S18310" s="11"/>
      <c r="T18310" s="11"/>
    </row>
    <row r="18311" spans="8:20" x14ac:dyDescent="0.35">
      <c r="H18311" s="711"/>
      <c r="I18311" s="711"/>
      <c r="J18311" s="711"/>
      <c r="K18311" s="711"/>
      <c r="L18311" s="711"/>
      <c r="Q18311" s="11"/>
      <c r="R18311" s="11"/>
      <c r="S18311" s="11"/>
      <c r="T18311" s="11"/>
    </row>
    <row r="18312" spans="8:20" x14ac:dyDescent="0.35">
      <c r="H18312" s="711"/>
      <c r="I18312" s="711"/>
      <c r="J18312" s="711"/>
      <c r="K18312" s="711"/>
      <c r="L18312" s="711"/>
      <c r="Q18312" s="11"/>
      <c r="R18312" s="11"/>
      <c r="S18312" s="11"/>
      <c r="T18312" s="11"/>
    </row>
    <row r="18313" spans="8:20" x14ac:dyDescent="0.35">
      <c r="H18313" s="711"/>
      <c r="I18313" s="711"/>
      <c r="J18313" s="711"/>
      <c r="K18313" s="711"/>
      <c r="L18313" s="711"/>
      <c r="Q18313" s="11"/>
      <c r="R18313" s="11"/>
      <c r="S18313" s="11"/>
      <c r="T18313" s="11"/>
    </row>
    <row r="18314" spans="8:20" x14ac:dyDescent="0.35">
      <c r="H18314" s="711"/>
      <c r="I18314" s="711"/>
      <c r="J18314" s="711"/>
      <c r="K18314" s="711"/>
      <c r="L18314" s="711"/>
      <c r="Q18314" s="11"/>
      <c r="R18314" s="11"/>
      <c r="S18314" s="11"/>
      <c r="T18314" s="11"/>
    </row>
    <row r="18315" spans="8:20" x14ac:dyDescent="0.35">
      <c r="H18315" s="711"/>
      <c r="I18315" s="711"/>
      <c r="J18315" s="711"/>
      <c r="K18315" s="711"/>
      <c r="L18315" s="711"/>
      <c r="Q18315" s="11"/>
      <c r="R18315" s="11"/>
      <c r="S18315" s="11"/>
      <c r="T18315" s="11"/>
    </row>
    <row r="18316" spans="8:20" x14ac:dyDescent="0.35">
      <c r="H18316" s="711"/>
      <c r="I18316" s="711"/>
      <c r="J18316" s="711"/>
      <c r="K18316" s="711"/>
      <c r="L18316" s="711"/>
      <c r="Q18316" s="11"/>
      <c r="R18316" s="11"/>
      <c r="S18316" s="11"/>
      <c r="T18316" s="11"/>
    </row>
    <row r="18317" spans="8:20" x14ac:dyDescent="0.35">
      <c r="H18317" s="711"/>
      <c r="I18317" s="711"/>
      <c r="J18317" s="711"/>
      <c r="K18317" s="711"/>
      <c r="L18317" s="711"/>
      <c r="Q18317" s="11"/>
      <c r="R18317" s="11"/>
      <c r="S18317" s="11"/>
      <c r="T18317" s="11"/>
    </row>
    <row r="18318" spans="8:20" x14ac:dyDescent="0.35">
      <c r="H18318" s="711"/>
      <c r="I18318" s="711"/>
      <c r="J18318" s="711"/>
      <c r="K18318" s="711"/>
      <c r="L18318" s="711"/>
      <c r="Q18318" s="11"/>
      <c r="R18318" s="11"/>
      <c r="S18318" s="11"/>
      <c r="T18318" s="11"/>
    </row>
    <row r="18319" spans="8:20" x14ac:dyDescent="0.35">
      <c r="H18319" s="711"/>
      <c r="I18319" s="711"/>
      <c r="J18319" s="711"/>
      <c r="K18319" s="711"/>
      <c r="L18319" s="711"/>
      <c r="Q18319" s="11"/>
      <c r="R18319" s="11"/>
      <c r="S18319" s="11"/>
      <c r="T18319" s="11"/>
    </row>
    <row r="18320" spans="8:20" x14ac:dyDescent="0.35">
      <c r="H18320" s="711"/>
      <c r="I18320" s="711"/>
      <c r="J18320" s="711"/>
      <c r="K18320" s="711"/>
      <c r="L18320" s="711"/>
      <c r="Q18320" s="11"/>
      <c r="R18320" s="11"/>
      <c r="S18320" s="11"/>
      <c r="T18320" s="11"/>
    </row>
    <row r="18321" spans="8:20" x14ac:dyDescent="0.35">
      <c r="H18321" s="711"/>
      <c r="I18321" s="711"/>
      <c r="J18321" s="711"/>
      <c r="K18321" s="711"/>
      <c r="L18321" s="711"/>
      <c r="Q18321" s="11"/>
      <c r="R18321" s="11"/>
      <c r="S18321" s="11"/>
      <c r="T18321" s="11"/>
    </row>
    <row r="18322" spans="8:20" x14ac:dyDescent="0.35">
      <c r="H18322" s="711"/>
      <c r="I18322" s="711"/>
      <c r="J18322" s="711"/>
      <c r="K18322" s="711"/>
      <c r="L18322" s="711"/>
      <c r="Q18322" s="11"/>
      <c r="R18322" s="11"/>
      <c r="S18322" s="11"/>
      <c r="T18322" s="11"/>
    </row>
    <row r="18323" spans="8:20" x14ac:dyDescent="0.35">
      <c r="H18323" s="711"/>
      <c r="I18323" s="711"/>
      <c r="J18323" s="711"/>
      <c r="K18323" s="711"/>
      <c r="L18323" s="711"/>
      <c r="Q18323" s="11"/>
      <c r="R18323" s="11"/>
      <c r="S18323" s="11"/>
      <c r="T18323" s="11"/>
    </row>
    <row r="18324" spans="8:20" x14ac:dyDescent="0.35">
      <c r="H18324" s="711"/>
      <c r="I18324" s="711"/>
      <c r="J18324" s="711"/>
      <c r="K18324" s="711"/>
      <c r="L18324" s="711"/>
      <c r="Q18324" s="11"/>
      <c r="R18324" s="11"/>
      <c r="S18324" s="11"/>
      <c r="T18324" s="11"/>
    </row>
    <row r="18325" spans="8:20" x14ac:dyDescent="0.35">
      <c r="H18325" s="711"/>
      <c r="I18325" s="711"/>
      <c r="J18325" s="711"/>
      <c r="K18325" s="711"/>
      <c r="L18325" s="711"/>
      <c r="Q18325" s="11"/>
      <c r="R18325" s="11"/>
      <c r="S18325" s="11"/>
      <c r="T18325" s="11"/>
    </row>
    <row r="18326" spans="8:20" x14ac:dyDescent="0.35">
      <c r="H18326" s="711"/>
      <c r="I18326" s="711"/>
      <c r="J18326" s="711"/>
      <c r="K18326" s="711"/>
      <c r="L18326" s="711"/>
      <c r="Q18326" s="11"/>
      <c r="R18326" s="11"/>
      <c r="S18326" s="11"/>
      <c r="T18326" s="11"/>
    </row>
    <row r="18327" spans="8:20" x14ac:dyDescent="0.35">
      <c r="H18327" s="711"/>
      <c r="I18327" s="711"/>
      <c r="J18327" s="711"/>
      <c r="K18327" s="711"/>
      <c r="L18327" s="711"/>
      <c r="Q18327" s="11"/>
      <c r="R18327" s="11"/>
      <c r="S18327" s="11"/>
      <c r="T18327" s="11"/>
    </row>
    <row r="18328" spans="8:20" x14ac:dyDescent="0.35">
      <c r="H18328" s="711"/>
      <c r="I18328" s="711"/>
      <c r="J18328" s="711"/>
      <c r="K18328" s="711"/>
      <c r="L18328" s="711"/>
      <c r="Q18328" s="11"/>
      <c r="R18328" s="11"/>
      <c r="S18328" s="11"/>
      <c r="T18328" s="11"/>
    </row>
    <row r="18329" spans="8:20" x14ac:dyDescent="0.35">
      <c r="H18329" s="711"/>
      <c r="I18329" s="711"/>
      <c r="J18329" s="711"/>
      <c r="K18329" s="711"/>
      <c r="L18329" s="711"/>
      <c r="Q18329" s="11"/>
      <c r="R18329" s="11"/>
      <c r="S18329" s="11"/>
      <c r="T18329" s="11"/>
    </row>
    <row r="18330" spans="8:20" x14ac:dyDescent="0.35">
      <c r="H18330" s="711"/>
      <c r="I18330" s="711"/>
      <c r="J18330" s="711"/>
      <c r="K18330" s="711"/>
      <c r="L18330" s="711"/>
      <c r="Q18330" s="11"/>
      <c r="R18330" s="11"/>
      <c r="S18330" s="11"/>
      <c r="T18330" s="11"/>
    </row>
    <row r="18331" spans="8:20" x14ac:dyDescent="0.35">
      <c r="H18331" s="711"/>
      <c r="I18331" s="711"/>
      <c r="J18331" s="711"/>
      <c r="K18331" s="711"/>
      <c r="L18331" s="711"/>
      <c r="Q18331" s="11"/>
      <c r="R18331" s="11"/>
      <c r="S18331" s="11"/>
      <c r="T18331" s="11"/>
    </row>
    <row r="18332" spans="8:20" x14ac:dyDescent="0.35">
      <c r="H18332" s="711"/>
      <c r="I18332" s="711"/>
      <c r="J18332" s="711"/>
      <c r="K18332" s="711"/>
      <c r="L18332" s="711"/>
      <c r="Q18332" s="11"/>
      <c r="R18332" s="11"/>
      <c r="S18332" s="11"/>
      <c r="T18332" s="11"/>
    </row>
    <row r="18333" spans="8:20" x14ac:dyDescent="0.35">
      <c r="H18333" s="711"/>
      <c r="I18333" s="711"/>
      <c r="J18333" s="711"/>
      <c r="K18333" s="711"/>
      <c r="L18333" s="711"/>
      <c r="Q18333" s="11"/>
      <c r="R18333" s="11"/>
      <c r="S18333" s="11"/>
      <c r="T18333" s="11"/>
    </row>
    <row r="18334" spans="8:20" x14ac:dyDescent="0.35">
      <c r="H18334" s="711"/>
      <c r="I18334" s="711"/>
      <c r="J18334" s="711"/>
      <c r="K18334" s="711"/>
      <c r="L18334" s="711"/>
      <c r="Q18334" s="11"/>
      <c r="R18334" s="11"/>
      <c r="S18334" s="11"/>
      <c r="T18334" s="11"/>
    </row>
    <row r="18335" spans="8:20" x14ac:dyDescent="0.35">
      <c r="H18335" s="711"/>
      <c r="I18335" s="711"/>
      <c r="J18335" s="711"/>
      <c r="K18335" s="711"/>
      <c r="L18335" s="711"/>
      <c r="Q18335" s="11"/>
      <c r="R18335" s="11"/>
      <c r="S18335" s="11"/>
      <c r="T18335" s="11"/>
    </row>
    <row r="18336" spans="8:20" x14ac:dyDescent="0.35">
      <c r="H18336" s="711"/>
      <c r="I18336" s="711"/>
      <c r="J18336" s="711"/>
      <c r="K18336" s="711"/>
      <c r="L18336" s="711"/>
      <c r="Q18336" s="11"/>
      <c r="R18336" s="11"/>
      <c r="S18336" s="11"/>
      <c r="T18336" s="11"/>
    </row>
    <row r="18337" spans="8:20" x14ac:dyDescent="0.35">
      <c r="H18337" s="711"/>
      <c r="I18337" s="711"/>
      <c r="J18337" s="711"/>
      <c r="K18337" s="711"/>
      <c r="L18337" s="711"/>
      <c r="Q18337" s="11"/>
      <c r="R18337" s="11"/>
      <c r="S18337" s="11"/>
      <c r="T18337" s="11"/>
    </row>
    <row r="18338" spans="8:20" x14ac:dyDescent="0.35">
      <c r="H18338" s="711"/>
      <c r="I18338" s="711"/>
      <c r="J18338" s="711"/>
      <c r="K18338" s="711"/>
      <c r="L18338" s="711"/>
      <c r="Q18338" s="11"/>
      <c r="R18338" s="11"/>
      <c r="S18338" s="11"/>
      <c r="T18338" s="11"/>
    </row>
    <row r="18339" spans="8:20" x14ac:dyDescent="0.35">
      <c r="H18339" s="711"/>
      <c r="I18339" s="711"/>
      <c r="J18339" s="711"/>
      <c r="K18339" s="711"/>
      <c r="L18339" s="711"/>
      <c r="Q18339" s="11"/>
      <c r="R18339" s="11"/>
      <c r="S18339" s="11"/>
      <c r="T18339" s="11"/>
    </row>
    <row r="18340" spans="8:20" x14ac:dyDescent="0.35">
      <c r="H18340" s="711"/>
      <c r="I18340" s="711"/>
      <c r="J18340" s="711"/>
      <c r="K18340" s="711"/>
      <c r="L18340" s="711"/>
      <c r="Q18340" s="11"/>
      <c r="R18340" s="11"/>
      <c r="S18340" s="11"/>
      <c r="T18340" s="11"/>
    </row>
    <row r="18341" spans="8:20" x14ac:dyDescent="0.35">
      <c r="H18341" s="711"/>
      <c r="I18341" s="711"/>
      <c r="J18341" s="711"/>
      <c r="K18341" s="711"/>
      <c r="L18341" s="711"/>
      <c r="Q18341" s="11"/>
      <c r="R18341" s="11"/>
      <c r="S18341" s="11"/>
      <c r="T18341" s="11"/>
    </row>
    <row r="18342" spans="8:20" x14ac:dyDescent="0.35">
      <c r="H18342" s="711"/>
      <c r="I18342" s="711"/>
      <c r="J18342" s="711"/>
      <c r="K18342" s="711"/>
      <c r="L18342" s="711"/>
      <c r="Q18342" s="11"/>
      <c r="R18342" s="11"/>
      <c r="S18342" s="11"/>
      <c r="T18342" s="11"/>
    </row>
    <row r="18343" spans="8:20" x14ac:dyDescent="0.35">
      <c r="H18343" s="711"/>
      <c r="I18343" s="711"/>
      <c r="J18343" s="711"/>
      <c r="K18343" s="711"/>
      <c r="L18343" s="711"/>
      <c r="Q18343" s="11"/>
      <c r="R18343" s="11"/>
      <c r="S18343" s="11"/>
      <c r="T18343" s="11"/>
    </row>
    <row r="18344" spans="8:20" x14ac:dyDescent="0.35">
      <c r="H18344" s="711"/>
      <c r="I18344" s="711"/>
      <c r="J18344" s="711"/>
      <c r="K18344" s="711"/>
      <c r="L18344" s="711"/>
      <c r="Q18344" s="11"/>
      <c r="R18344" s="11"/>
      <c r="S18344" s="11"/>
      <c r="T18344" s="11"/>
    </row>
    <row r="18345" spans="8:20" x14ac:dyDescent="0.35">
      <c r="H18345" s="711"/>
      <c r="I18345" s="711"/>
      <c r="J18345" s="711"/>
      <c r="K18345" s="711"/>
      <c r="L18345" s="711"/>
      <c r="Q18345" s="11"/>
      <c r="R18345" s="11"/>
      <c r="S18345" s="11"/>
      <c r="T18345" s="11"/>
    </row>
    <row r="18346" spans="8:20" x14ac:dyDescent="0.35">
      <c r="H18346" s="711"/>
      <c r="I18346" s="711"/>
      <c r="J18346" s="711"/>
      <c r="K18346" s="711"/>
      <c r="L18346" s="711"/>
      <c r="Q18346" s="11"/>
      <c r="R18346" s="11"/>
      <c r="S18346" s="11"/>
      <c r="T18346" s="11"/>
    </row>
    <row r="18347" spans="8:20" x14ac:dyDescent="0.35">
      <c r="H18347" s="711"/>
      <c r="I18347" s="711"/>
      <c r="J18347" s="711"/>
      <c r="K18347" s="711"/>
      <c r="L18347" s="711"/>
      <c r="Q18347" s="11"/>
      <c r="R18347" s="11"/>
      <c r="S18347" s="11"/>
      <c r="T18347" s="11"/>
    </row>
    <row r="18348" spans="8:20" x14ac:dyDescent="0.35">
      <c r="H18348" s="711"/>
      <c r="I18348" s="711"/>
      <c r="J18348" s="711"/>
      <c r="K18348" s="711"/>
      <c r="L18348" s="711"/>
      <c r="Q18348" s="11"/>
      <c r="R18348" s="11"/>
      <c r="S18348" s="11"/>
      <c r="T18348" s="11"/>
    </row>
    <row r="18349" spans="8:20" x14ac:dyDescent="0.35">
      <c r="H18349" s="711"/>
      <c r="I18349" s="711"/>
      <c r="J18349" s="711"/>
      <c r="K18349" s="711"/>
      <c r="L18349" s="711"/>
      <c r="Q18349" s="11"/>
      <c r="R18349" s="11"/>
      <c r="S18349" s="11"/>
      <c r="T18349" s="11"/>
    </row>
    <row r="18350" spans="8:20" x14ac:dyDescent="0.35">
      <c r="H18350" s="711"/>
      <c r="I18350" s="711"/>
      <c r="J18350" s="711"/>
      <c r="K18350" s="711"/>
      <c r="L18350" s="711"/>
      <c r="Q18350" s="11"/>
      <c r="R18350" s="11"/>
      <c r="S18350" s="11"/>
      <c r="T18350" s="11"/>
    </row>
    <row r="18351" spans="8:20" x14ac:dyDescent="0.35">
      <c r="H18351" s="711"/>
      <c r="I18351" s="711"/>
      <c r="J18351" s="711"/>
      <c r="K18351" s="711"/>
      <c r="L18351" s="711"/>
      <c r="Q18351" s="11"/>
      <c r="R18351" s="11"/>
      <c r="S18351" s="11"/>
      <c r="T18351" s="11"/>
    </row>
    <row r="18352" spans="8:20" x14ac:dyDescent="0.35">
      <c r="H18352" s="711"/>
      <c r="I18352" s="711"/>
      <c r="J18352" s="711"/>
      <c r="K18352" s="711"/>
      <c r="L18352" s="711"/>
      <c r="Q18352" s="11"/>
      <c r="R18352" s="11"/>
      <c r="S18352" s="11"/>
      <c r="T18352" s="11"/>
    </row>
    <row r="18353" spans="8:20" x14ac:dyDescent="0.35">
      <c r="H18353" s="711"/>
      <c r="I18353" s="711"/>
      <c r="J18353" s="711"/>
      <c r="K18353" s="711"/>
      <c r="L18353" s="711"/>
      <c r="Q18353" s="11"/>
      <c r="R18353" s="11"/>
      <c r="S18353" s="11"/>
      <c r="T18353" s="11"/>
    </row>
    <row r="18354" spans="8:20" x14ac:dyDescent="0.35">
      <c r="H18354" s="711"/>
      <c r="I18354" s="711"/>
      <c r="J18354" s="711"/>
      <c r="K18354" s="711"/>
      <c r="L18354" s="711"/>
      <c r="Q18354" s="11"/>
      <c r="R18354" s="11"/>
      <c r="S18354" s="11"/>
      <c r="T18354" s="11"/>
    </row>
    <row r="18355" spans="8:20" x14ac:dyDescent="0.35">
      <c r="H18355" s="711"/>
      <c r="I18355" s="711"/>
      <c r="J18355" s="711"/>
      <c r="K18355" s="711"/>
      <c r="L18355" s="711"/>
      <c r="Q18355" s="11"/>
      <c r="R18355" s="11"/>
      <c r="S18355" s="11"/>
      <c r="T18355" s="11"/>
    </row>
    <row r="18356" spans="8:20" x14ac:dyDescent="0.35">
      <c r="H18356" s="711"/>
      <c r="I18356" s="711"/>
      <c r="J18356" s="711"/>
      <c r="K18356" s="711"/>
      <c r="L18356" s="711"/>
      <c r="Q18356" s="11"/>
      <c r="R18356" s="11"/>
      <c r="S18356" s="11"/>
      <c r="T18356" s="11"/>
    </row>
    <row r="18357" spans="8:20" x14ac:dyDescent="0.35">
      <c r="H18357" s="711"/>
      <c r="I18357" s="711"/>
      <c r="J18357" s="711"/>
      <c r="K18357" s="711"/>
      <c r="L18357" s="711"/>
      <c r="Q18357" s="11"/>
      <c r="R18357" s="11"/>
      <c r="S18357" s="11"/>
      <c r="T18357" s="11"/>
    </row>
    <row r="18358" spans="8:20" x14ac:dyDescent="0.35">
      <c r="H18358" s="711"/>
      <c r="I18358" s="711"/>
      <c r="J18358" s="711"/>
      <c r="K18358" s="711"/>
      <c r="L18358" s="711"/>
      <c r="Q18358" s="11"/>
      <c r="R18358" s="11"/>
      <c r="S18358" s="11"/>
      <c r="T18358" s="11"/>
    </row>
    <row r="18359" spans="8:20" x14ac:dyDescent="0.35">
      <c r="H18359" s="711"/>
      <c r="I18359" s="711"/>
      <c r="J18359" s="711"/>
      <c r="K18359" s="711"/>
      <c r="L18359" s="711"/>
      <c r="Q18359" s="11"/>
      <c r="R18359" s="11"/>
      <c r="S18359" s="11"/>
      <c r="T18359" s="11"/>
    </row>
    <row r="18360" spans="8:20" x14ac:dyDescent="0.35">
      <c r="H18360" s="711"/>
      <c r="I18360" s="711"/>
      <c r="J18360" s="711"/>
      <c r="K18360" s="711"/>
      <c r="L18360" s="711"/>
      <c r="Q18360" s="11"/>
      <c r="R18360" s="11"/>
      <c r="S18360" s="11"/>
      <c r="T18360" s="11"/>
    </row>
    <row r="18361" spans="8:20" x14ac:dyDescent="0.35">
      <c r="H18361" s="711"/>
      <c r="I18361" s="711"/>
      <c r="J18361" s="711"/>
      <c r="K18361" s="711"/>
      <c r="L18361" s="711"/>
      <c r="Q18361" s="11"/>
      <c r="R18361" s="11"/>
      <c r="S18361" s="11"/>
      <c r="T18361" s="11"/>
    </row>
    <row r="18362" spans="8:20" x14ac:dyDescent="0.35">
      <c r="H18362" s="711"/>
      <c r="I18362" s="711"/>
      <c r="J18362" s="711"/>
      <c r="K18362" s="711"/>
      <c r="L18362" s="711"/>
      <c r="Q18362" s="11"/>
      <c r="R18362" s="11"/>
      <c r="S18362" s="11"/>
      <c r="T18362" s="11"/>
    </row>
    <row r="18363" spans="8:20" x14ac:dyDescent="0.35">
      <c r="H18363" s="711"/>
      <c r="I18363" s="711"/>
      <c r="J18363" s="711"/>
      <c r="K18363" s="711"/>
      <c r="L18363" s="711"/>
      <c r="Q18363" s="11"/>
      <c r="R18363" s="11"/>
      <c r="S18363" s="11"/>
      <c r="T18363" s="11"/>
    </row>
    <row r="18364" spans="8:20" x14ac:dyDescent="0.35">
      <c r="H18364" s="711"/>
      <c r="I18364" s="711"/>
      <c r="J18364" s="711"/>
      <c r="K18364" s="711"/>
      <c r="L18364" s="711"/>
      <c r="Q18364" s="11"/>
      <c r="R18364" s="11"/>
      <c r="S18364" s="11"/>
      <c r="T18364" s="11"/>
    </row>
    <row r="18365" spans="8:20" x14ac:dyDescent="0.35">
      <c r="H18365" s="711"/>
      <c r="I18365" s="711"/>
      <c r="J18365" s="711"/>
      <c r="K18365" s="711"/>
      <c r="L18365" s="711"/>
      <c r="Q18365" s="11"/>
      <c r="R18365" s="11"/>
      <c r="S18365" s="11"/>
      <c r="T18365" s="11"/>
    </row>
    <row r="18366" spans="8:20" x14ac:dyDescent="0.35">
      <c r="H18366" s="711"/>
      <c r="I18366" s="711"/>
      <c r="J18366" s="711"/>
      <c r="K18366" s="711"/>
      <c r="L18366" s="711"/>
      <c r="Q18366" s="11"/>
      <c r="R18366" s="11"/>
      <c r="S18366" s="11"/>
      <c r="T18366" s="11"/>
    </row>
    <row r="18367" spans="8:20" x14ac:dyDescent="0.35">
      <c r="H18367" s="711"/>
      <c r="I18367" s="711"/>
      <c r="J18367" s="711"/>
      <c r="K18367" s="711"/>
      <c r="L18367" s="711"/>
      <c r="Q18367" s="11"/>
      <c r="R18367" s="11"/>
      <c r="S18367" s="11"/>
      <c r="T18367" s="11"/>
    </row>
    <row r="18368" spans="8:20" x14ac:dyDescent="0.35">
      <c r="H18368" s="711"/>
      <c r="I18368" s="711"/>
      <c r="J18368" s="711"/>
      <c r="K18368" s="711"/>
      <c r="L18368" s="711"/>
      <c r="Q18368" s="11"/>
      <c r="R18368" s="11"/>
      <c r="S18368" s="11"/>
      <c r="T18368" s="11"/>
    </row>
    <row r="18369" spans="8:20" x14ac:dyDescent="0.35">
      <c r="H18369" s="711"/>
      <c r="I18369" s="711"/>
      <c r="J18369" s="711"/>
      <c r="K18369" s="711"/>
      <c r="L18369" s="711"/>
      <c r="Q18369" s="11"/>
      <c r="R18369" s="11"/>
      <c r="S18369" s="11"/>
      <c r="T18369" s="11"/>
    </row>
    <row r="18370" spans="8:20" x14ac:dyDescent="0.35">
      <c r="H18370" s="711"/>
      <c r="I18370" s="711"/>
      <c r="J18370" s="711"/>
      <c r="K18370" s="711"/>
      <c r="L18370" s="711"/>
      <c r="Q18370" s="11"/>
      <c r="R18370" s="11"/>
      <c r="S18370" s="11"/>
      <c r="T18370" s="11"/>
    </row>
    <row r="18371" spans="8:20" x14ac:dyDescent="0.35">
      <c r="H18371" s="711"/>
      <c r="I18371" s="711"/>
      <c r="J18371" s="711"/>
      <c r="K18371" s="711"/>
      <c r="L18371" s="711"/>
      <c r="Q18371" s="11"/>
      <c r="R18371" s="11"/>
      <c r="S18371" s="11"/>
      <c r="T18371" s="11"/>
    </row>
    <row r="18372" spans="8:20" x14ac:dyDescent="0.35">
      <c r="H18372" s="711"/>
      <c r="I18372" s="711"/>
      <c r="J18372" s="711"/>
      <c r="K18372" s="711"/>
      <c r="L18372" s="711"/>
      <c r="Q18372" s="11"/>
      <c r="R18372" s="11"/>
      <c r="S18372" s="11"/>
      <c r="T18372" s="11"/>
    </row>
    <row r="18373" spans="8:20" x14ac:dyDescent="0.35">
      <c r="H18373" s="711"/>
      <c r="I18373" s="711"/>
      <c r="J18373" s="711"/>
      <c r="K18373" s="711"/>
      <c r="L18373" s="711"/>
      <c r="Q18373" s="11"/>
      <c r="R18373" s="11"/>
      <c r="S18373" s="11"/>
      <c r="T18373" s="11"/>
    </row>
    <row r="18374" spans="8:20" x14ac:dyDescent="0.35">
      <c r="H18374" s="711"/>
      <c r="I18374" s="711"/>
      <c r="J18374" s="711"/>
      <c r="K18374" s="711"/>
      <c r="L18374" s="711"/>
      <c r="Q18374" s="11"/>
      <c r="R18374" s="11"/>
      <c r="S18374" s="11"/>
      <c r="T18374" s="11"/>
    </row>
    <row r="18375" spans="8:20" x14ac:dyDescent="0.35">
      <c r="H18375" s="711"/>
      <c r="I18375" s="711"/>
      <c r="J18375" s="711"/>
      <c r="K18375" s="711"/>
      <c r="L18375" s="711"/>
      <c r="Q18375" s="11"/>
      <c r="R18375" s="11"/>
      <c r="S18375" s="11"/>
      <c r="T18375" s="11"/>
    </row>
    <row r="18376" spans="8:20" x14ac:dyDescent="0.35">
      <c r="H18376" s="711"/>
      <c r="I18376" s="711"/>
      <c r="J18376" s="711"/>
      <c r="K18376" s="711"/>
      <c r="L18376" s="711"/>
      <c r="Q18376" s="11"/>
      <c r="R18376" s="11"/>
      <c r="S18376" s="11"/>
      <c r="T18376" s="11"/>
    </row>
    <row r="18377" spans="8:20" x14ac:dyDescent="0.35">
      <c r="H18377" s="711"/>
      <c r="I18377" s="711"/>
      <c r="J18377" s="711"/>
      <c r="K18377" s="711"/>
      <c r="L18377" s="711"/>
      <c r="Q18377" s="11"/>
      <c r="R18377" s="11"/>
      <c r="S18377" s="11"/>
      <c r="T18377" s="11"/>
    </row>
    <row r="18378" spans="8:20" x14ac:dyDescent="0.35">
      <c r="H18378" s="711"/>
      <c r="I18378" s="711"/>
      <c r="J18378" s="711"/>
      <c r="K18378" s="711"/>
      <c r="L18378" s="711"/>
      <c r="Q18378" s="11"/>
      <c r="R18378" s="11"/>
      <c r="S18378" s="11"/>
      <c r="T18378" s="11"/>
    </row>
    <row r="18379" spans="8:20" x14ac:dyDescent="0.35">
      <c r="H18379" s="711"/>
      <c r="I18379" s="711"/>
      <c r="J18379" s="711"/>
      <c r="K18379" s="711"/>
      <c r="L18379" s="711"/>
      <c r="Q18379" s="11"/>
      <c r="R18379" s="11"/>
      <c r="S18379" s="11"/>
      <c r="T18379" s="11"/>
    </row>
    <row r="18380" spans="8:20" x14ac:dyDescent="0.35">
      <c r="H18380" s="711"/>
      <c r="I18380" s="711"/>
      <c r="J18380" s="711"/>
      <c r="K18380" s="711"/>
      <c r="L18380" s="711"/>
      <c r="Q18380" s="11"/>
      <c r="R18380" s="11"/>
      <c r="S18380" s="11"/>
      <c r="T18380" s="11"/>
    </row>
    <row r="18381" spans="8:20" x14ac:dyDescent="0.35">
      <c r="H18381" s="711"/>
      <c r="I18381" s="711"/>
      <c r="J18381" s="711"/>
      <c r="K18381" s="711"/>
      <c r="L18381" s="711"/>
      <c r="Q18381" s="11"/>
      <c r="R18381" s="11"/>
      <c r="S18381" s="11"/>
      <c r="T18381" s="11"/>
    </row>
    <row r="18382" spans="8:20" x14ac:dyDescent="0.35">
      <c r="H18382" s="711"/>
      <c r="I18382" s="711"/>
      <c r="J18382" s="711"/>
      <c r="K18382" s="711"/>
      <c r="L18382" s="711"/>
      <c r="Q18382" s="11"/>
      <c r="R18382" s="11"/>
      <c r="S18382" s="11"/>
      <c r="T18382" s="11"/>
    </row>
    <row r="18383" spans="8:20" x14ac:dyDescent="0.35">
      <c r="H18383" s="711"/>
      <c r="I18383" s="711"/>
      <c r="J18383" s="711"/>
      <c r="K18383" s="711"/>
      <c r="L18383" s="711"/>
      <c r="Q18383" s="11"/>
      <c r="R18383" s="11"/>
      <c r="S18383" s="11"/>
      <c r="T18383" s="11"/>
    </row>
    <row r="18384" spans="8:20" x14ac:dyDescent="0.35">
      <c r="H18384" s="711"/>
      <c r="I18384" s="711"/>
      <c r="J18384" s="711"/>
      <c r="K18384" s="711"/>
      <c r="L18384" s="711"/>
      <c r="Q18384" s="11"/>
      <c r="R18384" s="11"/>
      <c r="S18384" s="11"/>
      <c r="T18384" s="11"/>
    </row>
    <row r="18385" spans="8:20" x14ac:dyDescent="0.35">
      <c r="H18385" s="711"/>
      <c r="I18385" s="711"/>
      <c r="J18385" s="711"/>
      <c r="K18385" s="711"/>
      <c r="L18385" s="711"/>
      <c r="Q18385" s="11"/>
      <c r="R18385" s="11"/>
      <c r="S18385" s="11"/>
      <c r="T18385" s="11"/>
    </row>
    <row r="18386" spans="8:20" x14ac:dyDescent="0.35">
      <c r="H18386" s="711"/>
      <c r="I18386" s="711"/>
      <c r="J18386" s="711"/>
      <c r="K18386" s="711"/>
      <c r="L18386" s="711"/>
      <c r="Q18386" s="11"/>
      <c r="R18386" s="11"/>
      <c r="S18386" s="11"/>
      <c r="T18386" s="11"/>
    </row>
    <row r="18387" spans="8:20" x14ac:dyDescent="0.35">
      <c r="H18387" s="711"/>
      <c r="I18387" s="711"/>
      <c r="J18387" s="711"/>
      <c r="K18387" s="711"/>
      <c r="L18387" s="711"/>
      <c r="Q18387" s="11"/>
      <c r="R18387" s="11"/>
      <c r="S18387" s="11"/>
      <c r="T18387" s="11"/>
    </row>
    <row r="18388" spans="8:20" x14ac:dyDescent="0.35">
      <c r="H18388" s="711"/>
      <c r="I18388" s="711"/>
      <c r="J18388" s="711"/>
      <c r="K18388" s="711"/>
      <c r="L18388" s="711"/>
      <c r="Q18388" s="11"/>
      <c r="R18388" s="11"/>
      <c r="S18388" s="11"/>
      <c r="T18388" s="11"/>
    </row>
    <row r="18389" spans="8:20" x14ac:dyDescent="0.35">
      <c r="H18389" s="711"/>
      <c r="I18389" s="711"/>
      <c r="J18389" s="711"/>
      <c r="K18389" s="711"/>
      <c r="L18389" s="711"/>
      <c r="Q18389" s="11"/>
      <c r="R18389" s="11"/>
      <c r="S18389" s="11"/>
      <c r="T18389" s="11"/>
    </row>
    <row r="18390" spans="8:20" x14ac:dyDescent="0.35">
      <c r="H18390" s="711"/>
      <c r="I18390" s="711"/>
      <c r="J18390" s="711"/>
      <c r="K18390" s="711"/>
      <c r="L18390" s="711"/>
      <c r="Q18390" s="11"/>
      <c r="R18390" s="11"/>
      <c r="S18390" s="11"/>
      <c r="T18390" s="11"/>
    </row>
    <row r="18391" spans="8:20" x14ac:dyDescent="0.35">
      <c r="H18391" s="711"/>
      <c r="I18391" s="711"/>
      <c r="J18391" s="711"/>
      <c r="K18391" s="711"/>
      <c r="L18391" s="711"/>
      <c r="Q18391" s="11"/>
      <c r="R18391" s="11"/>
      <c r="S18391" s="11"/>
      <c r="T18391" s="11"/>
    </row>
    <row r="18392" spans="8:20" x14ac:dyDescent="0.35">
      <c r="H18392" s="711"/>
      <c r="I18392" s="711"/>
      <c r="J18392" s="711"/>
      <c r="K18392" s="711"/>
      <c r="L18392" s="711"/>
      <c r="Q18392" s="11"/>
      <c r="R18392" s="11"/>
      <c r="S18392" s="11"/>
      <c r="T18392" s="11"/>
    </row>
    <row r="18393" spans="8:20" x14ac:dyDescent="0.35">
      <c r="H18393" s="711"/>
      <c r="I18393" s="711"/>
      <c r="J18393" s="711"/>
      <c r="K18393" s="711"/>
      <c r="L18393" s="711"/>
      <c r="Q18393" s="11"/>
      <c r="R18393" s="11"/>
      <c r="S18393" s="11"/>
      <c r="T18393" s="11"/>
    </row>
    <row r="18394" spans="8:20" x14ac:dyDescent="0.35">
      <c r="H18394" s="711"/>
      <c r="I18394" s="711"/>
      <c r="J18394" s="711"/>
      <c r="K18394" s="711"/>
      <c r="L18394" s="711"/>
      <c r="Q18394" s="11"/>
      <c r="R18394" s="11"/>
      <c r="S18394" s="11"/>
      <c r="T18394" s="11"/>
    </row>
    <row r="18395" spans="8:20" x14ac:dyDescent="0.35">
      <c r="H18395" s="711"/>
      <c r="I18395" s="711"/>
      <c r="J18395" s="711"/>
      <c r="K18395" s="711"/>
      <c r="L18395" s="711"/>
      <c r="Q18395" s="11"/>
      <c r="R18395" s="11"/>
      <c r="S18395" s="11"/>
      <c r="T18395" s="11"/>
    </row>
    <row r="18396" spans="8:20" x14ac:dyDescent="0.35">
      <c r="H18396" s="711"/>
      <c r="I18396" s="711"/>
      <c r="J18396" s="711"/>
      <c r="K18396" s="711"/>
      <c r="L18396" s="711"/>
      <c r="Q18396" s="11"/>
      <c r="R18396" s="11"/>
      <c r="S18396" s="11"/>
      <c r="T18396" s="11"/>
    </row>
    <row r="18397" spans="8:20" x14ac:dyDescent="0.35">
      <c r="H18397" s="711"/>
      <c r="I18397" s="711"/>
      <c r="J18397" s="711"/>
      <c r="K18397" s="711"/>
      <c r="L18397" s="711"/>
      <c r="Q18397" s="11"/>
      <c r="R18397" s="11"/>
      <c r="S18397" s="11"/>
      <c r="T18397" s="11"/>
    </row>
    <row r="18398" spans="8:20" x14ac:dyDescent="0.35">
      <c r="H18398" s="711"/>
      <c r="I18398" s="711"/>
      <c r="J18398" s="711"/>
      <c r="K18398" s="711"/>
      <c r="L18398" s="711"/>
      <c r="Q18398" s="11"/>
      <c r="R18398" s="11"/>
      <c r="S18398" s="11"/>
      <c r="T18398" s="11"/>
    </row>
    <row r="18399" spans="8:20" x14ac:dyDescent="0.35">
      <c r="H18399" s="711"/>
      <c r="I18399" s="711"/>
      <c r="J18399" s="711"/>
      <c r="K18399" s="711"/>
      <c r="L18399" s="711"/>
      <c r="Q18399" s="11"/>
      <c r="R18399" s="11"/>
      <c r="S18399" s="11"/>
      <c r="T18399" s="11"/>
    </row>
    <row r="18400" spans="8:20" x14ac:dyDescent="0.35">
      <c r="H18400" s="711"/>
      <c r="I18400" s="711"/>
      <c r="J18400" s="711"/>
      <c r="K18400" s="711"/>
      <c r="L18400" s="711"/>
      <c r="Q18400" s="11"/>
      <c r="R18400" s="11"/>
      <c r="S18400" s="11"/>
      <c r="T18400" s="11"/>
    </row>
    <row r="18401" spans="8:20" x14ac:dyDescent="0.35">
      <c r="H18401" s="711"/>
      <c r="I18401" s="711"/>
      <c r="J18401" s="711"/>
      <c r="K18401" s="711"/>
      <c r="L18401" s="711"/>
      <c r="Q18401" s="11"/>
      <c r="R18401" s="11"/>
      <c r="S18401" s="11"/>
      <c r="T18401" s="11"/>
    </row>
    <row r="18402" spans="8:20" x14ac:dyDescent="0.35">
      <c r="H18402" s="711"/>
      <c r="I18402" s="711"/>
      <c r="J18402" s="711"/>
      <c r="K18402" s="711"/>
      <c r="L18402" s="711"/>
      <c r="Q18402" s="11"/>
      <c r="R18402" s="11"/>
      <c r="S18402" s="11"/>
      <c r="T18402" s="11"/>
    </row>
    <row r="18403" spans="8:20" x14ac:dyDescent="0.35">
      <c r="H18403" s="711"/>
      <c r="I18403" s="711"/>
      <c r="J18403" s="711"/>
      <c r="K18403" s="711"/>
      <c r="L18403" s="711"/>
      <c r="Q18403" s="11"/>
      <c r="R18403" s="11"/>
      <c r="S18403" s="11"/>
      <c r="T18403" s="11"/>
    </row>
    <row r="18404" spans="8:20" x14ac:dyDescent="0.35">
      <c r="H18404" s="711"/>
      <c r="I18404" s="711"/>
      <c r="J18404" s="711"/>
      <c r="K18404" s="711"/>
      <c r="L18404" s="711"/>
      <c r="Q18404" s="11"/>
      <c r="R18404" s="11"/>
      <c r="S18404" s="11"/>
      <c r="T18404" s="11"/>
    </row>
    <row r="18405" spans="8:20" x14ac:dyDescent="0.35">
      <c r="H18405" s="711"/>
      <c r="I18405" s="711"/>
      <c r="J18405" s="711"/>
      <c r="K18405" s="711"/>
      <c r="L18405" s="711"/>
      <c r="Q18405" s="11"/>
      <c r="R18405" s="11"/>
      <c r="S18405" s="11"/>
      <c r="T18405" s="11"/>
    </row>
    <row r="18406" spans="8:20" x14ac:dyDescent="0.35">
      <c r="H18406" s="711"/>
      <c r="I18406" s="711"/>
      <c r="J18406" s="711"/>
      <c r="K18406" s="711"/>
      <c r="L18406" s="711"/>
      <c r="Q18406" s="11"/>
      <c r="R18406" s="11"/>
      <c r="S18406" s="11"/>
      <c r="T18406" s="11"/>
    </row>
    <row r="18407" spans="8:20" x14ac:dyDescent="0.35">
      <c r="H18407" s="711"/>
      <c r="I18407" s="711"/>
      <c r="J18407" s="711"/>
      <c r="K18407" s="711"/>
      <c r="L18407" s="711"/>
      <c r="Q18407" s="11"/>
      <c r="R18407" s="11"/>
      <c r="S18407" s="11"/>
      <c r="T18407" s="11"/>
    </row>
    <row r="18408" spans="8:20" x14ac:dyDescent="0.35">
      <c r="H18408" s="711"/>
      <c r="I18408" s="711"/>
      <c r="J18408" s="711"/>
      <c r="K18408" s="711"/>
      <c r="L18408" s="711"/>
      <c r="Q18408" s="11"/>
      <c r="R18408" s="11"/>
      <c r="S18408" s="11"/>
      <c r="T18408" s="11"/>
    </row>
    <row r="18409" spans="8:20" x14ac:dyDescent="0.35">
      <c r="H18409" s="711"/>
      <c r="I18409" s="711"/>
      <c r="J18409" s="711"/>
      <c r="K18409" s="711"/>
      <c r="L18409" s="711"/>
      <c r="Q18409" s="11"/>
      <c r="R18409" s="11"/>
      <c r="S18409" s="11"/>
      <c r="T18409" s="11"/>
    </row>
    <row r="18410" spans="8:20" x14ac:dyDescent="0.35">
      <c r="H18410" s="711"/>
      <c r="I18410" s="711"/>
      <c r="J18410" s="711"/>
      <c r="K18410" s="711"/>
      <c r="L18410" s="711"/>
      <c r="Q18410" s="11"/>
      <c r="R18410" s="11"/>
      <c r="S18410" s="11"/>
      <c r="T18410" s="11"/>
    </row>
    <row r="18411" spans="8:20" x14ac:dyDescent="0.35">
      <c r="H18411" s="711"/>
      <c r="I18411" s="711"/>
      <c r="J18411" s="711"/>
      <c r="K18411" s="711"/>
      <c r="L18411" s="711"/>
      <c r="Q18411" s="11"/>
      <c r="R18411" s="11"/>
      <c r="S18411" s="11"/>
      <c r="T18411" s="11"/>
    </row>
    <row r="18412" spans="8:20" x14ac:dyDescent="0.35">
      <c r="H18412" s="711"/>
      <c r="I18412" s="711"/>
      <c r="J18412" s="711"/>
      <c r="K18412" s="711"/>
      <c r="L18412" s="711"/>
      <c r="Q18412" s="11"/>
      <c r="R18412" s="11"/>
      <c r="S18412" s="11"/>
      <c r="T18412" s="11"/>
    </row>
    <row r="18413" spans="8:20" x14ac:dyDescent="0.35">
      <c r="H18413" s="711"/>
      <c r="I18413" s="711"/>
      <c r="J18413" s="711"/>
      <c r="K18413" s="711"/>
      <c r="L18413" s="711"/>
      <c r="Q18413" s="11"/>
      <c r="R18413" s="11"/>
      <c r="S18413" s="11"/>
      <c r="T18413" s="11"/>
    </row>
    <row r="18414" spans="8:20" x14ac:dyDescent="0.35">
      <c r="H18414" s="711"/>
      <c r="I18414" s="711"/>
      <c r="J18414" s="711"/>
      <c r="K18414" s="711"/>
      <c r="L18414" s="711"/>
      <c r="Q18414" s="11"/>
      <c r="R18414" s="11"/>
      <c r="S18414" s="11"/>
      <c r="T18414" s="11"/>
    </row>
    <row r="18415" spans="8:20" x14ac:dyDescent="0.35">
      <c r="H18415" s="711"/>
      <c r="I18415" s="711"/>
      <c r="J18415" s="711"/>
      <c r="K18415" s="711"/>
      <c r="L18415" s="711"/>
      <c r="Q18415" s="11"/>
      <c r="R18415" s="11"/>
      <c r="S18415" s="11"/>
      <c r="T18415" s="11"/>
    </row>
    <row r="18416" spans="8:20" x14ac:dyDescent="0.35">
      <c r="H18416" s="711"/>
      <c r="I18416" s="711"/>
      <c r="J18416" s="711"/>
      <c r="K18416" s="711"/>
      <c r="L18416" s="711"/>
      <c r="Q18416" s="11"/>
      <c r="R18416" s="11"/>
      <c r="S18416" s="11"/>
      <c r="T18416" s="11"/>
    </row>
    <row r="18417" spans="8:20" x14ac:dyDescent="0.35">
      <c r="H18417" s="711"/>
      <c r="I18417" s="711"/>
      <c r="J18417" s="711"/>
      <c r="K18417" s="711"/>
      <c r="L18417" s="711"/>
      <c r="Q18417" s="11"/>
      <c r="R18417" s="11"/>
      <c r="S18417" s="11"/>
      <c r="T18417" s="11"/>
    </row>
    <row r="18418" spans="8:20" x14ac:dyDescent="0.35">
      <c r="H18418" s="711"/>
      <c r="I18418" s="711"/>
      <c r="J18418" s="711"/>
      <c r="K18418" s="711"/>
      <c r="L18418" s="711"/>
      <c r="Q18418" s="11"/>
      <c r="R18418" s="11"/>
      <c r="S18418" s="11"/>
      <c r="T18418" s="11"/>
    </row>
    <row r="18419" spans="8:20" x14ac:dyDescent="0.35">
      <c r="H18419" s="711"/>
      <c r="I18419" s="711"/>
      <c r="J18419" s="711"/>
      <c r="K18419" s="711"/>
      <c r="L18419" s="711"/>
      <c r="Q18419" s="11"/>
      <c r="R18419" s="11"/>
      <c r="S18419" s="11"/>
      <c r="T18419" s="11"/>
    </row>
    <row r="18420" spans="8:20" x14ac:dyDescent="0.35">
      <c r="H18420" s="711"/>
      <c r="I18420" s="711"/>
      <c r="J18420" s="711"/>
      <c r="K18420" s="711"/>
      <c r="L18420" s="711"/>
      <c r="Q18420" s="11"/>
      <c r="R18420" s="11"/>
      <c r="S18420" s="11"/>
      <c r="T18420" s="11"/>
    </row>
    <row r="18421" spans="8:20" x14ac:dyDescent="0.35">
      <c r="H18421" s="711"/>
      <c r="I18421" s="711"/>
      <c r="J18421" s="711"/>
      <c r="K18421" s="711"/>
      <c r="L18421" s="711"/>
      <c r="Q18421" s="11"/>
      <c r="R18421" s="11"/>
      <c r="S18421" s="11"/>
      <c r="T18421" s="11"/>
    </row>
    <row r="18422" spans="8:20" x14ac:dyDescent="0.35">
      <c r="H18422" s="711"/>
      <c r="I18422" s="711"/>
      <c r="J18422" s="711"/>
      <c r="K18422" s="711"/>
      <c r="L18422" s="711"/>
      <c r="Q18422" s="11"/>
      <c r="R18422" s="11"/>
      <c r="S18422" s="11"/>
      <c r="T18422" s="11"/>
    </row>
    <row r="18423" spans="8:20" x14ac:dyDescent="0.35">
      <c r="H18423" s="711"/>
      <c r="I18423" s="711"/>
      <c r="J18423" s="711"/>
      <c r="K18423" s="711"/>
      <c r="L18423" s="711"/>
      <c r="Q18423" s="11"/>
      <c r="R18423" s="11"/>
      <c r="S18423" s="11"/>
      <c r="T18423" s="11"/>
    </row>
    <row r="18424" spans="8:20" x14ac:dyDescent="0.35">
      <c r="H18424" s="711"/>
      <c r="I18424" s="711"/>
      <c r="J18424" s="711"/>
      <c r="K18424" s="711"/>
      <c r="L18424" s="711"/>
      <c r="Q18424" s="11"/>
      <c r="R18424" s="11"/>
      <c r="S18424" s="11"/>
      <c r="T18424" s="11"/>
    </row>
    <row r="18425" spans="8:20" x14ac:dyDescent="0.35">
      <c r="H18425" s="711"/>
      <c r="I18425" s="711"/>
      <c r="J18425" s="711"/>
      <c r="K18425" s="711"/>
      <c r="L18425" s="711"/>
      <c r="Q18425" s="11"/>
      <c r="R18425" s="11"/>
      <c r="S18425" s="11"/>
      <c r="T18425" s="11"/>
    </row>
    <row r="18426" spans="8:20" x14ac:dyDescent="0.35">
      <c r="H18426" s="711"/>
      <c r="I18426" s="711"/>
      <c r="J18426" s="711"/>
      <c r="K18426" s="711"/>
      <c r="L18426" s="711"/>
      <c r="Q18426" s="11"/>
      <c r="R18426" s="11"/>
      <c r="S18426" s="11"/>
      <c r="T18426" s="11"/>
    </row>
    <row r="18427" spans="8:20" x14ac:dyDescent="0.35">
      <c r="H18427" s="711"/>
      <c r="I18427" s="711"/>
      <c r="J18427" s="711"/>
      <c r="K18427" s="711"/>
      <c r="L18427" s="711"/>
      <c r="Q18427" s="11"/>
      <c r="R18427" s="11"/>
      <c r="S18427" s="11"/>
      <c r="T18427" s="11"/>
    </row>
    <row r="18428" spans="8:20" x14ac:dyDescent="0.35">
      <c r="H18428" s="711"/>
      <c r="I18428" s="711"/>
      <c r="J18428" s="711"/>
      <c r="K18428" s="711"/>
      <c r="L18428" s="711"/>
      <c r="Q18428" s="11"/>
      <c r="R18428" s="11"/>
      <c r="S18428" s="11"/>
      <c r="T18428" s="11"/>
    </row>
    <row r="18429" spans="8:20" x14ac:dyDescent="0.35">
      <c r="H18429" s="711"/>
      <c r="I18429" s="711"/>
      <c r="J18429" s="711"/>
      <c r="K18429" s="711"/>
      <c r="L18429" s="711"/>
      <c r="Q18429" s="11"/>
      <c r="R18429" s="11"/>
      <c r="S18429" s="11"/>
      <c r="T18429" s="11"/>
    </row>
    <row r="18430" spans="8:20" x14ac:dyDescent="0.35">
      <c r="H18430" s="711"/>
      <c r="I18430" s="711"/>
      <c r="J18430" s="711"/>
      <c r="K18430" s="711"/>
      <c r="L18430" s="711"/>
      <c r="Q18430" s="11"/>
      <c r="R18430" s="11"/>
      <c r="S18430" s="11"/>
      <c r="T18430" s="11"/>
    </row>
    <row r="18431" spans="8:20" x14ac:dyDescent="0.35">
      <c r="H18431" s="711"/>
      <c r="I18431" s="711"/>
      <c r="J18431" s="711"/>
      <c r="K18431" s="711"/>
      <c r="L18431" s="711"/>
      <c r="Q18431" s="11"/>
      <c r="R18431" s="11"/>
      <c r="S18431" s="11"/>
      <c r="T18431" s="11"/>
    </row>
    <row r="18432" spans="8:20" x14ac:dyDescent="0.35">
      <c r="H18432" s="711"/>
      <c r="I18432" s="711"/>
      <c r="J18432" s="711"/>
      <c r="K18432" s="711"/>
      <c r="L18432" s="711"/>
      <c r="Q18432" s="11"/>
      <c r="R18432" s="11"/>
      <c r="S18432" s="11"/>
      <c r="T18432" s="11"/>
    </row>
    <row r="18433" spans="8:20" x14ac:dyDescent="0.35">
      <c r="H18433" s="711"/>
      <c r="I18433" s="711"/>
      <c r="J18433" s="711"/>
      <c r="K18433" s="711"/>
      <c r="L18433" s="711"/>
      <c r="Q18433" s="11"/>
      <c r="R18433" s="11"/>
      <c r="S18433" s="11"/>
      <c r="T18433" s="11"/>
    </row>
    <row r="18434" spans="8:20" x14ac:dyDescent="0.35">
      <c r="H18434" s="711"/>
      <c r="I18434" s="711"/>
      <c r="J18434" s="711"/>
      <c r="K18434" s="711"/>
      <c r="L18434" s="711"/>
      <c r="Q18434" s="11"/>
      <c r="R18434" s="11"/>
      <c r="S18434" s="11"/>
      <c r="T18434" s="11"/>
    </row>
    <row r="18435" spans="8:20" x14ac:dyDescent="0.35">
      <c r="H18435" s="711"/>
      <c r="I18435" s="711"/>
      <c r="J18435" s="711"/>
      <c r="K18435" s="711"/>
      <c r="L18435" s="711"/>
      <c r="Q18435" s="11"/>
      <c r="R18435" s="11"/>
      <c r="S18435" s="11"/>
      <c r="T18435" s="11"/>
    </row>
    <row r="18436" spans="8:20" x14ac:dyDescent="0.35">
      <c r="H18436" s="711"/>
      <c r="I18436" s="711"/>
      <c r="J18436" s="711"/>
      <c r="K18436" s="711"/>
      <c r="L18436" s="711"/>
      <c r="Q18436" s="11"/>
      <c r="R18436" s="11"/>
      <c r="S18436" s="11"/>
      <c r="T18436" s="11"/>
    </row>
    <row r="18437" spans="8:20" x14ac:dyDescent="0.35">
      <c r="H18437" s="711"/>
      <c r="I18437" s="711"/>
      <c r="J18437" s="711"/>
      <c r="K18437" s="711"/>
      <c r="L18437" s="711"/>
      <c r="Q18437" s="11"/>
      <c r="R18437" s="11"/>
      <c r="S18437" s="11"/>
      <c r="T18437" s="11"/>
    </row>
    <row r="18438" spans="8:20" x14ac:dyDescent="0.35">
      <c r="H18438" s="711"/>
      <c r="I18438" s="711"/>
      <c r="J18438" s="711"/>
      <c r="K18438" s="711"/>
      <c r="L18438" s="711"/>
      <c r="Q18438" s="11"/>
      <c r="R18438" s="11"/>
      <c r="S18438" s="11"/>
      <c r="T18438" s="11"/>
    </row>
    <row r="18439" spans="8:20" x14ac:dyDescent="0.35">
      <c r="H18439" s="711"/>
      <c r="I18439" s="711"/>
      <c r="J18439" s="711"/>
      <c r="K18439" s="711"/>
      <c r="L18439" s="711"/>
      <c r="Q18439" s="11"/>
      <c r="R18439" s="11"/>
      <c r="S18439" s="11"/>
      <c r="T18439" s="11"/>
    </row>
    <row r="18440" spans="8:20" x14ac:dyDescent="0.35">
      <c r="H18440" s="711"/>
      <c r="I18440" s="711"/>
      <c r="J18440" s="711"/>
      <c r="K18440" s="711"/>
      <c r="L18440" s="711"/>
      <c r="Q18440" s="11"/>
      <c r="R18440" s="11"/>
      <c r="S18440" s="11"/>
      <c r="T18440" s="11"/>
    </row>
    <row r="18441" spans="8:20" x14ac:dyDescent="0.35">
      <c r="H18441" s="711"/>
      <c r="I18441" s="711"/>
      <c r="J18441" s="711"/>
      <c r="K18441" s="711"/>
      <c r="L18441" s="711"/>
      <c r="Q18441" s="11"/>
      <c r="R18441" s="11"/>
      <c r="S18441" s="11"/>
      <c r="T18441" s="11"/>
    </row>
    <row r="18442" spans="8:20" x14ac:dyDescent="0.35">
      <c r="H18442" s="711"/>
      <c r="I18442" s="711"/>
      <c r="J18442" s="711"/>
      <c r="K18442" s="711"/>
      <c r="L18442" s="711"/>
      <c r="Q18442" s="11"/>
      <c r="R18442" s="11"/>
      <c r="S18442" s="11"/>
      <c r="T18442" s="11"/>
    </row>
    <row r="18443" spans="8:20" x14ac:dyDescent="0.35">
      <c r="H18443" s="711"/>
      <c r="I18443" s="711"/>
      <c r="J18443" s="711"/>
      <c r="K18443" s="711"/>
      <c r="L18443" s="711"/>
      <c r="Q18443" s="11"/>
      <c r="R18443" s="11"/>
      <c r="S18443" s="11"/>
      <c r="T18443" s="11"/>
    </row>
    <row r="18444" spans="8:20" x14ac:dyDescent="0.35">
      <c r="H18444" s="711"/>
      <c r="I18444" s="711"/>
      <c r="J18444" s="711"/>
      <c r="K18444" s="711"/>
      <c r="L18444" s="711"/>
      <c r="Q18444" s="11"/>
      <c r="R18444" s="11"/>
      <c r="S18444" s="11"/>
      <c r="T18444" s="11"/>
    </row>
    <row r="18445" spans="8:20" x14ac:dyDescent="0.35">
      <c r="H18445" s="711"/>
      <c r="I18445" s="711"/>
      <c r="J18445" s="711"/>
      <c r="K18445" s="711"/>
      <c r="L18445" s="711"/>
      <c r="Q18445" s="11"/>
      <c r="R18445" s="11"/>
      <c r="S18445" s="11"/>
      <c r="T18445" s="11"/>
    </row>
    <row r="18446" spans="8:20" x14ac:dyDescent="0.35">
      <c r="H18446" s="711"/>
      <c r="I18446" s="711"/>
      <c r="J18446" s="711"/>
      <c r="K18446" s="711"/>
      <c r="L18446" s="711"/>
      <c r="Q18446" s="11"/>
      <c r="R18446" s="11"/>
      <c r="S18446" s="11"/>
      <c r="T18446" s="11"/>
    </row>
    <row r="18447" spans="8:20" x14ac:dyDescent="0.35">
      <c r="H18447" s="711"/>
      <c r="I18447" s="711"/>
      <c r="J18447" s="711"/>
      <c r="K18447" s="711"/>
      <c r="L18447" s="711"/>
      <c r="Q18447" s="11"/>
      <c r="R18447" s="11"/>
      <c r="S18447" s="11"/>
      <c r="T18447" s="11"/>
    </row>
    <row r="18448" spans="8:20" x14ac:dyDescent="0.35">
      <c r="H18448" s="711"/>
      <c r="I18448" s="711"/>
      <c r="J18448" s="711"/>
      <c r="K18448" s="711"/>
      <c r="L18448" s="711"/>
      <c r="Q18448" s="11"/>
      <c r="R18448" s="11"/>
      <c r="S18448" s="11"/>
      <c r="T18448" s="11"/>
    </row>
    <row r="18449" spans="8:20" x14ac:dyDescent="0.35">
      <c r="H18449" s="711"/>
      <c r="I18449" s="711"/>
      <c r="J18449" s="711"/>
      <c r="K18449" s="711"/>
      <c r="L18449" s="711"/>
      <c r="Q18449" s="11"/>
      <c r="R18449" s="11"/>
      <c r="S18449" s="11"/>
      <c r="T18449" s="11"/>
    </row>
    <row r="18450" spans="8:20" x14ac:dyDescent="0.35">
      <c r="H18450" s="711"/>
      <c r="I18450" s="711"/>
      <c r="J18450" s="711"/>
      <c r="K18450" s="711"/>
      <c r="L18450" s="711"/>
      <c r="Q18450" s="11"/>
      <c r="R18450" s="11"/>
      <c r="S18450" s="11"/>
      <c r="T18450" s="11"/>
    </row>
    <row r="18451" spans="8:20" x14ac:dyDescent="0.35">
      <c r="H18451" s="711"/>
      <c r="I18451" s="711"/>
      <c r="J18451" s="711"/>
      <c r="K18451" s="711"/>
      <c r="L18451" s="711"/>
      <c r="Q18451" s="11"/>
      <c r="R18451" s="11"/>
      <c r="S18451" s="11"/>
      <c r="T18451" s="11"/>
    </row>
    <row r="18452" spans="8:20" x14ac:dyDescent="0.35">
      <c r="H18452" s="711"/>
      <c r="I18452" s="711"/>
      <c r="J18452" s="711"/>
      <c r="K18452" s="711"/>
      <c r="L18452" s="711"/>
      <c r="Q18452" s="11"/>
      <c r="R18452" s="11"/>
      <c r="S18452" s="11"/>
      <c r="T18452" s="11"/>
    </row>
    <row r="18453" spans="8:20" x14ac:dyDescent="0.35">
      <c r="H18453" s="711"/>
      <c r="I18453" s="711"/>
      <c r="J18453" s="711"/>
      <c r="K18453" s="711"/>
      <c r="L18453" s="711"/>
      <c r="Q18453" s="11"/>
      <c r="R18453" s="11"/>
      <c r="S18453" s="11"/>
      <c r="T18453" s="11"/>
    </row>
    <row r="18454" spans="8:20" x14ac:dyDescent="0.35">
      <c r="H18454" s="711"/>
      <c r="I18454" s="711"/>
      <c r="J18454" s="711"/>
      <c r="K18454" s="711"/>
      <c r="L18454" s="711"/>
      <c r="Q18454" s="11"/>
      <c r="R18454" s="11"/>
      <c r="S18454" s="11"/>
      <c r="T18454" s="11"/>
    </row>
    <row r="18455" spans="8:20" x14ac:dyDescent="0.35">
      <c r="H18455" s="711"/>
      <c r="I18455" s="711"/>
      <c r="J18455" s="711"/>
      <c r="K18455" s="711"/>
      <c r="L18455" s="711"/>
      <c r="Q18455" s="11"/>
      <c r="R18455" s="11"/>
      <c r="S18455" s="11"/>
      <c r="T18455" s="11"/>
    </row>
    <row r="18456" spans="8:20" x14ac:dyDescent="0.35">
      <c r="H18456" s="711"/>
      <c r="I18456" s="711"/>
      <c r="J18456" s="711"/>
      <c r="K18456" s="711"/>
      <c r="L18456" s="711"/>
      <c r="Q18456" s="11"/>
      <c r="R18456" s="11"/>
      <c r="S18456" s="11"/>
      <c r="T18456" s="11"/>
    </row>
    <row r="18457" spans="8:20" x14ac:dyDescent="0.35">
      <c r="H18457" s="711"/>
      <c r="I18457" s="711"/>
      <c r="J18457" s="711"/>
      <c r="K18457" s="711"/>
      <c r="L18457" s="711"/>
      <c r="Q18457" s="11"/>
      <c r="R18457" s="11"/>
      <c r="S18457" s="11"/>
      <c r="T18457" s="11"/>
    </row>
    <row r="18458" spans="8:20" x14ac:dyDescent="0.35">
      <c r="H18458" s="711"/>
      <c r="I18458" s="711"/>
      <c r="J18458" s="711"/>
      <c r="K18458" s="711"/>
      <c r="L18458" s="711"/>
      <c r="Q18458" s="11"/>
      <c r="R18458" s="11"/>
      <c r="S18458" s="11"/>
      <c r="T18458" s="11"/>
    </row>
    <row r="18459" spans="8:20" x14ac:dyDescent="0.35">
      <c r="H18459" s="711"/>
      <c r="I18459" s="711"/>
      <c r="J18459" s="711"/>
      <c r="K18459" s="711"/>
      <c r="L18459" s="711"/>
      <c r="Q18459" s="11"/>
      <c r="R18459" s="11"/>
      <c r="S18459" s="11"/>
      <c r="T18459" s="11"/>
    </row>
    <row r="18460" spans="8:20" x14ac:dyDescent="0.35">
      <c r="H18460" s="711"/>
      <c r="I18460" s="711"/>
      <c r="J18460" s="711"/>
      <c r="K18460" s="711"/>
      <c r="L18460" s="711"/>
      <c r="Q18460" s="11"/>
      <c r="R18460" s="11"/>
      <c r="S18460" s="11"/>
      <c r="T18460" s="11"/>
    </row>
    <row r="18461" spans="8:20" x14ac:dyDescent="0.35">
      <c r="H18461" s="711"/>
      <c r="I18461" s="711"/>
      <c r="J18461" s="711"/>
      <c r="K18461" s="711"/>
      <c r="L18461" s="711"/>
      <c r="Q18461" s="11"/>
      <c r="R18461" s="11"/>
      <c r="S18461" s="11"/>
      <c r="T18461" s="11"/>
    </row>
    <row r="18462" spans="8:20" x14ac:dyDescent="0.35">
      <c r="H18462" s="711"/>
      <c r="I18462" s="711"/>
      <c r="J18462" s="711"/>
      <c r="K18462" s="711"/>
      <c r="L18462" s="711"/>
      <c r="Q18462" s="11"/>
      <c r="R18462" s="11"/>
      <c r="S18462" s="11"/>
      <c r="T18462" s="11"/>
    </row>
    <row r="18463" spans="8:20" x14ac:dyDescent="0.35">
      <c r="H18463" s="711"/>
      <c r="I18463" s="711"/>
      <c r="J18463" s="711"/>
      <c r="K18463" s="711"/>
      <c r="L18463" s="711"/>
      <c r="Q18463" s="11"/>
      <c r="R18463" s="11"/>
      <c r="S18463" s="11"/>
      <c r="T18463" s="11"/>
    </row>
    <row r="18464" spans="8:20" x14ac:dyDescent="0.35">
      <c r="H18464" s="711"/>
      <c r="I18464" s="711"/>
      <c r="J18464" s="711"/>
      <c r="K18464" s="711"/>
      <c r="L18464" s="711"/>
      <c r="Q18464" s="11"/>
      <c r="R18464" s="11"/>
      <c r="S18464" s="11"/>
      <c r="T18464" s="11"/>
    </row>
    <row r="18465" spans="8:20" x14ac:dyDescent="0.35">
      <c r="H18465" s="711"/>
      <c r="I18465" s="711"/>
      <c r="J18465" s="711"/>
      <c r="K18465" s="711"/>
      <c r="L18465" s="711"/>
      <c r="Q18465" s="11"/>
      <c r="R18465" s="11"/>
      <c r="S18465" s="11"/>
      <c r="T18465" s="11"/>
    </row>
    <row r="18466" spans="8:20" x14ac:dyDescent="0.35">
      <c r="H18466" s="711"/>
      <c r="I18466" s="711"/>
      <c r="J18466" s="711"/>
      <c r="K18466" s="711"/>
      <c r="L18466" s="711"/>
      <c r="Q18466" s="11"/>
      <c r="R18466" s="11"/>
      <c r="S18466" s="11"/>
      <c r="T18466" s="11"/>
    </row>
    <row r="18467" spans="8:20" x14ac:dyDescent="0.35">
      <c r="H18467" s="711"/>
      <c r="I18467" s="711"/>
      <c r="J18467" s="711"/>
      <c r="K18467" s="711"/>
      <c r="L18467" s="711"/>
      <c r="Q18467" s="11"/>
      <c r="R18467" s="11"/>
      <c r="S18467" s="11"/>
      <c r="T18467" s="11"/>
    </row>
    <row r="18468" spans="8:20" x14ac:dyDescent="0.35">
      <c r="H18468" s="711"/>
      <c r="I18468" s="711"/>
      <c r="J18468" s="711"/>
      <c r="K18468" s="711"/>
      <c r="L18468" s="711"/>
      <c r="Q18468" s="11"/>
      <c r="R18468" s="11"/>
      <c r="S18468" s="11"/>
      <c r="T18468" s="11"/>
    </row>
    <row r="18469" spans="8:20" x14ac:dyDescent="0.35">
      <c r="H18469" s="711"/>
      <c r="I18469" s="711"/>
      <c r="J18469" s="711"/>
      <c r="K18469" s="711"/>
      <c r="L18469" s="711"/>
      <c r="Q18469" s="11"/>
      <c r="R18469" s="11"/>
      <c r="S18469" s="11"/>
      <c r="T18469" s="11"/>
    </row>
    <row r="18470" spans="8:20" x14ac:dyDescent="0.35">
      <c r="H18470" s="711"/>
      <c r="I18470" s="711"/>
      <c r="J18470" s="711"/>
      <c r="K18470" s="711"/>
      <c r="L18470" s="711"/>
      <c r="Q18470" s="11"/>
      <c r="R18470" s="11"/>
      <c r="S18470" s="11"/>
      <c r="T18470" s="11"/>
    </row>
    <row r="18471" spans="8:20" x14ac:dyDescent="0.35">
      <c r="H18471" s="711"/>
      <c r="I18471" s="711"/>
      <c r="J18471" s="711"/>
      <c r="K18471" s="711"/>
      <c r="L18471" s="711"/>
      <c r="Q18471" s="11"/>
      <c r="R18471" s="11"/>
      <c r="S18471" s="11"/>
      <c r="T18471" s="11"/>
    </row>
    <row r="18472" spans="8:20" x14ac:dyDescent="0.35">
      <c r="H18472" s="711"/>
      <c r="I18472" s="711"/>
      <c r="J18472" s="711"/>
      <c r="K18472" s="711"/>
      <c r="L18472" s="711"/>
      <c r="Q18472" s="11"/>
      <c r="R18472" s="11"/>
      <c r="S18472" s="11"/>
      <c r="T18472" s="11"/>
    </row>
    <row r="18473" spans="8:20" x14ac:dyDescent="0.35">
      <c r="H18473" s="711"/>
      <c r="I18473" s="711"/>
      <c r="J18473" s="711"/>
      <c r="K18473" s="711"/>
      <c r="L18473" s="711"/>
      <c r="Q18473" s="11"/>
      <c r="R18473" s="11"/>
      <c r="S18473" s="11"/>
      <c r="T18473" s="11"/>
    </row>
    <row r="18474" spans="8:20" x14ac:dyDescent="0.35">
      <c r="H18474" s="711"/>
      <c r="I18474" s="711"/>
      <c r="J18474" s="711"/>
      <c r="K18474" s="711"/>
      <c r="L18474" s="711"/>
      <c r="Q18474" s="11"/>
      <c r="R18474" s="11"/>
      <c r="S18474" s="11"/>
      <c r="T18474" s="11"/>
    </row>
    <row r="18475" spans="8:20" x14ac:dyDescent="0.35">
      <c r="H18475" s="711"/>
      <c r="I18475" s="711"/>
      <c r="J18475" s="711"/>
      <c r="K18475" s="711"/>
      <c r="L18475" s="711"/>
      <c r="Q18475" s="11"/>
      <c r="R18475" s="11"/>
      <c r="S18475" s="11"/>
      <c r="T18475" s="11"/>
    </row>
    <row r="18476" spans="8:20" x14ac:dyDescent="0.35">
      <c r="H18476" s="711"/>
      <c r="I18476" s="711"/>
      <c r="J18476" s="711"/>
      <c r="K18476" s="711"/>
      <c r="L18476" s="711"/>
      <c r="Q18476" s="11"/>
      <c r="R18476" s="11"/>
      <c r="S18476" s="11"/>
      <c r="T18476" s="11"/>
    </row>
    <row r="18477" spans="8:20" x14ac:dyDescent="0.35">
      <c r="H18477" s="711"/>
      <c r="I18477" s="711"/>
      <c r="J18477" s="711"/>
      <c r="K18477" s="711"/>
      <c r="L18477" s="711"/>
      <c r="Q18477" s="11"/>
      <c r="R18477" s="11"/>
      <c r="S18477" s="11"/>
      <c r="T18477" s="11"/>
    </row>
    <row r="18478" spans="8:20" x14ac:dyDescent="0.35">
      <c r="H18478" s="711"/>
      <c r="I18478" s="711"/>
      <c r="J18478" s="711"/>
      <c r="K18478" s="711"/>
      <c r="L18478" s="711"/>
      <c r="Q18478" s="11"/>
      <c r="R18478" s="11"/>
      <c r="S18478" s="11"/>
      <c r="T18478" s="11"/>
    </row>
    <row r="18479" spans="8:20" x14ac:dyDescent="0.35">
      <c r="H18479" s="711"/>
      <c r="I18479" s="711"/>
      <c r="J18479" s="711"/>
      <c r="K18479" s="711"/>
      <c r="L18479" s="711"/>
      <c r="Q18479" s="11"/>
      <c r="R18479" s="11"/>
      <c r="S18479" s="11"/>
      <c r="T18479" s="11"/>
    </row>
    <row r="18480" spans="8:20" x14ac:dyDescent="0.35">
      <c r="H18480" s="711"/>
      <c r="I18480" s="711"/>
      <c r="J18480" s="711"/>
      <c r="K18480" s="711"/>
      <c r="L18480" s="711"/>
      <c r="Q18480" s="11"/>
      <c r="R18480" s="11"/>
      <c r="S18480" s="11"/>
      <c r="T18480" s="11"/>
    </row>
    <row r="18481" spans="8:20" x14ac:dyDescent="0.35">
      <c r="H18481" s="711"/>
      <c r="I18481" s="711"/>
      <c r="J18481" s="711"/>
      <c r="K18481" s="711"/>
      <c r="L18481" s="711"/>
      <c r="Q18481" s="11"/>
      <c r="R18481" s="11"/>
      <c r="S18481" s="11"/>
      <c r="T18481" s="11"/>
    </row>
    <row r="18482" spans="8:20" x14ac:dyDescent="0.35">
      <c r="H18482" s="711"/>
      <c r="I18482" s="711"/>
      <c r="J18482" s="711"/>
      <c r="K18482" s="711"/>
      <c r="L18482" s="711"/>
      <c r="Q18482" s="11"/>
      <c r="R18482" s="11"/>
      <c r="S18482" s="11"/>
      <c r="T18482" s="11"/>
    </row>
    <row r="18483" spans="8:20" x14ac:dyDescent="0.35">
      <c r="H18483" s="711"/>
      <c r="I18483" s="711"/>
      <c r="J18483" s="711"/>
      <c r="K18483" s="711"/>
      <c r="L18483" s="711"/>
      <c r="Q18483" s="11"/>
      <c r="R18483" s="11"/>
      <c r="S18483" s="11"/>
      <c r="T18483" s="11"/>
    </row>
    <row r="18484" spans="8:20" x14ac:dyDescent="0.35">
      <c r="H18484" s="711"/>
      <c r="I18484" s="711"/>
      <c r="J18484" s="711"/>
      <c r="K18484" s="711"/>
      <c r="L18484" s="711"/>
      <c r="Q18484" s="11"/>
      <c r="R18484" s="11"/>
      <c r="S18484" s="11"/>
      <c r="T18484" s="11"/>
    </row>
    <row r="18485" spans="8:20" x14ac:dyDescent="0.35">
      <c r="H18485" s="711"/>
      <c r="I18485" s="711"/>
      <c r="J18485" s="711"/>
      <c r="K18485" s="711"/>
      <c r="L18485" s="711"/>
      <c r="Q18485" s="11"/>
      <c r="R18485" s="11"/>
      <c r="S18485" s="11"/>
      <c r="T18485" s="11"/>
    </row>
    <row r="18486" spans="8:20" x14ac:dyDescent="0.35">
      <c r="H18486" s="711"/>
      <c r="I18486" s="711"/>
      <c r="J18486" s="711"/>
      <c r="K18486" s="711"/>
      <c r="L18486" s="711"/>
      <c r="Q18486" s="11"/>
      <c r="R18486" s="11"/>
      <c r="S18486" s="11"/>
      <c r="T18486" s="11"/>
    </row>
    <row r="18487" spans="8:20" x14ac:dyDescent="0.35">
      <c r="H18487" s="711"/>
      <c r="I18487" s="711"/>
      <c r="J18487" s="711"/>
      <c r="K18487" s="711"/>
      <c r="L18487" s="711"/>
      <c r="Q18487" s="11"/>
      <c r="R18487" s="11"/>
      <c r="S18487" s="11"/>
      <c r="T18487" s="11"/>
    </row>
    <row r="18488" spans="8:20" x14ac:dyDescent="0.35">
      <c r="H18488" s="711"/>
      <c r="I18488" s="711"/>
      <c r="J18488" s="711"/>
      <c r="K18488" s="711"/>
      <c r="L18488" s="711"/>
      <c r="Q18488" s="11"/>
      <c r="R18488" s="11"/>
      <c r="S18488" s="11"/>
      <c r="T18488" s="11"/>
    </row>
    <row r="18489" spans="8:20" x14ac:dyDescent="0.35">
      <c r="H18489" s="711"/>
      <c r="I18489" s="711"/>
      <c r="J18489" s="711"/>
      <c r="K18489" s="711"/>
      <c r="L18489" s="711"/>
      <c r="Q18489" s="11"/>
      <c r="R18489" s="11"/>
      <c r="S18489" s="11"/>
      <c r="T18489" s="11"/>
    </row>
    <row r="18490" spans="8:20" x14ac:dyDescent="0.35">
      <c r="H18490" s="711"/>
      <c r="I18490" s="711"/>
      <c r="J18490" s="711"/>
      <c r="K18490" s="711"/>
      <c r="L18490" s="711"/>
      <c r="Q18490" s="11"/>
      <c r="R18490" s="11"/>
      <c r="S18490" s="11"/>
      <c r="T18490" s="11"/>
    </row>
    <row r="18491" spans="8:20" x14ac:dyDescent="0.35">
      <c r="H18491" s="711"/>
      <c r="I18491" s="711"/>
      <c r="J18491" s="711"/>
      <c r="K18491" s="711"/>
      <c r="L18491" s="711"/>
      <c r="Q18491" s="11"/>
      <c r="R18491" s="11"/>
      <c r="S18491" s="11"/>
      <c r="T18491" s="11"/>
    </row>
    <row r="18492" spans="8:20" x14ac:dyDescent="0.35">
      <c r="H18492" s="711"/>
      <c r="I18492" s="711"/>
      <c r="J18492" s="711"/>
      <c r="K18492" s="711"/>
      <c r="L18492" s="711"/>
      <c r="Q18492" s="11"/>
      <c r="R18492" s="11"/>
      <c r="S18492" s="11"/>
      <c r="T18492" s="11"/>
    </row>
    <row r="18493" spans="8:20" x14ac:dyDescent="0.35">
      <c r="H18493" s="711"/>
      <c r="I18493" s="711"/>
      <c r="J18493" s="711"/>
      <c r="K18493" s="711"/>
      <c r="L18493" s="711"/>
      <c r="Q18493" s="11"/>
      <c r="R18493" s="11"/>
      <c r="S18493" s="11"/>
      <c r="T18493" s="11"/>
    </row>
    <row r="18494" spans="8:20" x14ac:dyDescent="0.35">
      <c r="H18494" s="711"/>
      <c r="I18494" s="711"/>
      <c r="J18494" s="711"/>
      <c r="K18494" s="711"/>
      <c r="L18494" s="711"/>
      <c r="Q18494" s="11"/>
      <c r="R18494" s="11"/>
      <c r="S18494" s="11"/>
      <c r="T18494" s="11"/>
    </row>
    <row r="18495" spans="8:20" x14ac:dyDescent="0.35">
      <c r="H18495" s="711"/>
      <c r="I18495" s="711"/>
      <c r="J18495" s="711"/>
      <c r="K18495" s="711"/>
      <c r="L18495" s="711"/>
      <c r="Q18495" s="11"/>
      <c r="R18495" s="11"/>
      <c r="S18495" s="11"/>
      <c r="T18495" s="11"/>
    </row>
    <row r="18496" spans="8:20" x14ac:dyDescent="0.35">
      <c r="H18496" s="711"/>
      <c r="I18496" s="711"/>
      <c r="J18496" s="711"/>
      <c r="K18496" s="711"/>
      <c r="L18496" s="711"/>
      <c r="Q18496" s="11"/>
      <c r="R18496" s="11"/>
      <c r="S18496" s="11"/>
      <c r="T18496" s="11"/>
    </row>
    <row r="18497" spans="8:20" x14ac:dyDescent="0.35">
      <c r="H18497" s="711"/>
      <c r="I18497" s="711"/>
      <c r="J18497" s="711"/>
      <c r="K18497" s="711"/>
      <c r="L18497" s="711"/>
      <c r="Q18497" s="11"/>
      <c r="R18497" s="11"/>
      <c r="S18497" s="11"/>
      <c r="T18497" s="11"/>
    </row>
    <row r="18498" spans="8:20" x14ac:dyDescent="0.35">
      <c r="H18498" s="711"/>
      <c r="I18498" s="711"/>
      <c r="J18498" s="711"/>
      <c r="K18498" s="711"/>
      <c r="L18498" s="711"/>
      <c r="Q18498" s="11"/>
      <c r="R18498" s="11"/>
      <c r="S18498" s="11"/>
      <c r="T18498" s="11"/>
    </row>
    <row r="18499" spans="8:20" x14ac:dyDescent="0.35">
      <c r="H18499" s="711"/>
      <c r="I18499" s="711"/>
      <c r="J18499" s="711"/>
      <c r="K18499" s="711"/>
      <c r="L18499" s="711"/>
      <c r="Q18499" s="11"/>
      <c r="R18499" s="11"/>
      <c r="S18499" s="11"/>
      <c r="T18499" s="11"/>
    </row>
    <row r="18500" spans="8:20" x14ac:dyDescent="0.35">
      <c r="H18500" s="711"/>
      <c r="I18500" s="711"/>
      <c r="J18500" s="711"/>
      <c r="K18500" s="711"/>
      <c r="L18500" s="711"/>
      <c r="Q18500" s="11"/>
      <c r="R18500" s="11"/>
      <c r="S18500" s="11"/>
      <c r="T18500" s="11"/>
    </row>
    <row r="18501" spans="8:20" x14ac:dyDescent="0.35">
      <c r="H18501" s="711"/>
      <c r="I18501" s="711"/>
      <c r="J18501" s="711"/>
      <c r="K18501" s="711"/>
      <c r="L18501" s="711"/>
      <c r="Q18501" s="11"/>
      <c r="R18501" s="11"/>
      <c r="S18501" s="11"/>
      <c r="T18501" s="11"/>
    </row>
    <row r="18502" spans="8:20" x14ac:dyDescent="0.35">
      <c r="H18502" s="711"/>
      <c r="I18502" s="711"/>
      <c r="J18502" s="711"/>
      <c r="K18502" s="711"/>
      <c r="L18502" s="711"/>
      <c r="Q18502" s="11"/>
      <c r="R18502" s="11"/>
      <c r="S18502" s="11"/>
      <c r="T18502" s="11"/>
    </row>
    <row r="18503" spans="8:20" x14ac:dyDescent="0.35">
      <c r="H18503" s="711"/>
      <c r="I18503" s="711"/>
      <c r="J18503" s="711"/>
      <c r="K18503" s="711"/>
      <c r="L18503" s="711"/>
      <c r="Q18503" s="11"/>
      <c r="R18503" s="11"/>
      <c r="S18503" s="11"/>
      <c r="T18503" s="11"/>
    </row>
    <row r="18504" spans="8:20" x14ac:dyDescent="0.35">
      <c r="H18504" s="711"/>
      <c r="I18504" s="711"/>
      <c r="J18504" s="711"/>
      <c r="K18504" s="711"/>
      <c r="L18504" s="711"/>
      <c r="Q18504" s="11"/>
      <c r="R18504" s="11"/>
      <c r="S18504" s="11"/>
      <c r="T18504" s="11"/>
    </row>
    <row r="18505" spans="8:20" x14ac:dyDescent="0.35">
      <c r="H18505" s="711"/>
      <c r="I18505" s="711"/>
      <c r="J18505" s="711"/>
      <c r="K18505" s="711"/>
      <c r="L18505" s="711"/>
      <c r="Q18505" s="11"/>
      <c r="R18505" s="11"/>
      <c r="S18505" s="11"/>
      <c r="T18505" s="11"/>
    </row>
    <row r="18506" spans="8:20" x14ac:dyDescent="0.35">
      <c r="H18506" s="711"/>
      <c r="I18506" s="711"/>
      <c r="J18506" s="711"/>
      <c r="K18506" s="711"/>
      <c r="L18506" s="711"/>
      <c r="Q18506" s="11"/>
      <c r="R18506" s="11"/>
      <c r="S18506" s="11"/>
      <c r="T18506" s="11"/>
    </row>
    <row r="18507" spans="8:20" x14ac:dyDescent="0.35">
      <c r="H18507" s="711"/>
      <c r="I18507" s="711"/>
      <c r="J18507" s="711"/>
      <c r="K18507" s="711"/>
      <c r="L18507" s="711"/>
      <c r="Q18507" s="11"/>
      <c r="R18507" s="11"/>
      <c r="S18507" s="11"/>
      <c r="T18507" s="11"/>
    </row>
    <row r="18508" spans="8:20" x14ac:dyDescent="0.35">
      <c r="H18508" s="711"/>
      <c r="I18508" s="711"/>
      <c r="J18508" s="711"/>
      <c r="K18508" s="711"/>
      <c r="L18508" s="711"/>
      <c r="Q18508" s="11"/>
      <c r="R18508" s="11"/>
      <c r="S18508" s="11"/>
      <c r="T18508" s="11"/>
    </row>
    <row r="18509" spans="8:20" x14ac:dyDescent="0.35">
      <c r="H18509" s="711"/>
      <c r="I18509" s="711"/>
      <c r="J18509" s="711"/>
      <c r="K18509" s="711"/>
      <c r="L18509" s="711"/>
      <c r="Q18509" s="11"/>
      <c r="R18509" s="11"/>
      <c r="S18509" s="11"/>
      <c r="T18509" s="11"/>
    </row>
    <row r="18510" spans="8:20" x14ac:dyDescent="0.35">
      <c r="H18510" s="711"/>
      <c r="I18510" s="711"/>
      <c r="J18510" s="711"/>
      <c r="K18510" s="711"/>
      <c r="L18510" s="711"/>
      <c r="Q18510" s="11"/>
      <c r="R18510" s="11"/>
      <c r="S18510" s="11"/>
      <c r="T18510" s="11"/>
    </row>
    <row r="18511" spans="8:20" x14ac:dyDescent="0.35">
      <c r="H18511" s="711"/>
      <c r="I18511" s="711"/>
      <c r="J18511" s="711"/>
      <c r="K18511" s="711"/>
      <c r="L18511" s="711"/>
      <c r="Q18511" s="11"/>
      <c r="R18511" s="11"/>
      <c r="S18511" s="11"/>
      <c r="T18511" s="11"/>
    </row>
    <row r="18512" spans="8:20" x14ac:dyDescent="0.35">
      <c r="H18512" s="711"/>
      <c r="I18512" s="711"/>
      <c r="J18512" s="711"/>
      <c r="K18512" s="711"/>
      <c r="L18512" s="711"/>
      <c r="Q18512" s="11"/>
      <c r="R18512" s="11"/>
      <c r="S18512" s="11"/>
      <c r="T18512" s="11"/>
    </row>
    <row r="18513" spans="8:20" x14ac:dyDescent="0.35">
      <c r="H18513" s="711"/>
      <c r="I18513" s="711"/>
      <c r="J18513" s="711"/>
      <c r="K18513" s="711"/>
      <c r="L18513" s="711"/>
      <c r="Q18513" s="11"/>
      <c r="R18513" s="11"/>
      <c r="S18513" s="11"/>
      <c r="T18513" s="11"/>
    </row>
    <row r="18514" spans="8:20" x14ac:dyDescent="0.35">
      <c r="H18514" s="711"/>
      <c r="I18514" s="711"/>
      <c r="J18514" s="711"/>
      <c r="K18514" s="711"/>
      <c r="L18514" s="711"/>
      <c r="Q18514" s="11"/>
      <c r="R18514" s="11"/>
      <c r="S18514" s="11"/>
      <c r="T18514" s="11"/>
    </row>
    <row r="18515" spans="8:20" x14ac:dyDescent="0.35">
      <c r="H18515" s="711"/>
      <c r="I18515" s="711"/>
      <c r="J18515" s="711"/>
      <c r="K18515" s="711"/>
      <c r="L18515" s="711"/>
      <c r="Q18515" s="11"/>
      <c r="R18515" s="11"/>
      <c r="S18515" s="11"/>
      <c r="T18515" s="11"/>
    </row>
    <row r="18516" spans="8:20" x14ac:dyDescent="0.35">
      <c r="H18516" s="711"/>
      <c r="I18516" s="711"/>
      <c r="J18516" s="711"/>
      <c r="K18516" s="711"/>
      <c r="L18516" s="711"/>
      <c r="Q18516" s="11"/>
      <c r="R18516" s="11"/>
      <c r="S18516" s="11"/>
      <c r="T18516" s="11"/>
    </row>
    <row r="18517" spans="8:20" x14ac:dyDescent="0.35">
      <c r="H18517" s="711"/>
      <c r="I18517" s="711"/>
      <c r="J18517" s="711"/>
      <c r="K18517" s="711"/>
      <c r="L18517" s="711"/>
      <c r="Q18517" s="11"/>
      <c r="R18517" s="11"/>
      <c r="S18517" s="11"/>
      <c r="T18517" s="11"/>
    </row>
    <row r="18518" spans="8:20" x14ac:dyDescent="0.35">
      <c r="H18518" s="711"/>
      <c r="I18518" s="711"/>
      <c r="J18518" s="711"/>
      <c r="K18518" s="711"/>
      <c r="L18518" s="711"/>
      <c r="Q18518" s="11"/>
      <c r="R18518" s="11"/>
      <c r="S18518" s="11"/>
      <c r="T18518" s="11"/>
    </row>
    <row r="18519" spans="8:20" x14ac:dyDescent="0.35">
      <c r="H18519" s="711"/>
      <c r="I18519" s="711"/>
      <c r="J18519" s="711"/>
      <c r="K18519" s="711"/>
      <c r="L18519" s="711"/>
      <c r="Q18519" s="11"/>
      <c r="R18519" s="11"/>
      <c r="S18519" s="11"/>
      <c r="T18519" s="11"/>
    </row>
    <row r="18520" spans="8:20" x14ac:dyDescent="0.35">
      <c r="H18520" s="711"/>
      <c r="I18520" s="711"/>
      <c r="J18520" s="711"/>
      <c r="K18520" s="711"/>
      <c r="L18520" s="711"/>
      <c r="Q18520" s="11"/>
      <c r="R18520" s="11"/>
      <c r="S18520" s="11"/>
      <c r="T18520" s="11"/>
    </row>
    <row r="18521" spans="8:20" x14ac:dyDescent="0.35">
      <c r="H18521" s="711"/>
      <c r="I18521" s="711"/>
      <c r="J18521" s="711"/>
      <c r="K18521" s="711"/>
      <c r="L18521" s="711"/>
      <c r="Q18521" s="11"/>
      <c r="R18521" s="11"/>
      <c r="S18521" s="11"/>
      <c r="T18521" s="11"/>
    </row>
    <row r="18522" spans="8:20" x14ac:dyDescent="0.35">
      <c r="H18522" s="711"/>
      <c r="I18522" s="711"/>
      <c r="J18522" s="711"/>
      <c r="K18522" s="711"/>
      <c r="L18522" s="711"/>
      <c r="Q18522" s="11"/>
      <c r="R18522" s="11"/>
      <c r="S18522" s="11"/>
      <c r="T18522" s="11"/>
    </row>
    <row r="18523" spans="8:20" x14ac:dyDescent="0.35">
      <c r="H18523" s="711"/>
      <c r="I18523" s="711"/>
      <c r="J18523" s="711"/>
      <c r="K18523" s="711"/>
      <c r="L18523" s="711"/>
      <c r="Q18523" s="11"/>
      <c r="R18523" s="11"/>
      <c r="S18523" s="11"/>
      <c r="T18523" s="11"/>
    </row>
    <row r="18524" spans="8:20" x14ac:dyDescent="0.35">
      <c r="H18524" s="711"/>
      <c r="I18524" s="711"/>
      <c r="J18524" s="711"/>
      <c r="K18524" s="711"/>
      <c r="L18524" s="711"/>
      <c r="Q18524" s="11"/>
      <c r="R18524" s="11"/>
      <c r="S18524" s="11"/>
      <c r="T18524" s="11"/>
    </row>
    <row r="18525" spans="8:20" x14ac:dyDescent="0.35">
      <c r="H18525" s="711"/>
      <c r="I18525" s="711"/>
      <c r="J18525" s="711"/>
      <c r="K18525" s="711"/>
      <c r="L18525" s="711"/>
      <c r="Q18525" s="11"/>
      <c r="R18525" s="11"/>
      <c r="S18525" s="11"/>
      <c r="T18525" s="11"/>
    </row>
    <row r="18526" spans="8:20" x14ac:dyDescent="0.35">
      <c r="H18526" s="711"/>
      <c r="I18526" s="711"/>
      <c r="J18526" s="711"/>
      <c r="K18526" s="711"/>
      <c r="L18526" s="711"/>
      <c r="Q18526" s="11"/>
      <c r="R18526" s="11"/>
      <c r="S18526" s="11"/>
      <c r="T18526" s="11"/>
    </row>
    <row r="18527" spans="8:20" x14ac:dyDescent="0.35">
      <c r="H18527" s="711"/>
      <c r="I18527" s="711"/>
      <c r="J18527" s="711"/>
      <c r="K18527" s="711"/>
      <c r="L18527" s="711"/>
      <c r="Q18527" s="11"/>
      <c r="R18527" s="11"/>
      <c r="S18527" s="11"/>
      <c r="T18527" s="11"/>
    </row>
    <row r="18528" spans="8:20" x14ac:dyDescent="0.35">
      <c r="H18528" s="711"/>
      <c r="I18528" s="711"/>
      <c r="J18528" s="711"/>
      <c r="K18528" s="711"/>
      <c r="L18528" s="711"/>
      <c r="Q18528" s="11"/>
      <c r="R18528" s="11"/>
      <c r="S18528" s="11"/>
      <c r="T18528" s="11"/>
    </row>
    <row r="18529" spans="8:20" x14ac:dyDescent="0.35">
      <c r="H18529" s="711"/>
      <c r="I18529" s="711"/>
      <c r="J18529" s="711"/>
      <c r="K18529" s="711"/>
      <c r="L18529" s="711"/>
      <c r="Q18529" s="11"/>
      <c r="R18529" s="11"/>
      <c r="S18529" s="11"/>
      <c r="T18529" s="11"/>
    </row>
    <row r="18530" spans="8:20" x14ac:dyDescent="0.35">
      <c r="H18530" s="711"/>
      <c r="I18530" s="711"/>
      <c r="J18530" s="711"/>
      <c r="K18530" s="711"/>
      <c r="L18530" s="711"/>
      <c r="Q18530" s="11"/>
      <c r="R18530" s="11"/>
      <c r="S18530" s="11"/>
      <c r="T18530" s="11"/>
    </row>
    <row r="18531" spans="8:20" x14ac:dyDescent="0.35">
      <c r="H18531" s="711"/>
      <c r="I18531" s="711"/>
      <c r="J18531" s="711"/>
      <c r="K18531" s="711"/>
      <c r="L18531" s="711"/>
      <c r="Q18531" s="11"/>
      <c r="R18531" s="11"/>
      <c r="S18531" s="11"/>
      <c r="T18531" s="11"/>
    </row>
    <row r="18532" spans="8:20" x14ac:dyDescent="0.35">
      <c r="H18532" s="711"/>
      <c r="I18532" s="711"/>
      <c r="J18532" s="711"/>
      <c r="K18532" s="711"/>
      <c r="L18532" s="711"/>
      <c r="Q18532" s="11"/>
      <c r="R18532" s="11"/>
      <c r="S18532" s="11"/>
      <c r="T18532" s="11"/>
    </row>
    <row r="18533" spans="8:20" x14ac:dyDescent="0.35">
      <c r="H18533" s="711"/>
      <c r="I18533" s="711"/>
      <c r="J18533" s="711"/>
      <c r="K18533" s="711"/>
      <c r="L18533" s="711"/>
      <c r="Q18533" s="11"/>
      <c r="R18533" s="11"/>
      <c r="S18533" s="11"/>
      <c r="T18533" s="11"/>
    </row>
    <row r="18534" spans="8:20" x14ac:dyDescent="0.35">
      <c r="H18534" s="711"/>
      <c r="I18534" s="711"/>
      <c r="J18534" s="711"/>
      <c r="K18534" s="711"/>
      <c r="L18534" s="711"/>
      <c r="Q18534" s="11"/>
      <c r="R18534" s="11"/>
      <c r="S18534" s="11"/>
      <c r="T18534" s="11"/>
    </row>
    <row r="18535" spans="8:20" x14ac:dyDescent="0.35">
      <c r="H18535" s="711"/>
      <c r="I18535" s="711"/>
      <c r="J18535" s="711"/>
      <c r="K18535" s="711"/>
      <c r="L18535" s="711"/>
      <c r="Q18535" s="11"/>
      <c r="R18535" s="11"/>
      <c r="S18535" s="11"/>
      <c r="T18535" s="11"/>
    </row>
    <row r="18536" spans="8:20" x14ac:dyDescent="0.35">
      <c r="H18536" s="711"/>
      <c r="I18536" s="711"/>
      <c r="J18536" s="711"/>
      <c r="K18536" s="711"/>
      <c r="L18536" s="711"/>
      <c r="Q18536" s="11"/>
      <c r="R18536" s="11"/>
      <c r="S18536" s="11"/>
      <c r="T18536" s="11"/>
    </row>
    <row r="18537" spans="8:20" x14ac:dyDescent="0.35">
      <c r="H18537" s="711"/>
      <c r="I18537" s="711"/>
      <c r="J18537" s="711"/>
      <c r="K18537" s="711"/>
      <c r="L18537" s="711"/>
      <c r="Q18537" s="11"/>
      <c r="R18537" s="11"/>
      <c r="S18537" s="11"/>
      <c r="T18537" s="11"/>
    </row>
    <row r="18538" spans="8:20" x14ac:dyDescent="0.35">
      <c r="H18538" s="711"/>
      <c r="I18538" s="711"/>
      <c r="J18538" s="711"/>
      <c r="K18538" s="711"/>
      <c r="L18538" s="711"/>
      <c r="Q18538" s="11"/>
      <c r="R18538" s="11"/>
      <c r="S18538" s="11"/>
      <c r="T18538" s="11"/>
    </row>
    <row r="18539" spans="8:20" x14ac:dyDescent="0.35">
      <c r="H18539" s="711"/>
      <c r="I18539" s="711"/>
      <c r="J18539" s="711"/>
      <c r="K18539" s="711"/>
      <c r="L18539" s="711"/>
      <c r="Q18539" s="11"/>
      <c r="R18539" s="11"/>
      <c r="S18539" s="11"/>
      <c r="T18539" s="11"/>
    </row>
    <row r="18540" spans="8:20" x14ac:dyDescent="0.35">
      <c r="H18540" s="711"/>
      <c r="I18540" s="711"/>
      <c r="J18540" s="711"/>
      <c r="K18540" s="711"/>
      <c r="L18540" s="711"/>
      <c r="Q18540" s="11"/>
      <c r="R18540" s="11"/>
      <c r="S18540" s="11"/>
      <c r="T18540" s="11"/>
    </row>
    <row r="18541" spans="8:20" x14ac:dyDescent="0.35">
      <c r="H18541" s="711"/>
      <c r="I18541" s="711"/>
      <c r="J18541" s="711"/>
      <c r="K18541" s="711"/>
      <c r="L18541" s="711"/>
      <c r="Q18541" s="11"/>
      <c r="R18541" s="11"/>
      <c r="S18541" s="11"/>
      <c r="T18541" s="11"/>
    </row>
    <row r="18542" spans="8:20" x14ac:dyDescent="0.35">
      <c r="H18542" s="711"/>
      <c r="I18542" s="711"/>
      <c r="J18542" s="711"/>
      <c r="K18542" s="711"/>
      <c r="L18542" s="711"/>
      <c r="Q18542" s="11"/>
      <c r="R18542" s="11"/>
      <c r="S18542" s="11"/>
      <c r="T18542" s="11"/>
    </row>
    <row r="18543" spans="8:20" x14ac:dyDescent="0.35">
      <c r="H18543" s="711"/>
      <c r="I18543" s="711"/>
      <c r="J18543" s="711"/>
      <c r="K18543" s="711"/>
      <c r="L18543" s="711"/>
      <c r="Q18543" s="11"/>
      <c r="R18543" s="11"/>
      <c r="S18543" s="11"/>
      <c r="T18543" s="11"/>
    </row>
    <row r="18544" spans="8:20" x14ac:dyDescent="0.35">
      <c r="H18544" s="711"/>
      <c r="I18544" s="711"/>
      <c r="J18544" s="711"/>
      <c r="K18544" s="711"/>
      <c r="L18544" s="711"/>
      <c r="Q18544" s="11"/>
      <c r="R18544" s="11"/>
      <c r="S18544" s="11"/>
      <c r="T18544" s="11"/>
    </row>
    <row r="18545" spans="8:20" x14ac:dyDescent="0.35">
      <c r="H18545" s="711"/>
      <c r="I18545" s="711"/>
      <c r="J18545" s="711"/>
      <c r="K18545" s="711"/>
      <c r="L18545" s="711"/>
      <c r="Q18545" s="11"/>
      <c r="R18545" s="11"/>
      <c r="S18545" s="11"/>
      <c r="T18545" s="11"/>
    </row>
    <row r="18546" spans="8:20" x14ac:dyDescent="0.35">
      <c r="H18546" s="711"/>
      <c r="I18546" s="711"/>
      <c r="J18546" s="711"/>
      <c r="K18546" s="711"/>
      <c r="L18546" s="711"/>
      <c r="Q18546" s="11"/>
      <c r="R18546" s="11"/>
      <c r="S18546" s="11"/>
      <c r="T18546" s="11"/>
    </row>
    <row r="18547" spans="8:20" x14ac:dyDescent="0.35">
      <c r="H18547" s="711"/>
      <c r="I18547" s="711"/>
      <c r="J18547" s="711"/>
      <c r="K18547" s="711"/>
      <c r="L18547" s="711"/>
      <c r="Q18547" s="11"/>
      <c r="R18547" s="11"/>
      <c r="S18547" s="11"/>
      <c r="T18547" s="11"/>
    </row>
    <row r="18548" spans="8:20" x14ac:dyDescent="0.35">
      <c r="H18548" s="711"/>
      <c r="I18548" s="711"/>
      <c r="J18548" s="711"/>
      <c r="K18548" s="711"/>
      <c r="L18548" s="711"/>
      <c r="Q18548" s="11"/>
      <c r="R18548" s="11"/>
      <c r="S18548" s="11"/>
      <c r="T18548" s="11"/>
    </row>
    <row r="18549" spans="8:20" x14ac:dyDescent="0.35">
      <c r="H18549" s="711"/>
      <c r="I18549" s="711"/>
      <c r="J18549" s="711"/>
      <c r="K18549" s="711"/>
      <c r="L18549" s="711"/>
      <c r="Q18549" s="11"/>
      <c r="R18549" s="11"/>
      <c r="S18549" s="11"/>
      <c r="T18549" s="11"/>
    </row>
    <row r="18550" spans="8:20" x14ac:dyDescent="0.35">
      <c r="H18550" s="711"/>
      <c r="I18550" s="711"/>
      <c r="J18550" s="711"/>
      <c r="K18550" s="711"/>
      <c r="L18550" s="711"/>
      <c r="Q18550" s="11"/>
      <c r="R18550" s="11"/>
      <c r="S18550" s="11"/>
      <c r="T18550" s="11"/>
    </row>
    <row r="18551" spans="8:20" x14ac:dyDescent="0.35">
      <c r="H18551" s="711"/>
      <c r="I18551" s="711"/>
      <c r="J18551" s="711"/>
      <c r="K18551" s="711"/>
      <c r="L18551" s="711"/>
      <c r="Q18551" s="11"/>
      <c r="R18551" s="11"/>
      <c r="S18551" s="11"/>
      <c r="T18551" s="11"/>
    </row>
    <row r="18552" spans="8:20" x14ac:dyDescent="0.35">
      <c r="H18552" s="711"/>
      <c r="I18552" s="711"/>
      <c r="J18552" s="711"/>
      <c r="K18552" s="711"/>
      <c r="L18552" s="711"/>
      <c r="Q18552" s="11"/>
      <c r="R18552" s="11"/>
      <c r="S18552" s="11"/>
      <c r="T18552" s="11"/>
    </row>
    <row r="18553" spans="8:20" x14ac:dyDescent="0.35">
      <c r="H18553" s="711"/>
      <c r="I18553" s="711"/>
      <c r="J18553" s="711"/>
      <c r="K18553" s="711"/>
      <c r="L18553" s="711"/>
      <c r="Q18553" s="11"/>
      <c r="R18553" s="11"/>
      <c r="S18553" s="11"/>
      <c r="T18553" s="11"/>
    </row>
    <row r="18554" spans="8:20" x14ac:dyDescent="0.35">
      <c r="H18554" s="711"/>
      <c r="I18554" s="711"/>
      <c r="J18554" s="711"/>
      <c r="K18554" s="711"/>
      <c r="L18554" s="711"/>
      <c r="Q18554" s="11"/>
      <c r="R18554" s="11"/>
      <c r="S18554" s="11"/>
      <c r="T18554" s="11"/>
    </row>
    <row r="18555" spans="8:20" x14ac:dyDescent="0.35">
      <c r="H18555" s="711"/>
      <c r="I18555" s="711"/>
      <c r="J18555" s="711"/>
      <c r="K18555" s="711"/>
      <c r="L18555" s="711"/>
      <c r="Q18555" s="11"/>
      <c r="R18555" s="11"/>
      <c r="S18555" s="11"/>
      <c r="T18555" s="11"/>
    </row>
    <row r="18556" spans="8:20" x14ac:dyDescent="0.35">
      <c r="H18556" s="711"/>
      <c r="I18556" s="711"/>
      <c r="J18556" s="711"/>
      <c r="K18556" s="711"/>
      <c r="L18556" s="711"/>
      <c r="Q18556" s="11"/>
      <c r="R18556" s="11"/>
      <c r="S18556" s="11"/>
      <c r="T18556" s="11"/>
    </row>
    <row r="18557" spans="8:20" x14ac:dyDescent="0.35">
      <c r="H18557" s="711"/>
      <c r="I18557" s="711"/>
      <c r="J18557" s="711"/>
      <c r="K18557" s="711"/>
      <c r="L18557" s="711"/>
      <c r="Q18557" s="11"/>
      <c r="R18557" s="11"/>
      <c r="S18557" s="11"/>
      <c r="T18557" s="11"/>
    </row>
    <row r="18558" spans="8:20" x14ac:dyDescent="0.35">
      <c r="H18558" s="711"/>
      <c r="I18558" s="711"/>
      <c r="J18558" s="711"/>
      <c r="K18558" s="711"/>
      <c r="L18558" s="711"/>
      <c r="Q18558" s="11"/>
      <c r="R18558" s="11"/>
      <c r="S18558" s="11"/>
      <c r="T18558" s="11"/>
    </row>
    <row r="18559" spans="8:20" x14ac:dyDescent="0.35">
      <c r="H18559" s="711"/>
      <c r="I18559" s="711"/>
      <c r="J18559" s="711"/>
      <c r="K18559" s="711"/>
      <c r="L18559" s="711"/>
      <c r="Q18559" s="11"/>
      <c r="R18559" s="11"/>
      <c r="S18559" s="11"/>
      <c r="T18559" s="11"/>
    </row>
    <row r="18560" spans="8:20" x14ac:dyDescent="0.35">
      <c r="H18560" s="711"/>
      <c r="I18560" s="711"/>
      <c r="J18560" s="711"/>
      <c r="K18560" s="711"/>
      <c r="L18560" s="711"/>
      <c r="Q18560" s="11"/>
      <c r="R18560" s="11"/>
      <c r="S18560" s="11"/>
      <c r="T18560" s="11"/>
    </row>
    <row r="18561" spans="8:20" x14ac:dyDescent="0.35">
      <c r="H18561" s="711"/>
      <c r="I18561" s="711"/>
      <c r="J18561" s="711"/>
      <c r="K18561" s="711"/>
      <c r="L18561" s="711"/>
      <c r="Q18561" s="11"/>
      <c r="R18561" s="11"/>
      <c r="S18561" s="11"/>
      <c r="T18561" s="11"/>
    </row>
    <row r="18562" spans="8:20" x14ac:dyDescent="0.35">
      <c r="H18562" s="711"/>
      <c r="I18562" s="711"/>
      <c r="J18562" s="711"/>
      <c r="K18562" s="711"/>
      <c r="L18562" s="711"/>
      <c r="Q18562" s="11"/>
      <c r="R18562" s="11"/>
      <c r="S18562" s="11"/>
      <c r="T18562" s="11"/>
    </row>
    <row r="18563" spans="8:20" x14ac:dyDescent="0.35">
      <c r="H18563" s="711"/>
      <c r="I18563" s="711"/>
      <c r="J18563" s="711"/>
      <c r="K18563" s="711"/>
      <c r="L18563" s="711"/>
      <c r="Q18563" s="11"/>
      <c r="R18563" s="11"/>
      <c r="S18563" s="11"/>
      <c r="T18563" s="11"/>
    </row>
    <row r="18564" spans="8:20" x14ac:dyDescent="0.35">
      <c r="H18564" s="711"/>
      <c r="I18564" s="711"/>
      <c r="J18564" s="711"/>
      <c r="K18564" s="711"/>
      <c r="L18564" s="711"/>
      <c r="Q18564" s="11"/>
      <c r="R18564" s="11"/>
      <c r="S18564" s="11"/>
      <c r="T18564" s="11"/>
    </row>
    <row r="18565" spans="8:20" x14ac:dyDescent="0.35">
      <c r="H18565" s="711"/>
      <c r="I18565" s="711"/>
      <c r="J18565" s="711"/>
      <c r="K18565" s="711"/>
      <c r="L18565" s="711"/>
      <c r="Q18565" s="11"/>
      <c r="R18565" s="11"/>
      <c r="S18565" s="11"/>
      <c r="T18565" s="11"/>
    </row>
    <row r="18566" spans="8:20" x14ac:dyDescent="0.35">
      <c r="H18566" s="711"/>
      <c r="I18566" s="711"/>
      <c r="J18566" s="711"/>
      <c r="K18566" s="711"/>
      <c r="L18566" s="711"/>
      <c r="Q18566" s="11"/>
      <c r="R18566" s="11"/>
      <c r="S18566" s="11"/>
      <c r="T18566" s="11"/>
    </row>
    <row r="18567" spans="8:20" x14ac:dyDescent="0.35">
      <c r="H18567" s="711"/>
      <c r="I18567" s="711"/>
      <c r="J18567" s="711"/>
      <c r="K18567" s="711"/>
      <c r="L18567" s="711"/>
      <c r="Q18567" s="11"/>
      <c r="R18567" s="11"/>
      <c r="S18567" s="11"/>
      <c r="T18567" s="11"/>
    </row>
    <row r="18568" spans="8:20" x14ac:dyDescent="0.35">
      <c r="H18568" s="711"/>
      <c r="I18568" s="711"/>
      <c r="J18568" s="711"/>
      <c r="K18568" s="711"/>
      <c r="L18568" s="711"/>
      <c r="Q18568" s="11"/>
      <c r="R18568" s="11"/>
      <c r="S18568" s="11"/>
      <c r="T18568" s="11"/>
    </row>
    <row r="18569" spans="8:20" x14ac:dyDescent="0.35">
      <c r="H18569" s="711"/>
      <c r="I18569" s="711"/>
      <c r="J18569" s="711"/>
      <c r="K18569" s="711"/>
      <c r="L18569" s="711"/>
      <c r="Q18569" s="11"/>
      <c r="R18569" s="11"/>
      <c r="S18569" s="11"/>
      <c r="T18569" s="11"/>
    </row>
    <row r="18570" spans="8:20" x14ac:dyDescent="0.35">
      <c r="H18570" s="711"/>
      <c r="I18570" s="711"/>
      <c r="J18570" s="711"/>
      <c r="K18570" s="711"/>
      <c r="L18570" s="711"/>
      <c r="Q18570" s="11"/>
      <c r="R18570" s="11"/>
      <c r="S18570" s="11"/>
      <c r="T18570" s="11"/>
    </row>
    <row r="18571" spans="8:20" x14ac:dyDescent="0.35">
      <c r="H18571" s="711"/>
      <c r="I18571" s="711"/>
      <c r="J18571" s="711"/>
      <c r="K18571" s="711"/>
      <c r="L18571" s="711"/>
      <c r="Q18571" s="11"/>
      <c r="R18571" s="11"/>
      <c r="S18571" s="11"/>
      <c r="T18571" s="11"/>
    </row>
    <row r="18572" spans="8:20" x14ac:dyDescent="0.35">
      <c r="H18572" s="711"/>
      <c r="I18572" s="711"/>
      <c r="J18572" s="711"/>
      <c r="K18572" s="711"/>
      <c r="L18572" s="711"/>
      <c r="Q18572" s="11"/>
      <c r="R18572" s="11"/>
      <c r="S18572" s="11"/>
      <c r="T18572" s="11"/>
    </row>
    <row r="18573" spans="8:20" x14ac:dyDescent="0.35">
      <c r="H18573" s="711"/>
      <c r="I18573" s="711"/>
      <c r="J18573" s="711"/>
      <c r="K18573" s="711"/>
      <c r="L18573" s="711"/>
      <c r="Q18573" s="11"/>
      <c r="R18573" s="11"/>
      <c r="S18573" s="11"/>
      <c r="T18573" s="11"/>
    </row>
    <row r="18574" spans="8:20" x14ac:dyDescent="0.35">
      <c r="H18574" s="711"/>
      <c r="I18574" s="711"/>
      <c r="J18574" s="711"/>
      <c r="K18574" s="711"/>
      <c r="L18574" s="711"/>
      <c r="Q18574" s="11"/>
      <c r="R18574" s="11"/>
      <c r="S18574" s="11"/>
      <c r="T18574" s="11"/>
    </row>
    <row r="18575" spans="8:20" x14ac:dyDescent="0.35">
      <c r="H18575" s="711"/>
      <c r="I18575" s="711"/>
      <c r="J18575" s="711"/>
      <c r="K18575" s="711"/>
      <c r="L18575" s="711"/>
      <c r="Q18575" s="11"/>
      <c r="R18575" s="11"/>
      <c r="S18575" s="11"/>
      <c r="T18575" s="11"/>
    </row>
    <row r="18576" spans="8:20" x14ac:dyDescent="0.35">
      <c r="H18576" s="711"/>
      <c r="I18576" s="711"/>
      <c r="J18576" s="711"/>
      <c r="K18576" s="711"/>
      <c r="L18576" s="711"/>
      <c r="Q18576" s="11"/>
      <c r="R18576" s="11"/>
      <c r="S18576" s="11"/>
      <c r="T18576" s="11"/>
    </row>
    <row r="18577" spans="8:20" x14ac:dyDescent="0.35">
      <c r="H18577" s="711"/>
      <c r="I18577" s="711"/>
      <c r="J18577" s="711"/>
      <c r="K18577" s="711"/>
      <c r="L18577" s="711"/>
      <c r="Q18577" s="11"/>
      <c r="R18577" s="11"/>
      <c r="S18577" s="11"/>
      <c r="T18577" s="11"/>
    </row>
    <row r="18578" spans="8:20" x14ac:dyDescent="0.35">
      <c r="H18578" s="711"/>
      <c r="I18578" s="711"/>
      <c r="J18578" s="711"/>
      <c r="K18578" s="711"/>
      <c r="L18578" s="711"/>
      <c r="Q18578" s="11"/>
      <c r="R18578" s="11"/>
      <c r="S18578" s="11"/>
      <c r="T18578" s="11"/>
    </row>
    <row r="18579" spans="8:20" x14ac:dyDescent="0.35">
      <c r="H18579" s="711"/>
      <c r="I18579" s="711"/>
      <c r="J18579" s="711"/>
      <c r="K18579" s="711"/>
      <c r="L18579" s="711"/>
      <c r="Q18579" s="11"/>
      <c r="R18579" s="11"/>
      <c r="S18579" s="11"/>
      <c r="T18579" s="11"/>
    </row>
    <row r="18580" spans="8:20" x14ac:dyDescent="0.35">
      <c r="H18580" s="711"/>
      <c r="I18580" s="711"/>
      <c r="J18580" s="711"/>
      <c r="K18580" s="711"/>
      <c r="L18580" s="711"/>
      <c r="Q18580" s="11"/>
      <c r="R18580" s="11"/>
      <c r="S18580" s="11"/>
      <c r="T18580" s="11"/>
    </row>
    <row r="18581" spans="8:20" x14ac:dyDescent="0.35">
      <c r="H18581" s="711"/>
      <c r="I18581" s="711"/>
      <c r="J18581" s="711"/>
      <c r="K18581" s="711"/>
      <c r="L18581" s="711"/>
      <c r="Q18581" s="11"/>
      <c r="R18581" s="11"/>
      <c r="S18581" s="11"/>
      <c r="T18581" s="11"/>
    </row>
    <row r="18582" spans="8:20" x14ac:dyDescent="0.35">
      <c r="H18582" s="711"/>
      <c r="I18582" s="711"/>
      <c r="J18582" s="711"/>
      <c r="K18582" s="711"/>
      <c r="L18582" s="711"/>
      <c r="Q18582" s="11"/>
      <c r="R18582" s="11"/>
      <c r="S18582" s="11"/>
      <c r="T18582" s="11"/>
    </row>
    <row r="18583" spans="8:20" x14ac:dyDescent="0.35">
      <c r="H18583" s="711"/>
      <c r="I18583" s="711"/>
      <c r="J18583" s="711"/>
      <c r="K18583" s="711"/>
      <c r="L18583" s="711"/>
      <c r="Q18583" s="11"/>
      <c r="R18583" s="11"/>
      <c r="S18583" s="11"/>
      <c r="T18583" s="11"/>
    </row>
    <row r="18584" spans="8:20" x14ac:dyDescent="0.35">
      <c r="H18584" s="711"/>
      <c r="I18584" s="711"/>
      <c r="J18584" s="711"/>
      <c r="K18584" s="711"/>
      <c r="L18584" s="711"/>
      <c r="Q18584" s="11"/>
      <c r="R18584" s="11"/>
      <c r="S18584" s="11"/>
      <c r="T18584" s="11"/>
    </row>
    <row r="18585" spans="8:20" x14ac:dyDescent="0.35">
      <c r="H18585" s="711"/>
      <c r="I18585" s="711"/>
      <c r="J18585" s="711"/>
      <c r="K18585" s="711"/>
      <c r="L18585" s="711"/>
      <c r="Q18585" s="11"/>
      <c r="R18585" s="11"/>
      <c r="S18585" s="11"/>
      <c r="T18585" s="11"/>
    </row>
    <row r="18586" spans="8:20" x14ac:dyDescent="0.35">
      <c r="H18586" s="711"/>
      <c r="I18586" s="711"/>
      <c r="J18586" s="711"/>
      <c r="K18586" s="711"/>
      <c r="L18586" s="711"/>
      <c r="Q18586" s="11"/>
      <c r="R18586" s="11"/>
      <c r="S18586" s="11"/>
      <c r="T18586" s="11"/>
    </row>
    <row r="18587" spans="8:20" x14ac:dyDescent="0.35">
      <c r="H18587" s="711"/>
      <c r="I18587" s="711"/>
      <c r="J18587" s="711"/>
      <c r="K18587" s="711"/>
      <c r="L18587" s="711"/>
      <c r="Q18587" s="11"/>
      <c r="R18587" s="11"/>
      <c r="S18587" s="11"/>
      <c r="T18587" s="11"/>
    </row>
    <row r="18588" spans="8:20" x14ac:dyDescent="0.35">
      <c r="H18588" s="711"/>
      <c r="I18588" s="711"/>
      <c r="J18588" s="711"/>
      <c r="K18588" s="711"/>
      <c r="L18588" s="711"/>
      <c r="Q18588" s="11"/>
      <c r="R18588" s="11"/>
      <c r="S18588" s="11"/>
      <c r="T18588" s="11"/>
    </row>
    <row r="18589" spans="8:20" x14ac:dyDescent="0.35">
      <c r="H18589" s="711"/>
      <c r="I18589" s="711"/>
      <c r="J18589" s="711"/>
      <c r="K18589" s="711"/>
      <c r="L18589" s="711"/>
      <c r="Q18589" s="11"/>
      <c r="R18589" s="11"/>
      <c r="S18589" s="11"/>
      <c r="T18589" s="11"/>
    </row>
    <row r="18590" spans="8:20" x14ac:dyDescent="0.35">
      <c r="H18590" s="711"/>
      <c r="I18590" s="711"/>
      <c r="J18590" s="711"/>
      <c r="K18590" s="711"/>
      <c r="L18590" s="711"/>
      <c r="Q18590" s="11"/>
      <c r="R18590" s="11"/>
      <c r="S18590" s="11"/>
      <c r="T18590" s="11"/>
    </row>
    <row r="18591" spans="8:20" x14ac:dyDescent="0.35">
      <c r="H18591" s="711"/>
      <c r="I18591" s="711"/>
      <c r="J18591" s="711"/>
      <c r="K18591" s="711"/>
      <c r="L18591" s="711"/>
      <c r="Q18591" s="11"/>
      <c r="R18591" s="11"/>
      <c r="S18591" s="11"/>
      <c r="T18591" s="11"/>
    </row>
    <row r="18592" spans="8:20" x14ac:dyDescent="0.35">
      <c r="H18592" s="711"/>
      <c r="I18592" s="711"/>
      <c r="J18592" s="711"/>
      <c r="K18592" s="711"/>
      <c r="L18592" s="711"/>
      <c r="Q18592" s="11"/>
      <c r="R18592" s="11"/>
      <c r="S18592" s="11"/>
      <c r="T18592" s="11"/>
    </row>
    <row r="18593" spans="8:20" x14ac:dyDescent="0.35">
      <c r="H18593" s="711"/>
      <c r="I18593" s="711"/>
      <c r="J18593" s="711"/>
      <c r="K18593" s="711"/>
      <c r="L18593" s="711"/>
      <c r="Q18593" s="11"/>
      <c r="R18593" s="11"/>
      <c r="S18593" s="11"/>
      <c r="T18593" s="11"/>
    </row>
    <row r="18594" spans="8:20" x14ac:dyDescent="0.35">
      <c r="H18594" s="711"/>
      <c r="I18594" s="711"/>
      <c r="J18594" s="711"/>
      <c r="K18594" s="711"/>
      <c r="L18594" s="711"/>
      <c r="Q18594" s="11"/>
      <c r="R18594" s="11"/>
      <c r="S18594" s="11"/>
      <c r="T18594" s="11"/>
    </row>
    <row r="18595" spans="8:20" x14ac:dyDescent="0.35">
      <c r="H18595" s="711"/>
      <c r="I18595" s="711"/>
      <c r="J18595" s="711"/>
      <c r="K18595" s="711"/>
      <c r="L18595" s="711"/>
      <c r="Q18595" s="11"/>
      <c r="R18595" s="11"/>
      <c r="S18595" s="11"/>
      <c r="T18595" s="11"/>
    </row>
    <row r="18596" spans="8:20" x14ac:dyDescent="0.35">
      <c r="H18596" s="711"/>
      <c r="I18596" s="711"/>
      <c r="J18596" s="711"/>
      <c r="K18596" s="711"/>
      <c r="L18596" s="711"/>
      <c r="Q18596" s="11"/>
      <c r="R18596" s="11"/>
      <c r="S18596" s="11"/>
      <c r="T18596" s="11"/>
    </row>
    <row r="18597" spans="8:20" x14ac:dyDescent="0.35">
      <c r="H18597" s="711"/>
      <c r="I18597" s="711"/>
      <c r="J18597" s="711"/>
      <c r="K18597" s="711"/>
      <c r="L18597" s="711"/>
      <c r="Q18597" s="11"/>
      <c r="R18597" s="11"/>
      <c r="S18597" s="11"/>
      <c r="T18597" s="11"/>
    </row>
    <row r="18598" spans="8:20" x14ac:dyDescent="0.35">
      <c r="H18598" s="711"/>
      <c r="I18598" s="711"/>
      <c r="J18598" s="711"/>
      <c r="K18598" s="711"/>
      <c r="L18598" s="711"/>
      <c r="Q18598" s="11"/>
      <c r="R18598" s="11"/>
      <c r="S18598" s="11"/>
      <c r="T18598" s="11"/>
    </row>
    <row r="18599" spans="8:20" x14ac:dyDescent="0.35">
      <c r="H18599" s="711"/>
      <c r="I18599" s="711"/>
      <c r="J18599" s="711"/>
      <c r="K18599" s="711"/>
      <c r="L18599" s="711"/>
      <c r="Q18599" s="11"/>
      <c r="R18599" s="11"/>
      <c r="S18599" s="11"/>
      <c r="T18599" s="11"/>
    </row>
    <row r="18600" spans="8:20" x14ac:dyDescent="0.35">
      <c r="H18600" s="711"/>
      <c r="I18600" s="711"/>
      <c r="J18600" s="711"/>
      <c r="K18600" s="711"/>
      <c r="L18600" s="711"/>
      <c r="Q18600" s="11"/>
      <c r="R18600" s="11"/>
      <c r="S18600" s="11"/>
      <c r="T18600" s="11"/>
    </row>
    <row r="18601" spans="8:20" x14ac:dyDescent="0.35">
      <c r="H18601" s="711"/>
      <c r="I18601" s="711"/>
      <c r="J18601" s="711"/>
      <c r="K18601" s="711"/>
      <c r="L18601" s="711"/>
      <c r="Q18601" s="11"/>
      <c r="R18601" s="11"/>
      <c r="S18601" s="11"/>
      <c r="T18601" s="11"/>
    </row>
    <row r="18602" spans="8:20" x14ac:dyDescent="0.35">
      <c r="H18602" s="711"/>
      <c r="I18602" s="711"/>
      <c r="J18602" s="711"/>
      <c r="K18602" s="711"/>
      <c r="L18602" s="711"/>
      <c r="Q18602" s="11"/>
      <c r="R18602" s="11"/>
      <c r="S18602" s="11"/>
      <c r="T18602" s="11"/>
    </row>
    <row r="18603" spans="8:20" x14ac:dyDescent="0.35">
      <c r="H18603" s="711"/>
      <c r="I18603" s="711"/>
      <c r="J18603" s="711"/>
      <c r="K18603" s="711"/>
      <c r="L18603" s="711"/>
      <c r="Q18603" s="11"/>
      <c r="R18603" s="11"/>
      <c r="S18603" s="11"/>
      <c r="T18603" s="11"/>
    </row>
    <row r="18604" spans="8:20" x14ac:dyDescent="0.35">
      <c r="H18604" s="711"/>
      <c r="I18604" s="711"/>
      <c r="J18604" s="711"/>
      <c r="K18604" s="711"/>
      <c r="L18604" s="711"/>
      <c r="Q18604" s="11"/>
      <c r="R18604" s="11"/>
      <c r="S18604" s="11"/>
      <c r="T18604" s="11"/>
    </row>
    <row r="18605" spans="8:20" x14ac:dyDescent="0.35">
      <c r="H18605" s="711"/>
      <c r="I18605" s="711"/>
      <c r="J18605" s="711"/>
      <c r="K18605" s="711"/>
      <c r="L18605" s="711"/>
      <c r="Q18605" s="11"/>
      <c r="R18605" s="11"/>
      <c r="S18605" s="11"/>
      <c r="T18605" s="11"/>
    </row>
    <row r="18606" spans="8:20" x14ac:dyDescent="0.35">
      <c r="H18606" s="711"/>
      <c r="I18606" s="711"/>
      <c r="J18606" s="711"/>
      <c r="K18606" s="711"/>
      <c r="L18606" s="711"/>
      <c r="Q18606" s="11"/>
      <c r="R18606" s="11"/>
      <c r="S18606" s="11"/>
      <c r="T18606" s="11"/>
    </row>
    <row r="18607" spans="8:20" x14ac:dyDescent="0.35">
      <c r="H18607" s="711"/>
      <c r="I18607" s="711"/>
      <c r="J18607" s="711"/>
      <c r="K18607" s="711"/>
      <c r="L18607" s="711"/>
      <c r="Q18607" s="11"/>
      <c r="R18607" s="11"/>
      <c r="S18607" s="11"/>
      <c r="T18607" s="11"/>
    </row>
    <row r="18608" spans="8:20" x14ac:dyDescent="0.35">
      <c r="H18608" s="711"/>
      <c r="I18608" s="711"/>
      <c r="J18608" s="711"/>
      <c r="K18608" s="711"/>
      <c r="L18608" s="711"/>
      <c r="Q18608" s="11"/>
      <c r="R18608" s="11"/>
      <c r="S18608" s="11"/>
      <c r="T18608" s="11"/>
    </row>
    <row r="18609" spans="8:20" x14ac:dyDescent="0.35">
      <c r="H18609" s="711"/>
      <c r="I18609" s="711"/>
      <c r="J18609" s="711"/>
      <c r="K18609" s="711"/>
      <c r="L18609" s="711"/>
      <c r="Q18609" s="11"/>
      <c r="R18609" s="11"/>
      <c r="S18609" s="11"/>
      <c r="T18609" s="11"/>
    </row>
    <row r="18610" spans="8:20" x14ac:dyDescent="0.35">
      <c r="H18610" s="711"/>
      <c r="I18610" s="711"/>
      <c r="J18610" s="711"/>
      <c r="K18610" s="711"/>
      <c r="L18610" s="711"/>
      <c r="Q18610" s="11"/>
      <c r="R18610" s="11"/>
      <c r="S18610" s="11"/>
      <c r="T18610" s="11"/>
    </row>
    <row r="18611" spans="8:20" x14ac:dyDescent="0.35">
      <c r="H18611" s="711"/>
      <c r="I18611" s="711"/>
      <c r="J18611" s="711"/>
      <c r="K18611" s="711"/>
      <c r="L18611" s="711"/>
      <c r="Q18611" s="11"/>
      <c r="R18611" s="11"/>
      <c r="S18611" s="11"/>
      <c r="T18611" s="11"/>
    </row>
    <row r="18612" spans="8:20" x14ac:dyDescent="0.35">
      <c r="H18612" s="711"/>
      <c r="I18612" s="711"/>
      <c r="J18612" s="711"/>
      <c r="K18612" s="711"/>
      <c r="L18612" s="711"/>
      <c r="Q18612" s="11"/>
      <c r="R18612" s="11"/>
      <c r="S18612" s="11"/>
      <c r="T18612" s="11"/>
    </row>
    <row r="18613" spans="8:20" x14ac:dyDescent="0.35">
      <c r="H18613" s="711"/>
      <c r="I18613" s="711"/>
      <c r="J18613" s="711"/>
      <c r="K18613" s="711"/>
      <c r="L18613" s="711"/>
      <c r="Q18613" s="11"/>
      <c r="R18613" s="11"/>
      <c r="S18613" s="11"/>
      <c r="T18613" s="11"/>
    </row>
    <row r="18614" spans="8:20" x14ac:dyDescent="0.35">
      <c r="H18614" s="711"/>
      <c r="I18614" s="711"/>
      <c r="J18614" s="711"/>
      <c r="K18614" s="711"/>
      <c r="L18614" s="711"/>
      <c r="Q18614" s="11"/>
      <c r="R18614" s="11"/>
      <c r="S18614" s="11"/>
      <c r="T18614" s="11"/>
    </row>
    <row r="18615" spans="8:20" x14ac:dyDescent="0.35">
      <c r="H18615" s="711"/>
      <c r="I18615" s="711"/>
      <c r="J18615" s="711"/>
      <c r="K18615" s="711"/>
      <c r="L18615" s="711"/>
      <c r="Q18615" s="11"/>
      <c r="R18615" s="11"/>
      <c r="S18615" s="11"/>
      <c r="T18615" s="11"/>
    </row>
    <row r="18616" spans="8:20" x14ac:dyDescent="0.35">
      <c r="H18616" s="711"/>
      <c r="I18616" s="711"/>
      <c r="J18616" s="711"/>
      <c r="K18616" s="711"/>
      <c r="L18616" s="711"/>
      <c r="Q18616" s="11"/>
      <c r="R18616" s="11"/>
      <c r="S18616" s="11"/>
      <c r="T18616" s="11"/>
    </row>
    <row r="18617" spans="8:20" x14ac:dyDescent="0.35">
      <c r="H18617" s="711"/>
      <c r="I18617" s="711"/>
      <c r="J18617" s="711"/>
      <c r="K18617" s="711"/>
      <c r="L18617" s="711"/>
      <c r="Q18617" s="11"/>
      <c r="R18617" s="11"/>
      <c r="S18617" s="11"/>
      <c r="T18617" s="11"/>
    </row>
    <row r="18618" spans="8:20" x14ac:dyDescent="0.35">
      <c r="H18618" s="711"/>
      <c r="I18618" s="711"/>
      <c r="J18618" s="711"/>
      <c r="K18618" s="711"/>
      <c r="L18618" s="711"/>
      <c r="Q18618" s="11"/>
      <c r="R18618" s="11"/>
      <c r="S18618" s="11"/>
      <c r="T18618" s="11"/>
    </row>
    <row r="18619" spans="8:20" x14ac:dyDescent="0.35">
      <c r="H18619" s="711"/>
      <c r="I18619" s="711"/>
      <c r="J18619" s="711"/>
      <c r="K18619" s="711"/>
      <c r="L18619" s="711"/>
      <c r="Q18619" s="11"/>
      <c r="R18619" s="11"/>
      <c r="S18619" s="11"/>
      <c r="T18619" s="11"/>
    </row>
    <row r="18620" spans="8:20" x14ac:dyDescent="0.35">
      <c r="H18620" s="711"/>
      <c r="I18620" s="711"/>
      <c r="J18620" s="711"/>
      <c r="K18620" s="711"/>
      <c r="L18620" s="711"/>
      <c r="Q18620" s="11"/>
      <c r="R18620" s="11"/>
      <c r="S18620" s="11"/>
      <c r="T18620" s="11"/>
    </row>
    <row r="18621" spans="8:20" x14ac:dyDescent="0.35">
      <c r="H18621" s="711"/>
      <c r="I18621" s="711"/>
      <c r="J18621" s="711"/>
      <c r="K18621" s="711"/>
      <c r="L18621" s="711"/>
      <c r="Q18621" s="11"/>
      <c r="R18621" s="11"/>
      <c r="S18621" s="11"/>
      <c r="T18621" s="11"/>
    </row>
    <row r="18622" spans="8:20" x14ac:dyDescent="0.35">
      <c r="H18622" s="711"/>
      <c r="I18622" s="711"/>
      <c r="J18622" s="711"/>
      <c r="K18622" s="711"/>
      <c r="L18622" s="711"/>
      <c r="Q18622" s="11"/>
      <c r="R18622" s="11"/>
      <c r="S18622" s="11"/>
      <c r="T18622" s="11"/>
    </row>
    <row r="18623" spans="8:20" x14ac:dyDescent="0.35">
      <c r="H18623" s="711"/>
      <c r="I18623" s="711"/>
      <c r="J18623" s="711"/>
      <c r="K18623" s="711"/>
      <c r="L18623" s="711"/>
      <c r="Q18623" s="11"/>
      <c r="R18623" s="11"/>
      <c r="S18623" s="11"/>
      <c r="T18623" s="11"/>
    </row>
    <row r="18624" spans="8:20" x14ac:dyDescent="0.35">
      <c r="H18624" s="711"/>
      <c r="I18624" s="711"/>
      <c r="J18624" s="711"/>
      <c r="K18624" s="711"/>
      <c r="L18624" s="711"/>
      <c r="Q18624" s="11"/>
      <c r="R18624" s="11"/>
      <c r="S18624" s="11"/>
      <c r="T18624" s="11"/>
    </row>
    <row r="18625" spans="8:20" x14ac:dyDescent="0.35">
      <c r="H18625" s="711"/>
      <c r="I18625" s="711"/>
      <c r="J18625" s="711"/>
      <c r="K18625" s="711"/>
      <c r="L18625" s="711"/>
      <c r="Q18625" s="11"/>
      <c r="R18625" s="11"/>
      <c r="S18625" s="11"/>
      <c r="T18625" s="11"/>
    </row>
    <row r="18626" spans="8:20" x14ac:dyDescent="0.35">
      <c r="H18626" s="711"/>
      <c r="I18626" s="711"/>
      <c r="J18626" s="711"/>
      <c r="K18626" s="711"/>
      <c r="L18626" s="711"/>
      <c r="Q18626" s="11"/>
      <c r="R18626" s="11"/>
      <c r="S18626" s="11"/>
      <c r="T18626" s="11"/>
    </row>
    <row r="18627" spans="8:20" x14ac:dyDescent="0.35">
      <c r="H18627" s="711"/>
      <c r="I18627" s="711"/>
      <c r="J18627" s="711"/>
      <c r="K18627" s="711"/>
      <c r="L18627" s="711"/>
      <c r="Q18627" s="11"/>
      <c r="R18627" s="11"/>
      <c r="S18627" s="11"/>
      <c r="T18627" s="11"/>
    </row>
    <row r="18628" spans="8:20" x14ac:dyDescent="0.35">
      <c r="H18628" s="711"/>
      <c r="I18628" s="711"/>
      <c r="J18628" s="711"/>
      <c r="K18628" s="711"/>
      <c r="L18628" s="711"/>
      <c r="Q18628" s="11"/>
      <c r="R18628" s="11"/>
      <c r="S18628" s="11"/>
      <c r="T18628" s="11"/>
    </row>
    <row r="18629" spans="8:20" x14ac:dyDescent="0.35">
      <c r="H18629" s="711"/>
      <c r="I18629" s="711"/>
      <c r="J18629" s="711"/>
      <c r="K18629" s="711"/>
      <c r="L18629" s="711"/>
      <c r="Q18629" s="11"/>
      <c r="R18629" s="11"/>
      <c r="S18629" s="11"/>
      <c r="T18629" s="11"/>
    </row>
    <row r="18630" spans="8:20" x14ac:dyDescent="0.35">
      <c r="H18630" s="711"/>
      <c r="I18630" s="711"/>
      <c r="J18630" s="711"/>
      <c r="K18630" s="711"/>
      <c r="L18630" s="711"/>
      <c r="Q18630" s="11"/>
      <c r="R18630" s="11"/>
      <c r="S18630" s="11"/>
      <c r="T18630" s="11"/>
    </row>
    <row r="18631" spans="8:20" x14ac:dyDescent="0.35">
      <c r="H18631" s="711"/>
      <c r="I18631" s="711"/>
      <c r="J18631" s="711"/>
      <c r="K18631" s="711"/>
      <c r="L18631" s="711"/>
      <c r="Q18631" s="11"/>
      <c r="R18631" s="11"/>
      <c r="S18631" s="11"/>
      <c r="T18631" s="11"/>
    </row>
    <row r="18632" spans="8:20" x14ac:dyDescent="0.35">
      <c r="H18632" s="711"/>
      <c r="I18632" s="711"/>
      <c r="J18632" s="711"/>
      <c r="K18632" s="711"/>
      <c r="L18632" s="711"/>
      <c r="Q18632" s="11"/>
      <c r="R18632" s="11"/>
      <c r="S18632" s="11"/>
      <c r="T18632" s="11"/>
    </row>
    <row r="18633" spans="8:20" x14ac:dyDescent="0.35">
      <c r="H18633" s="711"/>
      <c r="I18633" s="711"/>
      <c r="J18633" s="711"/>
      <c r="K18633" s="711"/>
      <c r="L18633" s="711"/>
      <c r="Q18633" s="11"/>
      <c r="R18633" s="11"/>
      <c r="S18633" s="11"/>
      <c r="T18633" s="11"/>
    </row>
    <row r="18634" spans="8:20" x14ac:dyDescent="0.35">
      <c r="H18634" s="711"/>
      <c r="I18634" s="711"/>
      <c r="J18634" s="711"/>
      <c r="K18634" s="711"/>
      <c r="L18634" s="711"/>
      <c r="Q18634" s="11"/>
      <c r="R18634" s="11"/>
      <c r="S18634" s="11"/>
      <c r="T18634" s="11"/>
    </row>
    <row r="18635" spans="8:20" x14ac:dyDescent="0.35">
      <c r="H18635" s="711"/>
      <c r="I18635" s="711"/>
      <c r="J18635" s="711"/>
      <c r="K18635" s="711"/>
      <c r="L18635" s="711"/>
      <c r="Q18635" s="11"/>
      <c r="R18635" s="11"/>
      <c r="S18635" s="11"/>
      <c r="T18635" s="11"/>
    </row>
    <row r="18636" spans="8:20" x14ac:dyDescent="0.35">
      <c r="H18636" s="711"/>
      <c r="I18636" s="711"/>
      <c r="J18636" s="711"/>
      <c r="K18636" s="711"/>
      <c r="L18636" s="711"/>
      <c r="Q18636" s="11"/>
      <c r="R18636" s="11"/>
      <c r="S18636" s="11"/>
      <c r="T18636" s="11"/>
    </row>
    <row r="18637" spans="8:20" x14ac:dyDescent="0.35">
      <c r="H18637" s="711"/>
      <c r="I18637" s="711"/>
      <c r="J18637" s="711"/>
      <c r="K18637" s="711"/>
      <c r="L18637" s="711"/>
      <c r="Q18637" s="11"/>
      <c r="R18637" s="11"/>
      <c r="S18637" s="11"/>
      <c r="T18637" s="11"/>
    </row>
    <row r="18638" spans="8:20" x14ac:dyDescent="0.35">
      <c r="H18638" s="711"/>
      <c r="I18638" s="711"/>
      <c r="J18638" s="711"/>
      <c r="K18638" s="711"/>
      <c r="L18638" s="711"/>
      <c r="Q18638" s="11"/>
      <c r="R18638" s="11"/>
      <c r="S18638" s="11"/>
      <c r="T18638" s="11"/>
    </row>
    <row r="18639" spans="8:20" x14ac:dyDescent="0.35">
      <c r="H18639" s="711"/>
      <c r="I18639" s="711"/>
      <c r="J18639" s="711"/>
      <c r="K18639" s="711"/>
      <c r="L18639" s="711"/>
      <c r="Q18639" s="11"/>
      <c r="R18639" s="11"/>
      <c r="S18639" s="11"/>
      <c r="T18639" s="11"/>
    </row>
    <row r="18640" spans="8:20" x14ac:dyDescent="0.35">
      <c r="H18640" s="711"/>
      <c r="I18640" s="711"/>
      <c r="J18640" s="711"/>
      <c r="K18640" s="711"/>
      <c r="L18640" s="711"/>
      <c r="Q18640" s="11"/>
      <c r="R18640" s="11"/>
      <c r="S18640" s="11"/>
      <c r="T18640" s="11"/>
    </row>
    <row r="18641" spans="8:20" x14ac:dyDescent="0.35">
      <c r="H18641" s="711"/>
      <c r="I18641" s="711"/>
      <c r="J18641" s="711"/>
      <c r="K18641" s="711"/>
      <c r="L18641" s="711"/>
      <c r="Q18641" s="11"/>
      <c r="R18641" s="11"/>
      <c r="S18641" s="11"/>
      <c r="T18641" s="11"/>
    </row>
    <row r="18642" spans="8:20" x14ac:dyDescent="0.35">
      <c r="H18642" s="711"/>
      <c r="I18642" s="711"/>
      <c r="J18642" s="711"/>
      <c r="K18642" s="711"/>
      <c r="L18642" s="711"/>
      <c r="Q18642" s="11"/>
      <c r="R18642" s="11"/>
      <c r="S18642" s="11"/>
      <c r="T18642" s="11"/>
    </row>
    <row r="18643" spans="8:20" x14ac:dyDescent="0.35">
      <c r="H18643" s="711"/>
      <c r="I18643" s="711"/>
      <c r="J18643" s="711"/>
      <c r="K18643" s="711"/>
      <c r="L18643" s="711"/>
      <c r="Q18643" s="11"/>
      <c r="R18643" s="11"/>
      <c r="S18643" s="11"/>
      <c r="T18643" s="11"/>
    </row>
    <row r="18644" spans="8:20" x14ac:dyDescent="0.35">
      <c r="H18644" s="711"/>
      <c r="I18644" s="711"/>
      <c r="J18644" s="711"/>
      <c r="K18644" s="711"/>
      <c r="L18644" s="711"/>
      <c r="Q18644" s="11"/>
      <c r="R18644" s="11"/>
      <c r="S18644" s="11"/>
      <c r="T18644" s="11"/>
    </row>
    <row r="18645" spans="8:20" x14ac:dyDescent="0.35">
      <c r="H18645" s="711"/>
      <c r="I18645" s="711"/>
      <c r="J18645" s="711"/>
      <c r="K18645" s="711"/>
      <c r="L18645" s="711"/>
      <c r="Q18645" s="11"/>
      <c r="R18645" s="11"/>
      <c r="S18645" s="11"/>
      <c r="T18645" s="11"/>
    </row>
    <row r="18646" spans="8:20" x14ac:dyDescent="0.35">
      <c r="H18646" s="711"/>
      <c r="I18646" s="711"/>
      <c r="J18646" s="711"/>
      <c r="K18646" s="711"/>
      <c r="L18646" s="711"/>
      <c r="Q18646" s="11"/>
      <c r="R18646" s="11"/>
      <c r="S18646" s="11"/>
      <c r="T18646" s="11"/>
    </row>
    <row r="18647" spans="8:20" x14ac:dyDescent="0.35">
      <c r="H18647" s="711"/>
      <c r="I18647" s="711"/>
      <c r="J18647" s="711"/>
      <c r="K18647" s="711"/>
      <c r="L18647" s="711"/>
      <c r="Q18647" s="11"/>
      <c r="R18647" s="11"/>
      <c r="S18647" s="11"/>
      <c r="T18647" s="11"/>
    </row>
    <row r="18648" spans="8:20" x14ac:dyDescent="0.35">
      <c r="H18648" s="711"/>
      <c r="I18648" s="711"/>
      <c r="J18648" s="711"/>
      <c r="K18648" s="711"/>
      <c r="L18648" s="711"/>
      <c r="Q18648" s="11"/>
      <c r="R18648" s="11"/>
      <c r="S18648" s="11"/>
      <c r="T18648" s="11"/>
    </row>
    <row r="18649" spans="8:20" x14ac:dyDescent="0.35">
      <c r="H18649" s="711"/>
      <c r="I18649" s="711"/>
      <c r="J18649" s="711"/>
      <c r="K18649" s="711"/>
      <c r="L18649" s="711"/>
      <c r="Q18649" s="11"/>
      <c r="R18649" s="11"/>
      <c r="S18649" s="11"/>
      <c r="T18649" s="11"/>
    </row>
    <row r="18650" spans="8:20" x14ac:dyDescent="0.35">
      <c r="H18650" s="711"/>
      <c r="I18650" s="711"/>
      <c r="J18650" s="711"/>
      <c r="K18650" s="711"/>
      <c r="L18650" s="711"/>
      <c r="Q18650" s="11"/>
      <c r="R18650" s="11"/>
      <c r="S18650" s="11"/>
      <c r="T18650" s="11"/>
    </row>
    <row r="18651" spans="8:20" x14ac:dyDescent="0.35">
      <c r="H18651" s="711"/>
      <c r="I18651" s="711"/>
      <c r="J18651" s="711"/>
      <c r="K18651" s="711"/>
      <c r="L18651" s="711"/>
      <c r="Q18651" s="11"/>
      <c r="R18651" s="11"/>
      <c r="S18651" s="11"/>
      <c r="T18651" s="11"/>
    </row>
    <row r="18652" spans="8:20" x14ac:dyDescent="0.35">
      <c r="H18652" s="711"/>
      <c r="I18652" s="711"/>
      <c r="J18652" s="711"/>
      <c r="K18652" s="711"/>
      <c r="L18652" s="711"/>
      <c r="Q18652" s="11"/>
      <c r="R18652" s="11"/>
      <c r="S18652" s="11"/>
      <c r="T18652" s="11"/>
    </row>
    <row r="18653" spans="8:20" x14ac:dyDescent="0.35">
      <c r="H18653" s="711"/>
      <c r="I18653" s="711"/>
      <c r="J18653" s="711"/>
      <c r="K18653" s="711"/>
      <c r="L18653" s="711"/>
      <c r="Q18653" s="11"/>
      <c r="R18653" s="11"/>
      <c r="S18653" s="11"/>
      <c r="T18653" s="11"/>
    </row>
    <row r="18654" spans="8:20" x14ac:dyDescent="0.35">
      <c r="H18654" s="711"/>
      <c r="I18654" s="711"/>
      <c r="J18654" s="711"/>
      <c r="K18654" s="711"/>
      <c r="L18654" s="711"/>
      <c r="Q18654" s="11"/>
      <c r="R18654" s="11"/>
      <c r="S18654" s="11"/>
      <c r="T18654" s="11"/>
    </row>
    <row r="18655" spans="8:20" x14ac:dyDescent="0.35">
      <c r="H18655" s="711"/>
      <c r="I18655" s="711"/>
      <c r="J18655" s="711"/>
      <c r="K18655" s="711"/>
      <c r="L18655" s="711"/>
      <c r="Q18655" s="11"/>
      <c r="R18655" s="11"/>
      <c r="S18655" s="11"/>
      <c r="T18655" s="11"/>
    </row>
    <row r="18656" spans="8:20" x14ac:dyDescent="0.35">
      <c r="H18656" s="711"/>
      <c r="I18656" s="711"/>
      <c r="J18656" s="711"/>
      <c r="K18656" s="711"/>
      <c r="L18656" s="711"/>
      <c r="Q18656" s="11"/>
      <c r="R18656" s="11"/>
      <c r="S18656" s="11"/>
      <c r="T18656" s="11"/>
    </row>
    <row r="18657" spans="8:20" x14ac:dyDescent="0.35">
      <c r="H18657" s="711"/>
      <c r="I18657" s="711"/>
      <c r="J18657" s="711"/>
      <c r="K18657" s="711"/>
      <c r="L18657" s="711"/>
      <c r="Q18657" s="11"/>
      <c r="R18657" s="11"/>
      <c r="S18657" s="11"/>
      <c r="T18657" s="11"/>
    </row>
    <row r="18658" spans="8:20" x14ac:dyDescent="0.35">
      <c r="H18658" s="711"/>
      <c r="I18658" s="711"/>
      <c r="J18658" s="711"/>
      <c r="K18658" s="711"/>
      <c r="L18658" s="711"/>
      <c r="Q18658" s="11"/>
      <c r="R18658" s="11"/>
      <c r="S18658" s="11"/>
      <c r="T18658" s="11"/>
    </row>
    <row r="18659" spans="8:20" x14ac:dyDescent="0.35">
      <c r="H18659" s="711"/>
      <c r="I18659" s="711"/>
      <c r="J18659" s="711"/>
      <c r="K18659" s="711"/>
      <c r="L18659" s="711"/>
      <c r="Q18659" s="11"/>
      <c r="R18659" s="11"/>
      <c r="S18659" s="11"/>
      <c r="T18659" s="11"/>
    </row>
    <row r="18660" spans="8:20" x14ac:dyDescent="0.35">
      <c r="H18660" s="711"/>
      <c r="I18660" s="711"/>
      <c r="J18660" s="711"/>
      <c r="K18660" s="711"/>
      <c r="L18660" s="711"/>
      <c r="Q18660" s="11"/>
      <c r="R18660" s="11"/>
      <c r="S18660" s="11"/>
      <c r="T18660" s="11"/>
    </row>
    <row r="18661" spans="8:20" x14ac:dyDescent="0.35">
      <c r="H18661" s="711"/>
      <c r="I18661" s="711"/>
      <c r="J18661" s="711"/>
      <c r="K18661" s="711"/>
      <c r="L18661" s="711"/>
      <c r="Q18661" s="11"/>
      <c r="R18661" s="11"/>
      <c r="S18661" s="11"/>
      <c r="T18661" s="11"/>
    </row>
    <row r="18662" spans="8:20" x14ac:dyDescent="0.35">
      <c r="H18662" s="711"/>
      <c r="I18662" s="711"/>
      <c r="J18662" s="711"/>
      <c r="K18662" s="711"/>
      <c r="L18662" s="711"/>
      <c r="Q18662" s="11"/>
      <c r="R18662" s="11"/>
      <c r="S18662" s="11"/>
      <c r="T18662" s="11"/>
    </row>
    <row r="18663" spans="8:20" x14ac:dyDescent="0.35">
      <c r="H18663" s="711"/>
      <c r="I18663" s="711"/>
      <c r="J18663" s="711"/>
      <c r="K18663" s="711"/>
      <c r="L18663" s="711"/>
      <c r="Q18663" s="11"/>
      <c r="R18663" s="11"/>
      <c r="S18663" s="11"/>
      <c r="T18663" s="11"/>
    </row>
    <row r="18664" spans="8:20" x14ac:dyDescent="0.35">
      <c r="H18664" s="711"/>
      <c r="I18664" s="711"/>
      <c r="J18664" s="711"/>
      <c r="K18664" s="711"/>
      <c r="L18664" s="711"/>
      <c r="Q18664" s="11"/>
      <c r="R18664" s="11"/>
      <c r="S18664" s="11"/>
      <c r="T18664" s="11"/>
    </row>
    <row r="18665" spans="8:20" x14ac:dyDescent="0.35">
      <c r="H18665" s="711"/>
      <c r="I18665" s="711"/>
      <c r="J18665" s="711"/>
      <c r="K18665" s="711"/>
      <c r="L18665" s="711"/>
      <c r="Q18665" s="11"/>
      <c r="R18665" s="11"/>
      <c r="S18665" s="11"/>
      <c r="T18665" s="11"/>
    </row>
    <row r="18666" spans="8:20" x14ac:dyDescent="0.35">
      <c r="H18666" s="711"/>
      <c r="I18666" s="711"/>
      <c r="J18666" s="711"/>
      <c r="K18666" s="711"/>
      <c r="L18666" s="711"/>
      <c r="Q18666" s="11"/>
      <c r="R18666" s="11"/>
      <c r="S18666" s="11"/>
      <c r="T18666" s="11"/>
    </row>
    <row r="18667" spans="8:20" x14ac:dyDescent="0.35">
      <c r="H18667" s="711"/>
      <c r="I18667" s="711"/>
      <c r="J18667" s="711"/>
      <c r="K18667" s="711"/>
      <c r="L18667" s="711"/>
      <c r="Q18667" s="11"/>
      <c r="R18667" s="11"/>
      <c r="S18667" s="11"/>
      <c r="T18667" s="11"/>
    </row>
    <row r="18668" spans="8:20" x14ac:dyDescent="0.35">
      <c r="H18668" s="711"/>
      <c r="I18668" s="711"/>
      <c r="J18668" s="711"/>
      <c r="K18668" s="711"/>
      <c r="L18668" s="711"/>
      <c r="Q18668" s="11"/>
      <c r="R18668" s="11"/>
      <c r="S18668" s="11"/>
      <c r="T18668" s="11"/>
    </row>
    <row r="18669" spans="8:20" x14ac:dyDescent="0.35">
      <c r="H18669" s="711"/>
      <c r="I18669" s="711"/>
      <c r="J18669" s="711"/>
      <c r="K18669" s="711"/>
      <c r="L18669" s="711"/>
      <c r="Q18669" s="11"/>
      <c r="R18669" s="11"/>
      <c r="S18669" s="11"/>
      <c r="T18669" s="11"/>
    </row>
    <row r="18670" spans="8:20" x14ac:dyDescent="0.35">
      <c r="H18670" s="711"/>
      <c r="I18670" s="711"/>
      <c r="J18670" s="711"/>
      <c r="K18670" s="711"/>
      <c r="L18670" s="711"/>
      <c r="Q18670" s="11"/>
      <c r="R18670" s="11"/>
      <c r="S18670" s="11"/>
      <c r="T18670" s="11"/>
    </row>
    <row r="18671" spans="8:20" x14ac:dyDescent="0.35">
      <c r="H18671" s="711"/>
      <c r="I18671" s="711"/>
      <c r="J18671" s="711"/>
      <c r="K18671" s="711"/>
      <c r="L18671" s="711"/>
      <c r="Q18671" s="11"/>
      <c r="R18671" s="11"/>
      <c r="S18671" s="11"/>
      <c r="T18671" s="11"/>
    </row>
    <row r="18672" spans="8:20" x14ac:dyDescent="0.35">
      <c r="H18672" s="711"/>
      <c r="I18672" s="711"/>
      <c r="J18672" s="711"/>
      <c r="K18672" s="711"/>
      <c r="L18672" s="711"/>
      <c r="Q18672" s="11"/>
      <c r="R18672" s="11"/>
      <c r="S18672" s="11"/>
      <c r="T18672" s="11"/>
    </row>
    <row r="18673" spans="8:20" x14ac:dyDescent="0.35">
      <c r="H18673" s="711"/>
      <c r="I18673" s="711"/>
      <c r="J18673" s="711"/>
      <c r="K18673" s="711"/>
      <c r="L18673" s="711"/>
      <c r="Q18673" s="11"/>
      <c r="R18673" s="11"/>
      <c r="S18673" s="11"/>
      <c r="T18673" s="11"/>
    </row>
    <row r="18674" spans="8:20" x14ac:dyDescent="0.35">
      <c r="H18674" s="711"/>
      <c r="I18674" s="711"/>
      <c r="J18674" s="711"/>
      <c r="K18674" s="711"/>
      <c r="L18674" s="711"/>
      <c r="Q18674" s="11"/>
      <c r="R18674" s="11"/>
      <c r="S18674" s="11"/>
      <c r="T18674" s="11"/>
    </row>
    <row r="18675" spans="8:20" x14ac:dyDescent="0.35">
      <c r="H18675" s="711"/>
      <c r="I18675" s="711"/>
      <c r="J18675" s="711"/>
      <c r="K18675" s="711"/>
      <c r="L18675" s="711"/>
      <c r="Q18675" s="11"/>
      <c r="R18675" s="11"/>
      <c r="S18675" s="11"/>
      <c r="T18675" s="11"/>
    </row>
    <row r="18676" spans="8:20" x14ac:dyDescent="0.35">
      <c r="H18676" s="711"/>
      <c r="I18676" s="711"/>
      <c r="J18676" s="711"/>
      <c r="K18676" s="711"/>
      <c r="L18676" s="711"/>
      <c r="Q18676" s="11"/>
      <c r="R18676" s="11"/>
      <c r="S18676" s="11"/>
      <c r="T18676" s="11"/>
    </row>
    <row r="18677" spans="8:20" x14ac:dyDescent="0.35">
      <c r="H18677" s="711"/>
      <c r="I18677" s="711"/>
      <c r="J18677" s="711"/>
      <c r="K18677" s="711"/>
      <c r="L18677" s="711"/>
      <c r="Q18677" s="11"/>
      <c r="R18677" s="11"/>
      <c r="S18677" s="11"/>
      <c r="T18677" s="11"/>
    </row>
    <row r="18678" spans="8:20" x14ac:dyDescent="0.35">
      <c r="H18678" s="711"/>
      <c r="I18678" s="711"/>
      <c r="J18678" s="711"/>
      <c r="K18678" s="711"/>
      <c r="L18678" s="711"/>
      <c r="Q18678" s="11"/>
      <c r="R18678" s="11"/>
      <c r="S18678" s="11"/>
      <c r="T18678" s="11"/>
    </row>
    <row r="18679" spans="8:20" x14ac:dyDescent="0.35">
      <c r="H18679" s="711"/>
      <c r="I18679" s="711"/>
      <c r="J18679" s="711"/>
      <c r="K18679" s="711"/>
      <c r="L18679" s="711"/>
      <c r="Q18679" s="11"/>
      <c r="R18679" s="11"/>
      <c r="S18679" s="11"/>
      <c r="T18679" s="11"/>
    </row>
    <row r="18680" spans="8:20" x14ac:dyDescent="0.35">
      <c r="H18680" s="711"/>
      <c r="I18680" s="711"/>
      <c r="J18680" s="711"/>
      <c r="K18680" s="711"/>
      <c r="L18680" s="711"/>
      <c r="Q18680" s="11"/>
      <c r="R18680" s="11"/>
      <c r="S18680" s="11"/>
      <c r="T18680" s="11"/>
    </row>
    <row r="18681" spans="8:20" x14ac:dyDescent="0.35">
      <c r="H18681" s="711"/>
      <c r="I18681" s="711"/>
      <c r="J18681" s="711"/>
      <c r="K18681" s="711"/>
      <c r="L18681" s="711"/>
      <c r="Q18681" s="11"/>
      <c r="R18681" s="11"/>
      <c r="S18681" s="11"/>
      <c r="T18681" s="11"/>
    </row>
    <row r="18682" spans="8:20" x14ac:dyDescent="0.35">
      <c r="H18682" s="711"/>
      <c r="I18682" s="711"/>
      <c r="J18682" s="711"/>
      <c r="K18682" s="711"/>
      <c r="L18682" s="711"/>
      <c r="Q18682" s="11"/>
      <c r="R18682" s="11"/>
      <c r="S18682" s="11"/>
      <c r="T18682" s="11"/>
    </row>
    <row r="18683" spans="8:20" x14ac:dyDescent="0.35">
      <c r="H18683" s="711"/>
      <c r="I18683" s="711"/>
      <c r="J18683" s="711"/>
      <c r="K18683" s="711"/>
      <c r="L18683" s="711"/>
      <c r="Q18683" s="11"/>
      <c r="R18683" s="11"/>
      <c r="S18683" s="11"/>
      <c r="T18683" s="11"/>
    </row>
    <row r="18684" spans="8:20" x14ac:dyDescent="0.35">
      <c r="H18684" s="711"/>
      <c r="I18684" s="711"/>
      <c r="J18684" s="711"/>
      <c r="K18684" s="711"/>
      <c r="L18684" s="711"/>
      <c r="Q18684" s="11"/>
      <c r="R18684" s="11"/>
      <c r="S18684" s="11"/>
      <c r="T18684" s="11"/>
    </row>
    <row r="18685" spans="8:20" x14ac:dyDescent="0.35">
      <c r="H18685" s="711"/>
      <c r="I18685" s="711"/>
      <c r="J18685" s="711"/>
      <c r="K18685" s="711"/>
      <c r="L18685" s="711"/>
      <c r="Q18685" s="11"/>
      <c r="R18685" s="11"/>
      <c r="S18685" s="11"/>
      <c r="T18685" s="11"/>
    </row>
    <row r="18686" spans="8:20" x14ac:dyDescent="0.35">
      <c r="H18686" s="711"/>
      <c r="I18686" s="711"/>
      <c r="J18686" s="711"/>
      <c r="K18686" s="711"/>
      <c r="L18686" s="711"/>
      <c r="Q18686" s="11"/>
      <c r="R18686" s="11"/>
      <c r="S18686" s="11"/>
      <c r="T18686" s="11"/>
    </row>
    <row r="18687" spans="8:20" x14ac:dyDescent="0.35">
      <c r="H18687" s="711"/>
      <c r="I18687" s="711"/>
      <c r="J18687" s="711"/>
      <c r="K18687" s="711"/>
      <c r="L18687" s="711"/>
      <c r="Q18687" s="11"/>
      <c r="R18687" s="11"/>
      <c r="S18687" s="11"/>
      <c r="T18687" s="11"/>
    </row>
    <row r="18688" spans="8:20" x14ac:dyDescent="0.35">
      <c r="H18688" s="711"/>
      <c r="I18688" s="711"/>
      <c r="J18688" s="711"/>
      <c r="K18688" s="711"/>
      <c r="L18688" s="711"/>
      <c r="Q18688" s="11"/>
      <c r="R18688" s="11"/>
      <c r="S18688" s="11"/>
      <c r="T18688" s="11"/>
    </row>
    <row r="18689" spans="8:20" x14ac:dyDescent="0.35">
      <c r="H18689" s="711"/>
      <c r="I18689" s="711"/>
      <c r="J18689" s="711"/>
      <c r="K18689" s="711"/>
      <c r="L18689" s="711"/>
      <c r="Q18689" s="11"/>
      <c r="R18689" s="11"/>
      <c r="S18689" s="11"/>
      <c r="T18689" s="11"/>
    </row>
    <row r="18690" spans="8:20" x14ac:dyDescent="0.35">
      <c r="H18690" s="711"/>
      <c r="I18690" s="711"/>
      <c r="J18690" s="711"/>
      <c r="K18690" s="711"/>
      <c r="L18690" s="711"/>
      <c r="Q18690" s="11"/>
      <c r="R18690" s="11"/>
      <c r="S18690" s="11"/>
      <c r="T18690" s="11"/>
    </row>
    <row r="18691" spans="8:20" x14ac:dyDescent="0.35">
      <c r="H18691" s="711"/>
      <c r="I18691" s="711"/>
      <c r="J18691" s="711"/>
      <c r="K18691" s="711"/>
      <c r="L18691" s="711"/>
      <c r="Q18691" s="11"/>
      <c r="R18691" s="11"/>
      <c r="S18691" s="11"/>
      <c r="T18691" s="11"/>
    </row>
    <row r="18692" spans="8:20" x14ac:dyDescent="0.35">
      <c r="H18692" s="711"/>
      <c r="I18692" s="711"/>
      <c r="J18692" s="711"/>
      <c r="K18692" s="711"/>
      <c r="L18692" s="711"/>
      <c r="Q18692" s="11"/>
      <c r="R18692" s="11"/>
      <c r="S18692" s="11"/>
      <c r="T18692" s="11"/>
    </row>
    <row r="18693" spans="8:20" x14ac:dyDescent="0.35">
      <c r="H18693" s="711"/>
      <c r="I18693" s="711"/>
      <c r="J18693" s="711"/>
      <c r="K18693" s="711"/>
      <c r="L18693" s="711"/>
      <c r="Q18693" s="11"/>
      <c r="R18693" s="11"/>
      <c r="S18693" s="11"/>
      <c r="T18693" s="11"/>
    </row>
    <row r="18694" spans="8:20" x14ac:dyDescent="0.35">
      <c r="H18694" s="711"/>
      <c r="I18694" s="711"/>
      <c r="J18694" s="711"/>
      <c r="K18694" s="711"/>
      <c r="L18694" s="711"/>
      <c r="Q18694" s="11"/>
      <c r="R18694" s="11"/>
      <c r="S18694" s="11"/>
      <c r="T18694" s="11"/>
    </row>
    <row r="18695" spans="8:20" x14ac:dyDescent="0.35">
      <c r="H18695" s="711"/>
      <c r="I18695" s="711"/>
      <c r="J18695" s="711"/>
      <c r="K18695" s="711"/>
      <c r="L18695" s="711"/>
      <c r="Q18695" s="11"/>
      <c r="R18695" s="11"/>
      <c r="S18695" s="11"/>
      <c r="T18695" s="11"/>
    </row>
    <row r="18696" spans="8:20" x14ac:dyDescent="0.35">
      <c r="H18696" s="711"/>
      <c r="I18696" s="711"/>
      <c r="J18696" s="711"/>
      <c r="K18696" s="711"/>
      <c r="L18696" s="711"/>
      <c r="Q18696" s="11"/>
      <c r="R18696" s="11"/>
      <c r="S18696" s="11"/>
      <c r="T18696" s="11"/>
    </row>
    <row r="18697" spans="8:20" x14ac:dyDescent="0.35">
      <c r="H18697" s="711"/>
      <c r="I18697" s="711"/>
      <c r="J18697" s="711"/>
      <c r="K18697" s="711"/>
      <c r="L18697" s="711"/>
      <c r="Q18697" s="11"/>
      <c r="R18697" s="11"/>
      <c r="S18697" s="11"/>
      <c r="T18697" s="11"/>
    </row>
    <row r="18698" spans="8:20" x14ac:dyDescent="0.35">
      <c r="H18698" s="711"/>
      <c r="I18698" s="711"/>
      <c r="J18698" s="711"/>
      <c r="K18698" s="711"/>
      <c r="L18698" s="711"/>
      <c r="Q18698" s="11"/>
      <c r="R18698" s="11"/>
      <c r="S18698" s="11"/>
      <c r="T18698" s="11"/>
    </row>
    <row r="18699" spans="8:20" x14ac:dyDescent="0.35">
      <c r="H18699" s="711"/>
      <c r="I18699" s="711"/>
      <c r="J18699" s="711"/>
      <c r="K18699" s="711"/>
      <c r="L18699" s="711"/>
      <c r="Q18699" s="11"/>
      <c r="R18699" s="11"/>
      <c r="S18699" s="11"/>
      <c r="T18699" s="11"/>
    </row>
    <row r="18700" spans="8:20" x14ac:dyDescent="0.35">
      <c r="H18700" s="711"/>
      <c r="I18700" s="711"/>
      <c r="J18700" s="711"/>
      <c r="K18700" s="711"/>
      <c r="L18700" s="711"/>
      <c r="Q18700" s="11"/>
      <c r="R18700" s="11"/>
      <c r="S18700" s="11"/>
      <c r="T18700" s="11"/>
    </row>
    <row r="18701" spans="8:20" x14ac:dyDescent="0.35">
      <c r="H18701" s="711"/>
      <c r="I18701" s="711"/>
      <c r="J18701" s="711"/>
      <c r="K18701" s="711"/>
      <c r="L18701" s="711"/>
      <c r="Q18701" s="11"/>
      <c r="R18701" s="11"/>
      <c r="S18701" s="11"/>
      <c r="T18701" s="11"/>
    </row>
    <row r="18702" spans="8:20" x14ac:dyDescent="0.35">
      <c r="H18702" s="711"/>
      <c r="I18702" s="711"/>
      <c r="J18702" s="711"/>
      <c r="K18702" s="711"/>
      <c r="L18702" s="711"/>
      <c r="Q18702" s="11"/>
      <c r="R18702" s="11"/>
      <c r="S18702" s="11"/>
      <c r="T18702" s="11"/>
    </row>
    <row r="18703" spans="8:20" x14ac:dyDescent="0.35">
      <c r="H18703" s="711"/>
      <c r="I18703" s="711"/>
      <c r="J18703" s="711"/>
      <c r="K18703" s="711"/>
      <c r="L18703" s="711"/>
      <c r="Q18703" s="11"/>
      <c r="R18703" s="11"/>
      <c r="S18703" s="11"/>
      <c r="T18703" s="11"/>
    </row>
    <row r="18704" spans="8:20" x14ac:dyDescent="0.35">
      <c r="H18704" s="711"/>
      <c r="I18704" s="711"/>
      <c r="J18704" s="711"/>
      <c r="K18704" s="711"/>
      <c r="L18704" s="711"/>
      <c r="Q18704" s="11"/>
      <c r="R18704" s="11"/>
      <c r="S18704" s="11"/>
      <c r="T18704" s="11"/>
    </row>
    <row r="18705" spans="8:20" x14ac:dyDescent="0.35">
      <c r="H18705" s="711"/>
      <c r="I18705" s="711"/>
      <c r="J18705" s="711"/>
      <c r="K18705" s="711"/>
      <c r="L18705" s="711"/>
      <c r="Q18705" s="11"/>
      <c r="R18705" s="11"/>
      <c r="S18705" s="11"/>
      <c r="T18705" s="11"/>
    </row>
    <row r="18706" spans="8:20" x14ac:dyDescent="0.35">
      <c r="H18706" s="711"/>
      <c r="I18706" s="711"/>
      <c r="J18706" s="711"/>
      <c r="K18706" s="711"/>
      <c r="L18706" s="711"/>
      <c r="Q18706" s="11"/>
      <c r="R18706" s="11"/>
      <c r="S18706" s="11"/>
      <c r="T18706" s="11"/>
    </row>
    <row r="18707" spans="8:20" x14ac:dyDescent="0.35">
      <c r="H18707" s="711"/>
      <c r="I18707" s="711"/>
      <c r="J18707" s="711"/>
      <c r="K18707" s="711"/>
      <c r="L18707" s="711"/>
      <c r="Q18707" s="11"/>
      <c r="R18707" s="11"/>
      <c r="S18707" s="11"/>
      <c r="T18707" s="11"/>
    </row>
    <row r="18708" spans="8:20" x14ac:dyDescent="0.35">
      <c r="H18708" s="711"/>
      <c r="I18708" s="711"/>
      <c r="J18708" s="711"/>
      <c r="K18708" s="711"/>
      <c r="L18708" s="711"/>
      <c r="Q18708" s="11"/>
      <c r="R18708" s="11"/>
      <c r="S18708" s="11"/>
      <c r="T18708" s="11"/>
    </row>
    <row r="18709" spans="8:20" x14ac:dyDescent="0.35">
      <c r="H18709" s="711"/>
      <c r="I18709" s="711"/>
      <c r="J18709" s="711"/>
      <c r="K18709" s="711"/>
      <c r="L18709" s="711"/>
      <c r="Q18709" s="11"/>
      <c r="R18709" s="11"/>
      <c r="S18709" s="11"/>
      <c r="T18709" s="11"/>
    </row>
    <row r="18710" spans="8:20" x14ac:dyDescent="0.35">
      <c r="H18710" s="711"/>
      <c r="I18710" s="711"/>
      <c r="J18710" s="711"/>
      <c r="K18710" s="711"/>
      <c r="L18710" s="711"/>
      <c r="Q18710" s="11"/>
      <c r="R18710" s="11"/>
      <c r="S18710" s="11"/>
      <c r="T18710" s="11"/>
    </row>
    <row r="18711" spans="8:20" x14ac:dyDescent="0.35">
      <c r="H18711" s="711"/>
      <c r="I18711" s="711"/>
      <c r="J18711" s="711"/>
      <c r="K18711" s="711"/>
      <c r="L18711" s="711"/>
      <c r="Q18711" s="11"/>
      <c r="R18711" s="11"/>
      <c r="S18711" s="11"/>
      <c r="T18711" s="11"/>
    </row>
    <row r="18712" spans="8:20" x14ac:dyDescent="0.35">
      <c r="H18712" s="711"/>
      <c r="I18712" s="711"/>
      <c r="J18712" s="711"/>
      <c r="K18712" s="711"/>
      <c r="L18712" s="711"/>
      <c r="Q18712" s="11"/>
      <c r="R18712" s="11"/>
      <c r="S18712" s="11"/>
      <c r="T18712" s="11"/>
    </row>
    <row r="18713" spans="8:20" x14ac:dyDescent="0.35">
      <c r="H18713" s="711"/>
      <c r="I18713" s="711"/>
      <c r="J18713" s="711"/>
      <c r="K18713" s="711"/>
      <c r="L18713" s="711"/>
      <c r="Q18713" s="11"/>
      <c r="R18713" s="11"/>
      <c r="S18713" s="11"/>
      <c r="T18713" s="11"/>
    </row>
    <row r="18714" spans="8:20" x14ac:dyDescent="0.35">
      <c r="H18714" s="711"/>
      <c r="I18714" s="711"/>
      <c r="J18714" s="711"/>
      <c r="K18714" s="711"/>
      <c r="L18714" s="711"/>
      <c r="Q18714" s="11"/>
      <c r="R18714" s="11"/>
      <c r="S18714" s="11"/>
      <c r="T18714" s="11"/>
    </row>
    <row r="18715" spans="8:20" x14ac:dyDescent="0.35">
      <c r="H18715" s="711"/>
      <c r="I18715" s="711"/>
      <c r="J18715" s="711"/>
      <c r="K18715" s="711"/>
      <c r="L18715" s="711"/>
      <c r="Q18715" s="11"/>
      <c r="R18715" s="11"/>
      <c r="S18715" s="11"/>
      <c r="T18715" s="11"/>
    </row>
    <row r="18716" spans="8:20" x14ac:dyDescent="0.35">
      <c r="H18716" s="711"/>
      <c r="I18716" s="711"/>
      <c r="J18716" s="711"/>
      <c r="K18716" s="711"/>
      <c r="L18716" s="711"/>
      <c r="Q18716" s="11"/>
      <c r="R18716" s="11"/>
      <c r="S18716" s="11"/>
      <c r="T18716" s="11"/>
    </row>
    <row r="18717" spans="8:20" x14ac:dyDescent="0.35">
      <c r="H18717" s="711"/>
      <c r="I18717" s="711"/>
      <c r="J18717" s="711"/>
      <c r="K18717" s="711"/>
      <c r="L18717" s="711"/>
      <c r="Q18717" s="11"/>
      <c r="R18717" s="11"/>
      <c r="S18717" s="11"/>
      <c r="T18717" s="11"/>
    </row>
    <row r="18718" spans="8:20" x14ac:dyDescent="0.35">
      <c r="H18718" s="711"/>
      <c r="I18718" s="711"/>
      <c r="J18718" s="711"/>
      <c r="K18718" s="711"/>
      <c r="L18718" s="711"/>
      <c r="Q18718" s="11"/>
      <c r="R18718" s="11"/>
      <c r="S18718" s="11"/>
      <c r="T18718" s="11"/>
    </row>
    <row r="18719" spans="8:20" x14ac:dyDescent="0.35">
      <c r="H18719" s="711"/>
      <c r="I18719" s="711"/>
      <c r="J18719" s="711"/>
      <c r="K18719" s="711"/>
      <c r="L18719" s="711"/>
      <c r="Q18719" s="11"/>
      <c r="R18719" s="11"/>
      <c r="S18719" s="11"/>
      <c r="T18719" s="11"/>
    </row>
    <row r="18720" spans="8:20" x14ac:dyDescent="0.35">
      <c r="H18720" s="711"/>
      <c r="I18720" s="711"/>
      <c r="J18720" s="711"/>
      <c r="K18720" s="711"/>
      <c r="L18720" s="711"/>
      <c r="Q18720" s="11"/>
      <c r="R18720" s="11"/>
      <c r="S18720" s="11"/>
      <c r="T18720" s="11"/>
    </row>
    <row r="18721" spans="8:20" x14ac:dyDescent="0.35">
      <c r="H18721" s="711"/>
      <c r="I18721" s="711"/>
      <c r="J18721" s="711"/>
      <c r="K18721" s="711"/>
      <c r="L18721" s="711"/>
      <c r="Q18721" s="11"/>
      <c r="R18721" s="11"/>
      <c r="S18721" s="11"/>
      <c r="T18721" s="11"/>
    </row>
    <row r="18722" spans="8:20" x14ac:dyDescent="0.35">
      <c r="H18722" s="711"/>
      <c r="I18722" s="711"/>
      <c r="J18722" s="711"/>
      <c r="K18722" s="711"/>
      <c r="L18722" s="711"/>
      <c r="Q18722" s="11"/>
      <c r="R18722" s="11"/>
      <c r="S18722" s="11"/>
      <c r="T18722" s="11"/>
    </row>
    <row r="18723" spans="8:20" x14ac:dyDescent="0.35">
      <c r="H18723" s="711"/>
      <c r="I18723" s="711"/>
      <c r="J18723" s="711"/>
      <c r="K18723" s="711"/>
      <c r="L18723" s="711"/>
      <c r="Q18723" s="11"/>
      <c r="R18723" s="11"/>
      <c r="S18723" s="11"/>
      <c r="T18723" s="11"/>
    </row>
    <row r="18724" spans="8:20" x14ac:dyDescent="0.35">
      <c r="H18724" s="711"/>
      <c r="I18724" s="711"/>
      <c r="J18724" s="711"/>
      <c r="K18724" s="711"/>
      <c r="L18724" s="711"/>
      <c r="Q18724" s="11"/>
      <c r="R18724" s="11"/>
      <c r="S18724" s="11"/>
      <c r="T18724" s="11"/>
    </row>
    <row r="18725" spans="8:20" x14ac:dyDescent="0.35">
      <c r="H18725" s="711"/>
      <c r="I18725" s="711"/>
      <c r="J18725" s="711"/>
      <c r="K18725" s="711"/>
      <c r="L18725" s="711"/>
      <c r="Q18725" s="11"/>
      <c r="R18725" s="11"/>
      <c r="S18725" s="11"/>
      <c r="T18725" s="11"/>
    </row>
    <row r="18726" spans="8:20" x14ac:dyDescent="0.35">
      <c r="H18726" s="711"/>
      <c r="I18726" s="711"/>
      <c r="J18726" s="711"/>
      <c r="K18726" s="711"/>
      <c r="L18726" s="711"/>
      <c r="Q18726" s="11"/>
      <c r="R18726" s="11"/>
      <c r="S18726" s="11"/>
      <c r="T18726" s="11"/>
    </row>
    <row r="18727" spans="8:20" x14ac:dyDescent="0.35">
      <c r="H18727" s="711"/>
      <c r="I18727" s="711"/>
      <c r="J18727" s="711"/>
      <c r="K18727" s="711"/>
      <c r="L18727" s="711"/>
      <c r="Q18727" s="11"/>
      <c r="R18727" s="11"/>
      <c r="S18727" s="11"/>
      <c r="T18727" s="11"/>
    </row>
    <row r="18728" spans="8:20" x14ac:dyDescent="0.35">
      <c r="H18728" s="711"/>
      <c r="I18728" s="711"/>
      <c r="J18728" s="711"/>
      <c r="K18728" s="711"/>
      <c r="L18728" s="711"/>
      <c r="Q18728" s="11"/>
      <c r="R18728" s="11"/>
      <c r="S18728" s="11"/>
      <c r="T18728" s="11"/>
    </row>
    <row r="18729" spans="8:20" x14ac:dyDescent="0.35">
      <c r="H18729" s="711"/>
      <c r="I18729" s="711"/>
      <c r="J18729" s="711"/>
      <c r="K18729" s="711"/>
      <c r="L18729" s="711"/>
      <c r="Q18729" s="11"/>
      <c r="R18729" s="11"/>
      <c r="S18729" s="11"/>
      <c r="T18729" s="11"/>
    </row>
    <row r="18730" spans="8:20" x14ac:dyDescent="0.35">
      <c r="H18730" s="711"/>
      <c r="I18730" s="711"/>
      <c r="J18730" s="711"/>
      <c r="K18730" s="711"/>
      <c r="L18730" s="711"/>
      <c r="Q18730" s="11"/>
      <c r="R18730" s="11"/>
      <c r="S18730" s="11"/>
      <c r="T18730" s="11"/>
    </row>
    <row r="18731" spans="8:20" x14ac:dyDescent="0.35">
      <c r="H18731" s="711"/>
      <c r="I18731" s="711"/>
      <c r="J18731" s="711"/>
      <c r="K18731" s="711"/>
      <c r="L18731" s="711"/>
      <c r="Q18731" s="11"/>
      <c r="R18731" s="11"/>
      <c r="S18731" s="11"/>
      <c r="T18731" s="11"/>
    </row>
    <row r="18732" spans="8:20" x14ac:dyDescent="0.35">
      <c r="H18732" s="711"/>
      <c r="I18732" s="711"/>
      <c r="J18732" s="711"/>
      <c r="K18732" s="711"/>
      <c r="L18732" s="711"/>
      <c r="Q18732" s="11"/>
      <c r="R18732" s="11"/>
      <c r="S18732" s="11"/>
      <c r="T18732" s="11"/>
    </row>
    <row r="18733" spans="8:20" x14ac:dyDescent="0.35">
      <c r="H18733" s="711"/>
      <c r="I18733" s="711"/>
      <c r="J18733" s="711"/>
      <c r="K18733" s="711"/>
      <c r="L18733" s="711"/>
      <c r="Q18733" s="11"/>
      <c r="R18733" s="11"/>
      <c r="S18733" s="11"/>
      <c r="T18733" s="11"/>
    </row>
    <row r="18734" spans="8:20" x14ac:dyDescent="0.35">
      <c r="H18734" s="711"/>
      <c r="I18734" s="711"/>
      <c r="J18734" s="711"/>
      <c r="K18734" s="711"/>
      <c r="L18734" s="711"/>
      <c r="Q18734" s="11"/>
      <c r="R18734" s="11"/>
      <c r="S18734" s="11"/>
      <c r="T18734" s="11"/>
    </row>
    <row r="18735" spans="8:20" x14ac:dyDescent="0.35">
      <c r="H18735" s="711"/>
      <c r="I18735" s="711"/>
      <c r="J18735" s="711"/>
      <c r="K18735" s="711"/>
      <c r="L18735" s="711"/>
      <c r="Q18735" s="11"/>
      <c r="R18735" s="11"/>
      <c r="S18735" s="11"/>
      <c r="T18735" s="11"/>
    </row>
    <row r="18736" spans="8:20" x14ac:dyDescent="0.35">
      <c r="H18736" s="711"/>
      <c r="I18736" s="711"/>
      <c r="J18736" s="711"/>
      <c r="K18736" s="711"/>
      <c r="L18736" s="711"/>
      <c r="Q18736" s="11"/>
      <c r="R18736" s="11"/>
      <c r="S18736" s="11"/>
      <c r="T18736" s="11"/>
    </row>
    <row r="18737" spans="8:20" x14ac:dyDescent="0.35">
      <c r="H18737" s="711"/>
      <c r="I18737" s="711"/>
      <c r="J18737" s="711"/>
      <c r="K18737" s="711"/>
      <c r="L18737" s="711"/>
      <c r="Q18737" s="11"/>
      <c r="R18737" s="11"/>
      <c r="S18737" s="11"/>
      <c r="T18737" s="11"/>
    </row>
    <row r="18738" spans="8:20" x14ac:dyDescent="0.35">
      <c r="H18738" s="711"/>
      <c r="I18738" s="711"/>
      <c r="J18738" s="711"/>
      <c r="K18738" s="711"/>
      <c r="L18738" s="711"/>
      <c r="Q18738" s="11"/>
      <c r="R18738" s="11"/>
      <c r="S18738" s="11"/>
      <c r="T18738" s="11"/>
    </row>
    <row r="18739" spans="8:20" x14ac:dyDescent="0.35">
      <c r="H18739" s="711"/>
      <c r="I18739" s="711"/>
      <c r="J18739" s="711"/>
      <c r="K18739" s="711"/>
      <c r="L18739" s="711"/>
      <c r="Q18739" s="11"/>
      <c r="R18739" s="11"/>
      <c r="S18739" s="11"/>
      <c r="T18739" s="11"/>
    </row>
    <row r="18740" spans="8:20" x14ac:dyDescent="0.35">
      <c r="H18740" s="711"/>
      <c r="I18740" s="711"/>
      <c r="J18740" s="711"/>
      <c r="K18740" s="711"/>
      <c r="L18740" s="711"/>
      <c r="Q18740" s="11"/>
      <c r="R18740" s="11"/>
      <c r="S18740" s="11"/>
      <c r="T18740" s="11"/>
    </row>
    <row r="18741" spans="8:20" x14ac:dyDescent="0.35">
      <c r="H18741" s="711"/>
      <c r="I18741" s="711"/>
      <c r="J18741" s="711"/>
      <c r="K18741" s="711"/>
      <c r="L18741" s="711"/>
      <c r="Q18741" s="11"/>
      <c r="R18741" s="11"/>
      <c r="S18741" s="11"/>
      <c r="T18741" s="11"/>
    </row>
    <row r="18742" spans="8:20" x14ac:dyDescent="0.35">
      <c r="H18742" s="711"/>
      <c r="I18742" s="711"/>
      <c r="J18742" s="711"/>
      <c r="K18742" s="711"/>
      <c r="L18742" s="711"/>
      <c r="Q18742" s="11"/>
      <c r="R18742" s="11"/>
      <c r="S18742" s="11"/>
      <c r="T18742" s="11"/>
    </row>
    <row r="18743" spans="8:20" x14ac:dyDescent="0.35">
      <c r="H18743" s="711"/>
      <c r="I18743" s="711"/>
      <c r="J18743" s="711"/>
      <c r="K18743" s="711"/>
      <c r="L18743" s="711"/>
      <c r="Q18743" s="11"/>
      <c r="R18743" s="11"/>
      <c r="S18743" s="11"/>
      <c r="T18743" s="11"/>
    </row>
    <row r="18744" spans="8:20" x14ac:dyDescent="0.35">
      <c r="H18744" s="711"/>
      <c r="I18744" s="711"/>
      <c r="J18744" s="711"/>
      <c r="K18744" s="711"/>
      <c r="L18744" s="711"/>
      <c r="Q18744" s="11"/>
      <c r="R18744" s="11"/>
      <c r="S18744" s="11"/>
      <c r="T18744" s="11"/>
    </row>
    <row r="18745" spans="8:20" x14ac:dyDescent="0.35">
      <c r="H18745" s="711"/>
      <c r="I18745" s="711"/>
      <c r="J18745" s="711"/>
      <c r="K18745" s="711"/>
      <c r="L18745" s="711"/>
      <c r="Q18745" s="11"/>
      <c r="R18745" s="11"/>
      <c r="S18745" s="11"/>
      <c r="T18745" s="11"/>
    </row>
    <row r="18746" spans="8:20" x14ac:dyDescent="0.35">
      <c r="H18746" s="711"/>
      <c r="I18746" s="711"/>
      <c r="J18746" s="711"/>
      <c r="K18746" s="711"/>
      <c r="L18746" s="711"/>
      <c r="Q18746" s="11"/>
      <c r="R18746" s="11"/>
      <c r="S18746" s="11"/>
      <c r="T18746" s="11"/>
    </row>
    <row r="18747" spans="8:20" x14ac:dyDescent="0.35">
      <c r="H18747" s="711"/>
      <c r="I18747" s="711"/>
      <c r="J18747" s="711"/>
      <c r="K18747" s="711"/>
      <c r="L18747" s="711"/>
      <c r="Q18747" s="11"/>
      <c r="R18747" s="11"/>
      <c r="S18747" s="11"/>
      <c r="T18747" s="11"/>
    </row>
    <row r="18748" spans="8:20" x14ac:dyDescent="0.35">
      <c r="H18748" s="711"/>
      <c r="I18748" s="711"/>
      <c r="J18748" s="711"/>
      <c r="K18748" s="711"/>
      <c r="L18748" s="711"/>
      <c r="Q18748" s="11"/>
      <c r="R18748" s="11"/>
      <c r="S18748" s="11"/>
      <c r="T18748" s="11"/>
    </row>
    <row r="18749" spans="8:20" x14ac:dyDescent="0.35">
      <c r="H18749" s="711"/>
      <c r="I18749" s="711"/>
      <c r="J18749" s="711"/>
      <c r="K18749" s="711"/>
      <c r="L18749" s="711"/>
      <c r="Q18749" s="11"/>
      <c r="R18749" s="11"/>
      <c r="S18749" s="11"/>
      <c r="T18749" s="11"/>
    </row>
    <row r="18750" spans="8:20" x14ac:dyDescent="0.35">
      <c r="H18750" s="711"/>
      <c r="I18750" s="711"/>
      <c r="J18750" s="711"/>
      <c r="K18750" s="711"/>
      <c r="L18750" s="711"/>
      <c r="Q18750" s="11"/>
      <c r="R18750" s="11"/>
      <c r="S18750" s="11"/>
      <c r="T18750" s="11"/>
    </row>
    <row r="18751" spans="8:20" x14ac:dyDescent="0.35">
      <c r="H18751" s="711"/>
      <c r="I18751" s="711"/>
      <c r="J18751" s="711"/>
      <c r="K18751" s="711"/>
      <c r="L18751" s="711"/>
      <c r="Q18751" s="11"/>
      <c r="R18751" s="11"/>
      <c r="S18751" s="11"/>
      <c r="T18751" s="11"/>
    </row>
    <row r="18752" spans="8:20" x14ac:dyDescent="0.35">
      <c r="H18752" s="711"/>
      <c r="I18752" s="711"/>
      <c r="J18752" s="711"/>
      <c r="K18752" s="711"/>
      <c r="L18752" s="711"/>
      <c r="Q18752" s="11"/>
      <c r="R18752" s="11"/>
      <c r="S18752" s="11"/>
      <c r="T18752" s="11"/>
    </row>
    <row r="18753" spans="8:20" x14ac:dyDescent="0.35">
      <c r="H18753" s="711"/>
      <c r="I18753" s="711"/>
      <c r="J18753" s="711"/>
      <c r="K18753" s="711"/>
      <c r="L18753" s="711"/>
      <c r="Q18753" s="11"/>
      <c r="R18753" s="11"/>
      <c r="S18753" s="11"/>
      <c r="T18753" s="11"/>
    </row>
    <row r="18754" spans="8:20" x14ac:dyDescent="0.35">
      <c r="H18754" s="711"/>
      <c r="I18754" s="711"/>
      <c r="J18754" s="711"/>
      <c r="K18754" s="711"/>
      <c r="L18754" s="711"/>
      <c r="Q18754" s="11"/>
      <c r="R18754" s="11"/>
      <c r="S18754" s="11"/>
      <c r="T18754" s="11"/>
    </row>
    <row r="18755" spans="8:20" x14ac:dyDescent="0.35">
      <c r="H18755" s="711"/>
      <c r="I18755" s="711"/>
      <c r="J18755" s="711"/>
      <c r="K18755" s="711"/>
      <c r="L18755" s="711"/>
      <c r="Q18755" s="11"/>
      <c r="R18755" s="11"/>
      <c r="S18755" s="11"/>
      <c r="T18755" s="11"/>
    </row>
    <row r="18756" spans="8:20" x14ac:dyDescent="0.35">
      <c r="H18756" s="711"/>
      <c r="I18756" s="711"/>
      <c r="J18756" s="711"/>
      <c r="K18756" s="711"/>
      <c r="L18756" s="711"/>
      <c r="Q18756" s="11"/>
      <c r="R18756" s="11"/>
      <c r="S18756" s="11"/>
      <c r="T18756" s="11"/>
    </row>
    <row r="18757" spans="8:20" x14ac:dyDescent="0.35">
      <c r="H18757" s="711"/>
      <c r="I18757" s="711"/>
      <c r="J18757" s="711"/>
      <c r="K18757" s="711"/>
      <c r="L18757" s="711"/>
      <c r="Q18757" s="11"/>
      <c r="R18757" s="11"/>
      <c r="S18757" s="11"/>
      <c r="T18757" s="11"/>
    </row>
    <row r="18758" spans="8:20" x14ac:dyDescent="0.35">
      <c r="H18758" s="711"/>
      <c r="I18758" s="711"/>
      <c r="J18758" s="711"/>
      <c r="K18758" s="711"/>
      <c r="L18758" s="711"/>
      <c r="Q18758" s="11"/>
      <c r="R18758" s="11"/>
      <c r="S18758" s="11"/>
      <c r="T18758" s="11"/>
    </row>
    <row r="18759" spans="8:20" x14ac:dyDescent="0.35">
      <c r="H18759" s="711"/>
      <c r="I18759" s="711"/>
      <c r="J18759" s="711"/>
      <c r="K18759" s="711"/>
      <c r="L18759" s="711"/>
      <c r="Q18759" s="11"/>
      <c r="R18759" s="11"/>
      <c r="S18759" s="11"/>
      <c r="T18759" s="11"/>
    </row>
    <row r="18760" spans="8:20" x14ac:dyDescent="0.35">
      <c r="H18760" s="711"/>
      <c r="I18760" s="711"/>
      <c r="J18760" s="711"/>
      <c r="K18760" s="711"/>
      <c r="L18760" s="711"/>
      <c r="Q18760" s="11"/>
      <c r="R18760" s="11"/>
      <c r="S18760" s="11"/>
      <c r="T18760" s="11"/>
    </row>
    <row r="18761" spans="8:20" x14ac:dyDescent="0.35">
      <c r="H18761" s="711"/>
      <c r="I18761" s="711"/>
      <c r="J18761" s="711"/>
      <c r="K18761" s="711"/>
      <c r="L18761" s="711"/>
      <c r="Q18761" s="11"/>
      <c r="R18761" s="11"/>
      <c r="S18761" s="11"/>
      <c r="T18761" s="11"/>
    </row>
    <row r="18762" spans="8:20" x14ac:dyDescent="0.35">
      <c r="H18762" s="711"/>
      <c r="I18762" s="711"/>
      <c r="J18762" s="711"/>
      <c r="K18762" s="711"/>
      <c r="L18762" s="711"/>
      <c r="Q18762" s="11"/>
      <c r="R18762" s="11"/>
      <c r="S18762" s="11"/>
      <c r="T18762" s="11"/>
    </row>
    <row r="18763" spans="8:20" x14ac:dyDescent="0.35">
      <c r="H18763" s="711"/>
      <c r="I18763" s="711"/>
      <c r="J18763" s="711"/>
      <c r="K18763" s="711"/>
      <c r="L18763" s="711"/>
      <c r="Q18763" s="11"/>
      <c r="R18763" s="11"/>
      <c r="S18763" s="11"/>
      <c r="T18763" s="11"/>
    </row>
    <row r="18764" spans="8:20" x14ac:dyDescent="0.35">
      <c r="H18764" s="711"/>
      <c r="I18764" s="711"/>
      <c r="J18764" s="711"/>
      <c r="K18764" s="711"/>
      <c r="L18764" s="711"/>
      <c r="Q18764" s="11"/>
      <c r="R18764" s="11"/>
      <c r="S18764" s="11"/>
      <c r="T18764" s="11"/>
    </row>
    <row r="18765" spans="8:20" x14ac:dyDescent="0.35">
      <c r="H18765" s="711"/>
      <c r="I18765" s="711"/>
      <c r="J18765" s="711"/>
      <c r="K18765" s="711"/>
      <c r="L18765" s="711"/>
      <c r="Q18765" s="11"/>
      <c r="R18765" s="11"/>
      <c r="S18765" s="11"/>
      <c r="T18765" s="11"/>
    </row>
    <row r="18766" spans="8:20" x14ac:dyDescent="0.35">
      <c r="H18766" s="711"/>
      <c r="I18766" s="711"/>
      <c r="J18766" s="711"/>
      <c r="K18766" s="711"/>
      <c r="L18766" s="711"/>
      <c r="Q18766" s="11"/>
      <c r="R18766" s="11"/>
      <c r="S18766" s="11"/>
      <c r="T18766" s="11"/>
    </row>
    <row r="18767" spans="8:20" x14ac:dyDescent="0.35">
      <c r="H18767" s="711"/>
      <c r="I18767" s="711"/>
      <c r="J18767" s="711"/>
      <c r="K18767" s="711"/>
      <c r="L18767" s="711"/>
      <c r="Q18767" s="11"/>
      <c r="R18767" s="11"/>
      <c r="S18767" s="11"/>
      <c r="T18767" s="11"/>
    </row>
    <row r="18768" spans="8:20" x14ac:dyDescent="0.35">
      <c r="H18768" s="711"/>
      <c r="I18768" s="711"/>
      <c r="J18768" s="711"/>
      <c r="K18768" s="711"/>
      <c r="L18768" s="711"/>
      <c r="Q18768" s="11"/>
      <c r="R18768" s="11"/>
      <c r="S18768" s="11"/>
      <c r="T18768" s="11"/>
    </row>
    <row r="18769" spans="8:20" x14ac:dyDescent="0.35">
      <c r="H18769" s="711"/>
      <c r="I18769" s="711"/>
      <c r="J18769" s="711"/>
      <c r="K18769" s="711"/>
      <c r="L18769" s="711"/>
      <c r="Q18769" s="11"/>
      <c r="R18769" s="11"/>
      <c r="S18769" s="11"/>
      <c r="T18769" s="11"/>
    </row>
    <row r="18770" spans="8:20" x14ac:dyDescent="0.35">
      <c r="H18770" s="711"/>
      <c r="I18770" s="711"/>
      <c r="J18770" s="711"/>
      <c r="K18770" s="711"/>
      <c r="L18770" s="711"/>
      <c r="Q18770" s="11"/>
      <c r="R18770" s="11"/>
      <c r="S18770" s="11"/>
      <c r="T18770" s="11"/>
    </row>
    <row r="18771" spans="8:20" x14ac:dyDescent="0.35">
      <c r="H18771" s="711"/>
      <c r="I18771" s="711"/>
      <c r="J18771" s="711"/>
      <c r="K18771" s="711"/>
      <c r="L18771" s="711"/>
      <c r="Q18771" s="11"/>
      <c r="R18771" s="11"/>
      <c r="S18771" s="11"/>
      <c r="T18771" s="11"/>
    </row>
    <row r="18772" spans="8:20" x14ac:dyDescent="0.35">
      <c r="H18772" s="711"/>
      <c r="I18772" s="711"/>
      <c r="J18772" s="711"/>
      <c r="K18772" s="711"/>
      <c r="L18772" s="711"/>
      <c r="Q18772" s="11"/>
      <c r="R18772" s="11"/>
      <c r="S18772" s="11"/>
      <c r="T18772" s="11"/>
    </row>
    <row r="18773" spans="8:20" x14ac:dyDescent="0.35">
      <c r="H18773" s="711"/>
      <c r="I18773" s="711"/>
      <c r="J18773" s="711"/>
      <c r="K18773" s="711"/>
      <c r="L18773" s="711"/>
      <c r="Q18773" s="11"/>
      <c r="R18773" s="11"/>
      <c r="S18773" s="11"/>
      <c r="T18773" s="11"/>
    </row>
    <row r="18774" spans="8:20" x14ac:dyDescent="0.35">
      <c r="H18774" s="711"/>
      <c r="I18774" s="711"/>
      <c r="J18774" s="711"/>
      <c r="K18774" s="711"/>
      <c r="L18774" s="711"/>
      <c r="Q18774" s="11"/>
      <c r="R18774" s="11"/>
      <c r="S18774" s="11"/>
      <c r="T18774" s="11"/>
    </row>
    <row r="18775" spans="8:20" x14ac:dyDescent="0.35">
      <c r="H18775" s="711"/>
      <c r="I18775" s="711"/>
      <c r="J18775" s="711"/>
      <c r="K18775" s="711"/>
      <c r="L18775" s="711"/>
      <c r="Q18775" s="11"/>
      <c r="R18775" s="11"/>
      <c r="S18775" s="11"/>
      <c r="T18775" s="11"/>
    </row>
    <row r="18776" spans="8:20" x14ac:dyDescent="0.35">
      <c r="H18776" s="711"/>
      <c r="I18776" s="711"/>
      <c r="J18776" s="711"/>
      <c r="K18776" s="711"/>
      <c r="L18776" s="711"/>
      <c r="Q18776" s="11"/>
      <c r="R18776" s="11"/>
      <c r="S18776" s="11"/>
      <c r="T18776" s="11"/>
    </row>
    <row r="18777" spans="8:20" x14ac:dyDescent="0.35">
      <c r="H18777" s="711"/>
      <c r="I18777" s="711"/>
      <c r="J18777" s="711"/>
      <c r="K18777" s="711"/>
      <c r="L18777" s="711"/>
      <c r="Q18777" s="11"/>
      <c r="R18777" s="11"/>
      <c r="S18777" s="11"/>
      <c r="T18777" s="11"/>
    </row>
    <row r="18778" spans="8:20" x14ac:dyDescent="0.35">
      <c r="H18778" s="711"/>
      <c r="I18778" s="711"/>
      <c r="J18778" s="711"/>
      <c r="K18778" s="711"/>
      <c r="L18778" s="711"/>
      <c r="Q18778" s="11"/>
      <c r="R18778" s="11"/>
      <c r="S18778" s="11"/>
      <c r="T18778" s="11"/>
    </row>
    <row r="18779" spans="8:20" x14ac:dyDescent="0.35">
      <c r="H18779" s="711"/>
      <c r="I18779" s="711"/>
      <c r="J18779" s="711"/>
      <c r="K18779" s="711"/>
      <c r="L18779" s="711"/>
      <c r="Q18779" s="11"/>
      <c r="R18779" s="11"/>
      <c r="S18779" s="11"/>
      <c r="T18779" s="11"/>
    </row>
    <row r="18780" spans="8:20" x14ac:dyDescent="0.35">
      <c r="H18780" s="711"/>
      <c r="I18780" s="711"/>
      <c r="J18780" s="711"/>
      <c r="K18780" s="711"/>
      <c r="L18780" s="711"/>
      <c r="Q18780" s="11"/>
      <c r="R18780" s="11"/>
      <c r="S18780" s="11"/>
      <c r="T18780" s="11"/>
    </row>
    <row r="18781" spans="8:20" x14ac:dyDescent="0.35">
      <c r="H18781" s="711"/>
      <c r="I18781" s="711"/>
      <c r="J18781" s="711"/>
      <c r="K18781" s="711"/>
      <c r="L18781" s="711"/>
      <c r="Q18781" s="11"/>
      <c r="R18781" s="11"/>
      <c r="S18781" s="11"/>
      <c r="T18781" s="11"/>
    </row>
    <row r="18782" spans="8:20" x14ac:dyDescent="0.35">
      <c r="H18782" s="711"/>
      <c r="I18782" s="711"/>
      <c r="J18782" s="711"/>
      <c r="K18782" s="711"/>
      <c r="L18782" s="711"/>
      <c r="Q18782" s="11"/>
      <c r="R18782" s="11"/>
      <c r="S18782" s="11"/>
      <c r="T18782" s="11"/>
    </row>
    <row r="18783" spans="8:20" x14ac:dyDescent="0.35">
      <c r="H18783" s="711"/>
      <c r="I18783" s="711"/>
      <c r="J18783" s="711"/>
      <c r="K18783" s="711"/>
      <c r="L18783" s="711"/>
      <c r="Q18783" s="11"/>
      <c r="R18783" s="11"/>
      <c r="S18783" s="11"/>
      <c r="T18783" s="11"/>
    </row>
    <row r="18784" spans="8:20" x14ac:dyDescent="0.35">
      <c r="H18784" s="711"/>
      <c r="I18784" s="711"/>
      <c r="J18784" s="711"/>
      <c r="K18784" s="711"/>
      <c r="L18784" s="711"/>
      <c r="Q18784" s="11"/>
      <c r="R18784" s="11"/>
      <c r="S18784" s="11"/>
      <c r="T18784" s="11"/>
    </row>
    <row r="18785" spans="8:20" x14ac:dyDescent="0.35">
      <c r="H18785" s="711"/>
      <c r="I18785" s="711"/>
      <c r="J18785" s="711"/>
      <c r="K18785" s="711"/>
      <c r="L18785" s="711"/>
      <c r="Q18785" s="11"/>
      <c r="R18785" s="11"/>
      <c r="S18785" s="11"/>
      <c r="T18785" s="11"/>
    </row>
    <row r="18786" spans="8:20" x14ac:dyDescent="0.35">
      <c r="H18786" s="711"/>
      <c r="I18786" s="711"/>
      <c r="J18786" s="711"/>
      <c r="K18786" s="711"/>
      <c r="L18786" s="711"/>
      <c r="Q18786" s="11"/>
      <c r="R18786" s="11"/>
      <c r="S18786" s="11"/>
      <c r="T18786" s="11"/>
    </row>
    <row r="18787" spans="8:20" x14ac:dyDescent="0.35">
      <c r="H18787" s="711"/>
      <c r="I18787" s="711"/>
      <c r="J18787" s="711"/>
      <c r="K18787" s="711"/>
      <c r="L18787" s="711"/>
      <c r="Q18787" s="11"/>
      <c r="R18787" s="11"/>
      <c r="S18787" s="11"/>
      <c r="T18787" s="11"/>
    </row>
    <row r="18788" spans="8:20" x14ac:dyDescent="0.35">
      <c r="H18788" s="711"/>
      <c r="I18788" s="711"/>
      <c r="J18788" s="711"/>
      <c r="K18788" s="711"/>
      <c r="L18788" s="711"/>
      <c r="Q18788" s="11"/>
      <c r="R18788" s="11"/>
      <c r="S18788" s="11"/>
      <c r="T18788" s="11"/>
    </row>
    <row r="18789" spans="8:20" x14ac:dyDescent="0.35">
      <c r="H18789" s="711"/>
      <c r="I18789" s="711"/>
      <c r="J18789" s="711"/>
      <c r="K18789" s="711"/>
      <c r="L18789" s="711"/>
      <c r="Q18789" s="11"/>
      <c r="R18789" s="11"/>
      <c r="S18789" s="11"/>
      <c r="T18789" s="11"/>
    </row>
    <row r="18790" spans="8:20" x14ac:dyDescent="0.35">
      <c r="H18790" s="711"/>
      <c r="I18790" s="711"/>
      <c r="J18790" s="711"/>
      <c r="K18790" s="711"/>
      <c r="L18790" s="711"/>
      <c r="Q18790" s="11"/>
      <c r="R18790" s="11"/>
      <c r="S18790" s="11"/>
      <c r="T18790" s="11"/>
    </row>
    <row r="18791" spans="8:20" x14ac:dyDescent="0.35">
      <c r="H18791" s="711"/>
      <c r="I18791" s="711"/>
      <c r="J18791" s="711"/>
      <c r="K18791" s="711"/>
      <c r="L18791" s="711"/>
      <c r="Q18791" s="11"/>
      <c r="R18791" s="11"/>
      <c r="S18791" s="11"/>
      <c r="T18791" s="11"/>
    </row>
    <row r="18792" spans="8:20" x14ac:dyDescent="0.35">
      <c r="H18792" s="711"/>
      <c r="I18792" s="711"/>
      <c r="J18792" s="711"/>
      <c r="K18792" s="711"/>
      <c r="L18792" s="711"/>
      <c r="Q18792" s="11"/>
      <c r="R18792" s="11"/>
      <c r="S18792" s="11"/>
      <c r="T18792" s="11"/>
    </row>
    <row r="18793" spans="8:20" x14ac:dyDescent="0.35">
      <c r="H18793" s="711"/>
      <c r="I18793" s="711"/>
      <c r="J18793" s="711"/>
      <c r="K18793" s="711"/>
      <c r="L18793" s="711"/>
      <c r="Q18793" s="11"/>
      <c r="R18793" s="11"/>
      <c r="S18793" s="11"/>
      <c r="T18793" s="11"/>
    </row>
    <row r="18794" spans="8:20" x14ac:dyDescent="0.35">
      <c r="H18794" s="711"/>
      <c r="I18794" s="711"/>
      <c r="J18794" s="711"/>
      <c r="K18794" s="711"/>
      <c r="L18794" s="711"/>
      <c r="Q18794" s="11"/>
      <c r="R18794" s="11"/>
      <c r="S18794" s="11"/>
      <c r="T18794" s="11"/>
    </row>
    <row r="18795" spans="8:20" x14ac:dyDescent="0.35">
      <c r="H18795" s="711"/>
      <c r="I18795" s="711"/>
      <c r="J18795" s="711"/>
      <c r="K18795" s="711"/>
      <c r="L18795" s="711"/>
      <c r="Q18795" s="11"/>
      <c r="R18795" s="11"/>
      <c r="S18795" s="11"/>
      <c r="T18795" s="11"/>
    </row>
    <row r="18796" spans="8:20" x14ac:dyDescent="0.35">
      <c r="H18796" s="711"/>
      <c r="I18796" s="711"/>
      <c r="J18796" s="711"/>
      <c r="K18796" s="711"/>
      <c r="L18796" s="711"/>
      <c r="Q18796" s="11"/>
      <c r="R18796" s="11"/>
      <c r="S18796" s="11"/>
      <c r="T18796" s="11"/>
    </row>
    <row r="18797" spans="8:20" x14ac:dyDescent="0.35">
      <c r="H18797" s="711"/>
      <c r="I18797" s="711"/>
      <c r="J18797" s="711"/>
      <c r="K18797" s="711"/>
      <c r="L18797" s="711"/>
      <c r="Q18797" s="11"/>
      <c r="R18797" s="11"/>
      <c r="S18797" s="11"/>
      <c r="T18797" s="11"/>
    </row>
    <row r="18798" spans="8:20" x14ac:dyDescent="0.35">
      <c r="H18798" s="711"/>
      <c r="I18798" s="711"/>
      <c r="J18798" s="711"/>
      <c r="K18798" s="711"/>
      <c r="L18798" s="711"/>
      <c r="Q18798" s="11"/>
      <c r="R18798" s="11"/>
      <c r="S18798" s="11"/>
      <c r="T18798" s="11"/>
    </row>
    <row r="18799" spans="8:20" x14ac:dyDescent="0.35">
      <c r="H18799" s="711"/>
      <c r="I18799" s="711"/>
      <c r="J18799" s="711"/>
      <c r="K18799" s="711"/>
      <c r="L18799" s="711"/>
      <c r="Q18799" s="11"/>
      <c r="R18799" s="11"/>
      <c r="S18799" s="11"/>
      <c r="T18799" s="11"/>
    </row>
    <row r="18800" spans="8:20" x14ac:dyDescent="0.35">
      <c r="H18800" s="711"/>
      <c r="I18800" s="711"/>
      <c r="J18800" s="711"/>
      <c r="K18800" s="711"/>
      <c r="L18800" s="711"/>
      <c r="Q18800" s="11"/>
      <c r="R18800" s="11"/>
      <c r="S18800" s="11"/>
      <c r="T18800" s="11"/>
    </row>
    <row r="18801" spans="8:20" x14ac:dyDescent="0.35">
      <c r="H18801" s="711"/>
      <c r="I18801" s="711"/>
      <c r="J18801" s="711"/>
      <c r="K18801" s="711"/>
      <c r="L18801" s="711"/>
      <c r="Q18801" s="11"/>
      <c r="R18801" s="11"/>
      <c r="S18801" s="11"/>
      <c r="T18801" s="11"/>
    </row>
    <row r="18802" spans="8:20" x14ac:dyDescent="0.35">
      <c r="H18802" s="711"/>
      <c r="I18802" s="711"/>
      <c r="J18802" s="711"/>
      <c r="K18802" s="711"/>
      <c r="L18802" s="711"/>
      <c r="Q18802" s="11"/>
      <c r="R18802" s="11"/>
      <c r="S18802" s="11"/>
      <c r="T18802" s="11"/>
    </row>
    <row r="18803" spans="8:20" x14ac:dyDescent="0.35">
      <c r="H18803" s="711"/>
      <c r="I18803" s="711"/>
      <c r="J18803" s="711"/>
      <c r="K18803" s="711"/>
      <c r="L18803" s="711"/>
      <c r="Q18803" s="11"/>
      <c r="R18803" s="11"/>
      <c r="S18803" s="11"/>
      <c r="T18803" s="11"/>
    </row>
    <row r="18804" spans="8:20" x14ac:dyDescent="0.35">
      <c r="H18804" s="711"/>
      <c r="I18804" s="711"/>
      <c r="J18804" s="711"/>
      <c r="K18804" s="711"/>
      <c r="L18804" s="711"/>
      <c r="Q18804" s="11"/>
      <c r="R18804" s="11"/>
      <c r="S18804" s="11"/>
      <c r="T18804" s="11"/>
    </row>
    <row r="18805" spans="8:20" x14ac:dyDescent="0.35">
      <c r="H18805" s="711"/>
      <c r="I18805" s="711"/>
      <c r="J18805" s="711"/>
      <c r="K18805" s="711"/>
      <c r="L18805" s="711"/>
      <c r="Q18805" s="11"/>
      <c r="R18805" s="11"/>
      <c r="S18805" s="11"/>
      <c r="T18805" s="11"/>
    </row>
    <row r="18806" spans="8:20" x14ac:dyDescent="0.35">
      <c r="H18806" s="711"/>
      <c r="I18806" s="711"/>
      <c r="J18806" s="711"/>
      <c r="K18806" s="711"/>
      <c r="L18806" s="711"/>
      <c r="Q18806" s="11"/>
      <c r="R18806" s="11"/>
      <c r="S18806" s="11"/>
      <c r="T18806" s="11"/>
    </row>
    <row r="18807" spans="8:20" x14ac:dyDescent="0.35">
      <c r="H18807" s="711"/>
      <c r="I18807" s="711"/>
      <c r="J18807" s="711"/>
      <c r="K18807" s="711"/>
      <c r="L18807" s="711"/>
      <c r="Q18807" s="11"/>
      <c r="R18807" s="11"/>
      <c r="S18807" s="11"/>
      <c r="T18807" s="11"/>
    </row>
    <row r="18808" spans="8:20" x14ac:dyDescent="0.35">
      <c r="H18808" s="711"/>
      <c r="I18808" s="711"/>
      <c r="J18808" s="711"/>
      <c r="K18808" s="711"/>
      <c r="L18808" s="711"/>
      <c r="Q18808" s="11"/>
      <c r="R18808" s="11"/>
      <c r="S18808" s="11"/>
      <c r="T18808" s="11"/>
    </row>
    <row r="18809" spans="8:20" x14ac:dyDescent="0.35">
      <c r="H18809" s="711"/>
      <c r="I18809" s="711"/>
      <c r="J18809" s="711"/>
      <c r="K18809" s="711"/>
      <c r="L18809" s="711"/>
      <c r="Q18809" s="11"/>
      <c r="R18809" s="11"/>
      <c r="S18809" s="11"/>
      <c r="T18809" s="11"/>
    </row>
    <row r="18810" spans="8:20" x14ac:dyDescent="0.35">
      <c r="H18810" s="711"/>
      <c r="I18810" s="711"/>
      <c r="J18810" s="711"/>
      <c r="K18810" s="711"/>
      <c r="L18810" s="711"/>
      <c r="Q18810" s="11"/>
      <c r="R18810" s="11"/>
      <c r="S18810" s="11"/>
      <c r="T18810" s="11"/>
    </row>
    <row r="18811" spans="8:20" x14ac:dyDescent="0.35">
      <c r="H18811" s="711"/>
      <c r="I18811" s="711"/>
      <c r="J18811" s="711"/>
      <c r="K18811" s="711"/>
      <c r="L18811" s="711"/>
      <c r="Q18811" s="11"/>
      <c r="R18811" s="11"/>
      <c r="S18811" s="11"/>
      <c r="T18811" s="11"/>
    </row>
    <row r="18812" spans="8:20" x14ac:dyDescent="0.35">
      <c r="H18812" s="711"/>
      <c r="I18812" s="711"/>
      <c r="J18812" s="711"/>
      <c r="K18812" s="711"/>
      <c r="L18812" s="711"/>
      <c r="Q18812" s="11"/>
      <c r="R18812" s="11"/>
      <c r="S18812" s="11"/>
      <c r="T18812" s="11"/>
    </row>
    <row r="18813" spans="8:20" x14ac:dyDescent="0.35">
      <c r="H18813" s="711"/>
      <c r="I18813" s="711"/>
      <c r="J18813" s="711"/>
      <c r="K18813" s="711"/>
      <c r="L18813" s="711"/>
      <c r="Q18813" s="11"/>
      <c r="R18813" s="11"/>
      <c r="S18813" s="11"/>
      <c r="T18813" s="11"/>
    </row>
    <row r="18814" spans="8:20" x14ac:dyDescent="0.35">
      <c r="H18814" s="711"/>
      <c r="I18814" s="711"/>
      <c r="J18814" s="711"/>
      <c r="K18814" s="711"/>
      <c r="L18814" s="711"/>
      <c r="Q18814" s="11"/>
      <c r="R18814" s="11"/>
      <c r="S18814" s="11"/>
      <c r="T18814" s="11"/>
    </row>
    <row r="18815" spans="8:20" x14ac:dyDescent="0.35">
      <c r="H18815" s="711"/>
      <c r="I18815" s="711"/>
      <c r="J18815" s="711"/>
      <c r="K18815" s="711"/>
      <c r="L18815" s="711"/>
      <c r="Q18815" s="11"/>
      <c r="R18815" s="11"/>
      <c r="S18815" s="11"/>
      <c r="T18815" s="11"/>
    </row>
    <row r="18816" spans="8:20" x14ac:dyDescent="0.35">
      <c r="H18816" s="711"/>
      <c r="I18816" s="711"/>
      <c r="J18816" s="711"/>
      <c r="K18816" s="711"/>
      <c r="L18816" s="711"/>
      <c r="Q18816" s="11"/>
      <c r="R18816" s="11"/>
      <c r="S18816" s="11"/>
      <c r="T18816" s="11"/>
    </row>
    <row r="18817" spans="8:20" x14ac:dyDescent="0.35">
      <c r="H18817" s="711"/>
      <c r="I18817" s="711"/>
      <c r="J18817" s="711"/>
      <c r="K18817" s="711"/>
      <c r="L18817" s="711"/>
      <c r="Q18817" s="11"/>
      <c r="R18817" s="11"/>
      <c r="S18817" s="11"/>
      <c r="T18817" s="11"/>
    </row>
    <row r="18818" spans="8:20" x14ac:dyDescent="0.35">
      <c r="H18818" s="711"/>
      <c r="I18818" s="711"/>
      <c r="J18818" s="711"/>
      <c r="K18818" s="711"/>
      <c r="L18818" s="711"/>
      <c r="Q18818" s="11"/>
      <c r="R18818" s="11"/>
      <c r="S18818" s="11"/>
      <c r="T18818" s="11"/>
    </row>
    <row r="18819" spans="8:20" x14ac:dyDescent="0.35">
      <c r="H18819" s="711"/>
      <c r="I18819" s="711"/>
      <c r="J18819" s="711"/>
      <c r="K18819" s="711"/>
      <c r="L18819" s="711"/>
      <c r="Q18819" s="11"/>
      <c r="R18819" s="11"/>
      <c r="S18819" s="11"/>
      <c r="T18819" s="11"/>
    </row>
    <row r="18820" spans="8:20" x14ac:dyDescent="0.35">
      <c r="H18820" s="711"/>
      <c r="I18820" s="711"/>
      <c r="J18820" s="711"/>
      <c r="K18820" s="711"/>
      <c r="L18820" s="711"/>
      <c r="Q18820" s="11"/>
      <c r="R18820" s="11"/>
      <c r="S18820" s="11"/>
      <c r="T18820" s="11"/>
    </row>
    <row r="18821" spans="8:20" x14ac:dyDescent="0.35">
      <c r="H18821" s="711"/>
      <c r="I18821" s="711"/>
      <c r="J18821" s="711"/>
      <c r="K18821" s="711"/>
      <c r="L18821" s="711"/>
      <c r="Q18821" s="11"/>
      <c r="R18821" s="11"/>
      <c r="S18821" s="11"/>
      <c r="T18821" s="11"/>
    </row>
    <row r="18822" spans="8:20" x14ac:dyDescent="0.35">
      <c r="H18822" s="711"/>
      <c r="I18822" s="711"/>
      <c r="J18822" s="711"/>
      <c r="K18822" s="711"/>
      <c r="L18822" s="711"/>
      <c r="Q18822" s="11"/>
      <c r="R18822" s="11"/>
      <c r="S18822" s="11"/>
      <c r="T18822" s="11"/>
    </row>
    <row r="18823" spans="8:20" x14ac:dyDescent="0.35">
      <c r="H18823" s="711"/>
      <c r="I18823" s="711"/>
      <c r="J18823" s="711"/>
      <c r="K18823" s="711"/>
      <c r="L18823" s="711"/>
      <c r="Q18823" s="11"/>
      <c r="R18823" s="11"/>
      <c r="S18823" s="11"/>
      <c r="T18823" s="11"/>
    </row>
    <row r="18824" spans="8:20" x14ac:dyDescent="0.35">
      <c r="H18824" s="711"/>
      <c r="I18824" s="711"/>
      <c r="J18824" s="711"/>
      <c r="K18824" s="711"/>
      <c r="L18824" s="711"/>
      <c r="Q18824" s="11"/>
      <c r="R18824" s="11"/>
      <c r="S18824" s="11"/>
      <c r="T18824" s="11"/>
    </row>
    <row r="18825" spans="8:20" x14ac:dyDescent="0.35">
      <c r="H18825" s="711"/>
      <c r="I18825" s="711"/>
      <c r="J18825" s="711"/>
      <c r="K18825" s="711"/>
      <c r="L18825" s="711"/>
      <c r="Q18825" s="11"/>
      <c r="R18825" s="11"/>
      <c r="S18825" s="11"/>
      <c r="T18825" s="11"/>
    </row>
    <row r="18826" spans="8:20" x14ac:dyDescent="0.35">
      <c r="H18826" s="711"/>
      <c r="I18826" s="711"/>
      <c r="J18826" s="711"/>
      <c r="K18826" s="711"/>
      <c r="L18826" s="711"/>
      <c r="Q18826" s="11"/>
      <c r="R18826" s="11"/>
      <c r="S18826" s="11"/>
      <c r="T18826" s="11"/>
    </row>
    <row r="18827" spans="8:20" x14ac:dyDescent="0.35">
      <c r="H18827" s="711"/>
      <c r="I18827" s="711"/>
      <c r="J18827" s="711"/>
      <c r="K18827" s="711"/>
      <c r="L18827" s="711"/>
      <c r="Q18827" s="11"/>
      <c r="R18827" s="11"/>
      <c r="S18827" s="11"/>
      <c r="T18827" s="11"/>
    </row>
    <row r="18828" spans="8:20" x14ac:dyDescent="0.35">
      <c r="H18828" s="711"/>
      <c r="I18828" s="711"/>
      <c r="J18828" s="711"/>
      <c r="K18828" s="711"/>
      <c r="L18828" s="711"/>
      <c r="Q18828" s="11"/>
      <c r="R18828" s="11"/>
      <c r="S18828" s="11"/>
      <c r="T18828" s="11"/>
    </row>
    <row r="18829" spans="8:20" x14ac:dyDescent="0.35">
      <c r="H18829" s="711"/>
      <c r="I18829" s="711"/>
      <c r="J18829" s="711"/>
      <c r="K18829" s="711"/>
      <c r="L18829" s="711"/>
      <c r="Q18829" s="11"/>
      <c r="R18829" s="11"/>
      <c r="S18829" s="11"/>
      <c r="T18829" s="11"/>
    </row>
    <row r="18830" spans="8:20" x14ac:dyDescent="0.35">
      <c r="H18830" s="711"/>
      <c r="I18830" s="711"/>
      <c r="J18830" s="711"/>
      <c r="K18830" s="711"/>
      <c r="L18830" s="711"/>
      <c r="Q18830" s="11"/>
      <c r="R18830" s="11"/>
      <c r="S18830" s="11"/>
      <c r="T18830" s="11"/>
    </row>
    <row r="18831" spans="8:20" x14ac:dyDescent="0.35">
      <c r="H18831" s="711"/>
      <c r="I18831" s="711"/>
      <c r="J18831" s="711"/>
      <c r="K18831" s="711"/>
      <c r="L18831" s="711"/>
      <c r="Q18831" s="11"/>
      <c r="R18831" s="11"/>
      <c r="S18831" s="11"/>
      <c r="T18831" s="11"/>
    </row>
    <row r="18832" spans="8:20" x14ac:dyDescent="0.35">
      <c r="H18832" s="711"/>
      <c r="I18832" s="711"/>
      <c r="J18832" s="711"/>
      <c r="K18832" s="711"/>
      <c r="L18832" s="711"/>
      <c r="Q18832" s="11"/>
      <c r="R18832" s="11"/>
      <c r="S18832" s="11"/>
      <c r="T18832" s="11"/>
    </row>
    <row r="18833" spans="8:20" x14ac:dyDescent="0.35">
      <c r="H18833" s="711"/>
      <c r="I18833" s="711"/>
      <c r="J18833" s="711"/>
      <c r="K18833" s="711"/>
      <c r="L18833" s="711"/>
      <c r="Q18833" s="11"/>
      <c r="R18833" s="11"/>
      <c r="S18833" s="11"/>
      <c r="T18833" s="11"/>
    </row>
    <row r="18834" spans="8:20" x14ac:dyDescent="0.35">
      <c r="H18834" s="711"/>
      <c r="I18834" s="711"/>
      <c r="J18834" s="711"/>
      <c r="K18834" s="711"/>
      <c r="L18834" s="711"/>
      <c r="Q18834" s="11"/>
      <c r="R18834" s="11"/>
      <c r="S18834" s="11"/>
      <c r="T18834" s="11"/>
    </row>
    <row r="18835" spans="8:20" x14ac:dyDescent="0.35">
      <c r="H18835" s="711"/>
      <c r="I18835" s="711"/>
      <c r="J18835" s="711"/>
      <c r="K18835" s="711"/>
      <c r="L18835" s="711"/>
      <c r="Q18835" s="11"/>
      <c r="R18835" s="11"/>
      <c r="S18835" s="11"/>
      <c r="T18835" s="11"/>
    </row>
    <row r="18836" spans="8:20" x14ac:dyDescent="0.35">
      <c r="H18836" s="711"/>
      <c r="I18836" s="711"/>
      <c r="J18836" s="711"/>
      <c r="K18836" s="711"/>
      <c r="L18836" s="711"/>
      <c r="Q18836" s="11"/>
      <c r="R18836" s="11"/>
      <c r="S18836" s="11"/>
      <c r="T18836" s="11"/>
    </row>
    <row r="18837" spans="8:20" x14ac:dyDescent="0.35">
      <c r="H18837" s="711"/>
      <c r="I18837" s="711"/>
      <c r="J18837" s="711"/>
      <c r="K18837" s="711"/>
      <c r="L18837" s="711"/>
      <c r="Q18837" s="11"/>
      <c r="R18837" s="11"/>
      <c r="S18837" s="11"/>
      <c r="T18837" s="11"/>
    </row>
    <row r="18838" spans="8:20" x14ac:dyDescent="0.35">
      <c r="H18838" s="711"/>
      <c r="I18838" s="711"/>
      <c r="J18838" s="711"/>
      <c r="K18838" s="711"/>
      <c r="L18838" s="711"/>
      <c r="Q18838" s="11"/>
      <c r="R18838" s="11"/>
      <c r="S18838" s="11"/>
      <c r="T18838" s="11"/>
    </row>
    <row r="18839" spans="8:20" x14ac:dyDescent="0.35">
      <c r="H18839" s="711"/>
      <c r="I18839" s="711"/>
      <c r="J18839" s="711"/>
      <c r="K18839" s="711"/>
      <c r="L18839" s="711"/>
      <c r="Q18839" s="11"/>
      <c r="R18839" s="11"/>
      <c r="S18839" s="11"/>
      <c r="T18839" s="11"/>
    </row>
    <row r="18840" spans="8:20" x14ac:dyDescent="0.35">
      <c r="H18840" s="711"/>
      <c r="I18840" s="711"/>
      <c r="J18840" s="711"/>
      <c r="K18840" s="711"/>
      <c r="L18840" s="711"/>
      <c r="Q18840" s="11"/>
      <c r="R18840" s="11"/>
      <c r="S18840" s="11"/>
      <c r="T18840" s="11"/>
    </row>
    <row r="18841" spans="8:20" x14ac:dyDescent="0.35">
      <c r="H18841" s="711"/>
      <c r="I18841" s="711"/>
      <c r="J18841" s="711"/>
      <c r="K18841" s="711"/>
      <c r="L18841" s="711"/>
      <c r="Q18841" s="11"/>
      <c r="R18841" s="11"/>
      <c r="S18841" s="11"/>
      <c r="T18841" s="11"/>
    </row>
    <row r="18842" spans="8:20" x14ac:dyDescent="0.35">
      <c r="H18842" s="711"/>
      <c r="I18842" s="711"/>
      <c r="J18842" s="711"/>
      <c r="K18842" s="711"/>
      <c r="L18842" s="711"/>
      <c r="Q18842" s="11"/>
      <c r="R18842" s="11"/>
      <c r="S18842" s="11"/>
      <c r="T18842" s="11"/>
    </row>
    <row r="18843" spans="8:20" x14ac:dyDescent="0.35">
      <c r="H18843" s="711"/>
      <c r="I18843" s="711"/>
      <c r="J18843" s="711"/>
      <c r="K18843" s="711"/>
      <c r="L18843" s="711"/>
      <c r="Q18843" s="11"/>
      <c r="R18843" s="11"/>
      <c r="S18843" s="11"/>
      <c r="T18843" s="11"/>
    </row>
    <row r="18844" spans="8:20" x14ac:dyDescent="0.35">
      <c r="H18844" s="711"/>
      <c r="I18844" s="711"/>
      <c r="J18844" s="711"/>
      <c r="K18844" s="711"/>
      <c r="L18844" s="711"/>
      <c r="Q18844" s="11"/>
      <c r="R18844" s="11"/>
      <c r="S18844" s="11"/>
      <c r="T18844" s="11"/>
    </row>
    <row r="18845" spans="8:20" x14ac:dyDescent="0.35">
      <c r="H18845" s="711"/>
      <c r="I18845" s="711"/>
      <c r="J18845" s="711"/>
      <c r="K18845" s="711"/>
      <c r="L18845" s="711"/>
      <c r="Q18845" s="11"/>
      <c r="R18845" s="11"/>
      <c r="S18845" s="11"/>
      <c r="T18845" s="11"/>
    </row>
    <row r="18846" spans="8:20" x14ac:dyDescent="0.35">
      <c r="H18846" s="711"/>
      <c r="I18846" s="711"/>
      <c r="J18846" s="711"/>
      <c r="K18846" s="711"/>
      <c r="L18846" s="711"/>
      <c r="Q18846" s="11"/>
      <c r="R18846" s="11"/>
      <c r="S18846" s="11"/>
      <c r="T18846" s="11"/>
    </row>
    <row r="18847" spans="8:20" x14ac:dyDescent="0.35">
      <c r="H18847" s="711"/>
      <c r="I18847" s="711"/>
      <c r="J18847" s="711"/>
      <c r="K18847" s="711"/>
      <c r="L18847" s="711"/>
      <c r="Q18847" s="11"/>
      <c r="R18847" s="11"/>
      <c r="S18847" s="11"/>
      <c r="T18847" s="11"/>
    </row>
    <row r="18848" spans="8:20" x14ac:dyDescent="0.35">
      <c r="H18848" s="711"/>
      <c r="I18848" s="711"/>
      <c r="J18848" s="711"/>
      <c r="K18848" s="711"/>
      <c r="L18848" s="711"/>
      <c r="Q18848" s="11"/>
      <c r="R18848" s="11"/>
      <c r="S18848" s="11"/>
      <c r="T18848" s="11"/>
    </row>
    <row r="18849" spans="8:20" x14ac:dyDescent="0.35">
      <c r="H18849" s="711"/>
      <c r="I18849" s="711"/>
      <c r="J18849" s="711"/>
      <c r="K18849" s="711"/>
      <c r="L18849" s="711"/>
      <c r="Q18849" s="11"/>
      <c r="R18849" s="11"/>
      <c r="S18849" s="11"/>
      <c r="T18849" s="11"/>
    </row>
    <row r="18850" spans="8:20" x14ac:dyDescent="0.35">
      <c r="H18850" s="711"/>
      <c r="I18850" s="711"/>
      <c r="J18850" s="711"/>
      <c r="K18850" s="711"/>
      <c r="L18850" s="711"/>
      <c r="Q18850" s="11"/>
      <c r="R18850" s="11"/>
      <c r="S18850" s="11"/>
      <c r="T18850" s="11"/>
    </row>
    <row r="18851" spans="8:20" x14ac:dyDescent="0.35">
      <c r="H18851" s="711"/>
      <c r="I18851" s="711"/>
      <c r="J18851" s="711"/>
      <c r="K18851" s="711"/>
      <c r="L18851" s="711"/>
      <c r="Q18851" s="11"/>
      <c r="R18851" s="11"/>
      <c r="S18851" s="11"/>
      <c r="T18851" s="11"/>
    </row>
    <row r="18852" spans="8:20" x14ac:dyDescent="0.35">
      <c r="H18852" s="711"/>
      <c r="I18852" s="711"/>
      <c r="J18852" s="711"/>
      <c r="K18852" s="711"/>
      <c r="L18852" s="711"/>
      <c r="Q18852" s="11"/>
      <c r="R18852" s="11"/>
      <c r="S18852" s="11"/>
      <c r="T18852" s="11"/>
    </row>
    <row r="18853" spans="8:20" x14ac:dyDescent="0.35">
      <c r="H18853" s="711"/>
      <c r="I18853" s="711"/>
      <c r="J18853" s="711"/>
      <c r="K18853" s="711"/>
      <c r="L18853" s="711"/>
      <c r="Q18853" s="11"/>
      <c r="R18853" s="11"/>
      <c r="S18853" s="11"/>
      <c r="T18853" s="11"/>
    </row>
    <row r="18854" spans="8:20" x14ac:dyDescent="0.35">
      <c r="H18854" s="711"/>
      <c r="I18854" s="711"/>
      <c r="J18854" s="711"/>
      <c r="K18854" s="711"/>
      <c r="L18854" s="711"/>
      <c r="Q18854" s="11"/>
      <c r="R18854" s="11"/>
      <c r="S18854" s="11"/>
      <c r="T18854" s="11"/>
    </row>
    <row r="18855" spans="8:20" x14ac:dyDescent="0.35">
      <c r="H18855" s="711"/>
      <c r="I18855" s="711"/>
      <c r="J18855" s="711"/>
      <c r="K18855" s="711"/>
      <c r="L18855" s="711"/>
      <c r="Q18855" s="11"/>
      <c r="R18855" s="11"/>
      <c r="S18855" s="11"/>
      <c r="T18855" s="11"/>
    </row>
    <row r="18856" spans="8:20" x14ac:dyDescent="0.35">
      <c r="H18856" s="711"/>
      <c r="I18856" s="711"/>
      <c r="J18856" s="711"/>
      <c r="K18856" s="711"/>
      <c r="L18856" s="711"/>
      <c r="Q18856" s="11"/>
      <c r="R18856" s="11"/>
      <c r="S18856" s="11"/>
      <c r="T18856" s="11"/>
    </row>
    <row r="18857" spans="8:20" x14ac:dyDescent="0.35">
      <c r="H18857" s="711"/>
      <c r="I18857" s="711"/>
      <c r="J18857" s="711"/>
      <c r="K18857" s="711"/>
      <c r="L18857" s="711"/>
      <c r="Q18857" s="11"/>
      <c r="R18857" s="11"/>
      <c r="S18857" s="11"/>
      <c r="T18857" s="11"/>
    </row>
    <row r="18858" spans="8:20" x14ac:dyDescent="0.35">
      <c r="H18858" s="711"/>
      <c r="I18858" s="711"/>
      <c r="J18858" s="711"/>
      <c r="K18858" s="711"/>
      <c r="L18858" s="711"/>
      <c r="Q18858" s="11"/>
      <c r="R18858" s="11"/>
      <c r="S18858" s="11"/>
      <c r="T18858" s="11"/>
    </row>
    <row r="18859" spans="8:20" x14ac:dyDescent="0.35">
      <c r="H18859" s="711"/>
      <c r="I18859" s="711"/>
      <c r="J18859" s="711"/>
      <c r="K18859" s="711"/>
      <c r="L18859" s="711"/>
      <c r="Q18859" s="11"/>
      <c r="R18859" s="11"/>
      <c r="S18859" s="11"/>
      <c r="T18859" s="11"/>
    </row>
    <row r="18860" spans="8:20" x14ac:dyDescent="0.35">
      <c r="H18860" s="711"/>
      <c r="I18860" s="711"/>
      <c r="J18860" s="711"/>
      <c r="K18860" s="711"/>
      <c r="L18860" s="711"/>
      <c r="Q18860" s="11"/>
      <c r="R18860" s="11"/>
      <c r="S18860" s="11"/>
      <c r="T18860" s="11"/>
    </row>
    <row r="18861" spans="8:20" x14ac:dyDescent="0.35">
      <c r="H18861" s="711"/>
      <c r="I18861" s="711"/>
      <c r="J18861" s="711"/>
      <c r="K18861" s="711"/>
      <c r="L18861" s="711"/>
      <c r="Q18861" s="11"/>
      <c r="R18861" s="11"/>
      <c r="S18861" s="11"/>
      <c r="T18861" s="11"/>
    </row>
    <row r="18862" spans="8:20" x14ac:dyDescent="0.35">
      <c r="H18862" s="711"/>
      <c r="I18862" s="711"/>
      <c r="J18862" s="711"/>
      <c r="K18862" s="711"/>
      <c r="L18862" s="711"/>
      <c r="Q18862" s="11"/>
      <c r="R18862" s="11"/>
      <c r="S18862" s="11"/>
      <c r="T18862" s="11"/>
    </row>
    <row r="18863" spans="8:20" x14ac:dyDescent="0.35">
      <c r="H18863" s="711"/>
      <c r="I18863" s="711"/>
      <c r="J18863" s="711"/>
      <c r="K18863" s="711"/>
      <c r="L18863" s="711"/>
      <c r="Q18863" s="11"/>
      <c r="R18863" s="11"/>
      <c r="S18863" s="11"/>
      <c r="T18863" s="11"/>
    </row>
    <row r="18864" spans="8:20" x14ac:dyDescent="0.35">
      <c r="H18864" s="711"/>
      <c r="I18864" s="711"/>
      <c r="J18864" s="711"/>
      <c r="K18864" s="711"/>
      <c r="L18864" s="711"/>
      <c r="Q18864" s="11"/>
      <c r="R18864" s="11"/>
      <c r="S18864" s="11"/>
      <c r="T18864" s="11"/>
    </row>
    <row r="18865" spans="8:20" x14ac:dyDescent="0.35">
      <c r="H18865" s="711"/>
      <c r="I18865" s="711"/>
      <c r="J18865" s="711"/>
      <c r="K18865" s="711"/>
      <c r="L18865" s="711"/>
      <c r="Q18865" s="11"/>
      <c r="R18865" s="11"/>
      <c r="S18865" s="11"/>
      <c r="T18865" s="11"/>
    </row>
    <row r="18866" spans="8:20" x14ac:dyDescent="0.35">
      <c r="H18866" s="711"/>
      <c r="I18866" s="711"/>
      <c r="J18866" s="711"/>
      <c r="K18866" s="711"/>
      <c r="L18866" s="711"/>
      <c r="Q18866" s="11"/>
      <c r="R18866" s="11"/>
      <c r="S18866" s="11"/>
      <c r="T18866" s="11"/>
    </row>
    <row r="18867" spans="8:20" x14ac:dyDescent="0.35">
      <c r="H18867" s="711"/>
      <c r="I18867" s="711"/>
      <c r="J18867" s="711"/>
      <c r="K18867" s="711"/>
      <c r="L18867" s="711"/>
      <c r="Q18867" s="11"/>
      <c r="R18867" s="11"/>
      <c r="S18867" s="11"/>
      <c r="T18867" s="11"/>
    </row>
    <row r="18868" spans="8:20" x14ac:dyDescent="0.35">
      <c r="H18868" s="711"/>
      <c r="I18868" s="711"/>
      <c r="J18868" s="711"/>
      <c r="K18868" s="711"/>
      <c r="L18868" s="711"/>
      <c r="Q18868" s="11"/>
      <c r="R18868" s="11"/>
      <c r="S18868" s="11"/>
      <c r="T18868" s="11"/>
    </row>
    <row r="18869" spans="8:20" x14ac:dyDescent="0.35">
      <c r="H18869" s="711"/>
      <c r="I18869" s="711"/>
      <c r="J18869" s="711"/>
      <c r="K18869" s="711"/>
      <c r="L18869" s="711"/>
      <c r="Q18869" s="11"/>
      <c r="R18869" s="11"/>
      <c r="S18869" s="11"/>
      <c r="T18869" s="11"/>
    </row>
    <row r="18870" spans="8:20" x14ac:dyDescent="0.35">
      <c r="H18870" s="711"/>
      <c r="I18870" s="711"/>
      <c r="J18870" s="711"/>
      <c r="K18870" s="711"/>
      <c r="L18870" s="711"/>
      <c r="Q18870" s="11"/>
      <c r="R18870" s="11"/>
      <c r="S18870" s="11"/>
      <c r="T18870" s="11"/>
    </row>
    <row r="18871" spans="8:20" x14ac:dyDescent="0.35">
      <c r="H18871" s="711"/>
      <c r="I18871" s="711"/>
      <c r="J18871" s="711"/>
      <c r="K18871" s="711"/>
      <c r="L18871" s="711"/>
      <c r="Q18871" s="11"/>
      <c r="R18871" s="11"/>
      <c r="S18871" s="11"/>
      <c r="T18871" s="11"/>
    </row>
    <row r="18872" spans="8:20" x14ac:dyDescent="0.35">
      <c r="H18872" s="711"/>
      <c r="I18872" s="711"/>
      <c r="J18872" s="711"/>
      <c r="K18872" s="711"/>
      <c r="L18872" s="711"/>
      <c r="Q18872" s="11"/>
      <c r="R18872" s="11"/>
      <c r="S18872" s="11"/>
      <c r="T18872" s="11"/>
    </row>
    <row r="18873" spans="8:20" x14ac:dyDescent="0.35">
      <c r="H18873" s="711"/>
      <c r="I18873" s="711"/>
      <c r="J18873" s="711"/>
      <c r="K18873" s="711"/>
      <c r="L18873" s="711"/>
      <c r="Q18873" s="11"/>
      <c r="R18873" s="11"/>
      <c r="S18873" s="11"/>
      <c r="T18873" s="11"/>
    </row>
    <row r="18874" spans="8:20" x14ac:dyDescent="0.35">
      <c r="H18874" s="711"/>
      <c r="I18874" s="711"/>
      <c r="J18874" s="711"/>
      <c r="K18874" s="711"/>
      <c r="L18874" s="711"/>
      <c r="Q18874" s="11"/>
      <c r="R18874" s="11"/>
      <c r="S18874" s="11"/>
      <c r="T18874" s="11"/>
    </row>
    <row r="18875" spans="8:20" x14ac:dyDescent="0.35">
      <c r="H18875" s="711"/>
      <c r="I18875" s="711"/>
      <c r="J18875" s="711"/>
      <c r="K18875" s="711"/>
      <c r="L18875" s="711"/>
      <c r="Q18875" s="11"/>
      <c r="R18875" s="11"/>
      <c r="S18875" s="11"/>
      <c r="T18875" s="11"/>
    </row>
    <row r="18876" spans="8:20" x14ac:dyDescent="0.35">
      <c r="H18876" s="711"/>
      <c r="I18876" s="711"/>
      <c r="J18876" s="711"/>
      <c r="K18876" s="711"/>
      <c r="L18876" s="711"/>
      <c r="Q18876" s="11"/>
      <c r="R18876" s="11"/>
      <c r="S18876" s="11"/>
      <c r="T18876" s="11"/>
    </row>
    <row r="18877" spans="8:20" x14ac:dyDescent="0.35">
      <c r="H18877" s="711"/>
      <c r="I18877" s="711"/>
      <c r="J18877" s="711"/>
      <c r="K18877" s="711"/>
      <c r="L18877" s="711"/>
      <c r="Q18877" s="11"/>
      <c r="R18877" s="11"/>
      <c r="S18877" s="11"/>
      <c r="T18877" s="11"/>
    </row>
    <row r="18878" spans="8:20" x14ac:dyDescent="0.35">
      <c r="H18878" s="711"/>
      <c r="I18878" s="711"/>
      <c r="J18878" s="711"/>
      <c r="K18878" s="711"/>
      <c r="L18878" s="711"/>
      <c r="Q18878" s="11"/>
      <c r="R18878" s="11"/>
      <c r="S18878" s="11"/>
      <c r="T18878" s="11"/>
    </row>
    <row r="18879" spans="8:20" x14ac:dyDescent="0.35">
      <c r="H18879" s="711"/>
      <c r="I18879" s="711"/>
      <c r="J18879" s="711"/>
      <c r="K18879" s="711"/>
      <c r="L18879" s="711"/>
      <c r="Q18879" s="11"/>
      <c r="R18879" s="11"/>
      <c r="S18879" s="11"/>
      <c r="T18879" s="11"/>
    </row>
    <row r="18880" spans="8:20" x14ac:dyDescent="0.35">
      <c r="H18880" s="711"/>
      <c r="I18880" s="711"/>
      <c r="J18880" s="711"/>
      <c r="K18880" s="711"/>
      <c r="L18880" s="711"/>
      <c r="Q18880" s="11"/>
      <c r="R18880" s="11"/>
      <c r="S18880" s="11"/>
      <c r="T18880" s="11"/>
    </row>
    <row r="18881" spans="8:20" x14ac:dyDescent="0.35">
      <c r="H18881" s="711"/>
      <c r="I18881" s="711"/>
      <c r="J18881" s="711"/>
      <c r="K18881" s="711"/>
      <c r="L18881" s="711"/>
      <c r="Q18881" s="11"/>
      <c r="R18881" s="11"/>
      <c r="S18881" s="11"/>
      <c r="T18881" s="11"/>
    </row>
    <row r="18882" spans="8:20" x14ac:dyDescent="0.35">
      <c r="H18882" s="711"/>
      <c r="I18882" s="711"/>
      <c r="J18882" s="711"/>
      <c r="K18882" s="711"/>
      <c r="L18882" s="711"/>
      <c r="Q18882" s="11"/>
      <c r="R18882" s="11"/>
      <c r="S18882" s="11"/>
      <c r="T18882" s="11"/>
    </row>
    <row r="18883" spans="8:20" x14ac:dyDescent="0.35">
      <c r="H18883" s="711"/>
      <c r="I18883" s="711"/>
      <c r="J18883" s="711"/>
      <c r="K18883" s="711"/>
      <c r="L18883" s="711"/>
      <c r="Q18883" s="11"/>
      <c r="R18883" s="11"/>
      <c r="S18883" s="11"/>
      <c r="T18883" s="11"/>
    </row>
    <row r="18884" spans="8:20" x14ac:dyDescent="0.35">
      <c r="H18884" s="711"/>
      <c r="I18884" s="711"/>
      <c r="J18884" s="711"/>
      <c r="K18884" s="711"/>
      <c r="L18884" s="711"/>
      <c r="Q18884" s="11"/>
      <c r="R18884" s="11"/>
      <c r="S18884" s="11"/>
      <c r="T18884" s="11"/>
    </row>
    <row r="18885" spans="8:20" x14ac:dyDescent="0.35">
      <c r="H18885" s="711"/>
      <c r="I18885" s="711"/>
      <c r="J18885" s="711"/>
      <c r="K18885" s="711"/>
      <c r="L18885" s="711"/>
      <c r="Q18885" s="11"/>
      <c r="R18885" s="11"/>
      <c r="S18885" s="11"/>
      <c r="T18885" s="11"/>
    </row>
    <row r="18886" spans="8:20" x14ac:dyDescent="0.35">
      <c r="H18886" s="711"/>
      <c r="I18886" s="711"/>
      <c r="J18886" s="711"/>
      <c r="K18886" s="711"/>
      <c r="L18886" s="711"/>
      <c r="Q18886" s="11"/>
      <c r="R18886" s="11"/>
      <c r="S18886" s="11"/>
      <c r="T18886" s="11"/>
    </row>
    <row r="18887" spans="8:20" x14ac:dyDescent="0.35">
      <c r="H18887" s="711"/>
      <c r="I18887" s="711"/>
      <c r="J18887" s="711"/>
      <c r="K18887" s="711"/>
      <c r="L18887" s="711"/>
      <c r="Q18887" s="11"/>
      <c r="R18887" s="11"/>
      <c r="S18887" s="11"/>
      <c r="T18887" s="11"/>
    </row>
    <row r="18888" spans="8:20" x14ac:dyDescent="0.35">
      <c r="H18888" s="711"/>
      <c r="I18888" s="711"/>
      <c r="J18888" s="711"/>
      <c r="K18888" s="711"/>
      <c r="L18888" s="711"/>
      <c r="Q18888" s="11"/>
      <c r="R18888" s="11"/>
      <c r="S18888" s="11"/>
      <c r="T18888" s="11"/>
    </row>
    <row r="18889" spans="8:20" x14ac:dyDescent="0.35">
      <c r="H18889" s="711"/>
      <c r="I18889" s="711"/>
      <c r="J18889" s="711"/>
      <c r="K18889" s="711"/>
      <c r="L18889" s="711"/>
      <c r="Q18889" s="11"/>
      <c r="R18889" s="11"/>
      <c r="S18889" s="11"/>
      <c r="T18889" s="11"/>
    </row>
    <row r="18890" spans="8:20" x14ac:dyDescent="0.35">
      <c r="H18890" s="711"/>
      <c r="I18890" s="711"/>
      <c r="J18890" s="711"/>
      <c r="K18890" s="711"/>
      <c r="L18890" s="711"/>
      <c r="Q18890" s="11"/>
      <c r="R18890" s="11"/>
      <c r="S18890" s="11"/>
      <c r="T18890" s="11"/>
    </row>
    <row r="18891" spans="8:20" x14ac:dyDescent="0.35">
      <c r="H18891" s="711"/>
      <c r="I18891" s="711"/>
      <c r="J18891" s="711"/>
      <c r="K18891" s="711"/>
      <c r="L18891" s="711"/>
      <c r="Q18891" s="11"/>
      <c r="R18891" s="11"/>
      <c r="S18891" s="11"/>
      <c r="T18891" s="11"/>
    </row>
    <row r="18892" spans="8:20" x14ac:dyDescent="0.35">
      <c r="H18892" s="711"/>
      <c r="I18892" s="711"/>
      <c r="J18892" s="711"/>
      <c r="K18892" s="711"/>
      <c r="L18892" s="711"/>
      <c r="Q18892" s="11"/>
      <c r="R18892" s="11"/>
      <c r="S18892" s="11"/>
      <c r="T18892" s="11"/>
    </row>
    <row r="18893" spans="8:20" x14ac:dyDescent="0.35">
      <c r="H18893" s="711"/>
      <c r="I18893" s="711"/>
      <c r="J18893" s="711"/>
      <c r="K18893" s="711"/>
      <c r="L18893" s="711"/>
      <c r="Q18893" s="11"/>
      <c r="R18893" s="11"/>
      <c r="S18893" s="11"/>
      <c r="T18893" s="11"/>
    </row>
    <row r="18894" spans="8:20" x14ac:dyDescent="0.35">
      <c r="H18894" s="711"/>
      <c r="I18894" s="711"/>
      <c r="J18894" s="711"/>
      <c r="K18894" s="711"/>
      <c r="L18894" s="711"/>
      <c r="Q18894" s="11"/>
      <c r="R18894" s="11"/>
      <c r="S18894" s="11"/>
      <c r="T18894" s="11"/>
    </row>
    <row r="18895" spans="8:20" x14ac:dyDescent="0.35">
      <c r="H18895" s="711"/>
      <c r="I18895" s="711"/>
      <c r="J18895" s="711"/>
      <c r="K18895" s="711"/>
      <c r="L18895" s="711"/>
      <c r="Q18895" s="11"/>
      <c r="R18895" s="11"/>
      <c r="S18895" s="11"/>
      <c r="T18895" s="11"/>
    </row>
    <row r="18896" spans="8:20" x14ac:dyDescent="0.35">
      <c r="H18896" s="711"/>
      <c r="I18896" s="711"/>
      <c r="J18896" s="711"/>
      <c r="K18896" s="711"/>
      <c r="L18896" s="711"/>
      <c r="Q18896" s="11"/>
      <c r="R18896" s="11"/>
      <c r="S18896" s="11"/>
      <c r="T18896" s="11"/>
    </row>
    <row r="18897" spans="8:20" x14ac:dyDescent="0.35">
      <c r="H18897" s="711"/>
      <c r="I18897" s="711"/>
      <c r="J18897" s="711"/>
      <c r="K18897" s="711"/>
      <c r="L18897" s="711"/>
      <c r="Q18897" s="11"/>
      <c r="R18897" s="11"/>
      <c r="S18897" s="11"/>
      <c r="T18897" s="11"/>
    </row>
    <row r="18898" spans="8:20" x14ac:dyDescent="0.35">
      <c r="H18898" s="711"/>
      <c r="I18898" s="711"/>
      <c r="J18898" s="711"/>
      <c r="K18898" s="711"/>
      <c r="L18898" s="711"/>
      <c r="Q18898" s="11"/>
      <c r="R18898" s="11"/>
      <c r="S18898" s="11"/>
      <c r="T18898" s="11"/>
    </row>
    <row r="18899" spans="8:20" x14ac:dyDescent="0.35">
      <c r="H18899" s="711"/>
      <c r="I18899" s="711"/>
      <c r="J18899" s="711"/>
      <c r="K18899" s="711"/>
      <c r="L18899" s="711"/>
      <c r="Q18899" s="11"/>
      <c r="R18899" s="11"/>
      <c r="S18899" s="11"/>
      <c r="T18899" s="11"/>
    </row>
    <row r="18900" spans="8:20" x14ac:dyDescent="0.35">
      <c r="H18900" s="711"/>
      <c r="I18900" s="711"/>
      <c r="J18900" s="711"/>
      <c r="K18900" s="711"/>
      <c r="L18900" s="711"/>
      <c r="Q18900" s="11"/>
      <c r="R18900" s="11"/>
      <c r="S18900" s="11"/>
      <c r="T18900" s="11"/>
    </row>
    <row r="18901" spans="8:20" x14ac:dyDescent="0.35">
      <c r="H18901" s="711"/>
      <c r="I18901" s="711"/>
      <c r="J18901" s="711"/>
      <c r="K18901" s="711"/>
      <c r="L18901" s="711"/>
      <c r="Q18901" s="11"/>
      <c r="R18901" s="11"/>
      <c r="S18901" s="11"/>
      <c r="T18901" s="11"/>
    </row>
    <row r="18902" spans="8:20" x14ac:dyDescent="0.35">
      <c r="H18902" s="711"/>
      <c r="I18902" s="711"/>
      <c r="J18902" s="711"/>
      <c r="K18902" s="711"/>
      <c r="L18902" s="711"/>
      <c r="Q18902" s="11"/>
      <c r="R18902" s="11"/>
      <c r="S18902" s="11"/>
      <c r="T18902" s="11"/>
    </row>
    <row r="18903" spans="8:20" x14ac:dyDescent="0.35">
      <c r="H18903" s="711"/>
      <c r="I18903" s="711"/>
      <c r="J18903" s="711"/>
      <c r="K18903" s="711"/>
      <c r="L18903" s="711"/>
      <c r="Q18903" s="11"/>
      <c r="R18903" s="11"/>
      <c r="S18903" s="11"/>
      <c r="T18903" s="11"/>
    </row>
    <row r="18904" spans="8:20" x14ac:dyDescent="0.35">
      <c r="H18904" s="711"/>
      <c r="I18904" s="711"/>
      <c r="J18904" s="711"/>
      <c r="K18904" s="711"/>
      <c r="L18904" s="711"/>
      <c r="Q18904" s="11"/>
      <c r="R18904" s="11"/>
      <c r="S18904" s="11"/>
      <c r="T18904" s="11"/>
    </row>
    <row r="18905" spans="8:20" x14ac:dyDescent="0.35">
      <c r="H18905" s="711"/>
      <c r="I18905" s="711"/>
      <c r="J18905" s="711"/>
      <c r="K18905" s="711"/>
      <c r="L18905" s="711"/>
      <c r="Q18905" s="11"/>
      <c r="R18905" s="11"/>
      <c r="S18905" s="11"/>
      <c r="T18905" s="11"/>
    </row>
    <row r="18906" spans="8:20" x14ac:dyDescent="0.35">
      <c r="H18906" s="711"/>
      <c r="I18906" s="711"/>
      <c r="J18906" s="711"/>
      <c r="K18906" s="711"/>
      <c r="L18906" s="711"/>
      <c r="Q18906" s="11"/>
      <c r="R18906" s="11"/>
      <c r="S18906" s="11"/>
      <c r="T18906" s="11"/>
    </row>
    <row r="18907" spans="8:20" x14ac:dyDescent="0.35">
      <c r="H18907" s="711"/>
      <c r="I18907" s="711"/>
      <c r="J18907" s="711"/>
      <c r="K18907" s="711"/>
      <c r="L18907" s="711"/>
      <c r="Q18907" s="11"/>
      <c r="R18907" s="11"/>
      <c r="S18907" s="11"/>
      <c r="T18907" s="11"/>
    </row>
    <row r="18908" spans="8:20" x14ac:dyDescent="0.35">
      <c r="H18908" s="711"/>
      <c r="I18908" s="711"/>
      <c r="J18908" s="711"/>
      <c r="K18908" s="711"/>
      <c r="L18908" s="711"/>
      <c r="Q18908" s="11"/>
      <c r="R18908" s="11"/>
      <c r="S18908" s="11"/>
      <c r="T18908" s="11"/>
    </row>
    <row r="18909" spans="8:20" x14ac:dyDescent="0.35">
      <c r="H18909" s="711"/>
      <c r="I18909" s="711"/>
      <c r="J18909" s="711"/>
      <c r="K18909" s="711"/>
      <c r="L18909" s="711"/>
      <c r="Q18909" s="11"/>
      <c r="R18909" s="11"/>
      <c r="S18909" s="11"/>
      <c r="T18909" s="11"/>
    </row>
    <row r="18910" spans="8:20" x14ac:dyDescent="0.35">
      <c r="H18910" s="711"/>
      <c r="I18910" s="711"/>
      <c r="J18910" s="711"/>
      <c r="K18910" s="711"/>
      <c r="L18910" s="711"/>
      <c r="Q18910" s="11"/>
      <c r="R18910" s="11"/>
      <c r="S18910" s="11"/>
      <c r="T18910" s="11"/>
    </row>
    <row r="18911" spans="8:20" x14ac:dyDescent="0.35">
      <c r="H18911" s="711"/>
      <c r="I18911" s="711"/>
      <c r="J18911" s="711"/>
      <c r="K18911" s="711"/>
      <c r="L18911" s="711"/>
      <c r="Q18911" s="11"/>
      <c r="R18911" s="11"/>
      <c r="S18911" s="11"/>
      <c r="T18911" s="11"/>
    </row>
    <row r="18912" spans="8:20" x14ac:dyDescent="0.35">
      <c r="H18912" s="711"/>
      <c r="I18912" s="711"/>
      <c r="J18912" s="711"/>
      <c r="K18912" s="711"/>
      <c r="L18912" s="711"/>
      <c r="Q18912" s="11"/>
      <c r="R18912" s="11"/>
      <c r="S18912" s="11"/>
      <c r="T18912" s="11"/>
    </row>
    <row r="18913" spans="8:20" x14ac:dyDescent="0.35">
      <c r="H18913" s="711"/>
      <c r="I18913" s="711"/>
      <c r="J18913" s="711"/>
      <c r="K18913" s="711"/>
      <c r="L18913" s="711"/>
      <c r="Q18913" s="11"/>
      <c r="R18913" s="11"/>
      <c r="S18913" s="11"/>
      <c r="T18913" s="11"/>
    </row>
    <row r="18914" spans="8:20" x14ac:dyDescent="0.35">
      <c r="H18914" s="711"/>
      <c r="I18914" s="711"/>
      <c r="J18914" s="711"/>
      <c r="K18914" s="711"/>
      <c r="L18914" s="711"/>
      <c r="Q18914" s="11"/>
      <c r="R18914" s="11"/>
      <c r="S18914" s="11"/>
      <c r="T18914" s="11"/>
    </row>
    <row r="18915" spans="8:20" x14ac:dyDescent="0.35">
      <c r="H18915" s="711"/>
      <c r="I18915" s="711"/>
      <c r="J18915" s="711"/>
      <c r="K18915" s="711"/>
      <c r="L18915" s="711"/>
      <c r="Q18915" s="11"/>
      <c r="R18915" s="11"/>
      <c r="S18915" s="11"/>
      <c r="T18915" s="11"/>
    </row>
    <row r="18916" spans="8:20" x14ac:dyDescent="0.35">
      <c r="H18916" s="711"/>
      <c r="I18916" s="711"/>
      <c r="J18916" s="711"/>
      <c r="K18916" s="711"/>
      <c r="L18916" s="711"/>
      <c r="Q18916" s="11"/>
      <c r="R18916" s="11"/>
      <c r="S18916" s="11"/>
      <c r="T18916" s="11"/>
    </row>
    <row r="18917" spans="8:20" x14ac:dyDescent="0.35">
      <c r="H18917" s="711"/>
      <c r="I18917" s="711"/>
      <c r="J18917" s="711"/>
      <c r="K18917" s="711"/>
      <c r="L18917" s="711"/>
      <c r="Q18917" s="11"/>
      <c r="R18917" s="11"/>
      <c r="S18917" s="11"/>
      <c r="T18917" s="11"/>
    </row>
    <row r="18918" spans="8:20" x14ac:dyDescent="0.35">
      <c r="H18918" s="711"/>
      <c r="I18918" s="711"/>
      <c r="J18918" s="711"/>
      <c r="K18918" s="711"/>
      <c r="L18918" s="711"/>
      <c r="Q18918" s="11"/>
      <c r="R18918" s="11"/>
      <c r="S18918" s="11"/>
      <c r="T18918" s="11"/>
    </row>
    <row r="18919" spans="8:20" x14ac:dyDescent="0.35">
      <c r="H18919" s="711"/>
      <c r="I18919" s="711"/>
      <c r="J18919" s="711"/>
      <c r="K18919" s="711"/>
      <c r="L18919" s="711"/>
      <c r="Q18919" s="11"/>
      <c r="R18919" s="11"/>
      <c r="S18919" s="11"/>
      <c r="T18919" s="11"/>
    </row>
    <row r="18920" spans="8:20" x14ac:dyDescent="0.35">
      <c r="H18920" s="711"/>
      <c r="I18920" s="711"/>
      <c r="J18920" s="711"/>
      <c r="K18920" s="711"/>
      <c r="L18920" s="711"/>
      <c r="Q18920" s="11"/>
      <c r="R18920" s="11"/>
      <c r="S18920" s="11"/>
      <c r="T18920" s="11"/>
    </row>
    <row r="18921" spans="8:20" x14ac:dyDescent="0.35">
      <c r="H18921" s="711"/>
      <c r="I18921" s="711"/>
      <c r="J18921" s="711"/>
      <c r="K18921" s="711"/>
      <c r="L18921" s="711"/>
      <c r="Q18921" s="11"/>
      <c r="R18921" s="11"/>
      <c r="S18921" s="11"/>
      <c r="T18921" s="11"/>
    </row>
    <row r="18922" spans="8:20" x14ac:dyDescent="0.35">
      <c r="H18922" s="711"/>
      <c r="I18922" s="711"/>
      <c r="J18922" s="711"/>
      <c r="K18922" s="711"/>
      <c r="L18922" s="711"/>
      <c r="Q18922" s="11"/>
      <c r="R18922" s="11"/>
      <c r="S18922" s="11"/>
      <c r="T18922" s="11"/>
    </row>
    <row r="18923" spans="8:20" x14ac:dyDescent="0.35">
      <c r="H18923" s="711"/>
      <c r="I18923" s="711"/>
      <c r="J18923" s="711"/>
      <c r="K18923" s="711"/>
      <c r="L18923" s="711"/>
      <c r="Q18923" s="11"/>
      <c r="R18923" s="11"/>
      <c r="S18923" s="11"/>
      <c r="T18923" s="11"/>
    </row>
    <row r="18924" spans="8:20" x14ac:dyDescent="0.35">
      <c r="H18924" s="711"/>
      <c r="I18924" s="711"/>
      <c r="J18924" s="711"/>
      <c r="K18924" s="711"/>
      <c r="L18924" s="711"/>
      <c r="Q18924" s="11"/>
      <c r="R18924" s="11"/>
      <c r="S18924" s="11"/>
      <c r="T18924" s="11"/>
    </row>
    <row r="18925" spans="8:20" x14ac:dyDescent="0.35">
      <c r="H18925" s="711"/>
      <c r="I18925" s="711"/>
      <c r="J18925" s="711"/>
      <c r="K18925" s="711"/>
      <c r="L18925" s="711"/>
      <c r="Q18925" s="11"/>
      <c r="R18925" s="11"/>
      <c r="S18925" s="11"/>
      <c r="T18925" s="11"/>
    </row>
    <row r="18926" spans="8:20" x14ac:dyDescent="0.35">
      <c r="H18926" s="711"/>
      <c r="I18926" s="711"/>
      <c r="J18926" s="711"/>
      <c r="K18926" s="711"/>
      <c r="L18926" s="711"/>
      <c r="Q18926" s="11"/>
      <c r="R18926" s="11"/>
      <c r="S18926" s="11"/>
      <c r="T18926" s="11"/>
    </row>
    <row r="18927" spans="8:20" x14ac:dyDescent="0.35">
      <c r="H18927" s="711"/>
      <c r="I18927" s="711"/>
      <c r="J18927" s="711"/>
      <c r="K18927" s="711"/>
      <c r="L18927" s="711"/>
      <c r="Q18927" s="11"/>
      <c r="R18927" s="11"/>
      <c r="S18927" s="11"/>
      <c r="T18927" s="11"/>
    </row>
    <row r="18928" spans="8:20" x14ac:dyDescent="0.35">
      <c r="H18928" s="711"/>
      <c r="I18928" s="711"/>
      <c r="J18928" s="711"/>
      <c r="K18928" s="711"/>
      <c r="L18928" s="711"/>
      <c r="Q18928" s="11"/>
      <c r="R18928" s="11"/>
      <c r="S18928" s="11"/>
      <c r="T18928" s="11"/>
    </row>
    <row r="18929" spans="8:20" x14ac:dyDescent="0.35">
      <c r="H18929" s="711"/>
      <c r="I18929" s="711"/>
      <c r="J18929" s="711"/>
      <c r="K18929" s="711"/>
      <c r="L18929" s="711"/>
      <c r="Q18929" s="11"/>
      <c r="R18929" s="11"/>
      <c r="S18929" s="11"/>
      <c r="T18929" s="11"/>
    </row>
    <row r="18930" spans="8:20" x14ac:dyDescent="0.35">
      <c r="H18930" s="711"/>
      <c r="I18930" s="711"/>
      <c r="J18930" s="711"/>
      <c r="K18930" s="711"/>
      <c r="L18930" s="711"/>
      <c r="Q18930" s="11"/>
      <c r="R18930" s="11"/>
      <c r="S18930" s="11"/>
      <c r="T18930" s="11"/>
    </row>
    <row r="18931" spans="8:20" x14ac:dyDescent="0.35">
      <c r="H18931" s="711"/>
      <c r="I18931" s="711"/>
      <c r="J18931" s="711"/>
      <c r="K18931" s="711"/>
      <c r="L18931" s="711"/>
      <c r="Q18931" s="11"/>
      <c r="R18931" s="11"/>
      <c r="S18931" s="11"/>
      <c r="T18931" s="11"/>
    </row>
    <row r="18932" spans="8:20" x14ac:dyDescent="0.35">
      <c r="H18932" s="711"/>
      <c r="I18932" s="711"/>
      <c r="J18932" s="711"/>
      <c r="K18932" s="711"/>
      <c r="L18932" s="711"/>
      <c r="Q18932" s="11"/>
      <c r="R18932" s="11"/>
      <c r="S18932" s="11"/>
      <c r="T18932" s="11"/>
    </row>
    <row r="18933" spans="8:20" x14ac:dyDescent="0.35">
      <c r="H18933" s="711"/>
      <c r="I18933" s="711"/>
      <c r="J18933" s="711"/>
      <c r="K18933" s="711"/>
      <c r="L18933" s="711"/>
      <c r="Q18933" s="11"/>
      <c r="R18933" s="11"/>
      <c r="S18933" s="11"/>
      <c r="T18933" s="11"/>
    </row>
    <row r="18934" spans="8:20" x14ac:dyDescent="0.35">
      <c r="H18934" s="711"/>
      <c r="I18934" s="711"/>
      <c r="J18934" s="711"/>
      <c r="K18934" s="711"/>
      <c r="L18934" s="711"/>
      <c r="Q18934" s="11"/>
      <c r="R18934" s="11"/>
      <c r="S18934" s="11"/>
      <c r="T18934" s="11"/>
    </row>
    <row r="18935" spans="8:20" x14ac:dyDescent="0.35">
      <c r="H18935" s="711"/>
      <c r="I18935" s="711"/>
      <c r="J18935" s="711"/>
      <c r="K18935" s="711"/>
      <c r="L18935" s="711"/>
      <c r="Q18935" s="11"/>
      <c r="R18935" s="11"/>
      <c r="S18935" s="11"/>
      <c r="T18935" s="11"/>
    </row>
    <row r="18936" spans="8:20" x14ac:dyDescent="0.35">
      <c r="H18936" s="711"/>
      <c r="I18936" s="711"/>
      <c r="J18936" s="711"/>
      <c r="K18936" s="711"/>
      <c r="L18936" s="711"/>
      <c r="Q18936" s="11"/>
      <c r="R18936" s="11"/>
      <c r="S18936" s="11"/>
      <c r="T18936" s="11"/>
    </row>
    <row r="18937" spans="8:20" x14ac:dyDescent="0.35">
      <c r="H18937" s="711"/>
      <c r="I18937" s="711"/>
      <c r="J18937" s="711"/>
      <c r="K18937" s="711"/>
      <c r="L18937" s="711"/>
      <c r="Q18937" s="11"/>
      <c r="R18937" s="11"/>
      <c r="S18937" s="11"/>
      <c r="T18937" s="11"/>
    </row>
    <row r="18938" spans="8:20" x14ac:dyDescent="0.35">
      <c r="H18938" s="711"/>
      <c r="I18938" s="711"/>
      <c r="J18938" s="711"/>
      <c r="K18938" s="711"/>
      <c r="L18938" s="711"/>
      <c r="Q18938" s="11"/>
      <c r="R18938" s="11"/>
      <c r="S18938" s="11"/>
      <c r="T18938" s="11"/>
    </row>
    <row r="18939" spans="8:20" x14ac:dyDescent="0.35">
      <c r="H18939" s="711"/>
      <c r="I18939" s="711"/>
      <c r="J18939" s="711"/>
      <c r="K18939" s="711"/>
      <c r="L18939" s="711"/>
      <c r="Q18939" s="11"/>
      <c r="R18939" s="11"/>
      <c r="S18939" s="11"/>
      <c r="T18939" s="11"/>
    </row>
    <row r="18940" spans="8:20" x14ac:dyDescent="0.35">
      <c r="H18940" s="711"/>
      <c r="I18940" s="711"/>
      <c r="J18940" s="711"/>
      <c r="K18940" s="711"/>
      <c r="L18940" s="711"/>
      <c r="Q18940" s="11"/>
      <c r="R18940" s="11"/>
      <c r="S18940" s="11"/>
      <c r="T18940" s="11"/>
    </row>
    <row r="18941" spans="8:20" x14ac:dyDescent="0.35">
      <c r="H18941" s="711"/>
      <c r="I18941" s="711"/>
      <c r="J18941" s="711"/>
      <c r="K18941" s="711"/>
      <c r="L18941" s="711"/>
      <c r="Q18941" s="11"/>
      <c r="R18941" s="11"/>
      <c r="S18941" s="11"/>
      <c r="T18941" s="11"/>
    </row>
    <row r="18942" spans="8:20" x14ac:dyDescent="0.35">
      <c r="H18942" s="711"/>
      <c r="I18942" s="711"/>
      <c r="J18942" s="711"/>
      <c r="K18942" s="711"/>
      <c r="L18942" s="711"/>
      <c r="Q18942" s="11"/>
      <c r="R18942" s="11"/>
      <c r="S18942" s="11"/>
      <c r="T18942" s="11"/>
    </row>
    <row r="18943" spans="8:20" x14ac:dyDescent="0.35">
      <c r="H18943" s="711"/>
      <c r="I18943" s="711"/>
      <c r="J18943" s="711"/>
      <c r="K18943" s="711"/>
      <c r="L18943" s="711"/>
      <c r="Q18943" s="11"/>
      <c r="R18943" s="11"/>
      <c r="S18943" s="11"/>
      <c r="T18943" s="11"/>
    </row>
    <row r="18944" spans="8:20" x14ac:dyDescent="0.35">
      <c r="H18944" s="711"/>
      <c r="I18944" s="711"/>
      <c r="J18944" s="711"/>
      <c r="K18944" s="711"/>
      <c r="L18944" s="711"/>
      <c r="Q18944" s="11"/>
      <c r="R18944" s="11"/>
      <c r="S18944" s="11"/>
      <c r="T18944" s="11"/>
    </row>
    <row r="18945" spans="8:20" x14ac:dyDescent="0.35">
      <c r="H18945" s="711"/>
      <c r="I18945" s="711"/>
      <c r="J18945" s="711"/>
      <c r="K18945" s="711"/>
      <c r="L18945" s="711"/>
      <c r="Q18945" s="11"/>
      <c r="R18945" s="11"/>
      <c r="S18945" s="11"/>
      <c r="T18945" s="11"/>
    </row>
    <row r="18946" spans="8:20" x14ac:dyDescent="0.35">
      <c r="H18946" s="711"/>
      <c r="I18946" s="711"/>
      <c r="J18946" s="711"/>
      <c r="K18946" s="711"/>
      <c r="L18946" s="711"/>
      <c r="Q18946" s="11"/>
      <c r="R18946" s="11"/>
      <c r="S18946" s="11"/>
      <c r="T18946" s="11"/>
    </row>
    <row r="18947" spans="8:20" x14ac:dyDescent="0.35">
      <c r="H18947" s="711"/>
      <c r="I18947" s="711"/>
      <c r="J18947" s="711"/>
      <c r="K18947" s="711"/>
      <c r="L18947" s="711"/>
      <c r="Q18947" s="11"/>
      <c r="R18947" s="11"/>
      <c r="S18947" s="11"/>
      <c r="T18947" s="11"/>
    </row>
    <row r="18948" spans="8:20" x14ac:dyDescent="0.35">
      <c r="H18948" s="711"/>
      <c r="I18948" s="711"/>
      <c r="J18948" s="711"/>
      <c r="K18948" s="711"/>
      <c r="L18948" s="711"/>
      <c r="Q18948" s="11"/>
      <c r="R18948" s="11"/>
      <c r="S18948" s="11"/>
      <c r="T18948" s="11"/>
    </row>
    <row r="18949" spans="8:20" x14ac:dyDescent="0.35">
      <c r="H18949" s="711"/>
      <c r="I18949" s="711"/>
      <c r="J18949" s="711"/>
      <c r="K18949" s="711"/>
      <c r="L18949" s="711"/>
      <c r="Q18949" s="11"/>
      <c r="R18949" s="11"/>
      <c r="S18949" s="11"/>
      <c r="T18949" s="11"/>
    </row>
    <row r="18950" spans="8:20" x14ac:dyDescent="0.35">
      <c r="H18950" s="711"/>
      <c r="I18950" s="711"/>
      <c r="J18950" s="711"/>
      <c r="K18950" s="711"/>
      <c r="L18950" s="711"/>
      <c r="Q18950" s="11"/>
      <c r="R18950" s="11"/>
      <c r="S18950" s="11"/>
      <c r="T18950" s="11"/>
    </row>
    <row r="18951" spans="8:20" x14ac:dyDescent="0.35">
      <c r="H18951" s="711"/>
      <c r="I18951" s="711"/>
      <c r="J18951" s="711"/>
      <c r="K18951" s="711"/>
      <c r="L18951" s="711"/>
      <c r="Q18951" s="11"/>
      <c r="R18951" s="11"/>
      <c r="S18951" s="11"/>
      <c r="T18951" s="11"/>
    </row>
    <row r="18952" spans="8:20" x14ac:dyDescent="0.35">
      <c r="H18952" s="711"/>
      <c r="I18952" s="711"/>
      <c r="J18952" s="711"/>
      <c r="K18952" s="711"/>
      <c r="L18952" s="711"/>
      <c r="Q18952" s="11"/>
      <c r="R18952" s="11"/>
      <c r="S18952" s="11"/>
      <c r="T18952" s="11"/>
    </row>
    <row r="18953" spans="8:20" x14ac:dyDescent="0.35">
      <c r="H18953" s="711"/>
      <c r="I18953" s="711"/>
      <c r="J18953" s="711"/>
      <c r="K18953" s="711"/>
      <c r="L18953" s="711"/>
      <c r="Q18953" s="11"/>
      <c r="R18953" s="11"/>
      <c r="S18953" s="11"/>
      <c r="T18953" s="11"/>
    </row>
    <row r="18954" spans="8:20" x14ac:dyDescent="0.35">
      <c r="H18954" s="711"/>
      <c r="I18954" s="711"/>
      <c r="J18954" s="711"/>
      <c r="K18954" s="711"/>
      <c r="L18954" s="711"/>
      <c r="Q18954" s="11"/>
      <c r="R18954" s="11"/>
      <c r="S18954" s="11"/>
      <c r="T18954" s="11"/>
    </row>
    <row r="18955" spans="8:20" x14ac:dyDescent="0.35">
      <c r="H18955" s="711"/>
      <c r="I18955" s="711"/>
      <c r="J18955" s="711"/>
      <c r="K18955" s="711"/>
      <c r="L18955" s="711"/>
      <c r="Q18955" s="11"/>
      <c r="R18955" s="11"/>
      <c r="S18955" s="11"/>
      <c r="T18955" s="11"/>
    </row>
    <row r="18956" spans="8:20" x14ac:dyDescent="0.35">
      <c r="H18956" s="711"/>
      <c r="I18956" s="711"/>
      <c r="J18956" s="711"/>
      <c r="K18956" s="711"/>
      <c r="L18956" s="711"/>
      <c r="Q18956" s="11"/>
      <c r="R18956" s="11"/>
      <c r="S18956" s="11"/>
      <c r="T18956" s="11"/>
    </row>
    <row r="18957" spans="8:20" x14ac:dyDescent="0.35">
      <c r="H18957" s="711"/>
      <c r="I18957" s="711"/>
      <c r="J18957" s="711"/>
      <c r="K18957" s="711"/>
      <c r="L18957" s="711"/>
      <c r="Q18957" s="11"/>
      <c r="R18957" s="11"/>
      <c r="S18957" s="11"/>
      <c r="T18957" s="11"/>
    </row>
    <row r="18958" spans="8:20" x14ac:dyDescent="0.35">
      <c r="H18958" s="711"/>
      <c r="I18958" s="711"/>
      <c r="J18958" s="711"/>
      <c r="K18958" s="711"/>
      <c r="L18958" s="711"/>
      <c r="Q18958" s="11"/>
      <c r="R18958" s="11"/>
      <c r="S18958" s="11"/>
      <c r="T18958" s="11"/>
    </row>
    <row r="18959" spans="8:20" x14ac:dyDescent="0.35">
      <c r="H18959" s="711"/>
      <c r="I18959" s="711"/>
      <c r="J18959" s="711"/>
      <c r="K18959" s="711"/>
      <c r="L18959" s="711"/>
      <c r="Q18959" s="11"/>
      <c r="R18959" s="11"/>
      <c r="S18959" s="11"/>
      <c r="T18959" s="11"/>
    </row>
    <row r="18960" spans="8:20" x14ac:dyDescent="0.35">
      <c r="H18960" s="711"/>
      <c r="I18960" s="711"/>
      <c r="J18960" s="711"/>
      <c r="K18960" s="711"/>
      <c r="L18960" s="711"/>
      <c r="Q18960" s="11"/>
      <c r="R18960" s="11"/>
      <c r="S18960" s="11"/>
      <c r="T18960" s="11"/>
    </row>
    <row r="18961" spans="8:20" x14ac:dyDescent="0.35">
      <c r="H18961" s="711"/>
      <c r="I18961" s="711"/>
      <c r="J18961" s="711"/>
      <c r="K18961" s="711"/>
      <c r="L18961" s="711"/>
      <c r="Q18961" s="11"/>
      <c r="R18961" s="11"/>
      <c r="S18961" s="11"/>
      <c r="T18961" s="11"/>
    </row>
    <row r="18962" spans="8:20" x14ac:dyDescent="0.35">
      <c r="H18962" s="711"/>
      <c r="I18962" s="711"/>
      <c r="J18962" s="711"/>
      <c r="K18962" s="711"/>
      <c r="L18962" s="711"/>
      <c r="Q18962" s="11"/>
      <c r="R18962" s="11"/>
      <c r="S18962" s="11"/>
      <c r="T18962" s="11"/>
    </row>
    <row r="18963" spans="8:20" x14ac:dyDescent="0.35">
      <c r="H18963" s="711"/>
      <c r="I18963" s="711"/>
      <c r="J18963" s="711"/>
      <c r="K18963" s="711"/>
      <c r="L18963" s="711"/>
      <c r="Q18963" s="11"/>
      <c r="R18963" s="11"/>
      <c r="S18963" s="11"/>
      <c r="T18963" s="11"/>
    </row>
    <row r="18964" spans="8:20" x14ac:dyDescent="0.35">
      <c r="H18964" s="711"/>
      <c r="I18964" s="711"/>
      <c r="J18964" s="711"/>
      <c r="K18964" s="711"/>
      <c r="L18964" s="711"/>
      <c r="Q18964" s="11"/>
      <c r="R18964" s="11"/>
      <c r="S18964" s="11"/>
      <c r="T18964" s="11"/>
    </row>
    <row r="18965" spans="8:20" x14ac:dyDescent="0.35">
      <c r="H18965" s="711"/>
      <c r="I18965" s="711"/>
      <c r="J18965" s="711"/>
      <c r="K18965" s="711"/>
      <c r="L18965" s="711"/>
      <c r="Q18965" s="11"/>
      <c r="R18965" s="11"/>
      <c r="S18965" s="11"/>
      <c r="T18965" s="11"/>
    </row>
    <row r="18966" spans="8:20" x14ac:dyDescent="0.35">
      <c r="H18966" s="711"/>
      <c r="I18966" s="711"/>
      <c r="J18966" s="711"/>
      <c r="K18966" s="711"/>
      <c r="L18966" s="711"/>
      <c r="Q18966" s="11"/>
      <c r="R18966" s="11"/>
      <c r="S18966" s="11"/>
      <c r="T18966" s="11"/>
    </row>
    <row r="18967" spans="8:20" x14ac:dyDescent="0.35">
      <c r="H18967" s="711"/>
      <c r="I18967" s="711"/>
      <c r="J18967" s="711"/>
      <c r="K18967" s="711"/>
      <c r="L18967" s="711"/>
      <c r="Q18967" s="11"/>
      <c r="R18967" s="11"/>
      <c r="S18967" s="11"/>
      <c r="T18967" s="11"/>
    </row>
    <row r="18968" spans="8:20" x14ac:dyDescent="0.35">
      <c r="H18968" s="711"/>
      <c r="I18968" s="711"/>
      <c r="J18968" s="711"/>
      <c r="K18968" s="711"/>
      <c r="L18968" s="711"/>
      <c r="Q18968" s="11"/>
      <c r="R18968" s="11"/>
      <c r="S18968" s="11"/>
      <c r="T18968" s="11"/>
    </row>
    <row r="18969" spans="8:20" x14ac:dyDescent="0.35">
      <c r="H18969" s="711"/>
      <c r="I18969" s="711"/>
      <c r="J18969" s="711"/>
      <c r="K18969" s="711"/>
      <c r="L18969" s="711"/>
      <c r="Q18969" s="11"/>
      <c r="R18969" s="11"/>
      <c r="S18969" s="11"/>
      <c r="T18969" s="11"/>
    </row>
    <row r="18970" spans="8:20" x14ac:dyDescent="0.35">
      <c r="H18970" s="711"/>
      <c r="I18970" s="711"/>
      <c r="J18970" s="711"/>
      <c r="K18970" s="711"/>
      <c r="L18970" s="711"/>
      <c r="Q18970" s="11"/>
      <c r="R18970" s="11"/>
      <c r="S18970" s="11"/>
      <c r="T18970" s="11"/>
    </row>
    <row r="18971" spans="8:20" x14ac:dyDescent="0.35">
      <c r="H18971" s="711"/>
      <c r="I18971" s="711"/>
      <c r="J18971" s="711"/>
      <c r="K18971" s="711"/>
      <c r="L18971" s="711"/>
      <c r="Q18971" s="11"/>
      <c r="R18971" s="11"/>
      <c r="S18971" s="11"/>
      <c r="T18971" s="11"/>
    </row>
    <row r="18972" spans="8:20" x14ac:dyDescent="0.35">
      <c r="H18972" s="711"/>
      <c r="I18972" s="711"/>
      <c r="J18972" s="711"/>
      <c r="K18972" s="711"/>
      <c r="L18972" s="711"/>
      <c r="Q18972" s="11"/>
      <c r="R18972" s="11"/>
      <c r="S18972" s="11"/>
      <c r="T18972" s="11"/>
    </row>
    <row r="18973" spans="8:20" x14ac:dyDescent="0.35">
      <c r="H18973" s="711"/>
      <c r="I18973" s="711"/>
      <c r="J18973" s="711"/>
      <c r="K18973" s="711"/>
      <c r="L18973" s="711"/>
      <c r="Q18973" s="11"/>
      <c r="R18973" s="11"/>
      <c r="S18973" s="11"/>
      <c r="T18973" s="11"/>
    </row>
    <row r="18974" spans="8:20" x14ac:dyDescent="0.35">
      <c r="H18974" s="711"/>
      <c r="I18974" s="711"/>
      <c r="J18974" s="711"/>
      <c r="K18974" s="711"/>
      <c r="L18974" s="711"/>
      <c r="Q18974" s="11"/>
      <c r="R18974" s="11"/>
      <c r="S18974" s="11"/>
      <c r="T18974" s="11"/>
    </row>
    <row r="18975" spans="8:20" x14ac:dyDescent="0.35">
      <c r="H18975" s="711"/>
      <c r="I18975" s="711"/>
      <c r="J18975" s="711"/>
      <c r="K18975" s="711"/>
      <c r="L18975" s="711"/>
      <c r="Q18975" s="11"/>
      <c r="R18975" s="11"/>
      <c r="S18975" s="11"/>
      <c r="T18975" s="11"/>
    </row>
    <row r="18976" spans="8:20" x14ac:dyDescent="0.35">
      <c r="H18976" s="711"/>
      <c r="I18976" s="711"/>
      <c r="J18976" s="711"/>
      <c r="K18976" s="711"/>
      <c r="L18976" s="711"/>
      <c r="Q18976" s="11"/>
      <c r="R18976" s="11"/>
      <c r="S18976" s="11"/>
      <c r="T18976" s="11"/>
    </row>
    <row r="18977" spans="8:20" x14ac:dyDescent="0.35">
      <c r="H18977" s="711"/>
      <c r="I18977" s="711"/>
      <c r="J18977" s="711"/>
      <c r="K18977" s="711"/>
      <c r="L18977" s="711"/>
      <c r="Q18977" s="11"/>
      <c r="R18977" s="11"/>
      <c r="S18977" s="11"/>
      <c r="T18977" s="11"/>
    </row>
    <row r="18978" spans="8:20" x14ac:dyDescent="0.35">
      <c r="H18978" s="711"/>
      <c r="I18978" s="711"/>
      <c r="J18978" s="711"/>
      <c r="K18978" s="711"/>
      <c r="L18978" s="711"/>
      <c r="Q18978" s="11"/>
      <c r="R18978" s="11"/>
      <c r="S18978" s="11"/>
      <c r="T18978" s="11"/>
    </row>
    <row r="18979" spans="8:20" x14ac:dyDescent="0.35">
      <c r="H18979" s="711"/>
      <c r="I18979" s="711"/>
      <c r="J18979" s="711"/>
      <c r="K18979" s="711"/>
      <c r="L18979" s="711"/>
      <c r="Q18979" s="11"/>
      <c r="R18979" s="11"/>
      <c r="S18979" s="11"/>
      <c r="T18979" s="11"/>
    </row>
    <row r="18980" spans="8:20" x14ac:dyDescent="0.35">
      <c r="H18980" s="711"/>
      <c r="I18980" s="711"/>
      <c r="J18980" s="711"/>
      <c r="K18980" s="711"/>
      <c r="L18980" s="711"/>
      <c r="Q18980" s="11"/>
      <c r="R18980" s="11"/>
      <c r="S18980" s="11"/>
      <c r="T18980" s="11"/>
    </row>
    <row r="18981" spans="8:20" x14ac:dyDescent="0.35">
      <c r="H18981" s="711"/>
      <c r="I18981" s="711"/>
      <c r="J18981" s="711"/>
      <c r="K18981" s="711"/>
      <c r="L18981" s="711"/>
      <c r="Q18981" s="11"/>
      <c r="R18981" s="11"/>
      <c r="S18981" s="11"/>
      <c r="T18981" s="11"/>
    </row>
    <row r="18982" spans="8:20" x14ac:dyDescent="0.35">
      <c r="H18982" s="711"/>
      <c r="I18982" s="711"/>
      <c r="J18982" s="711"/>
      <c r="K18982" s="711"/>
      <c r="L18982" s="711"/>
      <c r="Q18982" s="11"/>
      <c r="R18982" s="11"/>
      <c r="S18982" s="11"/>
      <c r="T18982" s="11"/>
    </row>
    <row r="18983" spans="8:20" x14ac:dyDescent="0.35">
      <c r="H18983" s="711"/>
      <c r="I18983" s="711"/>
      <c r="J18983" s="711"/>
      <c r="K18983" s="711"/>
      <c r="L18983" s="711"/>
      <c r="Q18983" s="11"/>
      <c r="R18983" s="11"/>
      <c r="S18983" s="11"/>
      <c r="T18983" s="11"/>
    </row>
    <row r="18984" spans="8:20" x14ac:dyDescent="0.35">
      <c r="H18984" s="711"/>
      <c r="I18984" s="711"/>
      <c r="J18984" s="711"/>
      <c r="K18984" s="711"/>
      <c r="L18984" s="711"/>
      <c r="Q18984" s="11"/>
      <c r="R18984" s="11"/>
      <c r="S18984" s="11"/>
      <c r="T18984" s="11"/>
    </row>
    <row r="18985" spans="8:20" x14ac:dyDescent="0.35">
      <c r="H18985" s="711"/>
      <c r="I18985" s="711"/>
      <c r="J18985" s="711"/>
      <c r="K18985" s="711"/>
      <c r="L18985" s="711"/>
      <c r="Q18985" s="11"/>
      <c r="R18985" s="11"/>
      <c r="S18985" s="11"/>
      <c r="T18985" s="11"/>
    </row>
    <row r="18986" spans="8:20" x14ac:dyDescent="0.35">
      <c r="H18986" s="711"/>
      <c r="I18986" s="711"/>
      <c r="J18986" s="711"/>
      <c r="K18986" s="711"/>
      <c r="L18986" s="711"/>
      <c r="Q18986" s="11"/>
      <c r="R18986" s="11"/>
      <c r="S18986" s="11"/>
      <c r="T18986" s="11"/>
    </row>
    <row r="18987" spans="8:20" x14ac:dyDescent="0.35">
      <c r="H18987" s="711"/>
      <c r="I18987" s="711"/>
      <c r="J18987" s="711"/>
      <c r="K18987" s="711"/>
      <c r="L18987" s="711"/>
      <c r="Q18987" s="11"/>
      <c r="R18987" s="11"/>
      <c r="S18987" s="11"/>
      <c r="T18987" s="11"/>
    </row>
    <row r="18988" spans="8:20" x14ac:dyDescent="0.35">
      <c r="H18988" s="711"/>
      <c r="I18988" s="711"/>
      <c r="J18988" s="711"/>
      <c r="K18988" s="711"/>
      <c r="L18988" s="711"/>
      <c r="Q18988" s="11"/>
      <c r="R18988" s="11"/>
      <c r="S18988" s="11"/>
      <c r="T18988" s="11"/>
    </row>
    <row r="18989" spans="8:20" x14ac:dyDescent="0.35">
      <c r="H18989" s="711"/>
      <c r="I18989" s="711"/>
      <c r="J18989" s="711"/>
      <c r="K18989" s="711"/>
      <c r="L18989" s="711"/>
      <c r="Q18989" s="11"/>
      <c r="R18989" s="11"/>
      <c r="S18989" s="11"/>
      <c r="T18989" s="11"/>
    </row>
    <row r="18990" spans="8:20" x14ac:dyDescent="0.35">
      <c r="H18990" s="711"/>
      <c r="I18990" s="711"/>
      <c r="J18990" s="711"/>
      <c r="K18990" s="711"/>
      <c r="L18990" s="711"/>
      <c r="Q18990" s="11"/>
      <c r="R18990" s="11"/>
      <c r="S18990" s="11"/>
      <c r="T18990" s="11"/>
    </row>
    <row r="18991" spans="8:20" x14ac:dyDescent="0.35">
      <c r="H18991" s="711"/>
      <c r="I18991" s="711"/>
      <c r="J18991" s="711"/>
      <c r="K18991" s="711"/>
      <c r="L18991" s="711"/>
      <c r="Q18991" s="11"/>
      <c r="R18991" s="11"/>
      <c r="S18991" s="11"/>
      <c r="T18991" s="11"/>
    </row>
    <row r="18992" spans="8:20" x14ac:dyDescent="0.35">
      <c r="H18992" s="711"/>
      <c r="I18992" s="711"/>
      <c r="J18992" s="711"/>
      <c r="K18992" s="711"/>
      <c r="L18992" s="711"/>
      <c r="Q18992" s="11"/>
      <c r="R18992" s="11"/>
      <c r="S18992" s="11"/>
      <c r="T18992" s="11"/>
    </row>
    <row r="18993" spans="8:20" x14ac:dyDescent="0.35">
      <c r="H18993" s="711"/>
      <c r="I18993" s="711"/>
      <c r="J18993" s="711"/>
      <c r="K18993" s="711"/>
      <c r="L18993" s="711"/>
      <c r="Q18993" s="11"/>
      <c r="R18993" s="11"/>
      <c r="S18993" s="11"/>
      <c r="T18993" s="11"/>
    </row>
    <row r="18994" spans="8:20" x14ac:dyDescent="0.35">
      <c r="H18994" s="711"/>
      <c r="I18994" s="711"/>
      <c r="J18994" s="711"/>
      <c r="K18994" s="711"/>
      <c r="L18994" s="711"/>
      <c r="Q18994" s="11"/>
      <c r="R18994" s="11"/>
      <c r="S18994" s="11"/>
      <c r="T18994" s="11"/>
    </row>
    <row r="18995" spans="8:20" x14ac:dyDescent="0.35">
      <c r="H18995" s="711"/>
      <c r="I18995" s="711"/>
      <c r="J18995" s="711"/>
      <c r="K18995" s="711"/>
      <c r="L18995" s="711"/>
      <c r="Q18995" s="11"/>
      <c r="R18995" s="11"/>
      <c r="S18995" s="11"/>
      <c r="T18995" s="11"/>
    </row>
    <row r="18996" spans="8:20" x14ac:dyDescent="0.35">
      <c r="H18996" s="711"/>
      <c r="I18996" s="711"/>
      <c r="J18996" s="711"/>
      <c r="K18996" s="711"/>
      <c r="L18996" s="711"/>
      <c r="Q18996" s="11"/>
      <c r="R18996" s="11"/>
      <c r="S18996" s="11"/>
      <c r="T18996" s="11"/>
    </row>
    <row r="18997" spans="8:20" x14ac:dyDescent="0.35">
      <c r="H18997" s="711"/>
      <c r="I18997" s="711"/>
      <c r="J18997" s="711"/>
      <c r="K18997" s="711"/>
      <c r="L18997" s="711"/>
      <c r="Q18997" s="11"/>
      <c r="R18997" s="11"/>
      <c r="S18997" s="11"/>
      <c r="T18997" s="11"/>
    </row>
    <row r="18998" spans="8:20" x14ac:dyDescent="0.35">
      <c r="H18998" s="711"/>
      <c r="I18998" s="711"/>
      <c r="J18998" s="711"/>
      <c r="K18998" s="711"/>
      <c r="L18998" s="711"/>
      <c r="Q18998" s="11"/>
      <c r="R18998" s="11"/>
      <c r="S18998" s="11"/>
      <c r="T18998" s="11"/>
    </row>
    <row r="18999" spans="8:20" x14ac:dyDescent="0.35">
      <c r="H18999" s="711"/>
      <c r="I18999" s="711"/>
      <c r="J18999" s="711"/>
      <c r="K18999" s="711"/>
      <c r="L18999" s="711"/>
      <c r="Q18999" s="11"/>
      <c r="R18999" s="11"/>
      <c r="S18999" s="11"/>
      <c r="T18999" s="11"/>
    </row>
    <row r="19000" spans="8:20" x14ac:dyDescent="0.35">
      <c r="H19000" s="711"/>
      <c r="I19000" s="711"/>
      <c r="J19000" s="711"/>
      <c r="K19000" s="711"/>
      <c r="L19000" s="711"/>
      <c r="Q19000" s="11"/>
      <c r="R19000" s="11"/>
      <c r="S19000" s="11"/>
      <c r="T19000" s="11"/>
    </row>
    <row r="19001" spans="8:20" x14ac:dyDescent="0.35">
      <c r="H19001" s="711"/>
      <c r="I19001" s="711"/>
      <c r="J19001" s="711"/>
      <c r="K19001" s="711"/>
      <c r="L19001" s="711"/>
      <c r="Q19001" s="11"/>
      <c r="R19001" s="11"/>
      <c r="S19001" s="11"/>
      <c r="T19001" s="11"/>
    </row>
    <row r="19002" spans="8:20" x14ac:dyDescent="0.35">
      <c r="H19002" s="711"/>
      <c r="I19002" s="711"/>
      <c r="J19002" s="711"/>
      <c r="K19002" s="711"/>
      <c r="L19002" s="711"/>
      <c r="Q19002" s="11"/>
      <c r="R19002" s="11"/>
      <c r="S19002" s="11"/>
      <c r="T19002" s="11"/>
    </row>
    <row r="19003" spans="8:20" x14ac:dyDescent="0.35">
      <c r="H19003" s="711"/>
      <c r="I19003" s="711"/>
      <c r="J19003" s="711"/>
      <c r="K19003" s="711"/>
      <c r="L19003" s="711"/>
      <c r="Q19003" s="11"/>
      <c r="R19003" s="11"/>
      <c r="S19003" s="11"/>
      <c r="T19003" s="11"/>
    </row>
    <row r="19004" spans="8:20" x14ac:dyDescent="0.35">
      <c r="H19004" s="711"/>
      <c r="I19004" s="711"/>
      <c r="J19004" s="711"/>
      <c r="K19004" s="711"/>
      <c r="L19004" s="711"/>
      <c r="Q19004" s="11"/>
      <c r="R19004" s="11"/>
      <c r="S19004" s="11"/>
      <c r="T19004" s="11"/>
    </row>
    <row r="19005" spans="8:20" x14ac:dyDescent="0.35">
      <c r="H19005" s="711"/>
      <c r="I19005" s="711"/>
      <c r="J19005" s="711"/>
      <c r="K19005" s="711"/>
      <c r="L19005" s="711"/>
      <c r="Q19005" s="11"/>
      <c r="R19005" s="11"/>
      <c r="S19005" s="11"/>
      <c r="T19005" s="11"/>
    </row>
    <row r="19006" spans="8:20" x14ac:dyDescent="0.35">
      <c r="H19006" s="711"/>
      <c r="I19006" s="711"/>
      <c r="J19006" s="711"/>
      <c r="K19006" s="711"/>
      <c r="L19006" s="711"/>
      <c r="Q19006" s="11"/>
      <c r="R19006" s="11"/>
      <c r="S19006" s="11"/>
      <c r="T19006" s="11"/>
    </row>
    <row r="19007" spans="8:20" x14ac:dyDescent="0.35">
      <c r="H19007" s="711"/>
      <c r="I19007" s="711"/>
      <c r="J19007" s="711"/>
      <c r="K19007" s="711"/>
      <c r="L19007" s="711"/>
      <c r="Q19007" s="11"/>
      <c r="R19007" s="11"/>
      <c r="S19007" s="11"/>
      <c r="T19007" s="11"/>
    </row>
    <row r="19008" spans="8:20" x14ac:dyDescent="0.35">
      <c r="H19008" s="711"/>
      <c r="I19008" s="711"/>
      <c r="J19008" s="711"/>
      <c r="K19008" s="711"/>
      <c r="L19008" s="711"/>
      <c r="Q19008" s="11"/>
      <c r="R19008" s="11"/>
      <c r="S19008" s="11"/>
      <c r="T19008" s="11"/>
    </row>
    <row r="19009" spans="8:20" x14ac:dyDescent="0.35">
      <c r="H19009" s="711"/>
      <c r="I19009" s="711"/>
      <c r="J19009" s="711"/>
      <c r="K19009" s="711"/>
      <c r="L19009" s="711"/>
      <c r="Q19009" s="11"/>
      <c r="R19009" s="11"/>
      <c r="S19009" s="11"/>
      <c r="T19009" s="11"/>
    </row>
    <row r="19010" spans="8:20" x14ac:dyDescent="0.35">
      <c r="H19010" s="711"/>
      <c r="I19010" s="711"/>
      <c r="J19010" s="711"/>
      <c r="K19010" s="711"/>
      <c r="L19010" s="711"/>
      <c r="Q19010" s="11"/>
      <c r="R19010" s="11"/>
      <c r="S19010" s="11"/>
      <c r="T19010" s="11"/>
    </row>
    <row r="19011" spans="8:20" x14ac:dyDescent="0.35">
      <c r="H19011" s="711"/>
      <c r="I19011" s="711"/>
      <c r="J19011" s="711"/>
      <c r="K19011" s="711"/>
      <c r="L19011" s="711"/>
      <c r="Q19011" s="11"/>
      <c r="R19011" s="11"/>
      <c r="S19011" s="11"/>
      <c r="T19011" s="11"/>
    </row>
    <row r="19012" spans="8:20" x14ac:dyDescent="0.35">
      <c r="H19012" s="711"/>
      <c r="I19012" s="711"/>
      <c r="J19012" s="711"/>
      <c r="K19012" s="711"/>
      <c r="L19012" s="711"/>
      <c r="Q19012" s="11"/>
      <c r="R19012" s="11"/>
      <c r="S19012" s="11"/>
      <c r="T19012" s="11"/>
    </row>
    <row r="19013" spans="8:20" x14ac:dyDescent="0.35">
      <c r="H19013" s="711"/>
      <c r="I19013" s="711"/>
      <c r="J19013" s="711"/>
      <c r="K19013" s="711"/>
      <c r="L19013" s="711"/>
      <c r="Q19013" s="11"/>
      <c r="R19013" s="11"/>
      <c r="S19013" s="11"/>
      <c r="T19013" s="11"/>
    </row>
    <row r="19014" spans="8:20" x14ac:dyDescent="0.35">
      <c r="H19014" s="711"/>
      <c r="I19014" s="711"/>
      <c r="J19014" s="711"/>
      <c r="K19014" s="711"/>
      <c r="L19014" s="711"/>
      <c r="Q19014" s="11"/>
      <c r="R19014" s="11"/>
      <c r="S19014" s="11"/>
      <c r="T19014" s="11"/>
    </row>
    <row r="19015" spans="8:20" x14ac:dyDescent="0.35">
      <c r="H19015" s="711"/>
      <c r="I19015" s="711"/>
      <c r="J19015" s="711"/>
      <c r="K19015" s="711"/>
      <c r="L19015" s="711"/>
      <c r="Q19015" s="11"/>
      <c r="R19015" s="11"/>
      <c r="S19015" s="11"/>
      <c r="T19015" s="11"/>
    </row>
    <row r="19016" spans="8:20" x14ac:dyDescent="0.35">
      <c r="H19016" s="711"/>
      <c r="I19016" s="711"/>
      <c r="J19016" s="711"/>
      <c r="K19016" s="711"/>
      <c r="L19016" s="711"/>
      <c r="Q19016" s="11"/>
      <c r="R19016" s="11"/>
      <c r="S19016" s="11"/>
      <c r="T19016" s="11"/>
    </row>
    <row r="19017" spans="8:20" x14ac:dyDescent="0.35">
      <c r="H19017" s="711"/>
      <c r="I19017" s="711"/>
      <c r="J19017" s="711"/>
      <c r="K19017" s="711"/>
      <c r="L19017" s="711"/>
      <c r="Q19017" s="11"/>
      <c r="R19017" s="11"/>
      <c r="S19017" s="11"/>
      <c r="T19017" s="11"/>
    </row>
    <row r="19018" spans="8:20" x14ac:dyDescent="0.35">
      <c r="H19018" s="711"/>
      <c r="I19018" s="711"/>
      <c r="J19018" s="711"/>
      <c r="K19018" s="711"/>
      <c r="L19018" s="711"/>
      <c r="Q19018" s="11"/>
      <c r="R19018" s="11"/>
      <c r="S19018" s="11"/>
      <c r="T19018" s="11"/>
    </row>
    <row r="19019" spans="8:20" x14ac:dyDescent="0.35">
      <c r="H19019" s="711"/>
      <c r="I19019" s="711"/>
      <c r="J19019" s="711"/>
      <c r="K19019" s="711"/>
      <c r="L19019" s="711"/>
      <c r="Q19019" s="11"/>
      <c r="R19019" s="11"/>
      <c r="S19019" s="11"/>
      <c r="T19019" s="11"/>
    </row>
    <row r="19020" spans="8:20" x14ac:dyDescent="0.35">
      <c r="H19020" s="711"/>
      <c r="I19020" s="711"/>
      <c r="J19020" s="711"/>
      <c r="K19020" s="711"/>
      <c r="L19020" s="711"/>
      <c r="Q19020" s="11"/>
      <c r="R19020" s="11"/>
      <c r="S19020" s="11"/>
      <c r="T19020" s="11"/>
    </row>
    <row r="19021" spans="8:20" x14ac:dyDescent="0.35">
      <c r="H19021" s="711"/>
      <c r="I19021" s="711"/>
      <c r="J19021" s="711"/>
      <c r="K19021" s="711"/>
      <c r="L19021" s="711"/>
      <c r="Q19021" s="11"/>
      <c r="R19021" s="11"/>
      <c r="S19021" s="11"/>
      <c r="T19021" s="11"/>
    </row>
    <row r="19022" spans="8:20" x14ac:dyDescent="0.35">
      <c r="H19022" s="711"/>
      <c r="I19022" s="711"/>
      <c r="J19022" s="711"/>
      <c r="K19022" s="711"/>
      <c r="L19022" s="711"/>
      <c r="Q19022" s="11"/>
      <c r="R19022" s="11"/>
      <c r="S19022" s="11"/>
      <c r="T19022" s="11"/>
    </row>
    <row r="19023" spans="8:20" x14ac:dyDescent="0.35">
      <c r="H19023" s="711"/>
      <c r="I19023" s="711"/>
      <c r="J19023" s="711"/>
      <c r="K19023" s="711"/>
      <c r="L19023" s="711"/>
      <c r="Q19023" s="11"/>
      <c r="R19023" s="11"/>
      <c r="S19023" s="11"/>
      <c r="T19023" s="11"/>
    </row>
    <row r="19024" spans="8:20" x14ac:dyDescent="0.35">
      <c r="H19024" s="711"/>
      <c r="I19024" s="711"/>
      <c r="J19024" s="711"/>
      <c r="K19024" s="711"/>
      <c r="L19024" s="711"/>
      <c r="Q19024" s="11"/>
      <c r="R19024" s="11"/>
      <c r="S19024" s="11"/>
      <c r="T19024" s="11"/>
    </row>
    <row r="19025" spans="8:20" x14ac:dyDescent="0.35">
      <c r="H19025" s="711"/>
      <c r="I19025" s="711"/>
      <c r="J19025" s="711"/>
      <c r="K19025" s="711"/>
      <c r="L19025" s="711"/>
      <c r="Q19025" s="11"/>
      <c r="R19025" s="11"/>
      <c r="S19025" s="11"/>
      <c r="T19025" s="11"/>
    </row>
    <row r="19026" spans="8:20" x14ac:dyDescent="0.35">
      <c r="H19026" s="711"/>
      <c r="I19026" s="711"/>
      <c r="J19026" s="711"/>
      <c r="K19026" s="711"/>
      <c r="L19026" s="711"/>
      <c r="Q19026" s="11"/>
      <c r="R19026" s="11"/>
      <c r="S19026" s="11"/>
      <c r="T19026" s="11"/>
    </row>
    <row r="19027" spans="8:20" x14ac:dyDescent="0.35">
      <c r="H19027" s="711"/>
      <c r="I19027" s="711"/>
      <c r="J19027" s="711"/>
      <c r="K19027" s="711"/>
      <c r="L19027" s="711"/>
      <c r="Q19027" s="11"/>
      <c r="R19027" s="11"/>
      <c r="S19027" s="11"/>
      <c r="T19027" s="11"/>
    </row>
    <row r="19028" spans="8:20" x14ac:dyDescent="0.35">
      <c r="H19028" s="711"/>
      <c r="I19028" s="711"/>
      <c r="J19028" s="711"/>
      <c r="K19028" s="711"/>
      <c r="L19028" s="711"/>
      <c r="Q19028" s="11"/>
      <c r="R19028" s="11"/>
      <c r="S19028" s="11"/>
      <c r="T19028" s="11"/>
    </row>
    <row r="19029" spans="8:20" x14ac:dyDescent="0.35">
      <c r="H19029" s="711"/>
      <c r="I19029" s="711"/>
      <c r="J19029" s="711"/>
      <c r="K19029" s="711"/>
      <c r="L19029" s="711"/>
      <c r="Q19029" s="11"/>
      <c r="R19029" s="11"/>
      <c r="S19029" s="11"/>
      <c r="T19029" s="11"/>
    </row>
    <row r="19030" spans="8:20" x14ac:dyDescent="0.35">
      <c r="H19030" s="711"/>
      <c r="I19030" s="711"/>
      <c r="J19030" s="711"/>
      <c r="K19030" s="711"/>
      <c r="L19030" s="711"/>
      <c r="Q19030" s="11"/>
      <c r="R19030" s="11"/>
      <c r="S19030" s="11"/>
      <c r="T19030" s="11"/>
    </row>
    <row r="19031" spans="8:20" x14ac:dyDescent="0.35">
      <c r="H19031" s="711"/>
      <c r="I19031" s="711"/>
      <c r="J19031" s="711"/>
      <c r="K19031" s="711"/>
      <c r="L19031" s="711"/>
      <c r="Q19031" s="11"/>
      <c r="R19031" s="11"/>
      <c r="S19031" s="11"/>
      <c r="T19031" s="11"/>
    </row>
    <row r="19032" spans="8:20" x14ac:dyDescent="0.35">
      <c r="H19032" s="711"/>
      <c r="I19032" s="711"/>
      <c r="J19032" s="711"/>
      <c r="K19032" s="711"/>
      <c r="L19032" s="711"/>
      <c r="Q19032" s="11"/>
      <c r="R19032" s="11"/>
      <c r="S19032" s="11"/>
      <c r="T19032" s="11"/>
    </row>
    <row r="19033" spans="8:20" x14ac:dyDescent="0.35">
      <c r="H19033" s="711"/>
      <c r="I19033" s="711"/>
      <c r="J19033" s="711"/>
      <c r="K19033" s="711"/>
      <c r="L19033" s="711"/>
      <c r="Q19033" s="11"/>
      <c r="R19033" s="11"/>
      <c r="S19033" s="11"/>
      <c r="T19033" s="11"/>
    </row>
    <row r="19034" spans="8:20" x14ac:dyDescent="0.35">
      <c r="H19034" s="711"/>
      <c r="I19034" s="711"/>
      <c r="J19034" s="711"/>
      <c r="K19034" s="711"/>
      <c r="L19034" s="711"/>
      <c r="Q19034" s="11"/>
      <c r="R19034" s="11"/>
      <c r="S19034" s="11"/>
      <c r="T19034" s="11"/>
    </row>
    <row r="19035" spans="8:20" x14ac:dyDescent="0.35">
      <c r="H19035" s="711"/>
      <c r="I19035" s="711"/>
      <c r="J19035" s="711"/>
      <c r="K19035" s="711"/>
      <c r="L19035" s="711"/>
      <c r="Q19035" s="11"/>
      <c r="R19035" s="11"/>
      <c r="S19035" s="11"/>
      <c r="T19035" s="11"/>
    </row>
    <row r="19036" spans="8:20" x14ac:dyDescent="0.35">
      <c r="H19036" s="711"/>
      <c r="I19036" s="711"/>
      <c r="J19036" s="711"/>
      <c r="K19036" s="711"/>
      <c r="L19036" s="711"/>
      <c r="Q19036" s="11"/>
      <c r="R19036" s="11"/>
      <c r="S19036" s="11"/>
      <c r="T19036" s="11"/>
    </row>
    <row r="19037" spans="8:20" x14ac:dyDescent="0.35">
      <c r="H19037" s="711"/>
      <c r="I19037" s="711"/>
      <c r="J19037" s="711"/>
      <c r="K19037" s="711"/>
      <c r="L19037" s="711"/>
      <c r="Q19037" s="11"/>
      <c r="R19037" s="11"/>
      <c r="S19037" s="11"/>
      <c r="T19037" s="11"/>
    </row>
    <row r="19038" spans="8:20" x14ac:dyDescent="0.35">
      <c r="H19038" s="711"/>
      <c r="I19038" s="711"/>
      <c r="J19038" s="711"/>
      <c r="K19038" s="711"/>
      <c r="L19038" s="711"/>
      <c r="Q19038" s="11"/>
      <c r="R19038" s="11"/>
      <c r="S19038" s="11"/>
      <c r="T19038" s="11"/>
    </row>
    <row r="19039" spans="8:20" x14ac:dyDescent="0.35">
      <c r="H19039" s="711"/>
      <c r="I19039" s="711"/>
      <c r="J19039" s="711"/>
      <c r="K19039" s="711"/>
      <c r="L19039" s="711"/>
      <c r="Q19039" s="11"/>
      <c r="R19039" s="11"/>
      <c r="S19039" s="11"/>
      <c r="T19039" s="11"/>
    </row>
    <row r="19040" spans="8:20" x14ac:dyDescent="0.35">
      <c r="H19040" s="711"/>
      <c r="I19040" s="711"/>
      <c r="J19040" s="711"/>
      <c r="K19040" s="711"/>
      <c r="L19040" s="711"/>
      <c r="Q19040" s="11"/>
      <c r="R19040" s="11"/>
      <c r="S19040" s="11"/>
      <c r="T19040" s="11"/>
    </row>
    <row r="19041" spans="8:20" x14ac:dyDescent="0.35">
      <c r="H19041" s="711"/>
      <c r="I19041" s="711"/>
      <c r="J19041" s="711"/>
      <c r="K19041" s="711"/>
      <c r="L19041" s="711"/>
      <c r="Q19041" s="11"/>
      <c r="R19041" s="11"/>
      <c r="S19041" s="11"/>
      <c r="T19041" s="11"/>
    </row>
    <row r="19042" spans="8:20" x14ac:dyDescent="0.35">
      <c r="H19042" s="711"/>
      <c r="I19042" s="711"/>
      <c r="J19042" s="711"/>
      <c r="K19042" s="711"/>
      <c r="L19042" s="711"/>
      <c r="Q19042" s="11"/>
      <c r="R19042" s="11"/>
      <c r="S19042" s="11"/>
      <c r="T19042" s="11"/>
    </row>
    <row r="19043" spans="8:20" x14ac:dyDescent="0.35">
      <c r="H19043" s="711"/>
      <c r="I19043" s="711"/>
      <c r="J19043" s="711"/>
      <c r="K19043" s="711"/>
      <c r="L19043" s="711"/>
      <c r="Q19043" s="11"/>
      <c r="R19043" s="11"/>
      <c r="S19043" s="11"/>
      <c r="T19043" s="11"/>
    </row>
    <row r="19044" spans="8:20" x14ac:dyDescent="0.35">
      <c r="H19044" s="711"/>
      <c r="I19044" s="711"/>
      <c r="J19044" s="711"/>
      <c r="K19044" s="711"/>
      <c r="L19044" s="711"/>
      <c r="Q19044" s="11"/>
      <c r="R19044" s="11"/>
      <c r="S19044" s="11"/>
      <c r="T19044" s="11"/>
    </row>
    <row r="19045" spans="8:20" x14ac:dyDescent="0.35">
      <c r="H19045" s="711"/>
      <c r="I19045" s="711"/>
      <c r="J19045" s="711"/>
      <c r="K19045" s="711"/>
      <c r="L19045" s="711"/>
      <c r="Q19045" s="11"/>
      <c r="R19045" s="11"/>
      <c r="S19045" s="11"/>
      <c r="T19045" s="11"/>
    </row>
    <row r="19046" spans="8:20" x14ac:dyDescent="0.35">
      <c r="H19046" s="711"/>
      <c r="I19046" s="711"/>
      <c r="J19046" s="711"/>
      <c r="K19046" s="711"/>
      <c r="L19046" s="711"/>
      <c r="Q19046" s="11"/>
      <c r="R19046" s="11"/>
      <c r="S19046" s="11"/>
      <c r="T19046" s="11"/>
    </row>
    <row r="19047" spans="8:20" x14ac:dyDescent="0.35">
      <c r="H19047" s="711"/>
      <c r="I19047" s="711"/>
      <c r="J19047" s="711"/>
      <c r="K19047" s="711"/>
      <c r="L19047" s="711"/>
      <c r="Q19047" s="11"/>
      <c r="R19047" s="11"/>
      <c r="S19047" s="11"/>
      <c r="T19047" s="11"/>
    </row>
    <row r="19048" spans="8:20" x14ac:dyDescent="0.35">
      <c r="H19048" s="711"/>
      <c r="I19048" s="711"/>
      <c r="J19048" s="711"/>
      <c r="K19048" s="711"/>
      <c r="L19048" s="711"/>
      <c r="Q19048" s="11"/>
      <c r="R19048" s="11"/>
      <c r="S19048" s="11"/>
      <c r="T19048" s="11"/>
    </row>
    <row r="19049" spans="8:20" x14ac:dyDescent="0.35">
      <c r="H19049" s="711"/>
      <c r="I19049" s="711"/>
      <c r="J19049" s="711"/>
      <c r="K19049" s="711"/>
      <c r="L19049" s="711"/>
      <c r="Q19049" s="11"/>
      <c r="R19049" s="11"/>
      <c r="S19049" s="11"/>
      <c r="T19049" s="11"/>
    </row>
    <row r="19050" spans="8:20" x14ac:dyDescent="0.35">
      <c r="H19050" s="711"/>
      <c r="I19050" s="711"/>
      <c r="J19050" s="711"/>
      <c r="K19050" s="711"/>
      <c r="L19050" s="711"/>
      <c r="Q19050" s="11"/>
      <c r="R19050" s="11"/>
      <c r="S19050" s="11"/>
      <c r="T19050" s="11"/>
    </row>
    <row r="19051" spans="8:20" x14ac:dyDescent="0.35">
      <c r="H19051" s="711"/>
      <c r="I19051" s="711"/>
      <c r="J19051" s="711"/>
      <c r="K19051" s="711"/>
      <c r="L19051" s="711"/>
      <c r="Q19051" s="11"/>
      <c r="R19051" s="11"/>
      <c r="S19051" s="11"/>
      <c r="T19051" s="11"/>
    </row>
    <row r="19052" spans="8:20" x14ac:dyDescent="0.35">
      <c r="H19052" s="711"/>
      <c r="I19052" s="711"/>
      <c r="J19052" s="711"/>
      <c r="K19052" s="711"/>
      <c r="L19052" s="711"/>
      <c r="Q19052" s="11"/>
      <c r="R19052" s="11"/>
      <c r="S19052" s="11"/>
      <c r="T19052" s="11"/>
    </row>
    <row r="19053" spans="8:20" x14ac:dyDescent="0.35">
      <c r="H19053" s="711"/>
      <c r="I19053" s="711"/>
      <c r="J19053" s="711"/>
      <c r="K19053" s="711"/>
      <c r="L19053" s="711"/>
      <c r="Q19053" s="11"/>
      <c r="R19053" s="11"/>
      <c r="S19053" s="11"/>
      <c r="T19053" s="11"/>
    </row>
    <row r="19054" spans="8:20" x14ac:dyDescent="0.35">
      <c r="H19054" s="711"/>
      <c r="I19054" s="711"/>
      <c r="J19054" s="711"/>
      <c r="K19054" s="711"/>
      <c r="L19054" s="711"/>
      <c r="Q19054" s="11"/>
      <c r="R19054" s="11"/>
      <c r="S19054" s="11"/>
      <c r="T19054" s="11"/>
    </row>
    <row r="19055" spans="8:20" x14ac:dyDescent="0.35">
      <c r="H19055" s="711"/>
      <c r="I19055" s="711"/>
      <c r="J19055" s="711"/>
      <c r="K19055" s="711"/>
      <c r="L19055" s="711"/>
      <c r="Q19055" s="11"/>
      <c r="R19055" s="11"/>
      <c r="S19055" s="11"/>
      <c r="T19055" s="11"/>
    </row>
    <row r="19056" spans="8:20" x14ac:dyDescent="0.35">
      <c r="H19056" s="711"/>
      <c r="I19056" s="711"/>
      <c r="J19056" s="711"/>
      <c r="K19056" s="711"/>
      <c r="L19056" s="711"/>
      <c r="Q19056" s="11"/>
      <c r="R19056" s="11"/>
      <c r="S19056" s="11"/>
      <c r="T19056" s="11"/>
    </row>
    <row r="19057" spans="8:20" x14ac:dyDescent="0.35">
      <c r="H19057" s="711"/>
      <c r="I19057" s="711"/>
      <c r="J19057" s="711"/>
      <c r="K19057" s="711"/>
      <c r="L19057" s="711"/>
      <c r="Q19057" s="11"/>
      <c r="R19057" s="11"/>
      <c r="S19057" s="11"/>
      <c r="T19057" s="11"/>
    </row>
    <row r="19058" spans="8:20" x14ac:dyDescent="0.35">
      <c r="H19058" s="711"/>
      <c r="I19058" s="711"/>
      <c r="J19058" s="711"/>
      <c r="K19058" s="711"/>
      <c r="L19058" s="711"/>
      <c r="Q19058" s="11"/>
      <c r="R19058" s="11"/>
      <c r="S19058" s="11"/>
      <c r="T19058" s="11"/>
    </row>
    <row r="19059" spans="8:20" x14ac:dyDescent="0.35">
      <c r="H19059" s="711"/>
      <c r="I19059" s="711"/>
      <c r="J19059" s="711"/>
      <c r="K19059" s="711"/>
      <c r="L19059" s="711"/>
      <c r="Q19059" s="11"/>
      <c r="R19059" s="11"/>
      <c r="S19059" s="11"/>
      <c r="T19059" s="11"/>
    </row>
    <row r="19060" spans="8:20" x14ac:dyDescent="0.35">
      <c r="H19060" s="711"/>
      <c r="I19060" s="711"/>
      <c r="J19060" s="711"/>
      <c r="K19060" s="711"/>
      <c r="L19060" s="711"/>
      <c r="Q19060" s="11"/>
      <c r="R19060" s="11"/>
      <c r="S19060" s="11"/>
      <c r="T19060" s="11"/>
    </row>
    <row r="19061" spans="8:20" x14ac:dyDescent="0.35">
      <c r="H19061" s="711"/>
      <c r="I19061" s="711"/>
      <c r="J19061" s="711"/>
      <c r="K19061" s="711"/>
      <c r="L19061" s="711"/>
      <c r="Q19061" s="11"/>
      <c r="R19061" s="11"/>
      <c r="S19061" s="11"/>
      <c r="T19061" s="11"/>
    </row>
    <row r="19062" spans="8:20" x14ac:dyDescent="0.35">
      <c r="H19062" s="711"/>
      <c r="I19062" s="711"/>
      <c r="J19062" s="711"/>
      <c r="K19062" s="711"/>
      <c r="L19062" s="711"/>
      <c r="Q19062" s="11"/>
      <c r="R19062" s="11"/>
      <c r="S19062" s="11"/>
      <c r="T19062" s="11"/>
    </row>
    <row r="19063" spans="8:20" x14ac:dyDescent="0.35">
      <c r="H19063" s="711"/>
      <c r="I19063" s="711"/>
      <c r="J19063" s="711"/>
      <c r="K19063" s="711"/>
      <c r="L19063" s="711"/>
      <c r="Q19063" s="11"/>
      <c r="R19063" s="11"/>
      <c r="S19063" s="11"/>
      <c r="T19063" s="11"/>
    </row>
    <row r="19064" spans="8:20" x14ac:dyDescent="0.35">
      <c r="H19064" s="711"/>
      <c r="I19064" s="711"/>
      <c r="J19064" s="711"/>
      <c r="K19064" s="711"/>
      <c r="L19064" s="711"/>
      <c r="Q19064" s="11"/>
      <c r="R19064" s="11"/>
      <c r="S19064" s="11"/>
      <c r="T19064" s="11"/>
    </row>
    <row r="19065" spans="8:20" x14ac:dyDescent="0.35">
      <c r="H19065" s="711"/>
      <c r="I19065" s="711"/>
      <c r="J19065" s="711"/>
      <c r="K19065" s="711"/>
      <c r="L19065" s="711"/>
      <c r="Q19065" s="11"/>
      <c r="R19065" s="11"/>
      <c r="S19065" s="11"/>
      <c r="T19065" s="11"/>
    </row>
    <row r="19066" spans="8:20" x14ac:dyDescent="0.35">
      <c r="H19066" s="711"/>
      <c r="I19066" s="711"/>
      <c r="J19066" s="711"/>
      <c r="K19066" s="711"/>
      <c r="L19066" s="711"/>
      <c r="Q19066" s="11"/>
      <c r="R19066" s="11"/>
      <c r="S19066" s="11"/>
      <c r="T19066" s="11"/>
    </row>
    <row r="19067" spans="8:20" x14ac:dyDescent="0.35">
      <c r="H19067" s="711"/>
      <c r="I19067" s="711"/>
      <c r="J19067" s="711"/>
      <c r="K19067" s="711"/>
      <c r="L19067" s="711"/>
      <c r="Q19067" s="11"/>
      <c r="R19067" s="11"/>
      <c r="S19067" s="11"/>
      <c r="T19067" s="11"/>
    </row>
    <row r="19068" spans="8:20" x14ac:dyDescent="0.35">
      <c r="H19068" s="711"/>
      <c r="I19068" s="711"/>
      <c r="J19068" s="711"/>
      <c r="K19068" s="711"/>
      <c r="L19068" s="711"/>
      <c r="Q19068" s="11"/>
      <c r="R19068" s="11"/>
      <c r="S19068" s="11"/>
      <c r="T19068" s="11"/>
    </row>
    <row r="19069" spans="8:20" x14ac:dyDescent="0.35">
      <c r="H19069" s="711"/>
      <c r="I19069" s="711"/>
      <c r="J19069" s="711"/>
      <c r="K19069" s="711"/>
      <c r="L19069" s="711"/>
      <c r="Q19069" s="11"/>
      <c r="R19069" s="11"/>
      <c r="S19069" s="11"/>
      <c r="T19069" s="11"/>
    </row>
    <row r="19070" spans="8:20" x14ac:dyDescent="0.35">
      <c r="H19070" s="711"/>
      <c r="I19070" s="711"/>
      <c r="J19070" s="711"/>
      <c r="K19070" s="711"/>
      <c r="L19070" s="711"/>
      <c r="Q19070" s="11"/>
      <c r="R19070" s="11"/>
      <c r="S19070" s="11"/>
      <c r="T19070" s="11"/>
    </row>
    <row r="19071" spans="8:20" x14ac:dyDescent="0.35">
      <c r="H19071" s="711"/>
      <c r="I19071" s="711"/>
      <c r="J19071" s="711"/>
      <c r="K19071" s="711"/>
      <c r="L19071" s="711"/>
      <c r="Q19071" s="11"/>
      <c r="R19071" s="11"/>
      <c r="S19071" s="11"/>
      <c r="T19071" s="11"/>
    </row>
    <row r="19072" spans="8:20" x14ac:dyDescent="0.35">
      <c r="H19072" s="711"/>
      <c r="I19072" s="711"/>
      <c r="J19072" s="711"/>
      <c r="K19072" s="711"/>
      <c r="L19072" s="711"/>
      <c r="Q19072" s="11"/>
      <c r="R19072" s="11"/>
      <c r="S19072" s="11"/>
      <c r="T19072" s="11"/>
    </row>
    <row r="19073" spans="8:20" x14ac:dyDescent="0.35">
      <c r="H19073" s="711"/>
      <c r="I19073" s="711"/>
      <c r="J19073" s="711"/>
      <c r="K19073" s="711"/>
      <c r="L19073" s="711"/>
      <c r="Q19073" s="11"/>
      <c r="R19073" s="11"/>
      <c r="S19073" s="11"/>
      <c r="T19073" s="11"/>
    </row>
    <row r="19074" spans="8:20" x14ac:dyDescent="0.35">
      <c r="H19074" s="711"/>
      <c r="I19074" s="711"/>
      <c r="J19074" s="711"/>
      <c r="K19074" s="711"/>
      <c r="L19074" s="711"/>
      <c r="Q19074" s="11"/>
      <c r="R19074" s="11"/>
      <c r="S19074" s="11"/>
      <c r="T19074" s="11"/>
    </row>
    <row r="19075" spans="8:20" x14ac:dyDescent="0.35">
      <c r="H19075" s="711"/>
      <c r="I19075" s="711"/>
      <c r="J19075" s="711"/>
      <c r="K19075" s="711"/>
      <c r="L19075" s="711"/>
      <c r="Q19075" s="11"/>
      <c r="R19075" s="11"/>
      <c r="S19075" s="11"/>
      <c r="T19075" s="11"/>
    </row>
    <row r="19076" spans="8:20" x14ac:dyDescent="0.35">
      <c r="H19076" s="711"/>
      <c r="I19076" s="711"/>
      <c r="J19076" s="711"/>
      <c r="K19076" s="711"/>
      <c r="L19076" s="711"/>
      <c r="Q19076" s="11"/>
      <c r="R19076" s="11"/>
      <c r="S19076" s="11"/>
      <c r="T19076" s="11"/>
    </row>
    <row r="19077" spans="8:20" x14ac:dyDescent="0.35">
      <c r="H19077" s="711"/>
      <c r="I19077" s="711"/>
      <c r="J19077" s="711"/>
      <c r="K19077" s="711"/>
      <c r="L19077" s="711"/>
      <c r="Q19077" s="11"/>
      <c r="R19077" s="11"/>
      <c r="S19077" s="11"/>
      <c r="T19077" s="11"/>
    </row>
    <row r="19078" spans="8:20" x14ac:dyDescent="0.35">
      <c r="H19078" s="711"/>
      <c r="I19078" s="711"/>
      <c r="J19078" s="711"/>
      <c r="K19078" s="711"/>
      <c r="L19078" s="711"/>
      <c r="Q19078" s="11"/>
      <c r="R19078" s="11"/>
      <c r="S19078" s="11"/>
      <c r="T19078" s="11"/>
    </row>
    <row r="19079" spans="8:20" x14ac:dyDescent="0.35">
      <c r="H19079" s="711"/>
      <c r="I19079" s="711"/>
      <c r="J19079" s="711"/>
      <c r="K19079" s="711"/>
      <c r="L19079" s="711"/>
      <c r="Q19079" s="11"/>
      <c r="R19079" s="11"/>
      <c r="S19079" s="11"/>
      <c r="T19079" s="11"/>
    </row>
    <row r="19080" spans="8:20" x14ac:dyDescent="0.35">
      <c r="H19080" s="711"/>
      <c r="I19080" s="711"/>
      <c r="J19080" s="711"/>
      <c r="K19080" s="711"/>
      <c r="L19080" s="711"/>
      <c r="Q19080" s="11"/>
      <c r="R19080" s="11"/>
      <c r="S19080" s="11"/>
      <c r="T19080" s="11"/>
    </row>
    <row r="19081" spans="8:20" x14ac:dyDescent="0.35">
      <c r="H19081" s="711"/>
      <c r="I19081" s="711"/>
      <c r="J19081" s="711"/>
      <c r="K19081" s="711"/>
      <c r="L19081" s="711"/>
      <c r="Q19081" s="11"/>
      <c r="R19081" s="11"/>
      <c r="S19081" s="11"/>
      <c r="T19081" s="11"/>
    </row>
    <row r="19082" spans="8:20" x14ac:dyDescent="0.35">
      <c r="H19082" s="711"/>
      <c r="I19082" s="711"/>
      <c r="J19082" s="711"/>
      <c r="K19082" s="711"/>
      <c r="L19082" s="711"/>
      <c r="Q19082" s="11"/>
      <c r="R19082" s="11"/>
      <c r="S19082" s="11"/>
      <c r="T19082" s="11"/>
    </row>
    <row r="19083" spans="8:20" x14ac:dyDescent="0.35">
      <c r="H19083" s="711"/>
      <c r="I19083" s="711"/>
      <c r="J19083" s="711"/>
      <c r="K19083" s="711"/>
      <c r="L19083" s="711"/>
      <c r="Q19083" s="11"/>
      <c r="R19083" s="11"/>
      <c r="S19083" s="11"/>
      <c r="T19083" s="11"/>
    </row>
    <row r="19084" spans="8:20" x14ac:dyDescent="0.35">
      <c r="H19084" s="711"/>
      <c r="I19084" s="711"/>
      <c r="J19084" s="711"/>
      <c r="K19084" s="711"/>
      <c r="L19084" s="711"/>
      <c r="Q19084" s="11"/>
      <c r="R19084" s="11"/>
      <c r="S19084" s="11"/>
      <c r="T19084" s="11"/>
    </row>
    <row r="19085" spans="8:20" x14ac:dyDescent="0.35">
      <c r="H19085" s="711"/>
      <c r="I19085" s="711"/>
      <c r="J19085" s="711"/>
      <c r="K19085" s="711"/>
      <c r="L19085" s="711"/>
      <c r="Q19085" s="11"/>
      <c r="R19085" s="11"/>
      <c r="S19085" s="11"/>
      <c r="T19085" s="11"/>
    </row>
    <row r="19086" spans="8:20" x14ac:dyDescent="0.35">
      <c r="H19086" s="711"/>
      <c r="I19086" s="711"/>
      <c r="J19086" s="711"/>
      <c r="K19086" s="711"/>
      <c r="L19086" s="711"/>
      <c r="Q19086" s="11"/>
      <c r="R19086" s="11"/>
      <c r="S19086" s="11"/>
      <c r="T19086" s="11"/>
    </row>
    <row r="19087" spans="8:20" x14ac:dyDescent="0.35">
      <c r="H19087" s="711"/>
      <c r="I19087" s="711"/>
      <c r="J19087" s="711"/>
      <c r="K19087" s="711"/>
      <c r="L19087" s="711"/>
      <c r="Q19087" s="11"/>
      <c r="R19087" s="11"/>
      <c r="S19087" s="11"/>
      <c r="T19087" s="11"/>
    </row>
    <row r="19088" spans="8:20" x14ac:dyDescent="0.35">
      <c r="H19088" s="711"/>
      <c r="I19088" s="711"/>
      <c r="J19088" s="711"/>
      <c r="K19088" s="711"/>
      <c r="L19088" s="711"/>
      <c r="Q19088" s="11"/>
      <c r="R19088" s="11"/>
      <c r="S19088" s="11"/>
      <c r="T19088" s="11"/>
    </row>
    <row r="19089" spans="8:20" x14ac:dyDescent="0.35">
      <c r="H19089" s="711"/>
      <c r="I19089" s="711"/>
      <c r="J19089" s="711"/>
      <c r="K19089" s="711"/>
      <c r="L19089" s="711"/>
      <c r="Q19089" s="11"/>
      <c r="R19089" s="11"/>
      <c r="S19089" s="11"/>
      <c r="T19089" s="11"/>
    </row>
    <row r="19090" spans="8:20" x14ac:dyDescent="0.35">
      <c r="H19090" s="711"/>
      <c r="I19090" s="711"/>
      <c r="J19090" s="711"/>
      <c r="K19090" s="711"/>
      <c r="L19090" s="711"/>
      <c r="Q19090" s="11"/>
      <c r="R19090" s="11"/>
      <c r="S19090" s="11"/>
      <c r="T19090" s="11"/>
    </row>
    <row r="19091" spans="8:20" x14ac:dyDescent="0.35">
      <c r="H19091" s="711"/>
      <c r="I19091" s="711"/>
      <c r="J19091" s="711"/>
      <c r="K19091" s="711"/>
      <c r="L19091" s="711"/>
      <c r="Q19091" s="11"/>
      <c r="R19091" s="11"/>
      <c r="S19091" s="11"/>
      <c r="T19091" s="11"/>
    </row>
    <row r="19092" spans="8:20" x14ac:dyDescent="0.35">
      <c r="H19092" s="711"/>
      <c r="I19092" s="711"/>
      <c r="J19092" s="711"/>
      <c r="K19092" s="711"/>
      <c r="L19092" s="711"/>
      <c r="Q19092" s="11"/>
      <c r="R19092" s="11"/>
      <c r="S19092" s="11"/>
      <c r="T19092" s="11"/>
    </row>
    <row r="19093" spans="8:20" x14ac:dyDescent="0.35">
      <c r="H19093" s="711"/>
      <c r="I19093" s="711"/>
      <c r="J19093" s="711"/>
      <c r="K19093" s="711"/>
      <c r="L19093" s="711"/>
      <c r="Q19093" s="11"/>
      <c r="R19093" s="11"/>
      <c r="S19093" s="11"/>
      <c r="T19093" s="11"/>
    </row>
    <row r="19094" spans="8:20" x14ac:dyDescent="0.35">
      <c r="H19094" s="711"/>
      <c r="I19094" s="711"/>
      <c r="J19094" s="711"/>
      <c r="K19094" s="711"/>
      <c r="L19094" s="711"/>
      <c r="Q19094" s="11"/>
      <c r="R19094" s="11"/>
      <c r="S19094" s="11"/>
      <c r="T19094" s="11"/>
    </row>
    <row r="19095" spans="8:20" x14ac:dyDescent="0.35">
      <c r="H19095" s="711"/>
      <c r="I19095" s="711"/>
      <c r="J19095" s="711"/>
      <c r="K19095" s="711"/>
      <c r="L19095" s="711"/>
      <c r="Q19095" s="11"/>
      <c r="R19095" s="11"/>
      <c r="S19095" s="11"/>
      <c r="T19095" s="11"/>
    </row>
    <row r="19096" spans="8:20" x14ac:dyDescent="0.35">
      <c r="H19096" s="711"/>
      <c r="I19096" s="711"/>
      <c r="J19096" s="711"/>
      <c r="K19096" s="711"/>
      <c r="L19096" s="711"/>
      <c r="Q19096" s="11"/>
      <c r="R19096" s="11"/>
      <c r="S19096" s="11"/>
      <c r="T19096" s="11"/>
    </row>
    <row r="19097" spans="8:20" x14ac:dyDescent="0.35">
      <c r="H19097" s="711"/>
      <c r="I19097" s="711"/>
      <c r="J19097" s="711"/>
      <c r="K19097" s="711"/>
      <c r="L19097" s="711"/>
      <c r="Q19097" s="11"/>
      <c r="R19097" s="11"/>
      <c r="S19097" s="11"/>
      <c r="T19097" s="11"/>
    </row>
    <row r="19098" spans="8:20" x14ac:dyDescent="0.35">
      <c r="H19098" s="711"/>
      <c r="I19098" s="711"/>
      <c r="J19098" s="711"/>
      <c r="K19098" s="711"/>
      <c r="L19098" s="711"/>
      <c r="Q19098" s="11"/>
      <c r="R19098" s="11"/>
      <c r="S19098" s="11"/>
      <c r="T19098" s="11"/>
    </row>
    <row r="19099" spans="8:20" x14ac:dyDescent="0.35">
      <c r="H19099" s="711"/>
      <c r="I19099" s="711"/>
      <c r="J19099" s="711"/>
      <c r="K19099" s="711"/>
      <c r="L19099" s="711"/>
      <c r="Q19099" s="11"/>
      <c r="R19099" s="11"/>
      <c r="S19099" s="11"/>
      <c r="T19099" s="11"/>
    </row>
    <row r="19100" spans="8:20" x14ac:dyDescent="0.35">
      <c r="H19100" s="711"/>
      <c r="I19100" s="711"/>
      <c r="J19100" s="711"/>
      <c r="K19100" s="711"/>
      <c r="L19100" s="711"/>
      <c r="Q19100" s="11"/>
      <c r="R19100" s="11"/>
      <c r="S19100" s="11"/>
      <c r="T19100" s="11"/>
    </row>
    <row r="19101" spans="8:20" x14ac:dyDescent="0.35">
      <c r="H19101" s="711"/>
      <c r="I19101" s="711"/>
      <c r="J19101" s="711"/>
      <c r="K19101" s="711"/>
      <c r="L19101" s="711"/>
      <c r="Q19101" s="11"/>
      <c r="R19101" s="11"/>
      <c r="S19101" s="11"/>
      <c r="T19101" s="11"/>
    </row>
    <row r="19102" spans="8:20" x14ac:dyDescent="0.35">
      <c r="H19102" s="711"/>
      <c r="I19102" s="711"/>
      <c r="J19102" s="711"/>
      <c r="K19102" s="711"/>
      <c r="L19102" s="711"/>
      <c r="Q19102" s="11"/>
      <c r="R19102" s="11"/>
      <c r="S19102" s="11"/>
      <c r="T19102" s="11"/>
    </row>
    <row r="19103" spans="8:20" x14ac:dyDescent="0.35">
      <c r="H19103" s="711"/>
      <c r="I19103" s="711"/>
      <c r="J19103" s="711"/>
      <c r="K19103" s="711"/>
      <c r="L19103" s="711"/>
      <c r="Q19103" s="11"/>
      <c r="R19103" s="11"/>
      <c r="S19103" s="11"/>
      <c r="T19103" s="11"/>
    </row>
    <row r="19104" spans="8:20" x14ac:dyDescent="0.35">
      <c r="H19104" s="711"/>
      <c r="I19104" s="711"/>
      <c r="J19104" s="711"/>
      <c r="K19104" s="711"/>
      <c r="L19104" s="711"/>
      <c r="Q19104" s="11"/>
      <c r="R19104" s="11"/>
      <c r="S19104" s="11"/>
      <c r="T19104" s="11"/>
    </row>
    <row r="19105" spans="8:20" x14ac:dyDescent="0.35">
      <c r="H19105" s="711"/>
      <c r="I19105" s="711"/>
      <c r="J19105" s="711"/>
      <c r="K19105" s="711"/>
      <c r="L19105" s="711"/>
      <c r="Q19105" s="11"/>
      <c r="R19105" s="11"/>
      <c r="S19105" s="11"/>
      <c r="T19105" s="11"/>
    </row>
    <row r="19106" spans="8:20" x14ac:dyDescent="0.35">
      <c r="H19106" s="711"/>
      <c r="I19106" s="711"/>
      <c r="J19106" s="711"/>
      <c r="K19106" s="711"/>
      <c r="L19106" s="711"/>
      <c r="Q19106" s="11"/>
      <c r="R19106" s="11"/>
      <c r="S19106" s="11"/>
      <c r="T19106" s="11"/>
    </row>
    <row r="19107" spans="8:20" x14ac:dyDescent="0.35">
      <c r="H19107" s="711"/>
      <c r="I19107" s="711"/>
      <c r="J19107" s="711"/>
      <c r="K19107" s="711"/>
      <c r="L19107" s="711"/>
      <c r="Q19107" s="11"/>
      <c r="R19107" s="11"/>
      <c r="S19107" s="11"/>
      <c r="T19107" s="11"/>
    </row>
    <row r="19108" spans="8:20" x14ac:dyDescent="0.35">
      <c r="H19108" s="711"/>
      <c r="I19108" s="711"/>
      <c r="J19108" s="711"/>
      <c r="K19108" s="711"/>
      <c r="L19108" s="711"/>
      <c r="Q19108" s="11"/>
      <c r="R19108" s="11"/>
      <c r="S19108" s="11"/>
      <c r="T19108" s="11"/>
    </row>
    <row r="19109" spans="8:20" x14ac:dyDescent="0.35">
      <c r="H19109" s="711"/>
      <c r="I19109" s="711"/>
      <c r="J19109" s="711"/>
      <c r="K19109" s="711"/>
      <c r="L19109" s="711"/>
      <c r="Q19109" s="11"/>
      <c r="R19109" s="11"/>
      <c r="S19109" s="11"/>
      <c r="T19109" s="11"/>
    </row>
    <row r="19110" spans="8:20" x14ac:dyDescent="0.35">
      <c r="H19110" s="711"/>
      <c r="I19110" s="711"/>
      <c r="J19110" s="711"/>
      <c r="K19110" s="711"/>
      <c r="L19110" s="711"/>
      <c r="Q19110" s="11"/>
      <c r="R19110" s="11"/>
      <c r="S19110" s="11"/>
      <c r="T19110" s="11"/>
    </row>
    <row r="19111" spans="8:20" x14ac:dyDescent="0.35">
      <c r="H19111" s="711"/>
      <c r="I19111" s="711"/>
      <c r="J19111" s="711"/>
      <c r="K19111" s="711"/>
      <c r="L19111" s="711"/>
      <c r="Q19111" s="11"/>
      <c r="R19111" s="11"/>
      <c r="S19111" s="11"/>
      <c r="T19111" s="11"/>
    </row>
    <row r="19112" spans="8:20" x14ac:dyDescent="0.35">
      <c r="H19112" s="711"/>
      <c r="I19112" s="711"/>
      <c r="J19112" s="711"/>
      <c r="K19112" s="711"/>
      <c r="L19112" s="711"/>
      <c r="Q19112" s="11"/>
      <c r="R19112" s="11"/>
      <c r="S19112" s="11"/>
      <c r="T19112" s="11"/>
    </row>
    <row r="19113" spans="8:20" x14ac:dyDescent="0.35">
      <c r="H19113" s="711"/>
      <c r="I19113" s="711"/>
      <c r="J19113" s="711"/>
      <c r="K19113" s="711"/>
      <c r="L19113" s="711"/>
      <c r="Q19113" s="11"/>
      <c r="R19113" s="11"/>
      <c r="S19113" s="11"/>
      <c r="T19113" s="11"/>
    </row>
    <row r="19114" spans="8:20" x14ac:dyDescent="0.35">
      <c r="H19114" s="711"/>
      <c r="I19114" s="711"/>
      <c r="J19114" s="711"/>
      <c r="K19114" s="711"/>
      <c r="L19114" s="711"/>
      <c r="Q19114" s="11"/>
      <c r="R19114" s="11"/>
      <c r="S19114" s="11"/>
      <c r="T19114" s="11"/>
    </row>
    <row r="19115" spans="8:20" x14ac:dyDescent="0.35">
      <c r="H19115" s="711"/>
      <c r="I19115" s="711"/>
      <c r="J19115" s="711"/>
      <c r="K19115" s="711"/>
      <c r="L19115" s="711"/>
      <c r="Q19115" s="11"/>
      <c r="R19115" s="11"/>
      <c r="S19115" s="11"/>
      <c r="T19115" s="11"/>
    </row>
    <row r="19116" spans="8:20" x14ac:dyDescent="0.35">
      <c r="H19116" s="711"/>
      <c r="I19116" s="711"/>
      <c r="J19116" s="711"/>
      <c r="K19116" s="711"/>
      <c r="L19116" s="711"/>
      <c r="Q19116" s="11"/>
      <c r="R19116" s="11"/>
      <c r="S19116" s="11"/>
      <c r="T19116" s="11"/>
    </row>
    <row r="19117" spans="8:20" x14ac:dyDescent="0.35">
      <c r="H19117" s="711"/>
      <c r="I19117" s="711"/>
      <c r="J19117" s="711"/>
      <c r="K19117" s="711"/>
      <c r="L19117" s="711"/>
      <c r="Q19117" s="11"/>
      <c r="R19117" s="11"/>
      <c r="S19117" s="11"/>
      <c r="T19117" s="11"/>
    </row>
    <row r="19118" spans="8:20" x14ac:dyDescent="0.35">
      <c r="H19118" s="711"/>
      <c r="I19118" s="711"/>
      <c r="J19118" s="711"/>
      <c r="K19118" s="711"/>
      <c r="L19118" s="711"/>
      <c r="Q19118" s="11"/>
      <c r="R19118" s="11"/>
      <c r="S19118" s="11"/>
      <c r="T19118" s="11"/>
    </row>
    <row r="19119" spans="8:20" x14ac:dyDescent="0.35">
      <c r="H19119" s="711"/>
      <c r="I19119" s="711"/>
      <c r="J19119" s="711"/>
      <c r="K19119" s="711"/>
      <c r="L19119" s="711"/>
      <c r="Q19119" s="11"/>
      <c r="R19119" s="11"/>
      <c r="S19119" s="11"/>
      <c r="T19119" s="11"/>
    </row>
    <row r="19120" spans="8:20" x14ac:dyDescent="0.35">
      <c r="H19120" s="711"/>
      <c r="I19120" s="711"/>
      <c r="J19120" s="711"/>
      <c r="K19120" s="711"/>
      <c r="L19120" s="711"/>
      <c r="Q19120" s="11"/>
      <c r="R19120" s="11"/>
      <c r="S19120" s="11"/>
      <c r="T19120" s="11"/>
    </row>
    <row r="19121" spans="8:20" x14ac:dyDescent="0.35">
      <c r="H19121" s="711"/>
      <c r="I19121" s="711"/>
      <c r="J19121" s="711"/>
      <c r="K19121" s="711"/>
      <c r="L19121" s="711"/>
      <c r="Q19121" s="11"/>
      <c r="R19121" s="11"/>
      <c r="S19121" s="11"/>
      <c r="T19121" s="11"/>
    </row>
    <row r="19122" spans="8:20" x14ac:dyDescent="0.35">
      <c r="H19122" s="711"/>
      <c r="I19122" s="711"/>
      <c r="J19122" s="711"/>
      <c r="K19122" s="711"/>
      <c r="L19122" s="711"/>
      <c r="Q19122" s="11"/>
      <c r="R19122" s="11"/>
      <c r="S19122" s="11"/>
      <c r="T19122" s="11"/>
    </row>
    <row r="19123" spans="8:20" x14ac:dyDescent="0.35">
      <c r="H19123" s="711"/>
      <c r="I19123" s="711"/>
      <c r="J19123" s="711"/>
      <c r="K19123" s="711"/>
      <c r="L19123" s="711"/>
      <c r="Q19123" s="11"/>
      <c r="R19123" s="11"/>
      <c r="S19123" s="11"/>
      <c r="T19123" s="11"/>
    </row>
    <row r="19124" spans="8:20" x14ac:dyDescent="0.35">
      <c r="H19124" s="711"/>
      <c r="I19124" s="711"/>
      <c r="J19124" s="711"/>
      <c r="K19124" s="711"/>
      <c r="L19124" s="711"/>
      <c r="Q19124" s="11"/>
      <c r="R19124" s="11"/>
      <c r="S19124" s="11"/>
      <c r="T19124" s="11"/>
    </row>
    <row r="19125" spans="8:20" x14ac:dyDescent="0.35">
      <c r="H19125" s="711"/>
      <c r="I19125" s="711"/>
      <c r="J19125" s="711"/>
      <c r="K19125" s="711"/>
      <c r="L19125" s="711"/>
      <c r="Q19125" s="11"/>
      <c r="R19125" s="11"/>
      <c r="S19125" s="11"/>
      <c r="T19125" s="11"/>
    </row>
    <row r="19126" spans="8:20" x14ac:dyDescent="0.35">
      <c r="H19126" s="711"/>
      <c r="I19126" s="711"/>
      <c r="J19126" s="711"/>
      <c r="K19126" s="711"/>
      <c r="L19126" s="711"/>
      <c r="Q19126" s="11"/>
      <c r="R19126" s="11"/>
      <c r="S19126" s="11"/>
      <c r="T19126" s="11"/>
    </row>
    <row r="19127" spans="8:20" x14ac:dyDescent="0.35">
      <c r="H19127" s="711"/>
      <c r="I19127" s="711"/>
      <c r="J19127" s="711"/>
      <c r="K19127" s="711"/>
      <c r="L19127" s="711"/>
      <c r="Q19127" s="11"/>
      <c r="R19127" s="11"/>
      <c r="S19127" s="11"/>
      <c r="T19127" s="11"/>
    </row>
    <row r="19128" spans="8:20" x14ac:dyDescent="0.35">
      <c r="H19128" s="711"/>
      <c r="I19128" s="711"/>
      <c r="J19128" s="711"/>
      <c r="K19128" s="711"/>
      <c r="L19128" s="711"/>
      <c r="Q19128" s="11"/>
      <c r="R19128" s="11"/>
      <c r="S19128" s="11"/>
      <c r="T19128" s="11"/>
    </row>
    <row r="19129" spans="8:20" x14ac:dyDescent="0.35">
      <c r="H19129" s="711"/>
      <c r="I19129" s="711"/>
      <c r="J19129" s="711"/>
      <c r="K19129" s="711"/>
      <c r="L19129" s="711"/>
      <c r="Q19129" s="11"/>
      <c r="R19129" s="11"/>
      <c r="S19129" s="11"/>
      <c r="T19129" s="11"/>
    </row>
    <row r="19130" spans="8:20" x14ac:dyDescent="0.35">
      <c r="H19130" s="711"/>
      <c r="I19130" s="711"/>
      <c r="J19130" s="711"/>
      <c r="K19130" s="711"/>
      <c r="L19130" s="711"/>
      <c r="Q19130" s="11"/>
      <c r="R19130" s="11"/>
      <c r="S19130" s="11"/>
      <c r="T19130" s="11"/>
    </row>
    <row r="19131" spans="8:20" x14ac:dyDescent="0.35">
      <c r="H19131" s="711"/>
      <c r="I19131" s="711"/>
      <c r="J19131" s="711"/>
      <c r="K19131" s="711"/>
      <c r="L19131" s="711"/>
      <c r="Q19131" s="11"/>
      <c r="R19131" s="11"/>
      <c r="S19131" s="11"/>
      <c r="T19131" s="11"/>
    </row>
    <row r="19132" spans="8:20" x14ac:dyDescent="0.35">
      <c r="H19132" s="711"/>
      <c r="I19132" s="711"/>
      <c r="J19132" s="711"/>
      <c r="K19132" s="711"/>
      <c r="L19132" s="711"/>
      <c r="Q19132" s="11"/>
      <c r="R19132" s="11"/>
      <c r="S19132" s="11"/>
      <c r="T19132" s="11"/>
    </row>
    <row r="19133" spans="8:20" x14ac:dyDescent="0.35">
      <c r="H19133" s="711"/>
      <c r="I19133" s="711"/>
      <c r="J19133" s="711"/>
      <c r="K19133" s="711"/>
      <c r="L19133" s="711"/>
      <c r="Q19133" s="11"/>
      <c r="R19133" s="11"/>
      <c r="S19133" s="11"/>
      <c r="T19133" s="11"/>
    </row>
    <row r="19134" spans="8:20" x14ac:dyDescent="0.35">
      <c r="H19134" s="711"/>
      <c r="I19134" s="711"/>
      <c r="J19134" s="711"/>
      <c r="K19134" s="711"/>
      <c r="L19134" s="711"/>
      <c r="Q19134" s="11"/>
      <c r="R19134" s="11"/>
      <c r="S19134" s="11"/>
      <c r="T19134" s="11"/>
    </row>
    <row r="19135" spans="8:20" x14ac:dyDescent="0.35">
      <c r="H19135" s="711"/>
      <c r="I19135" s="711"/>
      <c r="J19135" s="711"/>
      <c r="K19135" s="711"/>
      <c r="L19135" s="711"/>
      <c r="Q19135" s="11"/>
      <c r="R19135" s="11"/>
      <c r="S19135" s="11"/>
      <c r="T19135" s="11"/>
    </row>
    <row r="19136" spans="8:20" x14ac:dyDescent="0.35">
      <c r="H19136" s="711"/>
      <c r="I19136" s="711"/>
      <c r="J19136" s="711"/>
      <c r="K19136" s="711"/>
      <c r="L19136" s="711"/>
      <c r="Q19136" s="11"/>
      <c r="R19136" s="11"/>
      <c r="S19136" s="11"/>
      <c r="T19136" s="11"/>
    </row>
    <row r="19137" spans="8:20" x14ac:dyDescent="0.35">
      <c r="H19137" s="711"/>
      <c r="I19137" s="711"/>
      <c r="J19137" s="711"/>
      <c r="K19137" s="711"/>
      <c r="L19137" s="711"/>
      <c r="Q19137" s="11"/>
      <c r="R19137" s="11"/>
      <c r="S19137" s="11"/>
      <c r="T19137" s="11"/>
    </row>
    <row r="19138" spans="8:20" x14ac:dyDescent="0.35">
      <c r="H19138" s="711"/>
      <c r="I19138" s="711"/>
      <c r="J19138" s="711"/>
      <c r="K19138" s="711"/>
      <c r="L19138" s="711"/>
      <c r="Q19138" s="11"/>
      <c r="R19138" s="11"/>
      <c r="S19138" s="11"/>
      <c r="T19138" s="11"/>
    </row>
    <row r="19139" spans="8:20" x14ac:dyDescent="0.35">
      <c r="H19139" s="711"/>
      <c r="I19139" s="711"/>
      <c r="J19139" s="711"/>
      <c r="K19139" s="711"/>
      <c r="L19139" s="711"/>
      <c r="Q19139" s="11"/>
      <c r="R19139" s="11"/>
      <c r="S19139" s="11"/>
      <c r="T19139" s="11"/>
    </row>
    <row r="19140" spans="8:20" x14ac:dyDescent="0.35">
      <c r="H19140" s="711"/>
      <c r="I19140" s="711"/>
      <c r="J19140" s="711"/>
      <c r="K19140" s="711"/>
      <c r="L19140" s="711"/>
      <c r="Q19140" s="11"/>
      <c r="R19140" s="11"/>
      <c r="S19140" s="11"/>
      <c r="T19140" s="11"/>
    </row>
    <row r="19141" spans="8:20" x14ac:dyDescent="0.35">
      <c r="H19141" s="711"/>
      <c r="I19141" s="711"/>
      <c r="J19141" s="711"/>
      <c r="K19141" s="711"/>
      <c r="L19141" s="711"/>
      <c r="Q19141" s="11"/>
      <c r="R19141" s="11"/>
      <c r="S19141" s="11"/>
      <c r="T19141" s="11"/>
    </row>
    <row r="19142" spans="8:20" x14ac:dyDescent="0.35">
      <c r="H19142" s="711"/>
      <c r="I19142" s="711"/>
      <c r="J19142" s="711"/>
      <c r="K19142" s="711"/>
      <c r="L19142" s="711"/>
      <c r="Q19142" s="11"/>
      <c r="R19142" s="11"/>
      <c r="S19142" s="11"/>
      <c r="T19142" s="11"/>
    </row>
    <row r="19143" spans="8:20" x14ac:dyDescent="0.35">
      <c r="H19143" s="711"/>
      <c r="I19143" s="711"/>
      <c r="J19143" s="711"/>
      <c r="K19143" s="711"/>
      <c r="L19143" s="711"/>
      <c r="Q19143" s="11"/>
      <c r="R19143" s="11"/>
      <c r="S19143" s="11"/>
      <c r="T19143" s="11"/>
    </row>
    <row r="19144" spans="8:20" x14ac:dyDescent="0.35">
      <c r="H19144" s="711"/>
      <c r="I19144" s="711"/>
      <c r="J19144" s="711"/>
      <c r="K19144" s="711"/>
      <c r="L19144" s="711"/>
      <c r="Q19144" s="11"/>
      <c r="R19144" s="11"/>
      <c r="S19144" s="11"/>
      <c r="T19144" s="11"/>
    </row>
    <row r="19145" spans="8:20" x14ac:dyDescent="0.35">
      <c r="H19145" s="711"/>
      <c r="I19145" s="711"/>
      <c r="J19145" s="711"/>
      <c r="K19145" s="711"/>
      <c r="L19145" s="711"/>
      <c r="Q19145" s="11"/>
      <c r="R19145" s="11"/>
      <c r="S19145" s="11"/>
      <c r="T19145" s="11"/>
    </row>
    <row r="19146" spans="8:20" x14ac:dyDescent="0.35">
      <c r="H19146" s="711"/>
      <c r="I19146" s="711"/>
      <c r="J19146" s="711"/>
      <c r="K19146" s="711"/>
      <c r="L19146" s="711"/>
      <c r="Q19146" s="11"/>
      <c r="R19146" s="11"/>
      <c r="S19146" s="11"/>
      <c r="T19146" s="11"/>
    </row>
    <row r="19147" spans="8:20" x14ac:dyDescent="0.35">
      <c r="H19147" s="711"/>
      <c r="I19147" s="711"/>
      <c r="J19147" s="711"/>
      <c r="K19147" s="711"/>
      <c r="L19147" s="711"/>
      <c r="Q19147" s="11"/>
      <c r="R19147" s="11"/>
      <c r="S19147" s="11"/>
      <c r="T19147" s="11"/>
    </row>
    <row r="19148" spans="8:20" x14ac:dyDescent="0.35">
      <c r="H19148" s="711"/>
      <c r="I19148" s="711"/>
      <c r="J19148" s="711"/>
      <c r="K19148" s="711"/>
      <c r="L19148" s="711"/>
      <c r="Q19148" s="11"/>
      <c r="R19148" s="11"/>
      <c r="S19148" s="11"/>
      <c r="T19148" s="11"/>
    </row>
    <row r="19149" spans="8:20" x14ac:dyDescent="0.35">
      <c r="H19149" s="711"/>
      <c r="I19149" s="711"/>
      <c r="J19149" s="711"/>
      <c r="K19149" s="711"/>
      <c r="L19149" s="711"/>
      <c r="Q19149" s="11"/>
      <c r="R19149" s="11"/>
      <c r="S19149" s="11"/>
      <c r="T19149" s="11"/>
    </row>
    <row r="19150" spans="8:20" x14ac:dyDescent="0.35">
      <c r="H19150" s="711"/>
      <c r="I19150" s="711"/>
      <c r="J19150" s="711"/>
      <c r="K19150" s="711"/>
      <c r="L19150" s="711"/>
      <c r="Q19150" s="11"/>
      <c r="R19150" s="11"/>
      <c r="S19150" s="11"/>
      <c r="T19150" s="11"/>
    </row>
    <row r="19151" spans="8:20" x14ac:dyDescent="0.35">
      <c r="H19151" s="711"/>
      <c r="I19151" s="711"/>
      <c r="J19151" s="711"/>
      <c r="K19151" s="711"/>
      <c r="L19151" s="711"/>
      <c r="Q19151" s="11"/>
      <c r="R19151" s="11"/>
      <c r="S19151" s="11"/>
      <c r="T19151" s="11"/>
    </row>
    <row r="19152" spans="8:20" x14ac:dyDescent="0.35">
      <c r="H19152" s="711"/>
      <c r="I19152" s="711"/>
      <c r="J19152" s="711"/>
      <c r="K19152" s="711"/>
      <c r="L19152" s="711"/>
      <c r="Q19152" s="11"/>
      <c r="R19152" s="11"/>
      <c r="S19152" s="11"/>
      <c r="T19152" s="11"/>
    </row>
    <row r="19153" spans="8:20" x14ac:dyDescent="0.35">
      <c r="H19153" s="711"/>
      <c r="I19153" s="711"/>
      <c r="J19153" s="711"/>
      <c r="K19153" s="711"/>
      <c r="L19153" s="711"/>
      <c r="Q19153" s="11"/>
      <c r="R19153" s="11"/>
      <c r="S19153" s="11"/>
      <c r="T19153" s="11"/>
    </row>
    <row r="19154" spans="8:20" x14ac:dyDescent="0.35">
      <c r="H19154" s="711"/>
      <c r="I19154" s="711"/>
      <c r="J19154" s="711"/>
      <c r="K19154" s="711"/>
      <c r="L19154" s="711"/>
      <c r="Q19154" s="11"/>
      <c r="R19154" s="11"/>
      <c r="S19154" s="11"/>
      <c r="T19154" s="11"/>
    </row>
    <row r="19155" spans="8:20" x14ac:dyDescent="0.35">
      <c r="H19155" s="711"/>
      <c r="I19155" s="711"/>
      <c r="J19155" s="711"/>
      <c r="K19155" s="711"/>
      <c r="L19155" s="711"/>
      <c r="Q19155" s="11"/>
      <c r="R19155" s="11"/>
      <c r="S19155" s="11"/>
      <c r="T19155" s="11"/>
    </row>
    <row r="19156" spans="8:20" x14ac:dyDescent="0.35">
      <c r="H19156" s="711"/>
      <c r="I19156" s="711"/>
      <c r="J19156" s="711"/>
      <c r="K19156" s="711"/>
      <c r="L19156" s="711"/>
      <c r="Q19156" s="11"/>
      <c r="R19156" s="11"/>
      <c r="S19156" s="11"/>
      <c r="T19156" s="11"/>
    </row>
    <row r="19157" spans="8:20" x14ac:dyDescent="0.35">
      <c r="H19157" s="711"/>
      <c r="I19157" s="711"/>
      <c r="J19157" s="711"/>
      <c r="K19157" s="711"/>
      <c r="L19157" s="711"/>
      <c r="Q19157" s="11"/>
      <c r="R19157" s="11"/>
      <c r="S19157" s="11"/>
      <c r="T19157" s="11"/>
    </row>
    <row r="19158" spans="8:20" x14ac:dyDescent="0.35">
      <c r="H19158" s="711"/>
      <c r="I19158" s="711"/>
      <c r="J19158" s="711"/>
      <c r="K19158" s="711"/>
      <c r="L19158" s="711"/>
      <c r="Q19158" s="11"/>
      <c r="R19158" s="11"/>
      <c r="S19158" s="11"/>
      <c r="T19158" s="11"/>
    </row>
    <row r="19159" spans="8:20" x14ac:dyDescent="0.35">
      <c r="H19159" s="711"/>
      <c r="I19159" s="711"/>
      <c r="J19159" s="711"/>
      <c r="K19159" s="711"/>
      <c r="L19159" s="711"/>
      <c r="Q19159" s="11"/>
      <c r="R19159" s="11"/>
      <c r="S19159" s="11"/>
      <c r="T19159" s="11"/>
    </row>
    <row r="19160" spans="8:20" x14ac:dyDescent="0.35">
      <c r="H19160" s="711"/>
      <c r="I19160" s="711"/>
      <c r="J19160" s="711"/>
      <c r="K19160" s="711"/>
      <c r="L19160" s="711"/>
      <c r="Q19160" s="11"/>
      <c r="R19160" s="11"/>
      <c r="S19160" s="11"/>
      <c r="T19160" s="11"/>
    </row>
    <row r="19161" spans="8:20" x14ac:dyDescent="0.35">
      <c r="H19161" s="711"/>
      <c r="I19161" s="711"/>
      <c r="J19161" s="711"/>
      <c r="K19161" s="711"/>
      <c r="L19161" s="711"/>
      <c r="Q19161" s="11"/>
      <c r="R19161" s="11"/>
      <c r="S19161" s="11"/>
      <c r="T19161" s="11"/>
    </row>
    <row r="19162" spans="8:20" x14ac:dyDescent="0.35">
      <c r="H19162" s="711"/>
      <c r="I19162" s="711"/>
      <c r="J19162" s="711"/>
      <c r="K19162" s="711"/>
      <c r="L19162" s="711"/>
      <c r="Q19162" s="11"/>
      <c r="R19162" s="11"/>
      <c r="S19162" s="11"/>
      <c r="T19162" s="11"/>
    </row>
    <row r="19163" spans="8:20" x14ac:dyDescent="0.35">
      <c r="H19163" s="711"/>
      <c r="I19163" s="711"/>
      <c r="J19163" s="711"/>
      <c r="K19163" s="711"/>
      <c r="L19163" s="711"/>
      <c r="Q19163" s="11"/>
      <c r="R19163" s="11"/>
      <c r="S19163" s="11"/>
      <c r="T19163" s="11"/>
    </row>
    <row r="19164" spans="8:20" x14ac:dyDescent="0.35">
      <c r="H19164" s="711"/>
      <c r="I19164" s="711"/>
      <c r="J19164" s="711"/>
      <c r="K19164" s="711"/>
      <c r="L19164" s="711"/>
      <c r="Q19164" s="11"/>
      <c r="R19164" s="11"/>
      <c r="S19164" s="11"/>
      <c r="T19164" s="11"/>
    </row>
    <row r="19165" spans="8:20" x14ac:dyDescent="0.35">
      <c r="H19165" s="711"/>
      <c r="I19165" s="711"/>
      <c r="J19165" s="711"/>
      <c r="K19165" s="711"/>
      <c r="L19165" s="711"/>
      <c r="Q19165" s="11"/>
      <c r="R19165" s="11"/>
      <c r="S19165" s="11"/>
      <c r="T19165" s="11"/>
    </row>
    <row r="19166" spans="8:20" x14ac:dyDescent="0.35">
      <c r="H19166" s="711"/>
      <c r="I19166" s="711"/>
      <c r="J19166" s="711"/>
      <c r="K19166" s="711"/>
      <c r="L19166" s="711"/>
      <c r="Q19166" s="11"/>
      <c r="R19166" s="11"/>
      <c r="S19166" s="11"/>
      <c r="T19166" s="11"/>
    </row>
    <row r="19167" spans="8:20" x14ac:dyDescent="0.35">
      <c r="H19167" s="711"/>
      <c r="I19167" s="711"/>
      <c r="J19167" s="711"/>
      <c r="K19167" s="711"/>
      <c r="L19167" s="711"/>
      <c r="Q19167" s="11"/>
      <c r="R19167" s="11"/>
      <c r="S19167" s="11"/>
      <c r="T19167" s="11"/>
    </row>
    <row r="19168" spans="8:20" x14ac:dyDescent="0.35">
      <c r="H19168" s="711"/>
      <c r="I19168" s="711"/>
      <c r="J19168" s="711"/>
      <c r="K19168" s="711"/>
      <c r="L19168" s="711"/>
      <c r="Q19168" s="11"/>
      <c r="R19168" s="11"/>
      <c r="S19168" s="11"/>
      <c r="T19168" s="11"/>
    </row>
    <row r="19169" spans="8:20" x14ac:dyDescent="0.35">
      <c r="H19169" s="711"/>
      <c r="I19169" s="711"/>
      <c r="J19169" s="711"/>
      <c r="K19169" s="711"/>
      <c r="L19169" s="711"/>
      <c r="Q19169" s="11"/>
      <c r="R19169" s="11"/>
      <c r="S19169" s="11"/>
      <c r="T19169" s="11"/>
    </row>
    <row r="19170" spans="8:20" x14ac:dyDescent="0.35">
      <c r="H19170" s="711"/>
      <c r="I19170" s="711"/>
      <c r="J19170" s="711"/>
      <c r="K19170" s="711"/>
      <c r="L19170" s="711"/>
      <c r="Q19170" s="11"/>
      <c r="R19170" s="11"/>
      <c r="S19170" s="11"/>
      <c r="T19170" s="11"/>
    </row>
    <row r="19171" spans="8:20" x14ac:dyDescent="0.35">
      <c r="H19171" s="711"/>
      <c r="I19171" s="711"/>
      <c r="J19171" s="711"/>
      <c r="K19171" s="711"/>
      <c r="L19171" s="711"/>
      <c r="Q19171" s="11"/>
      <c r="R19171" s="11"/>
      <c r="S19171" s="11"/>
      <c r="T19171" s="11"/>
    </row>
    <row r="19172" spans="8:20" x14ac:dyDescent="0.35">
      <c r="H19172" s="711"/>
      <c r="I19172" s="711"/>
      <c r="J19172" s="711"/>
      <c r="K19172" s="711"/>
      <c r="L19172" s="711"/>
      <c r="Q19172" s="11"/>
      <c r="R19172" s="11"/>
      <c r="S19172" s="11"/>
      <c r="T19172" s="11"/>
    </row>
    <row r="19173" spans="8:20" x14ac:dyDescent="0.35">
      <c r="H19173" s="711"/>
      <c r="I19173" s="711"/>
      <c r="J19173" s="711"/>
      <c r="K19173" s="711"/>
      <c r="L19173" s="711"/>
      <c r="Q19173" s="11"/>
      <c r="R19173" s="11"/>
      <c r="S19173" s="11"/>
      <c r="T19173" s="11"/>
    </row>
    <row r="19174" spans="8:20" x14ac:dyDescent="0.35">
      <c r="H19174" s="711"/>
      <c r="I19174" s="711"/>
      <c r="J19174" s="711"/>
      <c r="K19174" s="711"/>
      <c r="L19174" s="711"/>
      <c r="Q19174" s="11"/>
      <c r="R19174" s="11"/>
      <c r="S19174" s="11"/>
      <c r="T19174" s="11"/>
    </row>
    <row r="19175" spans="8:20" x14ac:dyDescent="0.35">
      <c r="H19175" s="711"/>
      <c r="I19175" s="711"/>
      <c r="J19175" s="711"/>
      <c r="K19175" s="711"/>
      <c r="L19175" s="711"/>
      <c r="Q19175" s="11"/>
      <c r="R19175" s="11"/>
      <c r="S19175" s="11"/>
      <c r="T19175" s="11"/>
    </row>
    <row r="19176" spans="8:20" x14ac:dyDescent="0.35">
      <c r="H19176" s="711"/>
      <c r="I19176" s="711"/>
      <c r="J19176" s="711"/>
      <c r="K19176" s="711"/>
      <c r="L19176" s="711"/>
      <c r="Q19176" s="11"/>
      <c r="R19176" s="11"/>
      <c r="S19176" s="11"/>
      <c r="T19176" s="11"/>
    </row>
    <row r="19177" spans="8:20" x14ac:dyDescent="0.35">
      <c r="H19177" s="711"/>
      <c r="I19177" s="711"/>
      <c r="J19177" s="711"/>
      <c r="K19177" s="711"/>
      <c r="L19177" s="711"/>
      <c r="Q19177" s="11"/>
      <c r="R19177" s="11"/>
      <c r="S19177" s="11"/>
      <c r="T19177" s="11"/>
    </row>
    <row r="19178" spans="8:20" x14ac:dyDescent="0.35">
      <c r="H19178" s="711"/>
      <c r="I19178" s="711"/>
      <c r="J19178" s="711"/>
      <c r="K19178" s="711"/>
      <c r="L19178" s="711"/>
      <c r="Q19178" s="11"/>
      <c r="R19178" s="11"/>
      <c r="S19178" s="11"/>
      <c r="T19178" s="11"/>
    </row>
    <row r="19179" spans="8:20" x14ac:dyDescent="0.35">
      <c r="H19179" s="711"/>
      <c r="I19179" s="711"/>
      <c r="J19179" s="711"/>
      <c r="K19179" s="711"/>
      <c r="L19179" s="711"/>
      <c r="Q19179" s="11"/>
      <c r="R19179" s="11"/>
      <c r="S19179" s="11"/>
      <c r="T19179" s="11"/>
    </row>
    <row r="19180" spans="8:20" x14ac:dyDescent="0.35">
      <c r="H19180" s="711"/>
      <c r="I19180" s="711"/>
      <c r="J19180" s="711"/>
      <c r="K19180" s="711"/>
      <c r="L19180" s="711"/>
      <c r="Q19180" s="11"/>
      <c r="R19180" s="11"/>
      <c r="S19180" s="11"/>
      <c r="T19180" s="11"/>
    </row>
    <row r="19181" spans="8:20" x14ac:dyDescent="0.35">
      <c r="H19181" s="711"/>
      <c r="I19181" s="711"/>
      <c r="J19181" s="711"/>
      <c r="K19181" s="711"/>
      <c r="L19181" s="711"/>
      <c r="Q19181" s="11"/>
      <c r="R19181" s="11"/>
      <c r="S19181" s="11"/>
      <c r="T19181" s="11"/>
    </row>
    <row r="19182" spans="8:20" x14ac:dyDescent="0.35">
      <c r="H19182" s="711"/>
      <c r="I19182" s="711"/>
      <c r="J19182" s="711"/>
      <c r="K19182" s="711"/>
      <c r="L19182" s="711"/>
      <c r="Q19182" s="11"/>
      <c r="R19182" s="11"/>
      <c r="S19182" s="11"/>
      <c r="T19182" s="11"/>
    </row>
    <row r="19183" spans="8:20" x14ac:dyDescent="0.35">
      <c r="H19183" s="711"/>
      <c r="I19183" s="711"/>
      <c r="J19183" s="711"/>
      <c r="K19183" s="711"/>
      <c r="L19183" s="711"/>
      <c r="Q19183" s="11"/>
      <c r="R19183" s="11"/>
      <c r="S19183" s="11"/>
      <c r="T19183" s="11"/>
    </row>
    <row r="19184" spans="8:20" x14ac:dyDescent="0.35">
      <c r="H19184" s="711"/>
      <c r="I19184" s="711"/>
      <c r="J19184" s="711"/>
      <c r="K19184" s="711"/>
      <c r="L19184" s="711"/>
      <c r="Q19184" s="11"/>
      <c r="R19184" s="11"/>
      <c r="S19184" s="11"/>
      <c r="T19184" s="11"/>
    </row>
    <row r="19185" spans="8:20" x14ac:dyDescent="0.35">
      <c r="H19185" s="711"/>
      <c r="I19185" s="711"/>
      <c r="J19185" s="711"/>
      <c r="K19185" s="711"/>
      <c r="L19185" s="711"/>
      <c r="Q19185" s="11"/>
      <c r="R19185" s="11"/>
      <c r="S19185" s="11"/>
      <c r="T19185" s="11"/>
    </row>
    <row r="19186" spans="8:20" x14ac:dyDescent="0.35">
      <c r="H19186" s="711"/>
      <c r="I19186" s="711"/>
      <c r="J19186" s="711"/>
      <c r="K19186" s="711"/>
      <c r="L19186" s="711"/>
      <c r="Q19186" s="11"/>
      <c r="R19186" s="11"/>
      <c r="S19186" s="11"/>
      <c r="T19186" s="11"/>
    </row>
    <row r="19187" spans="8:20" x14ac:dyDescent="0.35">
      <c r="H19187" s="711"/>
      <c r="I19187" s="711"/>
      <c r="J19187" s="711"/>
      <c r="K19187" s="711"/>
      <c r="L19187" s="711"/>
      <c r="Q19187" s="11"/>
      <c r="R19187" s="11"/>
      <c r="S19187" s="11"/>
      <c r="T19187" s="11"/>
    </row>
    <row r="19188" spans="8:20" x14ac:dyDescent="0.35">
      <c r="H19188" s="711"/>
      <c r="I19188" s="711"/>
      <c r="J19188" s="711"/>
      <c r="K19188" s="711"/>
      <c r="L19188" s="711"/>
      <c r="Q19188" s="11"/>
      <c r="R19188" s="11"/>
      <c r="S19188" s="11"/>
      <c r="T19188" s="11"/>
    </row>
    <row r="19189" spans="8:20" x14ac:dyDescent="0.35">
      <c r="H19189" s="711"/>
      <c r="I19189" s="711"/>
      <c r="J19189" s="711"/>
      <c r="K19189" s="711"/>
      <c r="L19189" s="711"/>
      <c r="Q19189" s="11"/>
      <c r="R19189" s="11"/>
      <c r="S19189" s="11"/>
      <c r="T19189" s="11"/>
    </row>
    <row r="19190" spans="8:20" x14ac:dyDescent="0.35">
      <c r="H19190" s="711"/>
      <c r="I19190" s="711"/>
      <c r="J19190" s="711"/>
      <c r="K19190" s="711"/>
      <c r="L19190" s="711"/>
      <c r="Q19190" s="11"/>
      <c r="R19190" s="11"/>
      <c r="S19190" s="11"/>
      <c r="T19190" s="11"/>
    </row>
    <row r="19191" spans="8:20" x14ac:dyDescent="0.35">
      <c r="H19191" s="711"/>
      <c r="I19191" s="711"/>
      <c r="J19191" s="711"/>
      <c r="K19191" s="711"/>
      <c r="L19191" s="711"/>
      <c r="Q19191" s="11"/>
      <c r="R19191" s="11"/>
      <c r="S19191" s="11"/>
      <c r="T19191" s="11"/>
    </row>
    <row r="19192" spans="8:20" x14ac:dyDescent="0.35">
      <c r="H19192" s="711"/>
      <c r="I19192" s="711"/>
      <c r="J19192" s="711"/>
      <c r="K19192" s="711"/>
      <c r="L19192" s="711"/>
      <c r="Q19192" s="11"/>
      <c r="R19192" s="11"/>
      <c r="S19192" s="11"/>
      <c r="T19192" s="11"/>
    </row>
    <row r="19193" spans="8:20" x14ac:dyDescent="0.35">
      <c r="H19193" s="711"/>
      <c r="I19193" s="711"/>
      <c r="J19193" s="711"/>
      <c r="K19193" s="711"/>
      <c r="L19193" s="711"/>
      <c r="Q19193" s="11"/>
      <c r="R19193" s="11"/>
      <c r="S19193" s="11"/>
      <c r="T19193" s="11"/>
    </row>
    <row r="19194" spans="8:20" x14ac:dyDescent="0.35">
      <c r="H19194" s="711"/>
      <c r="I19194" s="711"/>
      <c r="J19194" s="711"/>
      <c r="K19194" s="711"/>
      <c r="L19194" s="711"/>
      <c r="Q19194" s="11"/>
      <c r="R19194" s="11"/>
      <c r="S19194" s="11"/>
      <c r="T19194" s="11"/>
    </row>
    <row r="19195" spans="8:20" x14ac:dyDescent="0.35">
      <c r="H19195" s="711"/>
      <c r="I19195" s="711"/>
      <c r="J19195" s="711"/>
      <c r="K19195" s="711"/>
      <c r="L19195" s="711"/>
      <c r="Q19195" s="11"/>
      <c r="R19195" s="11"/>
      <c r="S19195" s="11"/>
      <c r="T19195" s="11"/>
    </row>
    <row r="19196" spans="8:20" x14ac:dyDescent="0.35">
      <c r="H19196" s="711"/>
      <c r="I19196" s="711"/>
      <c r="J19196" s="711"/>
      <c r="K19196" s="711"/>
      <c r="L19196" s="711"/>
      <c r="Q19196" s="11"/>
      <c r="R19196" s="11"/>
      <c r="S19196" s="11"/>
      <c r="T19196" s="11"/>
    </row>
    <row r="19197" spans="8:20" x14ac:dyDescent="0.35">
      <c r="H19197" s="711"/>
      <c r="I19197" s="711"/>
      <c r="J19197" s="711"/>
      <c r="K19197" s="711"/>
      <c r="L19197" s="711"/>
      <c r="Q19197" s="11"/>
      <c r="R19197" s="11"/>
      <c r="S19197" s="11"/>
      <c r="T19197" s="11"/>
    </row>
    <row r="19198" spans="8:20" x14ac:dyDescent="0.35">
      <c r="H19198" s="711"/>
      <c r="I19198" s="711"/>
      <c r="J19198" s="711"/>
      <c r="K19198" s="711"/>
      <c r="L19198" s="711"/>
      <c r="Q19198" s="11"/>
      <c r="R19198" s="11"/>
      <c r="S19198" s="11"/>
      <c r="T19198" s="11"/>
    </row>
    <row r="19199" spans="8:20" x14ac:dyDescent="0.35">
      <c r="H19199" s="711"/>
      <c r="I19199" s="711"/>
      <c r="J19199" s="711"/>
      <c r="K19199" s="711"/>
      <c r="L19199" s="711"/>
      <c r="Q19199" s="11"/>
      <c r="R19199" s="11"/>
      <c r="S19199" s="11"/>
      <c r="T19199" s="11"/>
    </row>
    <row r="19200" spans="8:20" x14ac:dyDescent="0.35">
      <c r="H19200" s="711"/>
      <c r="I19200" s="711"/>
      <c r="J19200" s="711"/>
      <c r="K19200" s="711"/>
      <c r="L19200" s="711"/>
      <c r="Q19200" s="11"/>
      <c r="R19200" s="11"/>
      <c r="S19200" s="11"/>
      <c r="T19200" s="11"/>
    </row>
    <row r="19201" spans="8:20" x14ac:dyDescent="0.35">
      <c r="H19201" s="711"/>
      <c r="I19201" s="711"/>
      <c r="J19201" s="711"/>
      <c r="K19201" s="711"/>
      <c r="L19201" s="711"/>
      <c r="Q19201" s="11"/>
      <c r="R19201" s="11"/>
      <c r="S19201" s="11"/>
      <c r="T19201" s="11"/>
    </row>
    <row r="19202" spans="8:20" x14ac:dyDescent="0.35">
      <c r="H19202" s="711"/>
      <c r="I19202" s="711"/>
      <c r="J19202" s="711"/>
      <c r="K19202" s="711"/>
      <c r="L19202" s="711"/>
      <c r="Q19202" s="11"/>
      <c r="R19202" s="11"/>
      <c r="S19202" s="11"/>
      <c r="T19202" s="11"/>
    </row>
    <row r="19203" spans="8:20" x14ac:dyDescent="0.35">
      <c r="H19203" s="711"/>
      <c r="I19203" s="711"/>
      <c r="J19203" s="711"/>
      <c r="K19203" s="711"/>
      <c r="L19203" s="711"/>
      <c r="Q19203" s="11"/>
      <c r="R19203" s="11"/>
      <c r="S19203" s="11"/>
      <c r="T19203" s="11"/>
    </row>
    <row r="19204" spans="8:20" x14ac:dyDescent="0.35">
      <c r="H19204" s="711"/>
      <c r="I19204" s="711"/>
      <c r="J19204" s="711"/>
      <c r="K19204" s="711"/>
      <c r="L19204" s="711"/>
      <c r="Q19204" s="11"/>
      <c r="R19204" s="11"/>
      <c r="S19204" s="11"/>
      <c r="T19204" s="11"/>
    </row>
    <row r="19205" spans="8:20" x14ac:dyDescent="0.35">
      <c r="H19205" s="711"/>
      <c r="I19205" s="711"/>
      <c r="J19205" s="711"/>
      <c r="K19205" s="711"/>
      <c r="L19205" s="711"/>
      <c r="Q19205" s="11"/>
      <c r="R19205" s="11"/>
      <c r="S19205" s="11"/>
      <c r="T19205" s="11"/>
    </row>
    <row r="19206" spans="8:20" x14ac:dyDescent="0.35">
      <c r="H19206" s="711"/>
      <c r="I19206" s="711"/>
      <c r="J19206" s="711"/>
      <c r="K19206" s="711"/>
      <c r="L19206" s="711"/>
      <c r="Q19206" s="11"/>
      <c r="R19206" s="11"/>
      <c r="S19206" s="11"/>
      <c r="T19206" s="11"/>
    </row>
    <row r="19207" spans="8:20" x14ac:dyDescent="0.35">
      <c r="H19207" s="711"/>
      <c r="I19207" s="711"/>
      <c r="J19207" s="711"/>
      <c r="K19207" s="711"/>
      <c r="L19207" s="711"/>
      <c r="Q19207" s="11"/>
      <c r="R19207" s="11"/>
      <c r="S19207" s="11"/>
      <c r="T19207" s="11"/>
    </row>
    <row r="19208" spans="8:20" x14ac:dyDescent="0.35">
      <c r="H19208" s="711"/>
      <c r="I19208" s="711"/>
      <c r="J19208" s="711"/>
      <c r="K19208" s="711"/>
      <c r="L19208" s="711"/>
      <c r="Q19208" s="11"/>
      <c r="R19208" s="11"/>
      <c r="S19208" s="11"/>
      <c r="T19208" s="11"/>
    </row>
    <row r="19209" spans="8:20" x14ac:dyDescent="0.35">
      <c r="H19209" s="711"/>
      <c r="I19209" s="711"/>
      <c r="J19209" s="711"/>
      <c r="K19209" s="711"/>
      <c r="L19209" s="711"/>
      <c r="Q19209" s="11"/>
      <c r="R19209" s="11"/>
      <c r="S19209" s="11"/>
      <c r="T19209" s="11"/>
    </row>
    <row r="19210" spans="8:20" x14ac:dyDescent="0.35">
      <c r="H19210" s="711"/>
      <c r="I19210" s="711"/>
      <c r="J19210" s="711"/>
      <c r="K19210" s="711"/>
      <c r="L19210" s="711"/>
      <c r="Q19210" s="11"/>
      <c r="R19210" s="11"/>
      <c r="S19210" s="11"/>
      <c r="T19210" s="11"/>
    </row>
    <row r="19211" spans="8:20" x14ac:dyDescent="0.35">
      <c r="H19211" s="711"/>
      <c r="I19211" s="711"/>
      <c r="J19211" s="711"/>
      <c r="K19211" s="711"/>
      <c r="L19211" s="711"/>
      <c r="Q19211" s="11"/>
      <c r="R19211" s="11"/>
      <c r="S19211" s="11"/>
      <c r="T19211" s="11"/>
    </row>
    <row r="19212" spans="8:20" x14ac:dyDescent="0.35">
      <c r="H19212" s="711"/>
      <c r="I19212" s="711"/>
      <c r="J19212" s="711"/>
      <c r="K19212" s="711"/>
      <c r="L19212" s="711"/>
      <c r="Q19212" s="11"/>
      <c r="R19212" s="11"/>
      <c r="S19212" s="11"/>
      <c r="T19212" s="11"/>
    </row>
    <row r="19213" spans="8:20" x14ac:dyDescent="0.35">
      <c r="H19213" s="711"/>
      <c r="I19213" s="711"/>
      <c r="J19213" s="711"/>
      <c r="K19213" s="711"/>
      <c r="L19213" s="711"/>
      <c r="Q19213" s="11"/>
      <c r="R19213" s="11"/>
      <c r="S19213" s="11"/>
      <c r="T19213" s="11"/>
    </row>
    <row r="19214" spans="8:20" x14ac:dyDescent="0.35">
      <c r="H19214" s="711"/>
      <c r="I19214" s="711"/>
      <c r="J19214" s="711"/>
      <c r="K19214" s="711"/>
      <c r="L19214" s="711"/>
      <c r="Q19214" s="11"/>
      <c r="R19214" s="11"/>
      <c r="S19214" s="11"/>
      <c r="T19214" s="11"/>
    </row>
    <row r="19215" spans="8:20" x14ac:dyDescent="0.35">
      <c r="H19215" s="711"/>
      <c r="I19215" s="711"/>
      <c r="J19215" s="711"/>
      <c r="K19215" s="711"/>
      <c r="L19215" s="711"/>
      <c r="Q19215" s="11"/>
      <c r="R19215" s="11"/>
      <c r="S19215" s="11"/>
      <c r="T19215" s="11"/>
    </row>
    <row r="19216" spans="8:20" x14ac:dyDescent="0.35">
      <c r="H19216" s="711"/>
      <c r="I19216" s="711"/>
      <c r="J19216" s="711"/>
      <c r="K19216" s="711"/>
      <c r="L19216" s="711"/>
      <c r="Q19216" s="11"/>
      <c r="R19216" s="11"/>
      <c r="S19216" s="11"/>
      <c r="T19216" s="11"/>
    </row>
    <row r="19217" spans="8:20" x14ac:dyDescent="0.35">
      <c r="H19217" s="711"/>
      <c r="I19217" s="711"/>
      <c r="J19217" s="711"/>
      <c r="K19217" s="711"/>
      <c r="L19217" s="711"/>
      <c r="Q19217" s="11"/>
      <c r="R19217" s="11"/>
      <c r="S19217" s="11"/>
      <c r="T19217" s="11"/>
    </row>
    <row r="19218" spans="8:20" x14ac:dyDescent="0.35">
      <c r="H19218" s="711"/>
      <c r="I19218" s="711"/>
      <c r="J19218" s="711"/>
      <c r="K19218" s="711"/>
      <c r="L19218" s="711"/>
      <c r="Q19218" s="11"/>
      <c r="R19218" s="11"/>
      <c r="S19218" s="11"/>
      <c r="T19218" s="11"/>
    </row>
    <row r="19219" spans="8:20" x14ac:dyDescent="0.35">
      <c r="H19219" s="711"/>
      <c r="I19219" s="711"/>
      <c r="J19219" s="711"/>
      <c r="K19219" s="711"/>
      <c r="L19219" s="711"/>
      <c r="Q19219" s="11"/>
      <c r="R19219" s="11"/>
      <c r="S19219" s="11"/>
      <c r="T19219" s="11"/>
    </row>
    <row r="19220" spans="8:20" x14ac:dyDescent="0.35">
      <c r="H19220" s="711"/>
      <c r="I19220" s="711"/>
      <c r="J19220" s="711"/>
      <c r="K19220" s="711"/>
      <c r="L19220" s="711"/>
      <c r="Q19220" s="11"/>
      <c r="R19220" s="11"/>
      <c r="S19220" s="11"/>
      <c r="T19220" s="11"/>
    </row>
    <row r="19221" spans="8:20" x14ac:dyDescent="0.35">
      <c r="H19221" s="711"/>
      <c r="I19221" s="711"/>
      <c r="J19221" s="711"/>
      <c r="K19221" s="711"/>
      <c r="L19221" s="711"/>
      <c r="Q19221" s="11"/>
      <c r="R19221" s="11"/>
      <c r="S19221" s="11"/>
      <c r="T19221" s="11"/>
    </row>
    <row r="19222" spans="8:20" x14ac:dyDescent="0.35">
      <c r="H19222" s="711"/>
      <c r="I19222" s="711"/>
      <c r="J19222" s="711"/>
      <c r="K19222" s="711"/>
      <c r="L19222" s="711"/>
      <c r="Q19222" s="11"/>
      <c r="R19222" s="11"/>
      <c r="S19222" s="11"/>
      <c r="T19222" s="11"/>
    </row>
    <row r="19223" spans="8:20" x14ac:dyDescent="0.35">
      <c r="H19223" s="711"/>
      <c r="I19223" s="711"/>
      <c r="J19223" s="711"/>
      <c r="K19223" s="711"/>
      <c r="L19223" s="711"/>
      <c r="Q19223" s="11"/>
      <c r="R19223" s="11"/>
      <c r="S19223" s="11"/>
      <c r="T19223" s="11"/>
    </row>
    <row r="19224" spans="8:20" x14ac:dyDescent="0.35">
      <c r="H19224" s="711"/>
      <c r="I19224" s="711"/>
      <c r="J19224" s="711"/>
      <c r="K19224" s="711"/>
      <c r="L19224" s="711"/>
      <c r="Q19224" s="11"/>
      <c r="R19224" s="11"/>
      <c r="S19224" s="11"/>
      <c r="T19224" s="11"/>
    </row>
    <row r="19225" spans="8:20" x14ac:dyDescent="0.35">
      <c r="H19225" s="711"/>
      <c r="I19225" s="711"/>
      <c r="J19225" s="711"/>
      <c r="K19225" s="711"/>
      <c r="L19225" s="711"/>
      <c r="Q19225" s="11"/>
      <c r="R19225" s="11"/>
      <c r="S19225" s="11"/>
      <c r="T19225" s="11"/>
    </row>
    <row r="19226" spans="8:20" x14ac:dyDescent="0.35">
      <c r="H19226" s="711"/>
      <c r="I19226" s="711"/>
      <c r="J19226" s="711"/>
      <c r="K19226" s="711"/>
      <c r="L19226" s="711"/>
      <c r="Q19226" s="11"/>
      <c r="R19226" s="11"/>
      <c r="S19226" s="11"/>
      <c r="T19226" s="11"/>
    </row>
    <row r="19227" spans="8:20" x14ac:dyDescent="0.35">
      <c r="H19227" s="711"/>
      <c r="I19227" s="711"/>
      <c r="J19227" s="711"/>
      <c r="K19227" s="711"/>
      <c r="L19227" s="711"/>
      <c r="Q19227" s="11"/>
      <c r="R19227" s="11"/>
      <c r="S19227" s="11"/>
      <c r="T19227" s="11"/>
    </row>
    <row r="19228" spans="8:20" x14ac:dyDescent="0.35">
      <c r="H19228" s="711"/>
      <c r="I19228" s="711"/>
      <c r="J19228" s="711"/>
      <c r="K19228" s="711"/>
      <c r="L19228" s="711"/>
      <c r="Q19228" s="11"/>
      <c r="R19228" s="11"/>
      <c r="S19228" s="11"/>
      <c r="T19228" s="11"/>
    </row>
    <row r="19229" spans="8:20" x14ac:dyDescent="0.35">
      <c r="H19229" s="711"/>
      <c r="I19229" s="711"/>
      <c r="J19229" s="711"/>
      <c r="K19229" s="711"/>
      <c r="L19229" s="711"/>
      <c r="Q19229" s="11"/>
      <c r="R19229" s="11"/>
      <c r="S19229" s="11"/>
      <c r="T19229" s="11"/>
    </row>
    <row r="19230" spans="8:20" x14ac:dyDescent="0.35">
      <c r="H19230" s="711"/>
      <c r="I19230" s="711"/>
      <c r="J19230" s="711"/>
      <c r="K19230" s="711"/>
      <c r="L19230" s="711"/>
      <c r="Q19230" s="11"/>
      <c r="R19230" s="11"/>
      <c r="S19230" s="11"/>
      <c r="T19230" s="11"/>
    </row>
    <row r="19231" spans="8:20" x14ac:dyDescent="0.35">
      <c r="H19231" s="711"/>
      <c r="I19231" s="711"/>
      <c r="J19231" s="711"/>
      <c r="K19231" s="711"/>
      <c r="L19231" s="711"/>
      <c r="Q19231" s="11"/>
      <c r="R19231" s="11"/>
      <c r="S19231" s="11"/>
      <c r="T19231" s="11"/>
    </row>
    <row r="19232" spans="8:20" x14ac:dyDescent="0.35">
      <c r="H19232" s="711"/>
      <c r="I19232" s="711"/>
      <c r="J19232" s="711"/>
      <c r="K19232" s="711"/>
      <c r="L19232" s="711"/>
      <c r="Q19232" s="11"/>
      <c r="R19232" s="11"/>
      <c r="S19232" s="11"/>
      <c r="T19232" s="11"/>
    </row>
    <row r="19233" spans="8:20" x14ac:dyDescent="0.35">
      <c r="H19233" s="711"/>
      <c r="I19233" s="711"/>
      <c r="J19233" s="711"/>
      <c r="K19233" s="711"/>
      <c r="L19233" s="711"/>
      <c r="Q19233" s="11"/>
      <c r="R19233" s="11"/>
      <c r="S19233" s="11"/>
      <c r="T19233" s="11"/>
    </row>
    <row r="19234" spans="8:20" x14ac:dyDescent="0.35">
      <c r="H19234" s="711"/>
      <c r="I19234" s="711"/>
      <c r="J19234" s="711"/>
      <c r="K19234" s="711"/>
      <c r="L19234" s="711"/>
      <c r="Q19234" s="11"/>
      <c r="R19234" s="11"/>
      <c r="S19234" s="11"/>
      <c r="T19234" s="11"/>
    </row>
    <row r="19235" spans="8:20" x14ac:dyDescent="0.35">
      <c r="H19235" s="711"/>
      <c r="I19235" s="711"/>
      <c r="J19235" s="711"/>
      <c r="K19235" s="711"/>
      <c r="L19235" s="711"/>
      <c r="Q19235" s="11"/>
      <c r="R19235" s="11"/>
      <c r="S19235" s="11"/>
      <c r="T19235" s="11"/>
    </row>
    <row r="19236" spans="8:20" x14ac:dyDescent="0.35">
      <c r="H19236" s="711"/>
      <c r="I19236" s="711"/>
      <c r="J19236" s="711"/>
      <c r="K19236" s="711"/>
      <c r="L19236" s="711"/>
      <c r="Q19236" s="11"/>
      <c r="R19236" s="11"/>
      <c r="S19236" s="11"/>
      <c r="T19236" s="11"/>
    </row>
    <row r="19237" spans="8:20" x14ac:dyDescent="0.35">
      <c r="H19237" s="711"/>
      <c r="I19237" s="711"/>
      <c r="J19237" s="711"/>
      <c r="K19237" s="711"/>
      <c r="L19237" s="711"/>
      <c r="Q19237" s="11"/>
      <c r="R19237" s="11"/>
      <c r="S19237" s="11"/>
      <c r="T19237" s="11"/>
    </row>
    <row r="19238" spans="8:20" x14ac:dyDescent="0.35">
      <c r="H19238" s="711"/>
      <c r="I19238" s="711"/>
      <c r="J19238" s="711"/>
      <c r="K19238" s="711"/>
      <c r="L19238" s="711"/>
      <c r="Q19238" s="11"/>
      <c r="R19238" s="11"/>
      <c r="S19238" s="11"/>
      <c r="T19238" s="11"/>
    </row>
    <row r="19239" spans="8:20" x14ac:dyDescent="0.35">
      <c r="H19239" s="711"/>
      <c r="I19239" s="711"/>
      <c r="J19239" s="711"/>
      <c r="K19239" s="711"/>
      <c r="L19239" s="711"/>
      <c r="Q19239" s="11"/>
      <c r="R19239" s="11"/>
      <c r="S19239" s="11"/>
      <c r="T19239" s="11"/>
    </row>
    <row r="19240" spans="8:20" x14ac:dyDescent="0.35">
      <c r="H19240" s="711"/>
      <c r="I19240" s="711"/>
      <c r="J19240" s="711"/>
      <c r="K19240" s="711"/>
      <c r="L19240" s="711"/>
      <c r="Q19240" s="11"/>
      <c r="R19240" s="11"/>
      <c r="S19240" s="11"/>
      <c r="T19240" s="11"/>
    </row>
    <row r="19241" spans="8:20" x14ac:dyDescent="0.35">
      <c r="H19241" s="711"/>
      <c r="I19241" s="711"/>
      <c r="J19241" s="711"/>
      <c r="K19241" s="711"/>
      <c r="L19241" s="711"/>
      <c r="Q19241" s="11"/>
      <c r="R19241" s="11"/>
      <c r="S19241" s="11"/>
      <c r="T19241" s="11"/>
    </row>
    <row r="19242" spans="8:20" x14ac:dyDescent="0.35">
      <c r="H19242" s="711"/>
      <c r="I19242" s="711"/>
      <c r="J19242" s="711"/>
      <c r="K19242" s="711"/>
      <c r="L19242" s="711"/>
      <c r="Q19242" s="11"/>
      <c r="R19242" s="11"/>
      <c r="S19242" s="11"/>
      <c r="T19242" s="11"/>
    </row>
    <row r="19243" spans="8:20" x14ac:dyDescent="0.35">
      <c r="H19243" s="711"/>
      <c r="I19243" s="711"/>
      <c r="J19243" s="711"/>
      <c r="K19243" s="711"/>
      <c r="L19243" s="711"/>
      <c r="Q19243" s="11"/>
      <c r="R19243" s="11"/>
      <c r="S19243" s="11"/>
      <c r="T19243" s="11"/>
    </row>
    <row r="19244" spans="8:20" x14ac:dyDescent="0.35">
      <c r="H19244" s="711"/>
      <c r="I19244" s="711"/>
      <c r="J19244" s="711"/>
      <c r="K19244" s="711"/>
      <c r="L19244" s="711"/>
      <c r="Q19244" s="11"/>
      <c r="R19244" s="11"/>
      <c r="S19244" s="11"/>
      <c r="T19244" s="11"/>
    </row>
    <row r="19245" spans="8:20" x14ac:dyDescent="0.35">
      <c r="H19245" s="711"/>
      <c r="I19245" s="711"/>
      <c r="J19245" s="711"/>
      <c r="K19245" s="711"/>
      <c r="L19245" s="711"/>
      <c r="Q19245" s="11"/>
      <c r="R19245" s="11"/>
      <c r="S19245" s="11"/>
      <c r="T19245" s="11"/>
    </row>
    <row r="19246" spans="8:20" x14ac:dyDescent="0.35">
      <c r="H19246" s="711"/>
      <c r="I19246" s="711"/>
      <c r="J19246" s="711"/>
      <c r="K19246" s="711"/>
      <c r="L19246" s="711"/>
      <c r="Q19246" s="11"/>
      <c r="R19246" s="11"/>
      <c r="S19246" s="11"/>
      <c r="T19246" s="11"/>
    </row>
    <row r="19247" spans="8:20" x14ac:dyDescent="0.35">
      <c r="H19247" s="711"/>
      <c r="I19247" s="711"/>
      <c r="J19247" s="711"/>
      <c r="K19247" s="711"/>
      <c r="L19247" s="711"/>
      <c r="Q19247" s="11"/>
      <c r="R19247" s="11"/>
      <c r="S19247" s="11"/>
      <c r="T19247" s="11"/>
    </row>
    <row r="19248" spans="8:20" x14ac:dyDescent="0.35">
      <c r="H19248" s="711"/>
      <c r="I19248" s="711"/>
      <c r="J19248" s="711"/>
      <c r="K19248" s="711"/>
      <c r="L19248" s="711"/>
      <c r="Q19248" s="11"/>
      <c r="R19248" s="11"/>
      <c r="S19248" s="11"/>
      <c r="T19248" s="11"/>
    </row>
    <row r="19249" spans="8:20" x14ac:dyDescent="0.35">
      <c r="H19249" s="711"/>
      <c r="I19249" s="711"/>
      <c r="J19249" s="711"/>
      <c r="K19249" s="711"/>
      <c r="L19249" s="711"/>
      <c r="Q19249" s="11"/>
      <c r="R19249" s="11"/>
      <c r="S19249" s="11"/>
      <c r="T19249" s="11"/>
    </row>
    <row r="19250" spans="8:20" x14ac:dyDescent="0.35">
      <c r="H19250" s="711"/>
      <c r="I19250" s="711"/>
      <c r="J19250" s="711"/>
      <c r="K19250" s="711"/>
      <c r="L19250" s="711"/>
      <c r="Q19250" s="11"/>
      <c r="R19250" s="11"/>
      <c r="S19250" s="11"/>
      <c r="T19250" s="11"/>
    </row>
    <row r="19251" spans="8:20" x14ac:dyDescent="0.35">
      <c r="H19251" s="711"/>
      <c r="I19251" s="711"/>
      <c r="J19251" s="711"/>
      <c r="K19251" s="711"/>
      <c r="L19251" s="711"/>
      <c r="Q19251" s="11"/>
      <c r="R19251" s="11"/>
      <c r="S19251" s="11"/>
      <c r="T19251" s="11"/>
    </row>
    <row r="19252" spans="8:20" x14ac:dyDescent="0.35">
      <c r="H19252" s="711"/>
      <c r="I19252" s="711"/>
      <c r="J19252" s="711"/>
      <c r="K19252" s="711"/>
      <c r="L19252" s="711"/>
      <c r="Q19252" s="11"/>
      <c r="R19252" s="11"/>
      <c r="S19252" s="11"/>
      <c r="T19252" s="11"/>
    </row>
    <row r="19253" spans="8:20" x14ac:dyDescent="0.35">
      <c r="H19253" s="711"/>
      <c r="I19253" s="711"/>
      <c r="J19253" s="711"/>
      <c r="K19253" s="711"/>
      <c r="L19253" s="711"/>
      <c r="Q19253" s="11"/>
      <c r="R19253" s="11"/>
      <c r="S19253" s="11"/>
      <c r="T19253" s="11"/>
    </row>
    <row r="19254" spans="8:20" x14ac:dyDescent="0.35">
      <c r="H19254" s="711"/>
      <c r="I19254" s="711"/>
      <c r="J19254" s="711"/>
      <c r="K19254" s="711"/>
      <c r="L19254" s="711"/>
      <c r="Q19254" s="11"/>
      <c r="R19254" s="11"/>
      <c r="S19254" s="11"/>
      <c r="T19254" s="11"/>
    </row>
    <row r="19255" spans="8:20" x14ac:dyDescent="0.35">
      <c r="H19255" s="711"/>
      <c r="I19255" s="711"/>
      <c r="J19255" s="711"/>
      <c r="K19255" s="711"/>
      <c r="L19255" s="711"/>
      <c r="Q19255" s="11"/>
      <c r="R19255" s="11"/>
      <c r="S19255" s="11"/>
      <c r="T19255" s="11"/>
    </row>
    <row r="19256" spans="8:20" x14ac:dyDescent="0.35">
      <c r="H19256" s="711"/>
      <c r="I19256" s="711"/>
      <c r="J19256" s="711"/>
      <c r="K19256" s="711"/>
      <c r="L19256" s="711"/>
      <c r="Q19256" s="11"/>
      <c r="R19256" s="11"/>
      <c r="S19256" s="11"/>
      <c r="T19256" s="11"/>
    </row>
    <row r="19257" spans="8:20" x14ac:dyDescent="0.35">
      <c r="H19257" s="711"/>
      <c r="I19257" s="711"/>
      <c r="J19257" s="711"/>
      <c r="K19257" s="711"/>
      <c r="L19257" s="711"/>
      <c r="Q19257" s="11"/>
      <c r="R19257" s="11"/>
      <c r="S19257" s="11"/>
      <c r="T19257" s="11"/>
    </row>
    <row r="19258" spans="8:20" x14ac:dyDescent="0.35">
      <c r="H19258" s="711"/>
      <c r="I19258" s="711"/>
      <c r="J19258" s="711"/>
      <c r="K19258" s="711"/>
      <c r="L19258" s="711"/>
      <c r="Q19258" s="11"/>
      <c r="R19258" s="11"/>
      <c r="S19258" s="11"/>
      <c r="T19258" s="11"/>
    </row>
    <row r="19259" spans="8:20" x14ac:dyDescent="0.35">
      <c r="H19259" s="711"/>
      <c r="I19259" s="711"/>
      <c r="J19259" s="711"/>
      <c r="K19259" s="711"/>
      <c r="L19259" s="711"/>
      <c r="Q19259" s="11"/>
      <c r="R19259" s="11"/>
      <c r="S19259" s="11"/>
      <c r="T19259" s="11"/>
    </row>
    <row r="19260" spans="8:20" x14ac:dyDescent="0.35">
      <c r="H19260" s="711"/>
      <c r="I19260" s="711"/>
      <c r="J19260" s="711"/>
      <c r="K19260" s="711"/>
      <c r="L19260" s="711"/>
      <c r="Q19260" s="11"/>
      <c r="R19260" s="11"/>
      <c r="S19260" s="11"/>
      <c r="T19260" s="11"/>
    </row>
    <row r="19261" spans="8:20" x14ac:dyDescent="0.35">
      <c r="H19261" s="711"/>
      <c r="I19261" s="711"/>
      <c r="J19261" s="711"/>
      <c r="K19261" s="711"/>
      <c r="L19261" s="711"/>
      <c r="Q19261" s="11"/>
      <c r="R19261" s="11"/>
      <c r="S19261" s="11"/>
      <c r="T19261" s="11"/>
    </row>
    <row r="19262" spans="8:20" x14ac:dyDescent="0.35">
      <c r="H19262" s="711"/>
      <c r="I19262" s="711"/>
      <c r="J19262" s="711"/>
      <c r="K19262" s="711"/>
      <c r="L19262" s="711"/>
      <c r="Q19262" s="11"/>
      <c r="R19262" s="11"/>
      <c r="S19262" s="11"/>
      <c r="T19262" s="11"/>
    </row>
    <row r="19263" spans="8:20" x14ac:dyDescent="0.35">
      <c r="H19263" s="711"/>
      <c r="I19263" s="711"/>
      <c r="J19263" s="711"/>
      <c r="K19263" s="711"/>
      <c r="L19263" s="711"/>
      <c r="Q19263" s="11"/>
      <c r="R19263" s="11"/>
      <c r="S19263" s="11"/>
      <c r="T19263" s="11"/>
    </row>
    <row r="19264" spans="8:20" x14ac:dyDescent="0.35">
      <c r="H19264" s="711"/>
      <c r="I19264" s="711"/>
      <c r="J19264" s="711"/>
      <c r="K19264" s="711"/>
      <c r="L19264" s="711"/>
      <c r="Q19264" s="11"/>
      <c r="R19264" s="11"/>
      <c r="S19264" s="11"/>
      <c r="T19264" s="11"/>
    </row>
    <row r="19265" spans="8:20" x14ac:dyDescent="0.35">
      <c r="H19265" s="711"/>
      <c r="I19265" s="711"/>
      <c r="J19265" s="711"/>
      <c r="K19265" s="711"/>
      <c r="L19265" s="711"/>
      <c r="Q19265" s="11"/>
      <c r="R19265" s="11"/>
      <c r="S19265" s="11"/>
      <c r="T19265" s="11"/>
    </row>
    <row r="19266" spans="8:20" x14ac:dyDescent="0.35">
      <c r="H19266" s="711"/>
      <c r="I19266" s="711"/>
      <c r="J19266" s="711"/>
      <c r="K19266" s="711"/>
      <c r="L19266" s="711"/>
      <c r="Q19266" s="11"/>
      <c r="R19266" s="11"/>
      <c r="S19266" s="11"/>
      <c r="T19266" s="11"/>
    </row>
    <row r="19267" spans="8:20" x14ac:dyDescent="0.35">
      <c r="H19267" s="711"/>
      <c r="I19267" s="711"/>
      <c r="J19267" s="711"/>
      <c r="K19267" s="711"/>
      <c r="L19267" s="711"/>
      <c r="Q19267" s="11"/>
      <c r="R19267" s="11"/>
      <c r="S19267" s="11"/>
      <c r="T19267" s="11"/>
    </row>
    <row r="19268" spans="8:20" x14ac:dyDescent="0.35">
      <c r="H19268" s="711"/>
      <c r="I19268" s="711"/>
      <c r="J19268" s="711"/>
      <c r="K19268" s="711"/>
      <c r="L19268" s="711"/>
      <c r="Q19268" s="11"/>
      <c r="R19268" s="11"/>
      <c r="S19268" s="11"/>
      <c r="T19268" s="11"/>
    </row>
    <row r="19269" spans="8:20" x14ac:dyDescent="0.35">
      <c r="H19269" s="711"/>
      <c r="I19269" s="711"/>
      <c r="J19269" s="711"/>
      <c r="K19269" s="711"/>
      <c r="L19269" s="711"/>
      <c r="Q19269" s="11"/>
      <c r="R19269" s="11"/>
      <c r="S19269" s="11"/>
      <c r="T19269" s="11"/>
    </row>
    <row r="19270" spans="8:20" x14ac:dyDescent="0.35">
      <c r="H19270" s="711"/>
      <c r="I19270" s="711"/>
      <c r="J19270" s="711"/>
      <c r="K19270" s="711"/>
      <c r="L19270" s="711"/>
      <c r="Q19270" s="11"/>
      <c r="R19270" s="11"/>
      <c r="S19270" s="11"/>
      <c r="T19270" s="11"/>
    </row>
    <row r="19271" spans="8:20" x14ac:dyDescent="0.35">
      <c r="H19271" s="711"/>
      <c r="I19271" s="711"/>
      <c r="J19271" s="711"/>
      <c r="K19271" s="711"/>
      <c r="L19271" s="711"/>
      <c r="Q19271" s="11"/>
      <c r="R19271" s="11"/>
      <c r="S19271" s="11"/>
      <c r="T19271" s="11"/>
    </row>
    <row r="19272" spans="8:20" x14ac:dyDescent="0.35">
      <c r="H19272" s="711"/>
      <c r="I19272" s="711"/>
      <c r="J19272" s="711"/>
      <c r="K19272" s="711"/>
      <c r="L19272" s="711"/>
      <c r="Q19272" s="11"/>
      <c r="R19272" s="11"/>
      <c r="S19272" s="11"/>
      <c r="T19272" s="11"/>
    </row>
    <row r="19273" spans="8:20" x14ac:dyDescent="0.35">
      <c r="H19273" s="711"/>
      <c r="I19273" s="711"/>
      <c r="J19273" s="711"/>
      <c r="K19273" s="711"/>
      <c r="L19273" s="711"/>
      <c r="Q19273" s="11"/>
      <c r="R19273" s="11"/>
      <c r="S19273" s="11"/>
      <c r="T19273" s="11"/>
    </row>
    <row r="19274" spans="8:20" x14ac:dyDescent="0.35">
      <c r="H19274" s="711"/>
      <c r="I19274" s="711"/>
      <c r="J19274" s="711"/>
      <c r="K19274" s="711"/>
      <c r="L19274" s="711"/>
      <c r="Q19274" s="11"/>
      <c r="R19274" s="11"/>
      <c r="S19274" s="11"/>
      <c r="T19274" s="11"/>
    </row>
    <row r="19275" spans="8:20" x14ac:dyDescent="0.35">
      <c r="H19275" s="711"/>
      <c r="I19275" s="711"/>
      <c r="J19275" s="711"/>
      <c r="K19275" s="711"/>
      <c r="L19275" s="711"/>
      <c r="Q19275" s="11"/>
      <c r="R19275" s="11"/>
      <c r="S19275" s="11"/>
      <c r="T19275" s="11"/>
    </row>
    <row r="19276" spans="8:20" x14ac:dyDescent="0.35">
      <c r="H19276" s="711"/>
      <c r="I19276" s="711"/>
      <c r="J19276" s="711"/>
      <c r="K19276" s="711"/>
      <c r="L19276" s="711"/>
      <c r="Q19276" s="11"/>
      <c r="R19276" s="11"/>
      <c r="S19276" s="11"/>
      <c r="T19276" s="11"/>
    </row>
    <row r="19277" spans="8:20" x14ac:dyDescent="0.35">
      <c r="H19277" s="711"/>
      <c r="I19277" s="711"/>
      <c r="J19277" s="711"/>
      <c r="K19277" s="711"/>
      <c r="L19277" s="711"/>
      <c r="Q19277" s="11"/>
      <c r="R19277" s="11"/>
      <c r="S19277" s="11"/>
      <c r="T19277" s="11"/>
    </row>
    <row r="19278" spans="8:20" x14ac:dyDescent="0.35">
      <c r="H19278" s="711"/>
      <c r="I19278" s="711"/>
      <c r="J19278" s="711"/>
      <c r="K19278" s="711"/>
      <c r="L19278" s="711"/>
      <c r="Q19278" s="11"/>
      <c r="R19278" s="11"/>
      <c r="S19278" s="11"/>
      <c r="T19278" s="11"/>
    </row>
    <row r="19279" spans="8:20" x14ac:dyDescent="0.35">
      <c r="H19279" s="711"/>
      <c r="I19279" s="711"/>
      <c r="J19279" s="711"/>
      <c r="K19279" s="711"/>
      <c r="L19279" s="711"/>
      <c r="Q19279" s="11"/>
      <c r="R19279" s="11"/>
      <c r="S19279" s="11"/>
      <c r="T19279" s="11"/>
    </row>
    <row r="19280" spans="8:20" x14ac:dyDescent="0.35">
      <c r="H19280" s="711"/>
      <c r="I19280" s="711"/>
      <c r="J19280" s="711"/>
      <c r="K19280" s="711"/>
      <c r="L19280" s="711"/>
      <c r="Q19280" s="11"/>
      <c r="R19280" s="11"/>
      <c r="S19280" s="11"/>
      <c r="T19280" s="11"/>
    </row>
    <row r="19281" spans="8:20" x14ac:dyDescent="0.35">
      <c r="H19281" s="711"/>
      <c r="I19281" s="711"/>
      <c r="J19281" s="711"/>
      <c r="K19281" s="711"/>
      <c r="L19281" s="711"/>
      <c r="Q19281" s="11"/>
      <c r="R19281" s="11"/>
      <c r="S19281" s="11"/>
      <c r="T19281" s="11"/>
    </row>
    <row r="19282" spans="8:20" x14ac:dyDescent="0.35">
      <c r="H19282" s="711"/>
      <c r="I19282" s="711"/>
      <c r="J19282" s="711"/>
      <c r="K19282" s="711"/>
      <c r="L19282" s="711"/>
      <c r="Q19282" s="11"/>
      <c r="R19282" s="11"/>
      <c r="S19282" s="11"/>
      <c r="T19282" s="11"/>
    </row>
    <row r="19283" spans="8:20" x14ac:dyDescent="0.35">
      <c r="H19283" s="711"/>
      <c r="I19283" s="711"/>
      <c r="J19283" s="711"/>
      <c r="K19283" s="711"/>
      <c r="L19283" s="711"/>
      <c r="Q19283" s="11"/>
      <c r="R19283" s="11"/>
      <c r="S19283" s="11"/>
      <c r="T19283" s="11"/>
    </row>
    <row r="19284" spans="8:20" x14ac:dyDescent="0.35">
      <c r="H19284" s="711"/>
      <c r="I19284" s="711"/>
      <c r="J19284" s="711"/>
      <c r="K19284" s="711"/>
      <c r="L19284" s="711"/>
      <c r="Q19284" s="11"/>
      <c r="R19284" s="11"/>
      <c r="S19284" s="11"/>
      <c r="T19284" s="11"/>
    </row>
    <row r="19285" spans="8:20" x14ac:dyDescent="0.35">
      <c r="H19285" s="711"/>
      <c r="I19285" s="711"/>
      <c r="J19285" s="711"/>
      <c r="K19285" s="711"/>
      <c r="L19285" s="711"/>
      <c r="Q19285" s="11"/>
      <c r="R19285" s="11"/>
      <c r="S19285" s="11"/>
      <c r="T19285" s="11"/>
    </row>
    <row r="19286" spans="8:20" x14ac:dyDescent="0.35">
      <c r="H19286" s="711"/>
      <c r="I19286" s="711"/>
      <c r="J19286" s="711"/>
      <c r="K19286" s="711"/>
      <c r="L19286" s="711"/>
      <c r="Q19286" s="11"/>
      <c r="R19286" s="11"/>
      <c r="S19286" s="11"/>
      <c r="T19286" s="11"/>
    </row>
    <row r="19287" spans="8:20" x14ac:dyDescent="0.35">
      <c r="H19287" s="711"/>
      <c r="I19287" s="711"/>
      <c r="J19287" s="711"/>
      <c r="K19287" s="711"/>
      <c r="L19287" s="711"/>
      <c r="Q19287" s="11"/>
      <c r="R19287" s="11"/>
      <c r="S19287" s="11"/>
      <c r="T19287" s="11"/>
    </row>
    <row r="19288" spans="8:20" x14ac:dyDescent="0.35">
      <c r="H19288" s="711"/>
      <c r="I19288" s="711"/>
      <c r="J19288" s="711"/>
      <c r="K19288" s="711"/>
      <c r="L19288" s="711"/>
      <c r="Q19288" s="11"/>
      <c r="R19288" s="11"/>
      <c r="S19288" s="11"/>
      <c r="T19288" s="11"/>
    </row>
    <row r="19289" spans="8:20" x14ac:dyDescent="0.35">
      <c r="H19289" s="711"/>
      <c r="I19289" s="711"/>
      <c r="J19289" s="711"/>
      <c r="K19289" s="711"/>
      <c r="L19289" s="711"/>
      <c r="Q19289" s="11"/>
      <c r="R19289" s="11"/>
      <c r="S19289" s="11"/>
      <c r="T19289" s="11"/>
    </row>
    <row r="19290" spans="8:20" x14ac:dyDescent="0.35">
      <c r="H19290" s="711"/>
      <c r="I19290" s="711"/>
      <c r="J19290" s="711"/>
      <c r="K19290" s="711"/>
      <c r="L19290" s="711"/>
      <c r="Q19290" s="11"/>
      <c r="R19290" s="11"/>
      <c r="S19290" s="11"/>
      <c r="T19290" s="11"/>
    </row>
    <row r="19291" spans="8:20" x14ac:dyDescent="0.35">
      <c r="H19291" s="711"/>
      <c r="I19291" s="711"/>
      <c r="J19291" s="711"/>
      <c r="K19291" s="711"/>
      <c r="L19291" s="711"/>
      <c r="Q19291" s="11"/>
      <c r="R19291" s="11"/>
      <c r="S19291" s="11"/>
      <c r="T19291" s="11"/>
    </row>
    <row r="19292" spans="8:20" x14ac:dyDescent="0.35">
      <c r="H19292" s="711"/>
      <c r="I19292" s="711"/>
      <c r="J19292" s="711"/>
      <c r="K19292" s="711"/>
      <c r="L19292" s="711"/>
      <c r="Q19292" s="11"/>
      <c r="R19292" s="11"/>
      <c r="S19292" s="11"/>
      <c r="T19292" s="11"/>
    </row>
    <row r="19293" spans="8:20" x14ac:dyDescent="0.35">
      <c r="H19293" s="711"/>
      <c r="I19293" s="711"/>
      <c r="J19293" s="711"/>
      <c r="K19293" s="711"/>
      <c r="L19293" s="711"/>
      <c r="Q19293" s="11"/>
      <c r="R19293" s="11"/>
      <c r="S19293" s="11"/>
      <c r="T19293" s="11"/>
    </row>
    <row r="19294" spans="8:20" x14ac:dyDescent="0.35">
      <c r="H19294" s="711"/>
      <c r="I19294" s="711"/>
      <c r="J19294" s="711"/>
      <c r="K19294" s="711"/>
      <c r="L19294" s="711"/>
      <c r="Q19294" s="11"/>
      <c r="R19294" s="11"/>
      <c r="S19294" s="11"/>
      <c r="T19294" s="11"/>
    </row>
    <row r="19295" spans="8:20" x14ac:dyDescent="0.35">
      <c r="H19295" s="711"/>
      <c r="I19295" s="711"/>
      <c r="J19295" s="711"/>
      <c r="K19295" s="711"/>
      <c r="L19295" s="711"/>
      <c r="Q19295" s="11"/>
      <c r="R19295" s="11"/>
      <c r="S19295" s="11"/>
      <c r="T19295" s="11"/>
    </row>
    <row r="19296" spans="8:20" x14ac:dyDescent="0.35">
      <c r="H19296" s="711"/>
      <c r="I19296" s="711"/>
      <c r="J19296" s="711"/>
      <c r="K19296" s="711"/>
      <c r="L19296" s="711"/>
      <c r="Q19296" s="11"/>
      <c r="R19296" s="11"/>
      <c r="S19296" s="11"/>
      <c r="T19296" s="11"/>
    </row>
    <row r="19297" spans="8:20" x14ac:dyDescent="0.35">
      <c r="H19297" s="711"/>
      <c r="I19297" s="711"/>
      <c r="J19297" s="711"/>
      <c r="K19297" s="711"/>
      <c r="L19297" s="711"/>
      <c r="Q19297" s="11"/>
      <c r="R19297" s="11"/>
      <c r="S19297" s="11"/>
      <c r="T19297" s="11"/>
    </row>
    <row r="19298" spans="8:20" x14ac:dyDescent="0.35">
      <c r="H19298" s="711"/>
      <c r="I19298" s="711"/>
      <c r="J19298" s="711"/>
      <c r="K19298" s="711"/>
      <c r="L19298" s="711"/>
      <c r="Q19298" s="11"/>
      <c r="R19298" s="11"/>
      <c r="S19298" s="11"/>
      <c r="T19298" s="11"/>
    </row>
    <row r="19299" spans="8:20" x14ac:dyDescent="0.35">
      <c r="H19299" s="711"/>
      <c r="I19299" s="711"/>
      <c r="J19299" s="711"/>
      <c r="K19299" s="711"/>
      <c r="L19299" s="711"/>
      <c r="Q19299" s="11"/>
      <c r="R19299" s="11"/>
      <c r="S19299" s="11"/>
      <c r="T19299" s="11"/>
    </row>
    <row r="19300" spans="8:20" x14ac:dyDescent="0.35">
      <c r="H19300" s="711"/>
      <c r="I19300" s="711"/>
      <c r="J19300" s="711"/>
      <c r="K19300" s="711"/>
      <c r="L19300" s="711"/>
      <c r="Q19300" s="11"/>
      <c r="R19300" s="11"/>
      <c r="S19300" s="11"/>
      <c r="T19300" s="11"/>
    </row>
    <row r="19301" spans="8:20" x14ac:dyDescent="0.35">
      <c r="H19301" s="711"/>
      <c r="I19301" s="711"/>
      <c r="J19301" s="711"/>
      <c r="K19301" s="711"/>
      <c r="L19301" s="711"/>
      <c r="Q19301" s="11"/>
      <c r="R19301" s="11"/>
      <c r="S19301" s="11"/>
      <c r="T19301" s="11"/>
    </row>
    <row r="19302" spans="8:20" x14ac:dyDescent="0.35">
      <c r="H19302" s="711"/>
      <c r="I19302" s="711"/>
      <c r="J19302" s="711"/>
      <c r="K19302" s="711"/>
      <c r="L19302" s="711"/>
      <c r="Q19302" s="11"/>
      <c r="R19302" s="11"/>
      <c r="S19302" s="11"/>
      <c r="T19302" s="11"/>
    </row>
    <row r="19303" spans="8:20" x14ac:dyDescent="0.35">
      <c r="H19303" s="711"/>
      <c r="I19303" s="711"/>
      <c r="J19303" s="711"/>
      <c r="K19303" s="711"/>
      <c r="L19303" s="711"/>
      <c r="Q19303" s="11"/>
      <c r="R19303" s="11"/>
      <c r="S19303" s="11"/>
      <c r="T19303" s="11"/>
    </row>
    <row r="19304" spans="8:20" x14ac:dyDescent="0.35">
      <c r="H19304" s="711"/>
      <c r="I19304" s="711"/>
      <c r="J19304" s="711"/>
      <c r="K19304" s="711"/>
      <c r="L19304" s="711"/>
      <c r="Q19304" s="11"/>
      <c r="R19304" s="11"/>
      <c r="S19304" s="11"/>
      <c r="T19304" s="11"/>
    </row>
    <row r="19305" spans="8:20" x14ac:dyDescent="0.35">
      <c r="H19305" s="711"/>
      <c r="I19305" s="711"/>
      <c r="J19305" s="711"/>
      <c r="K19305" s="711"/>
      <c r="L19305" s="711"/>
      <c r="Q19305" s="11"/>
      <c r="R19305" s="11"/>
      <c r="S19305" s="11"/>
      <c r="T19305" s="11"/>
    </row>
    <row r="19306" spans="8:20" x14ac:dyDescent="0.35">
      <c r="H19306" s="711"/>
      <c r="I19306" s="711"/>
      <c r="J19306" s="711"/>
      <c r="K19306" s="711"/>
      <c r="L19306" s="711"/>
      <c r="Q19306" s="11"/>
      <c r="R19306" s="11"/>
      <c r="S19306" s="11"/>
      <c r="T19306" s="11"/>
    </row>
    <row r="19307" spans="8:20" x14ac:dyDescent="0.35">
      <c r="H19307" s="711"/>
      <c r="I19307" s="711"/>
      <c r="J19307" s="711"/>
      <c r="K19307" s="711"/>
      <c r="L19307" s="711"/>
      <c r="Q19307" s="11"/>
      <c r="R19307" s="11"/>
      <c r="S19307" s="11"/>
      <c r="T19307" s="11"/>
    </row>
    <row r="19308" spans="8:20" x14ac:dyDescent="0.35">
      <c r="H19308" s="711"/>
      <c r="I19308" s="711"/>
      <c r="J19308" s="711"/>
      <c r="K19308" s="711"/>
      <c r="L19308" s="711"/>
      <c r="Q19308" s="11"/>
      <c r="R19308" s="11"/>
      <c r="S19308" s="11"/>
      <c r="T19308" s="11"/>
    </row>
    <row r="19309" spans="8:20" x14ac:dyDescent="0.35">
      <c r="H19309" s="711"/>
      <c r="I19309" s="711"/>
      <c r="J19309" s="711"/>
      <c r="K19309" s="711"/>
      <c r="L19309" s="711"/>
      <c r="Q19309" s="11"/>
      <c r="R19309" s="11"/>
      <c r="S19309" s="11"/>
      <c r="T19309" s="11"/>
    </row>
    <row r="19310" spans="8:20" x14ac:dyDescent="0.35">
      <c r="H19310" s="711"/>
      <c r="I19310" s="711"/>
      <c r="J19310" s="711"/>
      <c r="K19310" s="711"/>
      <c r="L19310" s="711"/>
      <c r="Q19310" s="11"/>
      <c r="R19310" s="11"/>
      <c r="S19310" s="11"/>
      <c r="T19310" s="11"/>
    </row>
    <row r="19311" spans="8:20" x14ac:dyDescent="0.35">
      <c r="H19311" s="711"/>
      <c r="I19311" s="711"/>
      <c r="J19311" s="711"/>
      <c r="K19311" s="711"/>
      <c r="L19311" s="711"/>
      <c r="Q19311" s="11"/>
      <c r="R19311" s="11"/>
      <c r="S19311" s="11"/>
      <c r="T19311" s="11"/>
    </row>
    <row r="19312" spans="8:20" x14ac:dyDescent="0.35">
      <c r="H19312" s="711"/>
      <c r="I19312" s="711"/>
      <c r="J19312" s="711"/>
      <c r="K19312" s="711"/>
      <c r="L19312" s="711"/>
      <c r="Q19312" s="11"/>
      <c r="R19312" s="11"/>
      <c r="S19312" s="11"/>
      <c r="T19312" s="11"/>
    </row>
    <row r="19313" spans="8:20" x14ac:dyDescent="0.35">
      <c r="H19313" s="711"/>
      <c r="I19313" s="711"/>
      <c r="J19313" s="711"/>
      <c r="K19313" s="711"/>
      <c r="L19313" s="711"/>
      <c r="Q19313" s="11"/>
      <c r="R19313" s="11"/>
      <c r="S19313" s="11"/>
      <c r="T19313" s="11"/>
    </row>
    <row r="19314" spans="8:20" x14ac:dyDescent="0.35">
      <c r="H19314" s="711"/>
      <c r="I19314" s="711"/>
      <c r="J19314" s="711"/>
      <c r="K19314" s="711"/>
      <c r="L19314" s="711"/>
      <c r="Q19314" s="11"/>
      <c r="R19314" s="11"/>
      <c r="S19314" s="11"/>
      <c r="T19314" s="11"/>
    </row>
    <row r="19315" spans="8:20" x14ac:dyDescent="0.35">
      <c r="H19315" s="711"/>
      <c r="I19315" s="711"/>
      <c r="J19315" s="711"/>
      <c r="K19315" s="711"/>
      <c r="L19315" s="711"/>
      <c r="Q19315" s="11"/>
      <c r="R19315" s="11"/>
      <c r="S19315" s="11"/>
      <c r="T19315" s="11"/>
    </row>
    <row r="19316" spans="8:20" x14ac:dyDescent="0.35">
      <c r="H19316" s="711"/>
      <c r="I19316" s="711"/>
      <c r="J19316" s="711"/>
      <c r="K19316" s="711"/>
      <c r="L19316" s="711"/>
      <c r="Q19316" s="11"/>
      <c r="R19316" s="11"/>
      <c r="S19316" s="11"/>
      <c r="T19316" s="11"/>
    </row>
    <row r="19317" spans="8:20" x14ac:dyDescent="0.35">
      <c r="H19317" s="711"/>
      <c r="I19317" s="711"/>
      <c r="J19317" s="711"/>
      <c r="K19317" s="711"/>
      <c r="L19317" s="711"/>
      <c r="Q19317" s="11"/>
      <c r="R19317" s="11"/>
      <c r="S19317" s="11"/>
      <c r="T19317" s="11"/>
    </row>
    <row r="19318" spans="8:20" x14ac:dyDescent="0.35">
      <c r="H19318" s="711"/>
      <c r="I19318" s="711"/>
      <c r="J19318" s="711"/>
      <c r="K19318" s="711"/>
      <c r="L19318" s="711"/>
      <c r="Q19318" s="11"/>
      <c r="R19318" s="11"/>
      <c r="S19318" s="11"/>
      <c r="T19318" s="11"/>
    </row>
    <row r="19319" spans="8:20" x14ac:dyDescent="0.35">
      <c r="H19319" s="711"/>
      <c r="I19319" s="711"/>
      <c r="J19319" s="711"/>
      <c r="K19319" s="711"/>
      <c r="L19319" s="711"/>
      <c r="Q19319" s="11"/>
      <c r="R19319" s="11"/>
      <c r="S19319" s="11"/>
      <c r="T19319" s="11"/>
    </row>
    <row r="19320" spans="8:20" x14ac:dyDescent="0.35">
      <c r="H19320" s="711"/>
      <c r="I19320" s="711"/>
      <c r="J19320" s="711"/>
      <c r="K19320" s="711"/>
      <c r="L19320" s="711"/>
      <c r="Q19320" s="11"/>
      <c r="R19320" s="11"/>
      <c r="S19320" s="11"/>
      <c r="T19320" s="11"/>
    </row>
    <row r="19321" spans="8:20" x14ac:dyDescent="0.35">
      <c r="H19321" s="711"/>
      <c r="I19321" s="711"/>
      <c r="J19321" s="711"/>
      <c r="K19321" s="711"/>
      <c r="L19321" s="711"/>
      <c r="Q19321" s="11"/>
      <c r="R19321" s="11"/>
      <c r="S19321" s="11"/>
      <c r="T19321" s="11"/>
    </row>
    <row r="19322" spans="8:20" x14ac:dyDescent="0.35">
      <c r="H19322" s="711"/>
      <c r="I19322" s="711"/>
      <c r="J19322" s="711"/>
      <c r="K19322" s="711"/>
      <c r="L19322" s="711"/>
      <c r="Q19322" s="11"/>
      <c r="R19322" s="11"/>
      <c r="S19322" s="11"/>
      <c r="T19322" s="11"/>
    </row>
    <row r="19323" spans="8:20" x14ac:dyDescent="0.35">
      <c r="H19323" s="711"/>
      <c r="I19323" s="711"/>
      <c r="J19323" s="711"/>
      <c r="K19323" s="711"/>
      <c r="L19323" s="711"/>
      <c r="Q19323" s="11"/>
      <c r="R19323" s="11"/>
      <c r="S19323" s="11"/>
      <c r="T19323" s="11"/>
    </row>
    <row r="19324" spans="8:20" x14ac:dyDescent="0.35">
      <c r="H19324" s="711"/>
      <c r="I19324" s="711"/>
      <c r="J19324" s="711"/>
      <c r="K19324" s="711"/>
      <c r="L19324" s="711"/>
      <c r="Q19324" s="11"/>
      <c r="R19324" s="11"/>
      <c r="S19324" s="11"/>
      <c r="T19324" s="11"/>
    </row>
    <row r="19325" spans="8:20" x14ac:dyDescent="0.35">
      <c r="H19325" s="711"/>
      <c r="I19325" s="711"/>
      <c r="J19325" s="711"/>
      <c r="K19325" s="711"/>
      <c r="L19325" s="711"/>
      <c r="Q19325" s="11"/>
      <c r="R19325" s="11"/>
      <c r="S19325" s="11"/>
      <c r="T19325" s="11"/>
    </row>
    <row r="19326" spans="8:20" x14ac:dyDescent="0.35">
      <c r="H19326" s="711"/>
      <c r="I19326" s="711"/>
      <c r="J19326" s="711"/>
      <c r="K19326" s="711"/>
      <c r="L19326" s="711"/>
      <c r="Q19326" s="11"/>
      <c r="R19326" s="11"/>
      <c r="S19326" s="11"/>
      <c r="T19326" s="11"/>
    </row>
    <row r="19327" spans="8:20" x14ac:dyDescent="0.35">
      <c r="H19327" s="711"/>
      <c r="I19327" s="711"/>
      <c r="J19327" s="711"/>
      <c r="K19327" s="711"/>
      <c r="L19327" s="711"/>
      <c r="Q19327" s="11"/>
      <c r="R19327" s="11"/>
      <c r="S19327" s="11"/>
      <c r="T19327" s="11"/>
    </row>
    <row r="19328" spans="8:20" x14ac:dyDescent="0.35">
      <c r="H19328" s="711"/>
      <c r="I19328" s="711"/>
      <c r="J19328" s="711"/>
      <c r="K19328" s="711"/>
      <c r="L19328" s="711"/>
      <c r="Q19328" s="11"/>
      <c r="R19328" s="11"/>
      <c r="S19328" s="11"/>
      <c r="T19328" s="11"/>
    </row>
    <row r="19329" spans="8:20" x14ac:dyDescent="0.35">
      <c r="H19329" s="711"/>
      <c r="I19329" s="711"/>
      <c r="J19329" s="711"/>
      <c r="K19329" s="711"/>
      <c r="L19329" s="711"/>
      <c r="Q19329" s="11"/>
      <c r="R19329" s="11"/>
      <c r="S19329" s="11"/>
      <c r="T19329" s="11"/>
    </row>
    <row r="19330" spans="8:20" x14ac:dyDescent="0.35">
      <c r="H19330" s="711"/>
      <c r="I19330" s="711"/>
      <c r="J19330" s="711"/>
      <c r="K19330" s="711"/>
      <c r="L19330" s="711"/>
      <c r="Q19330" s="11"/>
      <c r="R19330" s="11"/>
      <c r="S19330" s="11"/>
      <c r="T19330" s="11"/>
    </row>
    <row r="19331" spans="8:20" x14ac:dyDescent="0.35">
      <c r="H19331" s="711"/>
      <c r="I19331" s="711"/>
      <c r="J19331" s="711"/>
      <c r="K19331" s="711"/>
      <c r="L19331" s="711"/>
      <c r="Q19331" s="11"/>
      <c r="R19331" s="11"/>
      <c r="S19331" s="11"/>
      <c r="T19331" s="11"/>
    </row>
    <row r="19332" spans="8:20" x14ac:dyDescent="0.35">
      <c r="H19332" s="711"/>
      <c r="I19332" s="711"/>
      <c r="J19332" s="711"/>
      <c r="K19332" s="711"/>
      <c r="L19332" s="711"/>
      <c r="Q19332" s="11"/>
      <c r="R19332" s="11"/>
      <c r="S19332" s="11"/>
      <c r="T19332" s="11"/>
    </row>
    <row r="19333" spans="8:20" x14ac:dyDescent="0.35">
      <c r="H19333" s="711"/>
      <c r="I19333" s="711"/>
      <c r="J19333" s="711"/>
      <c r="K19333" s="711"/>
      <c r="L19333" s="711"/>
      <c r="Q19333" s="11"/>
      <c r="R19333" s="11"/>
      <c r="S19333" s="11"/>
      <c r="T19333" s="11"/>
    </row>
    <row r="19334" spans="8:20" x14ac:dyDescent="0.35">
      <c r="H19334" s="711"/>
      <c r="I19334" s="711"/>
      <c r="J19334" s="711"/>
      <c r="K19334" s="711"/>
      <c r="L19334" s="711"/>
      <c r="Q19334" s="11"/>
      <c r="R19334" s="11"/>
      <c r="S19334" s="11"/>
      <c r="T19334" s="11"/>
    </row>
    <row r="19335" spans="8:20" x14ac:dyDescent="0.35">
      <c r="H19335" s="711"/>
      <c r="I19335" s="711"/>
      <c r="J19335" s="711"/>
      <c r="K19335" s="711"/>
      <c r="L19335" s="711"/>
      <c r="Q19335" s="11"/>
      <c r="R19335" s="11"/>
      <c r="S19335" s="11"/>
      <c r="T19335" s="11"/>
    </row>
    <row r="19336" spans="8:20" x14ac:dyDescent="0.35">
      <c r="H19336" s="711"/>
      <c r="I19336" s="711"/>
      <c r="J19336" s="711"/>
      <c r="K19336" s="711"/>
      <c r="L19336" s="711"/>
      <c r="Q19336" s="11"/>
      <c r="R19336" s="11"/>
      <c r="S19336" s="11"/>
      <c r="T19336" s="11"/>
    </row>
    <row r="19337" spans="8:20" x14ac:dyDescent="0.35">
      <c r="H19337" s="711"/>
      <c r="I19337" s="711"/>
      <c r="J19337" s="711"/>
      <c r="K19337" s="711"/>
      <c r="L19337" s="711"/>
      <c r="Q19337" s="11"/>
      <c r="R19337" s="11"/>
      <c r="S19337" s="11"/>
      <c r="T19337" s="11"/>
    </row>
    <row r="19338" spans="8:20" x14ac:dyDescent="0.35">
      <c r="H19338" s="711"/>
      <c r="I19338" s="711"/>
      <c r="J19338" s="711"/>
      <c r="K19338" s="711"/>
      <c r="L19338" s="711"/>
      <c r="Q19338" s="11"/>
      <c r="R19338" s="11"/>
      <c r="S19338" s="11"/>
      <c r="T19338" s="11"/>
    </row>
    <row r="19339" spans="8:20" x14ac:dyDescent="0.35">
      <c r="H19339" s="711"/>
      <c r="I19339" s="711"/>
      <c r="J19339" s="711"/>
      <c r="K19339" s="711"/>
      <c r="L19339" s="711"/>
      <c r="Q19339" s="11"/>
      <c r="R19339" s="11"/>
      <c r="S19339" s="11"/>
      <c r="T19339" s="11"/>
    </row>
    <row r="19340" spans="8:20" x14ac:dyDescent="0.35">
      <c r="H19340" s="711"/>
      <c r="I19340" s="711"/>
      <c r="J19340" s="711"/>
      <c r="K19340" s="711"/>
      <c r="L19340" s="711"/>
      <c r="Q19340" s="11"/>
      <c r="R19340" s="11"/>
      <c r="S19340" s="11"/>
      <c r="T19340" s="11"/>
    </row>
    <row r="19341" spans="8:20" x14ac:dyDescent="0.35">
      <c r="H19341" s="711"/>
      <c r="I19341" s="711"/>
      <c r="J19341" s="711"/>
      <c r="K19341" s="711"/>
      <c r="L19341" s="711"/>
      <c r="Q19341" s="11"/>
      <c r="R19341" s="11"/>
      <c r="S19341" s="11"/>
      <c r="T19341" s="11"/>
    </row>
    <row r="19342" spans="8:20" x14ac:dyDescent="0.35">
      <c r="H19342" s="711"/>
      <c r="I19342" s="711"/>
      <c r="J19342" s="711"/>
      <c r="K19342" s="711"/>
      <c r="L19342" s="711"/>
      <c r="Q19342" s="11"/>
      <c r="R19342" s="11"/>
      <c r="S19342" s="11"/>
      <c r="T19342" s="11"/>
    </row>
    <row r="19343" spans="8:20" x14ac:dyDescent="0.35">
      <c r="H19343" s="711"/>
      <c r="I19343" s="711"/>
      <c r="J19343" s="711"/>
      <c r="K19343" s="711"/>
      <c r="L19343" s="711"/>
      <c r="Q19343" s="11"/>
      <c r="R19343" s="11"/>
      <c r="S19343" s="11"/>
      <c r="T19343" s="11"/>
    </row>
    <row r="19344" spans="8:20" x14ac:dyDescent="0.35">
      <c r="H19344" s="711"/>
      <c r="I19344" s="711"/>
      <c r="J19344" s="711"/>
      <c r="K19344" s="711"/>
      <c r="L19344" s="711"/>
      <c r="Q19344" s="11"/>
      <c r="R19344" s="11"/>
      <c r="S19344" s="11"/>
      <c r="T19344" s="11"/>
    </row>
    <row r="19345" spans="8:20" x14ac:dyDescent="0.35">
      <c r="H19345" s="711"/>
      <c r="I19345" s="711"/>
      <c r="J19345" s="711"/>
      <c r="K19345" s="711"/>
      <c r="L19345" s="711"/>
      <c r="Q19345" s="11"/>
      <c r="R19345" s="11"/>
      <c r="S19345" s="11"/>
      <c r="T19345" s="11"/>
    </row>
    <row r="19346" spans="8:20" x14ac:dyDescent="0.35">
      <c r="H19346" s="711"/>
      <c r="I19346" s="711"/>
      <c r="J19346" s="711"/>
      <c r="K19346" s="711"/>
      <c r="L19346" s="711"/>
      <c r="Q19346" s="11"/>
      <c r="R19346" s="11"/>
      <c r="S19346" s="11"/>
      <c r="T19346" s="11"/>
    </row>
    <row r="19347" spans="8:20" x14ac:dyDescent="0.35">
      <c r="H19347" s="711"/>
      <c r="I19347" s="711"/>
      <c r="J19347" s="711"/>
      <c r="K19347" s="711"/>
      <c r="L19347" s="711"/>
      <c r="Q19347" s="11"/>
      <c r="R19347" s="11"/>
      <c r="S19347" s="11"/>
      <c r="T19347" s="11"/>
    </row>
    <row r="19348" spans="8:20" x14ac:dyDescent="0.35">
      <c r="H19348" s="711"/>
      <c r="I19348" s="711"/>
      <c r="J19348" s="711"/>
      <c r="K19348" s="711"/>
      <c r="L19348" s="711"/>
      <c r="Q19348" s="11"/>
      <c r="R19348" s="11"/>
      <c r="S19348" s="11"/>
      <c r="T19348" s="11"/>
    </row>
    <row r="19349" spans="8:20" x14ac:dyDescent="0.35">
      <c r="H19349" s="711"/>
      <c r="I19349" s="711"/>
      <c r="J19349" s="711"/>
      <c r="K19349" s="711"/>
      <c r="L19349" s="711"/>
      <c r="Q19349" s="11"/>
      <c r="R19349" s="11"/>
      <c r="S19349" s="11"/>
      <c r="T19349" s="11"/>
    </row>
    <row r="19350" spans="8:20" x14ac:dyDescent="0.35">
      <c r="H19350" s="711"/>
      <c r="I19350" s="711"/>
      <c r="J19350" s="711"/>
      <c r="K19350" s="711"/>
      <c r="L19350" s="711"/>
      <c r="Q19350" s="11"/>
      <c r="R19350" s="11"/>
      <c r="S19350" s="11"/>
      <c r="T19350" s="11"/>
    </row>
    <row r="19351" spans="8:20" x14ac:dyDescent="0.35">
      <c r="H19351" s="711"/>
      <c r="I19351" s="711"/>
      <c r="J19351" s="711"/>
      <c r="K19351" s="711"/>
      <c r="L19351" s="711"/>
      <c r="Q19351" s="11"/>
      <c r="R19351" s="11"/>
      <c r="S19351" s="11"/>
      <c r="T19351" s="11"/>
    </row>
    <row r="19352" spans="8:20" x14ac:dyDescent="0.35">
      <c r="H19352" s="711"/>
      <c r="I19352" s="711"/>
      <c r="J19352" s="711"/>
      <c r="K19352" s="711"/>
      <c r="L19352" s="711"/>
      <c r="Q19352" s="11"/>
      <c r="R19352" s="11"/>
      <c r="S19352" s="11"/>
      <c r="T19352" s="11"/>
    </row>
    <row r="19353" spans="8:20" x14ac:dyDescent="0.35">
      <c r="H19353" s="711"/>
      <c r="I19353" s="711"/>
      <c r="J19353" s="711"/>
      <c r="K19353" s="711"/>
      <c r="L19353" s="711"/>
      <c r="Q19353" s="11"/>
      <c r="R19353" s="11"/>
      <c r="S19353" s="11"/>
      <c r="T19353" s="11"/>
    </row>
    <row r="19354" spans="8:20" x14ac:dyDescent="0.35">
      <c r="H19354" s="711"/>
      <c r="I19354" s="711"/>
      <c r="J19354" s="711"/>
      <c r="K19354" s="711"/>
      <c r="L19354" s="711"/>
      <c r="Q19354" s="11"/>
      <c r="R19354" s="11"/>
      <c r="S19354" s="11"/>
      <c r="T19354" s="11"/>
    </row>
    <row r="19355" spans="8:20" x14ac:dyDescent="0.35">
      <c r="H19355" s="711"/>
      <c r="I19355" s="711"/>
      <c r="J19355" s="711"/>
      <c r="K19355" s="711"/>
      <c r="L19355" s="711"/>
      <c r="Q19355" s="11"/>
      <c r="R19355" s="11"/>
      <c r="S19355" s="11"/>
      <c r="T19355" s="11"/>
    </row>
    <row r="19356" spans="8:20" x14ac:dyDescent="0.35">
      <c r="H19356" s="711"/>
      <c r="I19356" s="711"/>
      <c r="J19356" s="711"/>
      <c r="K19356" s="711"/>
      <c r="L19356" s="711"/>
      <c r="Q19356" s="11"/>
      <c r="R19356" s="11"/>
      <c r="S19356" s="11"/>
      <c r="T19356" s="11"/>
    </row>
    <row r="19357" spans="8:20" x14ac:dyDescent="0.35">
      <c r="H19357" s="711"/>
      <c r="I19357" s="711"/>
      <c r="J19357" s="711"/>
      <c r="K19357" s="711"/>
      <c r="L19357" s="711"/>
      <c r="Q19357" s="11"/>
      <c r="R19357" s="11"/>
      <c r="S19357" s="11"/>
      <c r="T19357" s="11"/>
    </row>
    <row r="19358" spans="8:20" x14ac:dyDescent="0.35">
      <c r="H19358" s="711"/>
      <c r="I19358" s="711"/>
      <c r="J19358" s="711"/>
      <c r="K19358" s="711"/>
      <c r="L19358" s="711"/>
      <c r="Q19358" s="11"/>
      <c r="R19358" s="11"/>
      <c r="S19358" s="11"/>
      <c r="T19358" s="11"/>
    </row>
    <row r="19359" spans="8:20" x14ac:dyDescent="0.35">
      <c r="H19359" s="711"/>
      <c r="I19359" s="711"/>
      <c r="J19359" s="711"/>
      <c r="K19359" s="711"/>
      <c r="L19359" s="711"/>
      <c r="Q19359" s="11"/>
      <c r="R19359" s="11"/>
      <c r="S19359" s="11"/>
      <c r="T19359" s="11"/>
    </row>
    <row r="19360" spans="8:20" x14ac:dyDescent="0.35">
      <c r="H19360" s="711"/>
      <c r="I19360" s="711"/>
      <c r="J19360" s="711"/>
      <c r="K19360" s="711"/>
      <c r="L19360" s="711"/>
      <c r="Q19360" s="11"/>
      <c r="R19360" s="11"/>
      <c r="S19360" s="11"/>
      <c r="T19360" s="11"/>
    </row>
    <row r="19361" spans="8:20" x14ac:dyDescent="0.35">
      <c r="H19361" s="711"/>
      <c r="I19361" s="711"/>
      <c r="J19361" s="711"/>
      <c r="K19361" s="711"/>
      <c r="L19361" s="711"/>
      <c r="Q19361" s="11"/>
      <c r="R19361" s="11"/>
      <c r="S19361" s="11"/>
      <c r="T19361" s="11"/>
    </row>
    <row r="19362" spans="8:20" x14ac:dyDescent="0.35">
      <c r="H19362" s="711"/>
      <c r="I19362" s="711"/>
      <c r="J19362" s="711"/>
      <c r="K19362" s="711"/>
      <c r="L19362" s="711"/>
      <c r="Q19362" s="11"/>
      <c r="R19362" s="11"/>
      <c r="S19362" s="11"/>
      <c r="T19362" s="11"/>
    </row>
    <row r="19363" spans="8:20" x14ac:dyDescent="0.35">
      <c r="H19363" s="711"/>
      <c r="I19363" s="711"/>
      <c r="J19363" s="711"/>
      <c r="K19363" s="711"/>
      <c r="L19363" s="711"/>
      <c r="Q19363" s="11"/>
      <c r="R19363" s="11"/>
      <c r="S19363" s="11"/>
      <c r="T19363" s="11"/>
    </row>
    <row r="19364" spans="8:20" x14ac:dyDescent="0.35">
      <c r="H19364" s="711"/>
      <c r="I19364" s="711"/>
      <c r="J19364" s="711"/>
      <c r="K19364" s="711"/>
      <c r="L19364" s="711"/>
      <c r="Q19364" s="11"/>
      <c r="R19364" s="11"/>
      <c r="S19364" s="11"/>
      <c r="T19364" s="11"/>
    </row>
    <row r="19365" spans="8:20" x14ac:dyDescent="0.35">
      <c r="H19365" s="711"/>
      <c r="I19365" s="711"/>
      <c r="J19365" s="711"/>
      <c r="K19365" s="711"/>
      <c r="L19365" s="711"/>
      <c r="Q19365" s="11"/>
      <c r="R19365" s="11"/>
      <c r="S19365" s="11"/>
      <c r="T19365" s="11"/>
    </row>
    <row r="19366" spans="8:20" x14ac:dyDescent="0.35">
      <c r="H19366" s="711"/>
      <c r="I19366" s="711"/>
      <c r="J19366" s="711"/>
      <c r="K19366" s="711"/>
      <c r="L19366" s="711"/>
      <c r="Q19366" s="11"/>
      <c r="R19366" s="11"/>
      <c r="S19366" s="11"/>
      <c r="T19366" s="11"/>
    </row>
    <row r="19367" spans="8:20" x14ac:dyDescent="0.35">
      <c r="H19367" s="711"/>
      <c r="I19367" s="711"/>
      <c r="J19367" s="711"/>
      <c r="K19367" s="711"/>
      <c r="L19367" s="711"/>
      <c r="Q19367" s="11"/>
      <c r="R19367" s="11"/>
      <c r="S19367" s="11"/>
      <c r="T19367" s="11"/>
    </row>
    <row r="19368" spans="8:20" x14ac:dyDescent="0.35">
      <c r="H19368" s="711"/>
      <c r="I19368" s="711"/>
      <c r="J19368" s="711"/>
      <c r="K19368" s="711"/>
      <c r="L19368" s="711"/>
      <c r="Q19368" s="11"/>
      <c r="R19368" s="11"/>
      <c r="S19368" s="11"/>
      <c r="T19368" s="11"/>
    </row>
    <row r="19369" spans="8:20" x14ac:dyDescent="0.35">
      <c r="H19369" s="711"/>
      <c r="I19369" s="711"/>
      <c r="J19369" s="711"/>
      <c r="K19369" s="711"/>
      <c r="L19369" s="711"/>
      <c r="Q19369" s="11"/>
      <c r="R19369" s="11"/>
      <c r="S19369" s="11"/>
      <c r="T19369" s="11"/>
    </row>
    <row r="19370" spans="8:20" x14ac:dyDescent="0.35">
      <c r="H19370" s="711"/>
      <c r="I19370" s="711"/>
      <c r="J19370" s="711"/>
      <c r="K19370" s="711"/>
      <c r="L19370" s="711"/>
      <c r="Q19370" s="11"/>
      <c r="R19370" s="11"/>
      <c r="S19370" s="11"/>
      <c r="T19370" s="11"/>
    </row>
    <row r="19371" spans="8:20" x14ac:dyDescent="0.35">
      <c r="H19371" s="711"/>
      <c r="I19371" s="711"/>
      <c r="J19371" s="711"/>
      <c r="K19371" s="711"/>
      <c r="L19371" s="711"/>
      <c r="Q19371" s="11"/>
      <c r="R19371" s="11"/>
      <c r="S19371" s="11"/>
      <c r="T19371" s="11"/>
    </row>
    <row r="19372" spans="8:20" x14ac:dyDescent="0.35">
      <c r="H19372" s="711"/>
      <c r="I19372" s="711"/>
      <c r="J19372" s="711"/>
      <c r="K19372" s="711"/>
      <c r="L19372" s="711"/>
      <c r="Q19372" s="11"/>
      <c r="R19372" s="11"/>
      <c r="S19372" s="11"/>
      <c r="T19372" s="11"/>
    </row>
    <row r="19373" spans="8:20" x14ac:dyDescent="0.35">
      <c r="H19373" s="711"/>
      <c r="I19373" s="711"/>
      <c r="J19373" s="711"/>
      <c r="K19373" s="711"/>
      <c r="L19373" s="711"/>
      <c r="Q19373" s="11"/>
      <c r="R19373" s="11"/>
      <c r="S19373" s="11"/>
      <c r="T19373" s="11"/>
    </row>
    <row r="19374" spans="8:20" x14ac:dyDescent="0.35">
      <c r="H19374" s="711"/>
      <c r="I19374" s="711"/>
      <c r="J19374" s="711"/>
      <c r="K19374" s="711"/>
      <c r="L19374" s="711"/>
      <c r="Q19374" s="11"/>
      <c r="R19374" s="11"/>
      <c r="S19374" s="11"/>
      <c r="T19374" s="11"/>
    </row>
    <row r="19375" spans="8:20" x14ac:dyDescent="0.35">
      <c r="H19375" s="711"/>
      <c r="I19375" s="711"/>
      <c r="J19375" s="711"/>
      <c r="K19375" s="711"/>
      <c r="L19375" s="711"/>
      <c r="Q19375" s="11"/>
      <c r="R19375" s="11"/>
      <c r="S19375" s="11"/>
      <c r="T19375" s="11"/>
    </row>
    <row r="19376" spans="8:20" x14ac:dyDescent="0.35">
      <c r="H19376" s="711"/>
      <c r="I19376" s="711"/>
      <c r="J19376" s="711"/>
      <c r="K19376" s="711"/>
      <c r="L19376" s="711"/>
      <c r="Q19376" s="11"/>
      <c r="R19376" s="11"/>
      <c r="S19376" s="11"/>
      <c r="T19376" s="11"/>
    </row>
    <row r="19377" spans="8:20" x14ac:dyDescent="0.35">
      <c r="H19377" s="711"/>
      <c r="I19377" s="711"/>
      <c r="J19377" s="711"/>
      <c r="K19377" s="711"/>
      <c r="L19377" s="711"/>
      <c r="Q19377" s="11"/>
      <c r="R19377" s="11"/>
      <c r="S19377" s="11"/>
      <c r="T19377" s="11"/>
    </row>
    <row r="19378" spans="8:20" x14ac:dyDescent="0.35">
      <c r="H19378" s="711"/>
      <c r="I19378" s="711"/>
      <c r="J19378" s="711"/>
      <c r="K19378" s="711"/>
      <c r="L19378" s="711"/>
      <c r="Q19378" s="11"/>
      <c r="R19378" s="11"/>
      <c r="S19378" s="11"/>
      <c r="T19378" s="11"/>
    </row>
    <row r="19379" spans="8:20" x14ac:dyDescent="0.35">
      <c r="H19379" s="711"/>
      <c r="I19379" s="711"/>
      <c r="J19379" s="711"/>
      <c r="K19379" s="711"/>
      <c r="L19379" s="711"/>
      <c r="Q19379" s="11"/>
      <c r="R19379" s="11"/>
      <c r="S19379" s="11"/>
      <c r="T19379" s="11"/>
    </row>
    <row r="19380" spans="8:20" x14ac:dyDescent="0.35">
      <c r="H19380" s="711"/>
      <c r="I19380" s="711"/>
      <c r="J19380" s="711"/>
      <c r="K19380" s="711"/>
      <c r="L19380" s="711"/>
      <c r="Q19380" s="11"/>
      <c r="R19380" s="11"/>
      <c r="S19380" s="11"/>
      <c r="T19380" s="11"/>
    </row>
    <row r="19381" spans="8:20" x14ac:dyDescent="0.35">
      <c r="H19381" s="711"/>
      <c r="I19381" s="711"/>
      <c r="J19381" s="711"/>
      <c r="K19381" s="711"/>
      <c r="L19381" s="711"/>
      <c r="Q19381" s="11"/>
      <c r="R19381" s="11"/>
      <c r="S19381" s="11"/>
      <c r="T19381" s="11"/>
    </row>
    <row r="19382" spans="8:20" x14ac:dyDescent="0.35">
      <c r="H19382" s="711"/>
      <c r="I19382" s="711"/>
      <c r="J19382" s="711"/>
      <c r="K19382" s="711"/>
      <c r="L19382" s="711"/>
      <c r="Q19382" s="11"/>
      <c r="R19382" s="11"/>
      <c r="S19382" s="11"/>
      <c r="T19382" s="11"/>
    </row>
    <row r="19383" spans="8:20" x14ac:dyDescent="0.35">
      <c r="H19383" s="711"/>
      <c r="I19383" s="711"/>
      <c r="J19383" s="711"/>
      <c r="K19383" s="711"/>
      <c r="L19383" s="711"/>
      <c r="Q19383" s="11"/>
      <c r="R19383" s="11"/>
      <c r="S19383" s="11"/>
      <c r="T19383" s="11"/>
    </row>
    <row r="19384" spans="8:20" x14ac:dyDescent="0.35">
      <c r="H19384" s="711"/>
      <c r="I19384" s="711"/>
      <c r="J19384" s="711"/>
      <c r="K19384" s="711"/>
      <c r="L19384" s="711"/>
      <c r="Q19384" s="11"/>
      <c r="R19384" s="11"/>
      <c r="S19384" s="11"/>
      <c r="T19384" s="11"/>
    </row>
    <row r="19385" spans="8:20" x14ac:dyDescent="0.35">
      <c r="H19385" s="711"/>
      <c r="I19385" s="711"/>
      <c r="J19385" s="711"/>
      <c r="K19385" s="711"/>
      <c r="L19385" s="711"/>
      <c r="Q19385" s="11"/>
      <c r="R19385" s="11"/>
      <c r="S19385" s="11"/>
      <c r="T19385" s="11"/>
    </row>
    <row r="19386" spans="8:20" x14ac:dyDescent="0.35">
      <c r="H19386" s="711"/>
      <c r="I19386" s="711"/>
      <c r="J19386" s="711"/>
      <c r="K19386" s="711"/>
      <c r="L19386" s="711"/>
      <c r="Q19386" s="11"/>
      <c r="R19386" s="11"/>
      <c r="S19386" s="11"/>
      <c r="T19386" s="11"/>
    </row>
    <row r="19387" spans="8:20" x14ac:dyDescent="0.35">
      <c r="H19387" s="711"/>
      <c r="I19387" s="711"/>
      <c r="J19387" s="711"/>
      <c r="K19387" s="711"/>
      <c r="L19387" s="711"/>
      <c r="Q19387" s="11"/>
      <c r="R19387" s="11"/>
      <c r="S19387" s="11"/>
      <c r="T19387" s="11"/>
    </row>
    <row r="19388" spans="8:20" x14ac:dyDescent="0.35">
      <c r="H19388" s="711"/>
      <c r="I19388" s="711"/>
      <c r="J19388" s="711"/>
      <c r="K19388" s="711"/>
      <c r="L19388" s="711"/>
      <c r="Q19388" s="11"/>
      <c r="R19388" s="11"/>
      <c r="S19388" s="11"/>
      <c r="T19388" s="11"/>
    </row>
    <row r="19389" spans="8:20" x14ac:dyDescent="0.35">
      <c r="H19389" s="711"/>
      <c r="I19389" s="711"/>
      <c r="J19389" s="711"/>
      <c r="K19389" s="711"/>
      <c r="L19389" s="711"/>
      <c r="Q19389" s="11"/>
      <c r="R19389" s="11"/>
      <c r="S19389" s="11"/>
      <c r="T19389" s="11"/>
    </row>
    <row r="19390" spans="8:20" x14ac:dyDescent="0.35">
      <c r="H19390" s="711"/>
      <c r="I19390" s="711"/>
      <c r="J19390" s="711"/>
      <c r="K19390" s="711"/>
      <c r="L19390" s="711"/>
      <c r="Q19390" s="11"/>
      <c r="R19390" s="11"/>
      <c r="S19390" s="11"/>
      <c r="T19390" s="11"/>
    </row>
    <row r="19391" spans="8:20" x14ac:dyDescent="0.35">
      <c r="H19391" s="711"/>
      <c r="I19391" s="711"/>
      <c r="J19391" s="711"/>
      <c r="K19391" s="711"/>
      <c r="L19391" s="711"/>
      <c r="Q19391" s="11"/>
      <c r="R19391" s="11"/>
      <c r="S19391" s="11"/>
      <c r="T19391" s="11"/>
    </row>
    <row r="19392" spans="8:20" x14ac:dyDescent="0.35">
      <c r="H19392" s="711"/>
      <c r="I19392" s="711"/>
      <c r="J19392" s="711"/>
      <c r="K19392" s="711"/>
      <c r="L19392" s="711"/>
      <c r="Q19392" s="11"/>
      <c r="R19392" s="11"/>
      <c r="S19392" s="11"/>
      <c r="T19392" s="11"/>
    </row>
    <row r="19393" spans="8:20" x14ac:dyDescent="0.35">
      <c r="H19393" s="711"/>
      <c r="I19393" s="711"/>
      <c r="J19393" s="711"/>
      <c r="K19393" s="711"/>
      <c r="L19393" s="711"/>
      <c r="Q19393" s="11"/>
      <c r="R19393" s="11"/>
      <c r="S19393" s="11"/>
      <c r="T19393" s="11"/>
    </row>
    <row r="19394" spans="8:20" x14ac:dyDescent="0.35">
      <c r="H19394" s="711"/>
      <c r="I19394" s="711"/>
      <c r="J19394" s="711"/>
      <c r="K19394" s="711"/>
      <c r="L19394" s="711"/>
      <c r="Q19394" s="11"/>
      <c r="R19394" s="11"/>
      <c r="S19394" s="11"/>
      <c r="T19394" s="11"/>
    </row>
    <row r="19395" spans="8:20" x14ac:dyDescent="0.35">
      <c r="H19395" s="711"/>
      <c r="I19395" s="711"/>
      <c r="J19395" s="711"/>
      <c r="K19395" s="711"/>
      <c r="L19395" s="711"/>
      <c r="Q19395" s="11"/>
      <c r="R19395" s="11"/>
      <c r="S19395" s="11"/>
      <c r="T19395" s="11"/>
    </row>
    <row r="19396" spans="8:20" x14ac:dyDescent="0.35">
      <c r="H19396" s="711"/>
      <c r="I19396" s="711"/>
      <c r="J19396" s="711"/>
      <c r="K19396" s="711"/>
      <c r="L19396" s="711"/>
      <c r="Q19396" s="11"/>
      <c r="R19396" s="11"/>
      <c r="S19396" s="11"/>
      <c r="T19396" s="11"/>
    </row>
    <row r="19397" spans="8:20" x14ac:dyDescent="0.35">
      <c r="H19397" s="711"/>
      <c r="I19397" s="711"/>
      <c r="J19397" s="711"/>
      <c r="K19397" s="711"/>
      <c r="L19397" s="711"/>
      <c r="Q19397" s="11"/>
      <c r="R19397" s="11"/>
      <c r="S19397" s="11"/>
      <c r="T19397" s="11"/>
    </row>
    <row r="19398" spans="8:20" x14ac:dyDescent="0.35">
      <c r="H19398" s="711"/>
      <c r="I19398" s="711"/>
      <c r="J19398" s="711"/>
      <c r="K19398" s="711"/>
      <c r="L19398" s="711"/>
      <c r="Q19398" s="11"/>
      <c r="R19398" s="11"/>
      <c r="S19398" s="11"/>
      <c r="T19398" s="11"/>
    </row>
    <row r="19399" spans="8:20" x14ac:dyDescent="0.35">
      <c r="H19399" s="711"/>
      <c r="I19399" s="711"/>
      <c r="J19399" s="711"/>
      <c r="K19399" s="711"/>
      <c r="L19399" s="711"/>
      <c r="Q19399" s="11"/>
      <c r="R19399" s="11"/>
      <c r="S19399" s="11"/>
      <c r="T19399" s="11"/>
    </row>
    <row r="19400" spans="8:20" x14ac:dyDescent="0.35">
      <c r="H19400" s="711"/>
      <c r="I19400" s="711"/>
      <c r="J19400" s="711"/>
      <c r="K19400" s="711"/>
      <c r="L19400" s="711"/>
      <c r="Q19400" s="11"/>
      <c r="R19400" s="11"/>
      <c r="S19400" s="11"/>
      <c r="T19400" s="11"/>
    </row>
    <row r="19401" spans="8:20" x14ac:dyDescent="0.35">
      <c r="H19401" s="711"/>
      <c r="I19401" s="711"/>
      <c r="J19401" s="711"/>
      <c r="K19401" s="711"/>
      <c r="L19401" s="711"/>
      <c r="Q19401" s="11"/>
      <c r="R19401" s="11"/>
      <c r="S19401" s="11"/>
      <c r="T19401" s="11"/>
    </row>
    <row r="19402" spans="8:20" x14ac:dyDescent="0.35">
      <c r="H19402" s="711"/>
      <c r="I19402" s="711"/>
      <c r="J19402" s="711"/>
      <c r="K19402" s="711"/>
      <c r="L19402" s="711"/>
      <c r="Q19402" s="11"/>
      <c r="R19402" s="11"/>
      <c r="S19402" s="11"/>
      <c r="T19402" s="11"/>
    </row>
    <row r="19403" spans="8:20" x14ac:dyDescent="0.35">
      <c r="H19403" s="711"/>
      <c r="I19403" s="711"/>
      <c r="J19403" s="711"/>
      <c r="K19403" s="711"/>
      <c r="L19403" s="711"/>
      <c r="Q19403" s="11"/>
      <c r="R19403" s="11"/>
      <c r="S19403" s="11"/>
      <c r="T19403" s="11"/>
    </row>
    <row r="19404" spans="8:20" x14ac:dyDescent="0.35">
      <c r="H19404" s="711"/>
      <c r="I19404" s="711"/>
      <c r="J19404" s="711"/>
      <c r="K19404" s="711"/>
      <c r="L19404" s="711"/>
      <c r="Q19404" s="11"/>
      <c r="R19404" s="11"/>
      <c r="S19404" s="11"/>
      <c r="T19404" s="11"/>
    </row>
    <row r="19405" spans="8:20" x14ac:dyDescent="0.35">
      <c r="H19405" s="711"/>
      <c r="I19405" s="711"/>
      <c r="J19405" s="711"/>
      <c r="K19405" s="711"/>
      <c r="L19405" s="711"/>
      <c r="Q19405" s="11"/>
      <c r="R19405" s="11"/>
      <c r="S19405" s="11"/>
      <c r="T19405" s="11"/>
    </row>
    <row r="19406" spans="8:20" x14ac:dyDescent="0.35">
      <c r="H19406" s="711"/>
      <c r="I19406" s="711"/>
      <c r="J19406" s="711"/>
      <c r="K19406" s="711"/>
      <c r="L19406" s="711"/>
      <c r="Q19406" s="11"/>
      <c r="R19406" s="11"/>
      <c r="S19406" s="11"/>
      <c r="T19406" s="11"/>
    </row>
    <row r="19407" spans="8:20" x14ac:dyDescent="0.35">
      <c r="H19407" s="711"/>
      <c r="I19407" s="711"/>
      <c r="J19407" s="711"/>
      <c r="K19407" s="711"/>
      <c r="L19407" s="711"/>
      <c r="Q19407" s="11"/>
      <c r="R19407" s="11"/>
      <c r="S19407" s="11"/>
      <c r="T19407" s="11"/>
    </row>
    <row r="19408" spans="8:20" x14ac:dyDescent="0.35">
      <c r="H19408" s="711"/>
      <c r="I19408" s="711"/>
      <c r="J19408" s="711"/>
      <c r="K19408" s="711"/>
      <c r="L19408" s="711"/>
      <c r="Q19408" s="11"/>
      <c r="R19408" s="11"/>
      <c r="S19408" s="11"/>
      <c r="T19408" s="11"/>
    </row>
    <row r="19409" spans="8:20" x14ac:dyDescent="0.35">
      <c r="H19409" s="711"/>
      <c r="I19409" s="711"/>
      <c r="J19409" s="711"/>
      <c r="K19409" s="711"/>
      <c r="L19409" s="711"/>
      <c r="Q19409" s="11"/>
      <c r="R19409" s="11"/>
      <c r="S19409" s="11"/>
      <c r="T19409" s="11"/>
    </row>
    <row r="19410" spans="8:20" x14ac:dyDescent="0.35">
      <c r="H19410" s="711"/>
      <c r="I19410" s="711"/>
      <c r="J19410" s="711"/>
      <c r="K19410" s="711"/>
      <c r="L19410" s="711"/>
      <c r="Q19410" s="11"/>
      <c r="R19410" s="11"/>
      <c r="S19410" s="11"/>
      <c r="T19410" s="11"/>
    </row>
    <row r="19411" spans="8:20" x14ac:dyDescent="0.35">
      <c r="H19411" s="711"/>
      <c r="I19411" s="711"/>
      <c r="J19411" s="711"/>
      <c r="K19411" s="711"/>
      <c r="L19411" s="711"/>
      <c r="Q19411" s="11"/>
      <c r="R19411" s="11"/>
      <c r="S19411" s="11"/>
      <c r="T19411" s="11"/>
    </row>
    <row r="19412" spans="8:20" x14ac:dyDescent="0.35">
      <c r="H19412" s="711"/>
      <c r="I19412" s="711"/>
      <c r="J19412" s="711"/>
      <c r="K19412" s="711"/>
      <c r="L19412" s="711"/>
      <c r="Q19412" s="11"/>
      <c r="R19412" s="11"/>
      <c r="S19412" s="11"/>
      <c r="T19412" s="11"/>
    </row>
    <row r="19413" spans="8:20" x14ac:dyDescent="0.35">
      <c r="H19413" s="711"/>
      <c r="I19413" s="711"/>
      <c r="J19413" s="711"/>
      <c r="K19413" s="711"/>
      <c r="L19413" s="711"/>
      <c r="Q19413" s="11"/>
      <c r="R19413" s="11"/>
      <c r="S19413" s="11"/>
      <c r="T19413" s="11"/>
    </row>
    <row r="19414" spans="8:20" x14ac:dyDescent="0.35">
      <c r="H19414" s="711"/>
      <c r="I19414" s="711"/>
      <c r="J19414" s="711"/>
      <c r="K19414" s="711"/>
      <c r="L19414" s="711"/>
      <c r="Q19414" s="11"/>
      <c r="R19414" s="11"/>
      <c r="S19414" s="11"/>
      <c r="T19414" s="11"/>
    </row>
    <row r="19415" spans="8:20" x14ac:dyDescent="0.35">
      <c r="H19415" s="711"/>
      <c r="I19415" s="711"/>
      <c r="J19415" s="711"/>
      <c r="K19415" s="711"/>
      <c r="L19415" s="711"/>
      <c r="Q19415" s="11"/>
      <c r="R19415" s="11"/>
      <c r="S19415" s="11"/>
      <c r="T19415" s="11"/>
    </row>
    <row r="19416" spans="8:20" x14ac:dyDescent="0.35">
      <c r="H19416" s="711"/>
      <c r="I19416" s="711"/>
      <c r="J19416" s="711"/>
      <c r="K19416" s="711"/>
      <c r="L19416" s="711"/>
      <c r="Q19416" s="11"/>
      <c r="R19416" s="11"/>
      <c r="S19416" s="11"/>
      <c r="T19416" s="11"/>
    </row>
    <row r="19417" spans="8:20" x14ac:dyDescent="0.35">
      <c r="H19417" s="711"/>
      <c r="I19417" s="711"/>
      <c r="J19417" s="711"/>
      <c r="K19417" s="711"/>
      <c r="L19417" s="711"/>
      <c r="Q19417" s="11"/>
      <c r="R19417" s="11"/>
      <c r="S19417" s="11"/>
      <c r="T19417" s="11"/>
    </row>
    <row r="19418" spans="8:20" x14ac:dyDescent="0.35">
      <c r="H19418" s="711"/>
      <c r="I19418" s="711"/>
      <c r="J19418" s="711"/>
      <c r="K19418" s="711"/>
      <c r="L19418" s="711"/>
      <c r="Q19418" s="11"/>
      <c r="R19418" s="11"/>
      <c r="S19418" s="11"/>
      <c r="T19418" s="11"/>
    </row>
    <row r="19419" spans="8:20" x14ac:dyDescent="0.35">
      <c r="H19419" s="711"/>
      <c r="I19419" s="711"/>
      <c r="J19419" s="711"/>
      <c r="K19419" s="711"/>
      <c r="L19419" s="711"/>
      <c r="Q19419" s="11"/>
      <c r="R19419" s="11"/>
      <c r="S19419" s="11"/>
      <c r="T19419" s="11"/>
    </row>
    <row r="19420" spans="8:20" x14ac:dyDescent="0.35">
      <c r="H19420" s="711"/>
      <c r="I19420" s="711"/>
      <c r="J19420" s="711"/>
      <c r="K19420" s="711"/>
      <c r="L19420" s="711"/>
      <c r="Q19420" s="11"/>
      <c r="R19420" s="11"/>
      <c r="S19420" s="11"/>
      <c r="T19420" s="11"/>
    </row>
    <row r="19421" spans="8:20" x14ac:dyDescent="0.35">
      <c r="H19421" s="711"/>
      <c r="I19421" s="711"/>
      <c r="J19421" s="711"/>
      <c r="K19421" s="711"/>
      <c r="L19421" s="711"/>
      <c r="Q19421" s="11"/>
      <c r="R19421" s="11"/>
      <c r="S19421" s="11"/>
      <c r="T19421" s="11"/>
    </row>
    <row r="19422" spans="8:20" x14ac:dyDescent="0.35">
      <c r="H19422" s="711"/>
      <c r="I19422" s="711"/>
      <c r="J19422" s="711"/>
      <c r="K19422" s="711"/>
      <c r="L19422" s="711"/>
      <c r="Q19422" s="11"/>
      <c r="R19422" s="11"/>
      <c r="S19422" s="11"/>
      <c r="T19422" s="11"/>
    </row>
    <row r="19423" spans="8:20" x14ac:dyDescent="0.35">
      <c r="H19423" s="711"/>
      <c r="I19423" s="711"/>
      <c r="J19423" s="711"/>
      <c r="K19423" s="711"/>
      <c r="L19423" s="711"/>
      <c r="Q19423" s="11"/>
      <c r="R19423" s="11"/>
      <c r="S19423" s="11"/>
      <c r="T19423" s="11"/>
    </row>
    <row r="19424" spans="8:20" x14ac:dyDescent="0.35">
      <c r="H19424" s="711"/>
      <c r="I19424" s="711"/>
      <c r="J19424" s="711"/>
      <c r="K19424" s="711"/>
      <c r="L19424" s="711"/>
      <c r="Q19424" s="11"/>
      <c r="R19424" s="11"/>
      <c r="S19424" s="11"/>
      <c r="T19424" s="11"/>
    </row>
    <row r="19425" spans="8:20" x14ac:dyDescent="0.35">
      <c r="H19425" s="711"/>
      <c r="I19425" s="711"/>
      <c r="J19425" s="711"/>
      <c r="K19425" s="711"/>
      <c r="L19425" s="711"/>
      <c r="Q19425" s="11"/>
      <c r="R19425" s="11"/>
      <c r="S19425" s="11"/>
      <c r="T19425" s="11"/>
    </row>
    <row r="19426" spans="8:20" x14ac:dyDescent="0.35">
      <c r="H19426" s="711"/>
      <c r="I19426" s="711"/>
      <c r="J19426" s="711"/>
      <c r="K19426" s="711"/>
      <c r="L19426" s="711"/>
      <c r="Q19426" s="11"/>
      <c r="R19426" s="11"/>
      <c r="S19426" s="11"/>
      <c r="T19426" s="11"/>
    </row>
    <row r="19427" spans="8:20" x14ac:dyDescent="0.35">
      <c r="H19427" s="711"/>
      <c r="I19427" s="711"/>
      <c r="J19427" s="711"/>
      <c r="K19427" s="711"/>
      <c r="L19427" s="711"/>
      <c r="Q19427" s="11"/>
      <c r="R19427" s="11"/>
      <c r="S19427" s="11"/>
      <c r="T19427" s="11"/>
    </row>
    <row r="19428" spans="8:20" x14ac:dyDescent="0.35">
      <c r="H19428" s="711"/>
      <c r="I19428" s="711"/>
      <c r="J19428" s="711"/>
      <c r="K19428" s="711"/>
      <c r="L19428" s="711"/>
      <c r="Q19428" s="11"/>
      <c r="R19428" s="11"/>
      <c r="S19428" s="11"/>
      <c r="T19428" s="11"/>
    </row>
    <row r="19429" spans="8:20" x14ac:dyDescent="0.35">
      <c r="H19429" s="711"/>
      <c r="I19429" s="711"/>
      <c r="J19429" s="711"/>
      <c r="K19429" s="711"/>
      <c r="L19429" s="711"/>
      <c r="Q19429" s="11"/>
      <c r="R19429" s="11"/>
      <c r="S19429" s="11"/>
      <c r="T19429" s="11"/>
    </row>
    <row r="19430" spans="8:20" x14ac:dyDescent="0.35">
      <c r="H19430" s="711"/>
      <c r="I19430" s="711"/>
      <c r="J19430" s="711"/>
      <c r="K19430" s="711"/>
      <c r="L19430" s="711"/>
      <c r="Q19430" s="11"/>
      <c r="R19430" s="11"/>
      <c r="S19430" s="11"/>
      <c r="T19430" s="11"/>
    </row>
    <row r="19431" spans="8:20" x14ac:dyDescent="0.35">
      <c r="H19431" s="711"/>
      <c r="I19431" s="711"/>
      <c r="J19431" s="711"/>
      <c r="K19431" s="711"/>
      <c r="L19431" s="711"/>
      <c r="Q19431" s="11"/>
      <c r="R19431" s="11"/>
      <c r="S19431" s="11"/>
      <c r="T19431" s="11"/>
    </row>
    <row r="19432" spans="8:20" x14ac:dyDescent="0.35">
      <c r="H19432" s="711"/>
      <c r="I19432" s="711"/>
      <c r="J19432" s="711"/>
      <c r="K19432" s="711"/>
      <c r="L19432" s="711"/>
      <c r="Q19432" s="11"/>
      <c r="R19432" s="11"/>
      <c r="S19432" s="11"/>
      <c r="T19432" s="11"/>
    </row>
    <row r="19433" spans="8:20" x14ac:dyDescent="0.35">
      <c r="H19433" s="711"/>
      <c r="I19433" s="711"/>
      <c r="J19433" s="711"/>
      <c r="K19433" s="711"/>
      <c r="L19433" s="711"/>
      <c r="Q19433" s="11"/>
      <c r="R19433" s="11"/>
      <c r="S19433" s="11"/>
      <c r="T19433" s="11"/>
    </row>
    <row r="19434" spans="8:20" x14ac:dyDescent="0.35">
      <c r="H19434" s="711"/>
      <c r="I19434" s="711"/>
      <c r="J19434" s="711"/>
      <c r="K19434" s="711"/>
      <c r="L19434" s="711"/>
      <c r="Q19434" s="11"/>
      <c r="R19434" s="11"/>
      <c r="S19434" s="11"/>
      <c r="T19434" s="11"/>
    </row>
    <row r="19435" spans="8:20" x14ac:dyDescent="0.35">
      <c r="H19435" s="711"/>
      <c r="I19435" s="711"/>
      <c r="J19435" s="711"/>
      <c r="K19435" s="711"/>
      <c r="L19435" s="711"/>
      <c r="Q19435" s="11"/>
      <c r="R19435" s="11"/>
      <c r="S19435" s="11"/>
      <c r="T19435" s="11"/>
    </row>
    <row r="19436" spans="8:20" x14ac:dyDescent="0.35">
      <c r="H19436" s="711"/>
      <c r="I19436" s="711"/>
      <c r="J19436" s="711"/>
      <c r="K19436" s="711"/>
      <c r="L19436" s="711"/>
      <c r="Q19436" s="11"/>
      <c r="R19436" s="11"/>
      <c r="S19436" s="11"/>
      <c r="T19436" s="11"/>
    </row>
    <row r="19437" spans="8:20" x14ac:dyDescent="0.35">
      <c r="H19437" s="711"/>
      <c r="I19437" s="711"/>
      <c r="J19437" s="711"/>
      <c r="K19437" s="711"/>
      <c r="L19437" s="711"/>
      <c r="Q19437" s="11"/>
      <c r="R19437" s="11"/>
      <c r="S19437" s="11"/>
      <c r="T19437" s="11"/>
    </row>
    <row r="19438" spans="8:20" x14ac:dyDescent="0.35">
      <c r="H19438" s="711"/>
      <c r="I19438" s="711"/>
      <c r="J19438" s="711"/>
      <c r="K19438" s="711"/>
      <c r="L19438" s="711"/>
      <c r="Q19438" s="11"/>
      <c r="R19438" s="11"/>
      <c r="S19438" s="11"/>
      <c r="T19438" s="11"/>
    </row>
    <row r="19439" spans="8:20" x14ac:dyDescent="0.35">
      <c r="H19439" s="711"/>
      <c r="I19439" s="711"/>
      <c r="J19439" s="711"/>
      <c r="K19439" s="711"/>
      <c r="L19439" s="711"/>
      <c r="Q19439" s="11"/>
      <c r="R19439" s="11"/>
      <c r="S19439" s="11"/>
      <c r="T19439" s="11"/>
    </row>
    <row r="19440" spans="8:20" x14ac:dyDescent="0.35">
      <c r="H19440" s="711"/>
      <c r="I19440" s="711"/>
      <c r="J19440" s="711"/>
      <c r="K19440" s="711"/>
      <c r="L19440" s="711"/>
      <c r="Q19440" s="11"/>
      <c r="R19440" s="11"/>
      <c r="S19440" s="11"/>
      <c r="T19440" s="11"/>
    </row>
    <row r="19441" spans="8:20" x14ac:dyDescent="0.35">
      <c r="H19441" s="711"/>
      <c r="I19441" s="711"/>
      <c r="J19441" s="711"/>
      <c r="K19441" s="711"/>
      <c r="L19441" s="711"/>
      <c r="Q19441" s="11"/>
      <c r="R19441" s="11"/>
      <c r="S19441" s="11"/>
      <c r="T19441" s="11"/>
    </row>
    <row r="19442" spans="8:20" x14ac:dyDescent="0.35">
      <c r="H19442" s="711"/>
      <c r="I19442" s="711"/>
      <c r="J19442" s="711"/>
      <c r="K19442" s="711"/>
      <c r="L19442" s="711"/>
      <c r="Q19442" s="11"/>
      <c r="R19442" s="11"/>
      <c r="S19442" s="11"/>
      <c r="T19442" s="11"/>
    </row>
    <row r="19443" spans="8:20" x14ac:dyDescent="0.35">
      <c r="H19443" s="711"/>
      <c r="I19443" s="711"/>
      <c r="J19443" s="711"/>
      <c r="K19443" s="711"/>
      <c r="L19443" s="711"/>
      <c r="Q19443" s="11"/>
      <c r="R19443" s="11"/>
      <c r="S19443" s="11"/>
      <c r="T19443" s="11"/>
    </row>
    <row r="19444" spans="8:20" x14ac:dyDescent="0.35">
      <c r="H19444" s="711"/>
      <c r="I19444" s="711"/>
      <c r="J19444" s="711"/>
      <c r="K19444" s="711"/>
      <c r="L19444" s="711"/>
      <c r="Q19444" s="11"/>
      <c r="R19444" s="11"/>
      <c r="S19444" s="11"/>
      <c r="T19444" s="11"/>
    </row>
    <row r="19445" spans="8:20" x14ac:dyDescent="0.35">
      <c r="H19445" s="711"/>
      <c r="I19445" s="711"/>
      <c r="J19445" s="711"/>
      <c r="K19445" s="711"/>
      <c r="L19445" s="711"/>
      <c r="Q19445" s="11"/>
      <c r="R19445" s="11"/>
      <c r="S19445" s="11"/>
      <c r="T19445" s="11"/>
    </row>
    <row r="19446" spans="8:20" x14ac:dyDescent="0.35">
      <c r="H19446" s="711"/>
      <c r="I19446" s="711"/>
      <c r="J19446" s="711"/>
      <c r="K19446" s="711"/>
      <c r="L19446" s="711"/>
      <c r="Q19446" s="11"/>
      <c r="R19446" s="11"/>
      <c r="S19446" s="11"/>
      <c r="T19446" s="11"/>
    </row>
    <row r="19447" spans="8:20" x14ac:dyDescent="0.35">
      <c r="H19447" s="711"/>
      <c r="I19447" s="711"/>
      <c r="J19447" s="711"/>
      <c r="K19447" s="711"/>
      <c r="L19447" s="711"/>
      <c r="Q19447" s="11"/>
      <c r="R19447" s="11"/>
      <c r="S19447" s="11"/>
      <c r="T19447" s="11"/>
    </row>
    <row r="19448" spans="8:20" x14ac:dyDescent="0.35">
      <c r="H19448" s="711"/>
      <c r="I19448" s="711"/>
      <c r="J19448" s="711"/>
      <c r="K19448" s="711"/>
      <c r="L19448" s="711"/>
      <c r="Q19448" s="11"/>
      <c r="R19448" s="11"/>
      <c r="S19448" s="11"/>
      <c r="T19448" s="11"/>
    </row>
    <row r="19449" spans="8:20" x14ac:dyDescent="0.35">
      <c r="H19449" s="711"/>
      <c r="I19449" s="711"/>
      <c r="J19449" s="711"/>
      <c r="K19449" s="711"/>
      <c r="L19449" s="711"/>
      <c r="Q19449" s="11"/>
      <c r="R19449" s="11"/>
      <c r="S19449" s="11"/>
      <c r="T19449" s="11"/>
    </row>
    <row r="19450" spans="8:20" x14ac:dyDescent="0.35">
      <c r="H19450" s="711"/>
      <c r="I19450" s="711"/>
      <c r="J19450" s="711"/>
      <c r="K19450" s="711"/>
      <c r="L19450" s="711"/>
      <c r="Q19450" s="11"/>
      <c r="R19450" s="11"/>
      <c r="S19450" s="11"/>
      <c r="T19450" s="11"/>
    </row>
    <row r="19451" spans="8:20" x14ac:dyDescent="0.35">
      <c r="H19451" s="711"/>
      <c r="I19451" s="711"/>
      <c r="J19451" s="711"/>
      <c r="K19451" s="711"/>
      <c r="L19451" s="711"/>
      <c r="Q19451" s="11"/>
      <c r="R19451" s="11"/>
      <c r="S19451" s="11"/>
      <c r="T19451" s="11"/>
    </row>
    <row r="19452" spans="8:20" x14ac:dyDescent="0.35">
      <c r="H19452" s="711"/>
      <c r="I19452" s="711"/>
      <c r="J19452" s="711"/>
      <c r="K19452" s="711"/>
      <c r="L19452" s="711"/>
      <c r="Q19452" s="11"/>
      <c r="R19452" s="11"/>
      <c r="S19452" s="11"/>
      <c r="T19452" s="11"/>
    </row>
    <row r="19453" spans="8:20" x14ac:dyDescent="0.35">
      <c r="H19453" s="711"/>
      <c r="I19453" s="711"/>
      <c r="J19453" s="711"/>
      <c r="K19453" s="711"/>
      <c r="L19453" s="711"/>
      <c r="Q19453" s="11"/>
      <c r="R19453" s="11"/>
      <c r="S19453" s="11"/>
      <c r="T19453" s="11"/>
    </row>
    <row r="19454" spans="8:20" x14ac:dyDescent="0.35">
      <c r="H19454" s="711"/>
      <c r="I19454" s="711"/>
      <c r="J19454" s="711"/>
      <c r="K19454" s="711"/>
      <c r="L19454" s="711"/>
      <c r="Q19454" s="11"/>
      <c r="R19454" s="11"/>
      <c r="S19454" s="11"/>
      <c r="T19454" s="11"/>
    </row>
    <row r="19455" spans="8:20" x14ac:dyDescent="0.35">
      <c r="H19455" s="711"/>
      <c r="I19455" s="711"/>
      <c r="J19455" s="711"/>
      <c r="K19455" s="711"/>
      <c r="L19455" s="711"/>
      <c r="Q19455" s="11"/>
      <c r="R19455" s="11"/>
      <c r="S19455" s="11"/>
      <c r="T19455" s="11"/>
    </row>
    <row r="19456" spans="8:20" x14ac:dyDescent="0.35">
      <c r="H19456" s="711"/>
      <c r="I19456" s="711"/>
      <c r="J19456" s="711"/>
      <c r="K19456" s="711"/>
      <c r="L19456" s="711"/>
      <c r="Q19456" s="11"/>
      <c r="R19456" s="11"/>
      <c r="S19456" s="11"/>
      <c r="T19456" s="11"/>
    </row>
    <row r="19457" spans="8:20" x14ac:dyDescent="0.35">
      <c r="H19457" s="711"/>
      <c r="I19457" s="711"/>
      <c r="J19457" s="711"/>
      <c r="K19457" s="711"/>
      <c r="L19457" s="711"/>
      <c r="Q19457" s="11"/>
      <c r="R19457" s="11"/>
      <c r="S19457" s="11"/>
      <c r="T19457" s="11"/>
    </row>
    <row r="19458" spans="8:20" x14ac:dyDescent="0.35">
      <c r="H19458" s="711"/>
      <c r="I19458" s="711"/>
      <c r="J19458" s="711"/>
      <c r="K19458" s="711"/>
      <c r="L19458" s="711"/>
      <c r="Q19458" s="11"/>
      <c r="R19458" s="11"/>
      <c r="S19458" s="11"/>
      <c r="T19458" s="11"/>
    </row>
    <row r="19459" spans="8:20" x14ac:dyDescent="0.35">
      <c r="H19459" s="711"/>
      <c r="I19459" s="711"/>
      <c r="J19459" s="711"/>
      <c r="K19459" s="711"/>
      <c r="L19459" s="711"/>
      <c r="Q19459" s="11"/>
      <c r="R19459" s="11"/>
      <c r="S19459" s="11"/>
      <c r="T19459" s="11"/>
    </row>
    <row r="19460" spans="8:20" x14ac:dyDescent="0.35">
      <c r="H19460" s="711"/>
      <c r="I19460" s="711"/>
      <c r="J19460" s="711"/>
      <c r="K19460" s="711"/>
      <c r="L19460" s="711"/>
      <c r="Q19460" s="11"/>
      <c r="R19460" s="11"/>
      <c r="S19460" s="11"/>
      <c r="T19460" s="11"/>
    </row>
    <row r="19461" spans="8:20" x14ac:dyDescent="0.35">
      <c r="H19461" s="711"/>
      <c r="I19461" s="711"/>
      <c r="J19461" s="711"/>
      <c r="K19461" s="711"/>
      <c r="L19461" s="711"/>
      <c r="Q19461" s="11"/>
      <c r="R19461" s="11"/>
      <c r="S19461" s="11"/>
      <c r="T19461" s="11"/>
    </row>
    <row r="19462" spans="8:20" x14ac:dyDescent="0.35">
      <c r="H19462" s="711"/>
      <c r="I19462" s="711"/>
      <c r="J19462" s="711"/>
      <c r="K19462" s="711"/>
      <c r="L19462" s="711"/>
      <c r="Q19462" s="11"/>
      <c r="R19462" s="11"/>
      <c r="S19462" s="11"/>
      <c r="T19462" s="11"/>
    </row>
    <row r="19463" spans="8:20" x14ac:dyDescent="0.35">
      <c r="H19463" s="711"/>
      <c r="I19463" s="711"/>
      <c r="J19463" s="711"/>
      <c r="K19463" s="711"/>
      <c r="L19463" s="711"/>
      <c r="Q19463" s="11"/>
      <c r="R19463" s="11"/>
      <c r="S19463" s="11"/>
      <c r="T19463" s="11"/>
    </row>
    <row r="19464" spans="8:20" x14ac:dyDescent="0.35">
      <c r="H19464" s="711"/>
      <c r="I19464" s="711"/>
      <c r="J19464" s="711"/>
      <c r="K19464" s="711"/>
      <c r="L19464" s="711"/>
      <c r="Q19464" s="11"/>
      <c r="R19464" s="11"/>
      <c r="S19464" s="11"/>
      <c r="T19464" s="11"/>
    </row>
    <row r="19465" spans="8:20" x14ac:dyDescent="0.35">
      <c r="H19465" s="711"/>
      <c r="I19465" s="711"/>
      <c r="J19465" s="711"/>
      <c r="K19465" s="711"/>
      <c r="L19465" s="711"/>
      <c r="Q19465" s="11"/>
      <c r="R19465" s="11"/>
      <c r="S19465" s="11"/>
      <c r="T19465" s="11"/>
    </row>
    <row r="19466" spans="8:20" x14ac:dyDescent="0.35">
      <c r="H19466" s="711"/>
      <c r="I19466" s="711"/>
      <c r="J19466" s="711"/>
      <c r="K19466" s="711"/>
      <c r="L19466" s="711"/>
      <c r="Q19466" s="11"/>
      <c r="R19466" s="11"/>
      <c r="S19466" s="11"/>
      <c r="T19466" s="11"/>
    </row>
    <row r="19467" spans="8:20" x14ac:dyDescent="0.35">
      <c r="H19467" s="711"/>
      <c r="I19467" s="711"/>
      <c r="J19467" s="711"/>
      <c r="K19467" s="711"/>
      <c r="L19467" s="711"/>
      <c r="Q19467" s="11"/>
      <c r="R19467" s="11"/>
      <c r="S19467" s="11"/>
      <c r="T19467" s="11"/>
    </row>
    <row r="19468" spans="8:20" x14ac:dyDescent="0.35">
      <c r="H19468" s="711"/>
      <c r="I19468" s="711"/>
      <c r="J19468" s="711"/>
      <c r="K19468" s="711"/>
      <c r="L19468" s="711"/>
      <c r="Q19468" s="11"/>
      <c r="R19468" s="11"/>
      <c r="S19468" s="11"/>
      <c r="T19468" s="11"/>
    </row>
    <row r="19469" spans="8:20" x14ac:dyDescent="0.35">
      <c r="H19469" s="711"/>
      <c r="I19469" s="711"/>
      <c r="J19469" s="711"/>
      <c r="K19469" s="711"/>
      <c r="L19469" s="711"/>
      <c r="Q19469" s="11"/>
      <c r="R19469" s="11"/>
      <c r="S19469" s="11"/>
      <c r="T19469" s="11"/>
    </row>
    <row r="19470" spans="8:20" x14ac:dyDescent="0.35">
      <c r="H19470" s="711"/>
      <c r="I19470" s="711"/>
      <c r="J19470" s="711"/>
      <c r="K19470" s="711"/>
      <c r="L19470" s="711"/>
      <c r="Q19470" s="11"/>
      <c r="R19470" s="11"/>
      <c r="S19470" s="11"/>
      <c r="T19470" s="11"/>
    </row>
    <row r="19471" spans="8:20" x14ac:dyDescent="0.35">
      <c r="H19471" s="711"/>
      <c r="I19471" s="711"/>
      <c r="J19471" s="711"/>
      <c r="K19471" s="711"/>
      <c r="L19471" s="711"/>
      <c r="Q19471" s="11"/>
      <c r="R19471" s="11"/>
      <c r="S19471" s="11"/>
      <c r="T19471" s="11"/>
    </row>
    <row r="19472" spans="8:20" x14ac:dyDescent="0.35">
      <c r="H19472" s="711"/>
      <c r="I19472" s="711"/>
      <c r="J19472" s="711"/>
      <c r="K19472" s="711"/>
      <c r="L19472" s="711"/>
      <c r="Q19472" s="11"/>
      <c r="R19472" s="11"/>
      <c r="S19472" s="11"/>
      <c r="T19472" s="11"/>
    </row>
    <row r="19473" spans="8:20" x14ac:dyDescent="0.35">
      <c r="H19473" s="711"/>
      <c r="I19473" s="711"/>
      <c r="J19473" s="711"/>
      <c r="K19473" s="711"/>
      <c r="L19473" s="711"/>
      <c r="Q19473" s="11"/>
      <c r="R19473" s="11"/>
      <c r="S19473" s="11"/>
      <c r="T19473" s="11"/>
    </row>
    <row r="19474" spans="8:20" x14ac:dyDescent="0.35">
      <c r="H19474" s="711"/>
      <c r="I19474" s="711"/>
      <c r="J19474" s="711"/>
      <c r="K19474" s="711"/>
      <c r="L19474" s="711"/>
      <c r="Q19474" s="11"/>
      <c r="R19474" s="11"/>
      <c r="S19474" s="11"/>
      <c r="T19474" s="11"/>
    </row>
    <row r="19475" spans="8:20" x14ac:dyDescent="0.35">
      <c r="H19475" s="711"/>
      <c r="I19475" s="711"/>
      <c r="J19475" s="711"/>
      <c r="K19475" s="711"/>
      <c r="L19475" s="711"/>
      <c r="Q19475" s="11"/>
      <c r="R19475" s="11"/>
      <c r="S19475" s="11"/>
      <c r="T19475" s="11"/>
    </row>
    <row r="19476" spans="8:20" x14ac:dyDescent="0.35">
      <c r="H19476" s="711"/>
      <c r="I19476" s="711"/>
      <c r="J19476" s="711"/>
      <c r="K19476" s="711"/>
      <c r="L19476" s="711"/>
      <c r="Q19476" s="11"/>
      <c r="R19476" s="11"/>
      <c r="S19476" s="11"/>
      <c r="T19476" s="11"/>
    </row>
    <row r="19477" spans="8:20" x14ac:dyDescent="0.35">
      <c r="H19477" s="711"/>
      <c r="I19477" s="711"/>
      <c r="J19477" s="711"/>
      <c r="K19477" s="711"/>
      <c r="L19477" s="711"/>
      <c r="Q19477" s="11"/>
      <c r="R19477" s="11"/>
      <c r="S19477" s="11"/>
      <c r="T19477" s="11"/>
    </row>
    <row r="19478" spans="8:20" x14ac:dyDescent="0.35">
      <c r="H19478" s="711"/>
      <c r="I19478" s="711"/>
      <c r="J19478" s="711"/>
      <c r="K19478" s="711"/>
      <c r="L19478" s="711"/>
      <c r="Q19478" s="11"/>
      <c r="R19478" s="11"/>
      <c r="S19478" s="11"/>
      <c r="T19478" s="11"/>
    </row>
    <row r="19479" spans="8:20" x14ac:dyDescent="0.35">
      <c r="H19479" s="711"/>
      <c r="I19479" s="711"/>
      <c r="J19479" s="711"/>
      <c r="K19479" s="711"/>
      <c r="L19479" s="711"/>
      <c r="Q19479" s="11"/>
      <c r="R19479" s="11"/>
      <c r="S19479" s="11"/>
      <c r="T19479" s="11"/>
    </row>
    <row r="19480" spans="8:20" x14ac:dyDescent="0.35">
      <c r="H19480" s="711"/>
      <c r="I19480" s="711"/>
      <c r="J19480" s="711"/>
      <c r="K19480" s="711"/>
      <c r="L19480" s="711"/>
      <c r="Q19480" s="11"/>
      <c r="R19480" s="11"/>
      <c r="S19480" s="11"/>
      <c r="T19480" s="11"/>
    </row>
    <row r="19481" spans="8:20" x14ac:dyDescent="0.35">
      <c r="H19481" s="711"/>
      <c r="I19481" s="711"/>
      <c r="J19481" s="711"/>
      <c r="K19481" s="711"/>
      <c r="L19481" s="711"/>
      <c r="Q19481" s="11"/>
      <c r="R19481" s="11"/>
      <c r="S19481" s="11"/>
      <c r="T19481" s="11"/>
    </row>
    <row r="19482" spans="8:20" x14ac:dyDescent="0.35">
      <c r="H19482" s="711"/>
      <c r="I19482" s="711"/>
      <c r="J19482" s="711"/>
      <c r="K19482" s="711"/>
      <c r="L19482" s="711"/>
      <c r="Q19482" s="11"/>
      <c r="R19482" s="11"/>
      <c r="S19482" s="11"/>
      <c r="T19482" s="11"/>
    </row>
    <row r="19483" spans="8:20" x14ac:dyDescent="0.35">
      <c r="H19483" s="711"/>
      <c r="I19483" s="711"/>
      <c r="J19483" s="711"/>
      <c r="K19483" s="711"/>
      <c r="L19483" s="711"/>
      <c r="Q19483" s="11"/>
      <c r="R19483" s="11"/>
      <c r="S19483" s="11"/>
      <c r="T19483" s="11"/>
    </row>
    <row r="19484" spans="8:20" x14ac:dyDescent="0.35">
      <c r="H19484" s="711"/>
      <c r="I19484" s="711"/>
      <c r="J19484" s="711"/>
      <c r="K19484" s="711"/>
      <c r="L19484" s="711"/>
      <c r="Q19484" s="11"/>
      <c r="R19484" s="11"/>
      <c r="S19484" s="11"/>
      <c r="T19484" s="11"/>
    </row>
    <row r="19485" spans="8:20" x14ac:dyDescent="0.35">
      <c r="H19485" s="711"/>
      <c r="I19485" s="711"/>
      <c r="J19485" s="711"/>
      <c r="K19485" s="711"/>
      <c r="L19485" s="711"/>
      <c r="Q19485" s="11"/>
      <c r="R19485" s="11"/>
      <c r="S19485" s="11"/>
      <c r="T19485" s="11"/>
    </row>
    <row r="19486" spans="8:20" x14ac:dyDescent="0.35">
      <c r="H19486" s="711"/>
      <c r="I19486" s="711"/>
      <c r="J19486" s="711"/>
      <c r="K19486" s="711"/>
      <c r="L19486" s="711"/>
      <c r="Q19486" s="11"/>
      <c r="R19486" s="11"/>
      <c r="S19486" s="11"/>
      <c r="T19486" s="11"/>
    </row>
    <row r="19487" spans="8:20" x14ac:dyDescent="0.35">
      <c r="H19487" s="711"/>
      <c r="I19487" s="711"/>
      <c r="J19487" s="711"/>
      <c r="K19487" s="711"/>
      <c r="L19487" s="711"/>
      <c r="Q19487" s="11"/>
      <c r="R19487" s="11"/>
      <c r="S19487" s="11"/>
      <c r="T19487" s="11"/>
    </row>
    <row r="19488" spans="8:20" x14ac:dyDescent="0.35">
      <c r="H19488" s="711"/>
      <c r="I19488" s="711"/>
      <c r="J19488" s="711"/>
      <c r="K19488" s="711"/>
      <c r="L19488" s="711"/>
      <c r="Q19488" s="11"/>
      <c r="R19488" s="11"/>
      <c r="S19488" s="11"/>
      <c r="T19488" s="11"/>
    </row>
    <row r="19489" spans="8:20" x14ac:dyDescent="0.35">
      <c r="H19489" s="711"/>
      <c r="I19489" s="711"/>
      <c r="J19489" s="711"/>
      <c r="K19489" s="711"/>
      <c r="L19489" s="711"/>
      <c r="Q19489" s="11"/>
      <c r="R19489" s="11"/>
      <c r="S19489" s="11"/>
      <c r="T19489" s="11"/>
    </row>
    <row r="19490" spans="8:20" x14ac:dyDescent="0.35">
      <c r="H19490" s="711"/>
      <c r="I19490" s="711"/>
      <c r="J19490" s="711"/>
      <c r="K19490" s="711"/>
      <c r="L19490" s="711"/>
      <c r="Q19490" s="11"/>
      <c r="R19490" s="11"/>
      <c r="S19490" s="11"/>
      <c r="T19490" s="11"/>
    </row>
    <row r="19491" spans="8:20" x14ac:dyDescent="0.35">
      <c r="H19491" s="711"/>
      <c r="I19491" s="711"/>
      <c r="J19491" s="711"/>
      <c r="K19491" s="711"/>
      <c r="L19491" s="711"/>
      <c r="Q19491" s="11"/>
      <c r="R19491" s="11"/>
      <c r="S19491" s="11"/>
      <c r="T19491" s="11"/>
    </row>
    <row r="19492" spans="8:20" x14ac:dyDescent="0.35">
      <c r="H19492" s="711"/>
      <c r="I19492" s="711"/>
      <c r="J19492" s="711"/>
      <c r="K19492" s="711"/>
      <c r="L19492" s="711"/>
      <c r="Q19492" s="11"/>
      <c r="R19492" s="11"/>
      <c r="S19492" s="11"/>
      <c r="T19492" s="11"/>
    </row>
    <row r="19493" spans="8:20" x14ac:dyDescent="0.35">
      <c r="H19493" s="711"/>
      <c r="I19493" s="711"/>
      <c r="J19493" s="711"/>
      <c r="K19493" s="711"/>
      <c r="L19493" s="711"/>
      <c r="Q19493" s="11"/>
      <c r="R19493" s="11"/>
      <c r="S19493" s="11"/>
      <c r="T19493" s="11"/>
    </row>
    <row r="19494" spans="8:20" x14ac:dyDescent="0.35">
      <c r="H19494" s="711"/>
      <c r="I19494" s="711"/>
      <c r="J19494" s="711"/>
      <c r="K19494" s="711"/>
      <c r="L19494" s="711"/>
      <c r="Q19494" s="11"/>
      <c r="R19494" s="11"/>
      <c r="S19494" s="11"/>
      <c r="T19494" s="11"/>
    </row>
    <row r="19495" spans="8:20" x14ac:dyDescent="0.35">
      <c r="H19495" s="711"/>
      <c r="I19495" s="711"/>
      <c r="J19495" s="711"/>
      <c r="K19495" s="711"/>
      <c r="L19495" s="711"/>
      <c r="Q19495" s="11"/>
      <c r="R19495" s="11"/>
      <c r="S19495" s="11"/>
      <c r="T19495" s="11"/>
    </row>
    <row r="19496" spans="8:20" x14ac:dyDescent="0.35">
      <c r="H19496" s="711"/>
      <c r="I19496" s="711"/>
      <c r="J19496" s="711"/>
      <c r="K19496" s="711"/>
      <c r="L19496" s="711"/>
      <c r="Q19496" s="11"/>
      <c r="R19496" s="11"/>
      <c r="S19496" s="11"/>
      <c r="T19496" s="11"/>
    </row>
    <row r="19497" spans="8:20" x14ac:dyDescent="0.35">
      <c r="H19497" s="711"/>
      <c r="I19497" s="711"/>
      <c r="J19497" s="711"/>
      <c r="K19497" s="711"/>
      <c r="L19497" s="711"/>
      <c r="Q19497" s="11"/>
      <c r="R19497" s="11"/>
      <c r="S19497" s="11"/>
      <c r="T19497" s="11"/>
    </row>
    <row r="19498" spans="8:20" x14ac:dyDescent="0.35">
      <c r="H19498" s="711"/>
      <c r="I19498" s="711"/>
      <c r="J19498" s="711"/>
      <c r="K19498" s="711"/>
      <c r="L19498" s="711"/>
      <c r="Q19498" s="11"/>
      <c r="R19498" s="11"/>
      <c r="S19498" s="11"/>
      <c r="T19498" s="11"/>
    </row>
    <row r="19499" spans="8:20" x14ac:dyDescent="0.35">
      <c r="H19499" s="711"/>
      <c r="I19499" s="711"/>
      <c r="J19499" s="711"/>
      <c r="K19499" s="711"/>
      <c r="L19499" s="711"/>
      <c r="Q19499" s="11"/>
      <c r="R19499" s="11"/>
      <c r="S19499" s="11"/>
      <c r="T19499" s="11"/>
    </row>
    <row r="19500" spans="8:20" x14ac:dyDescent="0.35">
      <c r="H19500" s="711"/>
      <c r="I19500" s="711"/>
      <c r="J19500" s="711"/>
      <c r="K19500" s="711"/>
      <c r="L19500" s="711"/>
      <c r="Q19500" s="11"/>
      <c r="R19500" s="11"/>
      <c r="S19500" s="11"/>
      <c r="T19500" s="11"/>
    </row>
    <row r="19501" spans="8:20" x14ac:dyDescent="0.35">
      <c r="H19501" s="711"/>
      <c r="I19501" s="711"/>
      <c r="J19501" s="711"/>
      <c r="K19501" s="711"/>
      <c r="L19501" s="711"/>
      <c r="Q19501" s="11"/>
      <c r="R19501" s="11"/>
      <c r="S19501" s="11"/>
      <c r="T19501" s="11"/>
    </row>
    <row r="19502" spans="8:20" x14ac:dyDescent="0.35">
      <c r="H19502" s="711"/>
      <c r="I19502" s="711"/>
      <c r="J19502" s="711"/>
      <c r="K19502" s="711"/>
      <c r="L19502" s="711"/>
      <c r="Q19502" s="11"/>
      <c r="R19502" s="11"/>
      <c r="S19502" s="11"/>
      <c r="T19502" s="11"/>
    </row>
    <row r="19503" spans="8:20" x14ac:dyDescent="0.35">
      <c r="H19503" s="711"/>
      <c r="I19503" s="711"/>
      <c r="J19503" s="711"/>
      <c r="K19503" s="711"/>
      <c r="L19503" s="711"/>
      <c r="Q19503" s="11"/>
      <c r="R19503" s="11"/>
      <c r="S19503" s="11"/>
      <c r="T19503" s="11"/>
    </row>
    <row r="19504" spans="8:20" x14ac:dyDescent="0.35">
      <c r="H19504" s="711"/>
      <c r="I19504" s="711"/>
      <c r="J19504" s="711"/>
      <c r="K19504" s="711"/>
      <c r="L19504" s="711"/>
      <c r="Q19504" s="11"/>
      <c r="R19504" s="11"/>
      <c r="S19504" s="11"/>
      <c r="T19504" s="11"/>
    </row>
    <row r="19505" spans="8:20" x14ac:dyDescent="0.35">
      <c r="H19505" s="711"/>
      <c r="I19505" s="711"/>
      <c r="J19505" s="711"/>
      <c r="K19505" s="711"/>
      <c r="L19505" s="711"/>
      <c r="Q19505" s="11"/>
      <c r="R19505" s="11"/>
      <c r="S19505" s="11"/>
      <c r="T19505" s="11"/>
    </row>
    <row r="19506" spans="8:20" x14ac:dyDescent="0.35">
      <c r="H19506" s="711"/>
      <c r="I19506" s="711"/>
      <c r="J19506" s="711"/>
      <c r="K19506" s="711"/>
      <c r="L19506" s="711"/>
      <c r="Q19506" s="11"/>
      <c r="R19506" s="11"/>
      <c r="S19506" s="11"/>
      <c r="T19506" s="11"/>
    </row>
    <row r="19507" spans="8:20" x14ac:dyDescent="0.35">
      <c r="H19507" s="711"/>
      <c r="I19507" s="711"/>
      <c r="J19507" s="711"/>
      <c r="K19507" s="711"/>
      <c r="L19507" s="711"/>
      <c r="Q19507" s="11"/>
      <c r="R19507" s="11"/>
      <c r="S19507" s="11"/>
      <c r="T19507" s="11"/>
    </row>
    <row r="19508" spans="8:20" x14ac:dyDescent="0.35">
      <c r="H19508" s="711"/>
      <c r="I19508" s="711"/>
      <c r="J19508" s="711"/>
      <c r="K19508" s="711"/>
      <c r="L19508" s="711"/>
      <c r="Q19508" s="11"/>
      <c r="R19508" s="11"/>
      <c r="S19508" s="11"/>
      <c r="T19508" s="11"/>
    </row>
    <row r="19509" spans="8:20" x14ac:dyDescent="0.35">
      <c r="H19509" s="711"/>
      <c r="I19509" s="711"/>
      <c r="J19509" s="711"/>
      <c r="K19509" s="711"/>
      <c r="L19509" s="711"/>
      <c r="Q19509" s="11"/>
      <c r="R19509" s="11"/>
      <c r="S19509" s="11"/>
      <c r="T19509" s="11"/>
    </row>
    <row r="19510" spans="8:20" x14ac:dyDescent="0.35">
      <c r="H19510" s="711"/>
      <c r="I19510" s="711"/>
      <c r="J19510" s="711"/>
      <c r="K19510" s="711"/>
      <c r="L19510" s="711"/>
      <c r="Q19510" s="11"/>
      <c r="R19510" s="11"/>
      <c r="S19510" s="11"/>
      <c r="T19510" s="11"/>
    </row>
    <row r="19511" spans="8:20" x14ac:dyDescent="0.35">
      <c r="H19511" s="711"/>
      <c r="I19511" s="711"/>
      <c r="J19511" s="711"/>
      <c r="K19511" s="711"/>
      <c r="L19511" s="711"/>
      <c r="Q19511" s="11"/>
      <c r="R19511" s="11"/>
      <c r="S19511" s="11"/>
      <c r="T19511" s="11"/>
    </row>
    <row r="19512" spans="8:20" x14ac:dyDescent="0.35">
      <c r="H19512" s="711"/>
      <c r="I19512" s="711"/>
      <c r="J19512" s="711"/>
      <c r="K19512" s="711"/>
      <c r="L19512" s="711"/>
      <c r="Q19512" s="11"/>
      <c r="R19512" s="11"/>
      <c r="S19512" s="11"/>
      <c r="T19512" s="11"/>
    </row>
    <row r="19513" spans="8:20" x14ac:dyDescent="0.35">
      <c r="H19513" s="711"/>
      <c r="I19513" s="711"/>
      <c r="J19513" s="711"/>
      <c r="K19513" s="711"/>
      <c r="L19513" s="711"/>
      <c r="Q19513" s="11"/>
      <c r="R19513" s="11"/>
      <c r="S19513" s="11"/>
      <c r="T19513" s="11"/>
    </row>
    <row r="19514" spans="8:20" x14ac:dyDescent="0.35">
      <c r="H19514" s="711"/>
      <c r="I19514" s="711"/>
      <c r="J19514" s="711"/>
      <c r="K19514" s="711"/>
      <c r="L19514" s="711"/>
      <c r="Q19514" s="11"/>
      <c r="R19514" s="11"/>
      <c r="S19514" s="11"/>
      <c r="T19514" s="11"/>
    </row>
    <row r="19515" spans="8:20" x14ac:dyDescent="0.35">
      <c r="H19515" s="711"/>
      <c r="I19515" s="711"/>
      <c r="J19515" s="711"/>
      <c r="K19515" s="711"/>
      <c r="L19515" s="711"/>
      <c r="Q19515" s="11"/>
      <c r="R19515" s="11"/>
      <c r="S19515" s="11"/>
      <c r="T19515" s="11"/>
    </row>
    <row r="19516" spans="8:20" x14ac:dyDescent="0.35">
      <c r="H19516" s="711"/>
      <c r="I19516" s="711"/>
      <c r="J19516" s="711"/>
      <c r="K19516" s="711"/>
      <c r="L19516" s="711"/>
      <c r="Q19516" s="11"/>
      <c r="R19516" s="11"/>
      <c r="S19516" s="11"/>
      <c r="T19516" s="11"/>
    </row>
    <row r="19517" spans="8:20" x14ac:dyDescent="0.35">
      <c r="H19517" s="711"/>
      <c r="I19517" s="711"/>
      <c r="J19517" s="711"/>
      <c r="K19517" s="711"/>
      <c r="L19517" s="711"/>
      <c r="Q19517" s="11"/>
      <c r="R19517" s="11"/>
      <c r="S19517" s="11"/>
      <c r="T19517" s="11"/>
    </row>
    <row r="19518" spans="8:20" x14ac:dyDescent="0.35">
      <c r="H19518" s="711"/>
      <c r="I19518" s="711"/>
      <c r="J19518" s="711"/>
      <c r="K19518" s="711"/>
      <c r="L19518" s="711"/>
      <c r="Q19518" s="11"/>
      <c r="R19518" s="11"/>
      <c r="S19518" s="11"/>
      <c r="T19518" s="11"/>
    </row>
    <row r="19519" spans="8:20" x14ac:dyDescent="0.35">
      <c r="H19519" s="711"/>
      <c r="I19519" s="711"/>
      <c r="J19519" s="711"/>
      <c r="K19519" s="711"/>
      <c r="L19519" s="711"/>
      <c r="Q19519" s="11"/>
      <c r="R19519" s="11"/>
      <c r="S19519" s="11"/>
      <c r="T19519" s="11"/>
    </row>
    <row r="19520" spans="8:20" x14ac:dyDescent="0.35">
      <c r="H19520" s="711"/>
      <c r="I19520" s="711"/>
      <c r="J19520" s="711"/>
      <c r="K19520" s="711"/>
      <c r="L19520" s="711"/>
      <c r="Q19520" s="11"/>
      <c r="R19520" s="11"/>
      <c r="S19520" s="11"/>
      <c r="T19520" s="11"/>
    </row>
    <row r="19521" spans="8:20" x14ac:dyDescent="0.35">
      <c r="H19521" s="711"/>
      <c r="I19521" s="711"/>
      <c r="J19521" s="711"/>
      <c r="K19521" s="711"/>
      <c r="L19521" s="711"/>
      <c r="Q19521" s="11"/>
      <c r="R19521" s="11"/>
      <c r="S19521" s="11"/>
      <c r="T19521" s="11"/>
    </row>
    <row r="19522" spans="8:20" x14ac:dyDescent="0.35">
      <c r="H19522" s="711"/>
      <c r="I19522" s="711"/>
      <c r="J19522" s="711"/>
      <c r="K19522" s="711"/>
      <c r="L19522" s="711"/>
      <c r="Q19522" s="11"/>
      <c r="R19522" s="11"/>
      <c r="S19522" s="11"/>
      <c r="T19522" s="11"/>
    </row>
    <row r="19523" spans="8:20" x14ac:dyDescent="0.35">
      <c r="H19523" s="711"/>
      <c r="I19523" s="711"/>
      <c r="J19523" s="711"/>
      <c r="K19523" s="711"/>
      <c r="L19523" s="711"/>
      <c r="Q19523" s="11"/>
      <c r="R19523" s="11"/>
      <c r="S19523" s="11"/>
      <c r="T19523" s="11"/>
    </row>
    <row r="19524" spans="8:20" x14ac:dyDescent="0.35">
      <c r="H19524" s="711"/>
      <c r="I19524" s="711"/>
      <c r="J19524" s="711"/>
      <c r="K19524" s="711"/>
      <c r="L19524" s="711"/>
      <c r="Q19524" s="11"/>
      <c r="R19524" s="11"/>
      <c r="S19524" s="11"/>
      <c r="T19524" s="11"/>
    </row>
    <row r="19525" spans="8:20" x14ac:dyDescent="0.35">
      <c r="H19525" s="711"/>
      <c r="I19525" s="711"/>
      <c r="J19525" s="711"/>
      <c r="K19525" s="711"/>
      <c r="L19525" s="711"/>
      <c r="Q19525" s="11"/>
      <c r="R19525" s="11"/>
      <c r="S19525" s="11"/>
      <c r="T19525" s="11"/>
    </row>
    <row r="19526" spans="8:20" x14ac:dyDescent="0.35">
      <c r="H19526" s="711"/>
      <c r="I19526" s="711"/>
      <c r="J19526" s="711"/>
      <c r="K19526" s="711"/>
      <c r="L19526" s="711"/>
      <c r="Q19526" s="11"/>
      <c r="R19526" s="11"/>
      <c r="S19526" s="11"/>
      <c r="T19526" s="11"/>
    </row>
    <row r="19527" spans="8:20" x14ac:dyDescent="0.35">
      <c r="H19527" s="711"/>
      <c r="I19527" s="711"/>
      <c r="J19527" s="711"/>
      <c r="K19527" s="711"/>
      <c r="L19527" s="711"/>
      <c r="Q19527" s="11"/>
      <c r="R19527" s="11"/>
      <c r="S19527" s="11"/>
      <c r="T19527" s="11"/>
    </row>
    <row r="19528" spans="8:20" x14ac:dyDescent="0.35">
      <c r="H19528" s="711"/>
      <c r="I19528" s="711"/>
      <c r="J19528" s="711"/>
      <c r="K19528" s="711"/>
      <c r="L19528" s="711"/>
      <c r="Q19528" s="11"/>
      <c r="R19528" s="11"/>
      <c r="S19528" s="11"/>
      <c r="T19528" s="11"/>
    </row>
    <row r="19529" spans="8:20" x14ac:dyDescent="0.35">
      <c r="H19529" s="711"/>
      <c r="I19529" s="711"/>
      <c r="J19529" s="711"/>
      <c r="K19529" s="711"/>
      <c r="L19529" s="711"/>
      <c r="Q19529" s="11"/>
      <c r="R19529" s="11"/>
      <c r="S19529" s="11"/>
      <c r="T19529" s="11"/>
    </row>
    <row r="19530" spans="8:20" x14ac:dyDescent="0.35">
      <c r="H19530" s="711"/>
      <c r="I19530" s="711"/>
      <c r="J19530" s="711"/>
      <c r="K19530" s="711"/>
      <c r="L19530" s="711"/>
      <c r="Q19530" s="11"/>
      <c r="R19530" s="11"/>
      <c r="S19530" s="11"/>
      <c r="T19530" s="11"/>
    </row>
    <row r="19531" spans="8:20" x14ac:dyDescent="0.35">
      <c r="H19531" s="711"/>
      <c r="I19531" s="711"/>
      <c r="J19531" s="711"/>
      <c r="K19531" s="711"/>
      <c r="L19531" s="711"/>
      <c r="Q19531" s="11"/>
      <c r="R19531" s="11"/>
      <c r="S19531" s="11"/>
      <c r="T19531" s="11"/>
    </row>
    <row r="19532" spans="8:20" x14ac:dyDescent="0.35">
      <c r="H19532" s="711"/>
      <c r="I19532" s="711"/>
      <c r="J19532" s="711"/>
      <c r="K19532" s="711"/>
      <c r="L19532" s="711"/>
      <c r="Q19532" s="11"/>
      <c r="R19532" s="11"/>
      <c r="S19532" s="11"/>
      <c r="T19532" s="11"/>
    </row>
    <row r="19533" spans="8:20" x14ac:dyDescent="0.35">
      <c r="H19533" s="711"/>
      <c r="I19533" s="711"/>
      <c r="J19533" s="711"/>
      <c r="K19533" s="711"/>
      <c r="L19533" s="711"/>
      <c r="Q19533" s="11"/>
      <c r="R19533" s="11"/>
      <c r="S19533" s="11"/>
      <c r="T19533" s="11"/>
    </row>
    <row r="19534" spans="8:20" x14ac:dyDescent="0.35">
      <c r="H19534" s="711"/>
      <c r="I19534" s="711"/>
      <c r="J19534" s="711"/>
      <c r="K19534" s="711"/>
      <c r="L19534" s="711"/>
      <c r="Q19534" s="11"/>
      <c r="R19534" s="11"/>
      <c r="S19534" s="11"/>
      <c r="T19534" s="11"/>
    </row>
    <row r="19535" spans="8:20" x14ac:dyDescent="0.35">
      <c r="H19535" s="711"/>
      <c r="I19535" s="711"/>
      <c r="J19535" s="711"/>
      <c r="K19535" s="711"/>
      <c r="L19535" s="711"/>
      <c r="Q19535" s="11"/>
      <c r="R19535" s="11"/>
      <c r="S19535" s="11"/>
      <c r="T19535" s="11"/>
    </row>
    <row r="19536" spans="8:20" x14ac:dyDescent="0.35">
      <c r="H19536" s="711"/>
      <c r="I19536" s="711"/>
      <c r="J19536" s="711"/>
      <c r="K19536" s="711"/>
      <c r="L19536" s="711"/>
      <c r="Q19536" s="11"/>
      <c r="R19536" s="11"/>
      <c r="S19536" s="11"/>
      <c r="T19536" s="11"/>
    </row>
    <row r="19537" spans="8:20" x14ac:dyDescent="0.35">
      <c r="H19537" s="711"/>
      <c r="I19537" s="711"/>
      <c r="J19537" s="711"/>
      <c r="K19537" s="711"/>
      <c r="L19537" s="711"/>
      <c r="Q19537" s="11"/>
      <c r="R19537" s="11"/>
      <c r="S19537" s="11"/>
      <c r="T19537" s="11"/>
    </row>
    <row r="19538" spans="8:20" x14ac:dyDescent="0.35">
      <c r="H19538" s="711"/>
      <c r="I19538" s="711"/>
      <c r="J19538" s="711"/>
      <c r="K19538" s="711"/>
      <c r="L19538" s="711"/>
      <c r="Q19538" s="11"/>
      <c r="R19538" s="11"/>
      <c r="S19538" s="11"/>
      <c r="T19538" s="11"/>
    </row>
    <row r="19539" spans="8:20" x14ac:dyDescent="0.35">
      <c r="H19539" s="711"/>
      <c r="I19539" s="711"/>
      <c r="J19539" s="711"/>
      <c r="K19539" s="711"/>
      <c r="L19539" s="711"/>
      <c r="Q19539" s="11"/>
      <c r="R19539" s="11"/>
      <c r="S19539" s="11"/>
      <c r="T19539" s="11"/>
    </row>
    <row r="19540" spans="8:20" x14ac:dyDescent="0.35">
      <c r="H19540" s="711"/>
      <c r="I19540" s="711"/>
      <c r="J19540" s="711"/>
      <c r="K19540" s="711"/>
      <c r="L19540" s="711"/>
      <c r="Q19540" s="11"/>
      <c r="R19540" s="11"/>
      <c r="S19540" s="11"/>
      <c r="T19540" s="11"/>
    </row>
    <row r="19541" spans="8:20" x14ac:dyDescent="0.35">
      <c r="H19541" s="711"/>
      <c r="I19541" s="711"/>
      <c r="J19541" s="711"/>
      <c r="K19541" s="711"/>
      <c r="L19541" s="711"/>
      <c r="Q19541" s="11"/>
      <c r="R19541" s="11"/>
      <c r="S19541" s="11"/>
      <c r="T19541" s="11"/>
    </row>
    <row r="19542" spans="8:20" x14ac:dyDescent="0.35">
      <c r="H19542" s="711"/>
      <c r="I19542" s="711"/>
      <c r="J19542" s="711"/>
      <c r="K19542" s="711"/>
      <c r="L19542" s="711"/>
      <c r="Q19542" s="11"/>
      <c r="R19542" s="11"/>
      <c r="S19542" s="11"/>
      <c r="T19542" s="11"/>
    </row>
    <row r="19543" spans="8:20" x14ac:dyDescent="0.35">
      <c r="H19543" s="711"/>
      <c r="I19543" s="711"/>
      <c r="J19543" s="711"/>
      <c r="K19543" s="711"/>
      <c r="L19543" s="711"/>
      <c r="Q19543" s="11"/>
      <c r="R19543" s="11"/>
      <c r="S19543" s="11"/>
      <c r="T19543" s="11"/>
    </row>
    <row r="19544" spans="8:20" x14ac:dyDescent="0.35">
      <c r="H19544" s="711"/>
      <c r="I19544" s="711"/>
      <c r="J19544" s="711"/>
      <c r="K19544" s="711"/>
      <c r="L19544" s="711"/>
      <c r="Q19544" s="11"/>
      <c r="R19544" s="11"/>
      <c r="S19544" s="11"/>
      <c r="T19544" s="11"/>
    </row>
    <row r="19545" spans="8:20" x14ac:dyDescent="0.35">
      <c r="H19545" s="711"/>
      <c r="I19545" s="711"/>
      <c r="J19545" s="711"/>
      <c r="K19545" s="711"/>
      <c r="L19545" s="711"/>
      <c r="Q19545" s="11"/>
      <c r="R19545" s="11"/>
      <c r="S19545" s="11"/>
      <c r="T19545" s="11"/>
    </row>
    <row r="19546" spans="8:20" x14ac:dyDescent="0.35">
      <c r="H19546" s="711"/>
      <c r="I19546" s="711"/>
      <c r="J19546" s="711"/>
      <c r="K19546" s="711"/>
      <c r="L19546" s="711"/>
      <c r="Q19546" s="11"/>
      <c r="R19546" s="11"/>
      <c r="S19546" s="11"/>
      <c r="T19546" s="11"/>
    </row>
    <row r="19547" spans="8:20" x14ac:dyDescent="0.35">
      <c r="H19547" s="711"/>
      <c r="I19547" s="711"/>
      <c r="J19547" s="711"/>
      <c r="K19547" s="711"/>
      <c r="L19547" s="711"/>
      <c r="Q19547" s="11"/>
      <c r="R19547" s="11"/>
      <c r="S19547" s="11"/>
      <c r="T19547" s="11"/>
    </row>
    <row r="19548" spans="8:20" x14ac:dyDescent="0.35">
      <c r="H19548" s="711"/>
      <c r="I19548" s="711"/>
      <c r="J19548" s="711"/>
      <c r="K19548" s="711"/>
      <c r="L19548" s="711"/>
      <c r="Q19548" s="11"/>
      <c r="R19548" s="11"/>
      <c r="S19548" s="11"/>
      <c r="T19548" s="11"/>
    </row>
    <row r="19549" spans="8:20" x14ac:dyDescent="0.35">
      <c r="H19549" s="711"/>
      <c r="I19549" s="711"/>
      <c r="J19549" s="711"/>
      <c r="K19549" s="711"/>
      <c r="L19549" s="711"/>
      <c r="Q19549" s="11"/>
      <c r="R19549" s="11"/>
      <c r="S19549" s="11"/>
      <c r="T19549" s="11"/>
    </row>
    <row r="19550" spans="8:20" x14ac:dyDescent="0.35">
      <c r="H19550" s="711"/>
      <c r="I19550" s="711"/>
      <c r="J19550" s="711"/>
      <c r="K19550" s="711"/>
      <c r="L19550" s="711"/>
      <c r="Q19550" s="11"/>
      <c r="R19550" s="11"/>
      <c r="S19550" s="11"/>
      <c r="T19550" s="11"/>
    </row>
    <row r="19551" spans="8:20" x14ac:dyDescent="0.35">
      <c r="H19551" s="711"/>
      <c r="I19551" s="711"/>
      <c r="J19551" s="711"/>
      <c r="K19551" s="711"/>
      <c r="L19551" s="711"/>
      <c r="Q19551" s="11"/>
      <c r="R19551" s="11"/>
      <c r="S19551" s="11"/>
      <c r="T19551" s="11"/>
    </row>
    <row r="19552" spans="8:20" x14ac:dyDescent="0.35">
      <c r="H19552" s="711"/>
      <c r="I19552" s="711"/>
      <c r="J19552" s="711"/>
      <c r="K19552" s="711"/>
      <c r="L19552" s="711"/>
      <c r="Q19552" s="11"/>
      <c r="R19552" s="11"/>
      <c r="S19552" s="11"/>
      <c r="T19552" s="11"/>
    </row>
    <row r="19553" spans="8:20" x14ac:dyDescent="0.35">
      <c r="H19553" s="711"/>
      <c r="I19553" s="711"/>
      <c r="J19553" s="711"/>
      <c r="K19553" s="711"/>
      <c r="L19553" s="711"/>
      <c r="Q19553" s="11"/>
      <c r="R19553" s="11"/>
      <c r="S19553" s="11"/>
      <c r="T19553" s="11"/>
    </row>
    <row r="19554" spans="8:20" x14ac:dyDescent="0.35">
      <c r="H19554" s="711"/>
      <c r="I19554" s="711"/>
      <c r="J19554" s="711"/>
      <c r="K19554" s="711"/>
      <c r="L19554" s="711"/>
      <c r="Q19554" s="11"/>
      <c r="R19554" s="11"/>
      <c r="S19554" s="11"/>
      <c r="T19554" s="11"/>
    </row>
    <row r="19555" spans="8:20" x14ac:dyDescent="0.35">
      <c r="H19555" s="711"/>
      <c r="I19555" s="711"/>
      <c r="J19555" s="711"/>
      <c r="K19555" s="711"/>
      <c r="L19555" s="711"/>
      <c r="Q19555" s="11"/>
      <c r="R19555" s="11"/>
      <c r="S19555" s="11"/>
      <c r="T19555" s="11"/>
    </row>
    <row r="19556" spans="8:20" x14ac:dyDescent="0.35">
      <c r="H19556" s="711"/>
      <c r="I19556" s="711"/>
      <c r="J19556" s="711"/>
      <c r="K19556" s="711"/>
      <c r="L19556" s="711"/>
      <c r="Q19556" s="11"/>
      <c r="R19556" s="11"/>
      <c r="S19556" s="11"/>
      <c r="T19556" s="11"/>
    </row>
    <row r="19557" spans="8:20" x14ac:dyDescent="0.35">
      <c r="H19557" s="711"/>
      <c r="I19557" s="711"/>
      <c r="J19557" s="711"/>
      <c r="K19557" s="711"/>
      <c r="L19557" s="711"/>
      <c r="Q19557" s="11"/>
      <c r="R19557" s="11"/>
      <c r="S19557" s="11"/>
      <c r="T19557" s="11"/>
    </row>
    <row r="19558" spans="8:20" x14ac:dyDescent="0.35">
      <c r="H19558" s="711"/>
      <c r="I19558" s="711"/>
      <c r="J19558" s="711"/>
      <c r="K19558" s="711"/>
      <c r="L19558" s="711"/>
      <c r="Q19558" s="11"/>
      <c r="R19558" s="11"/>
      <c r="S19558" s="11"/>
      <c r="T19558" s="11"/>
    </row>
    <row r="19559" spans="8:20" x14ac:dyDescent="0.35">
      <c r="H19559" s="711"/>
      <c r="I19559" s="711"/>
      <c r="J19559" s="711"/>
      <c r="K19559" s="711"/>
      <c r="L19559" s="711"/>
      <c r="Q19559" s="11"/>
      <c r="R19559" s="11"/>
      <c r="S19559" s="11"/>
      <c r="T19559" s="11"/>
    </row>
    <row r="19560" spans="8:20" x14ac:dyDescent="0.35">
      <c r="H19560" s="711"/>
      <c r="I19560" s="711"/>
      <c r="J19560" s="711"/>
      <c r="K19560" s="711"/>
      <c r="L19560" s="711"/>
      <c r="Q19560" s="11"/>
      <c r="R19560" s="11"/>
      <c r="S19560" s="11"/>
      <c r="T19560" s="11"/>
    </row>
    <row r="19561" spans="8:20" x14ac:dyDescent="0.35">
      <c r="H19561" s="711"/>
      <c r="I19561" s="711"/>
      <c r="J19561" s="711"/>
      <c r="K19561" s="711"/>
      <c r="L19561" s="711"/>
      <c r="Q19561" s="11"/>
      <c r="R19561" s="11"/>
      <c r="S19561" s="11"/>
      <c r="T19561" s="11"/>
    </row>
    <row r="19562" spans="8:20" x14ac:dyDescent="0.35">
      <c r="H19562" s="711"/>
      <c r="I19562" s="711"/>
      <c r="J19562" s="711"/>
      <c r="K19562" s="711"/>
      <c r="L19562" s="711"/>
      <c r="Q19562" s="11"/>
      <c r="R19562" s="11"/>
      <c r="S19562" s="11"/>
      <c r="T19562" s="11"/>
    </row>
    <row r="19563" spans="8:20" x14ac:dyDescent="0.35">
      <c r="H19563" s="711"/>
      <c r="I19563" s="711"/>
      <c r="J19563" s="711"/>
      <c r="K19563" s="711"/>
      <c r="L19563" s="711"/>
      <c r="Q19563" s="11"/>
      <c r="R19563" s="11"/>
      <c r="S19563" s="11"/>
      <c r="T19563" s="11"/>
    </row>
    <row r="19564" spans="8:20" x14ac:dyDescent="0.35">
      <c r="H19564" s="711"/>
      <c r="I19564" s="711"/>
      <c r="J19564" s="711"/>
      <c r="K19564" s="711"/>
      <c r="L19564" s="711"/>
      <c r="Q19564" s="11"/>
      <c r="R19564" s="11"/>
      <c r="S19564" s="11"/>
      <c r="T19564" s="11"/>
    </row>
    <row r="19565" spans="8:20" x14ac:dyDescent="0.35">
      <c r="H19565" s="711"/>
      <c r="I19565" s="711"/>
      <c r="J19565" s="711"/>
      <c r="K19565" s="711"/>
      <c r="L19565" s="711"/>
      <c r="Q19565" s="11"/>
      <c r="R19565" s="11"/>
      <c r="S19565" s="11"/>
      <c r="T19565" s="11"/>
    </row>
    <row r="19566" spans="8:20" x14ac:dyDescent="0.35">
      <c r="H19566" s="711"/>
      <c r="I19566" s="711"/>
      <c r="J19566" s="711"/>
      <c r="K19566" s="711"/>
      <c r="L19566" s="711"/>
      <c r="Q19566" s="11"/>
      <c r="R19566" s="11"/>
      <c r="S19566" s="11"/>
      <c r="T19566" s="11"/>
    </row>
    <row r="19567" spans="8:20" x14ac:dyDescent="0.35">
      <c r="H19567" s="711"/>
      <c r="I19567" s="711"/>
      <c r="J19567" s="711"/>
      <c r="K19567" s="711"/>
      <c r="L19567" s="711"/>
      <c r="Q19567" s="11"/>
      <c r="R19567" s="11"/>
      <c r="S19567" s="11"/>
      <c r="T19567" s="11"/>
    </row>
    <row r="19568" spans="8:20" x14ac:dyDescent="0.35">
      <c r="H19568" s="711"/>
      <c r="I19568" s="711"/>
      <c r="J19568" s="711"/>
      <c r="K19568" s="711"/>
      <c r="L19568" s="711"/>
      <c r="Q19568" s="11"/>
      <c r="R19568" s="11"/>
      <c r="S19568" s="11"/>
      <c r="T19568" s="11"/>
    </row>
    <row r="19569" spans="8:20" x14ac:dyDescent="0.35">
      <c r="H19569" s="711"/>
      <c r="I19569" s="711"/>
      <c r="J19569" s="711"/>
      <c r="K19569" s="711"/>
      <c r="L19569" s="711"/>
      <c r="Q19569" s="11"/>
      <c r="R19569" s="11"/>
      <c r="S19569" s="11"/>
      <c r="T19569" s="11"/>
    </row>
    <row r="19570" spans="8:20" x14ac:dyDescent="0.35">
      <c r="H19570" s="711"/>
      <c r="I19570" s="711"/>
      <c r="J19570" s="711"/>
      <c r="K19570" s="711"/>
      <c r="L19570" s="711"/>
      <c r="Q19570" s="11"/>
      <c r="R19570" s="11"/>
      <c r="S19570" s="11"/>
      <c r="T19570" s="11"/>
    </row>
    <row r="19571" spans="8:20" x14ac:dyDescent="0.35">
      <c r="H19571" s="711"/>
      <c r="I19571" s="711"/>
      <c r="J19571" s="711"/>
      <c r="K19571" s="711"/>
      <c r="L19571" s="711"/>
      <c r="Q19571" s="11"/>
      <c r="R19571" s="11"/>
      <c r="S19571" s="11"/>
      <c r="T19571" s="11"/>
    </row>
    <row r="19572" spans="8:20" x14ac:dyDescent="0.35">
      <c r="H19572" s="711"/>
      <c r="I19572" s="711"/>
      <c r="J19572" s="711"/>
      <c r="K19572" s="711"/>
      <c r="L19572" s="711"/>
      <c r="Q19572" s="11"/>
      <c r="R19572" s="11"/>
      <c r="S19572" s="11"/>
      <c r="T19572" s="11"/>
    </row>
    <row r="19573" spans="8:20" x14ac:dyDescent="0.35">
      <c r="H19573" s="711"/>
      <c r="I19573" s="711"/>
      <c r="J19573" s="711"/>
      <c r="K19573" s="711"/>
      <c r="L19573" s="711"/>
      <c r="Q19573" s="11"/>
      <c r="R19573" s="11"/>
      <c r="S19573" s="11"/>
      <c r="T19573" s="11"/>
    </row>
    <row r="19574" spans="8:20" x14ac:dyDescent="0.35">
      <c r="H19574" s="711"/>
      <c r="I19574" s="711"/>
      <c r="J19574" s="711"/>
      <c r="K19574" s="711"/>
      <c r="L19574" s="711"/>
      <c r="Q19574" s="11"/>
      <c r="R19574" s="11"/>
      <c r="S19574" s="11"/>
      <c r="T19574" s="11"/>
    </row>
    <row r="19575" spans="8:20" x14ac:dyDescent="0.35">
      <c r="H19575" s="711"/>
      <c r="I19575" s="711"/>
      <c r="J19575" s="711"/>
      <c r="K19575" s="711"/>
      <c r="L19575" s="711"/>
      <c r="Q19575" s="11"/>
      <c r="R19575" s="11"/>
      <c r="S19575" s="11"/>
      <c r="T19575" s="11"/>
    </row>
    <row r="19576" spans="8:20" x14ac:dyDescent="0.35">
      <c r="H19576" s="711"/>
      <c r="I19576" s="711"/>
      <c r="J19576" s="711"/>
      <c r="K19576" s="711"/>
      <c r="L19576" s="711"/>
      <c r="Q19576" s="11"/>
      <c r="R19576" s="11"/>
      <c r="S19576" s="11"/>
      <c r="T19576" s="11"/>
    </row>
    <row r="19577" spans="8:20" x14ac:dyDescent="0.35">
      <c r="H19577" s="711"/>
      <c r="I19577" s="711"/>
      <c r="J19577" s="711"/>
      <c r="K19577" s="711"/>
      <c r="L19577" s="711"/>
      <c r="Q19577" s="11"/>
      <c r="R19577" s="11"/>
      <c r="S19577" s="11"/>
      <c r="T19577" s="11"/>
    </row>
    <row r="19578" spans="8:20" x14ac:dyDescent="0.35">
      <c r="H19578" s="711"/>
      <c r="I19578" s="711"/>
      <c r="J19578" s="711"/>
      <c r="K19578" s="711"/>
      <c r="L19578" s="711"/>
      <c r="Q19578" s="11"/>
      <c r="R19578" s="11"/>
      <c r="S19578" s="11"/>
      <c r="T19578" s="11"/>
    </row>
    <row r="19579" spans="8:20" x14ac:dyDescent="0.35">
      <c r="H19579" s="711"/>
      <c r="I19579" s="711"/>
      <c r="J19579" s="711"/>
      <c r="K19579" s="711"/>
      <c r="L19579" s="711"/>
      <c r="Q19579" s="11"/>
      <c r="R19579" s="11"/>
      <c r="S19579" s="11"/>
      <c r="T19579" s="11"/>
    </row>
    <row r="19580" spans="8:20" x14ac:dyDescent="0.35">
      <c r="H19580" s="711"/>
      <c r="I19580" s="711"/>
      <c r="J19580" s="711"/>
      <c r="K19580" s="711"/>
      <c r="L19580" s="711"/>
      <c r="Q19580" s="11"/>
      <c r="R19580" s="11"/>
      <c r="S19580" s="11"/>
      <c r="T19580" s="11"/>
    </row>
    <row r="19581" spans="8:20" x14ac:dyDescent="0.35">
      <c r="H19581" s="711"/>
      <c r="I19581" s="711"/>
      <c r="J19581" s="711"/>
      <c r="K19581" s="711"/>
      <c r="L19581" s="711"/>
      <c r="Q19581" s="11"/>
      <c r="R19581" s="11"/>
      <c r="S19581" s="11"/>
      <c r="T19581" s="11"/>
    </row>
    <row r="19582" spans="8:20" x14ac:dyDescent="0.35">
      <c r="H19582" s="711"/>
      <c r="I19582" s="711"/>
      <c r="J19582" s="711"/>
      <c r="K19582" s="711"/>
      <c r="L19582" s="711"/>
      <c r="Q19582" s="11"/>
      <c r="R19582" s="11"/>
      <c r="S19582" s="11"/>
      <c r="T19582" s="11"/>
    </row>
    <row r="19583" spans="8:20" x14ac:dyDescent="0.35">
      <c r="H19583" s="711"/>
      <c r="I19583" s="711"/>
      <c r="J19583" s="711"/>
      <c r="K19583" s="711"/>
      <c r="L19583" s="711"/>
      <c r="Q19583" s="11"/>
      <c r="R19583" s="11"/>
      <c r="S19583" s="11"/>
      <c r="T19583" s="11"/>
    </row>
    <row r="19584" spans="8:20" x14ac:dyDescent="0.35">
      <c r="H19584" s="711"/>
      <c r="I19584" s="711"/>
      <c r="J19584" s="711"/>
      <c r="K19584" s="711"/>
      <c r="L19584" s="711"/>
      <c r="Q19584" s="11"/>
      <c r="R19584" s="11"/>
      <c r="S19584" s="11"/>
      <c r="T19584" s="11"/>
    </row>
    <row r="19585" spans="8:20" x14ac:dyDescent="0.35">
      <c r="H19585" s="711"/>
      <c r="I19585" s="711"/>
      <c r="J19585" s="711"/>
      <c r="K19585" s="711"/>
      <c r="L19585" s="711"/>
      <c r="Q19585" s="11"/>
      <c r="R19585" s="11"/>
      <c r="S19585" s="11"/>
      <c r="T19585" s="11"/>
    </row>
    <row r="19586" spans="8:20" x14ac:dyDescent="0.35">
      <c r="H19586" s="711"/>
      <c r="I19586" s="711"/>
      <c r="J19586" s="711"/>
      <c r="K19586" s="711"/>
      <c r="L19586" s="711"/>
      <c r="Q19586" s="11"/>
      <c r="R19586" s="11"/>
      <c r="S19586" s="11"/>
      <c r="T19586" s="11"/>
    </row>
    <row r="19587" spans="8:20" x14ac:dyDescent="0.35">
      <c r="H19587" s="711"/>
      <c r="I19587" s="711"/>
      <c r="J19587" s="711"/>
      <c r="K19587" s="711"/>
      <c r="L19587" s="711"/>
      <c r="Q19587" s="11"/>
      <c r="R19587" s="11"/>
      <c r="S19587" s="11"/>
      <c r="T19587" s="11"/>
    </row>
    <row r="19588" spans="8:20" x14ac:dyDescent="0.35">
      <c r="H19588" s="711"/>
      <c r="I19588" s="711"/>
      <c r="J19588" s="711"/>
      <c r="K19588" s="711"/>
      <c r="L19588" s="711"/>
      <c r="Q19588" s="11"/>
      <c r="R19588" s="11"/>
      <c r="S19588" s="11"/>
      <c r="T19588" s="11"/>
    </row>
    <row r="19589" spans="8:20" x14ac:dyDescent="0.35">
      <c r="H19589" s="711"/>
      <c r="I19589" s="711"/>
      <c r="J19589" s="711"/>
      <c r="K19589" s="711"/>
      <c r="L19589" s="711"/>
      <c r="Q19589" s="11"/>
      <c r="R19589" s="11"/>
      <c r="S19589" s="11"/>
      <c r="T19589" s="11"/>
    </row>
    <row r="19590" spans="8:20" x14ac:dyDescent="0.35">
      <c r="H19590" s="711"/>
      <c r="I19590" s="711"/>
      <c r="J19590" s="711"/>
      <c r="K19590" s="711"/>
      <c r="L19590" s="711"/>
      <c r="Q19590" s="11"/>
      <c r="R19590" s="11"/>
      <c r="S19590" s="11"/>
      <c r="T19590" s="11"/>
    </row>
    <row r="19591" spans="8:20" x14ac:dyDescent="0.35">
      <c r="H19591" s="711"/>
      <c r="I19591" s="711"/>
      <c r="J19591" s="711"/>
      <c r="K19591" s="711"/>
      <c r="L19591" s="711"/>
      <c r="Q19591" s="11"/>
      <c r="R19591" s="11"/>
      <c r="S19591" s="11"/>
      <c r="T19591" s="11"/>
    </row>
    <row r="19592" spans="8:20" x14ac:dyDescent="0.35">
      <c r="H19592" s="711"/>
      <c r="I19592" s="711"/>
      <c r="J19592" s="711"/>
      <c r="K19592" s="711"/>
      <c r="L19592" s="711"/>
      <c r="Q19592" s="11"/>
      <c r="R19592" s="11"/>
      <c r="S19592" s="11"/>
      <c r="T19592" s="11"/>
    </row>
    <row r="19593" spans="8:20" x14ac:dyDescent="0.35">
      <c r="H19593" s="711"/>
      <c r="I19593" s="711"/>
      <c r="J19593" s="711"/>
      <c r="K19593" s="711"/>
      <c r="L19593" s="711"/>
      <c r="Q19593" s="11"/>
      <c r="R19593" s="11"/>
      <c r="S19593" s="11"/>
      <c r="T19593" s="11"/>
    </row>
    <row r="19594" spans="8:20" x14ac:dyDescent="0.35">
      <c r="H19594" s="711"/>
      <c r="I19594" s="711"/>
      <c r="J19594" s="711"/>
      <c r="K19594" s="711"/>
      <c r="L19594" s="711"/>
      <c r="Q19594" s="11"/>
      <c r="R19594" s="11"/>
      <c r="S19594" s="11"/>
      <c r="T19594" s="11"/>
    </row>
    <row r="19595" spans="8:20" x14ac:dyDescent="0.35">
      <c r="H19595" s="711"/>
      <c r="I19595" s="711"/>
      <c r="J19595" s="711"/>
      <c r="K19595" s="711"/>
      <c r="L19595" s="711"/>
      <c r="Q19595" s="11"/>
      <c r="R19595" s="11"/>
      <c r="S19595" s="11"/>
      <c r="T19595" s="11"/>
    </row>
    <row r="19596" spans="8:20" x14ac:dyDescent="0.35">
      <c r="H19596" s="711"/>
      <c r="I19596" s="711"/>
      <c r="J19596" s="711"/>
      <c r="K19596" s="711"/>
      <c r="L19596" s="711"/>
      <c r="Q19596" s="11"/>
      <c r="R19596" s="11"/>
      <c r="S19596" s="11"/>
      <c r="T19596" s="11"/>
    </row>
    <row r="19597" spans="8:20" x14ac:dyDescent="0.35">
      <c r="H19597" s="711"/>
      <c r="I19597" s="711"/>
      <c r="J19597" s="711"/>
      <c r="K19597" s="711"/>
      <c r="L19597" s="711"/>
      <c r="Q19597" s="11"/>
      <c r="R19597" s="11"/>
      <c r="S19597" s="11"/>
      <c r="T19597" s="11"/>
    </row>
    <row r="19598" spans="8:20" x14ac:dyDescent="0.35">
      <c r="H19598" s="711"/>
      <c r="I19598" s="711"/>
      <c r="J19598" s="711"/>
      <c r="K19598" s="711"/>
      <c r="L19598" s="711"/>
      <c r="Q19598" s="11"/>
      <c r="R19598" s="11"/>
      <c r="S19598" s="11"/>
      <c r="T19598" s="11"/>
    </row>
    <row r="19599" spans="8:20" x14ac:dyDescent="0.35">
      <c r="H19599" s="711"/>
      <c r="I19599" s="711"/>
      <c r="J19599" s="711"/>
      <c r="K19599" s="711"/>
      <c r="L19599" s="711"/>
      <c r="Q19599" s="11"/>
      <c r="R19599" s="11"/>
      <c r="S19599" s="11"/>
      <c r="T19599" s="11"/>
    </row>
    <row r="19600" spans="8:20" x14ac:dyDescent="0.35">
      <c r="H19600" s="711"/>
      <c r="I19600" s="711"/>
      <c r="J19600" s="711"/>
      <c r="K19600" s="711"/>
      <c r="L19600" s="711"/>
      <c r="Q19600" s="11"/>
      <c r="R19600" s="11"/>
      <c r="S19600" s="11"/>
      <c r="T19600" s="11"/>
    </row>
    <row r="19601" spans="8:20" x14ac:dyDescent="0.35">
      <c r="H19601" s="711"/>
      <c r="I19601" s="711"/>
      <c r="J19601" s="711"/>
      <c r="K19601" s="711"/>
      <c r="L19601" s="711"/>
      <c r="Q19601" s="11"/>
      <c r="R19601" s="11"/>
      <c r="S19601" s="11"/>
      <c r="T19601" s="11"/>
    </row>
    <row r="19602" spans="8:20" x14ac:dyDescent="0.35">
      <c r="H19602" s="711"/>
      <c r="I19602" s="711"/>
      <c r="J19602" s="711"/>
      <c r="K19602" s="711"/>
      <c r="L19602" s="711"/>
      <c r="Q19602" s="11"/>
      <c r="R19602" s="11"/>
      <c r="S19602" s="11"/>
      <c r="T19602" s="11"/>
    </row>
    <row r="19603" spans="8:20" x14ac:dyDescent="0.35">
      <c r="H19603" s="711"/>
      <c r="I19603" s="711"/>
      <c r="J19603" s="711"/>
      <c r="K19603" s="711"/>
      <c r="L19603" s="711"/>
      <c r="Q19603" s="11"/>
      <c r="R19603" s="11"/>
      <c r="S19603" s="11"/>
      <c r="T19603" s="11"/>
    </row>
    <row r="19604" spans="8:20" x14ac:dyDescent="0.35">
      <c r="H19604" s="711"/>
      <c r="I19604" s="711"/>
      <c r="J19604" s="711"/>
      <c r="K19604" s="711"/>
      <c r="L19604" s="711"/>
      <c r="Q19604" s="11"/>
      <c r="R19604" s="11"/>
      <c r="S19604" s="11"/>
      <c r="T19604" s="11"/>
    </row>
    <row r="19605" spans="8:20" x14ac:dyDescent="0.35">
      <c r="H19605" s="711"/>
      <c r="I19605" s="711"/>
      <c r="J19605" s="711"/>
      <c r="K19605" s="711"/>
      <c r="L19605" s="711"/>
      <c r="Q19605" s="11"/>
      <c r="R19605" s="11"/>
      <c r="S19605" s="11"/>
      <c r="T19605" s="11"/>
    </row>
    <row r="19606" spans="8:20" x14ac:dyDescent="0.35">
      <c r="H19606" s="711"/>
      <c r="I19606" s="711"/>
      <c r="J19606" s="711"/>
      <c r="K19606" s="711"/>
      <c r="L19606" s="711"/>
      <c r="Q19606" s="11"/>
      <c r="R19606" s="11"/>
      <c r="S19606" s="11"/>
      <c r="T19606" s="11"/>
    </row>
    <row r="19607" spans="8:20" x14ac:dyDescent="0.35">
      <c r="H19607" s="711"/>
      <c r="I19607" s="711"/>
      <c r="J19607" s="711"/>
      <c r="K19607" s="711"/>
      <c r="L19607" s="711"/>
      <c r="Q19607" s="11"/>
      <c r="R19607" s="11"/>
      <c r="S19607" s="11"/>
      <c r="T19607" s="11"/>
    </row>
    <row r="19608" spans="8:20" x14ac:dyDescent="0.35">
      <c r="H19608" s="711"/>
      <c r="I19608" s="711"/>
      <c r="J19608" s="711"/>
      <c r="K19608" s="711"/>
      <c r="L19608" s="711"/>
      <c r="Q19608" s="11"/>
      <c r="R19608" s="11"/>
      <c r="S19608" s="11"/>
      <c r="T19608" s="11"/>
    </row>
    <row r="19609" spans="8:20" x14ac:dyDescent="0.35">
      <c r="H19609" s="711"/>
      <c r="I19609" s="711"/>
      <c r="J19609" s="711"/>
      <c r="K19609" s="711"/>
      <c r="L19609" s="711"/>
      <c r="Q19609" s="11"/>
      <c r="R19609" s="11"/>
      <c r="S19609" s="11"/>
      <c r="T19609" s="11"/>
    </row>
    <row r="19610" spans="8:20" x14ac:dyDescent="0.35">
      <c r="H19610" s="711"/>
      <c r="I19610" s="711"/>
      <c r="J19610" s="711"/>
      <c r="K19610" s="711"/>
      <c r="L19610" s="711"/>
      <c r="Q19610" s="11"/>
      <c r="R19610" s="11"/>
      <c r="S19610" s="11"/>
      <c r="T19610" s="11"/>
    </row>
    <row r="19611" spans="8:20" x14ac:dyDescent="0.35">
      <c r="H19611" s="711"/>
      <c r="I19611" s="711"/>
      <c r="J19611" s="711"/>
      <c r="K19611" s="711"/>
      <c r="L19611" s="711"/>
      <c r="Q19611" s="11"/>
      <c r="R19611" s="11"/>
      <c r="S19611" s="11"/>
      <c r="T19611" s="11"/>
    </row>
    <row r="19612" spans="8:20" x14ac:dyDescent="0.35">
      <c r="H19612" s="711"/>
      <c r="I19612" s="711"/>
      <c r="J19612" s="711"/>
      <c r="K19612" s="711"/>
      <c r="L19612" s="711"/>
      <c r="Q19612" s="11"/>
      <c r="R19612" s="11"/>
      <c r="S19612" s="11"/>
      <c r="T19612" s="11"/>
    </row>
    <row r="19613" spans="8:20" x14ac:dyDescent="0.35">
      <c r="H19613" s="711"/>
      <c r="I19613" s="711"/>
      <c r="J19613" s="711"/>
      <c r="K19613" s="711"/>
      <c r="L19613" s="711"/>
      <c r="Q19613" s="11"/>
      <c r="R19613" s="11"/>
      <c r="S19613" s="11"/>
      <c r="T19613" s="11"/>
    </row>
    <row r="19614" spans="8:20" x14ac:dyDescent="0.35">
      <c r="H19614" s="711"/>
      <c r="I19614" s="711"/>
      <c r="J19614" s="711"/>
      <c r="K19614" s="711"/>
      <c r="L19614" s="711"/>
      <c r="Q19614" s="11"/>
      <c r="R19614" s="11"/>
      <c r="S19614" s="11"/>
      <c r="T19614" s="11"/>
    </row>
    <row r="19615" spans="8:20" x14ac:dyDescent="0.35">
      <c r="H19615" s="711"/>
      <c r="I19615" s="711"/>
      <c r="J19615" s="711"/>
      <c r="K19615" s="711"/>
      <c r="L19615" s="711"/>
      <c r="Q19615" s="11"/>
      <c r="R19615" s="11"/>
      <c r="S19615" s="11"/>
      <c r="T19615" s="11"/>
    </row>
    <row r="19616" spans="8:20" x14ac:dyDescent="0.35">
      <c r="H19616" s="711"/>
      <c r="I19616" s="711"/>
      <c r="J19616" s="711"/>
      <c r="K19616" s="711"/>
      <c r="L19616" s="711"/>
      <c r="Q19616" s="11"/>
      <c r="R19616" s="11"/>
      <c r="S19616" s="11"/>
      <c r="T19616" s="11"/>
    </row>
    <row r="19617" spans="8:20" x14ac:dyDescent="0.35">
      <c r="H19617" s="711"/>
      <c r="I19617" s="711"/>
      <c r="J19617" s="711"/>
      <c r="K19617" s="711"/>
      <c r="L19617" s="711"/>
      <c r="Q19617" s="11"/>
      <c r="R19617" s="11"/>
      <c r="S19617" s="11"/>
      <c r="T19617" s="11"/>
    </row>
    <row r="19618" spans="8:20" x14ac:dyDescent="0.35">
      <c r="H19618" s="711"/>
      <c r="I19618" s="711"/>
      <c r="J19618" s="711"/>
      <c r="K19618" s="711"/>
      <c r="L19618" s="711"/>
      <c r="Q19618" s="11"/>
      <c r="R19618" s="11"/>
      <c r="S19618" s="11"/>
      <c r="T19618" s="11"/>
    </row>
    <row r="19619" spans="8:20" x14ac:dyDescent="0.35">
      <c r="H19619" s="711"/>
      <c r="I19619" s="711"/>
      <c r="J19619" s="711"/>
      <c r="K19619" s="711"/>
      <c r="L19619" s="711"/>
      <c r="Q19619" s="11"/>
      <c r="R19619" s="11"/>
      <c r="S19619" s="11"/>
      <c r="T19619" s="11"/>
    </row>
    <row r="19620" spans="8:20" x14ac:dyDescent="0.35">
      <c r="H19620" s="711"/>
      <c r="I19620" s="711"/>
      <c r="J19620" s="711"/>
      <c r="K19620" s="711"/>
      <c r="L19620" s="711"/>
      <c r="Q19620" s="11"/>
      <c r="R19620" s="11"/>
      <c r="S19620" s="11"/>
      <c r="T19620" s="11"/>
    </row>
    <row r="19621" spans="8:20" x14ac:dyDescent="0.35">
      <c r="H19621" s="711"/>
      <c r="I19621" s="711"/>
      <c r="J19621" s="711"/>
      <c r="K19621" s="711"/>
      <c r="L19621" s="711"/>
      <c r="Q19621" s="11"/>
      <c r="R19621" s="11"/>
      <c r="S19621" s="11"/>
      <c r="T19621" s="11"/>
    </row>
    <row r="19622" spans="8:20" x14ac:dyDescent="0.35">
      <c r="H19622" s="711"/>
      <c r="I19622" s="711"/>
      <c r="J19622" s="711"/>
      <c r="K19622" s="711"/>
      <c r="L19622" s="711"/>
      <c r="Q19622" s="11"/>
      <c r="R19622" s="11"/>
      <c r="S19622" s="11"/>
      <c r="T19622" s="11"/>
    </row>
    <row r="19623" spans="8:20" x14ac:dyDescent="0.35">
      <c r="H19623" s="711"/>
      <c r="I19623" s="711"/>
      <c r="J19623" s="711"/>
      <c r="K19623" s="711"/>
      <c r="L19623" s="711"/>
      <c r="Q19623" s="11"/>
      <c r="R19623" s="11"/>
      <c r="S19623" s="11"/>
      <c r="T19623" s="11"/>
    </row>
    <row r="19624" spans="8:20" x14ac:dyDescent="0.35">
      <c r="H19624" s="711"/>
      <c r="I19624" s="711"/>
      <c r="J19624" s="711"/>
      <c r="K19624" s="711"/>
      <c r="L19624" s="711"/>
      <c r="Q19624" s="11"/>
      <c r="R19624" s="11"/>
      <c r="S19624" s="11"/>
      <c r="T19624" s="11"/>
    </row>
    <row r="19625" spans="8:20" x14ac:dyDescent="0.35">
      <c r="H19625" s="711"/>
      <c r="I19625" s="711"/>
      <c r="J19625" s="711"/>
      <c r="K19625" s="711"/>
      <c r="L19625" s="711"/>
      <c r="Q19625" s="11"/>
      <c r="R19625" s="11"/>
      <c r="S19625" s="11"/>
      <c r="T19625" s="11"/>
    </row>
    <row r="19626" spans="8:20" x14ac:dyDescent="0.35">
      <c r="H19626" s="711"/>
      <c r="I19626" s="711"/>
      <c r="J19626" s="711"/>
      <c r="K19626" s="711"/>
      <c r="L19626" s="711"/>
      <c r="Q19626" s="11"/>
      <c r="R19626" s="11"/>
      <c r="S19626" s="11"/>
      <c r="T19626" s="11"/>
    </row>
    <row r="19627" spans="8:20" x14ac:dyDescent="0.35">
      <c r="H19627" s="711"/>
      <c r="I19627" s="711"/>
      <c r="J19627" s="711"/>
      <c r="K19627" s="711"/>
      <c r="L19627" s="711"/>
      <c r="Q19627" s="11"/>
      <c r="R19627" s="11"/>
      <c r="S19627" s="11"/>
      <c r="T19627" s="11"/>
    </row>
    <row r="19628" spans="8:20" x14ac:dyDescent="0.35">
      <c r="H19628" s="711"/>
      <c r="I19628" s="711"/>
      <c r="J19628" s="711"/>
      <c r="K19628" s="711"/>
      <c r="L19628" s="711"/>
      <c r="Q19628" s="11"/>
      <c r="R19628" s="11"/>
      <c r="S19628" s="11"/>
      <c r="T19628" s="11"/>
    </row>
    <row r="19629" spans="8:20" x14ac:dyDescent="0.35">
      <c r="H19629" s="711"/>
      <c r="I19629" s="711"/>
      <c r="J19629" s="711"/>
      <c r="K19629" s="711"/>
      <c r="L19629" s="711"/>
      <c r="Q19629" s="11"/>
      <c r="R19629" s="11"/>
      <c r="S19629" s="11"/>
      <c r="T19629" s="11"/>
    </row>
    <row r="19630" spans="8:20" x14ac:dyDescent="0.35">
      <c r="H19630" s="711"/>
      <c r="I19630" s="711"/>
      <c r="J19630" s="711"/>
      <c r="K19630" s="711"/>
      <c r="L19630" s="711"/>
      <c r="Q19630" s="11"/>
      <c r="R19630" s="11"/>
      <c r="S19630" s="11"/>
      <c r="T19630" s="11"/>
    </row>
    <row r="19631" spans="8:20" x14ac:dyDescent="0.35">
      <c r="H19631" s="711"/>
      <c r="I19631" s="711"/>
      <c r="J19631" s="711"/>
      <c r="K19631" s="711"/>
      <c r="L19631" s="711"/>
      <c r="Q19631" s="11"/>
      <c r="R19631" s="11"/>
      <c r="S19631" s="11"/>
      <c r="T19631" s="11"/>
    </row>
    <row r="19632" spans="8:20" x14ac:dyDescent="0.35">
      <c r="H19632" s="711"/>
      <c r="I19632" s="711"/>
      <c r="J19632" s="711"/>
      <c r="K19632" s="711"/>
      <c r="L19632" s="711"/>
      <c r="Q19632" s="11"/>
      <c r="R19632" s="11"/>
      <c r="S19632" s="11"/>
      <c r="T19632" s="11"/>
    </row>
    <row r="19633" spans="8:20" x14ac:dyDescent="0.35">
      <c r="H19633" s="711"/>
      <c r="I19633" s="711"/>
      <c r="J19633" s="711"/>
      <c r="K19633" s="711"/>
      <c r="L19633" s="711"/>
      <c r="Q19633" s="11"/>
      <c r="R19633" s="11"/>
      <c r="S19633" s="11"/>
      <c r="T19633" s="11"/>
    </row>
    <row r="19634" spans="8:20" x14ac:dyDescent="0.35">
      <c r="H19634" s="711"/>
      <c r="I19634" s="711"/>
      <c r="J19634" s="711"/>
      <c r="K19634" s="711"/>
      <c r="L19634" s="711"/>
      <c r="Q19634" s="11"/>
      <c r="R19634" s="11"/>
      <c r="S19634" s="11"/>
      <c r="T19634" s="11"/>
    </row>
    <row r="19635" spans="8:20" x14ac:dyDescent="0.35">
      <c r="H19635" s="711"/>
      <c r="I19635" s="711"/>
      <c r="J19635" s="711"/>
      <c r="K19635" s="711"/>
      <c r="L19635" s="711"/>
      <c r="Q19635" s="11"/>
      <c r="R19635" s="11"/>
      <c r="S19635" s="11"/>
      <c r="T19635" s="11"/>
    </row>
    <row r="19636" spans="8:20" x14ac:dyDescent="0.35">
      <c r="H19636" s="711"/>
      <c r="I19636" s="711"/>
      <c r="J19636" s="711"/>
      <c r="K19636" s="711"/>
      <c r="L19636" s="711"/>
      <c r="Q19636" s="11"/>
      <c r="R19636" s="11"/>
      <c r="S19636" s="11"/>
      <c r="T19636" s="11"/>
    </row>
    <row r="19637" spans="8:20" x14ac:dyDescent="0.35">
      <c r="H19637" s="711"/>
      <c r="I19637" s="711"/>
      <c r="J19637" s="711"/>
      <c r="K19637" s="711"/>
      <c r="L19637" s="711"/>
      <c r="Q19637" s="11"/>
      <c r="R19637" s="11"/>
      <c r="S19637" s="11"/>
      <c r="T19637" s="11"/>
    </row>
    <row r="19638" spans="8:20" x14ac:dyDescent="0.35">
      <c r="H19638" s="711"/>
      <c r="I19638" s="711"/>
      <c r="J19638" s="711"/>
      <c r="K19638" s="711"/>
      <c r="L19638" s="711"/>
      <c r="Q19638" s="11"/>
      <c r="R19638" s="11"/>
      <c r="S19638" s="11"/>
      <c r="T19638" s="11"/>
    </row>
    <row r="19639" spans="8:20" x14ac:dyDescent="0.35">
      <c r="H19639" s="711"/>
      <c r="I19639" s="711"/>
      <c r="J19639" s="711"/>
      <c r="K19639" s="711"/>
      <c r="L19639" s="711"/>
      <c r="Q19639" s="11"/>
      <c r="R19639" s="11"/>
      <c r="S19639" s="11"/>
      <c r="T19639" s="11"/>
    </row>
    <row r="19640" spans="8:20" x14ac:dyDescent="0.35">
      <c r="H19640" s="711"/>
      <c r="I19640" s="711"/>
      <c r="J19640" s="711"/>
      <c r="K19640" s="711"/>
      <c r="L19640" s="711"/>
      <c r="Q19640" s="11"/>
      <c r="R19640" s="11"/>
      <c r="S19640" s="11"/>
      <c r="T19640" s="11"/>
    </row>
    <row r="19641" spans="8:20" x14ac:dyDescent="0.35">
      <c r="H19641" s="711"/>
      <c r="I19641" s="711"/>
      <c r="J19641" s="711"/>
      <c r="K19641" s="711"/>
      <c r="L19641" s="711"/>
      <c r="Q19641" s="11"/>
      <c r="R19641" s="11"/>
      <c r="S19641" s="11"/>
      <c r="T19641" s="11"/>
    </row>
    <row r="19642" spans="8:20" x14ac:dyDescent="0.35">
      <c r="H19642" s="711"/>
      <c r="I19642" s="711"/>
      <c r="J19642" s="711"/>
      <c r="K19642" s="711"/>
      <c r="L19642" s="711"/>
      <c r="Q19642" s="11"/>
      <c r="R19642" s="11"/>
      <c r="S19642" s="11"/>
      <c r="T19642" s="11"/>
    </row>
    <row r="19643" spans="8:20" x14ac:dyDescent="0.35">
      <c r="H19643" s="711"/>
      <c r="I19643" s="711"/>
      <c r="J19643" s="711"/>
      <c r="K19643" s="711"/>
      <c r="L19643" s="711"/>
      <c r="Q19643" s="11"/>
      <c r="R19643" s="11"/>
      <c r="S19643" s="11"/>
      <c r="T19643" s="11"/>
    </row>
    <row r="19644" spans="8:20" x14ac:dyDescent="0.35">
      <c r="H19644" s="711"/>
      <c r="I19644" s="711"/>
      <c r="J19644" s="711"/>
      <c r="K19644" s="711"/>
      <c r="L19644" s="711"/>
      <c r="Q19644" s="11"/>
      <c r="R19644" s="11"/>
      <c r="S19644" s="11"/>
      <c r="T19644" s="11"/>
    </row>
    <row r="19645" spans="8:20" x14ac:dyDescent="0.35">
      <c r="H19645" s="711"/>
      <c r="I19645" s="711"/>
      <c r="J19645" s="711"/>
      <c r="K19645" s="711"/>
      <c r="L19645" s="711"/>
      <c r="Q19645" s="11"/>
      <c r="R19645" s="11"/>
      <c r="S19645" s="11"/>
      <c r="T19645" s="11"/>
    </row>
    <row r="19646" spans="8:20" x14ac:dyDescent="0.35">
      <c r="H19646" s="711"/>
      <c r="I19646" s="711"/>
      <c r="J19646" s="711"/>
      <c r="K19646" s="711"/>
      <c r="L19646" s="711"/>
      <c r="Q19646" s="11"/>
      <c r="R19646" s="11"/>
      <c r="S19646" s="11"/>
      <c r="T19646" s="11"/>
    </row>
    <row r="19647" spans="8:20" x14ac:dyDescent="0.35">
      <c r="H19647" s="711"/>
      <c r="I19647" s="711"/>
      <c r="J19647" s="711"/>
      <c r="K19647" s="711"/>
      <c r="L19647" s="711"/>
      <c r="Q19647" s="11"/>
      <c r="R19647" s="11"/>
      <c r="S19647" s="11"/>
      <c r="T19647" s="11"/>
    </row>
    <row r="19648" spans="8:20" x14ac:dyDescent="0.35">
      <c r="H19648" s="711"/>
      <c r="I19648" s="711"/>
      <c r="J19648" s="711"/>
      <c r="K19648" s="711"/>
      <c r="L19648" s="711"/>
      <c r="Q19648" s="11"/>
      <c r="R19648" s="11"/>
      <c r="S19648" s="11"/>
      <c r="T19648" s="11"/>
    </row>
    <row r="19649" spans="8:20" x14ac:dyDescent="0.35">
      <c r="H19649" s="711"/>
      <c r="I19649" s="711"/>
      <c r="J19649" s="711"/>
      <c r="K19649" s="711"/>
      <c r="L19649" s="711"/>
      <c r="Q19649" s="11"/>
      <c r="R19649" s="11"/>
      <c r="S19649" s="11"/>
      <c r="T19649" s="11"/>
    </row>
    <row r="19650" spans="8:20" x14ac:dyDescent="0.35">
      <c r="H19650" s="711"/>
      <c r="I19650" s="711"/>
      <c r="J19650" s="711"/>
      <c r="K19650" s="711"/>
      <c r="L19650" s="711"/>
      <c r="Q19650" s="11"/>
      <c r="R19650" s="11"/>
      <c r="S19650" s="11"/>
      <c r="T19650" s="11"/>
    </row>
    <row r="19651" spans="8:20" x14ac:dyDescent="0.35">
      <c r="H19651" s="711"/>
      <c r="I19651" s="711"/>
      <c r="J19651" s="711"/>
      <c r="K19651" s="711"/>
      <c r="L19651" s="711"/>
      <c r="Q19651" s="11"/>
      <c r="R19651" s="11"/>
      <c r="S19651" s="11"/>
      <c r="T19651" s="11"/>
    </row>
    <row r="19652" spans="8:20" x14ac:dyDescent="0.35">
      <c r="H19652" s="711"/>
      <c r="I19652" s="711"/>
      <c r="J19652" s="711"/>
      <c r="K19652" s="711"/>
      <c r="L19652" s="711"/>
      <c r="Q19652" s="11"/>
      <c r="R19652" s="11"/>
      <c r="S19652" s="11"/>
      <c r="T19652" s="11"/>
    </row>
    <row r="19653" spans="8:20" x14ac:dyDescent="0.35">
      <c r="H19653" s="711"/>
      <c r="I19653" s="711"/>
      <c r="J19653" s="711"/>
      <c r="K19653" s="711"/>
      <c r="L19653" s="711"/>
      <c r="Q19653" s="11"/>
      <c r="R19653" s="11"/>
      <c r="S19653" s="11"/>
      <c r="T19653" s="11"/>
    </row>
    <row r="19654" spans="8:20" x14ac:dyDescent="0.35">
      <c r="H19654" s="711"/>
      <c r="I19654" s="711"/>
      <c r="J19654" s="711"/>
      <c r="K19654" s="711"/>
      <c r="L19654" s="711"/>
      <c r="Q19654" s="11"/>
      <c r="R19654" s="11"/>
      <c r="S19654" s="11"/>
      <c r="T19654" s="11"/>
    </row>
    <row r="19655" spans="8:20" x14ac:dyDescent="0.35">
      <c r="H19655" s="711"/>
      <c r="I19655" s="711"/>
      <c r="J19655" s="711"/>
      <c r="K19655" s="711"/>
      <c r="L19655" s="711"/>
      <c r="Q19655" s="11"/>
      <c r="R19655" s="11"/>
      <c r="S19655" s="11"/>
      <c r="T19655" s="11"/>
    </row>
    <row r="19656" spans="8:20" x14ac:dyDescent="0.35">
      <c r="H19656" s="711"/>
      <c r="I19656" s="711"/>
      <c r="J19656" s="711"/>
      <c r="K19656" s="711"/>
      <c r="L19656" s="711"/>
      <c r="Q19656" s="11"/>
      <c r="R19656" s="11"/>
      <c r="S19656" s="11"/>
      <c r="T19656" s="11"/>
    </row>
    <row r="19657" spans="8:20" x14ac:dyDescent="0.35">
      <c r="H19657" s="711"/>
      <c r="I19657" s="711"/>
      <c r="J19657" s="711"/>
      <c r="K19657" s="711"/>
      <c r="L19657" s="711"/>
      <c r="Q19657" s="11"/>
      <c r="R19657" s="11"/>
      <c r="S19657" s="11"/>
      <c r="T19657" s="11"/>
    </row>
    <row r="19658" spans="8:20" x14ac:dyDescent="0.35">
      <c r="H19658" s="711"/>
      <c r="I19658" s="711"/>
      <c r="J19658" s="711"/>
      <c r="K19658" s="711"/>
      <c r="L19658" s="711"/>
      <c r="Q19658" s="11"/>
      <c r="R19658" s="11"/>
      <c r="S19658" s="11"/>
      <c r="T19658" s="11"/>
    </row>
    <row r="19659" spans="8:20" x14ac:dyDescent="0.35">
      <c r="H19659" s="711"/>
      <c r="I19659" s="711"/>
      <c r="J19659" s="711"/>
      <c r="K19659" s="711"/>
      <c r="L19659" s="711"/>
      <c r="Q19659" s="11"/>
      <c r="R19659" s="11"/>
      <c r="S19659" s="11"/>
      <c r="T19659" s="11"/>
    </row>
    <row r="19660" spans="8:20" x14ac:dyDescent="0.35">
      <c r="H19660" s="711"/>
      <c r="I19660" s="711"/>
      <c r="J19660" s="711"/>
      <c r="K19660" s="711"/>
      <c r="L19660" s="711"/>
      <c r="Q19660" s="11"/>
      <c r="R19660" s="11"/>
      <c r="S19660" s="11"/>
      <c r="T19660" s="11"/>
    </row>
    <row r="19661" spans="8:20" x14ac:dyDescent="0.35">
      <c r="H19661" s="711"/>
      <c r="I19661" s="711"/>
      <c r="J19661" s="711"/>
      <c r="K19661" s="711"/>
      <c r="L19661" s="711"/>
      <c r="Q19661" s="11"/>
      <c r="R19661" s="11"/>
      <c r="S19661" s="11"/>
      <c r="T19661" s="11"/>
    </row>
    <row r="19662" spans="8:20" x14ac:dyDescent="0.35">
      <c r="H19662" s="711"/>
      <c r="I19662" s="711"/>
      <c r="J19662" s="711"/>
      <c r="K19662" s="711"/>
      <c r="L19662" s="711"/>
      <c r="Q19662" s="11"/>
      <c r="R19662" s="11"/>
      <c r="S19662" s="11"/>
      <c r="T19662" s="11"/>
    </row>
    <row r="19663" spans="8:20" x14ac:dyDescent="0.35">
      <c r="H19663" s="711"/>
      <c r="I19663" s="711"/>
      <c r="J19663" s="711"/>
      <c r="K19663" s="711"/>
      <c r="L19663" s="711"/>
      <c r="Q19663" s="11"/>
      <c r="R19663" s="11"/>
      <c r="S19663" s="11"/>
      <c r="T19663" s="11"/>
    </row>
    <row r="19664" spans="8:20" x14ac:dyDescent="0.35">
      <c r="H19664" s="711"/>
      <c r="I19664" s="711"/>
      <c r="J19664" s="711"/>
      <c r="K19664" s="711"/>
      <c r="L19664" s="711"/>
      <c r="Q19664" s="11"/>
      <c r="R19664" s="11"/>
      <c r="S19664" s="11"/>
      <c r="T19664" s="11"/>
    </row>
    <row r="19665" spans="8:20" x14ac:dyDescent="0.35">
      <c r="H19665" s="711"/>
      <c r="I19665" s="711"/>
      <c r="J19665" s="711"/>
      <c r="K19665" s="711"/>
      <c r="L19665" s="711"/>
      <c r="Q19665" s="11"/>
      <c r="R19665" s="11"/>
      <c r="S19665" s="11"/>
      <c r="T19665" s="11"/>
    </row>
    <row r="19666" spans="8:20" x14ac:dyDescent="0.35">
      <c r="H19666" s="711"/>
      <c r="I19666" s="711"/>
      <c r="J19666" s="711"/>
      <c r="K19666" s="711"/>
      <c r="L19666" s="711"/>
      <c r="Q19666" s="11"/>
      <c r="R19666" s="11"/>
      <c r="S19666" s="11"/>
      <c r="T19666" s="11"/>
    </row>
    <row r="19667" spans="8:20" x14ac:dyDescent="0.35">
      <c r="H19667" s="711"/>
      <c r="I19667" s="711"/>
      <c r="J19667" s="711"/>
      <c r="K19667" s="711"/>
      <c r="L19667" s="711"/>
      <c r="Q19667" s="11"/>
      <c r="R19667" s="11"/>
      <c r="S19667" s="11"/>
      <c r="T19667" s="11"/>
    </row>
    <row r="19668" spans="8:20" x14ac:dyDescent="0.35">
      <c r="H19668" s="711"/>
      <c r="I19668" s="711"/>
      <c r="J19668" s="711"/>
      <c r="K19668" s="711"/>
      <c r="L19668" s="711"/>
      <c r="Q19668" s="11"/>
      <c r="R19668" s="11"/>
      <c r="S19668" s="11"/>
      <c r="T19668" s="11"/>
    </row>
    <row r="19669" spans="8:20" x14ac:dyDescent="0.35">
      <c r="H19669" s="711"/>
      <c r="I19669" s="711"/>
      <c r="J19669" s="711"/>
      <c r="K19669" s="711"/>
      <c r="L19669" s="711"/>
      <c r="Q19669" s="11"/>
      <c r="R19669" s="11"/>
      <c r="S19669" s="11"/>
      <c r="T19669" s="11"/>
    </row>
    <row r="19670" spans="8:20" x14ac:dyDescent="0.35">
      <c r="H19670" s="711"/>
      <c r="I19670" s="711"/>
      <c r="J19670" s="711"/>
      <c r="K19670" s="711"/>
      <c r="L19670" s="711"/>
      <c r="Q19670" s="11"/>
      <c r="R19670" s="11"/>
      <c r="S19670" s="11"/>
      <c r="T19670" s="11"/>
    </row>
    <row r="19671" spans="8:20" x14ac:dyDescent="0.35">
      <c r="H19671" s="711"/>
      <c r="I19671" s="711"/>
      <c r="J19671" s="711"/>
      <c r="K19671" s="711"/>
      <c r="L19671" s="711"/>
      <c r="Q19671" s="11"/>
      <c r="R19671" s="11"/>
      <c r="S19671" s="11"/>
      <c r="T19671" s="11"/>
    </row>
    <row r="19672" spans="8:20" x14ac:dyDescent="0.35">
      <c r="H19672" s="711"/>
      <c r="I19672" s="711"/>
      <c r="J19672" s="711"/>
      <c r="K19672" s="711"/>
      <c r="L19672" s="711"/>
      <c r="Q19672" s="11"/>
      <c r="R19672" s="11"/>
      <c r="S19672" s="11"/>
      <c r="T19672" s="11"/>
    </row>
    <row r="19673" spans="8:20" x14ac:dyDescent="0.35">
      <c r="H19673" s="711"/>
      <c r="I19673" s="711"/>
      <c r="J19673" s="711"/>
      <c r="K19673" s="711"/>
      <c r="L19673" s="711"/>
      <c r="Q19673" s="11"/>
      <c r="R19673" s="11"/>
      <c r="S19673" s="11"/>
      <c r="T19673" s="11"/>
    </row>
    <row r="19674" spans="8:20" x14ac:dyDescent="0.35">
      <c r="H19674" s="711"/>
      <c r="I19674" s="711"/>
      <c r="J19674" s="711"/>
      <c r="K19674" s="711"/>
      <c r="L19674" s="711"/>
      <c r="Q19674" s="11"/>
      <c r="R19674" s="11"/>
      <c r="S19674" s="11"/>
      <c r="T19674" s="11"/>
    </row>
    <row r="19675" spans="8:20" x14ac:dyDescent="0.35">
      <c r="H19675" s="711"/>
      <c r="I19675" s="711"/>
      <c r="J19675" s="711"/>
      <c r="K19675" s="711"/>
      <c r="L19675" s="711"/>
      <c r="Q19675" s="11"/>
      <c r="R19675" s="11"/>
      <c r="S19675" s="11"/>
      <c r="T19675" s="11"/>
    </row>
    <row r="19676" spans="8:20" x14ac:dyDescent="0.35">
      <c r="H19676" s="711"/>
      <c r="I19676" s="711"/>
      <c r="J19676" s="711"/>
      <c r="K19676" s="711"/>
      <c r="L19676" s="711"/>
      <c r="Q19676" s="11"/>
      <c r="R19676" s="11"/>
      <c r="S19676" s="11"/>
      <c r="T19676" s="11"/>
    </row>
    <row r="19677" spans="8:20" x14ac:dyDescent="0.35">
      <c r="H19677" s="711"/>
      <c r="I19677" s="711"/>
      <c r="J19677" s="711"/>
      <c r="K19677" s="711"/>
      <c r="L19677" s="711"/>
      <c r="Q19677" s="11"/>
      <c r="R19677" s="11"/>
      <c r="S19677" s="11"/>
      <c r="T19677" s="11"/>
    </row>
    <row r="19678" spans="8:20" x14ac:dyDescent="0.35">
      <c r="H19678" s="711"/>
      <c r="I19678" s="711"/>
      <c r="J19678" s="711"/>
      <c r="K19678" s="711"/>
      <c r="L19678" s="711"/>
      <c r="Q19678" s="11"/>
      <c r="R19678" s="11"/>
      <c r="S19678" s="11"/>
      <c r="T19678" s="11"/>
    </row>
    <row r="19679" spans="8:20" x14ac:dyDescent="0.35">
      <c r="H19679" s="711"/>
      <c r="I19679" s="711"/>
      <c r="J19679" s="711"/>
      <c r="K19679" s="711"/>
      <c r="L19679" s="711"/>
      <c r="Q19679" s="11"/>
      <c r="R19679" s="11"/>
      <c r="S19679" s="11"/>
      <c r="T19679" s="11"/>
    </row>
    <row r="19680" spans="8:20" x14ac:dyDescent="0.35">
      <c r="H19680" s="711"/>
      <c r="I19680" s="711"/>
      <c r="J19680" s="711"/>
      <c r="K19680" s="711"/>
      <c r="L19680" s="711"/>
      <c r="Q19680" s="11"/>
      <c r="R19680" s="11"/>
      <c r="S19680" s="11"/>
      <c r="T19680" s="11"/>
    </row>
    <row r="19681" spans="8:20" x14ac:dyDescent="0.35">
      <c r="H19681" s="711"/>
      <c r="I19681" s="711"/>
      <c r="J19681" s="711"/>
      <c r="K19681" s="711"/>
      <c r="L19681" s="711"/>
      <c r="Q19681" s="11"/>
      <c r="R19681" s="11"/>
      <c r="S19681" s="11"/>
      <c r="T19681" s="11"/>
    </row>
    <row r="19682" spans="8:20" x14ac:dyDescent="0.35">
      <c r="H19682" s="711"/>
      <c r="I19682" s="711"/>
      <c r="J19682" s="711"/>
      <c r="K19682" s="711"/>
      <c r="L19682" s="711"/>
      <c r="Q19682" s="11"/>
      <c r="R19682" s="11"/>
      <c r="S19682" s="11"/>
      <c r="T19682" s="11"/>
    </row>
    <row r="19683" spans="8:20" x14ac:dyDescent="0.35">
      <c r="H19683" s="711"/>
      <c r="I19683" s="711"/>
      <c r="J19683" s="711"/>
      <c r="K19683" s="711"/>
      <c r="L19683" s="711"/>
      <c r="Q19683" s="11"/>
      <c r="R19683" s="11"/>
      <c r="S19683" s="11"/>
      <c r="T19683" s="11"/>
    </row>
    <row r="19684" spans="8:20" x14ac:dyDescent="0.35">
      <c r="H19684" s="711"/>
      <c r="I19684" s="711"/>
      <c r="J19684" s="711"/>
      <c r="K19684" s="711"/>
      <c r="L19684" s="711"/>
      <c r="Q19684" s="11"/>
      <c r="R19684" s="11"/>
      <c r="S19684" s="11"/>
      <c r="T19684" s="11"/>
    </row>
    <row r="19685" spans="8:20" x14ac:dyDescent="0.35">
      <c r="H19685" s="711"/>
      <c r="I19685" s="711"/>
      <c r="J19685" s="711"/>
      <c r="K19685" s="711"/>
      <c r="L19685" s="711"/>
      <c r="Q19685" s="11"/>
      <c r="R19685" s="11"/>
      <c r="S19685" s="11"/>
      <c r="T19685" s="11"/>
    </row>
    <row r="19686" spans="8:20" x14ac:dyDescent="0.35">
      <c r="H19686" s="711"/>
      <c r="I19686" s="711"/>
      <c r="J19686" s="711"/>
      <c r="K19686" s="711"/>
      <c r="L19686" s="711"/>
      <c r="Q19686" s="11"/>
      <c r="R19686" s="11"/>
      <c r="S19686" s="11"/>
      <c r="T19686" s="11"/>
    </row>
    <row r="19687" spans="8:20" x14ac:dyDescent="0.35">
      <c r="H19687" s="711"/>
      <c r="I19687" s="711"/>
      <c r="J19687" s="711"/>
      <c r="K19687" s="711"/>
      <c r="L19687" s="711"/>
      <c r="Q19687" s="11"/>
      <c r="R19687" s="11"/>
      <c r="S19687" s="11"/>
      <c r="T19687" s="11"/>
    </row>
    <row r="19688" spans="8:20" x14ac:dyDescent="0.35">
      <c r="H19688" s="711"/>
      <c r="I19688" s="711"/>
      <c r="J19688" s="711"/>
      <c r="K19688" s="711"/>
      <c r="L19688" s="711"/>
      <c r="Q19688" s="11"/>
      <c r="R19688" s="11"/>
      <c r="S19688" s="11"/>
      <c r="T19688" s="11"/>
    </row>
    <row r="19689" spans="8:20" x14ac:dyDescent="0.35">
      <c r="H19689" s="711"/>
      <c r="I19689" s="711"/>
      <c r="J19689" s="711"/>
      <c r="K19689" s="711"/>
      <c r="L19689" s="711"/>
      <c r="Q19689" s="11"/>
      <c r="R19689" s="11"/>
      <c r="S19689" s="11"/>
      <c r="T19689" s="11"/>
    </row>
    <row r="19690" spans="8:20" x14ac:dyDescent="0.35">
      <c r="H19690" s="711"/>
      <c r="I19690" s="711"/>
      <c r="J19690" s="711"/>
      <c r="K19690" s="711"/>
      <c r="L19690" s="711"/>
      <c r="Q19690" s="11"/>
      <c r="R19690" s="11"/>
      <c r="S19690" s="11"/>
      <c r="T19690" s="11"/>
    </row>
    <row r="19691" spans="8:20" x14ac:dyDescent="0.35">
      <c r="H19691" s="711"/>
      <c r="I19691" s="711"/>
      <c r="J19691" s="711"/>
      <c r="K19691" s="711"/>
      <c r="L19691" s="711"/>
      <c r="Q19691" s="11"/>
      <c r="R19691" s="11"/>
      <c r="S19691" s="11"/>
      <c r="T19691" s="11"/>
    </row>
    <row r="19692" spans="8:20" x14ac:dyDescent="0.35">
      <c r="H19692" s="711"/>
      <c r="I19692" s="711"/>
      <c r="J19692" s="711"/>
      <c r="K19692" s="711"/>
      <c r="L19692" s="711"/>
      <c r="Q19692" s="11"/>
      <c r="R19692" s="11"/>
      <c r="S19692" s="11"/>
      <c r="T19692" s="11"/>
    </row>
    <row r="19693" spans="8:20" x14ac:dyDescent="0.35">
      <c r="H19693" s="711"/>
      <c r="I19693" s="711"/>
      <c r="J19693" s="711"/>
      <c r="K19693" s="711"/>
      <c r="L19693" s="711"/>
      <c r="Q19693" s="11"/>
      <c r="R19693" s="11"/>
      <c r="S19693" s="11"/>
      <c r="T19693" s="11"/>
    </row>
    <row r="19694" spans="8:20" x14ac:dyDescent="0.35">
      <c r="H19694" s="711"/>
      <c r="I19694" s="711"/>
      <c r="J19694" s="711"/>
      <c r="K19694" s="711"/>
      <c r="L19694" s="711"/>
      <c r="Q19694" s="11"/>
      <c r="R19694" s="11"/>
      <c r="S19694" s="11"/>
      <c r="T19694" s="11"/>
    </row>
    <row r="19695" spans="8:20" x14ac:dyDescent="0.35">
      <c r="H19695" s="711"/>
      <c r="I19695" s="711"/>
      <c r="J19695" s="711"/>
      <c r="K19695" s="711"/>
      <c r="L19695" s="711"/>
      <c r="Q19695" s="11"/>
      <c r="R19695" s="11"/>
      <c r="S19695" s="11"/>
      <c r="T19695" s="11"/>
    </row>
    <row r="19696" spans="8:20" x14ac:dyDescent="0.35">
      <c r="H19696" s="711"/>
      <c r="I19696" s="711"/>
      <c r="J19696" s="711"/>
      <c r="K19696" s="711"/>
      <c r="L19696" s="711"/>
      <c r="Q19696" s="11"/>
      <c r="R19696" s="11"/>
      <c r="S19696" s="11"/>
      <c r="T19696" s="11"/>
    </row>
    <row r="19697" spans="8:20" x14ac:dyDescent="0.35">
      <c r="H19697" s="711"/>
      <c r="I19697" s="711"/>
      <c r="J19697" s="711"/>
      <c r="K19697" s="711"/>
      <c r="L19697" s="711"/>
      <c r="Q19697" s="11"/>
      <c r="R19697" s="11"/>
      <c r="S19697" s="11"/>
      <c r="T19697" s="11"/>
    </row>
    <row r="19698" spans="8:20" x14ac:dyDescent="0.35">
      <c r="H19698" s="711"/>
      <c r="I19698" s="711"/>
      <c r="J19698" s="711"/>
      <c r="K19698" s="711"/>
      <c r="L19698" s="711"/>
      <c r="Q19698" s="11"/>
      <c r="R19698" s="11"/>
      <c r="S19698" s="11"/>
      <c r="T19698" s="11"/>
    </row>
    <row r="19699" spans="8:20" x14ac:dyDescent="0.35">
      <c r="H19699" s="711"/>
      <c r="I19699" s="711"/>
      <c r="J19699" s="711"/>
      <c r="K19699" s="711"/>
      <c r="L19699" s="711"/>
      <c r="Q19699" s="11"/>
      <c r="R19699" s="11"/>
      <c r="S19699" s="11"/>
      <c r="T19699" s="11"/>
    </row>
    <row r="19700" spans="8:20" x14ac:dyDescent="0.35">
      <c r="H19700" s="711"/>
      <c r="I19700" s="711"/>
      <c r="J19700" s="711"/>
      <c r="K19700" s="711"/>
      <c r="L19700" s="711"/>
      <c r="Q19700" s="11"/>
      <c r="R19700" s="11"/>
      <c r="S19700" s="11"/>
      <c r="T19700" s="11"/>
    </row>
    <row r="19701" spans="8:20" x14ac:dyDescent="0.35">
      <c r="H19701" s="711"/>
      <c r="I19701" s="711"/>
      <c r="J19701" s="711"/>
      <c r="K19701" s="711"/>
      <c r="L19701" s="711"/>
      <c r="Q19701" s="11"/>
      <c r="R19701" s="11"/>
      <c r="S19701" s="11"/>
      <c r="T19701" s="11"/>
    </row>
    <row r="19702" spans="8:20" x14ac:dyDescent="0.35">
      <c r="H19702" s="711"/>
      <c r="I19702" s="711"/>
      <c r="J19702" s="711"/>
      <c r="K19702" s="711"/>
      <c r="L19702" s="711"/>
      <c r="Q19702" s="11"/>
      <c r="R19702" s="11"/>
      <c r="S19702" s="11"/>
      <c r="T19702" s="11"/>
    </row>
    <row r="19703" spans="8:20" x14ac:dyDescent="0.35">
      <c r="H19703" s="711"/>
      <c r="I19703" s="711"/>
      <c r="J19703" s="711"/>
      <c r="K19703" s="711"/>
      <c r="L19703" s="711"/>
      <c r="Q19703" s="11"/>
      <c r="R19703" s="11"/>
      <c r="S19703" s="11"/>
      <c r="T19703" s="11"/>
    </row>
    <row r="19704" spans="8:20" x14ac:dyDescent="0.35">
      <c r="H19704" s="711"/>
      <c r="I19704" s="711"/>
      <c r="J19704" s="711"/>
      <c r="K19704" s="711"/>
      <c r="L19704" s="711"/>
      <c r="Q19704" s="11"/>
      <c r="R19704" s="11"/>
      <c r="S19704" s="11"/>
      <c r="T19704" s="11"/>
    </row>
    <row r="19705" spans="8:20" x14ac:dyDescent="0.35">
      <c r="H19705" s="711"/>
      <c r="I19705" s="711"/>
      <c r="J19705" s="711"/>
      <c r="K19705" s="711"/>
      <c r="L19705" s="711"/>
      <c r="Q19705" s="11"/>
      <c r="R19705" s="11"/>
      <c r="S19705" s="11"/>
      <c r="T19705" s="11"/>
    </row>
    <row r="19706" spans="8:20" x14ac:dyDescent="0.35">
      <c r="H19706" s="711"/>
      <c r="I19706" s="711"/>
      <c r="J19706" s="711"/>
      <c r="K19706" s="711"/>
      <c r="L19706" s="711"/>
      <c r="Q19706" s="11"/>
      <c r="R19706" s="11"/>
      <c r="S19706" s="11"/>
      <c r="T19706" s="11"/>
    </row>
    <row r="19707" spans="8:20" x14ac:dyDescent="0.35">
      <c r="H19707" s="711"/>
      <c r="I19707" s="711"/>
      <c r="J19707" s="711"/>
      <c r="K19707" s="711"/>
      <c r="L19707" s="711"/>
      <c r="Q19707" s="11"/>
      <c r="R19707" s="11"/>
      <c r="S19707" s="11"/>
      <c r="T19707" s="11"/>
    </row>
    <row r="19708" spans="8:20" x14ac:dyDescent="0.35">
      <c r="H19708" s="711"/>
      <c r="I19708" s="711"/>
      <c r="J19708" s="711"/>
      <c r="K19708" s="711"/>
      <c r="L19708" s="711"/>
      <c r="Q19708" s="11"/>
      <c r="R19708" s="11"/>
      <c r="S19708" s="11"/>
      <c r="T19708" s="11"/>
    </row>
    <row r="19709" spans="8:20" x14ac:dyDescent="0.35">
      <c r="H19709" s="711"/>
      <c r="I19709" s="711"/>
      <c r="J19709" s="711"/>
      <c r="K19709" s="711"/>
      <c r="L19709" s="711"/>
      <c r="Q19709" s="11"/>
      <c r="R19709" s="11"/>
      <c r="S19709" s="11"/>
      <c r="T19709" s="11"/>
    </row>
    <row r="19710" spans="8:20" x14ac:dyDescent="0.35">
      <c r="H19710" s="711"/>
      <c r="I19710" s="711"/>
      <c r="J19710" s="711"/>
      <c r="K19710" s="711"/>
      <c r="L19710" s="711"/>
      <c r="Q19710" s="11"/>
      <c r="R19710" s="11"/>
      <c r="S19710" s="11"/>
      <c r="T19710" s="11"/>
    </row>
    <row r="19711" spans="8:20" x14ac:dyDescent="0.35">
      <c r="H19711" s="711"/>
      <c r="I19711" s="711"/>
      <c r="J19711" s="711"/>
      <c r="K19711" s="711"/>
      <c r="L19711" s="711"/>
      <c r="Q19711" s="11"/>
      <c r="R19711" s="11"/>
      <c r="S19711" s="11"/>
      <c r="T19711" s="11"/>
    </row>
    <row r="19712" spans="8:20" x14ac:dyDescent="0.35">
      <c r="H19712" s="711"/>
      <c r="I19712" s="711"/>
      <c r="J19712" s="711"/>
      <c r="K19712" s="711"/>
      <c r="L19712" s="711"/>
      <c r="Q19712" s="11"/>
      <c r="R19712" s="11"/>
      <c r="S19712" s="11"/>
      <c r="T19712" s="11"/>
    </row>
    <row r="19713" spans="8:20" x14ac:dyDescent="0.35">
      <c r="H19713" s="711"/>
      <c r="I19713" s="711"/>
      <c r="J19713" s="711"/>
      <c r="K19713" s="711"/>
      <c r="L19713" s="711"/>
      <c r="Q19713" s="11"/>
      <c r="R19713" s="11"/>
      <c r="S19713" s="11"/>
      <c r="T19713" s="11"/>
    </row>
    <row r="19714" spans="8:20" x14ac:dyDescent="0.35">
      <c r="H19714" s="711"/>
      <c r="I19714" s="711"/>
      <c r="J19714" s="711"/>
      <c r="K19714" s="711"/>
      <c r="L19714" s="711"/>
      <c r="Q19714" s="11"/>
      <c r="R19714" s="11"/>
      <c r="S19714" s="11"/>
      <c r="T19714" s="11"/>
    </row>
    <row r="19715" spans="8:20" x14ac:dyDescent="0.35">
      <c r="H19715" s="711"/>
      <c r="I19715" s="711"/>
      <c r="J19715" s="711"/>
      <c r="K19715" s="711"/>
      <c r="L19715" s="711"/>
      <c r="Q19715" s="11"/>
      <c r="R19715" s="11"/>
      <c r="S19715" s="11"/>
      <c r="T19715" s="11"/>
    </row>
    <row r="19716" spans="8:20" x14ac:dyDescent="0.35">
      <c r="H19716" s="711"/>
      <c r="I19716" s="711"/>
      <c r="J19716" s="711"/>
      <c r="K19716" s="711"/>
      <c r="L19716" s="711"/>
      <c r="Q19716" s="11"/>
      <c r="R19716" s="11"/>
      <c r="S19716" s="11"/>
      <c r="T19716" s="11"/>
    </row>
    <row r="19717" spans="8:20" x14ac:dyDescent="0.35">
      <c r="H19717" s="711"/>
      <c r="I19717" s="711"/>
      <c r="J19717" s="711"/>
      <c r="K19717" s="711"/>
      <c r="L19717" s="711"/>
      <c r="Q19717" s="11"/>
      <c r="R19717" s="11"/>
      <c r="S19717" s="11"/>
      <c r="T19717" s="11"/>
    </row>
    <row r="19718" spans="8:20" x14ac:dyDescent="0.35">
      <c r="H19718" s="711"/>
      <c r="I19718" s="711"/>
      <c r="J19718" s="711"/>
      <c r="K19718" s="711"/>
      <c r="L19718" s="711"/>
      <c r="Q19718" s="11"/>
      <c r="R19718" s="11"/>
      <c r="S19718" s="11"/>
      <c r="T19718" s="11"/>
    </row>
    <row r="19719" spans="8:20" x14ac:dyDescent="0.35">
      <c r="H19719" s="711"/>
      <c r="I19719" s="711"/>
      <c r="J19719" s="711"/>
      <c r="K19719" s="711"/>
      <c r="L19719" s="711"/>
      <c r="Q19719" s="11"/>
      <c r="R19719" s="11"/>
      <c r="S19719" s="11"/>
      <c r="T19719" s="11"/>
    </row>
    <row r="19720" spans="8:20" x14ac:dyDescent="0.35">
      <c r="H19720" s="711"/>
      <c r="I19720" s="711"/>
      <c r="J19720" s="711"/>
      <c r="K19720" s="711"/>
      <c r="L19720" s="711"/>
      <c r="Q19720" s="11"/>
      <c r="R19720" s="11"/>
      <c r="S19720" s="11"/>
      <c r="T19720" s="11"/>
    </row>
    <row r="19721" spans="8:20" x14ac:dyDescent="0.35">
      <c r="H19721" s="711"/>
      <c r="I19721" s="711"/>
      <c r="J19721" s="711"/>
      <c r="K19721" s="711"/>
      <c r="L19721" s="711"/>
      <c r="Q19721" s="11"/>
      <c r="R19721" s="11"/>
      <c r="S19721" s="11"/>
      <c r="T19721" s="11"/>
    </row>
    <row r="19722" spans="8:20" x14ac:dyDescent="0.35">
      <c r="H19722" s="711"/>
      <c r="I19722" s="711"/>
      <c r="J19722" s="711"/>
      <c r="K19722" s="711"/>
      <c r="L19722" s="711"/>
      <c r="Q19722" s="11"/>
      <c r="R19722" s="11"/>
      <c r="S19722" s="11"/>
      <c r="T19722" s="11"/>
    </row>
    <row r="19723" spans="8:20" x14ac:dyDescent="0.35">
      <c r="H19723" s="711"/>
      <c r="I19723" s="711"/>
      <c r="J19723" s="711"/>
      <c r="K19723" s="711"/>
      <c r="L19723" s="711"/>
      <c r="Q19723" s="11"/>
      <c r="R19723" s="11"/>
      <c r="S19723" s="11"/>
      <c r="T19723" s="11"/>
    </row>
    <row r="19724" spans="8:20" x14ac:dyDescent="0.35">
      <c r="H19724" s="711"/>
      <c r="I19724" s="711"/>
      <c r="J19724" s="711"/>
      <c r="K19724" s="711"/>
      <c r="L19724" s="711"/>
      <c r="Q19724" s="11"/>
      <c r="R19724" s="11"/>
      <c r="S19724" s="11"/>
      <c r="T19724" s="11"/>
    </row>
    <row r="19725" spans="8:20" x14ac:dyDescent="0.35">
      <c r="H19725" s="711"/>
      <c r="I19725" s="711"/>
      <c r="J19725" s="711"/>
      <c r="K19725" s="711"/>
      <c r="L19725" s="711"/>
      <c r="Q19725" s="11"/>
      <c r="R19725" s="11"/>
      <c r="S19725" s="11"/>
      <c r="T19725" s="11"/>
    </row>
    <row r="19726" spans="8:20" x14ac:dyDescent="0.35">
      <c r="H19726" s="711"/>
      <c r="I19726" s="711"/>
      <c r="J19726" s="711"/>
      <c r="K19726" s="711"/>
      <c r="L19726" s="711"/>
      <c r="Q19726" s="11"/>
      <c r="R19726" s="11"/>
      <c r="S19726" s="11"/>
      <c r="T19726" s="11"/>
    </row>
    <row r="19727" spans="8:20" x14ac:dyDescent="0.35">
      <c r="H19727" s="711"/>
      <c r="I19727" s="711"/>
      <c r="J19727" s="711"/>
      <c r="K19727" s="711"/>
      <c r="L19727" s="711"/>
      <c r="Q19727" s="11"/>
      <c r="R19727" s="11"/>
      <c r="S19727" s="11"/>
      <c r="T19727" s="11"/>
    </row>
    <row r="19728" spans="8:20" x14ac:dyDescent="0.35">
      <c r="H19728" s="711"/>
      <c r="I19728" s="711"/>
      <c r="J19728" s="711"/>
      <c r="K19728" s="711"/>
      <c r="L19728" s="711"/>
      <c r="Q19728" s="11"/>
      <c r="R19728" s="11"/>
      <c r="S19728" s="11"/>
      <c r="T19728" s="11"/>
    </row>
    <row r="19729" spans="8:20" x14ac:dyDescent="0.35">
      <c r="H19729" s="711"/>
      <c r="I19729" s="711"/>
      <c r="J19729" s="711"/>
      <c r="K19729" s="711"/>
      <c r="L19729" s="711"/>
      <c r="Q19729" s="11"/>
      <c r="R19729" s="11"/>
      <c r="S19729" s="11"/>
      <c r="T19729" s="11"/>
    </row>
    <row r="19730" spans="8:20" x14ac:dyDescent="0.35">
      <c r="H19730" s="711"/>
      <c r="I19730" s="711"/>
      <c r="J19730" s="711"/>
      <c r="K19730" s="711"/>
      <c r="L19730" s="711"/>
      <c r="Q19730" s="11"/>
      <c r="R19730" s="11"/>
      <c r="S19730" s="11"/>
      <c r="T19730" s="11"/>
    </row>
    <row r="19731" spans="8:20" x14ac:dyDescent="0.35">
      <c r="H19731" s="711"/>
      <c r="I19731" s="711"/>
      <c r="J19731" s="711"/>
      <c r="K19731" s="711"/>
      <c r="L19731" s="711"/>
      <c r="Q19731" s="11"/>
      <c r="R19731" s="11"/>
      <c r="S19731" s="11"/>
      <c r="T19731" s="11"/>
    </row>
    <row r="19732" spans="8:20" x14ac:dyDescent="0.35">
      <c r="H19732" s="711"/>
      <c r="I19732" s="711"/>
      <c r="J19732" s="711"/>
      <c r="K19732" s="711"/>
      <c r="L19732" s="711"/>
      <c r="Q19732" s="11"/>
      <c r="R19732" s="11"/>
      <c r="S19732" s="11"/>
      <c r="T19732" s="11"/>
    </row>
    <row r="19733" spans="8:20" x14ac:dyDescent="0.35">
      <c r="H19733" s="711"/>
      <c r="I19733" s="711"/>
      <c r="J19733" s="711"/>
      <c r="K19733" s="711"/>
      <c r="L19733" s="711"/>
      <c r="Q19733" s="11"/>
      <c r="R19733" s="11"/>
      <c r="S19733" s="11"/>
      <c r="T19733" s="11"/>
    </row>
    <row r="19734" spans="8:20" x14ac:dyDescent="0.35">
      <c r="H19734" s="711"/>
      <c r="I19734" s="711"/>
      <c r="J19734" s="711"/>
      <c r="K19734" s="711"/>
      <c r="L19734" s="711"/>
      <c r="Q19734" s="11"/>
      <c r="R19734" s="11"/>
      <c r="S19734" s="11"/>
      <c r="T19734" s="11"/>
    </row>
    <row r="19735" spans="8:20" x14ac:dyDescent="0.35">
      <c r="H19735" s="711"/>
      <c r="I19735" s="711"/>
      <c r="J19735" s="711"/>
      <c r="K19735" s="711"/>
      <c r="L19735" s="711"/>
      <c r="Q19735" s="11"/>
      <c r="R19735" s="11"/>
      <c r="S19735" s="11"/>
      <c r="T19735" s="11"/>
    </row>
    <row r="19736" spans="8:20" x14ac:dyDescent="0.35">
      <c r="H19736" s="711"/>
      <c r="I19736" s="711"/>
      <c r="J19736" s="711"/>
      <c r="K19736" s="711"/>
      <c r="L19736" s="711"/>
      <c r="Q19736" s="11"/>
      <c r="R19736" s="11"/>
      <c r="S19736" s="11"/>
      <c r="T19736" s="11"/>
    </row>
    <row r="19737" spans="8:20" x14ac:dyDescent="0.35">
      <c r="H19737" s="711"/>
      <c r="I19737" s="711"/>
      <c r="J19737" s="711"/>
      <c r="K19737" s="711"/>
      <c r="L19737" s="711"/>
      <c r="Q19737" s="11"/>
      <c r="R19737" s="11"/>
      <c r="S19737" s="11"/>
      <c r="T19737" s="11"/>
    </row>
    <row r="19738" spans="8:20" x14ac:dyDescent="0.35">
      <c r="H19738" s="711"/>
      <c r="I19738" s="711"/>
      <c r="J19738" s="711"/>
      <c r="K19738" s="711"/>
      <c r="L19738" s="711"/>
      <c r="Q19738" s="11"/>
      <c r="R19738" s="11"/>
      <c r="S19738" s="11"/>
      <c r="T19738" s="11"/>
    </row>
    <row r="19739" spans="8:20" x14ac:dyDescent="0.35">
      <c r="H19739" s="711"/>
      <c r="I19739" s="711"/>
      <c r="J19739" s="711"/>
      <c r="K19739" s="711"/>
      <c r="L19739" s="711"/>
      <c r="Q19739" s="11"/>
      <c r="R19739" s="11"/>
      <c r="S19739" s="11"/>
      <c r="T19739" s="11"/>
    </row>
    <row r="19740" spans="8:20" x14ac:dyDescent="0.35">
      <c r="H19740" s="711"/>
      <c r="I19740" s="711"/>
      <c r="J19740" s="711"/>
      <c r="K19740" s="711"/>
      <c r="L19740" s="711"/>
      <c r="Q19740" s="11"/>
      <c r="R19740" s="11"/>
      <c r="S19740" s="11"/>
      <c r="T19740" s="11"/>
    </row>
    <row r="19741" spans="8:20" x14ac:dyDescent="0.35">
      <c r="H19741" s="711"/>
      <c r="I19741" s="711"/>
      <c r="J19741" s="711"/>
      <c r="K19741" s="711"/>
      <c r="L19741" s="711"/>
      <c r="Q19741" s="11"/>
      <c r="R19741" s="11"/>
      <c r="S19741" s="11"/>
      <c r="T19741" s="11"/>
    </row>
    <row r="19742" spans="8:20" x14ac:dyDescent="0.35">
      <c r="H19742" s="711"/>
      <c r="I19742" s="711"/>
      <c r="J19742" s="711"/>
      <c r="K19742" s="711"/>
      <c r="L19742" s="711"/>
      <c r="Q19742" s="11"/>
      <c r="R19742" s="11"/>
      <c r="S19742" s="11"/>
      <c r="T19742" s="11"/>
    </row>
    <row r="19743" spans="8:20" x14ac:dyDescent="0.35">
      <c r="H19743" s="711"/>
      <c r="I19743" s="711"/>
      <c r="J19743" s="711"/>
      <c r="K19743" s="711"/>
      <c r="L19743" s="711"/>
      <c r="Q19743" s="11"/>
      <c r="R19743" s="11"/>
      <c r="S19743" s="11"/>
      <c r="T19743" s="11"/>
    </row>
    <row r="19744" spans="8:20" x14ac:dyDescent="0.35">
      <c r="H19744" s="711"/>
      <c r="I19744" s="711"/>
      <c r="J19744" s="711"/>
      <c r="K19744" s="711"/>
      <c r="L19744" s="711"/>
      <c r="Q19744" s="11"/>
      <c r="R19744" s="11"/>
      <c r="S19744" s="11"/>
      <c r="T19744" s="11"/>
    </row>
    <row r="19745" spans="8:20" x14ac:dyDescent="0.35">
      <c r="H19745" s="711"/>
      <c r="I19745" s="711"/>
      <c r="J19745" s="711"/>
      <c r="K19745" s="711"/>
      <c r="L19745" s="711"/>
      <c r="Q19745" s="11"/>
      <c r="R19745" s="11"/>
      <c r="S19745" s="11"/>
      <c r="T19745" s="11"/>
    </row>
    <row r="19746" spans="8:20" x14ac:dyDescent="0.35">
      <c r="H19746" s="711"/>
      <c r="I19746" s="711"/>
      <c r="J19746" s="711"/>
      <c r="K19746" s="711"/>
      <c r="L19746" s="711"/>
      <c r="Q19746" s="11"/>
      <c r="R19746" s="11"/>
      <c r="S19746" s="11"/>
      <c r="T19746" s="11"/>
    </row>
    <row r="19747" spans="8:20" x14ac:dyDescent="0.35">
      <c r="H19747" s="711"/>
      <c r="I19747" s="711"/>
      <c r="J19747" s="711"/>
      <c r="K19747" s="711"/>
      <c r="L19747" s="711"/>
      <c r="Q19747" s="11"/>
      <c r="R19747" s="11"/>
      <c r="S19747" s="11"/>
      <c r="T19747" s="11"/>
    </row>
    <row r="19748" spans="8:20" x14ac:dyDescent="0.35">
      <c r="H19748" s="711"/>
      <c r="I19748" s="711"/>
      <c r="J19748" s="711"/>
      <c r="K19748" s="711"/>
      <c r="L19748" s="711"/>
      <c r="Q19748" s="11"/>
      <c r="R19748" s="11"/>
      <c r="S19748" s="11"/>
      <c r="T19748" s="11"/>
    </row>
    <row r="19749" spans="8:20" x14ac:dyDescent="0.35">
      <c r="H19749" s="711"/>
      <c r="I19749" s="711"/>
      <c r="J19749" s="711"/>
      <c r="K19749" s="711"/>
      <c r="L19749" s="711"/>
      <c r="Q19749" s="11"/>
      <c r="R19749" s="11"/>
      <c r="S19749" s="11"/>
      <c r="T19749" s="11"/>
    </row>
    <row r="19750" spans="8:20" x14ac:dyDescent="0.35">
      <c r="H19750" s="711"/>
      <c r="I19750" s="711"/>
      <c r="J19750" s="711"/>
      <c r="K19750" s="711"/>
      <c r="L19750" s="711"/>
      <c r="Q19750" s="11"/>
      <c r="R19750" s="11"/>
      <c r="S19750" s="11"/>
      <c r="T19750" s="11"/>
    </row>
    <row r="19751" spans="8:20" x14ac:dyDescent="0.35">
      <c r="H19751" s="711"/>
      <c r="I19751" s="711"/>
      <c r="J19751" s="711"/>
      <c r="K19751" s="711"/>
      <c r="L19751" s="711"/>
      <c r="Q19751" s="11"/>
      <c r="R19751" s="11"/>
      <c r="S19751" s="11"/>
      <c r="T19751" s="11"/>
    </row>
    <row r="19752" spans="8:20" x14ac:dyDescent="0.35">
      <c r="H19752" s="711"/>
      <c r="I19752" s="711"/>
      <c r="J19752" s="711"/>
      <c r="K19752" s="711"/>
      <c r="L19752" s="711"/>
      <c r="Q19752" s="11"/>
      <c r="R19752" s="11"/>
      <c r="S19752" s="11"/>
      <c r="T19752" s="11"/>
    </row>
    <row r="19753" spans="8:20" x14ac:dyDescent="0.35">
      <c r="H19753" s="711"/>
      <c r="I19753" s="711"/>
      <c r="J19753" s="711"/>
      <c r="K19753" s="711"/>
      <c r="L19753" s="711"/>
      <c r="Q19753" s="11"/>
      <c r="R19753" s="11"/>
      <c r="S19753" s="11"/>
      <c r="T19753" s="11"/>
    </row>
    <row r="19754" spans="8:20" x14ac:dyDescent="0.35">
      <c r="H19754" s="711"/>
      <c r="I19754" s="711"/>
      <c r="J19754" s="711"/>
      <c r="K19754" s="711"/>
      <c r="L19754" s="711"/>
      <c r="Q19754" s="11"/>
      <c r="R19754" s="11"/>
      <c r="S19754" s="11"/>
      <c r="T19754" s="11"/>
    </row>
    <row r="19755" spans="8:20" x14ac:dyDescent="0.35">
      <c r="H19755" s="711"/>
      <c r="I19755" s="711"/>
      <c r="J19755" s="711"/>
      <c r="K19755" s="711"/>
      <c r="L19755" s="711"/>
      <c r="Q19755" s="11"/>
      <c r="R19755" s="11"/>
      <c r="S19755" s="11"/>
      <c r="T19755" s="11"/>
    </row>
    <row r="19756" spans="8:20" x14ac:dyDescent="0.35">
      <c r="H19756" s="711"/>
      <c r="I19756" s="711"/>
      <c r="J19756" s="711"/>
      <c r="K19756" s="711"/>
      <c r="L19756" s="711"/>
      <c r="Q19756" s="11"/>
      <c r="R19756" s="11"/>
      <c r="S19756" s="11"/>
      <c r="T19756" s="11"/>
    </row>
    <row r="19757" spans="8:20" x14ac:dyDescent="0.35">
      <c r="H19757" s="711"/>
      <c r="I19757" s="711"/>
      <c r="J19757" s="711"/>
      <c r="K19757" s="711"/>
      <c r="L19757" s="711"/>
      <c r="Q19757" s="11"/>
      <c r="R19757" s="11"/>
      <c r="S19757" s="11"/>
      <c r="T19757" s="11"/>
    </row>
    <row r="19758" spans="8:20" x14ac:dyDescent="0.35">
      <c r="H19758" s="711"/>
      <c r="I19758" s="711"/>
      <c r="J19758" s="711"/>
      <c r="K19758" s="711"/>
      <c r="L19758" s="711"/>
      <c r="Q19758" s="11"/>
      <c r="R19758" s="11"/>
      <c r="S19758" s="11"/>
      <c r="T19758" s="11"/>
    </row>
    <row r="19759" spans="8:20" x14ac:dyDescent="0.35">
      <c r="H19759" s="711"/>
      <c r="I19759" s="711"/>
      <c r="J19759" s="711"/>
      <c r="K19759" s="711"/>
      <c r="L19759" s="711"/>
      <c r="Q19759" s="11"/>
      <c r="R19759" s="11"/>
      <c r="S19759" s="11"/>
      <c r="T19759" s="11"/>
    </row>
    <row r="19760" spans="8:20" x14ac:dyDescent="0.35">
      <c r="H19760" s="711"/>
      <c r="I19760" s="711"/>
      <c r="J19760" s="711"/>
      <c r="K19760" s="711"/>
      <c r="L19760" s="711"/>
      <c r="Q19760" s="11"/>
      <c r="R19760" s="11"/>
      <c r="S19760" s="11"/>
      <c r="T19760" s="11"/>
    </row>
    <row r="19761" spans="8:20" x14ac:dyDescent="0.35">
      <c r="H19761" s="711"/>
      <c r="I19761" s="711"/>
      <c r="J19761" s="711"/>
      <c r="K19761" s="711"/>
      <c r="L19761" s="711"/>
      <c r="Q19761" s="11"/>
      <c r="R19761" s="11"/>
      <c r="S19761" s="11"/>
      <c r="T19761" s="11"/>
    </row>
    <row r="19762" spans="8:20" x14ac:dyDescent="0.35">
      <c r="H19762" s="711"/>
      <c r="I19762" s="711"/>
      <c r="J19762" s="711"/>
      <c r="K19762" s="711"/>
      <c r="L19762" s="711"/>
      <c r="Q19762" s="11"/>
      <c r="R19762" s="11"/>
      <c r="S19762" s="11"/>
      <c r="T19762" s="11"/>
    </row>
    <row r="19763" spans="8:20" x14ac:dyDescent="0.35">
      <c r="H19763" s="711"/>
      <c r="I19763" s="711"/>
      <c r="J19763" s="711"/>
      <c r="K19763" s="711"/>
      <c r="L19763" s="711"/>
      <c r="Q19763" s="11"/>
      <c r="R19763" s="11"/>
      <c r="S19763" s="11"/>
      <c r="T19763" s="11"/>
    </row>
    <row r="19764" spans="8:20" x14ac:dyDescent="0.35">
      <c r="H19764" s="711"/>
      <c r="I19764" s="711"/>
      <c r="J19764" s="711"/>
      <c r="K19764" s="711"/>
      <c r="L19764" s="711"/>
      <c r="Q19764" s="11"/>
      <c r="R19764" s="11"/>
      <c r="S19764" s="11"/>
      <c r="T19764" s="11"/>
    </row>
    <row r="19765" spans="8:20" x14ac:dyDescent="0.35">
      <c r="H19765" s="711"/>
      <c r="I19765" s="711"/>
      <c r="J19765" s="711"/>
      <c r="K19765" s="711"/>
      <c r="L19765" s="711"/>
      <c r="Q19765" s="11"/>
      <c r="R19765" s="11"/>
      <c r="S19765" s="11"/>
      <c r="T19765" s="11"/>
    </row>
    <row r="19766" spans="8:20" x14ac:dyDescent="0.35">
      <c r="H19766" s="711"/>
      <c r="I19766" s="711"/>
      <c r="J19766" s="711"/>
      <c r="K19766" s="711"/>
      <c r="L19766" s="711"/>
      <c r="Q19766" s="11"/>
      <c r="R19766" s="11"/>
      <c r="S19766" s="11"/>
      <c r="T19766" s="11"/>
    </row>
    <row r="19767" spans="8:20" x14ac:dyDescent="0.35">
      <c r="H19767" s="711"/>
      <c r="I19767" s="711"/>
      <c r="J19767" s="711"/>
      <c r="K19767" s="711"/>
      <c r="L19767" s="711"/>
      <c r="Q19767" s="11"/>
      <c r="R19767" s="11"/>
      <c r="S19767" s="11"/>
      <c r="T19767" s="11"/>
    </row>
    <row r="19768" spans="8:20" x14ac:dyDescent="0.35">
      <c r="H19768" s="711"/>
      <c r="I19768" s="711"/>
      <c r="J19768" s="711"/>
      <c r="K19768" s="711"/>
      <c r="L19768" s="711"/>
      <c r="Q19768" s="11"/>
      <c r="R19768" s="11"/>
      <c r="S19768" s="11"/>
      <c r="T19768" s="11"/>
    </row>
    <row r="19769" spans="8:20" x14ac:dyDescent="0.35">
      <c r="H19769" s="711"/>
      <c r="I19769" s="711"/>
      <c r="J19769" s="711"/>
      <c r="K19769" s="711"/>
      <c r="L19769" s="711"/>
      <c r="Q19769" s="11"/>
      <c r="R19769" s="11"/>
      <c r="S19769" s="11"/>
      <c r="T19769" s="11"/>
    </row>
    <row r="19770" spans="8:20" x14ac:dyDescent="0.35">
      <c r="H19770" s="711"/>
      <c r="I19770" s="711"/>
      <c r="J19770" s="711"/>
      <c r="K19770" s="711"/>
      <c r="L19770" s="711"/>
      <c r="Q19770" s="11"/>
      <c r="R19770" s="11"/>
      <c r="S19770" s="11"/>
      <c r="T19770" s="11"/>
    </row>
    <row r="19771" spans="8:20" x14ac:dyDescent="0.35">
      <c r="H19771" s="711"/>
      <c r="I19771" s="711"/>
      <c r="J19771" s="711"/>
      <c r="K19771" s="711"/>
      <c r="L19771" s="711"/>
      <c r="Q19771" s="11"/>
      <c r="R19771" s="11"/>
      <c r="S19771" s="11"/>
      <c r="T19771" s="11"/>
    </row>
    <row r="19772" spans="8:20" x14ac:dyDescent="0.35">
      <c r="H19772" s="711"/>
      <c r="I19772" s="711"/>
      <c r="J19772" s="711"/>
      <c r="K19772" s="711"/>
      <c r="L19772" s="711"/>
      <c r="Q19772" s="11"/>
      <c r="R19772" s="11"/>
      <c r="S19772" s="11"/>
      <c r="T19772" s="11"/>
    </row>
    <row r="19773" spans="8:20" x14ac:dyDescent="0.35">
      <c r="H19773" s="711"/>
      <c r="I19773" s="711"/>
      <c r="J19773" s="711"/>
      <c r="K19773" s="711"/>
      <c r="L19773" s="711"/>
      <c r="Q19773" s="11"/>
      <c r="R19773" s="11"/>
      <c r="S19773" s="11"/>
      <c r="T19773" s="11"/>
    </row>
    <row r="19774" spans="8:20" x14ac:dyDescent="0.35">
      <c r="H19774" s="711"/>
      <c r="I19774" s="711"/>
      <c r="J19774" s="711"/>
      <c r="K19774" s="711"/>
      <c r="L19774" s="711"/>
      <c r="Q19774" s="11"/>
      <c r="R19774" s="11"/>
      <c r="S19774" s="11"/>
      <c r="T19774" s="11"/>
    </row>
    <row r="19775" spans="8:20" x14ac:dyDescent="0.35">
      <c r="H19775" s="711"/>
      <c r="I19775" s="711"/>
      <c r="J19775" s="711"/>
      <c r="K19775" s="711"/>
      <c r="L19775" s="711"/>
      <c r="Q19775" s="11"/>
      <c r="R19775" s="11"/>
      <c r="S19775" s="11"/>
      <c r="T19775" s="11"/>
    </row>
    <row r="19776" spans="8:20" x14ac:dyDescent="0.35">
      <c r="H19776" s="711"/>
      <c r="I19776" s="711"/>
      <c r="J19776" s="711"/>
      <c r="K19776" s="711"/>
      <c r="L19776" s="711"/>
      <c r="Q19776" s="11"/>
      <c r="R19776" s="11"/>
      <c r="S19776" s="11"/>
      <c r="T19776" s="11"/>
    </row>
    <row r="19777" spans="8:20" x14ac:dyDescent="0.35">
      <c r="H19777" s="711"/>
      <c r="I19777" s="711"/>
      <c r="J19777" s="711"/>
      <c r="K19777" s="711"/>
      <c r="L19777" s="711"/>
      <c r="Q19777" s="11"/>
      <c r="R19777" s="11"/>
      <c r="S19777" s="11"/>
      <c r="T19777" s="11"/>
    </row>
    <row r="19778" spans="8:20" x14ac:dyDescent="0.35">
      <c r="H19778" s="711"/>
      <c r="I19778" s="711"/>
      <c r="J19778" s="711"/>
      <c r="K19778" s="711"/>
      <c r="L19778" s="711"/>
      <c r="Q19778" s="11"/>
      <c r="R19778" s="11"/>
      <c r="S19778" s="11"/>
      <c r="T19778" s="11"/>
    </row>
    <row r="19779" spans="8:20" x14ac:dyDescent="0.35">
      <c r="H19779" s="711"/>
      <c r="I19779" s="711"/>
      <c r="J19779" s="711"/>
      <c r="K19779" s="711"/>
      <c r="L19779" s="711"/>
      <c r="Q19779" s="11"/>
      <c r="R19779" s="11"/>
      <c r="S19779" s="11"/>
      <c r="T19779" s="11"/>
    </row>
    <row r="19780" spans="8:20" x14ac:dyDescent="0.35">
      <c r="H19780" s="711"/>
      <c r="I19780" s="711"/>
      <c r="J19780" s="711"/>
      <c r="K19780" s="711"/>
      <c r="L19780" s="711"/>
      <c r="Q19780" s="11"/>
      <c r="R19780" s="11"/>
      <c r="S19780" s="11"/>
      <c r="T19780" s="11"/>
    </row>
    <row r="19781" spans="8:20" x14ac:dyDescent="0.35">
      <c r="H19781" s="711"/>
      <c r="I19781" s="711"/>
      <c r="J19781" s="711"/>
      <c r="K19781" s="711"/>
      <c r="L19781" s="711"/>
      <c r="Q19781" s="11"/>
      <c r="R19781" s="11"/>
      <c r="S19781" s="11"/>
      <c r="T19781" s="11"/>
    </row>
    <row r="19782" spans="8:20" x14ac:dyDescent="0.35">
      <c r="H19782" s="711"/>
      <c r="I19782" s="711"/>
      <c r="J19782" s="711"/>
      <c r="K19782" s="711"/>
      <c r="L19782" s="711"/>
      <c r="Q19782" s="11"/>
      <c r="R19782" s="11"/>
      <c r="S19782" s="11"/>
      <c r="T19782" s="11"/>
    </row>
    <row r="19783" spans="8:20" x14ac:dyDescent="0.35">
      <c r="H19783" s="711"/>
      <c r="I19783" s="711"/>
      <c r="J19783" s="711"/>
      <c r="K19783" s="711"/>
      <c r="L19783" s="711"/>
      <c r="Q19783" s="11"/>
      <c r="R19783" s="11"/>
      <c r="S19783" s="11"/>
      <c r="T19783" s="11"/>
    </row>
    <row r="19784" spans="8:20" x14ac:dyDescent="0.35">
      <c r="H19784" s="711"/>
      <c r="I19784" s="711"/>
      <c r="J19784" s="711"/>
      <c r="K19784" s="711"/>
      <c r="L19784" s="711"/>
      <c r="Q19784" s="11"/>
      <c r="R19784" s="11"/>
      <c r="S19784" s="11"/>
      <c r="T19784" s="11"/>
    </row>
    <row r="19785" spans="8:20" x14ac:dyDescent="0.35">
      <c r="H19785" s="711"/>
      <c r="I19785" s="711"/>
      <c r="J19785" s="711"/>
      <c r="K19785" s="711"/>
      <c r="L19785" s="711"/>
      <c r="Q19785" s="11"/>
      <c r="R19785" s="11"/>
      <c r="S19785" s="11"/>
      <c r="T19785" s="11"/>
    </row>
    <row r="19786" spans="8:20" x14ac:dyDescent="0.35">
      <c r="H19786" s="711"/>
      <c r="I19786" s="711"/>
      <c r="J19786" s="711"/>
      <c r="K19786" s="711"/>
      <c r="L19786" s="711"/>
      <c r="Q19786" s="11"/>
      <c r="R19786" s="11"/>
      <c r="S19786" s="11"/>
      <c r="T19786" s="11"/>
    </row>
    <row r="19787" spans="8:20" x14ac:dyDescent="0.35">
      <c r="H19787" s="711"/>
      <c r="I19787" s="711"/>
      <c r="J19787" s="711"/>
      <c r="K19787" s="711"/>
      <c r="L19787" s="711"/>
      <c r="Q19787" s="11"/>
      <c r="R19787" s="11"/>
      <c r="S19787" s="11"/>
      <c r="T19787" s="11"/>
    </row>
    <row r="19788" spans="8:20" x14ac:dyDescent="0.35">
      <c r="H19788" s="711"/>
      <c r="I19788" s="711"/>
      <c r="J19788" s="711"/>
      <c r="K19788" s="711"/>
      <c r="L19788" s="711"/>
      <c r="Q19788" s="11"/>
      <c r="R19788" s="11"/>
      <c r="S19788" s="11"/>
      <c r="T19788" s="11"/>
    </row>
    <row r="19789" spans="8:20" x14ac:dyDescent="0.35">
      <c r="H19789" s="711"/>
      <c r="I19789" s="711"/>
      <c r="J19789" s="711"/>
      <c r="K19789" s="711"/>
      <c r="L19789" s="711"/>
      <c r="Q19789" s="11"/>
      <c r="R19789" s="11"/>
      <c r="S19789" s="11"/>
      <c r="T19789" s="11"/>
    </row>
    <row r="19790" spans="8:20" x14ac:dyDescent="0.35">
      <c r="H19790" s="711"/>
      <c r="I19790" s="711"/>
      <c r="J19790" s="711"/>
      <c r="K19790" s="711"/>
      <c r="L19790" s="711"/>
      <c r="Q19790" s="11"/>
      <c r="R19790" s="11"/>
      <c r="S19790" s="11"/>
      <c r="T19790" s="11"/>
    </row>
    <row r="19791" spans="8:20" x14ac:dyDescent="0.35">
      <c r="H19791" s="711"/>
      <c r="I19791" s="711"/>
      <c r="J19791" s="711"/>
      <c r="K19791" s="711"/>
      <c r="L19791" s="711"/>
      <c r="Q19791" s="11"/>
      <c r="R19791" s="11"/>
      <c r="S19791" s="11"/>
      <c r="T19791" s="11"/>
    </row>
    <row r="19792" spans="8:20" x14ac:dyDescent="0.35">
      <c r="H19792" s="711"/>
      <c r="I19792" s="711"/>
      <c r="J19792" s="711"/>
      <c r="K19792" s="711"/>
      <c r="L19792" s="711"/>
      <c r="Q19792" s="11"/>
      <c r="R19792" s="11"/>
      <c r="S19792" s="11"/>
      <c r="T19792" s="11"/>
    </row>
    <row r="19793" spans="8:20" x14ac:dyDescent="0.35">
      <c r="H19793" s="711"/>
      <c r="I19793" s="711"/>
      <c r="J19793" s="711"/>
      <c r="K19793" s="711"/>
      <c r="L19793" s="711"/>
      <c r="Q19793" s="11"/>
      <c r="R19793" s="11"/>
      <c r="S19793" s="11"/>
      <c r="T19793" s="11"/>
    </row>
    <row r="19794" spans="8:20" x14ac:dyDescent="0.35">
      <c r="H19794" s="711"/>
      <c r="I19794" s="711"/>
      <c r="J19794" s="711"/>
      <c r="K19794" s="711"/>
      <c r="L19794" s="711"/>
      <c r="Q19794" s="11"/>
      <c r="R19794" s="11"/>
      <c r="S19794" s="11"/>
      <c r="T19794" s="11"/>
    </row>
    <row r="19795" spans="8:20" x14ac:dyDescent="0.35">
      <c r="H19795" s="711"/>
      <c r="I19795" s="711"/>
      <c r="J19795" s="711"/>
      <c r="K19795" s="711"/>
      <c r="L19795" s="711"/>
      <c r="Q19795" s="11"/>
      <c r="R19795" s="11"/>
      <c r="S19795" s="11"/>
      <c r="T19795" s="11"/>
    </row>
    <row r="19796" spans="8:20" x14ac:dyDescent="0.35">
      <c r="H19796" s="711"/>
      <c r="I19796" s="711"/>
      <c r="J19796" s="711"/>
      <c r="K19796" s="711"/>
      <c r="L19796" s="711"/>
      <c r="Q19796" s="11"/>
      <c r="R19796" s="11"/>
      <c r="S19796" s="11"/>
      <c r="T19796" s="11"/>
    </row>
    <row r="19797" spans="8:20" x14ac:dyDescent="0.35">
      <c r="H19797" s="711"/>
      <c r="I19797" s="711"/>
      <c r="J19797" s="711"/>
      <c r="K19797" s="711"/>
      <c r="L19797" s="711"/>
      <c r="Q19797" s="11"/>
      <c r="R19797" s="11"/>
      <c r="S19797" s="11"/>
      <c r="T19797" s="11"/>
    </row>
    <row r="19798" spans="8:20" x14ac:dyDescent="0.35">
      <c r="H19798" s="711"/>
      <c r="I19798" s="711"/>
      <c r="J19798" s="711"/>
      <c r="K19798" s="711"/>
      <c r="L19798" s="711"/>
      <c r="Q19798" s="11"/>
      <c r="R19798" s="11"/>
      <c r="S19798" s="11"/>
      <c r="T19798" s="11"/>
    </row>
    <row r="19799" spans="8:20" x14ac:dyDescent="0.35">
      <c r="H19799" s="711"/>
      <c r="I19799" s="711"/>
      <c r="J19799" s="711"/>
      <c r="K19799" s="711"/>
      <c r="L19799" s="711"/>
      <c r="Q19799" s="11"/>
      <c r="R19799" s="11"/>
      <c r="S19799" s="11"/>
      <c r="T19799" s="11"/>
    </row>
    <row r="19800" spans="8:20" x14ac:dyDescent="0.35">
      <c r="H19800" s="711"/>
      <c r="I19800" s="711"/>
      <c r="J19800" s="711"/>
      <c r="K19800" s="711"/>
      <c r="L19800" s="711"/>
      <c r="Q19800" s="11"/>
      <c r="R19800" s="11"/>
      <c r="S19800" s="11"/>
      <c r="T19800" s="11"/>
    </row>
    <row r="19801" spans="8:20" x14ac:dyDescent="0.35">
      <c r="H19801" s="711"/>
      <c r="I19801" s="711"/>
      <c r="J19801" s="711"/>
      <c r="K19801" s="711"/>
      <c r="L19801" s="711"/>
      <c r="Q19801" s="11"/>
      <c r="R19801" s="11"/>
      <c r="S19801" s="11"/>
      <c r="T19801" s="11"/>
    </row>
    <row r="19802" spans="8:20" x14ac:dyDescent="0.35">
      <c r="H19802" s="711"/>
      <c r="I19802" s="711"/>
      <c r="J19802" s="711"/>
      <c r="K19802" s="711"/>
      <c r="L19802" s="711"/>
      <c r="Q19802" s="11"/>
      <c r="R19802" s="11"/>
      <c r="S19802" s="11"/>
      <c r="T19802" s="11"/>
    </row>
    <row r="19803" spans="8:20" x14ac:dyDescent="0.35">
      <c r="H19803" s="711"/>
      <c r="I19803" s="711"/>
      <c r="J19803" s="711"/>
      <c r="K19803" s="711"/>
      <c r="L19803" s="711"/>
      <c r="Q19803" s="11"/>
      <c r="R19803" s="11"/>
      <c r="S19803" s="11"/>
      <c r="T19803" s="11"/>
    </row>
    <row r="19804" spans="8:20" x14ac:dyDescent="0.35">
      <c r="H19804" s="711"/>
      <c r="I19804" s="711"/>
      <c r="J19804" s="711"/>
      <c r="K19804" s="711"/>
      <c r="L19804" s="711"/>
      <c r="Q19804" s="11"/>
      <c r="R19804" s="11"/>
      <c r="S19804" s="11"/>
      <c r="T19804" s="11"/>
    </row>
    <row r="19805" spans="8:20" x14ac:dyDescent="0.35">
      <c r="H19805" s="711"/>
      <c r="I19805" s="711"/>
      <c r="J19805" s="711"/>
      <c r="K19805" s="711"/>
      <c r="L19805" s="711"/>
      <c r="Q19805" s="11"/>
      <c r="R19805" s="11"/>
      <c r="S19805" s="11"/>
      <c r="T19805" s="11"/>
    </row>
    <row r="19806" spans="8:20" x14ac:dyDescent="0.35">
      <c r="H19806" s="711"/>
      <c r="I19806" s="711"/>
      <c r="J19806" s="711"/>
      <c r="K19806" s="711"/>
      <c r="L19806" s="711"/>
      <c r="Q19806" s="11"/>
      <c r="R19806" s="11"/>
      <c r="S19806" s="11"/>
      <c r="T19806" s="11"/>
    </row>
    <row r="19807" spans="8:20" x14ac:dyDescent="0.35">
      <c r="H19807" s="711"/>
      <c r="I19807" s="711"/>
      <c r="J19807" s="711"/>
      <c r="K19807" s="711"/>
      <c r="L19807" s="711"/>
      <c r="Q19807" s="11"/>
      <c r="R19807" s="11"/>
      <c r="S19807" s="11"/>
      <c r="T19807" s="11"/>
    </row>
    <row r="19808" spans="8:20" x14ac:dyDescent="0.35">
      <c r="H19808" s="711"/>
      <c r="I19808" s="711"/>
      <c r="J19808" s="711"/>
      <c r="K19808" s="711"/>
      <c r="L19808" s="711"/>
      <c r="Q19808" s="11"/>
      <c r="R19808" s="11"/>
      <c r="S19808" s="11"/>
      <c r="T19808" s="11"/>
    </row>
    <row r="19809" spans="8:20" x14ac:dyDescent="0.35">
      <c r="H19809" s="711"/>
      <c r="I19809" s="711"/>
      <c r="J19809" s="711"/>
      <c r="K19809" s="711"/>
      <c r="L19809" s="711"/>
      <c r="Q19809" s="11"/>
      <c r="R19809" s="11"/>
      <c r="S19809" s="11"/>
      <c r="T19809" s="11"/>
    </row>
    <row r="19810" spans="8:20" x14ac:dyDescent="0.35">
      <c r="H19810" s="711"/>
      <c r="I19810" s="711"/>
      <c r="J19810" s="711"/>
      <c r="K19810" s="711"/>
      <c r="L19810" s="711"/>
      <c r="Q19810" s="11"/>
      <c r="R19810" s="11"/>
      <c r="S19810" s="11"/>
      <c r="T19810" s="11"/>
    </row>
    <row r="19811" spans="8:20" x14ac:dyDescent="0.35">
      <c r="H19811" s="711"/>
      <c r="I19811" s="711"/>
      <c r="J19811" s="711"/>
      <c r="K19811" s="711"/>
      <c r="L19811" s="711"/>
      <c r="Q19811" s="11"/>
      <c r="R19811" s="11"/>
      <c r="S19811" s="11"/>
      <c r="T19811" s="11"/>
    </row>
    <row r="19812" spans="8:20" x14ac:dyDescent="0.35">
      <c r="H19812" s="711"/>
      <c r="I19812" s="711"/>
      <c r="J19812" s="711"/>
      <c r="K19812" s="711"/>
      <c r="L19812" s="711"/>
      <c r="Q19812" s="11"/>
      <c r="R19812" s="11"/>
      <c r="S19812" s="11"/>
      <c r="T19812" s="11"/>
    </row>
    <row r="19813" spans="8:20" x14ac:dyDescent="0.35">
      <c r="H19813" s="711"/>
      <c r="I19813" s="711"/>
      <c r="J19813" s="711"/>
      <c r="K19813" s="711"/>
      <c r="L19813" s="711"/>
      <c r="Q19813" s="11"/>
      <c r="R19813" s="11"/>
      <c r="S19813" s="11"/>
      <c r="T19813" s="11"/>
    </row>
    <row r="19814" spans="8:20" x14ac:dyDescent="0.35">
      <c r="H19814" s="711"/>
      <c r="I19814" s="711"/>
      <c r="J19814" s="711"/>
      <c r="K19814" s="711"/>
      <c r="L19814" s="711"/>
      <c r="Q19814" s="11"/>
      <c r="R19814" s="11"/>
      <c r="S19814" s="11"/>
      <c r="T19814" s="11"/>
    </row>
    <row r="19815" spans="8:20" x14ac:dyDescent="0.35">
      <c r="H19815" s="711"/>
      <c r="I19815" s="711"/>
      <c r="J19815" s="711"/>
      <c r="K19815" s="711"/>
      <c r="L19815" s="711"/>
      <c r="Q19815" s="11"/>
      <c r="R19815" s="11"/>
      <c r="S19815" s="11"/>
      <c r="T19815" s="11"/>
    </row>
    <row r="19816" spans="8:20" x14ac:dyDescent="0.35">
      <c r="H19816" s="711"/>
      <c r="I19816" s="711"/>
      <c r="J19816" s="711"/>
      <c r="K19816" s="711"/>
      <c r="L19816" s="711"/>
      <c r="Q19816" s="11"/>
      <c r="R19816" s="11"/>
      <c r="S19816" s="11"/>
      <c r="T19816" s="11"/>
    </row>
    <row r="19817" spans="8:20" x14ac:dyDescent="0.35">
      <c r="H19817" s="711"/>
      <c r="I19817" s="711"/>
      <c r="J19817" s="711"/>
      <c r="K19817" s="711"/>
      <c r="L19817" s="711"/>
      <c r="Q19817" s="11"/>
      <c r="R19817" s="11"/>
      <c r="S19817" s="11"/>
      <c r="T19817" s="11"/>
    </row>
    <row r="19818" spans="8:20" x14ac:dyDescent="0.35">
      <c r="H19818" s="711"/>
      <c r="I19818" s="711"/>
      <c r="J19818" s="711"/>
      <c r="K19818" s="711"/>
      <c r="L19818" s="711"/>
      <c r="Q19818" s="11"/>
      <c r="R19818" s="11"/>
      <c r="S19818" s="11"/>
      <c r="T19818" s="11"/>
    </row>
    <row r="19819" spans="8:20" x14ac:dyDescent="0.35">
      <c r="H19819" s="711"/>
      <c r="I19819" s="711"/>
      <c r="J19819" s="711"/>
      <c r="K19819" s="711"/>
      <c r="L19819" s="711"/>
      <c r="Q19819" s="11"/>
      <c r="R19819" s="11"/>
      <c r="S19819" s="11"/>
      <c r="T19819" s="11"/>
    </row>
    <row r="19820" spans="8:20" x14ac:dyDescent="0.35">
      <c r="H19820" s="711"/>
      <c r="I19820" s="711"/>
      <c r="J19820" s="711"/>
      <c r="K19820" s="711"/>
      <c r="L19820" s="711"/>
      <c r="Q19820" s="11"/>
      <c r="R19820" s="11"/>
      <c r="S19820" s="11"/>
      <c r="T19820" s="11"/>
    </row>
    <row r="19821" spans="8:20" x14ac:dyDescent="0.35">
      <c r="H19821" s="711"/>
      <c r="I19821" s="711"/>
      <c r="J19821" s="711"/>
      <c r="K19821" s="711"/>
      <c r="L19821" s="711"/>
      <c r="Q19821" s="11"/>
      <c r="R19821" s="11"/>
      <c r="S19821" s="11"/>
      <c r="T19821" s="11"/>
    </row>
    <row r="19822" spans="8:20" x14ac:dyDescent="0.35">
      <c r="H19822" s="711"/>
      <c r="I19822" s="711"/>
      <c r="J19822" s="711"/>
      <c r="K19822" s="711"/>
      <c r="L19822" s="711"/>
      <c r="Q19822" s="11"/>
      <c r="R19822" s="11"/>
      <c r="S19822" s="11"/>
      <c r="T19822" s="11"/>
    </row>
    <row r="19823" spans="8:20" x14ac:dyDescent="0.35">
      <c r="H19823" s="711"/>
      <c r="I19823" s="711"/>
      <c r="J19823" s="711"/>
      <c r="K19823" s="711"/>
      <c r="L19823" s="711"/>
      <c r="Q19823" s="11"/>
      <c r="R19823" s="11"/>
      <c r="S19823" s="11"/>
      <c r="T19823" s="11"/>
    </row>
    <row r="19824" spans="8:20" x14ac:dyDescent="0.35">
      <c r="H19824" s="711"/>
      <c r="I19824" s="711"/>
      <c r="J19824" s="711"/>
      <c r="K19824" s="711"/>
      <c r="L19824" s="711"/>
      <c r="Q19824" s="11"/>
      <c r="R19824" s="11"/>
      <c r="S19824" s="11"/>
      <c r="T19824" s="11"/>
    </row>
    <row r="19825" spans="8:20" x14ac:dyDescent="0.35">
      <c r="H19825" s="711"/>
      <c r="I19825" s="711"/>
      <c r="J19825" s="711"/>
      <c r="K19825" s="711"/>
      <c r="L19825" s="711"/>
      <c r="Q19825" s="11"/>
      <c r="R19825" s="11"/>
      <c r="S19825" s="11"/>
      <c r="T19825" s="11"/>
    </row>
    <row r="19826" spans="8:20" x14ac:dyDescent="0.35">
      <c r="H19826" s="711"/>
      <c r="I19826" s="711"/>
      <c r="J19826" s="711"/>
      <c r="K19826" s="711"/>
      <c r="L19826" s="711"/>
      <c r="Q19826" s="11"/>
      <c r="R19826" s="11"/>
      <c r="S19826" s="11"/>
      <c r="T19826" s="11"/>
    </row>
    <row r="19827" spans="8:20" x14ac:dyDescent="0.35">
      <c r="H19827" s="711"/>
      <c r="I19827" s="711"/>
      <c r="J19827" s="711"/>
      <c r="K19827" s="711"/>
      <c r="L19827" s="711"/>
      <c r="Q19827" s="11"/>
      <c r="R19827" s="11"/>
      <c r="S19827" s="11"/>
      <c r="T19827" s="11"/>
    </row>
    <row r="19828" spans="8:20" x14ac:dyDescent="0.35">
      <c r="H19828" s="711"/>
      <c r="I19828" s="711"/>
      <c r="J19828" s="711"/>
      <c r="K19828" s="711"/>
      <c r="L19828" s="711"/>
      <c r="Q19828" s="11"/>
      <c r="R19828" s="11"/>
      <c r="S19828" s="11"/>
      <c r="T19828" s="11"/>
    </row>
    <row r="19829" spans="8:20" x14ac:dyDescent="0.35">
      <c r="H19829" s="711"/>
      <c r="I19829" s="711"/>
      <c r="J19829" s="711"/>
      <c r="K19829" s="711"/>
      <c r="L19829" s="711"/>
      <c r="Q19829" s="11"/>
      <c r="R19829" s="11"/>
      <c r="S19829" s="11"/>
      <c r="T19829" s="11"/>
    </row>
    <row r="19830" spans="8:20" x14ac:dyDescent="0.35">
      <c r="H19830" s="711"/>
      <c r="I19830" s="711"/>
      <c r="J19830" s="711"/>
      <c r="K19830" s="711"/>
      <c r="L19830" s="711"/>
      <c r="Q19830" s="11"/>
      <c r="R19830" s="11"/>
      <c r="S19830" s="11"/>
      <c r="T19830" s="11"/>
    </row>
    <row r="19831" spans="8:20" x14ac:dyDescent="0.35">
      <c r="H19831" s="711"/>
      <c r="I19831" s="711"/>
      <c r="J19831" s="711"/>
      <c r="K19831" s="711"/>
      <c r="L19831" s="711"/>
      <c r="Q19831" s="11"/>
      <c r="R19831" s="11"/>
      <c r="S19831" s="11"/>
      <c r="T19831" s="11"/>
    </row>
    <row r="19832" spans="8:20" x14ac:dyDescent="0.35">
      <c r="H19832" s="711"/>
      <c r="I19832" s="711"/>
      <c r="J19832" s="711"/>
      <c r="K19832" s="711"/>
      <c r="L19832" s="711"/>
      <c r="Q19832" s="11"/>
      <c r="R19832" s="11"/>
      <c r="S19832" s="11"/>
      <c r="T19832" s="11"/>
    </row>
    <row r="19833" spans="8:20" x14ac:dyDescent="0.35">
      <c r="H19833" s="711"/>
      <c r="I19833" s="711"/>
      <c r="J19833" s="711"/>
      <c r="K19833" s="711"/>
      <c r="L19833" s="711"/>
      <c r="Q19833" s="11"/>
      <c r="R19833" s="11"/>
      <c r="S19833" s="11"/>
      <c r="T19833" s="11"/>
    </row>
    <row r="19834" spans="8:20" x14ac:dyDescent="0.35">
      <c r="H19834" s="711"/>
      <c r="I19834" s="711"/>
      <c r="J19834" s="711"/>
      <c r="K19834" s="711"/>
      <c r="L19834" s="711"/>
      <c r="Q19834" s="11"/>
      <c r="R19834" s="11"/>
      <c r="S19834" s="11"/>
      <c r="T19834" s="11"/>
    </row>
    <row r="19835" spans="8:20" x14ac:dyDescent="0.35">
      <c r="H19835" s="711"/>
      <c r="I19835" s="711"/>
      <c r="J19835" s="711"/>
      <c r="K19835" s="711"/>
      <c r="L19835" s="711"/>
      <c r="Q19835" s="11"/>
      <c r="R19835" s="11"/>
      <c r="S19835" s="11"/>
      <c r="T19835" s="11"/>
    </row>
    <row r="19836" spans="8:20" x14ac:dyDescent="0.35">
      <c r="H19836" s="711"/>
      <c r="I19836" s="711"/>
      <c r="J19836" s="711"/>
      <c r="K19836" s="711"/>
      <c r="L19836" s="711"/>
      <c r="Q19836" s="11"/>
      <c r="R19836" s="11"/>
      <c r="S19836" s="11"/>
      <c r="T19836" s="11"/>
    </row>
    <row r="19837" spans="8:20" x14ac:dyDescent="0.35">
      <c r="H19837" s="711"/>
      <c r="I19837" s="711"/>
      <c r="J19837" s="711"/>
      <c r="K19837" s="711"/>
      <c r="L19837" s="711"/>
      <c r="Q19837" s="11"/>
      <c r="R19837" s="11"/>
      <c r="S19837" s="11"/>
      <c r="T19837" s="11"/>
    </row>
    <row r="19838" spans="8:20" x14ac:dyDescent="0.35">
      <c r="H19838" s="711"/>
      <c r="I19838" s="711"/>
      <c r="J19838" s="711"/>
      <c r="K19838" s="711"/>
      <c r="L19838" s="711"/>
      <c r="Q19838" s="11"/>
      <c r="R19838" s="11"/>
      <c r="S19838" s="11"/>
      <c r="T19838" s="11"/>
    </row>
    <row r="19839" spans="8:20" x14ac:dyDescent="0.35">
      <c r="H19839" s="711"/>
      <c r="I19839" s="711"/>
      <c r="J19839" s="711"/>
      <c r="K19839" s="711"/>
      <c r="L19839" s="711"/>
      <c r="Q19839" s="11"/>
      <c r="R19839" s="11"/>
      <c r="S19839" s="11"/>
      <c r="T19839" s="11"/>
    </row>
    <row r="19840" spans="8:20" x14ac:dyDescent="0.35">
      <c r="H19840" s="711"/>
      <c r="I19840" s="711"/>
      <c r="J19840" s="711"/>
      <c r="K19840" s="711"/>
      <c r="L19840" s="711"/>
      <c r="Q19840" s="11"/>
      <c r="R19840" s="11"/>
      <c r="S19840" s="11"/>
      <c r="T19840" s="11"/>
    </row>
    <row r="19841" spans="8:20" x14ac:dyDescent="0.35">
      <c r="H19841" s="711"/>
      <c r="I19841" s="711"/>
      <c r="J19841" s="711"/>
      <c r="K19841" s="711"/>
      <c r="L19841" s="711"/>
      <c r="Q19841" s="11"/>
      <c r="R19841" s="11"/>
      <c r="S19841" s="11"/>
      <c r="T19841" s="11"/>
    </row>
    <row r="19842" spans="8:20" x14ac:dyDescent="0.35">
      <c r="H19842" s="711"/>
      <c r="I19842" s="711"/>
      <c r="J19842" s="711"/>
      <c r="K19842" s="711"/>
      <c r="L19842" s="711"/>
      <c r="Q19842" s="11"/>
      <c r="R19842" s="11"/>
      <c r="S19842" s="11"/>
      <c r="T19842" s="11"/>
    </row>
    <row r="19843" spans="8:20" x14ac:dyDescent="0.35">
      <c r="H19843" s="711"/>
      <c r="I19843" s="711"/>
      <c r="J19843" s="711"/>
      <c r="K19843" s="711"/>
      <c r="L19843" s="711"/>
      <c r="Q19843" s="11"/>
      <c r="R19843" s="11"/>
      <c r="S19843" s="11"/>
      <c r="T19843" s="11"/>
    </row>
    <row r="19844" spans="8:20" x14ac:dyDescent="0.35">
      <c r="H19844" s="711"/>
      <c r="I19844" s="711"/>
      <c r="J19844" s="711"/>
      <c r="K19844" s="711"/>
      <c r="L19844" s="711"/>
      <c r="Q19844" s="11"/>
      <c r="R19844" s="11"/>
      <c r="S19844" s="11"/>
      <c r="T19844" s="11"/>
    </row>
    <row r="19845" spans="8:20" x14ac:dyDescent="0.35">
      <c r="H19845" s="711"/>
      <c r="I19845" s="711"/>
      <c r="J19845" s="711"/>
      <c r="K19845" s="711"/>
      <c r="L19845" s="711"/>
      <c r="Q19845" s="11"/>
      <c r="R19845" s="11"/>
      <c r="S19845" s="11"/>
      <c r="T19845" s="11"/>
    </row>
    <row r="19846" spans="8:20" x14ac:dyDescent="0.35">
      <c r="H19846" s="711"/>
      <c r="I19846" s="711"/>
      <c r="J19846" s="711"/>
      <c r="K19846" s="711"/>
      <c r="L19846" s="711"/>
      <c r="Q19846" s="11"/>
      <c r="R19846" s="11"/>
      <c r="S19846" s="11"/>
      <c r="T19846" s="11"/>
    </row>
    <row r="19847" spans="8:20" x14ac:dyDescent="0.35">
      <c r="H19847" s="711"/>
      <c r="I19847" s="711"/>
      <c r="J19847" s="711"/>
      <c r="K19847" s="711"/>
      <c r="L19847" s="711"/>
      <c r="Q19847" s="11"/>
      <c r="R19847" s="11"/>
      <c r="S19847" s="11"/>
      <c r="T19847" s="11"/>
    </row>
    <row r="19848" spans="8:20" x14ac:dyDescent="0.35">
      <c r="H19848" s="711"/>
      <c r="I19848" s="711"/>
      <c r="J19848" s="711"/>
      <c r="K19848" s="711"/>
      <c r="L19848" s="711"/>
      <c r="Q19848" s="11"/>
      <c r="R19848" s="11"/>
      <c r="S19848" s="11"/>
      <c r="T19848" s="11"/>
    </row>
    <row r="19849" spans="8:20" x14ac:dyDescent="0.35">
      <c r="H19849" s="711"/>
      <c r="I19849" s="711"/>
      <c r="J19849" s="711"/>
      <c r="K19849" s="711"/>
      <c r="L19849" s="711"/>
      <c r="Q19849" s="11"/>
      <c r="R19849" s="11"/>
      <c r="S19849" s="11"/>
      <c r="T19849" s="11"/>
    </row>
    <row r="19850" spans="8:20" x14ac:dyDescent="0.35">
      <c r="H19850" s="711"/>
      <c r="I19850" s="711"/>
      <c r="J19850" s="711"/>
      <c r="K19850" s="711"/>
      <c r="L19850" s="711"/>
      <c r="Q19850" s="11"/>
      <c r="R19850" s="11"/>
      <c r="S19850" s="11"/>
      <c r="T19850" s="11"/>
    </row>
    <row r="19851" spans="8:20" x14ac:dyDescent="0.35">
      <c r="H19851" s="711"/>
      <c r="I19851" s="711"/>
      <c r="J19851" s="711"/>
      <c r="K19851" s="711"/>
      <c r="L19851" s="711"/>
      <c r="Q19851" s="11"/>
      <c r="R19851" s="11"/>
      <c r="S19851" s="11"/>
      <c r="T19851" s="11"/>
    </row>
    <row r="19852" spans="8:20" x14ac:dyDescent="0.35">
      <c r="H19852" s="711"/>
      <c r="I19852" s="711"/>
      <c r="J19852" s="711"/>
      <c r="K19852" s="711"/>
      <c r="L19852" s="711"/>
      <c r="Q19852" s="11"/>
      <c r="R19852" s="11"/>
      <c r="S19852" s="11"/>
      <c r="T19852" s="11"/>
    </row>
    <row r="19853" spans="8:20" x14ac:dyDescent="0.35">
      <c r="H19853" s="711"/>
      <c r="I19853" s="711"/>
      <c r="J19853" s="711"/>
      <c r="K19853" s="711"/>
      <c r="L19853" s="711"/>
      <c r="Q19853" s="11"/>
      <c r="R19853" s="11"/>
      <c r="S19853" s="11"/>
      <c r="T19853" s="11"/>
    </row>
    <row r="19854" spans="8:20" x14ac:dyDescent="0.35">
      <c r="H19854" s="711"/>
      <c r="I19854" s="711"/>
      <c r="J19854" s="711"/>
      <c r="K19854" s="711"/>
      <c r="L19854" s="711"/>
      <c r="Q19854" s="11"/>
      <c r="R19854" s="11"/>
      <c r="S19854" s="11"/>
      <c r="T19854" s="11"/>
    </row>
    <row r="19855" spans="8:20" x14ac:dyDescent="0.35">
      <c r="H19855" s="711"/>
      <c r="I19855" s="711"/>
      <c r="J19855" s="711"/>
      <c r="K19855" s="711"/>
      <c r="L19855" s="711"/>
      <c r="Q19855" s="11"/>
      <c r="R19855" s="11"/>
      <c r="S19855" s="11"/>
      <c r="T19855" s="11"/>
    </row>
    <row r="19856" spans="8:20" x14ac:dyDescent="0.35">
      <c r="H19856" s="711"/>
      <c r="I19856" s="711"/>
      <c r="J19856" s="711"/>
      <c r="K19856" s="711"/>
      <c r="L19856" s="711"/>
      <c r="Q19856" s="11"/>
      <c r="R19856" s="11"/>
      <c r="S19856" s="11"/>
      <c r="T19856" s="11"/>
    </row>
    <row r="19857" spans="8:20" x14ac:dyDescent="0.35">
      <c r="H19857" s="711"/>
      <c r="I19857" s="711"/>
      <c r="J19857" s="711"/>
      <c r="K19857" s="711"/>
      <c r="L19857" s="711"/>
      <c r="Q19857" s="11"/>
      <c r="R19857" s="11"/>
      <c r="S19857" s="11"/>
      <c r="T19857" s="11"/>
    </row>
    <row r="19858" spans="8:20" x14ac:dyDescent="0.35">
      <c r="H19858" s="711"/>
      <c r="I19858" s="711"/>
      <c r="J19858" s="711"/>
      <c r="K19858" s="711"/>
      <c r="L19858" s="711"/>
      <c r="Q19858" s="11"/>
      <c r="R19858" s="11"/>
      <c r="S19858" s="11"/>
      <c r="T19858" s="11"/>
    </row>
    <row r="19859" spans="8:20" x14ac:dyDescent="0.35">
      <c r="H19859" s="711"/>
      <c r="I19859" s="711"/>
      <c r="J19859" s="711"/>
      <c r="K19859" s="711"/>
      <c r="L19859" s="711"/>
      <c r="Q19859" s="11"/>
      <c r="R19859" s="11"/>
      <c r="S19859" s="11"/>
      <c r="T19859" s="11"/>
    </row>
    <row r="19860" spans="8:20" x14ac:dyDescent="0.35">
      <c r="H19860" s="711"/>
      <c r="I19860" s="711"/>
      <c r="J19860" s="711"/>
      <c r="K19860" s="711"/>
      <c r="L19860" s="711"/>
      <c r="Q19860" s="11"/>
      <c r="R19860" s="11"/>
      <c r="S19860" s="11"/>
      <c r="T19860" s="11"/>
    </row>
    <row r="19861" spans="8:20" x14ac:dyDescent="0.35">
      <c r="H19861" s="711"/>
      <c r="I19861" s="711"/>
      <c r="J19861" s="711"/>
      <c r="K19861" s="711"/>
      <c r="L19861" s="711"/>
      <c r="Q19861" s="11"/>
      <c r="R19861" s="11"/>
      <c r="S19861" s="11"/>
      <c r="T19861" s="11"/>
    </row>
    <row r="19862" spans="8:20" x14ac:dyDescent="0.35">
      <c r="H19862" s="711"/>
      <c r="I19862" s="711"/>
      <c r="J19862" s="711"/>
      <c r="K19862" s="711"/>
      <c r="L19862" s="711"/>
      <c r="Q19862" s="11"/>
      <c r="R19862" s="11"/>
      <c r="S19862" s="11"/>
      <c r="T19862" s="11"/>
    </row>
    <row r="19863" spans="8:20" x14ac:dyDescent="0.35">
      <c r="H19863" s="711"/>
      <c r="I19863" s="711"/>
      <c r="J19863" s="711"/>
      <c r="K19863" s="711"/>
      <c r="L19863" s="711"/>
      <c r="Q19863" s="11"/>
      <c r="R19863" s="11"/>
      <c r="S19863" s="11"/>
      <c r="T19863" s="11"/>
    </row>
    <row r="19864" spans="8:20" x14ac:dyDescent="0.35">
      <c r="H19864" s="711"/>
      <c r="I19864" s="711"/>
      <c r="J19864" s="711"/>
      <c r="K19864" s="711"/>
      <c r="L19864" s="711"/>
      <c r="Q19864" s="11"/>
      <c r="R19864" s="11"/>
      <c r="S19864" s="11"/>
      <c r="T19864" s="11"/>
    </row>
    <row r="19865" spans="8:20" x14ac:dyDescent="0.35">
      <c r="H19865" s="711"/>
      <c r="I19865" s="711"/>
      <c r="J19865" s="711"/>
      <c r="K19865" s="711"/>
      <c r="L19865" s="711"/>
      <c r="Q19865" s="11"/>
      <c r="R19865" s="11"/>
      <c r="S19865" s="11"/>
      <c r="T19865" s="11"/>
    </row>
    <row r="19866" spans="8:20" x14ac:dyDescent="0.35">
      <c r="H19866" s="711"/>
      <c r="I19866" s="711"/>
      <c r="J19866" s="711"/>
      <c r="K19866" s="711"/>
      <c r="L19866" s="711"/>
      <c r="Q19866" s="11"/>
      <c r="R19866" s="11"/>
      <c r="S19866" s="11"/>
      <c r="T19866" s="11"/>
    </row>
    <row r="19867" spans="8:20" x14ac:dyDescent="0.35">
      <c r="H19867" s="711"/>
      <c r="I19867" s="711"/>
      <c r="J19867" s="711"/>
      <c r="K19867" s="711"/>
      <c r="L19867" s="711"/>
      <c r="Q19867" s="11"/>
      <c r="R19867" s="11"/>
      <c r="S19867" s="11"/>
      <c r="T19867" s="11"/>
    </row>
    <row r="19868" spans="8:20" x14ac:dyDescent="0.35">
      <c r="H19868" s="711"/>
      <c r="I19868" s="711"/>
      <c r="J19868" s="711"/>
      <c r="K19868" s="711"/>
      <c r="L19868" s="711"/>
      <c r="Q19868" s="11"/>
      <c r="R19868" s="11"/>
      <c r="S19868" s="11"/>
      <c r="T19868" s="11"/>
    </row>
    <row r="19869" spans="8:20" x14ac:dyDescent="0.35">
      <c r="H19869" s="711"/>
      <c r="I19869" s="711"/>
      <c r="J19869" s="711"/>
      <c r="K19869" s="711"/>
      <c r="L19869" s="711"/>
      <c r="Q19869" s="11"/>
      <c r="R19869" s="11"/>
      <c r="S19869" s="11"/>
      <c r="T19869" s="11"/>
    </row>
    <row r="19870" spans="8:20" x14ac:dyDescent="0.35">
      <c r="H19870" s="711"/>
      <c r="I19870" s="711"/>
      <c r="J19870" s="711"/>
      <c r="K19870" s="711"/>
      <c r="L19870" s="711"/>
      <c r="Q19870" s="11"/>
      <c r="R19870" s="11"/>
      <c r="S19870" s="11"/>
      <c r="T19870" s="11"/>
    </row>
    <row r="19871" spans="8:20" x14ac:dyDescent="0.35">
      <c r="H19871" s="711"/>
      <c r="I19871" s="711"/>
      <c r="J19871" s="711"/>
      <c r="K19871" s="711"/>
      <c r="L19871" s="711"/>
      <c r="Q19871" s="11"/>
      <c r="R19871" s="11"/>
      <c r="S19871" s="11"/>
      <c r="T19871" s="11"/>
    </row>
    <row r="19872" spans="8:20" x14ac:dyDescent="0.35">
      <c r="H19872" s="711"/>
      <c r="I19872" s="711"/>
      <c r="J19872" s="711"/>
      <c r="K19872" s="711"/>
      <c r="L19872" s="711"/>
      <c r="Q19872" s="11"/>
      <c r="R19872" s="11"/>
      <c r="S19872" s="11"/>
      <c r="T19872" s="11"/>
    </row>
    <row r="19873" spans="8:20" x14ac:dyDescent="0.35">
      <c r="H19873" s="711"/>
      <c r="I19873" s="711"/>
      <c r="J19873" s="711"/>
      <c r="K19873" s="711"/>
      <c r="L19873" s="711"/>
      <c r="Q19873" s="11"/>
      <c r="R19873" s="11"/>
      <c r="S19873" s="11"/>
      <c r="T19873" s="11"/>
    </row>
    <row r="19874" spans="8:20" x14ac:dyDescent="0.35">
      <c r="H19874" s="711"/>
      <c r="I19874" s="711"/>
      <c r="J19874" s="711"/>
      <c r="K19874" s="711"/>
      <c r="L19874" s="711"/>
      <c r="Q19874" s="11"/>
      <c r="R19874" s="11"/>
      <c r="S19874" s="11"/>
      <c r="T19874" s="11"/>
    </row>
    <row r="19875" spans="8:20" x14ac:dyDescent="0.35">
      <c r="H19875" s="711"/>
      <c r="I19875" s="711"/>
      <c r="J19875" s="711"/>
      <c r="K19875" s="711"/>
      <c r="L19875" s="711"/>
      <c r="Q19875" s="11"/>
      <c r="R19875" s="11"/>
      <c r="S19875" s="11"/>
      <c r="T19875" s="11"/>
    </row>
    <row r="19876" spans="8:20" x14ac:dyDescent="0.35">
      <c r="H19876" s="711"/>
      <c r="I19876" s="711"/>
      <c r="J19876" s="711"/>
      <c r="K19876" s="711"/>
      <c r="L19876" s="711"/>
      <c r="Q19876" s="11"/>
      <c r="R19876" s="11"/>
      <c r="S19876" s="11"/>
      <c r="T19876" s="11"/>
    </row>
    <row r="19877" spans="8:20" x14ac:dyDescent="0.35">
      <c r="H19877" s="711"/>
      <c r="I19877" s="711"/>
      <c r="J19877" s="711"/>
      <c r="K19877" s="711"/>
      <c r="L19877" s="711"/>
      <c r="Q19877" s="11"/>
      <c r="R19877" s="11"/>
      <c r="S19877" s="11"/>
      <c r="T19877" s="11"/>
    </row>
    <row r="19878" spans="8:20" x14ac:dyDescent="0.35">
      <c r="H19878" s="711"/>
      <c r="I19878" s="711"/>
      <c r="J19878" s="711"/>
      <c r="K19878" s="711"/>
      <c r="L19878" s="711"/>
      <c r="Q19878" s="11"/>
      <c r="R19878" s="11"/>
      <c r="S19878" s="11"/>
      <c r="T19878" s="11"/>
    </row>
    <row r="19879" spans="8:20" x14ac:dyDescent="0.35">
      <c r="H19879" s="711"/>
      <c r="I19879" s="711"/>
      <c r="J19879" s="711"/>
      <c r="K19879" s="711"/>
      <c r="L19879" s="711"/>
      <c r="Q19879" s="11"/>
      <c r="R19879" s="11"/>
      <c r="S19879" s="11"/>
      <c r="T19879" s="11"/>
    </row>
    <row r="19880" spans="8:20" x14ac:dyDescent="0.35">
      <c r="H19880" s="711"/>
      <c r="I19880" s="711"/>
      <c r="J19880" s="711"/>
      <c r="K19880" s="711"/>
      <c r="L19880" s="711"/>
      <c r="Q19880" s="11"/>
      <c r="R19880" s="11"/>
      <c r="S19880" s="11"/>
      <c r="T19880" s="11"/>
    </row>
    <row r="19881" spans="8:20" x14ac:dyDescent="0.35">
      <c r="H19881" s="711"/>
      <c r="I19881" s="711"/>
      <c r="J19881" s="711"/>
      <c r="K19881" s="711"/>
      <c r="L19881" s="711"/>
      <c r="Q19881" s="11"/>
      <c r="R19881" s="11"/>
      <c r="S19881" s="11"/>
      <c r="T19881" s="11"/>
    </row>
    <row r="19882" spans="8:20" x14ac:dyDescent="0.35">
      <c r="H19882" s="711"/>
      <c r="I19882" s="711"/>
      <c r="J19882" s="711"/>
      <c r="K19882" s="711"/>
      <c r="L19882" s="711"/>
      <c r="Q19882" s="11"/>
      <c r="R19882" s="11"/>
      <c r="S19882" s="11"/>
      <c r="T19882" s="11"/>
    </row>
    <row r="19883" spans="8:20" x14ac:dyDescent="0.35">
      <c r="H19883" s="711"/>
      <c r="I19883" s="711"/>
      <c r="J19883" s="711"/>
      <c r="K19883" s="711"/>
      <c r="L19883" s="711"/>
      <c r="Q19883" s="11"/>
      <c r="R19883" s="11"/>
      <c r="S19883" s="11"/>
      <c r="T19883" s="11"/>
    </row>
    <row r="19884" spans="8:20" x14ac:dyDescent="0.35">
      <c r="H19884" s="711"/>
      <c r="I19884" s="711"/>
      <c r="J19884" s="711"/>
      <c r="K19884" s="711"/>
      <c r="L19884" s="711"/>
      <c r="Q19884" s="11"/>
      <c r="R19884" s="11"/>
      <c r="S19884" s="11"/>
      <c r="T19884" s="11"/>
    </row>
    <row r="19885" spans="8:20" x14ac:dyDescent="0.35">
      <c r="H19885" s="711"/>
      <c r="I19885" s="711"/>
      <c r="J19885" s="711"/>
      <c r="K19885" s="711"/>
      <c r="L19885" s="711"/>
      <c r="Q19885" s="11"/>
      <c r="R19885" s="11"/>
      <c r="S19885" s="11"/>
      <c r="T19885" s="11"/>
    </row>
    <row r="19886" spans="8:20" x14ac:dyDescent="0.35">
      <c r="H19886" s="711"/>
      <c r="I19886" s="711"/>
      <c r="J19886" s="711"/>
      <c r="K19886" s="711"/>
      <c r="L19886" s="711"/>
      <c r="Q19886" s="11"/>
      <c r="R19886" s="11"/>
      <c r="S19886" s="11"/>
      <c r="T19886" s="11"/>
    </row>
    <row r="19887" spans="8:20" x14ac:dyDescent="0.35">
      <c r="H19887" s="711"/>
      <c r="I19887" s="711"/>
      <c r="J19887" s="711"/>
      <c r="K19887" s="711"/>
      <c r="L19887" s="711"/>
      <c r="Q19887" s="11"/>
      <c r="R19887" s="11"/>
      <c r="S19887" s="11"/>
      <c r="T19887" s="11"/>
    </row>
    <row r="19888" spans="8:20" x14ac:dyDescent="0.35">
      <c r="H19888" s="711"/>
      <c r="I19888" s="711"/>
      <c r="J19888" s="711"/>
      <c r="K19888" s="711"/>
      <c r="L19888" s="711"/>
      <c r="Q19888" s="11"/>
      <c r="R19888" s="11"/>
      <c r="S19888" s="11"/>
      <c r="T19888" s="11"/>
    </row>
    <row r="19889" spans="8:20" x14ac:dyDescent="0.35">
      <c r="H19889" s="711"/>
      <c r="I19889" s="711"/>
      <c r="J19889" s="711"/>
      <c r="K19889" s="711"/>
      <c r="L19889" s="711"/>
      <c r="Q19889" s="11"/>
      <c r="R19889" s="11"/>
      <c r="S19889" s="11"/>
      <c r="T19889" s="11"/>
    </row>
    <row r="19890" spans="8:20" x14ac:dyDescent="0.35">
      <c r="H19890" s="711"/>
      <c r="I19890" s="711"/>
      <c r="J19890" s="711"/>
      <c r="K19890" s="711"/>
      <c r="L19890" s="711"/>
      <c r="Q19890" s="11"/>
      <c r="R19890" s="11"/>
      <c r="S19890" s="11"/>
      <c r="T19890" s="11"/>
    </row>
    <row r="19891" spans="8:20" x14ac:dyDescent="0.35">
      <c r="H19891" s="711"/>
      <c r="I19891" s="711"/>
      <c r="J19891" s="711"/>
      <c r="K19891" s="711"/>
      <c r="L19891" s="711"/>
      <c r="Q19891" s="11"/>
      <c r="R19891" s="11"/>
      <c r="S19891" s="11"/>
      <c r="T19891" s="11"/>
    </row>
    <row r="19892" spans="8:20" x14ac:dyDescent="0.35">
      <c r="H19892" s="711"/>
      <c r="I19892" s="711"/>
      <c r="J19892" s="711"/>
      <c r="K19892" s="711"/>
      <c r="L19892" s="711"/>
      <c r="Q19892" s="11"/>
      <c r="R19892" s="11"/>
      <c r="S19892" s="11"/>
      <c r="T19892" s="11"/>
    </row>
    <row r="19893" spans="8:20" x14ac:dyDescent="0.35">
      <c r="H19893" s="711"/>
      <c r="I19893" s="711"/>
      <c r="J19893" s="711"/>
      <c r="K19893" s="711"/>
      <c r="L19893" s="711"/>
      <c r="Q19893" s="11"/>
      <c r="R19893" s="11"/>
      <c r="S19893" s="11"/>
      <c r="T19893" s="11"/>
    </row>
    <row r="19894" spans="8:20" x14ac:dyDescent="0.35">
      <c r="H19894" s="711"/>
      <c r="I19894" s="711"/>
      <c r="J19894" s="711"/>
      <c r="K19894" s="711"/>
      <c r="L19894" s="711"/>
      <c r="Q19894" s="11"/>
      <c r="R19894" s="11"/>
      <c r="S19894" s="11"/>
      <c r="T19894" s="11"/>
    </row>
    <row r="19895" spans="8:20" x14ac:dyDescent="0.35">
      <c r="H19895" s="711"/>
      <c r="I19895" s="711"/>
      <c r="J19895" s="711"/>
      <c r="K19895" s="711"/>
      <c r="L19895" s="711"/>
      <c r="Q19895" s="11"/>
      <c r="R19895" s="11"/>
      <c r="S19895" s="11"/>
      <c r="T19895" s="11"/>
    </row>
    <row r="19896" spans="8:20" x14ac:dyDescent="0.35">
      <c r="H19896" s="711"/>
      <c r="I19896" s="711"/>
      <c r="J19896" s="711"/>
      <c r="K19896" s="711"/>
      <c r="L19896" s="711"/>
      <c r="Q19896" s="11"/>
      <c r="R19896" s="11"/>
      <c r="S19896" s="11"/>
      <c r="T19896" s="11"/>
    </row>
    <row r="19897" spans="8:20" x14ac:dyDescent="0.35">
      <c r="H19897" s="711"/>
      <c r="I19897" s="711"/>
      <c r="J19897" s="711"/>
      <c r="K19897" s="711"/>
      <c r="L19897" s="711"/>
      <c r="Q19897" s="11"/>
      <c r="R19897" s="11"/>
      <c r="S19897" s="11"/>
      <c r="T19897" s="11"/>
    </row>
    <row r="19898" spans="8:20" x14ac:dyDescent="0.35">
      <c r="H19898" s="711"/>
      <c r="I19898" s="711"/>
      <c r="J19898" s="711"/>
      <c r="K19898" s="711"/>
      <c r="L19898" s="711"/>
      <c r="Q19898" s="11"/>
      <c r="R19898" s="11"/>
      <c r="S19898" s="11"/>
      <c r="T19898" s="11"/>
    </row>
    <row r="19899" spans="8:20" x14ac:dyDescent="0.35">
      <c r="H19899" s="711"/>
      <c r="I19899" s="711"/>
      <c r="J19899" s="711"/>
      <c r="K19899" s="711"/>
      <c r="L19899" s="711"/>
      <c r="Q19899" s="11"/>
      <c r="R19899" s="11"/>
      <c r="S19899" s="11"/>
      <c r="T19899" s="11"/>
    </row>
    <row r="19900" spans="8:20" x14ac:dyDescent="0.35">
      <c r="H19900" s="711"/>
      <c r="I19900" s="711"/>
      <c r="J19900" s="711"/>
      <c r="K19900" s="711"/>
      <c r="L19900" s="711"/>
      <c r="Q19900" s="11"/>
      <c r="R19900" s="11"/>
      <c r="S19900" s="11"/>
      <c r="T19900" s="11"/>
    </row>
    <row r="19901" spans="8:20" x14ac:dyDescent="0.35">
      <c r="H19901" s="711"/>
      <c r="I19901" s="711"/>
      <c r="J19901" s="711"/>
      <c r="K19901" s="711"/>
      <c r="L19901" s="711"/>
      <c r="Q19901" s="11"/>
      <c r="R19901" s="11"/>
      <c r="S19901" s="11"/>
      <c r="T19901" s="11"/>
    </row>
    <row r="19902" spans="8:20" x14ac:dyDescent="0.35">
      <c r="H19902" s="711"/>
      <c r="I19902" s="711"/>
      <c r="J19902" s="711"/>
      <c r="K19902" s="711"/>
      <c r="L19902" s="711"/>
      <c r="Q19902" s="11"/>
      <c r="R19902" s="11"/>
      <c r="S19902" s="11"/>
      <c r="T19902" s="11"/>
    </row>
    <row r="19903" spans="8:20" x14ac:dyDescent="0.35">
      <c r="H19903" s="711"/>
      <c r="I19903" s="711"/>
      <c r="J19903" s="711"/>
      <c r="K19903" s="711"/>
      <c r="L19903" s="711"/>
      <c r="Q19903" s="11"/>
      <c r="R19903" s="11"/>
      <c r="S19903" s="11"/>
      <c r="T19903" s="11"/>
    </row>
    <row r="19904" spans="8:20" x14ac:dyDescent="0.35">
      <c r="H19904" s="711"/>
      <c r="I19904" s="711"/>
      <c r="J19904" s="711"/>
      <c r="K19904" s="711"/>
      <c r="L19904" s="711"/>
      <c r="Q19904" s="11"/>
      <c r="R19904" s="11"/>
      <c r="S19904" s="11"/>
      <c r="T19904" s="11"/>
    </row>
    <row r="19905" spans="8:20" x14ac:dyDescent="0.35">
      <c r="H19905" s="711"/>
      <c r="I19905" s="711"/>
      <c r="J19905" s="711"/>
      <c r="K19905" s="711"/>
      <c r="L19905" s="711"/>
      <c r="Q19905" s="11"/>
      <c r="R19905" s="11"/>
      <c r="S19905" s="11"/>
      <c r="T19905" s="11"/>
    </row>
    <row r="19906" spans="8:20" x14ac:dyDescent="0.35">
      <c r="H19906" s="711"/>
      <c r="I19906" s="711"/>
      <c r="J19906" s="711"/>
      <c r="K19906" s="711"/>
      <c r="L19906" s="711"/>
      <c r="Q19906" s="11"/>
      <c r="R19906" s="11"/>
      <c r="S19906" s="11"/>
      <c r="T19906" s="11"/>
    </row>
    <row r="19907" spans="8:20" x14ac:dyDescent="0.35">
      <c r="H19907" s="711"/>
      <c r="I19907" s="711"/>
      <c r="J19907" s="711"/>
      <c r="K19907" s="711"/>
      <c r="L19907" s="711"/>
      <c r="Q19907" s="11"/>
      <c r="R19907" s="11"/>
      <c r="S19907" s="11"/>
      <c r="T19907" s="11"/>
    </row>
    <row r="19908" spans="8:20" x14ac:dyDescent="0.35">
      <c r="H19908" s="711"/>
      <c r="I19908" s="711"/>
      <c r="J19908" s="711"/>
      <c r="K19908" s="711"/>
      <c r="L19908" s="711"/>
      <c r="Q19908" s="11"/>
      <c r="R19908" s="11"/>
      <c r="S19908" s="11"/>
      <c r="T19908" s="11"/>
    </row>
    <row r="19909" spans="8:20" x14ac:dyDescent="0.35">
      <c r="H19909" s="711"/>
      <c r="I19909" s="711"/>
      <c r="J19909" s="711"/>
      <c r="K19909" s="711"/>
      <c r="L19909" s="711"/>
      <c r="Q19909" s="11"/>
      <c r="R19909" s="11"/>
      <c r="S19909" s="11"/>
      <c r="T19909" s="11"/>
    </row>
    <row r="19910" spans="8:20" x14ac:dyDescent="0.35">
      <c r="H19910" s="711"/>
      <c r="I19910" s="711"/>
      <c r="J19910" s="711"/>
      <c r="K19910" s="711"/>
      <c r="L19910" s="711"/>
      <c r="Q19910" s="11"/>
      <c r="R19910" s="11"/>
      <c r="S19910" s="11"/>
      <c r="T19910" s="11"/>
    </row>
    <row r="19911" spans="8:20" x14ac:dyDescent="0.35">
      <c r="H19911" s="711"/>
      <c r="I19911" s="711"/>
      <c r="J19911" s="711"/>
      <c r="K19911" s="711"/>
      <c r="L19911" s="711"/>
      <c r="Q19911" s="11"/>
      <c r="R19911" s="11"/>
      <c r="S19911" s="11"/>
      <c r="T19911" s="11"/>
    </row>
    <row r="19912" spans="8:20" x14ac:dyDescent="0.35">
      <c r="H19912" s="711"/>
      <c r="I19912" s="711"/>
      <c r="J19912" s="711"/>
      <c r="K19912" s="711"/>
      <c r="L19912" s="711"/>
      <c r="Q19912" s="11"/>
      <c r="R19912" s="11"/>
      <c r="S19912" s="11"/>
      <c r="T19912" s="11"/>
    </row>
    <row r="19913" spans="8:20" x14ac:dyDescent="0.35">
      <c r="H19913" s="711"/>
      <c r="I19913" s="711"/>
      <c r="J19913" s="711"/>
      <c r="K19913" s="711"/>
      <c r="L19913" s="711"/>
      <c r="Q19913" s="11"/>
      <c r="R19913" s="11"/>
      <c r="S19913" s="11"/>
      <c r="T19913" s="11"/>
    </row>
    <row r="19914" spans="8:20" x14ac:dyDescent="0.35">
      <c r="H19914" s="711"/>
      <c r="I19914" s="711"/>
      <c r="J19914" s="711"/>
      <c r="K19914" s="711"/>
      <c r="L19914" s="711"/>
      <c r="Q19914" s="11"/>
      <c r="R19914" s="11"/>
      <c r="S19914" s="11"/>
      <c r="T19914" s="11"/>
    </row>
    <row r="19915" spans="8:20" x14ac:dyDescent="0.35">
      <c r="H19915" s="711"/>
      <c r="I19915" s="711"/>
      <c r="J19915" s="711"/>
      <c r="K19915" s="711"/>
      <c r="L19915" s="711"/>
      <c r="Q19915" s="11"/>
      <c r="R19915" s="11"/>
      <c r="S19915" s="11"/>
      <c r="T19915" s="11"/>
    </row>
    <row r="19916" spans="8:20" x14ac:dyDescent="0.35">
      <c r="H19916" s="711"/>
      <c r="I19916" s="711"/>
      <c r="J19916" s="711"/>
      <c r="K19916" s="711"/>
      <c r="L19916" s="711"/>
      <c r="Q19916" s="11"/>
      <c r="R19916" s="11"/>
      <c r="S19916" s="11"/>
      <c r="T19916" s="11"/>
    </row>
    <row r="19917" spans="8:20" x14ac:dyDescent="0.35">
      <c r="H19917" s="711"/>
      <c r="I19917" s="711"/>
      <c r="J19917" s="711"/>
      <c r="K19917" s="711"/>
      <c r="L19917" s="711"/>
      <c r="Q19917" s="11"/>
      <c r="R19917" s="11"/>
      <c r="S19917" s="11"/>
      <c r="T19917" s="11"/>
    </row>
    <row r="19918" spans="8:20" x14ac:dyDescent="0.35">
      <c r="H19918" s="711"/>
      <c r="I19918" s="711"/>
      <c r="J19918" s="711"/>
      <c r="K19918" s="711"/>
      <c r="L19918" s="711"/>
      <c r="Q19918" s="11"/>
      <c r="R19918" s="11"/>
      <c r="S19918" s="11"/>
      <c r="T19918" s="11"/>
    </row>
    <row r="19919" spans="8:20" x14ac:dyDescent="0.35">
      <c r="H19919" s="711"/>
      <c r="I19919" s="711"/>
      <c r="J19919" s="711"/>
      <c r="K19919" s="711"/>
      <c r="L19919" s="711"/>
      <c r="Q19919" s="11"/>
      <c r="R19919" s="11"/>
      <c r="S19919" s="11"/>
      <c r="T19919" s="11"/>
    </row>
    <row r="19920" spans="8:20" x14ac:dyDescent="0.35">
      <c r="H19920" s="711"/>
      <c r="I19920" s="711"/>
      <c r="J19920" s="711"/>
      <c r="K19920" s="711"/>
      <c r="L19920" s="711"/>
      <c r="Q19920" s="11"/>
      <c r="R19920" s="11"/>
      <c r="S19920" s="11"/>
      <c r="T19920" s="11"/>
    </row>
    <row r="19921" spans="8:20" x14ac:dyDescent="0.35">
      <c r="H19921" s="711"/>
      <c r="I19921" s="711"/>
      <c r="J19921" s="711"/>
      <c r="K19921" s="711"/>
      <c r="L19921" s="711"/>
      <c r="Q19921" s="11"/>
      <c r="R19921" s="11"/>
      <c r="S19921" s="11"/>
      <c r="T19921" s="11"/>
    </row>
    <row r="19922" spans="8:20" x14ac:dyDescent="0.35">
      <c r="H19922" s="711"/>
      <c r="I19922" s="711"/>
      <c r="J19922" s="711"/>
      <c r="K19922" s="711"/>
      <c r="L19922" s="711"/>
      <c r="Q19922" s="11"/>
      <c r="R19922" s="11"/>
      <c r="S19922" s="11"/>
      <c r="T19922" s="11"/>
    </row>
    <row r="19923" spans="8:20" x14ac:dyDescent="0.35">
      <c r="H19923" s="711"/>
      <c r="I19923" s="711"/>
      <c r="J19923" s="711"/>
      <c r="K19923" s="711"/>
      <c r="L19923" s="711"/>
      <c r="Q19923" s="11"/>
      <c r="R19923" s="11"/>
      <c r="S19923" s="11"/>
      <c r="T19923" s="11"/>
    </row>
    <row r="19924" spans="8:20" x14ac:dyDescent="0.35">
      <c r="H19924" s="711"/>
      <c r="I19924" s="711"/>
      <c r="J19924" s="711"/>
      <c r="K19924" s="711"/>
      <c r="L19924" s="711"/>
      <c r="Q19924" s="11"/>
      <c r="R19924" s="11"/>
      <c r="S19924" s="11"/>
      <c r="T19924" s="11"/>
    </row>
    <row r="19925" spans="8:20" x14ac:dyDescent="0.35">
      <c r="H19925" s="711"/>
      <c r="I19925" s="711"/>
      <c r="J19925" s="711"/>
      <c r="K19925" s="711"/>
      <c r="L19925" s="711"/>
      <c r="Q19925" s="11"/>
      <c r="R19925" s="11"/>
      <c r="S19925" s="11"/>
      <c r="T19925" s="11"/>
    </row>
    <row r="19926" spans="8:20" x14ac:dyDescent="0.35">
      <c r="H19926" s="711"/>
      <c r="I19926" s="711"/>
      <c r="J19926" s="711"/>
      <c r="K19926" s="711"/>
      <c r="L19926" s="711"/>
      <c r="Q19926" s="11"/>
      <c r="R19926" s="11"/>
      <c r="S19926" s="11"/>
      <c r="T19926" s="11"/>
    </row>
    <row r="19927" spans="8:20" x14ac:dyDescent="0.35">
      <c r="H19927" s="711"/>
      <c r="I19927" s="711"/>
      <c r="J19927" s="711"/>
      <c r="K19927" s="711"/>
      <c r="L19927" s="711"/>
      <c r="Q19927" s="11"/>
      <c r="R19927" s="11"/>
      <c r="S19927" s="11"/>
      <c r="T19927" s="11"/>
    </row>
    <row r="19928" spans="8:20" x14ac:dyDescent="0.35">
      <c r="H19928" s="711"/>
      <c r="I19928" s="711"/>
      <c r="J19928" s="711"/>
      <c r="K19928" s="711"/>
      <c r="L19928" s="711"/>
      <c r="Q19928" s="11"/>
      <c r="R19928" s="11"/>
      <c r="S19928" s="11"/>
      <c r="T19928" s="11"/>
    </row>
    <row r="19929" spans="8:20" x14ac:dyDescent="0.35">
      <c r="H19929" s="711"/>
      <c r="I19929" s="711"/>
      <c r="J19929" s="711"/>
      <c r="K19929" s="711"/>
      <c r="L19929" s="711"/>
      <c r="Q19929" s="11"/>
      <c r="R19929" s="11"/>
      <c r="S19929" s="11"/>
      <c r="T19929" s="11"/>
    </row>
    <row r="19930" spans="8:20" x14ac:dyDescent="0.35">
      <c r="H19930" s="711"/>
      <c r="I19930" s="711"/>
      <c r="J19930" s="711"/>
      <c r="K19930" s="711"/>
      <c r="L19930" s="711"/>
      <c r="Q19930" s="11"/>
      <c r="R19930" s="11"/>
      <c r="S19930" s="11"/>
      <c r="T19930" s="11"/>
    </row>
    <row r="19931" spans="8:20" x14ac:dyDescent="0.35">
      <c r="H19931" s="711"/>
      <c r="I19931" s="711"/>
      <c r="J19931" s="711"/>
      <c r="K19931" s="711"/>
      <c r="L19931" s="711"/>
      <c r="Q19931" s="11"/>
      <c r="R19931" s="11"/>
      <c r="S19931" s="11"/>
      <c r="T19931" s="11"/>
    </row>
    <row r="19932" spans="8:20" x14ac:dyDescent="0.35">
      <c r="H19932" s="711"/>
      <c r="I19932" s="711"/>
      <c r="J19932" s="711"/>
      <c r="K19932" s="711"/>
      <c r="L19932" s="711"/>
      <c r="Q19932" s="11"/>
      <c r="R19932" s="11"/>
      <c r="S19932" s="11"/>
      <c r="T19932" s="11"/>
    </row>
    <row r="19933" spans="8:20" x14ac:dyDescent="0.35">
      <c r="H19933" s="711"/>
      <c r="I19933" s="711"/>
      <c r="J19933" s="711"/>
      <c r="K19933" s="711"/>
      <c r="L19933" s="711"/>
      <c r="Q19933" s="11"/>
      <c r="R19933" s="11"/>
      <c r="S19933" s="11"/>
      <c r="T19933" s="11"/>
    </row>
    <row r="19934" spans="8:20" x14ac:dyDescent="0.35">
      <c r="H19934" s="711"/>
      <c r="I19934" s="711"/>
      <c r="J19934" s="711"/>
      <c r="K19934" s="711"/>
      <c r="L19934" s="711"/>
      <c r="Q19934" s="11"/>
      <c r="R19934" s="11"/>
      <c r="S19934" s="11"/>
      <c r="T19934" s="11"/>
    </row>
    <row r="19935" spans="8:20" x14ac:dyDescent="0.35">
      <c r="H19935" s="711"/>
      <c r="I19935" s="711"/>
      <c r="J19935" s="711"/>
      <c r="K19935" s="711"/>
      <c r="L19935" s="711"/>
      <c r="Q19935" s="11"/>
      <c r="R19935" s="11"/>
      <c r="S19935" s="11"/>
      <c r="T19935" s="11"/>
    </row>
    <row r="19936" spans="8:20" x14ac:dyDescent="0.35">
      <c r="H19936" s="711"/>
      <c r="I19936" s="711"/>
      <c r="J19936" s="711"/>
      <c r="K19936" s="711"/>
      <c r="L19936" s="711"/>
      <c r="Q19936" s="11"/>
      <c r="R19936" s="11"/>
      <c r="S19936" s="11"/>
      <c r="T19936" s="11"/>
    </row>
    <row r="19937" spans="8:20" x14ac:dyDescent="0.35">
      <c r="H19937" s="711"/>
      <c r="I19937" s="711"/>
      <c r="J19937" s="711"/>
      <c r="K19937" s="711"/>
      <c r="L19937" s="711"/>
      <c r="Q19937" s="11"/>
      <c r="R19937" s="11"/>
      <c r="S19937" s="11"/>
      <c r="T19937" s="11"/>
    </row>
    <row r="19938" spans="8:20" x14ac:dyDescent="0.35">
      <c r="H19938" s="711"/>
      <c r="I19938" s="711"/>
      <c r="J19938" s="711"/>
      <c r="K19938" s="711"/>
      <c r="L19938" s="711"/>
      <c r="Q19938" s="11"/>
      <c r="R19938" s="11"/>
      <c r="S19938" s="11"/>
      <c r="T19938" s="11"/>
    </row>
    <row r="19939" spans="8:20" x14ac:dyDescent="0.35">
      <c r="H19939" s="711"/>
      <c r="I19939" s="711"/>
      <c r="J19939" s="711"/>
      <c r="K19939" s="711"/>
      <c r="L19939" s="711"/>
      <c r="Q19939" s="11"/>
      <c r="R19939" s="11"/>
      <c r="S19939" s="11"/>
      <c r="T19939" s="11"/>
    </row>
    <row r="19940" spans="8:20" x14ac:dyDescent="0.35">
      <c r="H19940" s="711"/>
      <c r="I19940" s="711"/>
      <c r="J19940" s="711"/>
      <c r="K19940" s="711"/>
      <c r="L19940" s="711"/>
      <c r="Q19940" s="11"/>
      <c r="R19940" s="11"/>
      <c r="S19940" s="11"/>
      <c r="T19940" s="11"/>
    </row>
    <row r="19941" spans="8:20" x14ac:dyDescent="0.35">
      <c r="H19941" s="711"/>
      <c r="I19941" s="711"/>
      <c r="J19941" s="711"/>
      <c r="K19941" s="711"/>
      <c r="L19941" s="711"/>
      <c r="Q19941" s="11"/>
      <c r="R19941" s="11"/>
      <c r="S19941" s="11"/>
      <c r="T19941" s="11"/>
    </row>
    <row r="19942" spans="8:20" x14ac:dyDescent="0.35">
      <c r="H19942" s="711"/>
      <c r="I19942" s="711"/>
      <c r="J19942" s="711"/>
      <c r="K19942" s="711"/>
      <c r="L19942" s="711"/>
      <c r="Q19942" s="11"/>
      <c r="R19942" s="11"/>
      <c r="S19942" s="11"/>
      <c r="T19942" s="11"/>
    </row>
    <row r="19943" spans="8:20" x14ac:dyDescent="0.35">
      <c r="H19943" s="711"/>
      <c r="I19943" s="711"/>
      <c r="J19943" s="711"/>
      <c r="K19943" s="711"/>
      <c r="L19943" s="711"/>
      <c r="Q19943" s="11"/>
      <c r="R19943" s="11"/>
      <c r="S19943" s="11"/>
      <c r="T19943" s="11"/>
    </row>
    <row r="19944" spans="8:20" x14ac:dyDescent="0.35">
      <c r="H19944" s="711"/>
      <c r="I19944" s="711"/>
      <c r="J19944" s="711"/>
      <c r="K19944" s="711"/>
      <c r="L19944" s="711"/>
      <c r="Q19944" s="11"/>
      <c r="R19944" s="11"/>
      <c r="S19944" s="11"/>
      <c r="T19944" s="11"/>
    </row>
    <row r="19945" spans="8:20" x14ac:dyDescent="0.35">
      <c r="H19945" s="711"/>
      <c r="I19945" s="711"/>
      <c r="J19945" s="711"/>
      <c r="K19945" s="711"/>
      <c r="L19945" s="711"/>
      <c r="Q19945" s="11"/>
      <c r="R19945" s="11"/>
      <c r="S19945" s="11"/>
      <c r="T19945" s="11"/>
    </row>
    <row r="19946" spans="8:20" x14ac:dyDescent="0.35">
      <c r="H19946" s="711"/>
      <c r="I19946" s="711"/>
      <c r="J19946" s="711"/>
      <c r="K19946" s="711"/>
      <c r="L19946" s="711"/>
      <c r="Q19946" s="11"/>
      <c r="R19946" s="11"/>
      <c r="S19946" s="11"/>
      <c r="T19946" s="11"/>
    </row>
    <row r="19947" spans="8:20" x14ac:dyDescent="0.35">
      <c r="H19947" s="711"/>
      <c r="I19947" s="711"/>
      <c r="J19947" s="711"/>
      <c r="K19947" s="711"/>
      <c r="L19947" s="711"/>
      <c r="Q19947" s="11"/>
      <c r="R19947" s="11"/>
      <c r="S19947" s="11"/>
      <c r="T19947" s="11"/>
    </row>
    <row r="19948" spans="8:20" x14ac:dyDescent="0.35">
      <c r="H19948" s="711"/>
      <c r="I19948" s="711"/>
      <c r="J19948" s="711"/>
      <c r="K19948" s="711"/>
      <c r="L19948" s="711"/>
      <c r="Q19948" s="11"/>
      <c r="R19948" s="11"/>
      <c r="S19948" s="11"/>
      <c r="T19948" s="11"/>
    </row>
    <row r="19949" spans="8:20" x14ac:dyDescent="0.35">
      <c r="H19949" s="711"/>
      <c r="I19949" s="711"/>
      <c r="J19949" s="711"/>
      <c r="K19949" s="711"/>
      <c r="L19949" s="711"/>
      <c r="Q19949" s="11"/>
      <c r="R19949" s="11"/>
      <c r="S19949" s="11"/>
      <c r="T19949" s="11"/>
    </row>
    <row r="19950" spans="8:20" x14ac:dyDescent="0.35">
      <c r="H19950" s="711"/>
      <c r="I19950" s="711"/>
      <c r="J19950" s="711"/>
      <c r="K19950" s="711"/>
      <c r="L19950" s="711"/>
      <c r="Q19950" s="11"/>
      <c r="R19950" s="11"/>
      <c r="S19950" s="11"/>
      <c r="T19950" s="11"/>
    </row>
    <row r="19951" spans="8:20" x14ac:dyDescent="0.35">
      <c r="H19951" s="711"/>
      <c r="I19951" s="711"/>
      <c r="J19951" s="711"/>
      <c r="K19951" s="711"/>
      <c r="L19951" s="711"/>
      <c r="Q19951" s="11"/>
      <c r="R19951" s="11"/>
      <c r="S19951" s="11"/>
      <c r="T19951" s="11"/>
    </row>
    <row r="19952" spans="8:20" x14ac:dyDescent="0.35">
      <c r="H19952" s="711"/>
      <c r="I19952" s="711"/>
      <c r="J19952" s="711"/>
      <c r="K19952" s="711"/>
      <c r="L19952" s="711"/>
      <c r="Q19952" s="11"/>
      <c r="R19952" s="11"/>
      <c r="S19952" s="11"/>
      <c r="T19952" s="11"/>
    </row>
    <row r="19953" spans="8:20" x14ac:dyDescent="0.35">
      <c r="H19953" s="711"/>
      <c r="I19953" s="711"/>
      <c r="J19953" s="711"/>
      <c r="K19953" s="711"/>
      <c r="L19953" s="711"/>
      <c r="Q19953" s="11"/>
      <c r="R19953" s="11"/>
      <c r="S19953" s="11"/>
      <c r="T19953" s="11"/>
    </row>
    <row r="19954" spans="8:20" x14ac:dyDescent="0.35">
      <c r="H19954" s="711"/>
      <c r="I19954" s="711"/>
      <c r="J19954" s="711"/>
      <c r="K19954" s="711"/>
      <c r="L19954" s="711"/>
      <c r="Q19954" s="11"/>
      <c r="R19954" s="11"/>
      <c r="S19954" s="11"/>
      <c r="T19954" s="11"/>
    </row>
    <row r="19955" spans="8:20" x14ac:dyDescent="0.35">
      <c r="H19955" s="711"/>
      <c r="I19955" s="711"/>
      <c r="J19955" s="711"/>
      <c r="K19955" s="711"/>
      <c r="L19955" s="711"/>
      <c r="Q19955" s="11"/>
      <c r="R19955" s="11"/>
      <c r="S19955" s="11"/>
      <c r="T19955" s="11"/>
    </row>
    <row r="19956" spans="8:20" x14ac:dyDescent="0.35">
      <c r="H19956" s="711"/>
      <c r="I19956" s="711"/>
      <c r="J19956" s="711"/>
      <c r="K19956" s="711"/>
      <c r="L19956" s="711"/>
      <c r="Q19956" s="11"/>
      <c r="R19956" s="11"/>
      <c r="S19956" s="11"/>
      <c r="T19956" s="11"/>
    </row>
    <row r="19957" spans="8:20" x14ac:dyDescent="0.35">
      <c r="H19957" s="711"/>
      <c r="I19957" s="711"/>
      <c r="J19957" s="711"/>
      <c r="K19957" s="711"/>
      <c r="L19957" s="711"/>
      <c r="Q19957" s="11"/>
      <c r="R19957" s="11"/>
      <c r="S19957" s="11"/>
      <c r="T19957" s="11"/>
    </row>
    <row r="19958" spans="8:20" x14ac:dyDescent="0.35">
      <c r="H19958" s="711"/>
      <c r="I19958" s="711"/>
      <c r="J19958" s="711"/>
      <c r="K19958" s="711"/>
      <c r="L19958" s="711"/>
      <c r="Q19958" s="11"/>
      <c r="R19958" s="11"/>
      <c r="S19958" s="11"/>
      <c r="T19958" s="11"/>
    </row>
    <row r="19959" spans="8:20" x14ac:dyDescent="0.35">
      <c r="H19959" s="711"/>
      <c r="I19959" s="711"/>
      <c r="J19959" s="711"/>
      <c r="K19959" s="711"/>
      <c r="L19959" s="711"/>
      <c r="Q19959" s="11"/>
      <c r="R19959" s="11"/>
      <c r="S19959" s="11"/>
      <c r="T19959" s="11"/>
    </row>
    <row r="19960" spans="8:20" x14ac:dyDescent="0.35">
      <c r="H19960" s="711"/>
      <c r="I19960" s="711"/>
      <c r="J19960" s="711"/>
      <c r="K19960" s="711"/>
      <c r="L19960" s="711"/>
      <c r="Q19960" s="11"/>
      <c r="R19960" s="11"/>
      <c r="S19960" s="11"/>
      <c r="T19960" s="11"/>
    </row>
    <row r="19961" spans="8:20" x14ac:dyDescent="0.35">
      <c r="H19961" s="711"/>
      <c r="I19961" s="711"/>
      <c r="J19961" s="711"/>
      <c r="K19961" s="711"/>
      <c r="L19961" s="711"/>
      <c r="Q19961" s="11"/>
      <c r="R19961" s="11"/>
      <c r="S19961" s="11"/>
      <c r="T19961" s="11"/>
    </row>
    <row r="19962" spans="8:20" x14ac:dyDescent="0.35">
      <c r="H19962" s="711"/>
      <c r="I19962" s="711"/>
      <c r="J19962" s="711"/>
      <c r="K19962" s="711"/>
      <c r="L19962" s="711"/>
      <c r="Q19962" s="11"/>
      <c r="R19962" s="11"/>
      <c r="S19962" s="11"/>
      <c r="T19962" s="11"/>
    </row>
    <row r="19963" spans="8:20" x14ac:dyDescent="0.35">
      <c r="H19963" s="711"/>
      <c r="I19963" s="711"/>
      <c r="J19963" s="711"/>
      <c r="K19963" s="711"/>
      <c r="L19963" s="711"/>
      <c r="Q19963" s="11"/>
      <c r="R19963" s="11"/>
      <c r="S19963" s="11"/>
      <c r="T19963" s="11"/>
    </row>
    <row r="19964" spans="8:20" x14ac:dyDescent="0.35">
      <c r="H19964" s="711"/>
      <c r="I19964" s="711"/>
      <c r="J19964" s="711"/>
      <c r="K19964" s="711"/>
      <c r="L19964" s="711"/>
      <c r="Q19964" s="11"/>
      <c r="R19964" s="11"/>
      <c r="S19964" s="11"/>
      <c r="T19964" s="11"/>
    </row>
    <row r="19965" spans="8:20" x14ac:dyDescent="0.35">
      <c r="H19965" s="711"/>
      <c r="I19965" s="711"/>
      <c r="J19965" s="711"/>
      <c r="K19965" s="711"/>
      <c r="L19965" s="711"/>
      <c r="Q19965" s="11"/>
      <c r="R19965" s="11"/>
      <c r="S19965" s="11"/>
      <c r="T19965" s="11"/>
    </row>
    <row r="19966" spans="8:20" x14ac:dyDescent="0.35">
      <c r="H19966" s="711"/>
      <c r="I19966" s="711"/>
      <c r="J19966" s="711"/>
      <c r="K19966" s="711"/>
      <c r="L19966" s="711"/>
      <c r="Q19966" s="11"/>
      <c r="R19966" s="11"/>
      <c r="S19966" s="11"/>
      <c r="T19966" s="11"/>
    </row>
    <row r="19967" spans="8:20" x14ac:dyDescent="0.35">
      <c r="H19967" s="711"/>
      <c r="I19967" s="711"/>
      <c r="J19967" s="711"/>
      <c r="K19967" s="711"/>
      <c r="L19967" s="711"/>
      <c r="Q19967" s="11"/>
      <c r="R19967" s="11"/>
      <c r="S19967" s="11"/>
      <c r="T19967" s="11"/>
    </row>
    <row r="19968" spans="8:20" x14ac:dyDescent="0.35">
      <c r="H19968" s="711"/>
      <c r="I19968" s="711"/>
      <c r="J19968" s="711"/>
      <c r="K19968" s="711"/>
      <c r="L19968" s="711"/>
      <c r="Q19968" s="11"/>
      <c r="R19968" s="11"/>
      <c r="S19968" s="11"/>
      <c r="T19968" s="11"/>
    </row>
    <row r="19969" spans="8:20" x14ac:dyDescent="0.35">
      <c r="H19969" s="711"/>
      <c r="I19969" s="711"/>
      <c r="J19969" s="711"/>
      <c r="K19969" s="711"/>
      <c r="L19969" s="711"/>
      <c r="Q19969" s="11"/>
      <c r="R19969" s="11"/>
      <c r="S19969" s="11"/>
      <c r="T19969" s="11"/>
    </row>
    <row r="19970" spans="8:20" x14ac:dyDescent="0.35">
      <c r="H19970" s="711"/>
      <c r="I19970" s="711"/>
      <c r="J19970" s="711"/>
      <c r="K19970" s="711"/>
      <c r="L19970" s="711"/>
      <c r="Q19970" s="11"/>
      <c r="R19970" s="11"/>
      <c r="S19970" s="11"/>
      <c r="T19970" s="11"/>
    </row>
    <row r="19971" spans="8:20" x14ac:dyDescent="0.35">
      <c r="H19971" s="711"/>
      <c r="I19971" s="711"/>
      <c r="J19971" s="711"/>
      <c r="K19971" s="711"/>
      <c r="L19971" s="711"/>
      <c r="Q19971" s="11"/>
      <c r="R19971" s="11"/>
      <c r="S19971" s="11"/>
      <c r="T19971" s="11"/>
    </row>
    <row r="19972" spans="8:20" x14ac:dyDescent="0.35">
      <c r="H19972" s="711"/>
      <c r="I19972" s="711"/>
      <c r="J19972" s="711"/>
      <c r="K19972" s="711"/>
      <c r="L19972" s="711"/>
      <c r="Q19972" s="11"/>
      <c r="R19972" s="11"/>
      <c r="S19972" s="11"/>
      <c r="T19972" s="11"/>
    </row>
    <row r="19973" spans="8:20" x14ac:dyDescent="0.35">
      <c r="H19973" s="711"/>
      <c r="I19973" s="711"/>
      <c r="J19973" s="711"/>
      <c r="K19973" s="711"/>
      <c r="L19973" s="711"/>
      <c r="Q19973" s="11"/>
      <c r="R19973" s="11"/>
      <c r="S19973" s="11"/>
      <c r="T19973" s="11"/>
    </row>
    <row r="19974" spans="8:20" x14ac:dyDescent="0.35">
      <c r="H19974" s="711"/>
      <c r="I19974" s="711"/>
      <c r="J19974" s="711"/>
      <c r="K19974" s="711"/>
      <c r="L19974" s="711"/>
      <c r="Q19974" s="11"/>
      <c r="R19974" s="11"/>
      <c r="S19974" s="11"/>
      <c r="T19974" s="11"/>
    </row>
    <row r="19975" spans="8:20" x14ac:dyDescent="0.35">
      <c r="H19975" s="711"/>
      <c r="I19975" s="711"/>
      <c r="J19975" s="711"/>
      <c r="K19975" s="711"/>
      <c r="L19975" s="711"/>
      <c r="Q19975" s="11"/>
      <c r="R19975" s="11"/>
      <c r="S19975" s="11"/>
      <c r="T19975" s="11"/>
    </row>
    <row r="19976" spans="8:20" x14ac:dyDescent="0.35">
      <c r="H19976" s="711"/>
      <c r="I19976" s="711"/>
      <c r="J19976" s="711"/>
      <c r="K19976" s="711"/>
      <c r="L19976" s="711"/>
      <c r="Q19976" s="11"/>
      <c r="R19976" s="11"/>
      <c r="S19976" s="11"/>
      <c r="T19976" s="11"/>
    </row>
    <row r="19977" spans="8:20" x14ac:dyDescent="0.35">
      <c r="H19977" s="711"/>
      <c r="I19977" s="711"/>
      <c r="J19977" s="711"/>
      <c r="K19977" s="711"/>
      <c r="L19977" s="711"/>
      <c r="Q19977" s="11"/>
      <c r="R19977" s="11"/>
      <c r="S19977" s="11"/>
      <c r="T19977" s="11"/>
    </row>
    <row r="19978" spans="8:20" x14ac:dyDescent="0.35">
      <c r="H19978" s="711"/>
      <c r="I19978" s="711"/>
      <c r="J19978" s="711"/>
      <c r="K19978" s="711"/>
      <c r="L19978" s="711"/>
      <c r="Q19978" s="11"/>
      <c r="R19978" s="11"/>
      <c r="S19978" s="11"/>
      <c r="T19978" s="11"/>
    </row>
    <row r="19979" spans="8:20" x14ac:dyDescent="0.35">
      <c r="H19979" s="711"/>
      <c r="I19979" s="711"/>
      <c r="J19979" s="711"/>
      <c r="K19979" s="711"/>
      <c r="L19979" s="711"/>
      <c r="Q19979" s="11"/>
      <c r="R19979" s="11"/>
      <c r="S19979" s="11"/>
      <c r="T19979" s="11"/>
    </row>
    <row r="19980" spans="8:20" x14ac:dyDescent="0.35">
      <c r="H19980" s="711"/>
      <c r="I19980" s="711"/>
      <c r="J19980" s="711"/>
      <c r="K19980" s="711"/>
      <c r="L19980" s="711"/>
      <c r="Q19980" s="11"/>
      <c r="R19980" s="11"/>
      <c r="S19980" s="11"/>
      <c r="T19980" s="11"/>
    </row>
    <row r="19981" spans="8:20" x14ac:dyDescent="0.35">
      <c r="H19981" s="711"/>
      <c r="I19981" s="711"/>
      <c r="J19981" s="711"/>
      <c r="K19981" s="711"/>
      <c r="L19981" s="711"/>
      <c r="Q19981" s="11"/>
      <c r="R19981" s="11"/>
      <c r="S19981" s="11"/>
      <c r="T19981" s="11"/>
    </row>
    <row r="19982" spans="8:20" x14ac:dyDescent="0.35">
      <c r="H19982" s="711"/>
      <c r="I19982" s="711"/>
      <c r="J19982" s="711"/>
      <c r="K19982" s="711"/>
      <c r="L19982" s="711"/>
      <c r="Q19982" s="11"/>
      <c r="R19982" s="11"/>
      <c r="S19982" s="11"/>
      <c r="T19982" s="11"/>
    </row>
    <row r="19983" spans="8:20" x14ac:dyDescent="0.35">
      <c r="H19983" s="711"/>
      <c r="I19983" s="711"/>
      <c r="J19983" s="711"/>
      <c r="K19983" s="711"/>
      <c r="L19983" s="711"/>
      <c r="Q19983" s="11"/>
      <c r="R19983" s="11"/>
      <c r="S19983" s="11"/>
      <c r="T19983" s="11"/>
    </row>
    <row r="19984" spans="8:20" x14ac:dyDescent="0.35">
      <c r="H19984" s="711"/>
      <c r="I19984" s="711"/>
      <c r="J19984" s="711"/>
      <c r="K19984" s="711"/>
      <c r="L19984" s="711"/>
      <c r="Q19984" s="11"/>
      <c r="R19984" s="11"/>
      <c r="S19984" s="11"/>
      <c r="T19984" s="11"/>
    </row>
    <row r="19985" spans="8:20" x14ac:dyDescent="0.35">
      <c r="H19985" s="711"/>
      <c r="I19985" s="711"/>
      <c r="J19985" s="711"/>
      <c r="K19985" s="711"/>
      <c r="L19985" s="711"/>
      <c r="Q19985" s="11"/>
      <c r="R19985" s="11"/>
      <c r="S19985" s="11"/>
      <c r="T19985" s="11"/>
    </row>
    <row r="19986" spans="8:20" x14ac:dyDescent="0.35">
      <c r="H19986" s="711"/>
      <c r="I19986" s="711"/>
      <c r="J19986" s="711"/>
      <c r="K19986" s="711"/>
      <c r="L19986" s="711"/>
      <c r="Q19986" s="11"/>
      <c r="R19986" s="11"/>
      <c r="S19986" s="11"/>
      <c r="T19986" s="11"/>
    </row>
    <row r="19987" spans="8:20" x14ac:dyDescent="0.35">
      <c r="H19987" s="711"/>
      <c r="I19987" s="711"/>
      <c r="J19987" s="711"/>
      <c r="K19987" s="711"/>
      <c r="L19987" s="711"/>
      <c r="Q19987" s="11"/>
      <c r="R19987" s="11"/>
      <c r="S19987" s="11"/>
      <c r="T19987" s="11"/>
    </row>
    <row r="19988" spans="8:20" x14ac:dyDescent="0.35">
      <c r="H19988" s="711"/>
      <c r="I19988" s="711"/>
      <c r="J19988" s="711"/>
      <c r="K19988" s="711"/>
      <c r="L19988" s="711"/>
      <c r="Q19988" s="11"/>
      <c r="R19988" s="11"/>
      <c r="S19988" s="11"/>
      <c r="T19988" s="11"/>
    </row>
    <row r="19989" spans="8:20" x14ac:dyDescent="0.35">
      <c r="H19989" s="711"/>
      <c r="I19989" s="711"/>
      <c r="J19989" s="711"/>
      <c r="K19989" s="711"/>
      <c r="L19989" s="711"/>
      <c r="Q19989" s="11"/>
      <c r="R19989" s="11"/>
      <c r="S19989" s="11"/>
      <c r="T19989" s="11"/>
    </row>
    <row r="19990" spans="8:20" x14ac:dyDescent="0.35">
      <c r="H19990" s="711"/>
      <c r="I19990" s="711"/>
      <c r="J19990" s="711"/>
      <c r="K19990" s="711"/>
      <c r="L19990" s="711"/>
      <c r="Q19990" s="11"/>
      <c r="R19990" s="11"/>
      <c r="S19990" s="11"/>
      <c r="T19990" s="11"/>
    </row>
    <row r="19991" spans="8:20" x14ac:dyDescent="0.35">
      <c r="H19991" s="711"/>
      <c r="I19991" s="711"/>
      <c r="J19991" s="711"/>
      <c r="K19991" s="711"/>
      <c r="L19991" s="711"/>
      <c r="Q19991" s="11"/>
      <c r="R19991" s="11"/>
      <c r="S19991" s="11"/>
      <c r="T19991" s="11"/>
    </row>
    <row r="19992" spans="8:20" x14ac:dyDescent="0.35">
      <c r="H19992" s="711"/>
      <c r="I19992" s="711"/>
      <c r="J19992" s="711"/>
      <c r="K19992" s="711"/>
      <c r="L19992" s="711"/>
      <c r="Q19992" s="11"/>
      <c r="R19992" s="11"/>
      <c r="S19992" s="11"/>
      <c r="T19992" s="11"/>
    </row>
    <row r="19993" spans="8:20" x14ac:dyDescent="0.35">
      <c r="H19993" s="711"/>
      <c r="I19993" s="711"/>
      <c r="J19993" s="711"/>
      <c r="K19993" s="711"/>
      <c r="L19993" s="711"/>
      <c r="Q19993" s="11"/>
      <c r="R19993" s="11"/>
      <c r="S19993" s="11"/>
      <c r="T19993" s="11"/>
    </row>
    <row r="19994" spans="8:20" x14ac:dyDescent="0.35">
      <c r="H19994" s="711"/>
      <c r="I19994" s="711"/>
      <c r="J19994" s="711"/>
      <c r="K19994" s="711"/>
      <c r="L19994" s="711"/>
      <c r="Q19994" s="11"/>
      <c r="R19994" s="11"/>
      <c r="S19994" s="11"/>
      <c r="T19994" s="11"/>
    </row>
    <row r="19995" spans="8:20" x14ac:dyDescent="0.35">
      <c r="H19995" s="711"/>
      <c r="I19995" s="711"/>
      <c r="J19995" s="711"/>
      <c r="K19995" s="711"/>
      <c r="L19995" s="711"/>
      <c r="Q19995" s="11"/>
      <c r="R19995" s="11"/>
      <c r="S19995" s="11"/>
      <c r="T19995" s="11"/>
    </row>
    <row r="19996" spans="8:20" x14ac:dyDescent="0.35">
      <c r="H19996" s="711"/>
      <c r="I19996" s="711"/>
      <c r="J19996" s="711"/>
      <c r="K19996" s="711"/>
      <c r="L19996" s="711"/>
      <c r="Q19996" s="11"/>
      <c r="R19996" s="11"/>
      <c r="S19996" s="11"/>
      <c r="T19996" s="11"/>
    </row>
    <row r="19997" spans="8:20" x14ac:dyDescent="0.35">
      <c r="H19997" s="711"/>
      <c r="I19997" s="711"/>
      <c r="J19997" s="711"/>
      <c r="K19997" s="711"/>
      <c r="L19997" s="711"/>
      <c r="Q19997" s="11"/>
      <c r="R19997" s="11"/>
      <c r="S19997" s="11"/>
      <c r="T19997" s="11"/>
    </row>
    <row r="19998" spans="8:20" x14ac:dyDescent="0.35">
      <c r="H19998" s="711"/>
      <c r="I19998" s="711"/>
      <c r="J19998" s="711"/>
      <c r="K19998" s="711"/>
      <c r="L19998" s="711"/>
      <c r="Q19998" s="11"/>
      <c r="R19998" s="11"/>
      <c r="S19998" s="11"/>
      <c r="T19998" s="11"/>
    </row>
    <row r="19999" spans="8:20" x14ac:dyDescent="0.35">
      <c r="H19999" s="711"/>
      <c r="I19999" s="711"/>
      <c r="J19999" s="711"/>
      <c r="K19999" s="711"/>
      <c r="L19999" s="711"/>
      <c r="Q19999" s="11"/>
      <c r="R19999" s="11"/>
      <c r="S19999" s="11"/>
      <c r="T19999" s="11"/>
    </row>
    <row r="20000" spans="8:20" x14ac:dyDescent="0.35">
      <c r="H20000" s="711"/>
      <c r="I20000" s="711"/>
      <c r="J20000" s="711"/>
      <c r="K20000" s="711"/>
      <c r="L20000" s="711"/>
      <c r="Q20000" s="11"/>
      <c r="R20000" s="11"/>
      <c r="S20000" s="11"/>
      <c r="T20000" s="11"/>
    </row>
    <row r="20001" spans="8:20" x14ac:dyDescent="0.35">
      <c r="H20001" s="711"/>
      <c r="I20001" s="711"/>
      <c r="J20001" s="711"/>
      <c r="K20001" s="711"/>
      <c r="L20001" s="711"/>
      <c r="Q20001" s="11"/>
      <c r="R20001" s="11"/>
      <c r="S20001" s="11"/>
      <c r="T20001" s="11"/>
    </row>
    <row r="20002" spans="8:20" x14ac:dyDescent="0.35">
      <c r="H20002" s="711"/>
      <c r="I20002" s="711"/>
      <c r="J20002" s="711"/>
      <c r="K20002" s="711"/>
      <c r="L20002" s="711"/>
      <c r="Q20002" s="11"/>
      <c r="R20002" s="11"/>
      <c r="S20002" s="11"/>
      <c r="T20002" s="11"/>
    </row>
    <row r="20003" spans="8:20" x14ac:dyDescent="0.35">
      <c r="H20003" s="711"/>
      <c r="I20003" s="711"/>
      <c r="J20003" s="711"/>
      <c r="K20003" s="711"/>
      <c r="L20003" s="711"/>
      <c r="Q20003" s="11"/>
      <c r="R20003" s="11"/>
      <c r="S20003" s="11"/>
      <c r="T20003" s="11"/>
    </row>
    <row r="20004" spans="8:20" x14ac:dyDescent="0.35">
      <c r="H20004" s="711"/>
      <c r="I20004" s="711"/>
      <c r="J20004" s="711"/>
      <c r="K20004" s="711"/>
      <c r="L20004" s="711"/>
      <c r="Q20004" s="11"/>
      <c r="R20004" s="11"/>
      <c r="S20004" s="11"/>
      <c r="T20004" s="11"/>
    </row>
    <row r="20005" spans="8:20" x14ac:dyDescent="0.35">
      <c r="H20005" s="711"/>
      <c r="I20005" s="711"/>
      <c r="J20005" s="711"/>
      <c r="K20005" s="711"/>
      <c r="L20005" s="711"/>
      <c r="Q20005" s="11"/>
      <c r="R20005" s="11"/>
      <c r="S20005" s="11"/>
      <c r="T20005" s="11"/>
    </row>
    <row r="20006" spans="8:20" x14ac:dyDescent="0.35">
      <c r="H20006" s="711"/>
      <c r="I20006" s="711"/>
      <c r="J20006" s="711"/>
      <c r="K20006" s="711"/>
      <c r="L20006" s="711"/>
      <c r="Q20006" s="11"/>
      <c r="R20006" s="11"/>
      <c r="S20006" s="11"/>
      <c r="T20006" s="11"/>
    </row>
    <row r="20007" spans="8:20" x14ac:dyDescent="0.35">
      <c r="H20007" s="711"/>
      <c r="I20007" s="711"/>
      <c r="J20007" s="711"/>
      <c r="K20007" s="711"/>
      <c r="L20007" s="711"/>
      <c r="Q20007" s="11"/>
      <c r="R20007" s="11"/>
      <c r="S20007" s="11"/>
      <c r="T20007" s="11"/>
    </row>
    <row r="20008" spans="8:20" x14ac:dyDescent="0.35">
      <c r="H20008" s="711"/>
      <c r="I20008" s="711"/>
      <c r="J20008" s="711"/>
      <c r="K20008" s="711"/>
      <c r="L20008" s="711"/>
      <c r="Q20008" s="11"/>
      <c r="R20008" s="11"/>
      <c r="S20008" s="11"/>
      <c r="T20008" s="11"/>
    </row>
    <row r="20009" spans="8:20" x14ac:dyDescent="0.35">
      <c r="H20009" s="711"/>
      <c r="I20009" s="711"/>
      <c r="J20009" s="711"/>
      <c r="K20009" s="711"/>
      <c r="L20009" s="711"/>
      <c r="Q20009" s="11"/>
      <c r="R20009" s="11"/>
      <c r="S20009" s="11"/>
      <c r="T20009" s="11"/>
    </row>
    <row r="20010" spans="8:20" x14ac:dyDescent="0.35">
      <c r="H20010" s="711"/>
      <c r="I20010" s="711"/>
      <c r="J20010" s="711"/>
      <c r="K20010" s="711"/>
      <c r="L20010" s="711"/>
      <c r="Q20010" s="11"/>
      <c r="R20010" s="11"/>
      <c r="S20010" s="11"/>
      <c r="T20010" s="11"/>
    </row>
    <row r="20011" spans="8:20" x14ac:dyDescent="0.35">
      <c r="H20011" s="711"/>
      <c r="I20011" s="711"/>
      <c r="J20011" s="711"/>
      <c r="K20011" s="711"/>
      <c r="L20011" s="711"/>
      <c r="Q20011" s="11"/>
      <c r="R20011" s="11"/>
      <c r="S20011" s="11"/>
      <c r="T20011" s="11"/>
    </row>
    <row r="20012" spans="8:20" x14ac:dyDescent="0.35">
      <c r="H20012" s="711"/>
      <c r="I20012" s="711"/>
      <c r="J20012" s="711"/>
      <c r="K20012" s="711"/>
      <c r="L20012" s="711"/>
      <c r="Q20012" s="11"/>
      <c r="R20012" s="11"/>
      <c r="S20012" s="11"/>
      <c r="T20012" s="11"/>
    </row>
    <row r="20013" spans="8:20" x14ac:dyDescent="0.35">
      <c r="H20013" s="711"/>
      <c r="I20013" s="711"/>
      <c r="J20013" s="711"/>
      <c r="K20013" s="711"/>
      <c r="L20013" s="711"/>
      <c r="Q20013" s="11"/>
      <c r="R20013" s="11"/>
      <c r="S20013" s="11"/>
      <c r="T20013" s="11"/>
    </row>
    <row r="20014" spans="8:20" x14ac:dyDescent="0.35">
      <c r="H20014" s="711"/>
      <c r="I20014" s="711"/>
      <c r="J20014" s="711"/>
      <c r="K20014" s="711"/>
      <c r="L20014" s="711"/>
      <c r="Q20014" s="11"/>
      <c r="R20014" s="11"/>
      <c r="S20014" s="11"/>
      <c r="T20014" s="11"/>
    </row>
    <row r="20015" spans="8:20" x14ac:dyDescent="0.35">
      <c r="H20015" s="711"/>
      <c r="I20015" s="711"/>
      <c r="J20015" s="711"/>
      <c r="K20015" s="711"/>
      <c r="L20015" s="711"/>
      <c r="Q20015" s="11"/>
      <c r="R20015" s="11"/>
      <c r="S20015" s="11"/>
      <c r="T20015" s="11"/>
    </row>
    <row r="20016" spans="8:20" x14ac:dyDescent="0.35">
      <c r="H20016" s="711"/>
      <c r="I20016" s="711"/>
      <c r="J20016" s="711"/>
      <c r="K20016" s="711"/>
      <c r="L20016" s="711"/>
      <c r="Q20016" s="11"/>
      <c r="R20016" s="11"/>
      <c r="S20016" s="11"/>
      <c r="T20016" s="11"/>
    </row>
    <row r="20017" spans="8:20" x14ac:dyDescent="0.35">
      <c r="H20017" s="711"/>
      <c r="I20017" s="711"/>
      <c r="J20017" s="711"/>
      <c r="K20017" s="711"/>
      <c r="L20017" s="711"/>
      <c r="Q20017" s="11"/>
      <c r="R20017" s="11"/>
      <c r="S20017" s="11"/>
      <c r="T20017" s="11"/>
    </row>
    <row r="20018" spans="8:20" x14ac:dyDescent="0.35">
      <c r="H20018" s="711"/>
      <c r="I20018" s="711"/>
      <c r="J20018" s="711"/>
      <c r="K20018" s="711"/>
      <c r="L20018" s="711"/>
      <c r="Q20018" s="11"/>
      <c r="R20018" s="11"/>
      <c r="S20018" s="11"/>
      <c r="T20018" s="11"/>
    </row>
    <row r="20019" spans="8:20" x14ac:dyDescent="0.35">
      <c r="H20019" s="711"/>
      <c r="I20019" s="711"/>
      <c r="J20019" s="711"/>
      <c r="K20019" s="711"/>
      <c r="L20019" s="711"/>
      <c r="Q20019" s="11"/>
      <c r="R20019" s="11"/>
      <c r="S20019" s="11"/>
      <c r="T20019" s="11"/>
    </row>
    <row r="20020" spans="8:20" x14ac:dyDescent="0.35">
      <c r="H20020" s="711"/>
      <c r="I20020" s="711"/>
      <c r="J20020" s="711"/>
      <c r="K20020" s="711"/>
      <c r="L20020" s="711"/>
      <c r="Q20020" s="11"/>
      <c r="R20020" s="11"/>
      <c r="S20020" s="11"/>
      <c r="T20020" s="11"/>
    </row>
    <row r="20021" spans="8:20" x14ac:dyDescent="0.35">
      <c r="H20021" s="711"/>
      <c r="I20021" s="711"/>
      <c r="J20021" s="711"/>
      <c r="K20021" s="711"/>
      <c r="L20021" s="711"/>
      <c r="Q20021" s="11"/>
      <c r="R20021" s="11"/>
      <c r="S20021" s="11"/>
      <c r="T20021" s="11"/>
    </row>
    <row r="20022" spans="8:20" x14ac:dyDescent="0.35">
      <c r="H20022" s="711"/>
      <c r="I20022" s="711"/>
      <c r="J20022" s="711"/>
      <c r="K20022" s="711"/>
      <c r="L20022" s="711"/>
      <c r="Q20022" s="11"/>
      <c r="R20022" s="11"/>
      <c r="S20022" s="11"/>
      <c r="T20022" s="11"/>
    </row>
    <row r="20023" spans="8:20" x14ac:dyDescent="0.35">
      <c r="H20023" s="711"/>
      <c r="I20023" s="711"/>
      <c r="J20023" s="711"/>
      <c r="K20023" s="711"/>
      <c r="L20023" s="711"/>
      <c r="Q20023" s="11"/>
      <c r="R20023" s="11"/>
      <c r="S20023" s="11"/>
      <c r="T20023" s="11"/>
    </row>
    <row r="20024" spans="8:20" x14ac:dyDescent="0.35">
      <c r="H20024" s="711"/>
      <c r="I20024" s="711"/>
      <c r="J20024" s="711"/>
      <c r="K20024" s="711"/>
      <c r="L20024" s="711"/>
      <c r="Q20024" s="11"/>
      <c r="R20024" s="11"/>
      <c r="S20024" s="11"/>
      <c r="T20024" s="11"/>
    </row>
    <row r="20025" spans="8:20" x14ac:dyDescent="0.35">
      <c r="H20025" s="711"/>
      <c r="I20025" s="711"/>
      <c r="J20025" s="711"/>
      <c r="K20025" s="711"/>
      <c r="L20025" s="711"/>
      <c r="Q20025" s="11"/>
      <c r="R20025" s="11"/>
      <c r="S20025" s="11"/>
      <c r="T20025" s="11"/>
    </row>
    <row r="20026" spans="8:20" x14ac:dyDescent="0.35">
      <c r="H20026" s="711"/>
      <c r="I20026" s="711"/>
      <c r="J20026" s="711"/>
      <c r="K20026" s="711"/>
      <c r="L20026" s="711"/>
      <c r="Q20026" s="11"/>
      <c r="R20026" s="11"/>
      <c r="S20026" s="11"/>
      <c r="T20026" s="11"/>
    </row>
    <row r="20027" spans="8:20" x14ac:dyDescent="0.35">
      <c r="H20027" s="711"/>
      <c r="I20027" s="711"/>
      <c r="J20027" s="711"/>
      <c r="K20027" s="711"/>
      <c r="L20027" s="711"/>
      <c r="Q20027" s="11"/>
      <c r="R20027" s="11"/>
      <c r="S20027" s="11"/>
      <c r="T20027" s="11"/>
    </row>
    <row r="20028" spans="8:20" x14ac:dyDescent="0.35">
      <c r="H20028" s="711"/>
      <c r="I20028" s="711"/>
      <c r="J20028" s="711"/>
      <c r="K20028" s="711"/>
      <c r="L20028" s="711"/>
      <c r="Q20028" s="11"/>
      <c r="R20028" s="11"/>
      <c r="S20028" s="11"/>
      <c r="T20028" s="11"/>
    </row>
    <row r="20029" spans="8:20" x14ac:dyDescent="0.35">
      <c r="H20029" s="711"/>
      <c r="I20029" s="711"/>
      <c r="J20029" s="711"/>
      <c r="K20029" s="711"/>
      <c r="L20029" s="711"/>
      <c r="Q20029" s="11"/>
      <c r="R20029" s="11"/>
      <c r="S20029" s="11"/>
      <c r="T20029" s="11"/>
    </row>
    <row r="20030" spans="8:20" x14ac:dyDescent="0.35">
      <c r="H20030" s="711"/>
      <c r="I20030" s="711"/>
      <c r="J20030" s="711"/>
      <c r="K20030" s="711"/>
      <c r="L20030" s="711"/>
      <c r="Q20030" s="11"/>
      <c r="R20030" s="11"/>
      <c r="S20030" s="11"/>
      <c r="T20030" s="11"/>
    </row>
    <row r="20031" spans="8:20" x14ac:dyDescent="0.35">
      <c r="H20031" s="711"/>
      <c r="I20031" s="711"/>
      <c r="J20031" s="711"/>
      <c r="K20031" s="711"/>
      <c r="L20031" s="711"/>
      <c r="Q20031" s="11"/>
      <c r="R20031" s="11"/>
      <c r="S20031" s="11"/>
      <c r="T20031" s="11"/>
    </row>
    <row r="20032" spans="8:20" x14ac:dyDescent="0.35">
      <c r="H20032" s="711"/>
      <c r="I20032" s="711"/>
      <c r="J20032" s="711"/>
      <c r="K20032" s="711"/>
      <c r="L20032" s="711"/>
      <c r="Q20032" s="11"/>
      <c r="R20032" s="11"/>
      <c r="S20032" s="11"/>
      <c r="T20032" s="11"/>
    </row>
    <row r="20033" spans="8:20" x14ac:dyDescent="0.35">
      <c r="H20033" s="711"/>
      <c r="I20033" s="711"/>
      <c r="J20033" s="711"/>
      <c r="K20033" s="711"/>
      <c r="L20033" s="711"/>
      <c r="Q20033" s="11"/>
      <c r="R20033" s="11"/>
      <c r="S20033" s="11"/>
      <c r="T20033" s="11"/>
    </row>
    <row r="20034" spans="8:20" x14ac:dyDescent="0.35">
      <c r="H20034" s="711"/>
      <c r="I20034" s="711"/>
      <c r="J20034" s="711"/>
      <c r="K20034" s="711"/>
      <c r="L20034" s="711"/>
      <c r="Q20034" s="11"/>
      <c r="R20034" s="11"/>
      <c r="S20034" s="11"/>
      <c r="T20034" s="11"/>
    </row>
    <row r="20035" spans="8:20" x14ac:dyDescent="0.35">
      <c r="H20035" s="711"/>
      <c r="I20035" s="711"/>
      <c r="J20035" s="711"/>
      <c r="K20035" s="711"/>
      <c r="L20035" s="711"/>
      <c r="Q20035" s="11"/>
      <c r="R20035" s="11"/>
      <c r="S20035" s="11"/>
      <c r="T20035" s="11"/>
    </row>
    <row r="20036" spans="8:20" x14ac:dyDescent="0.35">
      <c r="H20036" s="711"/>
      <c r="I20036" s="711"/>
      <c r="J20036" s="711"/>
      <c r="K20036" s="711"/>
      <c r="L20036" s="711"/>
      <c r="Q20036" s="11"/>
      <c r="R20036" s="11"/>
      <c r="S20036" s="11"/>
      <c r="T20036" s="11"/>
    </row>
    <row r="20037" spans="8:20" x14ac:dyDescent="0.35">
      <c r="H20037" s="711"/>
      <c r="I20037" s="711"/>
      <c r="J20037" s="711"/>
      <c r="K20037" s="711"/>
      <c r="L20037" s="711"/>
      <c r="Q20037" s="11"/>
      <c r="R20037" s="11"/>
      <c r="S20037" s="11"/>
      <c r="T20037" s="11"/>
    </row>
    <row r="20038" spans="8:20" x14ac:dyDescent="0.35">
      <c r="H20038" s="711"/>
      <c r="I20038" s="711"/>
      <c r="J20038" s="711"/>
      <c r="K20038" s="711"/>
      <c r="L20038" s="711"/>
      <c r="Q20038" s="11"/>
      <c r="R20038" s="11"/>
      <c r="S20038" s="11"/>
      <c r="T20038" s="11"/>
    </row>
    <row r="20039" spans="8:20" x14ac:dyDescent="0.35">
      <c r="H20039" s="711"/>
      <c r="I20039" s="711"/>
      <c r="J20039" s="711"/>
      <c r="K20039" s="711"/>
      <c r="L20039" s="711"/>
      <c r="Q20039" s="11"/>
      <c r="R20039" s="11"/>
      <c r="S20039" s="11"/>
      <c r="T20039" s="11"/>
    </row>
    <row r="20040" spans="8:20" x14ac:dyDescent="0.35">
      <c r="H20040" s="711"/>
      <c r="I20040" s="711"/>
      <c r="J20040" s="711"/>
      <c r="K20040" s="711"/>
      <c r="L20040" s="711"/>
      <c r="Q20040" s="11"/>
      <c r="R20040" s="11"/>
      <c r="S20040" s="11"/>
      <c r="T20040" s="11"/>
    </row>
    <row r="20041" spans="8:20" x14ac:dyDescent="0.35">
      <c r="H20041" s="711"/>
      <c r="I20041" s="711"/>
      <c r="J20041" s="711"/>
      <c r="K20041" s="711"/>
      <c r="L20041" s="711"/>
      <c r="Q20041" s="11"/>
      <c r="R20041" s="11"/>
      <c r="S20041" s="11"/>
      <c r="T20041" s="11"/>
    </row>
    <row r="20042" spans="8:20" x14ac:dyDescent="0.35">
      <c r="H20042" s="711"/>
      <c r="I20042" s="711"/>
      <c r="J20042" s="711"/>
      <c r="K20042" s="711"/>
      <c r="L20042" s="711"/>
      <c r="Q20042" s="11"/>
      <c r="R20042" s="11"/>
      <c r="S20042" s="11"/>
      <c r="T20042" s="11"/>
    </row>
    <row r="20043" spans="8:20" x14ac:dyDescent="0.35">
      <c r="H20043" s="711"/>
      <c r="I20043" s="711"/>
      <c r="J20043" s="711"/>
      <c r="K20043" s="711"/>
      <c r="L20043" s="711"/>
      <c r="Q20043" s="11"/>
      <c r="R20043" s="11"/>
      <c r="S20043" s="11"/>
      <c r="T20043" s="11"/>
    </row>
    <row r="20044" spans="8:20" x14ac:dyDescent="0.35">
      <c r="H20044" s="711"/>
      <c r="I20044" s="711"/>
      <c r="J20044" s="711"/>
      <c r="K20044" s="711"/>
      <c r="L20044" s="711"/>
      <c r="Q20044" s="11"/>
      <c r="R20044" s="11"/>
      <c r="S20044" s="11"/>
      <c r="T20044" s="11"/>
    </row>
    <row r="20045" spans="8:20" x14ac:dyDescent="0.35">
      <c r="H20045" s="711"/>
      <c r="I20045" s="711"/>
      <c r="J20045" s="711"/>
      <c r="K20045" s="711"/>
      <c r="L20045" s="711"/>
      <c r="Q20045" s="11"/>
      <c r="R20045" s="11"/>
      <c r="S20045" s="11"/>
      <c r="T20045" s="11"/>
    </row>
    <row r="20046" spans="8:20" x14ac:dyDescent="0.35">
      <c r="H20046" s="711"/>
      <c r="I20046" s="711"/>
      <c r="J20046" s="711"/>
      <c r="K20046" s="711"/>
      <c r="L20046" s="711"/>
      <c r="Q20046" s="11"/>
      <c r="R20046" s="11"/>
      <c r="S20046" s="11"/>
      <c r="T20046" s="11"/>
    </row>
    <row r="20047" spans="8:20" x14ac:dyDescent="0.35">
      <c r="H20047" s="711"/>
      <c r="I20047" s="711"/>
      <c r="J20047" s="711"/>
      <c r="K20047" s="711"/>
      <c r="L20047" s="711"/>
      <c r="Q20047" s="11"/>
      <c r="R20047" s="11"/>
      <c r="S20047" s="11"/>
      <c r="T20047" s="11"/>
    </row>
    <row r="20048" spans="8:20" x14ac:dyDescent="0.35">
      <c r="H20048" s="711"/>
      <c r="I20048" s="711"/>
      <c r="J20048" s="711"/>
      <c r="K20048" s="711"/>
      <c r="L20048" s="711"/>
      <c r="Q20048" s="11"/>
      <c r="R20048" s="11"/>
      <c r="S20048" s="11"/>
      <c r="T20048" s="11"/>
    </row>
    <row r="20049" spans="8:20" x14ac:dyDescent="0.35">
      <c r="H20049" s="711"/>
      <c r="I20049" s="711"/>
      <c r="J20049" s="711"/>
      <c r="K20049" s="711"/>
      <c r="L20049" s="711"/>
      <c r="Q20049" s="11"/>
      <c r="R20049" s="11"/>
      <c r="S20049" s="11"/>
      <c r="T20049" s="11"/>
    </row>
    <row r="20050" spans="8:20" x14ac:dyDescent="0.35">
      <c r="H20050" s="711"/>
      <c r="I20050" s="711"/>
      <c r="J20050" s="711"/>
      <c r="K20050" s="711"/>
      <c r="L20050" s="711"/>
      <c r="Q20050" s="11"/>
      <c r="R20050" s="11"/>
      <c r="S20050" s="11"/>
      <c r="T20050" s="11"/>
    </row>
    <row r="20051" spans="8:20" x14ac:dyDescent="0.35">
      <c r="H20051" s="711"/>
      <c r="I20051" s="711"/>
      <c r="J20051" s="711"/>
      <c r="K20051" s="711"/>
      <c r="L20051" s="711"/>
      <c r="Q20051" s="11"/>
      <c r="R20051" s="11"/>
      <c r="S20051" s="11"/>
      <c r="T20051" s="11"/>
    </row>
    <row r="20052" spans="8:20" x14ac:dyDescent="0.35">
      <c r="H20052" s="711"/>
      <c r="I20052" s="711"/>
      <c r="J20052" s="711"/>
      <c r="K20052" s="711"/>
      <c r="L20052" s="711"/>
      <c r="Q20052" s="11"/>
      <c r="R20052" s="11"/>
      <c r="S20052" s="11"/>
      <c r="T20052" s="11"/>
    </row>
    <row r="20053" spans="8:20" x14ac:dyDescent="0.35">
      <c r="H20053" s="711"/>
      <c r="I20053" s="711"/>
      <c r="J20053" s="711"/>
      <c r="K20053" s="711"/>
      <c r="L20053" s="711"/>
      <c r="Q20053" s="11"/>
      <c r="R20053" s="11"/>
      <c r="S20053" s="11"/>
      <c r="T20053" s="11"/>
    </row>
    <row r="20054" spans="8:20" x14ac:dyDescent="0.35">
      <c r="H20054" s="711"/>
      <c r="I20054" s="711"/>
      <c r="J20054" s="711"/>
      <c r="K20054" s="711"/>
      <c r="L20054" s="711"/>
      <c r="Q20054" s="11"/>
      <c r="R20054" s="11"/>
      <c r="S20054" s="11"/>
      <c r="T20054" s="11"/>
    </row>
    <row r="20055" spans="8:20" x14ac:dyDescent="0.35">
      <c r="H20055" s="711"/>
      <c r="I20055" s="711"/>
      <c r="J20055" s="711"/>
      <c r="K20055" s="711"/>
      <c r="L20055" s="711"/>
      <c r="Q20055" s="11"/>
      <c r="R20055" s="11"/>
      <c r="S20055" s="11"/>
      <c r="T20055" s="11"/>
    </row>
    <row r="20056" spans="8:20" x14ac:dyDescent="0.35">
      <c r="H20056" s="711"/>
      <c r="I20056" s="711"/>
      <c r="J20056" s="711"/>
      <c r="K20056" s="711"/>
      <c r="L20056" s="711"/>
      <c r="Q20056" s="11"/>
      <c r="R20056" s="11"/>
      <c r="S20056" s="11"/>
      <c r="T20056" s="11"/>
    </row>
    <row r="20057" spans="8:20" x14ac:dyDescent="0.35">
      <c r="H20057" s="711"/>
      <c r="I20057" s="711"/>
      <c r="J20057" s="711"/>
      <c r="K20057" s="711"/>
      <c r="L20057" s="711"/>
      <c r="Q20057" s="11"/>
      <c r="R20057" s="11"/>
      <c r="S20057" s="11"/>
      <c r="T20057" s="11"/>
    </row>
    <row r="20058" spans="8:20" x14ac:dyDescent="0.35">
      <c r="H20058" s="711"/>
      <c r="I20058" s="711"/>
      <c r="J20058" s="711"/>
      <c r="K20058" s="711"/>
      <c r="L20058" s="711"/>
      <c r="Q20058" s="11"/>
      <c r="R20058" s="11"/>
      <c r="S20058" s="11"/>
      <c r="T20058" s="11"/>
    </row>
    <row r="20059" spans="8:20" x14ac:dyDescent="0.35">
      <c r="H20059" s="711"/>
      <c r="I20059" s="711"/>
      <c r="J20059" s="711"/>
      <c r="K20059" s="711"/>
      <c r="L20059" s="711"/>
      <c r="Q20059" s="11"/>
      <c r="R20059" s="11"/>
      <c r="S20059" s="11"/>
      <c r="T20059" s="11"/>
    </row>
    <row r="20060" spans="8:20" x14ac:dyDescent="0.35">
      <c r="H20060" s="711"/>
      <c r="I20060" s="711"/>
      <c r="J20060" s="711"/>
      <c r="K20060" s="711"/>
      <c r="L20060" s="711"/>
      <c r="Q20060" s="11"/>
      <c r="R20060" s="11"/>
      <c r="S20060" s="11"/>
      <c r="T20060" s="11"/>
    </row>
    <row r="20061" spans="8:20" x14ac:dyDescent="0.35">
      <c r="H20061" s="711"/>
      <c r="I20061" s="711"/>
      <c r="J20061" s="711"/>
      <c r="K20061" s="711"/>
      <c r="L20061" s="711"/>
      <c r="Q20061" s="11"/>
      <c r="R20061" s="11"/>
      <c r="S20061" s="11"/>
      <c r="T20061" s="11"/>
    </row>
    <row r="20062" spans="8:20" x14ac:dyDescent="0.35">
      <c r="H20062" s="711"/>
      <c r="I20062" s="711"/>
      <c r="J20062" s="711"/>
      <c r="K20062" s="711"/>
      <c r="L20062" s="711"/>
      <c r="Q20062" s="11"/>
      <c r="R20062" s="11"/>
      <c r="S20062" s="11"/>
      <c r="T20062" s="11"/>
    </row>
    <row r="20063" spans="8:20" x14ac:dyDescent="0.35">
      <c r="H20063" s="711"/>
      <c r="I20063" s="711"/>
      <c r="J20063" s="711"/>
      <c r="K20063" s="711"/>
      <c r="L20063" s="711"/>
      <c r="Q20063" s="11"/>
      <c r="R20063" s="11"/>
      <c r="S20063" s="11"/>
      <c r="T20063" s="11"/>
    </row>
    <row r="20064" spans="8:20" x14ac:dyDescent="0.35">
      <c r="H20064" s="711"/>
      <c r="I20064" s="711"/>
      <c r="J20064" s="711"/>
      <c r="K20064" s="711"/>
      <c r="L20064" s="711"/>
      <c r="Q20064" s="11"/>
      <c r="R20064" s="11"/>
      <c r="S20064" s="11"/>
      <c r="T20064" s="11"/>
    </row>
    <row r="20065" spans="8:20" x14ac:dyDescent="0.35">
      <c r="H20065" s="711"/>
      <c r="I20065" s="711"/>
      <c r="J20065" s="711"/>
      <c r="K20065" s="711"/>
      <c r="L20065" s="711"/>
      <c r="Q20065" s="11"/>
      <c r="R20065" s="11"/>
      <c r="S20065" s="11"/>
      <c r="T20065" s="11"/>
    </row>
    <row r="20066" spans="8:20" x14ac:dyDescent="0.35">
      <c r="H20066" s="711"/>
      <c r="I20066" s="711"/>
      <c r="J20066" s="711"/>
      <c r="K20066" s="711"/>
      <c r="L20066" s="711"/>
      <c r="Q20066" s="11"/>
      <c r="R20066" s="11"/>
      <c r="S20066" s="11"/>
      <c r="T20066" s="11"/>
    </row>
    <row r="20067" spans="8:20" x14ac:dyDescent="0.35">
      <c r="H20067" s="711"/>
      <c r="I20067" s="711"/>
      <c r="J20067" s="711"/>
      <c r="K20067" s="711"/>
      <c r="L20067" s="711"/>
      <c r="Q20067" s="11"/>
      <c r="R20067" s="11"/>
      <c r="S20067" s="11"/>
      <c r="T20067" s="11"/>
    </row>
    <row r="20068" spans="8:20" x14ac:dyDescent="0.35">
      <c r="H20068" s="711"/>
      <c r="I20068" s="711"/>
      <c r="J20068" s="711"/>
      <c r="K20068" s="711"/>
      <c r="L20068" s="711"/>
      <c r="Q20068" s="11"/>
      <c r="R20068" s="11"/>
      <c r="S20068" s="11"/>
      <c r="T20068" s="11"/>
    </row>
    <row r="20069" spans="8:20" x14ac:dyDescent="0.35">
      <c r="H20069" s="711"/>
      <c r="I20069" s="711"/>
      <c r="J20069" s="711"/>
      <c r="K20069" s="711"/>
      <c r="L20069" s="711"/>
      <c r="Q20069" s="11"/>
      <c r="R20069" s="11"/>
      <c r="S20069" s="11"/>
      <c r="T20069" s="11"/>
    </row>
    <row r="20070" spans="8:20" x14ac:dyDescent="0.35">
      <c r="H20070" s="711"/>
      <c r="I20070" s="711"/>
      <c r="J20070" s="711"/>
      <c r="K20070" s="711"/>
      <c r="L20070" s="711"/>
      <c r="Q20070" s="11"/>
      <c r="R20070" s="11"/>
      <c r="S20070" s="11"/>
      <c r="T20070" s="11"/>
    </row>
    <row r="20071" spans="8:20" x14ac:dyDescent="0.35">
      <c r="H20071" s="711"/>
      <c r="I20071" s="711"/>
      <c r="J20071" s="711"/>
      <c r="K20071" s="711"/>
      <c r="L20071" s="711"/>
      <c r="Q20071" s="11"/>
      <c r="R20071" s="11"/>
      <c r="S20071" s="11"/>
      <c r="T20071" s="11"/>
    </row>
    <row r="20072" spans="8:20" x14ac:dyDescent="0.35">
      <c r="H20072" s="711"/>
      <c r="I20072" s="711"/>
      <c r="J20072" s="711"/>
      <c r="K20072" s="711"/>
      <c r="L20072" s="711"/>
      <c r="Q20072" s="11"/>
      <c r="R20072" s="11"/>
      <c r="S20072" s="11"/>
      <c r="T20072" s="11"/>
    </row>
    <row r="20073" spans="8:20" x14ac:dyDescent="0.35">
      <c r="H20073" s="711"/>
      <c r="I20073" s="711"/>
      <c r="J20073" s="711"/>
      <c r="K20073" s="711"/>
      <c r="L20073" s="711"/>
      <c r="Q20073" s="11"/>
      <c r="R20073" s="11"/>
      <c r="S20073" s="11"/>
      <c r="T20073" s="11"/>
    </row>
    <row r="20074" spans="8:20" x14ac:dyDescent="0.35">
      <c r="H20074" s="711"/>
      <c r="I20074" s="711"/>
      <c r="J20074" s="711"/>
      <c r="K20074" s="711"/>
      <c r="L20074" s="711"/>
      <c r="Q20074" s="11"/>
      <c r="R20074" s="11"/>
      <c r="S20074" s="11"/>
      <c r="T20074" s="11"/>
    </row>
    <row r="20075" spans="8:20" x14ac:dyDescent="0.35">
      <c r="H20075" s="711"/>
      <c r="I20075" s="711"/>
      <c r="J20075" s="711"/>
      <c r="K20075" s="711"/>
      <c r="L20075" s="711"/>
      <c r="Q20075" s="11"/>
      <c r="R20075" s="11"/>
      <c r="S20075" s="11"/>
      <c r="T20075" s="11"/>
    </row>
    <row r="20076" spans="8:20" x14ac:dyDescent="0.35">
      <c r="H20076" s="711"/>
      <c r="I20076" s="711"/>
      <c r="J20076" s="711"/>
      <c r="K20076" s="711"/>
      <c r="L20076" s="711"/>
      <c r="Q20076" s="11"/>
      <c r="R20076" s="11"/>
      <c r="S20076" s="11"/>
      <c r="T20076" s="11"/>
    </row>
    <row r="20077" spans="8:20" x14ac:dyDescent="0.35">
      <c r="H20077" s="711"/>
      <c r="I20077" s="711"/>
      <c r="J20077" s="711"/>
      <c r="K20077" s="711"/>
      <c r="L20077" s="711"/>
      <c r="Q20077" s="11"/>
      <c r="R20077" s="11"/>
      <c r="S20077" s="11"/>
      <c r="T20077" s="11"/>
    </row>
    <row r="20078" spans="8:20" x14ac:dyDescent="0.35">
      <c r="H20078" s="711"/>
      <c r="I20078" s="711"/>
      <c r="J20078" s="711"/>
      <c r="K20078" s="711"/>
      <c r="L20078" s="711"/>
      <c r="Q20078" s="11"/>
      <c r="R20078" s="11"/>
      <c r="S20078" s="11"/>
      <c r="T20078" s="11"/>
    </row>
    <row r="20079" spans="8:20" x14ac:dyDescent="0.35">
      <c r="H20079" s="711"/>
      <c r="I20079" s="711"/>
      <c r="J20079" s="711"/>
      <c r="K20079" s="711"/>
      <c r="L20079" s="711"/>
      <c r="Q20079" s="11"/>
      <c r="R20079" s="11"/>
      <c r="S20079" s="11"/>
      <c r="T20079" s="11"/>
    </row>
    <row r="20080" spans="8:20" x14ac:dyDescent="0.35">
      <c r="H20080" s="711"/>
      <c r="I20080" s="711"/>
      <c r="J20080" s="711"/>
      <c r="K20080" s="711"/>
      <c r="L20080" s="711"/>
      <c r="Q20080" s="11"/>
      <c r="R20080" s="11"/>
      <c r="S20080" s="11"/>
      <c r="T20080" s="11"/>
    </row>
    <row r="20081" spans="8:20" x14ac:dyDescent="0.35">
      <c r="H20081" s="711"/>
      <c r="I20081" s="711"/>
      <c r="J20081" s="711"/>
      <c r="K20081" s="711"/>
      <c r="L20081" s="711"/>
      <c r="Q20081" s="11"/>
      <c r="R20081" s="11"/>
      <c r="S20081" s="11"/>
      <c r="T20081" s="11"/>
    </row>
    <row r="20082" spans="8:20" x14ac:dyDescent="0.35">
      <c r="H20082" s="711"/>
      <c r="I20082" s="711"/>
      <c r="J20082" s="711"/>
      <c r="K20082" s="711"/>
      <c r="L20082" s="711"/>
      <c r="Q20082" s="11"/>
      <c r="R20082" s="11"/>
      <c r="S20082" s="11"/>
      <c r="T20082" s="11"/>
    </row>
    <row r="20083" spans="8:20" x14ac:dyDescent="0.35">
      <c r="H20083" s="711"/>
      <c r="I20083" s="711"/>
      <c r="J20083" s="711"/>
      <c r="K20083" s="711"/>
      <c r="L20083" s="711"/>
      <c r="Q20083" s="11"/>
      <c r="R20083" s="11"/>
      <c r="S20083" s="11"/>
      <c r="T20083" s="11"/>
    </row>
    <row r="20084" spans="8:20" x14ac:dyDescent="0.35">
      <c r="H20084" s="711"/>
      <c r="I20084" s="711"/>
      <c r="J20084" s="711"/>
      <c r="K20084" s="711"/>
      <c r="L20084" s="711"/>
      <c r="Q20084" s="11"/>
      <c r="R20084" s="11"/>
      <c r="S20084" s="11"/>
      <c r="T20084" s="11"/>
    </row>
    <row r="20085" spans="8:20" x14ac:dyDescent="0.35">
      <c r="H20085" s="711"/>
      <c r="I20085" s="711"/>
      <c r="J20085" s="711"/>
      <c r="K20085" s="711"/>
      <c r="L20085" s="711"/>
      <c r="Q20085" s="11"/>
      <c r="R20085" s="11"/>
      <c r="S20085" s="11"/>
      <c r="T20085" s="11"/>
    </row>
    <row r="20086" spans="8:20" x14ac:dyDescent="0.35">
      <c r="H20086" s="711"/>
      <c r="I20086" s="711"/>
      <c r="J20086" s="711"/>
      <c r="K20086" s="711"/>
      <c r="L20086" s="711"/>
      <c r="Q20086" s="11"/>
      <c r="R20086" s="11"/>
      <c r="S20086" s="11"/>
      <c r="T20086" s="11"/>
    </row>
    <row r="20087" spans="8:20" x14ac:dyDescent="0.35">
      <c r="H20087" s="711"/>
      <c r="I20087" s="711"/>
      <c r="J20087" s="711"/>
      <c r="K20087" s="711"/>
      <c r="L20087" s="711"/>
      <c r="Q20087" s="11"/>
      <c r="R20087" s="11"/>
      <c r="S20087" s="11"/>
      <c r="T20087" s="11"/>
    </row>
    <row r="20088" spans="8:20" x14ac:dyDescent="0.35">
      <c r="H20088" s="711"/>
      <c r="I20088" s="711"/>
      <c r="J20088" s="711"/>
      <c r="K20088" s="711"/>
      <c r="L20088" s="711"/>
      <c r="Q20088" s="11"/>
      <c r="R20088" s="11"/>
      <c r="S20088" s="11"/>
      <c r="T20088" s="11"/>
    </row>
    <row r="20089" spans="8:20" x14ac:dyDescent="0.35">
      <c r="H20089" s="711"/>
      <c r="I20089" s="711"/>
      <c r="J20089" s="711"/>
      <c r="K20089" s="711"/>
      <c r="L20089" s="711"/>
      <c r="Q20089" s="11"/>
      <c r="R20089" s="11"/>
      <c r="S20089" s="11"/>
      <c r="T20089" s="11"/>
    </row>
    <row r="20090" spans="8:20" x14ac:dyDescent="0.35">
      <c r="H20090" s="711"/>
      <c r="I20090" s="711"/>
      <c r="J20090" s="711"/>
      <c r="K20090" s="711"/>
      <c r="L20090" s="711"/>
      <c r="Q20090" s="11"/>
      <c r="R20090" s="11"/>
      <c r="S20090" s="11"/>
      <c r="T20090" s="11"/>
    </row>
    <row r="20091" spans="8:20" x14ac:dyDescent="0.35">
      <c r="H20091" s="711"/>
      <c r="I20091" s="711"/>
      <c r="J20091" s="711"/>
      <c r="K20091" s="711"/>
      <c r="L20091" s="711"/>
      <c r="Q20091" s="11"/>
      <c r="R20091" s="11"/>
      <c r="S20091" s="11"/>
      <c r="T20091" s="11"/>
    </row>
    <row r="20092" spans="8:20" x14ac:dyDescent="0.35">
      <c r="H20092" s="711"/>
      <c r="I20092" s="711"/>
      <c r="J20092" s="711"/>
      <c r="K20092" s="711"/>
      <c r="L20092" s="711"/>
      <c r="Q20092" s="11"/>
      <c r="R20092" s="11"/>
      <c r="S20092" s="11"/>
      <c r="T20092" s="11"/>
    </row>
    <row r="20093" spans="8:20" x14ac:dyDescent="0.35">
      <c r="H20093" s="711"/>
      <c r="I20093" s="711"/>
      <c r="J20093" s="711"/>
      <c r="K20093" s="711"/>
      <c r="L20093" s="711"/>
      <c r="Q20093" s="11"/>
      <c r="R20093" s="11"/>
      <c r="S20093" s="11"/>
      <c r="T20093" s="11"/>
    </row>
    <row r="20094" spans="8:20" x14ac:dyDescent="0.35">
      <c r="H20094" s="711"/>
      <c r="I20094" s="711"/>
      <c r="J20094" s="711"/>
      <c r="K20094" s="711"/>
      <c r="L20094" s="711"/>
      <c r="Q20094" s="11"/>
      <c r="R20094" s="11"/>
      <c r="S20094" s="11"/>
      <c r="T20094" s="11"/>
    </row>
    <row r="20095" spans="8:20" x14ac:dyDescent="0.35">
      <c r="H20095" s="711"/>
      <c r="I20095" s="711"/>
      <c r="J20095" s="711"/>
      <c r="K20095" s="711"/>
      <c r="L20095" s="711"/>
      <c r="Q20095" s="11"/>
      <c r="R20095" s="11"/>
      <c r="S20095" s="11"/>
      <c r="T20095" s="11"/>
    </row>
    <row r="20096" spans="8:20" x14ac:dyDescent="0.35">
      <c r="H20096" s="711"/>
      <c r="I20096" s="711"/>
      <c r="J20096" s="711"/>
      <c r="K20096" s="711"/>
      <c r="L20096" s="711"/>
      <c r="Q20096" s="11"/>
      <c r="R20096" s="11"/>
      <c r="S20096" s="11"/>
      <c r="T20096" s="11"/>
    </row>
    <row r="20097" spans="8:20" x14ac:dyDescent="0.35">
      <c r="H20097" s="711"/>
      <c r="I20097" s="711"/>
      <c r="J20097" s="711"/>
      <c r="K20097" s="711"/>
      <c r="L20097" s="711"/>
      <c r="Q20097" s="11"/>
      <c r="R20097" s="11"/>
      <c r="S20097" s="11"/>
      <c r="T20097" s="11"/>
    </row>
    <row r="20098" spans="8:20" x14ac:dyDescent="0.35">
      <c r="H20098" s="711"/>
      <c r="I20098" s="711"/>
      <c r="J20098" s="711"/>
      <c r="K20098" s="711"/>
      <c r="L20098" s="711"/>
      <c r="Q20098" s="11"/>
      <c r="R20098" s="11"/>
      <c r="S20098" s="11"/>
      <c r="T20098" s="11"/>
    </row>
    <row r="20099" spans="8:20" x14ac:dyDescent="0.35">
      <c r="H20099" s="711"/>
      <c r="I20099" s="711"/>
      <c r="J20099" s="711"/>
      <c r="K20099" s="711"/>
      <c r="L20099" s="711"/>
      <c r="Q20099" s="11"/>
      <c r="R20099" s="11"/>
      <c r="S20099" s="11"/>
      <c r="T20099" s="11"/>
    </row>
    <row r="20100" spans="8:20" x14ac:dyDescent="0.35">
      <c r="H20100" s="711"/>
      <c r="I20100" s="711"/>
      <c r="J20100" s="711"/>
      <c r="K20100" s="711"/>
      <c r="L20100" s="711"/>
      <c r="Q20100" s="11"/>
      <c r="R20100" s="11"/>
      <c r="S20100" s="11"/>
      <c r="T20100" s="11"/>
    </row>
    <row r="20101" spans="8:20" x14ac:dyDescent="0.35">
      <c r="H20101" s="711"/>
      <c r="I20101" s="711"/>
      <c r="J20101" s="711"/>
      <c r="K20101" s="711"/>
      <c r="L20101" s="711"/>
      <c r="Q20101" s="11"/>
      <c r="R20101" s="11"/>
      <c r="S20101" s="11"/>
      <c r="T20101" s="11"/>
    </row>
    <row r="20102" spans="8:20" x14ac:dyDescent="0.35">
      <c r="H20102" s="711"/>
      <c r="I20102" s="711"/>
      <c r="J20102" s="711"/>
      <c r="K20102" s="711"/>
      <c r="L20102" s="711"/>
      <c r="Q20102" s="11"/>
      <c r="R20102" s="11"/>
      <c r="S20102" s="11"/>
      <c r="T20102" s="11"/>
    </row>
    <row r="20103" spans="8:20" x14ac:dyDescent="0.35">
      <c r="H20103" s="711"/>
      <c r="I20103" s="711"/>
      <c r="J20103" s="711"/>
      <c r="K20103" s="711"/>
      <c r="L20103" s="711"/>
      <c r="Q20103" s="11"/>
      <c r="R20103" s="11"/>
      <c r="S20103" s="11"/>
      <c r="T20103" s="11"/>
    </row>
    <row r="20104" spans="8:20" x14ac:dyDescent="0.35">
      <c r="H20104" s="711"/>
      <c r="I20104" s="711"/>
      <c r="J20104" s="711"/>
      <c r="K20104" s="711"/>
      <c r="L20104" s="711"/>
      <c r="Q20104" s="11"/>
      <c r="R20104" s="11"/>
      <c r="S20104" s="11"/>
      <c r="T20104" s="11"/>
    </row>
    <row r="20105" spans="8:20" x14ac:dyDescent="0.35">
      <c r="H20105" s="711"/>
      <c r="I20105" s="711"/>
      <c r="J20105" s="711"/>
      <c r="K20105" s="711"/>
      <c r="L20105" s="711"/>
      <c r="Q20105" s="11"/>
      <c r="R20105" s="11"/>
      <c r="S20105" s="11"/>
      <c r="T20105" s="11"/>
    </row>
    <row r="20106" spans="8:20" x14ac:dyDescent="0.35">
      <c r="H20106" s="711"/>
      <c r="I20106" s="711"/>
      <c r="J20106" s="711"/>
      <c r="K20106" s="711"/>
      <c r="L20106" s="711"/>
      <c r="Q20106" s="11"/>
      <c r="R20106" s="11"/>
      <c r="S20106" s="11"/>
      <c r="T20106" s="11"/>
    </row>
    <row r="20107" spans="8:20" x14ac:dyDescent="0.35">
      <c r="H20107" s="711"/>
      <c r="I20107" s="711"/>
      <c r="J20107" s="711"/>
      <c r="K20107" s="711"/>
      <c r="L20107" s="711"/>
      <c r="Q20107" s="11"/>
      <c r="R20107" s="11"/>
      <c r="S20107" s="11"/>
      <c r="T20107" s="11"/>
    </row>
    <row r="20108" spans="8:20" x14ac:dyDescent="0.35">
      <c r="H20108" s="711"/>
      <c r="I20108" s="711"/>
      <c r="J20108" s="711"/>
      <c r="K20108" s="711"/>
      <c r="L20108" s="711"/>
      <c r="Q20108" s="11"/>
      <c r="R20108" s="11"/>
      <c r="S20108" s="11"/>
      <c r="T20108" s="11"/>
    </row>
    <row r="20109" spans="8:20" x14ac:dyDescent="0.35">
      <c r="H20109" s="711"/>
      <c r="I20109" s="711"/>
      <c r="J20109" s="711"/>
      <c r="K20109" s="711"/>
      <c r="L20109" s="711"/>
      <c r="Q20109" s="11"/>
      <c r="R20109" s="11"/>
      <c r="S20109" s="11"/>
      <c r="T20109" s="11"/>
    </row>
    <row r="20110" spans="8:20" x14ac:dyDescent="0.35">
      <c r="H20110" s="711"/>
      <c r="I20110" s="711"/>
      <c r="J20110" s="711"/>
      <c r="K20110" s="711"/>
      <c r="L20110" s="711"/>
      <c r="Q20110" s="11"/>
      <c r="R20110" s="11"/>
      <c r="S20110" s="11"/>
      <c r="T20110" s="11"/>
    </row>
    <row r="20111" spans="8:20" x14ac:dyDescent="0.35">
      <c r="H20111" s="711"/>
      <c r="I20111" s="711"/>
      <c r="J20111" s="711"/>
      <c r="K20111" s="711"/>
      <c r="L20111" s="711"/>
      <c r="Q20111" s="11"/>
      <c r="R20111" s="11"/>
      <c r="S20111" s="11"/>
      <c r="T20111" s="11"/>
    </row>
    <row r="20112" spans="8:20" x14ac:dyDescent="0.35">
      <c r="H20112" s="711"/>
      <c r="I20112" s="711"/>
      <c r="J20112" s="711"/>
      <c r="K20112" s="711"/>
      <c r="L20112" s="711"/>
      <c r="Q20112" s="11"/>
      <c r="R20112" s="11"/>
      <c r="S20112" s="11"/>
      <c r="T20112" s="11"/>
    </row>
    <row r="20113" spans="8:20" x14ac:dyDescent="0.35">
      <c r="H20113" s="711"/>
      <c r="I20113" s="711"/>
      <c r="J20113" s="711"/>
      <c r="K20113" s="711"/>
      <c r="L20113" s="711"/>
      <c r="Q20113" s="11"/>
      <c r="R20113" s="11"/>
      <c r="S20113" s="11"/>
      <c r="T20113" s="11"/>
    </row>
    <row r="20114" spans="8:20" x14ac:dyDescent="0.35">
      <c r="H20114" s="711"/>
      <c r="I20114" s="711"/>
      <c r="J20114" s="711"/>
      <c r="K20114" s="711"/>
      <c r="L20114" s="711"/>
      <c r="Q20114" s="11"/>
      <c r="R20114" s="11"/>
      <c r="S20114" s="11"/>
      <c r="T20114" s="11"/>
    </row>
    <row r="20115" spans="8:20" x14ac:dyDescent="0.35">
      <c r="H20115" s="711"/>
      <c r="I20115" s="711"/>
      <c r="J20115" s="711"/>
      <c r="K20115" s="711"/>
      <c r="L20115" s="711"/>
      <c r="Q20115" s="11"/>
      <c r="R20115" s="11"/>
      <c r="S20115" s="11"/>
      <c r="T20115" s="11"/>
    </row>
    <row r="20116" spans="8:20" x14ac:dyDescent="0.35">
      <c r="H20116" s="711"/>
      <c r="I20116" s="711"/>
      <c r="J20116" s="711"/>
      <c r="K20116" s="711"/>
      <c r="L20116" s="711"/>
      <c r="Q20116" s="11"/>
      <c r="R20116" s="11"/>
      <c r="S20116" s="11"/>
      <c r="T20116" s="11"/>
    </row>
    <row r="20117" spans="8:20" x14ac:dyDescent="0.35">
      <c r="H20117" s="711"/>
      <c r="I20117" s="711"/>
      <c r="J20117" s="711"/>
      <c r="K20117" s="711"/>
      <c r="L20117" s="711"/>
      <c r="Q20117" s="11"/>
      <c r="R20117" s="11"/>
      <c r="S20117" s="11"/>
      <c r="T20117" s="11"/>
    </row>
    <row r="20118" spans="8:20" x14ac:dyDescent="0.35">
      <c r="H20118" s="711"/>
      <c r="I20118" s="711"/>
      <c r="J20118" s="711"/>
      <c r="K20118" s="711"/>
      <c r="L20118" s="711"/>
      <c r="Q20118" s="11"/>
      <c r="R20118" s="11"/>
      <c r="S20118" s="11"/>
      <c r="T20118" s="11"/>
    </row>
    <row r="20119" spans="8:20" x14ac:dyDescent="0.35">
      <c r="H20119" s="711"/>
      <c r="I20119" s="711"/>
      <c r="J20119" s="711"/>
      <c r="K20119" s="711"/>
      <c r="L20119" s="711"/>
      <c r="Q20119" s="11"/>
      <c r="R20119" s="11"/>
      <c r="S20119" s="11"/>
      <c r="T20119" s="11"/>
    </row>
    <row r="20120" spans="8:20" x14ac:dyDescent="0.35">
      <c r="H20120" s="711"/>
      <c r="I20120" s="711"/>
      <c r="J20120" s="711"/>
      <c r="K20120" s="711"/>
      <c r="L20120" s="711"/>
      <c r="Q20120" s="11"/>
      <c r="R20120" s="11"/>
      <c r="S20120" s="11"/>
      <c r="T20120" s="11"/>
    </row>
    <row r="20121" spans="8:20" x14ac:dyDescent="0.35">
      <c r="H20121" s="711"/>
      <c r="I20121" s="711"/>
      <c r="J20121" s="711"/>
      <c r="K20121" s="711"/>
      <c r="L20121" s="711"/>
      <c r="Q20121" s="11"/>
      <c r="R20121" s="11"/>
      <c r="S20121" s="11"/>
      <c r="T20121" s="11"/>
    </row>
    <row r="20122" spans="8:20" x14ac:dyDescent="0.35">
      <c r="H20122" s="711"/>
      <c r="I20122" s="711"/>
      <c r="J20122" s="711"/>
      <c r="K20122" s="711"/>
      <c r="L20122" s="711"/>
      <c r="Q20122" s="11"/>
      <c r="R20122" s="11"/>
      <c r="S20122" s="11"/>
      <c r="T20122" s="11"/>
    </row>
    <row r="20123" spans="8:20" x14ac:dyDescent="0.35">
      <c r="H20123" s="711"/>
      <c r="I20123" s="711"/>
      <c r="J20123" s="711"/>
      <c r="K20123" s="711"/>
      <c r="L20123" s="711"/>
      <c r="Q20123" s="11"/>
      <c r="R20123" s="11"/>
      <c r="S20123" s="11"/>
      <c r="T20123" s="11"/>
    </row>
    <row r="20124" spans="8:20" x14ac:dyDescent="0.35">
      <c r="H20124" s="711"/>
      <c r="I20124" s="711"/>
      <c r="J20124" s="711"/>
      <c r="K20124" s="711"/>
      <c r="L20124" s="711"/>
      <c r="Q20124" s="11"/>
      <c r="R20124" s="11"/>
      <c r="S20124" s="11"/>
      <c r="T20124" s="11"/>
    </row>
    <row r="20125" spans="8:20" x14ac:dyDescent="0.35">
      <c r="H20125" s="711"/>
      <c r="I20125" s="711"/>
      <c r="J20125" s="711"/>
      <c r="K20125" s="711"/>
      <c r="L20125" s="711"/>
      <c r="Q20125" s="11"/>
      <c r="R20125" s="11"/>
      <c r="S20125" s="11"/>
      <c r="T20125" s="11"/>
    </row>
    <row r="20126" spans="8:20" x14ac:dyDescent="0.35">
      <c r="H20126" s="711"/>
      <c r="I20126" s="711"/>
      <c r="J20126" s="711"/>
      <c r="K20126" s="711"/>
      <c r="L20126" s="711"/>
      <c r="Q20126" s="11"/>
      <c r="R20126" s="11"/>
      <c r="S20126" s="11"/>
      <c r="T20126" s="11"/>
    </row>
    <row r="20127" spans="8:20" x14ac:dyDescent="0.35">
      <c r="H20127" s="711"/>
      <c r="I20127" s="711"/>
      <c r="J20127" s="711"/>
      <c r="K20127" s="711"/>
      <c r="L20127" s="711"/>
      <c r="Q20127" s="11"/>
      <c r="R20127" s="11"/>
      <c r="S20127" s="11"/>
      <c r="T20127" s="11"/>
    </row>
    <row r="20128" spans="8:20" x14ac:dyDescent="0.35">
      <c r="H20128" s="711"/>
      <c r="I20128" s="711"/>
      <c r="J20128" s="711"/>
      <c r="K20128" s="711"/>
      <c r="L20128" s="711"/>
      <c r="Q20128" s="11"/>
      <c r="R20128" s="11"/>
      <c r="S20128" s="11"/>
      <c r="T20128" s="11"/>
    </row>
    <row r="20129" spans="8:20" x14ac:dyDescent="0.35">
      <c r="H20129" s="711"/>
      <c r="I20129" s="711"/>
      <c r="J20129" s="711"/>
      <c r="K20129" s="711"/>
      <c r="L20129" s="711"/>
      <c r="Q20129" s="11"/>
      <c r="R20129" s="11"/>
      <c r="S20129" s="11"/>
      <c r="T20129" s="11"/>
    </row>
    <row r="20130" spans="8:20" x14ac:dyDescent="0.35">
      <c r="H20130" s="711"/>
      <c r="I20130" s="711"/>
      <c r="J20130" s="711"/>
      <c r="K20130" s="711"/>
      <c r="L20130" s="711"/>
      <c r="Q20130" s="11"/>
      <c r="R20130" s="11"/>
      <c r="S20130" s="11"/>
      <c r="T20130" s="11"/>
    </row>
    <row r="20131" spans="8:20" x14ac:dyDescent="0.35">
      <c r="H20131" s="711"/>
      <c r="I20131" s="711"/>
      <c r="J20131" s="711"/>
      <c r="K20131" s="711"/>
      <c r="L20131" s="711"/>
      <c r="Q20131" s="11"/>
      <c r="R20131" s="11"/>
      <c r="S20131" s="11"/>
      <c r="T20131" s="11"/>
    </row>
    <row r="20132" spans="8:20" x14ac:dyDescent="0.35">
      <c r="H20132" s="711"/>
      <c r="I20132" s="711"/>
      <c r="J20132" s="711"/>
      <c r="K20132" s="711"/>
      <c r="L20132" s="711"/>
      <c r="Q20132" s="11"/>
      <c r="R20132" s="11"/>
      <c r="S20132" s="11"/>
      <c r="T20132" s="11"/>
    </row>
    <row r="20133" spans="8:20" x14ac:dyDescent="0.35">
      <c r="H20133" s="711"/>
      <c r="I20133" s="711"/>
      <c r="J20133" s="711"/>
      <c r="K20133" s="711"/>
      <c r="L20133" s="711"/>
      <c r="Q20133" s="11"/>
      <c r="R20133" s="11"/>
      <c r="S20133" s="11"/>
      <c r="T20133" s="11"/>
    </row>
    <row r="20134" spans="8:20" x14ac:dyDescent="0.35">
      <c r="H20134" s="711"/>
      <c r="I20134" s="711"/>
      <c r="J20134" s="711"/>
      <c r="K20134" s="711"/>
      <c r="L20134" s="711"/>
      <c r="Q20134" s="11"/>
      <c r="R20134" s="11"/>
      <c r="S20134" s="11"/>
      <c r="T20134" s="11"/>
    </row>
    <row r="20135" spans="8:20" x14ac:dyDescent="0.35">
      <c r="H20135" s="711"/>
      <c r="I20135" s="711"/>
      <c r="J20135" s="711"/>
      <c r="K20135" s="711"/>
      <c r="L20135" s="711"/>
      <c r="Q20135" s="11"/>
      <c r="R20135" s="11"/>
      <c r="S20135" s="11"/>
      <c r="T20135" s="11"/>
    </row>
    <row r="20136" spans="8:20" x14ac:dyDescent="0.35">
      <c r="H20136" s="711"/>
      <c r="I20136" s="711"/>
      <c r="J20136" s="711"/>
      <c r="K20136" s="711"/>
      <c r="L20136" s="711"/>
      <c r="Q20136" s="11"/>
      <c r="R20136" s="11"/>
      <c r="S20136" s="11"/>
      <c r="T20136" s="11"/>
    </row>
    <row r="20137" spans="8:20" x14ac:dyDescent="0.35">
      <c r="H20137" s="711"/>
      <c r="I20137" s="711"/>
      <c r="J20137" s="711"/>
      <c r="K20137" s="711"/>
      <c r="L20137" s="711"/>
      <c r="Q20137" s="11"/>
      <c r="R20137" s="11"/>
      <c r="S20137" s="11"/>
      <c r="T20137" s="11"/>
    </row>
    <row r="20138" spans="8:20" x14ac:dyDescent="0.35">
      <c r="H20138" s="711"/>
      <c r="I20138" s="711"/>
      <c r="J20138" s="711"/>
      <c r="K20138" s="711"/>
      <c r="L20138" s="711"/>
      <c r="Q20138" s="11"/>
      <c r="R20138" s="11"/>
      <c r="S20138" s="11"/>
      <c r="T20138" s="11"/>
    </row>
    <row r="20139" spans="8:20" x14ac:dyDescent="0.35">
      <c r="H20139" s="711"/>
      <c r="I20139" s="711"/>
      <c r="J20139" s="711"/>
      <c r="K20139" s="711"/>
      <c r="L20139" s="711"/>
      <c r="Q20139" s="11"/>
      <c r="R20139" s="11"/>
      <c r="S20139" s="11"/>
      <c r="T20139" s="11"/>
    </row>
    <row r="20140" spans="8:20" x14ac:dyDescent="0.35">
      <c r="H20140" s="711"/>
      <c r="I20140" s="711"/>
      <c r="J20140" s="711"/>
      <c r="K20140" s="711"/>
      <c r="L20140" s="711"/>
      <c r="Q20140" s="11"/>
      <c r="R20140" s="11"/>
      <c r="S20140" s="11"/>
      <c r="T20140" s="11"/>
    </row>
    <row r="20141" spans="8:20" x14ac:dyDescent="0.35">
      <c r="H20141" s="711"/>
      <c r="I20141" s="711"/>
      <c r="J20141" s="711"/>
      <c r="K20141" s="711"/>
      <c r="L20141" s="711"/>
      <c r="Q20141" s="11"/>
      <c r="R20141" s="11"/>
      <c r="S20141" s="11"/>
      <c r="T20141" s="11"/>
    </row>
    <row r="20142" spans="8:20" x14ac:dyDescent="0.35">
      <c r="H20142" s="711"/>
      <c r="I20142" s="711"/>
      <c r="J20142" s="711"/>
      <c r="K20142" s="711"/>
      <c r="L20142" s="711"/>
      <c r="Q20142" s="11"/>
      <c r="R20142" s="11"/>
      <c r="S20142" s="11"/>
      <c r="T20142" s="11"/>
    </row>
    <row r="20143" spans="8:20" x14ac:dyDescent="0.35">
      <c r="H20143" s="711"/>
      <c r="I20143" s="711"/>
      <c r="J20143" s="711"/>
      <c r="K20143" s="711"/>
      <c r="L20143" s="711"/>
      <c r="Q20143" s="11"/>
      <c r="R20143" s="11"/>
      <c r="S20143" s="11"/>
      <c r="T20143" s="11"/>
    </row>
    <row r="20144" spans="8:20" x14ac:dyDescent="0.35">
      <c r="H20144" s="711"/>
      <c r="I20144" s="711"/>
      <c r="J20144" s="711"/>
      <c r="K20144" s="711"/>
      <c r="L20144" s="711"/>
      <c r="Q20144" s="11"/>
      <c r="R20144" s="11"/>
      <c r="S20144" s="11"/>
      <c r="T20144" s="11"/>
    </row>
    <row r="20145" spans="8:20" x14ac:dyDescent="0.35">
      <c r="H20145" s="711"/>
      <c r="I20145" s="711"/>
      <c r="J20145" s="711"/>
      <c r="K20145" s="711"/>
      <c r="L20145" s="711"/>
      <c r="Q20145" s="11"/>
      <c r="R20145" s="11"/>
      <c r="S20145" s="11"/>
      <c r="T20145" s="11"/>
    </row>
    <row r="20146" spans="8:20" x14ac:dyDescent="0.35">
      <c r="H20146" s="711"/>
      <c r="I20146" s="711"/>
      <c r="J20146" s="711"/>
      <c r="K20146" s="711"/>
      <c r="L20146" s="711"/>
      <c r="Q20146" s="11"/>
      <c r="R20146" s="11"/>
      <c r="S20146" s="11"/>
      <c r="T20146" s="11"/>
    </row>
    <row r="20147" spans="8:20" x14ac:dyDescent="0.35">
      <c r="H20147" s="711"/>
      <c r="I20147" s="711"/>
      <c r="J20147" s="711"/>
      <c r="K20147" s="711"/>
      <c r="L20147" s="711"/>
      <c r="Q20147" s="11"/>
      <c r="R20147" s="11"/>
      <c r="S20147" s="11"/>
      <c r="T20147" s="11"/>
    </row>
    <row r="20148" spans="8:20" x14ac:dyDescent="0.35">
      <c r="H20148" s="711"/>
      <c r="I20148" s="711"/>
      <c r="J20148" s="711"/>
      <c r="K20148" s="711"/>
      <c r="L20148" s="711"/>
      <c r="Q20148" s="11"/>
      <c r="R20148" s="11"/>
      <c r="S20148" s="11"/>
      <c r="T20148" s="11"/>
    </row>
    <row r="20149" spans="8:20" x14ac:dyDescent="0.35">
      <c r="H20149" s="711"/>
      <c r="I20149" s="711"/>
      <c r="J20149" s="711"/>
      <c r="K20149" s="711"/>
      <c r="L20149" s="711"/>
      <c r="Q20149" s="11"/>
      <c r="R20149" s="11"/>
      <c r="S20149" s="11"/>
      <c r="T20149" s="11"/>
    </row>
    <row r="20150" spans="8:20" x14ac:dyDescent="0.35">
      <c r="H20150" s="711"/>
      <c r="I20150" s="711"/>
      <c r="J20150" s="711"/>
      <c r="K20150" s="711"/>
      <c r="L20150" s="711"/>
      <c r="Q20150" s="11"/>
      <c r="R20150" s="11"/>
      <c r="S20150" s="11"/>
      <c r="T20150" s="11"/>
    </row>
    <row r="20151" spans="8:20" x14ac:dyDescent="0.35">
      <c r="H20151" s="711"/>
      <c r="I20151" s="711"/>
      <c r="J20151" s="711"/>
      <c r="K20151" s="711"/>
      <c r="L20151" s="711"/>
      <c r="Q20151" s="11"/>
      <c r="R20151" s="11"/>
      <c r="S20151" s="11"/>
      <c r="T20151" s="11"/>
    </row>
    <row r="20152" spans="8:20" x14ac:dyDescent="0.35">
      <c r="H20152" s="711"/>
      <c r="I20152" s="711"/>
      <c r="J20152" s="711"/>
      <c r="K20152" s="711"/>
      <c r="L20152" s="711"/>
      <c r="Q20152" s="11"/>
      <c r="R20152" s="11"/>
      <c r="S20152" s="11"/>
      <c r="T20152" s="11"/>
    </row>
    <row r="20153" spans="8:20" x14ac:dyDescent="0.35">
      <c r="H20153" s="711"/>
      <c r="I20153" s="711"/>
      <c r="J20153" s="711"/>
      <c r="K20153" s="711"/>
      <c r="L20153" s="711"/>
      <c r="Q20153" s="11"/>
      <c r="R20153" s="11"/>
      <c r="S20153" s="11"/>
      <c r="T20153" s="11"/>
    </row>
    <row r="20154" spans="8:20" x14ac:dyDescent="0.35">
      <c r="H20154" s="711"/>
      <c r="I20154" s="711"/>
      <c r="J20154" s="711"/>
      <c r="K20154" s="711"/>
      <c r="L20154" s="711"/>
      <c r="Q20154" s="11"/>
      <c r="R20154" s="11"/>
      <c r="S20154" s="11"/>
      <c r="T20154" s="11"/>
    </row>
    <row r="20155" spans="8:20" x14ac:dyDescent="0.35">
      <c r="H20155" s="711"/>
      <c r="I20155" s="711"/>
      <c r="J20155" s="711"/>
      <c r="K20155" s="711"/>
      <c r="L20155" s="711"/>
      <c r="Q20155" s="11"/>
      <c r="R20155" s="11"/>
      <c r="S20155" s="11"/>
      <c r="T20155" s="11"/>
    </row>
    <row r="20156" spans="8:20" x14ac:dyDescent="0.35">
      <c r="H20156" s="711"/>
      <c r="I20156" s="711"/>
      <c r="J20156" s="711"/>
      <c r="K20156" s="711"/>
      <c r="L20156" s="711"/>
      <c r="Q20156" s="11"/>
      <c r="R20156" s="11"/>
      <c r="S20156" s="11"/>
      <c r="T20156" s="11"/>
    </row>
    <row r="20157" spans="8:20" x14ac:dyDescent="0.35">
      <c r="H20157" s="711"/>
      <c r="I20157" s="711"/>
      <c r="J20157" s="711"/>
      <c r="K20157" s="711"/>
      <c r="L20157" s="711"/>
      <c r="Q20157" s="11"/>
      <c r="R20157" s="11"/>
      <c r="S20157" s="11"/>
      <c r="T20157" s="11"/>
    </row>
    <row r="20158" spans="8:20" x14ac:dyDescent="0.35">
      <c r="H20158" s="711"/>
      <c r="I20158" s="711"/>
      <c r="J20158" s="711"/>
      <c r="K20158" s="711"/>
      <c r="L20158" s="711"/>
      <c r="Q20158" s="11"/>
      <c r="R20158" s="11"/>
      <c r="S20158" s="11"/>
      <c r="T20158" s="11"/>
    </row>
    <row r="20159" spans="8:20" x14ac:dyDescent="0.35">
      <c r="H20159" s="711"/>
      <c r="I20159" s="711"/>
      <c r="J20159" s="711"/>
      <c r="K20159" s="711"/>
      <c r="L20159" s="711"/>
      <c r="Q20159" s="11"/>
      <c r="R20159" s="11"/>
      <c r="S20159" s="11"/>
      <c r="T20159" s="11"/>
    </row>
    <row r="20160" spans="8:20" x14ac:dyDescent="0.35">
      <c r="H20160" s="711"/>
      <c r="I20160" s="711"/>
      <c r="J20160" s="711"/>
      <c r="K20160" s="711"/>
      <c r="L20160" s="711"/>
      <c r="Q20160" s="11"/>
      <c r="R20160" s="11"/>
      <c r="S20160" s="11"/>
      <c r="T20160" s="11"/>
    </row>
    <row r="20161" spans="8:20" x14ac:dyDescent="0.35">
      <c r="H20161" s="711"/>
      <c r="I20161" s="711"/>
      <c r="J20161" s="711"/>
      <c r="K20161" s="711"/>
      <c r="L20161" s="711"/>
      <c r="Q20161" s="11"/>
      <c r="R20161" s="11"/>
      <c r="S20161" s="11"/>
      <c r="T20161" s="11"/>
    </row>
    <row r="20162" spans="8:20" x14ac:dyDescent="0.35">
      <c r="H20162" s="711"/>
      <c r="I20162" s="711"/>
      <c r="J20162" s="711"/>
      <c r="K20162" s="711"/>
      <c r="L20162" s="711"/>
      <c r="Q20162" s="11"/>
      <c r="R20162" s="11"/>
      <c r="S20162" s="11"/>
      <c r="T20162" s="11"/>
    </row>
    <row r="20163" spans="8:20" x14ac:dyDescent="0.35">
      <c r="H20163" s="711"/>
      <c r="I20163" s="711"/>
      <c r="J20163" s="711"/>
      <c r="K20163" s="711"/>
      <c r="L20163" s="711"/>
      <c r="Q20163" s="11"/>
      <c r="R20163" s="11"/>
      <c r="S20163" s="11"/>
      <c r="T20163" s="11"/>
    </row>
    <row r="20164" spans="8:20" x14ac:dyDescent="0.35">
      <c r="H20164" s="711"/>
      <c r="I20164" s="711"/>
      <c r="J20164" s="711"/>
      <c r="K20164" s="711"/>
      <c r="L20164" s="711"/>
      <c r="Q20164" s="11"/>
      <c r="R20164" s="11"/>
      <c r="S20164" s="11"/>
      <c r="T20164" s="11"/>
    </row>
    <row r="20165" spans="8:20" x14ac:dyDescent="0.35">
      <c r="H20165" s="711"/>
      <c r="I20165" s="711"/>
      <c r="J20165" s="711"/>
      <c r="K20165" s="711"/>
      <c r="L20165" s="711"/>
      <c r="Q20165" s="11"/>
      <c r="R20165" s="11"/>
      <c r="S20165" s="11"/>
      <c r="T20165" s="11"/>
    </row>
    <row r="20166" spans="8:20" x14ac:dyDescent="0.35">
      <c r="H20166" s="711"/>
      <c r="I20166" s="711"/>
      <c r="J20166" s="711"/>
      <c r="K20166" s="711"/>
      <c r="L20166" s="711"/>
      <c r="Q20166" s="11"/>
      <c r="R20166" s="11"/>
      <c r="S20166" s="11"/>
      <c r="T20166" s="11"/>
    </row>
    <row r="20167" spans="8:20" x14ac:dyDescent="0.35">
      <c r="H20167" s="711"/>
      <c r="I20167" s="711"/>
      <c r="J20167" s="711"/>
      <c r="K20167" s="711"/>
      <c r="L20167" s="711"/>
      <c r="Q20167" s="11"/>
      <c r="R20167" s="11"/>
      <c r="S20167" s="11"/>
      <c r="T20167" s="11"/>
    </row>
    <row r="20168" spans="8:20" x14ac:dyDescent="0.35">
      <c r="H20168" s="711"/>
      <c r="I20168" s="711"/>
      <c r="J20168" s="711"/>
      <c r="K20168" s="711"/>
      <c r="L20168" s="711"/>
      <c r="Q20168" s="11"/>
      <c r="R20168" s="11"/>
      <c r="S20168" s="11"/>
      <c r="T20168" s="11"/>
    </row>
    <row r="20169" spans="8:20" x14ac:dyDescent="0.35">
      <c r="H20169" s="711"/>
      <c r="I20169" s="711"/>
      <c r="J20169" s="711"/>
      <c r="K20169" s="711"/>
      <c r="L20169" s="711"/>
      <c r="Q20169" s="11"/>
      <c r="R20169" s="11"/>
      <c r="S20169" s="11"/>
      <c r="T20169" s="11"/>
    </row>
    <row r="20170" spans="8:20" x14ac:dyDescent="0.35">
      <c r="H20170" s="711"/>
      <c r="I20170" s="711"/>
      <c r="J20170" s="711"/>
      <c r="K20170" s="711"/>
      <c r="L20170" s="711"/>
      <c r="Q20170" s="11"/>
      <c r="R20170" s="11"/>
      <c r="S20170" s="11"/>
      <c r="T20170" s="11"/>
    </row>
    <row r="20171" spans="8:20" x14ac:dyDescent="0.35">
      <c r="H20171" s="711"/>
      <c r="I20171" s="711"/>
      <c r="J20171" s="711"/>
      <c r="K20171" s="711"/>
      <c r="L20171" s="711"/>
      <c r="Q20171" s="11"/>
      <c r="R20171" s="11"/>
      <c r="S20171" s="11"/>
      <c r="T20171" s="11"/>
    </row>
    <row r="20172" spans="8:20" x14ac:dyDescent="0.35">
      <c r="H20172" s="711"/>
      <c r="I20172" s="711"/>
      <c r="J20172" s="711"/>
      <c r="K20172" s="711"/>
      <c r="L20172" s="711"/>
      <c r="Q20172" s="11"/>
      <c r="R20172" s="11"/>
      <c r="S20172" s="11"/>
      <c r="T20172" s="11"/>
    </row>
    <row r="20173" spans="8:20" x14ac:dyDescent="0.35">
      <c r="H20173" s="711"/>
      <c r="I20173" s="711"/>
      <c r="J20173" s="711"/>
      <c r="K20173" s="711"/>
      <c r="L20173" s="711"/>
      <c r="Q20173" s="11"/>
      <c r="R20173" s="11"/>
      <c r="S20173" s="11"/>
      <c r="T20173" s="11"/>
    </row>
    <row r="20174" spans="8:20" x14ac:dyDescent="0.35">
      <c r="H20174" s="711"/>
      <c r="I20174" s="711"/>
      <c r="J20174" s="711"/>
      <c r="K20174" s="711"/>
      <c r="L20174" s="711"/>
      <c r="Q20174" s="11"/>
      <c r="R20174" s="11"/>
      <c r="S20174" s="11"/>
      <c r="T20174" s="11"/>
    </row>
    <row r="20175" spans="8:20" x14ac:dyDescent="0.35">
      <c r="H20175" s="711"/>
      <c r="I20175" s="711"/>
      <c r="J20175" s="711"/>
      <c r="K20175" s="711"/>
      <c r="L20175" s="711"/>
      <c r="Q20175" s="11"/>
      <c r="R20175" s="11"/>
      <c r="S20175" s="11"/>
      <c r="T20175" s="11"/>
    </row>
    <row r="20176" spans="8:20" x14ac:dyDescent="0.35">
      <c r="H20176" s="711"/>
      <c r="I20176" s="711"/>
      <c r="J20176" s="711"/>
      <c r="K20176" s="711"/>
      <c r="L20176" s="711"/>
      <c r="Q20176" s="11"/>
      <c r="R20176" s="11"/>
      <c r="S20176" s="11"/>
      <c r="T20176" s="11"/>
    </row>
    <row r="20177" spans="8:20" x14ac:dyDescent="0.35">
      <c r="H20177" s="711"/>
      <c r="I20177" s="711"/>
      <c r="J20177" s="711"/>
      <c r="K20177" s="711"/>
      <c r="L20177" s="711"/>
      <c r="Q20177" s="11"/>
      <c r="R20177" s="11"/>
      <c r="S20177" s="11"/>
      <c r="T20177" s="11"/>
    </row>
    <row r="20178" spans="8:20" x14ac:dyDescent="0.35">
      <c r="H20178" s="711"/>
      <c r="I20178" s="711"/>
      <c r="J20178" s="711"/>
      <c r="K20178" s="711"/>
      <c r="L20178" s="711"/>
      <c r="Q20178" s="11"/>
      <c r="R20178" s="11"/>
      <c r="S20178" s="11"/>
      <c r="T20178" s="11"/>
    </row>
    <row r="20179" spans="8:20" x14ac:dyDescent="0.35">
      <c r="H20179" s="711"/>
      <c r="I20179" s="711"/>
      <c r="J20179" s="711"/>
      <c r="K20179" s="711"/>
      <c r="L20179" s="711"/>
      <c r="Q20179" s="11"/>
      <c r="R20179" s="11"/>
      <c r="S20179" s="11"/>
      <c r="T20179" s="11"/>
    </row>
    <row r="20180" spans="8:20" x14ac:dyDescent="0.35">
      <c r="H20180" s="711"/>
      <c r="I20180" s="711"/>
      <c r="J20180" s="711"/>
      <c r="K20180" s="711"/>
      <c r="L20180" s="711"/>
      <c r="Q20180" s="11"/>
      <c r="R20180" s="11"/>
      <c r="S20180" s="11"/>
      <c r="T20180" s="11"/>
    </row>
    <row r="20181" spans="8:20" x14ac:dyDescent="0.35">
      <c r="H20181" s="711"/>
      <c r="I20181" s="711"/>
      <c r="J20181" s="711"/>
      <c r="K20181" s="711"/>
      <c r="L20181" s="711"/>
      <c r="Q20181" s="11"/>
      <c r="R20181" s="11"/>
      <c r="S20181" s="11"/>
      <c r="T20181" s="11"/>
    </row>
    <row r="20182" spans="8:20" x14ac:dyDescent="0.35">
      <c r="H20182" s="711"/>
      <c r="I20182" s="711"/>
      <c r="J20182" s="711"/>
      <c r="K20182" s="711"/>
      <c r="L20182" s="711"/>
      <c r="Q20182" s="11"/>
      <c r="R20182" s="11"/>
      <c r="S20182" s="11"/>
      <c r="T20182" s="11"/>
    </row>
    <row r="20183" spans="8:20" x14ac:dyDescent="0.35">
      <c r="H20183" s="711"/>
      <c r="I20183" s="711"/>
      <c r="J20183" s="711"/>
      <c r="K20183" s="711"/>
      <c r="L20183" s="711"/>
      <c r="Q20183" s="11"/>
      <c r="R20183" s="11"/>
      <c r="S20183" s="11"/>
      <c r="T20183" s="11"/>
    </row>
    <row r="20184" spans="8:20" x14ac:dyDescent="0.35">
      <c r="H20184" s="711"/>
      <c r="I20184" s="711"/>
      <c r="J20184" s="711"/>
      <c r="K20184" s="711"/>
      <c r="L20184" s="711"/>
      <c r="Q20184" s="11"/>
      <c r="R20184" s="11"/>
      <c r="S20184" s="11"/>
      <c r="T20184" s="11"/>
    </row>
    <row r="20185" spans="8:20" x14ac:dyDescent="0.35">
      <c r="H20185" s="711"/>
      <c r="I20185" s="711"/>
      <c r="J20185" s="711"/>
      <c r="K20185" s="711"/>
      <c r="L20185" s="711"/>
      <c r="Q20185" s="11"/>
      <c r="R20185" s="11"/>
      <c r="S20185" s="11"/>
      <c r="T20185" s="11"/>
    </row>
    <row r="20186" spans="8:20" x14ac:dyDescent="0.35">
      <c r="H20186" s="711"/>
      <c r="I20186" s="711"/>
      <c r="J20186" s="711"/>
      <c r="K20186" s="711"/>
      <c r="L20186" s="711"/>
      <c r="Q20186" s="11"/>
      <c r="R20186" s="11"/>
      <c r="S20186" s="11"/>
      <c r="T20186" s="11"/>
    </row>
    <row r="20187" spans="8:20" x14ac:dyDescent="0.35">
      <c r="H20187" s="711"/>
      <c r="I20187" s="711"/>
      <c r="J20187" s="711"/>
      <c r="K20187" s="711"/>
      <c r="L20187" s="711"/>
      <c r="Q20187" s="11"/>
      <c r="R20187" s="11"/>
      <c r="S20187" s="11"/>
      <c r="T20187" s="11"/>
    </row>
    <row r="20188" spans="8:20" x14ac:dyDescent="0.35">
      <c r="H20188" s="711"/>
      <c r="I20188" s="711"/>
      <c r="J20188" s="711"/>
      <c r="K20188" s="711"/>
      <c r="L20188" s="711"/>
      <c r="Q20188" s="11"/>
      <c r="R20188" s="11"/>
      <c r="S20188" s="11"/>
      <c r="T20188" s="11"/>
    </row>
    <row r="20189" spans="8:20" x14ac:dyDescent="0.35">
      <c r="H20189" s="711"/>
      <c r="I20189" s="711"/>
      <c r="J20189" s="711"/>
      <c r="K20189" s="711"/>
      <c r="L20189" s="711"/>
      <c r="Q20189" s="11"/>
      <c r="R20189" s="11"/>
      <c r="S20189" s="11"/>
      <c r="T20189" s="11"/>
    </row>
    <row r="20190" spans="8:20" x14ac:dyDescent="0.35">
      <c r="H20190" s="711"/>
      <c r="I20190" s="711"/>
      <c r="J20190" s="711"/>
      <c r="K20190" s="711"/>
      <c r="L20190" s="711"/>
      <c r="Q20190" s="11"/>
      <c r="R20190" s="11"/>
      <c r="S20190" s="11"/>
      <c r="T20190" s="11"/>
    </row>
    <row r="20191" spans="8:20" x14ac:dyDescent="0.35">
      <c r="H20191" s="711"/>
      <c r="I20191" s="711"/>
      <c r="J20191" s="711"/>
      <c r="K20191" s="711"/>
      <c r="L20191" s="711"/>
      <c r="Q20191" s="11"/>
      <c r="R20191" s="11"/>
      <c r="S20191" s="11"/>
      <c r="T20191" s="11"/>
    </row>
    <row r="20192" spans="8:20" x14ac:dyDescent="0.35">
      <c r="H20192" s="711"/>
      <c r="I20192" s="711"/>
      <c r="J20192" s="711"/>
      <c r="K20192" s="711"/>
      <c r="L20192" s="711"/>
      <c r="Q20192" s="11"/>
      <c r="R20192" s="11"/>
      <c r="S20192" s="11"/>
      <c r="T20192" s="11"/>
    </row>
    <row r="20193" spans="8:20" x14ac:dyDescent="0.35">
      <c r="H20193" s="711"/>
      <c r="I20193" s="711"/>
      <c r="J20193" s="711"/>
      <c r="K20193" s="711"/>
      <c r="L20193" s="711"/>
      <c r="Q20193" s="11"/>
      <c r="R20193" s="11"/>
      <c r="S20193" s="11"/>
      <c r="T20193" s="11"/>
    </row>
    <row r="20194" spans="8:20" x14ac:dyDescent="0.35">
      <c r="H20194" s="711"/>
      <c r="I20194" s="711"/>
      <c r="J20194" s="711"/>
      <c r="K20194" s="711"/>
      <c r="L20194" s="711"/>
      <c r="Q20194" s="11"/>
      <c r="R20194" s="11"/>
      <c r="S20194" s="11"/>
      <c r="T20194" s="11"/>
    </row>
    <row r="20195" spans="8:20" x14ac:dyDescent="0.35">
      <c r="H20195" s="711"/>
      <c r="I20195" s="711"/>
      <c r="J20195" s="711"/>
      <c r="K20195" s="711"/>
      <c r="L20195" s="711"/>
      <c r="Q20195" s="11"/>
      <c r="R20195" s="11"/>
      <c r="S20195" s="11"/>
      <c r="T20195" s="11"/>
    </row>
    <row r="20196" spans="8:20" x14ac:dyDescent="0.35">
      <c r="H20196" s="711"/>
      <c r="I20196" s="711"/>
      <c r="J20196" s="711"/>
      <c r="K20196" s="711"/>
      <c r="L20196" s="711"/>
      <c r="Q20196" s="11"/>
      <c r="R20196" s="11"/>
      <c r="S20196" s="11"/>
      <c r="T20196" s="11"/>
    </row>
    <row r="20197" spans="8:20" x14ac:dyDescent="0.35">
      <c r="H20197" s="711"/>
      <c r="I20197" s="711"/>
      <c r="J20197" s="711"/>
      <c r="K20197" s="711"/>
      <c r="L20197" s="711"/>
      <c r="Q20197" s="11"/>
      <c r="R20197" s="11"/>
      <c r="S20197" s="11"/>
      <c r="T20197" s="11"/>
    </row>
    <row r="20198" spans="8:20" x14ac:dyDescent="0.35">
      <c r="H20198" s="711"/>
      <c r="I20198" s="711"/>
      <c r="J20198" s="711"/>
      <c r="K20198" s="711"/>
      <c r="L20198" s="711"/>
      <c r="Q20198" s="11"/>
      <c r="R20198" s="11"/>
      <c r="S20198" s="11"/>
      <c r="T20198" s="11"/>
    </row>
    <row r="20199" spans="8:20" x14ac:dyDescent="0.35">
      <c r="H20199" s="711"/>
      <c r="I20199" s="711"/>
      <c r="J20199" s="711"/>
      <c r="K20199" s="711"/>
      <c r="L20199" s="711"/>
      <c r="Q20199" s="11"/>
      <c r="R20199" s="11"/>
      <c r="S20199" s="11"/>
      <c r="T20199" s="11"/>
    </row>
    <row r="20200" spans="8:20" x14ac:dyDescent="0.35">
      <c r="H20200" s="711"/>
      <c r="I20200" s="711"/>
      <c r="J20200" s="711"/>
      <c r="K20200" s="711"/>
      <c r="L20200" s="711"/>
      <c r="Q20200" s="11"/>
      <c r="R20200" s="11"/>
      <c r="S20200" s="11"/>
      <c r="T20200" s="11"/>
    </row>
    <row r="20201" spans="8:20" x14ac:dyDescent="0.35">
      <c r="H20201" s="711"/>
      <c r="I20201" s="711"/>
      <c r="J20201" s="711"/>
      <c r="K20201" s="711"/>
      <c r="L20201" s="711"/>
      <c r="Q20201" s="11"/>
      <c r="R20201" s="11"/>
      <c r="S20201" s="11"/>
      <c r="T20201" s="11"/>
    </row>
    <row r="20202" spans="8:20" x14ac:dyDescent="0.35">
      <c r="H20202" s="711"/>
      <c r="I20202" s="711"/>
      <c r="J20202" s="711"/>
      <c r="K20202" s="711"/>
      <c r="L20202" s="711"/>
      <c r="Q20202" s="11"/>
      <c r="R20202" s="11"/>
      <c r="S20202" s="11"/>
      <c r="T20202" s="11"/>
    </row>
    <row r="20203" spans="8:20" x14ac:dyDescent="0.35">
      <c r="H20203" s="711"/>
      <c r="I20203" s="711"/>
      <c r="J20203" s="711"/>
      <c r="K20203" s="711"/>
      <c r="L20203" s="711"/>
      <c r="Q20203" s="11"/>
      <c r="R20203" s="11"/>
      <c r="S20203" s="11"/>
      <c r="T20203" s="11"/>
    </row>
    <row r="20204" spans="8:20" x14ac:dyDescent="0.35">
      <c r="H20204" s="711"/>
      <c r="I20204" s="711"/>
      <c r="J20204" s="711"/>
      <c r="K20204" s="711"/>
      <c r="L20204" s="711"/>
      <c r="Q20204" s="11"/>
      <c r="R20204" s="11"/>
      <c r="S20204" s="11"/>
      <c r="T20204" s="11"/>
    </row>
    <row r="20205" spans="8:20" x14ac:dyDescent="0.35">
      <c r="H20205" s="711"/>
      <c r="I20205" s="711"/>
      <c r="J20205" s="711"/>
      <c r="K20205" s="711"/>
      <c r="L20205" s="711"/>
      <c r="Q20205" s="11"/>
      <c r="R20205" s="11"/>
      <c r="S20205" s="11"/>
      <c r="T20205" s="11"/>
    </row>
    <row r="20206" spans="8:20" x14ac:dyDescent="0.35">
      <c r="H20206" s="711"/>
      <c r="I20206" s="711"/>
      <c r="J20206" s="711"/>
      <c r="K20206" s="711"/>
      <c r="L20206" s="711"/>
      <c r="Q20206" s="11"/>
      <c r="R20206" s="11"/>
      <c r="S20206" s="11"/>
      <c r="T20206" s="11"/>
    </row>
    <row r="20207" spans="8:20" x14ac:dyDescent="0.35">
      <c r="H20207" s="711"/>
      <c r="I20207" s="711"/>
      <c r="J20207" s="711"/>
      <c r="K20207" s="711"/>
      <c r="L20207" s="711"/>
      <c r="Q20207" s="11"/>
      <c r="R20207" s="11"/>
      <c r="S20207" s="11"/>
      <c r="T20207" s="11"/>
    </row>
    <row r="20208" spans="8:20" x14ac:dyDescent="0.35">
      <c r="H20208" s="711"/>
      <c r="I20208" s="711"/>
      <c r="J20208" s="711"/>
      <c r="K20208" s="711"/>
      <c r="L20208" s="711"/>
      <c r="Q20208" s="11"/>
      <c r="R20208" s="11"/>
      <c r="S20208" s="11"/>
      <c r="T20208" s="11"/>
    </row>
    <row r="20209" spans="8:20" x14ac:dyDescent="0.35">
      <c r="H20209" s="711"/>
      <c r="I20209" s="711"/>
      <c r="J20209" s="711"/>
      <c r="K20209" s="711"/>
      <c r="L20209" s="711"/>
      <c r="Q20209" s="11"/>
      <c r="R20209" s="11"/>
      <c r="S20209" s="11"/>
      <c r="T20209" s="11"/>
    </row>
    <row r="20210" spans="8:20" x14ac:dyDescent="0.35">
      <c r="H20210" s="711"/>
      <c r="I20210" s="711"/>
      <c r="J20210" s="711"/>
      <c r="K20210" s="711"/>
      <c r="L20210" s="711"/>
      <c r="Q20210" s="11"/>
      <c r="R20210" s="11"/>
      <c r="S20210" s="11"/>
      <c r="T20210" s="11"/>
    </row>
    <row r="20211" spans="8:20" x14ac:dyDescent="0.35">
      <c r="H20211" s="711"/>
      <c r="I20211" s="711"/>
      <c r="J20211" s="711"/>
      <c r="K20211" s="711"/>
      <c r="L20211" s="711"/>
      <c r="Q20211" s="11"/>
      <c r="R20211" s="11"/>
      <c r="S20211" s="11"/>
      <c r="T20211" s="11"/>
    </row>
    <row r="20212" spans="8:20" x14ac:dyDescent="0.35">
      <c r="H20212" s="711"/>
      <c r="I20212" s="711"/>
      <c r="J20212" s="711"/>
      <c r="K20212" s="711"/>
      <c r="L20212" s="711"/>
      <c r="Q20212" s="11"/>
      <c r="R20212" s="11"/>
      <c r="S20212" s="11"/>
      <c r="T20212" s="11"/>
    </row>
    <row r="20213" spans="8:20" x14ac:dyDescent="0.35">
      <c r="H20213" s="711"/>
      <c r="I20213" s="711"/>
      <c r="J20213" s="711"/>
      <c r="K20213" s="711"/>
      <c r="L20213" s="711"/>
      <c r="Q20213" s="11"/>
      <c r="R20213" s="11"/>
      <c r="S20213" s="11"/>
      <c r="T20213" s="11"/>
    </row>
    <row r="20214" spans="8:20" x14ac:dyDescent="0.35">
      <c r="H20214" s="711"/>
      <c r="I20214" s="711"/>
      <c r="J20214" s="711"/>
      <c r="K20214" s="711"/>
      <c r="L20214" s="711"/>
      <c r="Q20214" s="11"/>
      <c r="R20214" s="11"/>
      <c r="S20214" s="11"/>
      <c r="T20214" s="11"/>
    </row>
    <row r="20215" spans="8:20" x14ac:dyDescent="0.35">
      <c r="H20215" s="711"/>
      <c r="I20215" s="711"/>
      <c r="J20215" s="711"/>
      <c r="K20215" s="711"/>
      <c r="L20215" s="711"/>
      <c r="Q20215" s="11"/>
      <c r="R20215" s="11"/>
      <c r="S20215" s="11"/>
      <c r="T20215" s="11"/>
    </row>
    <row r="20216" spans="8:20" x14ac:dyDescent="0.35">
      <c r="H20216" s="711"/>
      <c r="I20216" s="711"/>
      <c r="J20216" s="711"/>
      <c r="K20216" s="711"/>
      <c r="L20216" s="711"/>
      <c r="Q20216" s="11"/>
      <c r="R20216" s="11"/>
      <c r="S20216" s="11"/>
      <c r="T20216" s="11"/>
    </row>
    <row r="20217" spans="8:20" x14ac:dyDescent="0.35">
      <c r="H20217" s="711"/>
      <c r="I20217" s="711"/>
      <c r="J20217" s="711"/>
      <c r="K20217" s="711"/>
      <c r="L20217" s="711"/>
      <c r="Q20217" s="11"/>
      <c r="R20217" s="11"/>
      <c r="S20217" s="11"/>
      <c r="T20217" s="11"/>
    </row>
    <row r="20218" spans="8:20" x14ac:dyDescent="0.35">
      <c r="H20218" s="711"/>
      <c r="I20218" s="711"/>
      <c r="J20218" s="711"/>
      <c r="K20218" s="711"/>
      <c r="L20218" s="711"/>
      <c r="Q20218" s="11"/>
      <c r="R20218" s="11"/>
      <c r="S20218" s="11"/>
      <c r="T20218" s="11"/>
    </row>
    <row r="20219" spans="8:20" x14ac:dyDescent="0.35">
      <c r="H20219" s="711"/>
      <c r="I20219" s="711"/>
      <c r="J20219" s="711"/>
      <c r="K20219" s="711"/>
      <c r="L20219" s="711"/>
      <c r="Q20219" s="11"/>
      <c r="R20219" s="11"/>
      <c r="S20219" s="11"/>
      <c r="T20219" s="11"/>
    </row>
    <row r="20220" spans="8:20" x14ac:dyDescent="0.35">
      <c r="H20220" s="711"/>
      <c r="I20220" s="711"/>
      <c r="J20220" s="711"/>
      <c r="K20220" s="711"/>
      <c r="L20220" s="711"/>
      <c r="Q20220" s="11"/>
      <c r="R20220" s="11"/>
      <c r="S20220" s="11"/>
      <c r="T20220" s="11"/>
    </row>
    <row r="20221" spans="8:20" x14ac:dyDescent="0.35">
      <c r="H20221" s="711"/>
      <c r="I20221" s="711"/>
      <c r="J20221" s="711"/>
      <c r="K20221" s="711"/>
      <c r="L20221" s="711"/>
      <c r="Q20221" s="11"/>
      <c r="R20221" s="11"/>
      <c r="S20221" s="11"/>
      <c r="T20221" s="11"/>
    </row>
    <row r="20222" spans="8:20" x14ac:dyDescent="0.35">
      <c r="H20222" s="711"/>
      <c r="I20222" s="711"/>
      <c r="J20222" s="711"/>
      <c r="K20222" s="711"/>
      <c r="L20222" s="711"/>
      <c r="Q20222" s="11"/>
      <c r="R20222" s="11"/>
      <c r="S20222" s="11"/>
      <c r="T20222" s="11"/>
    </row>
    <row r="20223" spans="8:20" x14ac:dyDescent="0.35">
      <c r="H20223" s="711"/>
      <c r="I20223" s="711"/>
      <c r="J20223" s="711"/>
      <c r="K20223" s="711"/>
      <c r="L20223" s="711"/>
      <c r="Q20223" s="11"/>
      <c r="R20223" s="11"/>
      <c r="S20223" s="11"/>
      <c r="T20223" s="11"/>
    </row>
    <row r="20224" spans="8:20" x14ac:dyDescent="0.35">
      <c r="H20224" s="711"/>
      <c r="I20224" s="711"/>
      <c r="J20224" s="711"/>
      <c r="K20224" s="711"/>
      <c r="L20224" s="711"/>
      <c r="Q20224" s="11"/>
      <c r="R20224" s="11"/>
      <c r="S20224" s="11"/>
      <c r="T20224" s="11"/>
    </row>
    <row r="20225" spans="8:20" x14ac:dyDescent="0.35">
      <c r="H20225" s="711"/>
      <c r="I20225" s="711"/>
      <c r="J20225" s="711"/>
      <c r="K20225" s="711"/>
      <c r="L20225" s="711"/>
      <c r="Q20225" s="11"/>
      <c r="R20225" s="11"/>
      <c r="S20225" s="11"/>
      <c r="T20225" s="11"/>
    </row>
    <row r="20226" spans="8:20" x14ac:dyDescent="0.35">
      <c r="H20226" s="711"/>
      <c r="I20226" s="711"/>
      <c r="J20226" s="711"/>
      <c r="K20226" s="711"/>
      <c r="L20226" s="711"/>
      <c r="Q20226" s="11"/>
      <c r="R20226" s="11"/>
      <c r="S20226" s="11"/>
      <c r="T20226" s="11"/>
    </row>
    <row r="20227" spans="8:20" x14ac:dyDescent="0.35">
      <c r="H20227" s="711"/>
      <c r="I20227" s="711"/>
      <c r="J20227" s="711"/>
      <c r="K20227" s="711"/>
      <c r="L20227" s="711"/>
      <c r="Q20227" s="11"/>
      <c r="R20227" s="11"/>
      <c r="S20227" s="11"/>
      <c r="T20227" s="11"/>
    </row>
    <row r="20228" spans="8:20" x14ac:dyDescent="0.35">
      <c r="H20228" s="711"/>
      <c r="I20228" s="711"/>
      <c r="J20228" s="711"/>
      <c r="K20228" s="711"/>
      <c r="L20228" s="711"/>
      <c r="Q20228" s="11"/>
      <c r="R20228" s="11"/>
      <c r="S20228" s="11"/>
      <c r="T20228" s="11"/>
    </row>
    <row r="20229" spans="8:20" x14ac:dyDescent="0.35">
      <c r="H20229" s="711"/>
      <c r="I20229" s="711"/>
      <c r="J20229" s="711"/>
      <c r="K20229" s="711"/>
      <c r="L20229" s="711"/>
      <c r="Q20229" s="11"/>
      <c r="R20229" s="11"/>
      <c r="S20229" s="11"/>
      <c r="T20229" s="11"/>
    </row>
    <row r="20230" spans="8:20" x14ac:dyDescent="0.35">
      <c r="H20230" s="711"/>
      <c r="I20230" s="711"/>
      <c r="J20230" s="711"/>
      <c r="K20230" s="711"/>
      <c r="L20230" s="711"/>
      <c r="Q20230" s="11"/>
      <c r="R20230" s="11"/>
      <c r="S20230" s="11"/>
      <c r="T20230" s="11"/>
    </row>
    <row r="20231" spans="8:20" x14ac:dyDescent="0.35">
      <c r="H20231" s="711"/>
      <c r="I20231" s="711"/>
      <c r="J20231" s="711"/>
      <c r="K20231" s="711"/>
      <c r="L20231" s="711"/>
      <c r="Q20231" s="11"/>
      <c r="R20231" s="11"/>
      <c r="S20231" s="11"/>
      <c r="T20231" s="11"/>
    </row>
    <row r="20232" spans="8:20" x14ac:dyDescent="0.35">
      <c r="H20232" s="711"/>
      <c r="I20232" s="711"/>
      <c r="J20232" s="711"/>
      <c r="K20232" s="711"/>
      <c r="L20232" s="711"/>
      <c r="Q20232" s="11"/>
      <c r="R20232" s="11"/>
      <c r="S20232" s="11"/>
      <c r="T20232" s="11"/>
    </row>
    <row r="20233" spans="8:20" x14ac:dyDescent="0.35">
      <c r="H20233" s="711"/>
      <c r="I20233" s="711"/>
      <c r="J20233" s="711"/>
      <c r="K20233" s="711"/>
      <c r="L20233" s="711"/>
      <c r="Q20233" s="11"/>
      <c r="R20233" s="11"/>
      <c r="S20233" s="11"/>
      <c r="T20233" s="11"/>
    </row>
    <row r="20234" spans="8:20" x14ac:dyDescent="0.35">
      <c r="H20234" s="711"/>
      <c r="I20234" s="711"/>
      <c r="J20234" s="711"/>
      <c r="K20234" s="711"/>
      <c r="L20234" s="711"/>
      <c r="Q20234" s="11"/>
      <c r="R20234" s="11"/>
      <c r="S20234" s="11"/>
      <c r="T20234" s="11"/>
    </row>
    <row r="20235" spans="8:20" x14ac:dyDescent="0.35">
      <c r="H20235" s="711"/>
      <c r="I20235" s="711"/>
      <c r="J20235" s="711"/>
      <c r="K20235" s="711"/>
      <c r="L20235" s="711"/>
      <c r="Q20235" s="11"/>
      <c r="R20235" s="11"/>
      <c r="S20235" s="11"/>
      <c r="T20235" s="11"/>
    </row>
    <row r="20236" spans="8:20" x14ac:dyDescent="0.35">
      <c r="H20236" s="711"/>
      <c r="I20236" s="711"/>
      <c r="J20236" s="711"/>
      <c r="K20236" s="711"/>
      <c r="L20236" s="711"/>
      <c r="Q20236" s="11"/>
      <c r="R20236" s="11"/>
      <c r="S20236" s="11"/>
      <c r="T20236" s="11"/>
    </row>
    <row r="20237" spans="8:20" x14ac:dyDescent="0.35">
      <c r="H20237" s="711"/>
      <c r="I20237" s="711"/>
      <c r="J20237" s="711"/>
      <c r="K20237" s="711"/>
      <c r="L20237" s="711"/>
      <c r="Q20237" s="11"/>
      <c r="R20237" s="11"/>
      <c r="S20237" s="11"/>
      <c r="T20237" s="11"/>
    </row>
    <row r="20238" spans="8:20" x14ac:dyDescent="0.35">
      <c r="H20238" s="711"/>
      <c r="I20238" s="711"/>
      <c r="J20238" s="711"/>
      <c r="K20238" s="711"/>
      <c r="L20238" s="711"/>
      <c r="Q20238" s="11"/>
      <c r="R20238" s="11"/>
      <c r="S20238" s="11"/>
      <c r="T20238" s="11"/>
    </row>
    <row r="20239" spans="8:20" x14ac:dyDescent="0.35">
      <c r="H20239" s="711"/>
      <c r="I20239" s="711"/>
      <c r="J20239" s="711"/>
      <c r="K20239" s="711"/>
      <c r="L20239" s="711"/>
      <c r="Q20239" s="11"/>
      <c r="R20239" s="11"/>
      <c r="S20239" s="11"/>
      <c r="T20239" s="11"/>
    </row>
    <row r="20240" spans="8:20" x14ac:dyDescent="0.35">
      <c r="H20240" s="711"/>
      <c r="I20240" s="711"/>
      <c r="J20240" s="711"/>
      <c r="K20240" s="711"/>
      <c r="L20240" s="711"/>
      <c r="Q20240" s="11"/>
      <c r="R20240" s="11"/>
      <c r="S20240" s="11"/>
      <c r="T20240" s="11"/>
    </row>
    <row r="20241" spans="8:20" x14ac:dyDescent="0.35">
      <c r="H20241" s="711"/>
      <c r="I20241" s="711"/>
      <c r="J20241" s="711"/>
      <c r="K20241" s="711"/>
      <c r="L20241" s="711"/>
      <c r="Q20241" s="11"/>
      <c r="R20241" s="11"/>
      <c r="S20241" s="11"/>
      <c r="T20241" s="11"/>
    </row>
    <row r="20242" spans="8:20" x14ac:dyDescent="0.35">
      <c r="H20242" s="711"/>
      <c r="I20242" s="711"/>
      <c r="J20242" s="711"/>
      <c r="K20242" s="711"/>
      <c r="L20242" s="711"/>
      <c r="Q20242" s="11"/>
      <c r="R20242" s="11"/>
      <c r="S20242" s="11"/>
      <c r="T20242" s="11"/>
    </row>
    <row r="20243" spans="8:20" x14ac:dyDescent="0.35">
      <c r="H20243" s="711"/>
      <c r="I20243" s="711"/>
      <c r="J20243" s="711"/>
      <c r="K20243" s="711"/>
      <c r="L20243" s="711"/>
      <c r="Q20243" s="11"/>
      <c r="R20243" s="11"/>
      <c r="S20243" s="11"/>
      <c r="T20243" s="11"/>
    </row>
    <row r="20244" spans="8:20" x14ac:dyDescent="0.35">
      <c r="H20244" s="711"/>
      <c r="I20244" s="711"/>
      <c r="J20244" s="711"/>
      <c r="K20244" s="711"/>
      <c r="L20244" s="711"/>
      <c r="Q20244" s="11"/>
      <c r="R20244" s="11"/>
      <c r="S20244" s="11"/>
      <c r="T20244" s="11"/>
    </row>
    <row r="20245" spans="8:20" x14ac:dyDescent="0.35">
      <c r="H20245" s="711"/>
      <c r="I20245" s="711"/>
      <c r="J20245" s="711"/>
      <c r="K20245" s="711"/>
      <c r="L20245" s="711"/>
      <c r="Q20245" s="11"/>
      <c r="R20245" s="11"/>
      <c r="S20245" s="11"/>
      <c r="T20245" s="11"/>
    </row>
    <row r="20246" spans="8:20" x14ac:dyDescent="0.35">
      <c r="H20246" s="711"/>
      <c r="I20246" s="711"/>
      <c r="J20246" s="711"/>
      <c r="K20246" s="711"/>
      <c r="L20246" s="711"/>
      <c r="Q20246" s="11"/>
      <c r="R20246" s="11"/>
      <c r="S20246" s="11"/>
      <c r="T20246" s="11"/>
    </row>
    <row r="20247" spans="8:20" x14ac:dyDescent="0.35">
      <c r="H20247" s="711"/>
      <c r="I20247" s="711"/>
      <c r="J20247" s="711"/>
      <c r="K20247" s="711"/>
      <c r="L20247" s="711"/>
      <c r="Q20247" s="11"/>
      <c r="R20247" s="11"/>
      <c r="S20247" s="11"/>
      <c r="T20247" s="11"/>
    </row>
    <row r="20248" spans="8:20" x14ac:dyDescent="0.35">
      <c r="H20248" s="711"/>
      <c r="I20248" s="711"/>
      <c r="J20248" s="711"/>
      <c r="K20248" s="711"/>
      <c r="L20248" s="711"/>
      <c r="Q20248" s="11"/>
      <c r="R20248" s="11"/>
      <c r="S20248" s="11"/>
      <c r="T20248" s="11"/>
    </row>
    <row r="20249" spans="8:20" x14ac:dyDescent="0.35">
      <c r="H20249" s="711"/>
      <c r="I20249" s="711"/>
      <c r="J20249" s="711"/>
      <c r="K20249" s="711"/>
      <c r="L20249" s="711"/>
      <c r="Q20249" s="11"/>
      <c r="R20249" s="11"/>
      <c r="S20249" s="11"/>
      <c r="T20249" s="11"/>
    </row>
    <row r="20250" spans="8:20" x14ac:dyDescent="0.35">
      <c r="H20250" s="711"/>
      <c r="I20250" s="711"/>
      <c r="J20250" s="711"/>
      <c r="K20250" s="711"/>
      <c r="L20250" s="711"/>
      <c r="Q20250" s="11"/>
      <c r="R20250" s="11"/>
      <c r="S20250" s="11"/>
      <c r="T20250" s="11"/>
    </row>
    <row r="20251" spans="8:20" x14ac:dyDescent="0.35">
      <c r="H20251" s="711"/>
      <c r="I20251" s="711"/>
      <c r="J20251" s="711"/>
      <c r="K20251" s="711"/>
      <c r="L20251" s="711"/>
      <c r="Q20251" s="11"/>
      <c r="R20251" s="11"/>
      <c r="S20251" s="11"/>
      <c r="T20251" s="11"/>
    </row>
    <row r="20252" spans="8:20" x14ac:dyDescent="0.35">
      <c r="H20252" s="711"/>
      <c r="I20252" s="711"/>
      <c r="J20252" s="711"/>
      <c r="K20252" s="711"/>
      <c r="L20252" s="711"/>
      <c r="Q20252" s="11"/>
      <c r="R20252" s="11"/>
      <c r="S20252" s="11"/>
      <c r="T20252" s="11"/>
    </row>
    <row r="20253" spans="8:20" x14ac:dyDescent="0.35">
      <c r="H20253" s="711"/>
      <c r="I20253" s="711"/>
      <c r="J20253" s="711"/>
      <c r="K20253" s="711"/>
      <c r="L20253" s="711"/>
      <c r="Q20253" s="11"/>
      <c r="R20253" s="11"/>
      <c r="S20253" s="11"/>
      <c r="T20253" s="11"/>
    </row>
    <row r="20254" spans="8:20" x14ac:dyDescent="0.35">
      <c r="H20254" s="711"/>
      <c r="I20254" s="711"/>
      <c r="J20254" s="711"/>
      <c r="K20254" s="711"/>
      <c r="L20254" s="711"/>
      <c r="Q20254" s="11"/>
      <c r="R20254" s="11"/>
      <c r="S20254" s="11"/>
      <c r="T20254" s="11"/>
    </row>
    <row r="20255" spans="8:20" x14ac:dyDescent="0.35">
      <c r="H20255" s="711"/>
      <c r="I20255" s="711"/>
      <c r="J20255" s="711"/>
      <c r="K20255" s="711"/>
      <c r="L20255" s="711"/>
      <c r="Q20255" s="11"/>
      <c r="R20255" s="11"/>
      <c r="S20255" s="11"/>
      <c r="T20255" s="11"/>
    </row>
    <row r="20256" spans="8:20" x14ac:dyDescent="0.35">
      <c r="H20256" s="711"/>
      <c r="I20256" s="711"/>
      <c r="J20256" s="711"/>
      <c r="K20256" s="711"/>
      <c r="L20256" s="711"/>
      <c r="Q20256" s="11"/>
      <c r="R20256" s="11"/>
      <c r="S20256" s="11"/>
      <c r="T20256" s="11"/>
    </row>
    <row r="20257" spans="8:20" x14ac:dyDescent="0.35">
      <c r="H20257" s="711"/>
      <c r="I20257" s="711"/>
      <c r="J20257" s="711"/>
      <c r="K20257" s="711"/>
      <c r="L20257" s="711"/>
      <c r="Q20257" s="11"/>
      <c r="R20257" s="11"/>
      <c r="S20257" s="11"/>
      <c r="T20257" s="11"/>
    </row>
    <row r="20258" spans="8:20" x14ac:dyDescent="0.35">
      <c r="H20258" s="711"/>
      <c r="I20258" s="711"/>
      <c r="J20258" s="711"/>
      <c r="K20258" s="711"/>
      <c r="L20258" s="711"/>
      <c r="Q20258" s="11"/>
      <c r="R20258" s="11"/>
      <c r="S20258" s="11"/>
      <c r="T20258" s="11"/>
    </row>
    <row r="20259" spans="8:20" x14ac:dyDescent="0.35">
      <c r="H20259" s="711"/>
      <c r="I20259" s="711"/>
      <c r="J20259" s="711"/>
      <c r="K20259" s="711"/>
      <c r="L20259" s="711"/>
      <c r="Q20259" s="11"/>
      <c r="R20259" s="11"/>
      <c r="S20259" s="11"/>
      <c r="T20259" s="11"/>
    </row>
    <row r="20260" spans="8:20" x14ac:dyDescent="0.35">
      <c r="H20260" s="711"/>
      <c r="I20260" s="711"/>
      <c r="J20260" s="711"/>
      <c r="K20260" s="711"/>
      <c r="L20260" s="711"/>
      <c r="Q20260" s="11"/>
      <c r="R20260" s="11"/>
      <c r="S20260" s="11"/>
      <c r="T20260" s="11"/>
    </row>
    <row r="20261" spans="8:20" x14ac:dyDescent="0.35">
      <c r="H20261" s="711"/>
      <c r="I20261" s="711"/>
      <c r="J20261" s="711"/>
      <c r="K20261" s="711"/>
      <c r="L20261" s="711"/>
      <c r="Q20261" s="11"/>
      <c r="R20261" s="11"/>
      <c r="S20261" s="11"/>
      <c r="T20261" s="11"/>
    </row>
    <row r="20262" spans="8:20" x14ac:dyDescent="0.35">
      <c r="H20262" s="711"/>
      <c r="I20262" s="711"/>
      <c r="J20262" s="711"/>
      <c r="K20262" s="711"/>
      <c r="L20262" s="711"/>
      <c r="Q20262" s="11"/>
      <c r="R20262" s="11"/>
      <c r="S20262" s="11"/>
      <c r="T20262" s="11"/>
    </row>
    <row r="20263" spans="8:20" x14ac:dyDescent="0.35">
      <c r="H20263" s="711"/>
      <c r="I20263" s="711"/>
      <c r="J20263" s="711"/>
      <c r="K20263" s="711"/>
      <c r="L20263" s="711"/>
      <c r="Q20263" s="11"/>
      <c r="R20263" s="11"/>
      <c r="S20263" s="11"/>
      <c r="T20263" s="11"/>
    </row>
    <row r="20264" spans="8:20" x14ac:dyDescent="0.35">
      <c r="H20264" s="711"/>
      <c r="I20264" s="711"/>
      <c r="J20264" s="711"/>
      <c r="K20264" s="711"/>
      <c r="L20264" s="711"/>
      <c r="Q20264" s="11"/>
      <c r="R20264" s="11"/>
      <c r="S20264" s="11"/>
      <c r="T20264" s="11"/>
    </row>
    <row r="20265" spans="8:20" x14ac:dyDescent="0.35">
      <c r="H20265" s="711"/>
      <c r="I20265" s="711"/>
      <c r="J20265" s="711"/>
      <c r="K20265" s="711"/>
      <c r="L20265" s="711"/>
      <c r="Q20265" s="11"/>
      <c r="R20265" s="11"/>
      <c r="S20265" s="11"/>
      <c r="T20265" s="11"/>
    </row>
    <row r="20266" spans="8:20" x14ac:dyDescent="0.35">
      <c r="H20266" s="711"/>
      <c r="I20266" s="711"/>
      <c r="J20266" s="711"/>
      <c r="K20266" s="711"/>
      <c r="L20266" s="711"/>
      <c r="Q20266" s="11"/>
      <c r="R20266" s="11"/>
      <c r="S20266" s="11"/>
      <c r="T20266" s="11"/>
    </row>
    <row r="20267" spans="8:20" x14ac:dyDescent="0.35">
      <c r="H20267" s="711"/>
      <c r="I20267" s="711"/>
      <c r="J20267" s="711"/>
      <c r="K20267" s="711"/>
      <c r="L20267" s="711"/>
      <c r="Q20267" s="11"/>
      <c r="R20267" s="11"/>
      <c r="S20267" s="11"/>
      <c r="T20267" s="11"/>
    </row>
    <row r="20268" spans="8:20" x14ac:dyDescent="0.35">
      <c r="H20268" s="711"/>
      <c r="I20268" s="711"/>
      <c r="J20268" s="711"/>
      <c r="K20268" s="711"/>
      <c r="L20268" s="711"/>
      <c r="Q20268" s="11"/>
      <c r="R20268" s="11"/>
      <c r="S20268" s="11"/>
      <c r="T20268" s="11"/>
    </row>
    <row r="20269" spans="8:20" x14ac:dyDescent="0.35">
      <c r="H20269" s="711"/>
      <c r="I20269" s="711"/>
      <c r="J20269" s="711"/>
      <c r="K20269" s="711"/>
      <c r="L20269" s="711"/>
      <c r="Q20269" s="11"/>
      <c r="R20269" s="11"/>
      <c r="S20269" s="11"/>
      <c r="T20269" s="11"/>
    </row>
    <row r="20270" spans="8:20" x14ac:dyDescent="0.35">
      <c r="H20270" s="711"/>
      <c r="I20270" s="711"/>
      <c r="J20270" s="711"/>
      <c r="K20270" s="711"/>
      <c r="L20270" s="711"/>
      <c r="Q20270" s="11"/>
      <c r="R20270" s="11"/>
      <c r="S20270" s="11"/>
      <c r="T20270" s="11"/>
    </row>
    <row r="20271" spans="8:20" x14ac:dyDescent="0.35">
      <c r="H20271" s="711"/>
      <c r="I20271" s="711"/>
      <c r="J20271" s="711"/>
      <c r="K20271" s="711"/>
      <c r="L20271" s="711"/>
      <c r="Q20271" s="11"/>
      <c r="R20271" s="11"/>
      <c r="S20271" s="11"/>
      <c r="T20271" s="11"/>
    </row>
    <row r="20272" spans="8:20" x14ac:dyDescent="0.35">
      <c r="H20272" s="711"/>
      <c r="I20272" s="711"/>
      <c r="J20272" s="711"/>
      <c r="K20272" s="711"/>
      <c r="L20272" s="711"/>
      <c r="Q20272" s="11"/>
      <c r="R20272" s="11"/>
      <c r="S20272" s="11"/>
      <c r="T20272" s="11"/>
    </row>
    <row r="20273" spans="8:20" x14ac:dyDescent="0.35">
      <c r="H20273" s="711"/>
      <c r="I20273" s="711"/>
      <c r="J20273" s="711"/>
      <c r="K20273" s="711"/>
      <c r="L20273" s="711"/>
      <c r="Q20273" s="11"/>
      <c r="R20273" s="11"/>
      <c r="S20273" s="11"/>
      <c r="T20273" s="11"/>
    </row>
    <row r="20274" spans="8:20" x14ac:dyDescent="0.35">
      <c r="H20274" s="711"/>
      <c r="I20274" s="711"/>
      <c r="J20274" s="711"/>
      <c r="K20274" s="711"/>
      <c r="L20274" s="711"/>
      <c r="Q20274" s="11"/>
      <c r="R20274" s="11"/>
      <c r="S20274" s="11"/>
      <c r="T20274" s="11"/>
    </row>
    <row r="20275" spans="8:20" x14ac:dyDescent="0.35">
      <c r="H20275" s="711"/>
      <c r="I20275" s="711"/>
      <c r="J20275" s="711"/>
      <c r="K20275" s="711"/>
      <c r="L20275" s="711"/>
      <c r="Q20275" s="11"/>
      <c r="R20275" s="11"/>
      <c r="S20275" s="11"/>
      <c r="T20275" s="11"/>
    </row>
    <row r="20276" spans="8:20" x14ac:dyDescent="0.35">
      <c r="H20276" s="711"/>
      <c r="I20276" s="711"/>
      <c r="J20276" s="711"/>
      <c r="K20276" s="711"/>
      <c r="L20276" s="711"/>
      <c r="Q20276" s="11"/>
      <c r="R20276" s="11"/>
      <c r="S20276" s="11"/>
      <c r="T20276" s="11"/>
    </row>
    <row r="20277" spans="8:20" x14ac:dyDescent="0.35">
      <c r="H20277" s="711"/>
      <c r="I20277" s="711"/>
      <c r="J20277" s="711"/>
      <c r="K20277" s="711"/>
      <c r="L20277" s="711"/>
      <c r="Q20277" s="11"/>
      <c r="R20277" s="11"/>
      <c r="S20277" s="11"/>
      <c r="T20277" s="11"/>
    </row>
    <row r="20278" spans="8:20" x14ac:dyDescent="0.35">
      <c r="H20278" s="711"/>
      <c r="I20278" s="711"/>
      <c r="J20278" s="711"/>
      <c r="K20278" s="711"/>
      <c r="L20278" s="711"/>
      <c r="Q20278" s="11"/>
      <c r="R20278" s="11"/>
      <c r="S20278" s="11"/>
      <c r="T20278" s="11"/>
    </row>
    <row r="20279" spans="8:20" x14ac:dyDescent="0.35">
      <c r="H20279" s="711"/>
      <c r="I20279" s="711"/>
      <c r="J20279" s="711"/>
      <c r="K20279" s="711"/>
      <c r="L20279" s="711"/>
      <c r="Q20279" s="11"/>
      <c r="R20279" s="11"/>
      <c r="S20279" s="11"/>
      <c r="T20279" s="11"/>
    </row>
    <row r="20280" spans="8:20" x14ac:dyDescent="0.35">
      <c r="H20280" s="711"/>
      <c r="I20280" s="711"/>
      <c r="J20280" s="711"/>
      <c r="K20280" s="711"/>
      <c r="L20280" s="711"/>
      <c r="Q20280" s="11"/>
      <c r="R20280" s="11"/>
      <c r="S20280" s="11"/>
      <c r="T20280" s="11"/>
    </row>
    <row r="20281" spans="8:20" x14ac:dyDescent="0.35">
      <c r="H20281" s="711"/>
      <c r="I20281" s="711"/>
      <c r="J20281" s="711"/>
      <c r="K20281" s="711"/>
      <c r="L20281" s="711"/>
      <c r="Q20281" s="11"/>
      <c r="R20281" s="11"/>
      <c r="S20281" s="11"/>
      <c r="T20281" s="11"/>
    </row>
    <row r="20282" spans="8:20" x14ac:dyDescent="0.35">
      <c r="H20282" s="711"/>
      <c r="I20282" s="711"/>
      <c r="J20282" s="711"/>
      <c r="K20282" s="711"/>
      <c r="L20282" s="711"/>
      <c r="Q20282" s="11"/>
      <c r="R20282" s="11"/>
      <c r="S20282" s="11"/>
      <c r="T20282" s="11"/>
    </row>
    <row r="20283" spans="8:20" x14ac:dyDescent="0.35">
      <c r="H20283" s="711"/>
      <c r="I20283" s="711"/>
      <c r="J20283" s="711"/>
      <c r="K20283" s="711"/>
      <c r="L20283" s="711"/>
      <c r="Q20283" s="11"/>
      <c r="R20283" s="11"/>
      <c r="S20283" s="11"/>
      <c r="T20283" s="11"/>
    </row>
    <row r="20284" spans="8:20" x14ac:dyDescent="0.35">
      <c r="H20284" s="711"/>
      <c r="I20284" s="711"/>
      <c r="J20284" s="711"/>
      <c r="K20284" s="711"/>
      <c r="L20284" s="711"/>
      <c r="Q20284" s="11"/>
      <c r="R20284" s="11"/>
      <c r="S20284" s="11"/>
      <c r="T20284" s="11"/>
    </row>
    <row r="20285" spans="8:20" x14ac:dyDescent="0.35">
      <c r="H20285" s="711"/>
      <c r="I20285" s="711"/>
      <c r="J20285" s="711"/>
      <c r="K20285" s="711"/>
      <c r="L20285" s="711"/>
      <c r="Q20285" s="11"/>
      <c r="R20285" s="11"/>
      <c r="S20285" s="11"/>
      <c r="T20285" s="11"/>
    </row>
    <row r="20286" spans="8:20" x14ac:dyDescent="0.35">
      <c r="H20286" s="711"/>
      <c r="I20286" s="711"/>
      <c r="J20286" s="711"/>
      <c r="K20286" s="711"/>
      <c r="L20286" s="711"/>
      <c r="Q20286" s="11"/>
      <c r="R20286" s="11"/>
      <c r="S20286" s="11"/>
      <c r="T20286" s="11"/>
    </row>
    <row r="20287" spans="8:20" x14ac:dyDescent="0.35">
      <c r="H20287" s="711"/>
      <c r="I20287" s="711"/>
      <c r="J20287" s="711"/>
      <c r="K20287" s="711"/>
      <c r="L20287" s="711"/>
      <c r="Q20287" s="11"/>
      <c r="R20287" s="11"/>
      <c r="S20287" s="11"/>
      <c r="T20287" s="11"/>
    </row>
    <row r="20288" spans="8:20" x14ac:dyDescent="0.35">
      <c r="H20288" s="711"/>
      <c r="I20288" s="711"/>
      <c r="J20288" s="711"/>
      <c r="K20288" s="711"/>
      <c r="L20288" s="711"/>
      <c r="Q20288" s="11"/>
      <c r="R20288" s="11"/>
      <c r="S20288" s="11"/>
      <c r="T20288" s="11"/>
    </row>
    <row r="20289" spans="8:20" x14ac:dyDescent="0.35">
      <c r="H20289" s="711"/>
      <c r="I20289" s="711"/>
      <c r="J20289" s="711"/>
      <c r="K20289" s="711"/>
      <c r="L20289" s="711"/>
      <c r="Q20289" s="11"/>
      <c r="R20289" s="11"/>
      <c r="S20289" s="11"/>
      <c r="T20289" s="11"/>
    </row>
    <row r="20290" spans="8:20" x14ac:dyDescent="0.35">
      <c r="H20290" s="711"/>
      <c r="I20290" s="711"/>
      <c r="J20290" s="711"/>
      <c r="K20290" s="711"/>
      <c r="L20290" s="711"/>
      <c r="Q20290" s="11"/>
      <c r="R20290" s="11"/>
      <c r="S20290" s="11"/>
      <c r="T20290" s="11"/>
    </row>
    <row r="20291" spans="8:20" x14ac:dyDescent="0.35">
      <c r="H20291" s="711"/>
      <c r="I20291" s="711"/>
      <c r="J20291" s="711"/>
      <c r="K20291" s="711"/>
      <c r="L20291" s="711"/>
      <c r="Q20291" s="11"/>
      <c r="R20291" s="11"/>
      <c r="S20291" s="11"/>
      <c r="T20291" s="11"/>
    </row>
    <row r="20292" spans="8:20" x14ac:dyDescent="0.35">
      <c r="H20292" s="711"/>
      <c r="I20292" s="711"/>
      <c r="J20292" s="711"/>
      <c r="K20292" s="711"/>
      <c r="L20292" s="711"/>
      <c r="Q20292" s="11"/>
      <c r="R20292" s="11"/>
      <c r="S20292" s="11"/>
      <c r="T20292" s="11"/>
    </row>
    <row r="20293" spans="8:20" x14ac:dyDescent="0.35">
      <c r="H20293" s="711"/>
      <c r="I20293" s="711"/>
      <c r="J20293" s="711"/>
      <c r="K20293" s="711"/>
      <c r="L20293" s="711"/>
      <c r="Q20293" s="11"/>
      <c r="R20293" s="11"/>
      <c r="S20293" s="11"/>
      <c r="T20293" s="11"/>
    </row>
    <row r="20294" spans="8:20" x14ac:dyDescent="0.35">
      <c r="H20294" s="711"/>
      <c r="I20294" s="711"/>
      <c r="J20294" s="711"/>
      <c r="K20294" s="711"/>
      <c r="L20294" s="711"/>
      <c r="Q20294" s="11"/>
      <c r="R20294" s="11"/>
      <c r="S20294" s="11"/>
      <c r="T20294" s="11"/>
    </row>
    <row r="20295" spans="8:20" x14ac:dyDescent="0.35">
      <c r="H20295" s="711"/>
      <c r="I20295" s="711"/>
      <c r="J20295" s="711"/>
      <c r="K20295" s="711"/>
      <c r="L20295" s="711"/>
      <c r="Q20295" s="11"/>
      <c r="R20295" s="11"/>
      <c r="S20295" s="11"/>
      <c r="T20295" s="11"/>
    </row>
    <row r="20296" spans="8:20" x14ac:dyDescent="0.35">
      <c r="H20296" s="711"/>
      <c r="I20296" s="711"/>
      <c r="J20296" s="711"/>
      <c r="K20296" s="711"/>
      <c r="L20296" s="711"/>
      <c r="Q20296" s="11"/>
      <c r="R20296" s="11"/>
      <c r="S20296" s="11"/>
      <c r="T20296" s="11"/>
    </row>
    <row r="20297" spans="8:20" x14ac:dyDescent="0.35">
      <c r="H20297" s="711"/>
      <c r="I20297" s="711"/>
      <c r="J20297" s="711"/>
      <c r="K20297" s="711"/>
      <c r="L20297" s="711"/>
      <c r="Q20297" s="11"/>
      <c r="R20297" s="11"/>
      <c r="S20297" s="11"/>
      <c r="T20297" s="11"/>
    </row>
    <row r="20298" spans="8:20" x14ac:dyDescent="0.35">
      <c r="H20298" s="711"/>
      <c r="I20298" s="711"/>
      <c r="J20298" s="711"/>
      <c r="K20298" s="711"/>
      <c r="L20298" s="711"/>
      <c r="Q20298" s="11"/>
      <c r="R20298" s="11"/>
      <c r="S20298" s="11"/>
      <c r="T20298" s="11"/>
    </row>
    <row r="20299" spans="8:20" x14ac:dyDescent="0.35">
      <c r="H20299" s="711"/>
      <c r="I20299" s="711"/>
      <c r="J20299" s="711"/>
      <c r="K20299" s="711"/>
      <c r="L20299" s="711"/>
      <c r="Q20299" s="11"/>
      <c r="R20299" s="11"/>
      <c r="S20299" s="11"/>
      <c r="T20299" s="11"/>
    </row>
    <row r="20300" spans="8:20" x14ac:dyDescent="0.35">
      <c r="H20300" s="711"/>
      <c r="I20300" s="711"/>
      <c r="J20300" s="711"/>
      <c r="K20300" s="711"/>
      <c r="L20300" s="711"/>
      <c r="Q20300" s="11"/>
      <c r="R20300" s="11"/>
      <c r="S20300" s="11"/>
      <c r="T20300" s="11"/>
    </row>
    <row r="20301" spans="8:20" x14ac:dyDescent="0.35">
      <c r="H20301" s="711"/>
      <c r="I20301" s="711"/>
      <c r="J20301" s="711"/>
      <c r="K20301" s="711"/>
      <c r="L20301" s="711"/>
      <c r="Q20301" s="11"/>
      <c r="R20301" s="11"/>
      <c r="S20301" s="11"/>
      <c r="T20301" s="11"/>
    </row>
    <row r="20302" spans="8:20" x14ac:dyDescent="0.35">
      <c r="H20302" s="711"/>
      <c r="I20302" s="711"/>
      <c r="J20302" s="711"/>
      <c r="K20302" s="711"/>
      <c r="L20302" s="711"/>
      <c r="Q20302" s="11"/>
      <c r="R20302" s="11"/>
      <c r="S20302" s="11"/>
      <c r="T20302" s="11"/>
    </row>
    <row r="20303" spans="8:20" x14ac:dyDescent="0.35">
      <c r="H20303" s="711"/>
      <c r="I20303" s="711"/>
      <c r="J20303" s="711"/>
      <c r="K20303" s="711"/>
      <c r="L20303" s="711"/>
      <c r="Q20303" s="11"/>
      <c r="R20303" s="11"/>
      <c r="S20303" s="11"/>
      <c r="T20303" s="11"/>
    </row>
    <row r="20304" spans="8:20" x14ac:dyDescent="0.35">
      <c r="H20304" s="711"/>
      <c r="I20304" s="711"/>
      <c r="J20304" s="711"/>
      <c r="K20304" s="711"/>
      <c r="L20304" s="711"/>
      <c r="Q20304" s="11"/>
      <c r="R20304" s="11"/>
      <c r="S20304" s="11"/>
      <c r="T20304" s="11"/>
    </row>
    <row r="20305" spans="8:20" x14ac:dyDescent="0.35">
      <c r="H20305" s="711"/>
      <c r="I20305" s="711"/>
      <c r="J20305" s="711"/>
      <c r="K20305" s="711"/>
      <c r="L20305" s="711"/>
      <c r="Q20305" s="11"/>
      <c r="R20305" s="11"/>
      <c r="S20305" s="11"/>
      <c r="T20305" s="11"/>
    </row>
    <row r="20306" spans="8:20" x14ac:dyDescent="0.35">
      <c r="H20306" s="711"/>
      <c r="I20306" s="711"/>
      <c r="J20306" s="711"/>
      <c r="K20306" s="711"/>
      <c r="L20306" s="711"/>
      <c r="Q20306" s="11"/>
      <c r="R20306" s="11"/>
      <c r="S20306" s="11"/>
      <c r="T20306" s="11"/>
    </row>
    <row r="20307" spans="8:20" x14ac:dyDescent="0.35">
      <c r="H20307" s="711"/>
      <c r="I20307" s="711"/>
      <c r="J20307" s="711"/>
      <c r="K20307" s="711"/>
      <c r="L20307" s="711"/>
      <c r="Q20307" s="11"/>
      <c r="R20307" s="11"/>
      <c r="S20307" s="11"/>
      <c r="T20307" s="11"/>
    </row>
    <row r="20308" spans="8:20" x14ac:dyDescent="0.35">
      <c r="H20308" s="711"/>
      <c r="I20308" s="711"/>
      <c r="J20308" s="711"/>
      <c r="K20308" s="711"/>
      <c r="L20308" s="711"/>
      <c r="Q20308" s="11"/>
      <c r="R20308" s="11"/>
      <c r="S20308" s="11"/>
      <c r="T20308" s="11"/>
    </row>
    <row r="20309" spans="8:20" x14ac:dyDescent="0.35">
      <c r="H20309" s="711"/>
      <c r="I20309" s="711"/>
      <c r="J20309" s="711"/>
      <c r="K20309" s="711"/>
      <c r="L20309" s="711"/>
      <c r="Q20309" s="11"/>
      <c r="R20309" s="11"/>
      <c r="S20309" s="11"/>
      <c r="T20309" s="11"/>
    </row>
    <row r="20310" spans="8:20" x14ac:dyDescent="0.35">
      <c r="H20310" s="711"/>
      <c r="I20310" s="711"/>
      <c r="J20310" s="711"/>
      <c r="K20310" s="711"/>
      <c r="L20310" s="711"/>
      <c r="Q20310" s="11"/>
      <c r="R20310" s="11"/>
      <c r="S20310" s="11"/>
      <c r="T20310" s="11"/>
    </row>
    <row r="20311" spans="8:20" x14ac:dyDescent="0.35">
      <c r="H20311" s="711"/>
      <c r="I20311" s="711"/>
      <c r="J20311" s="711"/>
      <c r="K20311" s="711"/>
      <c r="L20311" s="711"/>
      <c r="Q20311" s="11"/>
      <c r="R20311" s="11"/>
      <c r="S20311" s="11"/>
      <c r="T20311" s="11"/>
    </row>
    <row r="20312" spans="8:20" x14ac:dyDescent="0.35">
      <c r="H20312" s="711"/>
      <c r="I20312" s="711"/>
      <c r="J20312" s="711"/>
      <c r="K20312" s="711"/>
      <c r="L20312" s="711"/>
      <c r="Q20312" s="11"/>
      <c r="R20312" s="11"/>
      <c r="S20312" s="11"/>
      <c r="T20312" s="11"/>
    </row>
    <row r="20313" spans="8:20" x14ac:dyDescent="0.35">
      <c r="H20313" s="711"/>
      <c r="I20313" s="711"/>
      <c r="J20313" s="711"/>
      <c r="K20313" s="711"/>
      <c r="L20313" s="711"/>
      <c r="Q20313" s="11"/>
      <c r="R20313" s="11"/>
      <c r="S20313" s="11"/>
      <c r="T20313" s="11"/>
    </row>
    <row r="20314" spans="8:20" x14ac:dyDescent="0.35">
      <c r="H20314" s="711"/>
      <c r="I20314" s="711"/>
      <c r="J20314" s="711"/>
      <c r="K20314" s="711"/>
      <c r="L20314" s="711"/>
      <c r="Q20314" s="11"/>
      <c r="R20314" s="11"/>
      <c r="S20314" s="11"/>
      <c r="T20314" s="11"/>
    </row>
    <row r="20315" spans="8:20" x14ac:dyDescent="0.35">
      <c r="H20315" s="711"/>
      <c r="I20315" s="711"/>
      <c r="J20315" s="711"/>
      <c r="K20315" s="711"/>
      <c r="L20315" s="711"/>
      <c r="Q20315" s="11"/>
      <c r="R20315" s="11"/>
      <c r="S20315" s="11"/>
      <c r="T20315" s="11"/>
    </row>
    <row r="20316" spans="8:20" x14ac:dyDescent="0.35">
      <c r="H20316" s="711"/>
      <c r="I20316" s="711"/>
      <c r="J20316" s="711"/>
      <c r="K20316" s="711"/>
      <c r="L20316" s="711"/>
      <c r="Q20316" s="11"/>
      <c r="R20316" s="11"/>
      <c r="S20316" s="11"/>
      <c r="T20316" s="11"/>
    </row>
    <row r="20317" spans="8:20" x14ac:dyDescent="0.35">
      <c r="H20317" s="711"/>
      <c r="I20317" s="711"/>
      <c r="J20317" s="711"/>
      <c r="K20317" s="711"/>
      <c r="L20317" s="711"/>
      <c r="Q20317" s="11"/>
      <c r="R20317" s="11"/>
      <c r="S20317" s="11"/>
      <c r="T20317" s="11"/>
    </row>
    <row r="20318" spans="8:20" x14ac:dyDescent="0.35">
      <c r="H20318" s="711"/>
      <c r="I20318" s="711"/>
      <c r="J20318" s="711"/>
      <c r="K20318" s="711"/>
      <c r="L20318" s="711"/>
      <c r="Q20318" s="11"/>
      <c r="R20318" s="11"/>
      <c r="S20318" s="11"/>
      <c r="T20318" s="11"/>
    </row>
    <row r="20319" spans="8:20" x14ac:dyDescent="0.35">
      <c r="H20319" s="711"/>
      <c r="I20319" s="711"/>
      <c r="J20319" s="711"/>
      <c r="K20319" s="711"/>
      <c r="L20319" s="711"/>
      <c r="Q20319" s="11"/>
      <c r="R20319" s="11"/>
      <c r="S20319" s="11"/>
      <c r="T20319" s="11"/>
    </row>
    <row r="20320" spans="8:20" x14ac:dyDescent="0.35">
      <c r="H20320" s="711"/>
      <c r="I20320" s="711"/>
      <c r="J20320" s="711"/>
      <c r="K20320" s="711"/>
      <c r="L20320" s="711"/>
      <c r="Q20320" s="11"/>
      <c r="R20320" s="11"/>
      <c r="S20320" s="11"/>
      <c r="T20320" s="11"/>
    </row>
    <row r="20321" spans="8:20" x14ac:dyDescent="0.35">
      <c r="H20321" s="711"/>
      <c r="I20321" s="711"/>
      <c r="J20321" s="711"/>
      <c r="K20321" s="711"/>
      <c r="L20321" s="711"/>
      <c r="Q20321" s="11"/>
      <c r="R20321" s="11"/>
      <c r="S20321" s="11"/>
      <c r="T20321" s="11"/>
    </row>
    <row r="20322" spans="8:20" x14ac:dyDescent="0.35">
      <c r="H20322" s="711"/>
      <c r="I20322" s="711"/>
      <c r="J20322" s="711"/>
      <c r="K20322" s="711"/>
      <c r="L20322" s="711"/>
      <c r="Q20322" s="11"/>
      <c r="R20322" s="11"/>
      <c r="S20322" s="11"/>
      <c r="T20322" s="11"/>
    </row>
    <row r="20323" spans="8:20" x14ac:dyDescent="0.35">
      <c r="H20323" s="711"/>
      <c r="I20323" s="711"/>
      <c r="J20323" s="711"/>
      <c r="K20323" s="711"/>
      <c r="L20323" s="711"/>
      <c r="Q20323" s="11"/>
      <c r="R20323" s="11"/>
      <c r="S20323" s="11"/>
      <c r="T20323" s="11"/>
    </row>
    <row r="20324" spans="8:20" x14ac:dyDescent="0.35">
      <c r="H20324" s="711"/>
      <c r="I20324" s="711"/>
      <c r="J20324" s="711"/>
      <c r="K20324" s="711"/>
      <c r="L20324" s="711"/>
      <c r="Q20324" s="11"/>
      <c r="R20324" s="11"/>
      <c r="S20324" s="11"/>
      <c r="T20324" s="11"/>
    </row>
    <row r="20325" spans="8:20" x14ac:dyDescent="0.35">
      <c r="H20325" s="711"/>
      <c r="I20325" s="711"/>
      <c r="J20325" s="711"/>
      <c r="K20325" s="711"/>
      <c r="L20325" s="711"/>
      <c r="Q20325" s="11"/>
      <c r="R20325" s="11"/>
      <c r="S20325" s="11"/>
      <c r="T20325" s="11"/>
    </row>
    <row r="20326" spans="8:20" x14ac:dyDescent="0.35">
      <c r="H20326" s="711"/>
      <c r="I20326" s="711"/>
      <c r="J20326" s="711"/>
      <c r="K20326" s="711"/>
      <c r="L20326" s="711"/>
      <c r="Q20326" s="11"/>
      <c r="R20326" s="11"/>
      <c r="S20326" s="11"/>
      <c r="T20326" s="11"/>
    </row>
    <row r="20327" spans="8:20" x14ac:dyDescent="0.35">
      <c r="H20327" s="711"/>
      <c r="I20327" s="711"/>
      <c r="J20327" s="711"/>
      <c r="K20327" s="711"/>
      <c r="L20327" s="711"/>
      <c r="Q20327" s="11"/>
      <c r="R20327" s="11"/>
      <c r="S20327" s="11"/>
      <c r="T20327" s="11"/>
    </row>
    <row r="20328" spans="8:20" x14ac:dyDescent="0.35">
      <c r="H20328" s="711"/>
      <c r="I20328" s="711"/>
      <c r="J20328" s="711"/>
      <c r="K20328" s="711"/>
      <c r="L20328" s="711"/>
      <c r="Q20328" s="11"/>
      <c r="R20328" s="11"/>
      <c r="S20328" s="11"/>
      <c r="T20328" s="11"/>
    </row>
    <row r="20329" spans="8:20" x14ac:dyDescent="0.35">
      <c r="H20329" s="711"/>
      <c r="I20329" s="711"/>
      <c r="J20329" s="711"/>
      <c r="K20329" s="711"/>
      <c r="L20329" s="711"/>
      <c r="Q20329" s="11"/>
      <c r="R20329" s="11"/>
      <c r="S20329" s="11"/>
      <c r="T20329" s="11"/>
    </row>
    <row r="20330" spans="8:20" x14ac:dyDescent="0.35">
      <c r="H20330" s="711"/>
      <c r="I20330" s="711"/>
      <c r="J20330" s="711"/>
      <c r="K20330" s="711"/>
      <c r="L20330" s="711"/>
      <c r="Q20330" s="11"/>
      <c r="R20330" s="11"/>
      <c r="S20330" s="11"/>
      <c r="T20330" s="11"/>
    </row>
    <row r="20331" spans="8:20" x14ac:dyDescent="0.35">
      <c r="H20331" s="711"/>
      <c r="I20331" s="711"/>
      <c r="J20331" s="711"/>
      <c r="K20331" s="711"/>
      <c r="L20331" s="711"/>
      <c r="Q20331" s="11"/>
      <c r="R20331" s="11"/>
      <c r="S20331" s="11"/>
      <c r="T20331" s="11"/>
    </row>
    <row r="20332" spans="8:20" x14ac:dyDescent="0.35">
      <c r="H20332" s="711"/>
      <c r="I20332" s="711"/>
      <c r="J20332" s="711"/>
      <c r="K20332" s="711"/>
      <c r="L20332" s="711"/>
      <c r="Q20332" s="11"/>
      <c r="R20332" s="11"/>
      <c r="S20332" s="11"/>
      <c r="T20332" s="11"/>
    </row>
    <row r="20333" spans="8:20" x14ac:dyDescent="0.35">
      <c r="H20333" s="711"/>
      <c r="I20333" s="711"/>
      <c r="J20333" s="711"/>
      <c r="K20333" s="711"/>
      <c r="L20333" s="711"/>
      <c r="Q20333" s="11"/>
      <c r="R20333" s="11"/>
      <c r="S20333" s="11"/>
      <c r="T20333" s="11"/>
    </row>
    <row r="20334" spans="8:20" x14ac:dyDescent="0.35">
      <c r="H20334" s="711"/>
      <c r="I20334" s="711"/>
      <c r="J20334" s="711"/>
      <c r="K20334" s="711"/>
      <c r="L20334" s="711"/>
      <c r="Q20334" s="11"/>
      <c r="R20334" s="11"/>
      <c r="S20334" s="11"/>
      <c r="T20334" s="11"/>
    </row>
    <row r="20335" spans="8:20" x14ac:dyDescent="0.35">
      <c r="H20335" s="711"/>
      <c r="I20335" s="711"/>
      <c r="J20335" s="711"/>
      <c r="K20335" s="711"/>
      <c r="L20335" s="711"/>
      <c r="Q20335" s="11"/>
      <c r="R20335" s="11"/>
      <c r="S20335" s="11"/>
      <c r="T20335" s="11"/>
    </row>
    <row r="20336" spans="8:20" x14ac:dyDescent="0.35">
      <c r="H20336" s="711"/>
      <c r="I20336" s="711"/>
      <c r="J20336" s="711"/>
      <c r="K20336" s="711"/>
      <c r="L20336" s="711"/>
      <c r="Q20336" s="11"/>
      <c r="R20336" s="11"/>
      <c r="S20336" s="11"/>
      <c r="T20336" s="11"/>
    </row>
    <row r="20337" spans="8:20" x14ac:dyDescent="0.35">
      <c r="H20337" s="711"/>
      <c r="I20337" s="711"/>
      <c r="J20337" s="711"/>
      <c r="K20337" s="711"/>
      <c r="L20337" s="711"/>
      <c r="Q20337" s="11"/>
      <c r="R20337" s="11"/>
      <c r="S20337" s="11"/>
      <c r="T20337" s="11"/>
    </row>
    <row r="20338" spans="8:20" x14ac:dyDescent="0.35">
      <c r="H20338" s="711"/>
      <c r="I20338" s="711"/>
      <c r="J20338" s="711"/>
      <c r="K20338" s="711"/>
      <c r="L20338" s="711"/>
      <c r="Q20338" s="11"/>
      <c r="R20338" s="11"/>
      <c r="S20338" s="11"/>
      <c r="T20338" s="11"/>
    </row>
    <row r="20339" spans="8:20" x14ac:dyDescent="0.35">
      <c r="H20339" s="711"/>
      <c r="I20339" s="711"/>
      <c r="J20339" s="711"/>
      <c r="K20339" s="711"/>
      <c r="L20339" s="711"/>
      <c r="Q20339" s="11"/>
      <c r="R20339" s="11"/>
      <c r="S20339" s="11"/>
      <c r="T20339" s="11"/>
    </row>
    <row r="20340" spans="8:20" x14ac:dyDescent="0.35">
      <c r="H20340" s="711"/>
      <c r="I20340" s="711"/>
      <c r="J20340" s="711"/>
      <c r="K20340" s="711"/>
      <c r="L20340" s="711"/>
      <c r="Q20340" s="11"/>
      <c r="R20340" s="11"/>
      <c r="S20340" s="11"/>
      <c r="T20340" s="11"/>
    </row>
    <row r="20341" spans="8:20" x14ac:dyDescent="0.35">
      <c r="H20341" s="711"/>
      <c r="I20341" s="711"/>
      <c r="J20341" s="711"/>
      <c r="K20341" s="711"/>
      <c r="L20341" s="711"/>
      <c r="Q20341" s="11"/>
      <c r="R20341" s="11"/>
      <c r="S20341" s="11"/>
      <c r="T20341" s="11"/>
    </row>
    <row r="20342" spans="8:20" x14ac:dyDescent="0.35">
      <c r="H20342" s="711"/>
      <c r="I20342" s="711"/>
      <c r="J20342" s="711"/>
      <c r="K20342" s="711"/>
      <c r="L20342" s="711"/>
      <c r="Q20342" s="11"/>
      <c r="R20342" s="11"/>
      <c r="S20342" s="11"/>
      <c r="T20342" s="11"/>
    </row>
    <row r="20343" spans="8:20" x14ac:dyDescent="0.35">
      <c r="H20343" s="711"/>
      <c r="I20343" s="711"/>
      <c r="J20343" s="711"/>
      <c r="K20343" s="711"/>
      <c r="L20343" s="711"/>
      <c r="Q20343" s="11"/>
      <c r="R20343" s="11"/>
      <c r="S20343" s="11"/>
      <c r="T20343" s="11"/>
    </row>
    <row r="20344" spans="8:20" x14ac:dyDescent="0.35">
      <c r="H20344" s="711"/>
      <c r="I20344" s="711"/>
      <c r="J20344" s="711"/>
      <c r="K20344" s="711"/>
      <c r="L20344" s="711"/>
      <c r="Q20344" s="11"/>
      <c r="R20344" s="11"/>
      <c r="S20344" s="11"/>
      <c r="T20344" s="11"/>
    </row>
    <row r="20345" spans="8:20" x14ac:dyDescent="0.35">
      <c r="H20345" s="711"/>
      <c r="I20345" s="711"/>
      <c r="J20345" s="711"/>
      <c r="K20345" s="711"/>
      <c r="L20345" s="711"/>
      <c r="Q20345" s="11"/>
      <c r="R20345" s="11"/>
      <c r="S20345" s="11"/>
      <c r="T20345" s="11"/>
    </row>
    <row r="20346" spans="8:20" x14ac:dyDescent="0.35">
      <c r="H20346" s="711"/>
      <c r="I20346" s="711"/>
      <c r="J20346" s="711"/>
      <c r="K20346" s="711"/>
      <c r="L20346" s="711"/>
      <c r="Q20346" s="11"/>
      <c r="R20346" s="11"/>
      <c r="S20346" s="11"/>
      <c r="T20346" s="11"/>
    </row>
    <row r="20347" spans="8:20" x14ac:dyDescent="0.35">
      <c r="H20347" s="711"/>
      <c r="I20347" s="711"/>
      <c r="J20347" s="711"/>
      <c r="K20347" s="711"/>
      <c r="L20347" s="711"/>
      <c r="Q20347" s="11"/>
      <c r="R20347" s="11"/>
      <c r="S20347" s="11"/>
      <c r="T20347" s="11"/>
    </row>
    <row r="20348" spans="8:20" x14ac:dyDescent="0.35">
      <c r="H20348" s="711"/>
      <c r="I20348" s="711"/>
      <c r="J20348" s="711"/>
      <c r="K20348" s="711"/>
      <c r="L20348" s="711"/>
      <c r="Q20348" s="11"/>
      <c r="R20348" s="11"/>
      <c r="S20348" s="11"/>
      <c r="T20348" s="11"/>
    </row>
    <row r="20349" spans="8:20" x14ac:dyDescent="0.35">
      <c r="H20349" s="711"/>
      <c r="I20349" s="711"/>
      <c r="J20349" s="711"/>
      <c r="K20349" s="711"/>
      <c r="L20349" s="711"/>
      <c r="Q20349" s="11"/>
      <c r="R20349" s="11"/>
      <c r="S20349" s="11"/>
      <c r="T20349" s="11"/>
    </row>
    <row r="20350" spans="8:20" x14ac:dyDescent="0.35">
      <c r="H20350" s="711"/>
      <c r="I20350" s="711"/>
      <c r="J20350" s="711"/>
      <c r="K20350" s="711"/>
      <c r="L20350" s="711"/>
      <c r="Q20350" s="11"/>
      <c r="R20350" s="11"/>
      <c r="S20350" s="11"/>
      <c r="T20350" s="11"/>
    </row>
    <row r="20351" spans="8:20" x14ac:dyDescent="0.35">
      <c r="H20351" s="711"/>
      <c r="I20351" s="711"/>
      <c r="J20351" s="711"/>
      <c r="K20351" s="711"/>
      <c r="L20351" s="711"/>
      <c r="Q20351" s="11"/>
      <c r="R20351" s="11"/>
      <c r="S20351" s="11"/>
      <c r="T20351" s="11"/>
    </row>
    <row r="20352" spans="8:20" x14ac:dyDescent="0.35">
      <c r="H20352" s="711"/>
      <c r="I20352" s="711"/>
      <c r="J20352" s="711"/>
      <c r="K20352" s="711"/>
      <c r="L20352" s="711"/>
      <c r="Q20352" s="11"/>
      <c r="R20352" s="11"/>
      <c r="S20352" s="11"/>
      <c r="T20352" s="11"/>
    </row>
    <row r="20353" spans="8:20" x14ac:dyDescent="0.35">
      <c r="H20353" s="711"/>
      <c r="I20353" s="711"/>
      <c r="J20353" s="711"/>
      <c r="K20353" s="711"/>
      <c r="L20353" s="711"/>
      <c r="Q20353" s="11"/>
      <c r="R20353" s="11"/>
      <c r="S20353" s="11"/>
      <c r="T20353" s="11"/>
    </row>
    <row r="20354" spans="8:20" x14ac:dyDescent="0.35">
      <c r="H20354" s="711"/>
      <c r="I20354" s="711"/>
      <c r="J20354" s="711"/>
      <c r="K20354" s="711"/>
      <c r="L20354" s="711"/>
      <c r="Q20354" s="11"/>
      <c r="R20354" s="11"/>
      <c r="S20354" s="11"/>
      <c r="T20354" s="11"/>
    </row>
    <row r="20355" spans="8:20" x14ac:dyDescent="0.35">
      <c r="H20355" s="711"/>
      <c r="I20355" s="711"/>
      <c r="J20355" s="711"/>
      <c r="K20355" s="711"/>
      <c r="L20355" s="711"/>
      <c r="Q20355" s="11"/>
      <c r="R20355" s="11"/>
      <c r="S20355" s="11"/>
      <c r="T20355" s="11"/>
    </row>
    <row r="20356" spans="8:20" x14ac:dyDescent="0.35">
      <c r="H20356" s="711"/>
      <c r="I20356" s="711"/>
      <c r="J20356" s="711"/>
      <c r="K20356" s="711"/>
      <c r="L20356" s="711"/>
      <c r="Q20356" s="11"/>
      <c r="R20356" s="11"/>
      <c r="S20356" s="11"/>
      <c r="T20356" s="11"/>
    </row>
    <row r="20357" spans="8:20" x14ac:dyDescent="0.35">
      <c r="H20357" s="711"/>
      <c r="I20357" s="711"/>
      <c r="J20357" s="711"/>
      <c r="K20357" s="711"/>
      <c r="L20357" s="711"/>
      <c r="Q20357" s="11"/>
      <c r="R20357" s="11"/>
      <c r="S20357" s="11"/>
      <c r="T20357" s="11"/>
    </row>
    <row r="20358" spans="8:20" x14ac:dyDescent="0.35">
      <c r="H20358" s="711"/>
      <c r="I20358" s="711"/>
      <c r="J20358" s="711"/>
      <c r="K20358" s="711"/>
      <c r="L20358" s="711"/>
      <c r="Q20358" s="11"/>
      <c r="R20358" s="11"/>
      <c r="S20358" s="11"/>
      <c r="T20358" s="11"/>
    </row>
    <row r="20359" spans="8:20" x14ac:dyDescent="0.35">
      <c r="H20359" s="711"/>
      <c r="I20359" s="711"/>
      <c r="J20359" s="711"/>
      <c r="K20359" s="711"/>
      <c r="L20359" s="711"/>
      <c r="Q20359" s="11"/>
      <c r="R20359" s="11"/>
      <c r="S20359" s="11"/>
      <c r="T20359" s="11"/>
    </row>
    <row r="20360" spans="8:20" x14ac:dyDescent="0.35">
      <c r="H20360" s="711"/>
      <c r="I20360" s="711"/>
      <c r="J20360" s="711"/>
      <c r="K20360" s="711"/>
      <c r="L20360" s="711"/>
      <c r="Q20360" s="11"/>
      <c r="R20360" s="11"/>
      <c r="S20360" s="11"/>
      <c r="T20360" s="11"/>
    </row>
    <row r="20361" spans="8:20" x14ac:dyDescent="0.35">
      <c r="H20361" s="711"/>
      <c r="I20361" s="711"/>
      <c r="J20361" s="711"/>
      <c r="K20361" s="711"/>
      <c r="L20361" s="711"/>
      <c r="Q20361" s="11"/>
      <c r="R20361" s="11"/>
      <c r="S20361" s="11"/>
      <c r="T20361" s="11"/>
    </row>
    <row r="20362" spans="8:20" x14ac:dyDescent="0.35">
      <c r="H20362" s="711"/>
      <c r="I20362" s="711"/>
      <c r="J20362" s="711"/>
      <c r="K20362" s="711"/>
      <c r="L20362" s="711"/>
      <c r="Q20362" s="11"/>
      <c r="R20362" s="11"/>
      <c r="S20362" s="11"/>
      <c r="T20362" s="11"/>
    </row>
    <row r="20363" spans="8:20" x14ac:dyDescent="0.35">
      <c r="H20363" s="711"/>
      <c r="I20363" s="711"/>
      <c r="J20363" s="711"/>
      <c r="K20363" s="711"/>
      <c r="L20363" s="711"/>
      <c r="Q20363" s="11"/>
      <c r="R20363" s="11"/>
      <c r="S20363" s="11"/>
      <c r="T20363" s="11"/>
    </row>
    <row r="20364" spans="8:20" x14ac:dyDescent="0.35">
      <c r="H20364" s="711"/>
      <c r="I20364" s="711"/>
      <c r="J20364" s="711"/>
      <c r="K20364" s="711"/>
      <c r="L20364" s="711"/>
      <c r="Q20364" s="11"/>
      <c r="R20364" s="11"/>
      <c r="S20364" s="11"/>
      <c r="T20364" s="11"/>
    </row>
    <row r="20365" spans="8:20" x14ac:dyDescent="0.35">
      <c r="H20365" s="711"/>
      <c r="I20365" s="711"/>
      <c r="J20365" s="711"/>
      <c r="K20365" s="711"/>
      <c r="L20365" s="711"/>
      <c r="Q20365" s="11"/>
      <c r="R20365" s="11"/>
      <c r="S20365" s="11"/>
      <c r="T20365" s="11"/>
    </row>
    <row r="20366" spans="8:20" x14ac:dyDescent="0.35">
      <c r="H20366" s="711"/>
      <c r="I20366" s="711"/>
      <c r="J20366" s="711"/>
      <c r="K20366" s="711"/>
      <c r="L20366" s="711"/>
      <c r="Q20366" s="11"/>
      <c r="R20366" s="11"/>
      <c r="S20366" s="11"/>
      <c r="T20366" s="11"/>
    </row>
    <row r="20367" spans="8:20" x14ac:dyDescent="0.35">
      <c r="H20367" s="711"/>
      <c r="I20367" s="711"/>
      <c r="J20367" s="711"/>
      <c r="K20367" s="711"/>
      <c r="L20367" s="711"/>
      <c r="Q20367" s="11"/>
      <c r="R20367" s="11"/>
      <c r="S20367" s="11"/>
      <c r="T20367" s="11"/>
    </row>
    <row r="20368" spans="8:20" x14ac:dyDescent="0.35">
      <c r="H20368" s="711"/>
      <c r="I20368" s="711"/>
      <c r="J20368" s="711"/>
      <c r="K20368" s="711"/>
      <c r="L20368" s="711"/>
      <c r="Q20368" s="11"/>
      <c r="R20368" s="11"/>
      <c r="S20368" s="11"/>
      <c r="T20368" s="11"/>
    </row>
    <row r="20369" spans="8:20" x14ac:dyDescent="0.35">
      <c r="H20369" s="711"/>
      <c r="I20369" s="711"/>
      <c r="J20369" s="711"/>
      <c r="K20369" s="711"/>
      <c r="L20369" s="711"/>
      <c r="Q20369" s="11"/>
      <c r="R20369" s="11"/>
      <c r="S20369" s="11"/>
      <c r="T20369" s="11"/>
    </row>
    <row r="20370" spans="8:20" x14ac:dyDescent="0.35">
      <c r="H20370" s="711"/>
      <c r="I20370" s="711"/>
      <c r="J20370" s="711"/>
      <c r="K20370" s="711"/>
      <c r="L20370" s="711"/>
      <c r="Q20370" s="11"/>
      <c r="R20370" s="11"/>
      <c r="S20370" s="11"/>
      <c r="T20370" s="11"/>
    </row>
    <row r="20371" spans="8:20" x14ac:dyDescent="0.35">
      <c r="H20371" s="711"/>
      <c r="I20371" s="711"/>
      <c r="J20371" s="711"/>
      <c r="K20371" s="711"/>
      <c r="L20371" s="711"/>
      <c r="Q20371" s="11"/>
      <c r="R20371" s="11"/>
      <c r="S20371" s="11"/>
      <c r="T20371" s="11"/>
    </row>
    <row r="20372" spans="8:20" x14ac:dyDescent="0.35">
      <c r="H20372" s="711"/>
      <c r="I20372" s="711"/>
      <c r="J20372" s="711"/>
      <c r="K20372" s="711"/>
      <c r="L20372" s="711"/>
      <c r="Q20372" s="11"/>
      <c r="R20372" s="11"/>
      <c r="S20372" s="11"/>
      <c r="T20372" s="11"/>
    </row>
    <row r="20373" spans="8:20" x14ac:dyDescent="0.35">
      <c r="H20373" s="711"/>
      <c r="I20373" s="711"/>
      <c r="J20373" s="711"/>
      <c r="K20373" s="711"/>
      <c r="L20373" s="711"/>
      <c r="Q20373" s="11"/>
      <c r="R20373" s="11"/>
      <c r="S20373" s="11"/>
      <c r="T20373" s="11"/>
    </row>
    <row r="20374" spans="8:20" x14ac:dyDescent="0.35">
      <c r="H20374" s="711"/>
      <c r="I20374" s="711"/>
      <c r="J20374" s="711"/>
      <c r="K20374" s="711"/>
      <c r="L20374" s="711"/>
      <c r="Q20374" s="11"/>
      <c r="R20374" s="11"/>
      <c r="S20374" s="11"/>
      <c r="T20374" s="11"/>
    </row>
    <row r="20375" spans="8:20" x14ac:dyDescent="0.35">
      <c r="H20375" s="711"/>
      <c r="I20375" s="711"/>
      <c r="J20375" s="711"/>
      <c r="K20375" s="711"/>
      <c r="L20375" s="711"/>
      <c r="Q20375" s="11"/>
      <c r="R20375" s="11"/>
      <c r="S20375" s="11"/>
      <c r="T20375" s="11"/>
    </row>
    <row r="20376" spans="8:20" x14ac:dyDescent="0.35">
      <c r="H20376" s="711"/>
      <c r="I20376" s="711"/>
      <c r="J20376" s="711"/>
      <c r="K20376" s="711"/>
      <c r="L20376" s="711"/>
      <c r="Q20376" s="11"/>
      <c r="R20376" s="11"/>
      <c r="S20376" s="11"/>
      <c r="T20376" s="11"/>
    </row>
    <row r="20377" spans="8:20" x14ac:dyDescent="0.35">
      <c r="H20377" s="711"/>
      <c r="I20377" s="711"/>
      <c r="J20377" s="711"/>
      <c r="K20377" s="711"/>
      <c r="L20377" s="711"/>
      <c r="Q20377" s="11"/>
      <c r="R20377" s="11"/>
      <c r="S20377" s="11"/>
      <c r="T20377" s="11"/>
    </row>
    <row r="20378" spans="8:20" x14ac:dyDescent="0.35">
      <c r="H20378" s="711"/>
      <c r="I20378" s="711"/>
      <c r="J20378" s="711"/>
      <c r="K20378" s="711"/>
      <c r="L20378" s="711"/>
      <c r="Q20378" s="11"/>
      <c r="R20378" s="11"/>
      <c r="S20378" s="11"/>
      <c r="T20378" s="11"/>
    </row>
    <row r="20379" spans="8:20" x14ac:dyDescent="0.35">
      <c r="H20379" s="711"/>
      <c r="I20379" s="711"/>
      <c r="J20379" s="711"/>
      <c r="K20379" s="711"/>
      <c r="L20379" s="711"/>
      <c r="Q20379" s="11"/>
      <c r="R20379" s="11"/>
      <c r="S20379" s="11"/>
      <c r="T20379" s="11"/>
    </row>
    <row r="20380" spans="8:20" x14ac:dyDescent="0.35">
      <c r="H20380" s="711"/>
      <c r="I20380" s="711"/>
      <c r="J20380" s="711"/>
      <c r="K20380" s="711"/>
      <c r="L20380" s="711"/>
      <c r="Q20380" s="11"/>
      <c r="R20380" s="11"/>
      <c r="S20380" s="11"/>
      <c r="T20380" s="11"/>
    </row>
    <row r="20381" spans="8:20" x14ac:dyDescent="0.35">
      <c r="H20381" s="711"/>
      <c r="I20381" s="711"/>
      <c r="J20381" s="711"/>
      <c r="K20381" s="711"/>
      <c r="L20381" s="711"/>
      <c r="Q20381" s="11"/>
      <c r="R20381" s="11"/>
      <c r="S20381" s="11"/>
      <c r="T20381" s="11"/>
    </row>
    <row r="20382" spans="8:20" x14ac:dyDescent="0.35">
      <c r="H20382" s="711"/>
      <c r="I20382" s="711"/>
      <c r="J20382" s="711"/>
      <c r="K20382" s="711"/>
      <c r="L20382" s="711"/>
      <c r="Q20382" s="11"/>
      <c r="R20382" s="11"/>
      <c r="S20382" s="11"/>
      <c r="T20382" s="11"/>
    </row>
    <row r="20383" spans="8:20" x14ac:dyDescent="0.35">
      <c r="H20383" s="711"/>
      <c r="I20383" s="711"/>
      <c r="J20383" s="711"/>
      <c r="K20383" s="711"/>
      <c r="L20383" s="711"/>
      <c r="Q20383" s="11"/>
      <c r="R20383" s="11"/>
      <c r="S20383" s="11"/>
      <c r="T20383" s="11"/>
    </row>
    <row r="20384" spans="8:20" x14ac:dyDescent="0.35">
      <c r="H20384" s="711"/>
      <c r="I20384" s="711"/>
      <c r="J20384" s="711"/>
      <c r="K20384" s="711"/>
      <c r="L20384" s="711"/>
      <c r="Q20384" s="11"/>
      <c r="R20384" s="11"/>
      <c r="S20384" s="11"/>
      <c r="T20384" s="11"/>
    </row>
    <row r="20385" spans="8:20" x14ac:dyDescent="0.35">
      <c r="H20385" s="711"/>
      <c r="I20385" s="711"/>
      <c r="J20385" s="711"/>
      <c r="K20385" s="711"/>
      <c r="L20385" s="711"/>
      <c r="Q20385" s="11"/>
      <c r="R20385" s="11"/>
      <c r="S20385" s="11"/>
      <c r="T20385" s="11"/>
    </row>
    <row r="20386" spans="8:20" x14ac:dyDescent="0.35">
      <c r="H20386" s="711"/>
      <c r="I20386" s="711"/>
      <c r="J20386" s="711"/>
      <c r="K20386" s="711"/>
      <c r="L20386" s="711"/>
      <c r="Q20386" s="11"/>
      <c r="R20386" s="11"/>
      <c r="S20386" s="11"/>
      <c r="T20386" s="11"/>
    </row>
    <row r="20387" spans="8:20" x14ac:dyDescent="0.35">
      <c r="H20387" s="711"/>
      <c r="I20387" s="711"/>
      <c r="J20387" s="711"/>
      <c r="K20387" s="711"/>
      <c r="L20387" s="711"/>
      <c r="Q20387" s="11"/>
      <c r="R20387" s="11"/>
      <c r="S20387" s="11"/>
      <c r="T20387" s="11"/>
    </row>
    <row r="20388" spans="8:20" x14ac:dyDescent="0.35">
      <c r="H20388" s="711"/>
      <c r="I20388" s="711"/>
      <c r="J20388" s="711"/>
      <c r="K20388" s="711"/>
      <c r="L20388" s="711"/>
      <c r="Q20388" s="11"/>
      <c r="R20388" s="11"/>
      <c r="S20388" s="11"/>
      <c r="T20388" s="11"/>
    </row>
    <row r="20389" spans="8:20" x14ac:dyDescent="0.35">
      <c r="H20389" s="711"/>
      <c r="I20389" s="711"/>
      <c r="J20389" s="711"/>
      <c r="K20389" s="711"/>
      <c r="L20389" s="711"/>
      <c r="Q20389" s="11"/>
      <c r="R20389" s="11"/>
      <c r="S20389" s="11"/>
      <c r="T20389" s="11"/>
    </row>
    <row r="20390" spans="8:20" x14ac:dyDescent="0.35">
      <c r="H20390" s="711"/>
      <c r="I20390" s="711"/>
      <c r="J20390" s="711"/>
      <c r="K20390" s="711"/>
      <c r="L20390" s="711"/>
      <c r="Q20390" s="11"/>
      <c r="R20390" s="11"/>
      <c r="S20390" s="11"/>
      <c r="T20390" s="11"/>
    </row>
    <row r="20391" spans="8:20" x14ac:dyDescent="0.35">
      <c r="H20391" s="711"/>
      <c r="I20391" s="711"/>
      <c r="J20391" s="711"/>
      <c r="K20391" s="711"/>
      <c r="L20391" s="711"/>
      <c r="Q20391" s="11"/>
      <c r="R20391" s="11"/>
      <c r="S20391" s="11"/>
      <c r="T20391" s="11"/>
    </row>
    <row r="20392" spans="8:20" x14ac:dyDescent="0.35">
      <c r="H20392" s="711"/>
      <c r="I20392" s="711"/>
      <c r="J20392" s="711"/>
      <c r="K20392" s="711"/>
      <c r="L20392" s="711"/>
      <c r="Q20392" s="11"/>
      <c r="R20392" s="11"/>
      <c r="S20392" s="11"/>
      <c r="T20392" s="11"/>
    </row>
    <row r="20393" spans="8:20" x14ac:dyDescent="0.35">
      <c r="H20393" s="711"/>
      <c r="I20393" s="711"/>
      <c r="J20393" s="711"/>
      <c r="K20393" s="711"/>
      <c r="L20393" s="711"/>
      <c r="Q20393" s="11"/>
      <c r="R20393" s="11"/>
      <c r="S20393" s="11"/>
      <c r="T20393" s="11"/>
    </row>
    <row r="20394" spans="8:20" x14ac:dyDescent="0.35">
      <c r="H20394" s="711"/>
      <c r="I20394" s="711"/>
      <c r="J20394" s="711"/>
      <c r="K20394" s="711"/>
      <c r="L20394" s="711"/>
      <c r="Q20394" s="11"/>
      <c r="R20394" s="11"/>
      <c r="S20394" s="11"/>
      <c r="T20394" s="11"/>
    </row>
    <row r="20395" spans="8:20" x14ac:dyDescent="0.35">
      <c r="H20395" s="711"/>
      <c r="I20395" s="711"/>
      <c r="J20395" s="711"/>
      <c r="K20395" s="711"/>
      <c r="L20395" s="711"/>
      <c r="Q20395" s="11"/>
      <c r="R20395" s="11"/>
      <c r="S20395" s="11"/>
      <c r="T20395" s="11"/>
    </row>
    <row r="20396" spans="8:20" x14ac:dyDescent="0.35">
      <c r="H20396" s="711"/>
      <c r="I20396" s="711"/>
      <c r="J20396" s="711"/>
      <c r="K20396" s="711"/>
      <c r="L20396" s="711"/>
      <c r="Q20396" s="11"/>
      <c r="R20396" s="11"/>
      <c r="S20396" s="11"/>
      <c r="T20396" s="11"/>
    </row>
    <row r="20397" spans="8:20" x14ac:dyDescent="0.35">
      <c r="H20397" s="711"/>
      <c r="I20397" s="711"/>
      <c r="J20397" s="711"/>
      <c r="K20397" s="711"/>
      <c r="L20397" s="711"/>
      <c r="Q20397" s="11"/>
      <c r="R20397" s="11"/>
      <c r="S20397" s="11"/>
      <c r="T20397" s="11"/>
    </row>
    <row r="20398" spans="8:20" x14ac:dyDescent="0.35">
      <c r="H20398" s="711"/>
      <c r="I20398" s="711"/>
      <c r="J20398" s="711"/>
      <c r="K20398" s="711"/>
      <c r="L20398" s="711"/>
      <c r="Q20398" s="11"/>
      <c r="R20398" s="11"/>
      <c r="S20398" s="11"/>
      <c r="T20398" s="11"/>
    </row>
    <row r="20399" spans="8:20" x14ac:dyDescent="0.35">
      <c r="H20399" s="711"/>
      <c r="I20399" s="711"/>
      <c r="J20399" s="711"/>
      <c r="K20399" s="711"/>
      <c r="L20399" s="711"/>
      <c r="Q20399" s="11"/>
      <c r="R20399" s="11"/>
      <c r="S20399" s="11"/>
      <c r="T20399" s="11"/>
    </row>
    <row r="20400" spans="8:20" x14ac:dyDescent="0.35">
      <c r="H20400" s="711"/>
      <c r="I20400" s="711"/>
      <c r="J20400" s="711"/>
      <c r="K20400" s="711"/>
      <c r="L20400" s="711"/>
      <c r="Q20400" s="11"/>
      <c r="R20400" s="11"/>
      <c r="S20400" s="11"/>
      <c r="T20400" s="11"/>
    </row>
    <row r="20401" spans="8:20" x14ac:dyDescent="0.35">
      <c r="H20401" s="711"/>
      <c r="I20401" s="711"/>
      <c r="J20401" s="711"/>
      <c r="K20401" s="711"/>
      <c r="L20401" s="711"/>
      <c r="Q20401" s="11"/>
      <c r="R20401" s="11"/>
      <c r="S20401" s="11"/>
      <c r="T20401" s="11"/>
    </row>
    <row r="20402" spans="8:20" x14ac:dyDescent="0.35">
      <c r="H20402" s="711"/>
      <c r="I20402" s="711"/>
      <c r="J20402" s="711"/>
      <c r="K20402" s="711"/>
      <c r="L20402" s="711"/>
      <c r="Q20402" s="11"/>
      <c r="R20402" s="11"/>
      <c r="S20402" s="11"/>
      <c r="T20402" s="11"/>
    </row>
    <row r="20403" spans="8:20" x14ac:dyDescent="0.35">
      <c r="H20403" s="711"/>
      <c r="I20403" s="711"/>
      <c r="J20403" s="711"/>
      <c r="K20403" s="711"/>
      <c r="L20403" s="711"/>
      <c r="Q20403" s="11"/>
      <c r="R20403" s="11"/>
      <c r="S20403" s="11"/>
      <c r="T20403" s="11"/>
    </row>
    <row r="20404" spans="8:20" x14ac:dyDescent="0.35">
      <c r="H20404" s="711"/>
      <c r="I20404" s="711"/>
      <c r="J20404" s="711"/>
      <c r="K20404" s="711"/>
      <c r="L20404" s="711"/>
      <c r="Q20404" s="11"/>
      <c r="R20404" s="11"/>
      <c r="S20404" s="11"/>
      <c r="T20404" s="11"/>
    </row>
    <row r="20405" spans="8:20" x14ac:dyDescent="0.35">
      <c r="H20405" s="711"/>
      <c r="I20405" s="711"/>
      <c r="J20405" s="711"/>
      <c r="K20405" s="711"/>
      <c r="L20405" s="711"/>
      <c r="Q20405" s="11"/>
      <c r="R20405" s="11"/>
      <c r="S20405" s="11"/>
      <c r="T20405" s="11"/>
    </row>
    <row r="20406" spans="8:20" x14ac:dyDescent="0.35">
      <c r="H20406" s="711"/>
      <c r="I20406" s="711"/>
      <c r="J20406" s="711"/>
      <c r="K20406" s="711"/>
      <c r="L20406" s="711"/>
      <c r="Q20406" s="11"/>
      <c r="R20406" s="11"/>
      <c r="S20406" s="11"/>
      <c r="T20406" s="11"/>
    </row>
    <row r="20407" spans="8:20" x14ac:dyDescent="0.35">
      <c r="H20407" s="711"/>
      <c r="I20407" s="711"/>
      <c r="J20407" s="711"/>
      <c r="K20407" s="711"/>
      <c r="L20407" s="711"/>
      <c r="Q20407" s="11"/>
      <c r="R20407" s="11"/>
      <c r="S20407" s="11"/>
      <c r="T20407" s="11"/>
    </row>
    <row r="20408" spans="8:20" x14ac:dyDescent="0.35">
      <c r="H20408" s="711"/>
      <c r="I20408" s="711"/>
      <c r="J20408" s="711"/>
      <c r="K20408" s="711"/>
      <c r="L20408" s="711"/>
      <c r="Q20408" s="11"/>
      <c r="R20408" s="11"/>
      <c r="S20408" s="11"/>
      <c r="T20408" s="11"/>
    </row>
    <row r="20409" spans="8:20" x14ac:dyDescent="0.35">
      <c r="H20409" s="711"/>
      <c r="I20409" s="711"/>
      <c r="J20409" s="711"/>
      <c r="K20409" s="711"/>
      <c r="L20409" s="711"/>
      <c r="Q20409" s="11"/>
      <c r="R20409" s="11"/>
      <c r="S20409" s="11"/>
      <c r="T20409" s="11"/>
    </row>
    <row r="20410" spans="8:20" x14ac:dyDescent="0.35">
      <c r="H20410" s="711"/>
      <c r="I20410" s="711"/>
      <c r="J20410" s="711"/>
      <c r="K20410" s="711"/>
      <c r="L20410" s="711"/>
      <c r="Q20410" s="11"/>
      <c r="R20410" s="11"/>
      <c r="S20410" s="11"/>
      <c r="T20410" s="11"/>
    </row>
    <row r="20411" spans="8:20" x14ac:dyDescent="0.35">
      <c r="H20411" s="711"/>
      <c r="I20411" s="711"/>
      <c r="J20411" s="711"/>
      <c r="K20411" s="711"/>
      <c r="L20411" s="711"/>
      <c r="Q20411" s="11"/>
      <c r="R20411" s="11"/>
      <c r="S20411" s="11"/>
      <c r="T20411" s="11"/>
    </row>
    <row r="20412" spans="8:20" x14ac:dyDescent="0.35">
      <c r="H20412" s="711"/>
      <c r="I20412" s="711"/>
      <c r="J20412" s="711"/>
      <c r="K20412" s="711"/>
      <c r="L20412" s="711"/>
      <c r="Q20412" s="11"/>
      <c r="R20412" s="11"/>
      <c r="S20412" s="11"/>
      <c r="T20412" s="11"/>
    </row>
    <row r="20413" spans="8:20" x14ac:dyDescent="0.35">
      <c r="H20413" s="711"/>
      <c r="I20413" s="711"/>
      <c r="J20413" s="711"/>
      <c r="K20413" s="711"/>
      <c r="L20413" s="711"/>
      <c r="Q20413" s="11"/>
      <c r="R20413" s="11"/>
      <c r="S20413" s="11"/>
      <c r="T20413" s="11"/>
    </row>
    <row r="20414" spans="8:20" x14ac:dyDescent="0.35">
      <c r="H20414" s="711"/>
      <c r="I20414" s="711"/>
      <c r="J20414" s="711"/>
      <c r="K20414" s="711"/>
      <c r="L20414" s="711"/>
      <c r="Q20414" s="11"/>
      <c r="R20414" s="11"/>
      <c r="S20414" s="11"/>
      <c r="T20414" s="11"/>
    </row>
    <row r="20415" spans="8:20" x14ac:dyDescent="0.35">
      <c r="H20415" s="711"/>
      <c r="I20415" s="711"/>
      <c r="J20415" s="711"/>
      <c r="K20415" s="711"/>
      <c r="L20415" s="711"/>
      <c r="Q20415" s="11"/>
      <c r="R20415" s="11"/>
      <c r="S20415" s="11"/>
      <c r="T20415" s="11"/>
    </row>
    <row r="20416" spans="8:20" x14ac:dyDescent="0.35">
      <c r="H20416" s="711"/>
      <c r="I20416" s="711"/>
      <c r="J20416" s="711"/>
      <c r="K20416" s="711"/>
      <c r="L20416" s="711"/>
      <c r="Q20416" s="11"/>
      <c r="R20416" s="11"/>
      <c r="S20416" s="11"/>
      <c r="T20416" s="11"/>
    </row>
    <row r="20417" spans="8:20" x14ac:dyDescent="0.35">
      <c r="H20417" s="711"/>
      <c r="I20417" s="711"/>
      <c r="J20417" s="711"/>
      <c r="K20417" s="711"/>
      <c r="L20417" s="711"/>
      <c r="Q20417" s="11"/>
      <c r="R20417" s="11"/>
      <c r="S20417" s="11"/>
      <c r="T20417" s="11"/>
    </row>
    <row r="20418" spans="8:20" x14ac:dyDescent="0.35">
      <c r="H20418" s="711"/>
      <c r="I20418" s="711"/>
      <c r="J20418" s="711"/>
      <c r="K20418" s="711"/>
      <c r="L20418" s="711"/>
      <c r="Q20418" s="11"/>
      <c r="R20418" s="11"/>
      <c r="S20418" s="11"/>
      <c r="T20418" s="11"/>
    </row>
    <row r="20419" spans="8:20" x14ac:dyDescent="0.35">
      <c r="H20419" s="711"/>
      <c r="I20419" s="711"/>
      <c r="J20419" s="711"/>
      <c r="K20419" s="711"/>
      <c r="L20419" s="711"/>
      <c r="Q20419" s="11"/>
      <c r="R20419" s="11"/>
      <c r="S20419" s="11"/>
      <c r="T20419" s="11"/>
    </row>
    <row r="20420" spans="8:20" x14ac:dyDescent="0.35">
      <c r="H20420" s="711"/>
      <c r="I20420" s="711"/>
      <c r="J20420" s="711"/>
      <c r="K20420" s="711"/>
      <c r="L20420" s="711"/>
      <c r="Q20420" s="11"/>
      <c r="R20420" s="11"/>
      <c r="S20420" s="11"/>
      <c r="T20420" s="11"/>
    </row>
    <row r="20421" spans="8:20" x14ac:dyDescent="0.35">
      <c r="H20421" s="711"/>
      <c r="I20421" s="711"/>
      <c r="J20421" s="711"/>
      <c r="K20421" s="711"/>
      <c r="L20421" s="711"/>
      <c r="Q20421" s="11"/>
      <c r="R20421" s="11"/>
      <c r="S20421" s="11"/>
      <c r="T20421" s="11"/>
    </row>
    <row r="20422" spans="8:20" x14ac:dyDescent="0.35">
      <c r="H20422" s="711"/>
      <c r="I20422" s="711"/>
      <c r="J20422" s="711"/>
      <c r="K20422" s="711"/>
      <c r="L20422" s="711"/>
      <c r="Q20422" s="11"/>
      <c r="R20422" s="11"/>
      <c r="S20422" s="11"/>
      <c r="T20422" s="11"/>
    </row>
    <row r="20423" spans="8:20" x14ac:dyDescent="0.35">
      <c r="H20423" s="711"/>
      <c r="I20423" s="711"/>
      <c r="J20423" s="711"/>
      <c r="K20423" s="711"/>
      <c r="L20423" s="711"/>
      <c r="Q20423" s="11"/>
      <c r="R20423" s="11"/>
      <c r="S20423" s="11"/>
      <c r="T20423" s="11"/>
    </row>
    <row r="20424" spans="8:20" x14ac:dyDescent="0.35">
      <c r="H20424" s="711"/>
      <c r="I20424" s="711"/>
      <c r="J20424" s="711"/>
      <c r="K20424" s="711"/>
      <c r="L20424" s="711"/>
      <c r="Q20424" s="11"/>
      <c r="R20424" s="11"/>
      <c r="S20424" s="11"/>
      <c r="T20424" s="11"/>
    </row>
    <row r="20425" spans="8:20" x14ac:dyDescent="0.35">
      <c r="H20425" s="711"/>
      <c r="I20425" s="711"/>
      <c r="J20425" s="711"/>
      <c r="K20425" s="711"/>
      <c r="L20425" s="711"/>
      <c r="Q20425" s="11"/>
      <c r="R20425" s="11"/>
      <c r="S20425" s="11"/>
      <c r="T20425" s="11"/>
    </row>
    <row r="20426" spans="8:20" x14ac:dyDescent="0.35">
      <c r="H20426" s="711"/>
      <c r="I20426" s="711"/>
      <c r="J20426" s="711"/>
      <c r="K20426" s="711"/>
      <c r="L20426" s="711"/>
      <c r="Q20426" s="11"/>
      <c r="R20426" s="11"/>
      <c r="S20426" s="11"/>
      <c r="T20426" s="11"/>
    </row>
    <row r="20427" spans="8:20" x14ac:dyDescent="0.35">
      <c r="H20427" s="711"/>
      <c r="I20427" s="711"/>
      <c r="J20427" s="711"/>
      <c r="K20427" s="711"/>
      <c r="L20427" s="711"/>
      <c r="Q20427" s="11"/>
      <c r="R20427" s="11"/>
      <c r="S20427" s="11"/>
      <c r="T20427" s="11"/>
    </row>
    <row r="20428" spans="8:20" x14ac:dyDescent="0.35">
      <c r="H20428" s="711"/>
      <c r="I20428" s="711"/>
      <c r="J20428" s="711"/>
      <c r="K20428" s="711"/>
      <c r="L20428" s="711"/>
      <c r="Q20428" s="11"/>
      <c r="R20428" s="11"/>
      <c r="S20428" s="11"/>
      <c r="T20428" s="11"/>
    </row>
    <row r="20429" spans="8:20" x14ac:dyDescent="0.35">
      <c r="H20429" s="711"/>
      <c r="I20429" s="711"/>
      <c r="J20429" s="711"/>
      <c r="K20429" s="711"/>
      <c r="L20429" s="711"/>
      <c r="Q20429" s="11"/>
      <c r="R20429" s="11"/>
      <c r="S20429" s="11"/>
      <c r="T20429" s="11"/>
    </row>
    <row r="20430" spans="8:20" x14ac:dyDescent="0.35">
      <c r="H20430" s="711"/>
      <c r="I20430" s="711"/>
      <c r="J20430" s="711"/>
      <c r="K20430" s="711"/>
      <c r="L20430" s="711"/>
      <c r="Q20430" s="11"/>
      <c r="R20430" s="11"/>
      <c r="S20430" s="11"/>
      <c r="T20430" s="11"/>
    </row>
    <row r="20431" spans="8:20" x14ac:dyDescent="0.35">
      <c r="H20431" s="711"/>
      <c r="I20431" s="711"/>
      <c r="J20431" s="711"/>
      <c r="K20431" s="711"/>
      <c r="L20431" s="711"/>
      <c r="Q20431" s="11"/>
      <c r="R20431" s="11"/>
      <c r="S20431" s="11"/>
      <c r="T20431" s="11"/>
    </row>
    <row r="20432" spans="8:20" x14ac:dyDescent="0.35">
      <c r="H20432" s="711"/>
      <c r="I20432" s="711"/>
      <c r="J20432" s="711"/>
      <c r="K20432" s="711"/>
      <c r="L20432" s="711"/>
      <c r="Q20432" s="11"/>
      <c r="R20432" s="11"/>
      <c r="S20432" s="11"/>
      <c r="T20432" s="11"/>
    </row>
    <row r="20433" spans="8:20" x14ac:dyDescent="0.35">
      <c r="H20433" s="711"/>
      <c r="I20433" s="711"/>
      <c r="J20433" s="711"/>
      <c r="K20433" s="711"/>
      <c r="L20433" s="711"/>
      <c r="Q20433" s="11"/>
      <c r="R20433" s="11"/>
      <c r="S20433" s="11"/>
      <c r="T20433" s="11"/>
    </row>
    <row r="20434" spans="8:20" x14ac:dyDescent="0.35">
      <c r="H20434" s="711"/>
      <c r="I20434" s="711"/>
      <c r="J20434" s="711"/>
      <c r="K20434" s="711"/>
      <c r="L20434" s="711"/>
      <c r="Q20434" s="11"/>
      <c r="R20434" s="11"/>
      <c r="S20434" s="11"/>
      <c r="T20434" s="11"/>
    </row>
    <row r="20435" spans="8:20" x14ac:dyDescent="0.35">
      <c r="H20435" s="711"/>
      <c r="I20435" s="711"/>
      <c r="J20435" s="711"/>
      <c r="K20435" s="711"/>
      <c r="L20435" s="711"/>
      <c r="Q20435" s="11"/>
      <c r="R20435" s="11"/>
      <c r="S20435" s="11"/>
      <c r="T20435" s="11"/>
    </row>
    <row r="20436" spans="8:20" x14ac:dyDescent="0.35">
      <c r="H20436" s="711"/>
      <c r="I20436" s="711"/>
      <c r="J20436" s="711"/>
      <c r="K20436" s="711"/>
      <c r="L20436" s="711"/>
      <c r="Q20436" s="11"/>
      <c r="R20436" s="11"/>
      <c r="S20436" s="11"/>
      <c r="T20436" s="11"/>
    </row>
    <row r="20437" spans="8:20" x14ac:dyDescent="0.35">
      <c r="H20437" s="711"/>
      <c r="I20437" s="711"/>
      <c r="J20437" s="711"/>
      <c r="K20437" s="711"/>
      <c r="L20437" s="711"/>
      <c r="Q20437" s="11"/>
      <c r="R20437" s="11"/>
      <c r="S20437" s="11"/>
      <c r="T20437" s="11"/>
    </row>
    <row r="20438" spans="8:20" x14ac:dyDescent="0.35">
      <c r="H20438" s="711"/>
      <c r="I20438" s="711"/>
      <c r="J20438" s="711"/>
      <c r="K20438" s="711"/>
      <c r="L20438" s="711"/>
      <c r="Q20438" s="11"/>
      <c r="R20438" s="11"/>
      <c r="S20438" s="11"/>
      <c r="T20438" s="11"/>
    </row>
    <row r="20439" spans="8:20" x14ac:dyDescent="0.35">
      <c r="H20439" s="711"/>
      <c r="I20439" s="711"/>
      <c r="J20439" s="711"/>
      <c r="K20439" s="711"/>
      <c r="L20439" s="711"/>
      <c r="Q20439" s="11"/>
      <c r="R20439" s="11"/>
      <c r="S20439" s="11"/>
      <c r="T20439" s="11"/>
    </row>
    <row r="20440" spans="8:20" x14ac:dyDescent="0.35">
      <c r="H20440" s="711"/>
      <c r="I20440" s="711"/>
      <c r="J20440" s="711"/>
      <c r="K20440" s="711"/>
      <c r="L20440" s="711"/>
      <c r="Q20440" s="11"/>
      <c r="R20440" s="11"/>
      <c r="S20440" s="11"/>
      <c r="T20440" s="11"/>
    </row>
    <row r="20441" spans="8:20" x14ac:dyDescent="0.35">
      <c r="H20441" s="711"/>
      <c r="I20441" s="711"/>
      <c r="J20441" s="711"/>
      <c r="K20441" s="711"/>
      <c r="L20441" s="711"/>
      <c r="Q20441" s="11"/>
      <c r="R20441" s="11"/>
      <c r="S20441" s="11"/>
      <c r="T20441" s="11"/>
    </row>
    <row r="20442" spans="8:20" x14ac:dyDescent="0.35">
      <c r="H20442" s="711"/>
      <c r="I20442" s="711"/>
      <c r="J20442" s="711"/>
      <c r="K20442" s="711"/>
      <c r="L20442" s="711"/>
      <c r="Q20442" s="11"/>
      <c r="R20442" s="11"/>
      <c r="S20442" s="11"/>
      <c r="T20442" s="11"/>
    </row>
    <row r="20443" spans="8:20" x14ac:dyDescent="0.35">
      <c r="H20443" s="711"/>
      <c r="I20443" s="711"/>
      <c r="J20443" s="711"/>
      <c r="K20443" s="711"/>
      <c r="L20443" s="711"/>
      <c r="Q20443" s="11"/>
      <c r="R20443" s="11"/>
      <c r="S20443" s="11"/>
      <c r="T20443" s="11"/>
    </row>
    <row r="20444" spans="8:20" x14ac:dyDescent="0.35">
      <c r="H20444" s="711"/>
      <c r="I20444" s="711"/>
      <c r="J20444" s="711"/>
      <c r="K20444" s="711"/>
      <c r="L20444" s="711"/>
      <c r="Q20444" s="11"/>
      <c r="R20444" s="11"/>
      <c r="S20444" s="11"/>
      <c r="T20444" s="11"/>
    </row>
    <row r="20445" spans="8:20" x14ac:dyDescent="0.35">
      <c r="H20445" s="711"/>
      <c r="I20445" s="711"/>
      <c r="J20445" s="711"/>
      <c r="K20445" s="711"/>
      <c r="L20445" s="711"/>
      <c r="Q20445" s="11"/>
      <c r="R20445" s="11"/>
      <c r="S20445" s="11"/>
      <c r="T20445" s="11"/>
    </row>
    <row r="20446" spans="8:20" x14ac:dyDescent="0.35">
      <c r="H20446" s="711"/>
      <c r="I20446" s="711"/>
      <c r="J20446" s="711"/>
      <c r="K20446" s="711"/>
      <c r="L20446" s="711"/>
      <c r="Q20446" s="11"/>
      <c r="R20446" s="11"/>
      <c r="S20446" s="11"/>
      <c r="T20446" s="11"/>
    </row>
    <row r="20447" spans="8:20" x14ac:dyDescent="0.35">
      <c r="H20447" s="711"/>
      <c r="I20447" s="711"/>
      <c r="J20447" s="711"/>
      <c r="K20447" s="711"/>
      <c r="L20447" s="711"/>
      <c r="Q20447" s="11"/>
      <c r="R20447" s="11"/>
      <c r="S20447" s="11"/>
      <c r="T20447" s="11"/>
    </row>
    <row r="20448" spans="8:20" x14ac:dyDescent="0.35">
      <c r="H20448" s="711"/>
      <c r="I20448" s="711"/>
      <c r="J20448" s="711"/>
      <c r="K20448" s="711"/>
      <c r="L20448" s="711"/>
      <c r="Q20448" s="11"/>
      <c r="R20448" s="11"/>
      <c r="S20448" s="11"/>
      <c r="T20448" s="11"/>
    </row>
    <row r="20449" spans="8:20" x14ac:dyDescent="0.35">
      <c r="H20449" s="711"/>
      <c r="I20449" s="711"/>
      <c r="J20449" s="711"/>
      <c r="K20449" s="711"/>
      <c r="L20449" s="711"/>
      <c r="Q20449" s="11"/>
      <c r="R20449" s="11"/>
      <c r="S20449" s="11"/>
      <c r="T20449" s="11"/>
    </row>
    <row r="20450" spans="8:20" x14ac:dyDescent="0.35">
      <c r="H20450" s="711"/>
      <c r="I20450" s="711"/>
      <c r="J20450" s="711"/>
      <c r="K20450" s="711"/>
      <c r="L20450" s="711"/>
      <c r="Q20450" s="11"/>
      <c r="R20450" s="11"/>
      <c r="S20450" s="11"/>
      <c r="T20450" s="11"/>
    </row>
    <row r="20451" spans="8:20" x14ac:dyDescent="0.35">
      <c r="H20451" s="711"/>
      <c r="I20451" s="711"/>
      <c r="J20451" s="711"/>
      <c r="K20451" s="711"/>
      <c r="L20451" s="711"/>
      <c r="Q20451" s="11"/>
      <c r="R20451" s="11"/>
      <c r="S20451" s="11"/>
      <c r="T20451" s="11"/>
    </row>
    <row r="20452" spans="8:20" x14ac:dyDescent="0.35">
      <c r="H20452" s="711"/>
      <c r="I20452" s="711"/>
      <c r="J20452" s="711"/>
      <c r="K20452" s="711"/>
      <c r="L20452" s="711"/>
      <c r="Q20452" s="11"/>
      <c r="R20452" s="11"/>
      <c r="S20452" s="11"/>
      <c r="T20452" s="11"/>
    </row>
    <row r="20453" spans="8:20" x14ac:dyDescent="0.35">
      <c r="H20453" s="711"/>
      <c r="I20453" s="711"/>
      <c r="J20453" s="711"/>
      <c r="K20453" s="711"/>
      <c r="L20453" s="711"/>
      <c r="Q20453" s="11"/>
      <c r="R20453" s="11"/>
      <c r="S20453" s="11"/>
      <c r="T20453" s="11"/>
    </row>
    <row r="20454" spans="8:20" x14ac:dyDescent="0.35">
      <c r="H20454" s="711"/>
      <c r="I20454" s="711"/>
      <c r="J20454" s="711"/>
      <c r="K20454" s="711"/>
      <c r="L20454" s="711"/>
      <c r="Q20454" s="11"/>
      <c r="R20454" s="11"/>
      <c r="S20454" s="11"/>
      <c r="T20454" s="11"/>
    </row>
    <row r="20455" spans="8:20" x14ac:dyDescent="0.35">
      <c r="H20455" s="711"/>
      <c r="I20455" s="711"/>
      <c r="J20455" s="711"/>
      <c r="K20455" s="711"/>
      <c r="L20455" s="711"/>
      <c r="Q20455" s="11"/>
      <c r="R20455" s="11"/>
      <c r="S20455" s="11"/>
      <c r="T20455" s="11"/>
    </row>
    <row r="20456" spans="8:20" x14ac:dyDescent="0.35">
      <c r="H20456" s="711"/>
      <c r="I20456" s="711"/>
      <c r="J20456" s="711"/>
      <c r="K20456" s="711"/>
      <c r="L20456" s="711"/>
      <c r="Q20456" s="11"/>
      <c r="R20456" s="11"/>
      <c r="S20456" s="11"/>
      <c r="T20456" s="11"/>
    </row>
    <row r="20457" spans="8:20" x14ac:dyDescent="0.35">
      <c r="H20457" s="711"/>
      <c r="I20457" s="711"/>
      <c r="J20457" s="711"/>
      <c r="K20457" s="711"/>
      <c r="L20457" s="711"/>
      <c r="Q20457" s="11"/>
      <c r="R20457" s="11"/>
      <c r="S20457" s="11"/>
      <c r="T20457" s="11"/>
    </row>
    <row r="20458" spans="8:20" x14ac:dyDescent="0.35">
      <c r="H20458" s="711"/>
      <c r="I20458" s="711"/>
      <c r="J20458" s="711"/>
      <c r="K20458" s="711"/>
      <c r="L20458" s="711"/>
      <c r="Q20458" s="11"/>
      <c r="R20458" s="11"/>
      <c r="S20458" s="11"/>
      <c r="T20458" s="11"/>
    </row>
    <row r="20459" spans="8:20" x14ac:dyDescent="0.35">
      <c r="H20459" s="711"/>
      <c r="I20459" s="711"/>
      <c r="J20459" s="711"/>
      <c r="K20459" s="711"/>
      <c r="L20459" s="711"/>
      <c r="Q20459" s="11"/>
      <c r="R20459" s="11"/>
      <c r="S20459" s="11"/>
      <c r="T20459" s="11"/>
    </row>
    <row r="20460" spans="8:20" x14ac:dyDescent="0.35">
      <c r="H20460" s="711"/>
      <c r="I20460" s="711"/>
      <c r="J20460" s="711"/>
      <c r="K20460" s="711"/>
      <c r="L20460" s="711"/>
      <c r="Q20460" s="11"/>
      <c r="R20460" s="11"/>
      <c r="S20460" s="11"/>
      <c r="T20460" s="11"/>
    </row>
    <row r="20461" spans="8:20" x14ac:dyDescent="0.35">
      <c r="H20461" s="711"/>
      <c r="I20461" s="711"/>
      <c r="J20461" s="711"/>
      <c r="K20461" s="711"/>
      <c r="L20461" s="711"/>
      <c r="Q20461" s="11"/>
      <c r="R20461" s="11"/>
      <c r="S20461" s="11"/>
      <c r="T20461" s="11"/>
    </row>
    <row r="20462" spans="8:20" x14ac:dyDescent="0.35">
      <c r="H20462" s="711"/>
      <c r="I20462" s="711"/>
      <c r="J20462" s="711"/>
      <c r="K20462" s="711"/>
      <c r="L20462" s="711"/>
      <c r="Q20462" s="11"/>
      <c r="R20462" s="11"/>
      <c r="S20462" s="11"/>
      <c r="T20462" s="11"/>
    </row>
    <row r="20463" spans="8:20" x14ac:dyDescent="0.35">
      <c r="H20463" s="711"/>
      <c r="I20463" s="711"/>
      <c r="J20463" s="711"/>
      <c r="K20463" s="711"/>
      <c r="L20463" s="711"/>
      <c r="Q20463" s="11"/>
      <c r="R20463" s="11"/>
      <c r="S20463" s="11"/>
      <c r="T20463" s="11"/>
    </row>
    <row r="20464" spans="8:20" x14ac:dyDescent="0.35">
      <c r="H20464" s="711"/>
      <c r="I20464" s="711"/>
      <c r="J20464" s="711"/>
      <c r="K20464" s="711"/>
      <c r="L20464" s="711"/>
      <c r="Q20464" s="11"/>
      <c r="R20464" s="11"/>
      <c r="S20464" s="11"/>
      <c r="T20464" s="11"/>
    </row>
    <row r="20465" spans="8:20" x14ac:dyDescent="0.35">
      <c r="H20465" s="711"/>
      <c r="I20465" s="711"/>
      <c r="J20465" s="711"/>
      <c r="K20465" s="711"/>
      <c r="L20465" s="711"/>
      <c r="Q20465" s="11"/>
      <c r="R20465" s="11"/>
      <c r="S20465" s="11"/>
      <c r="T20465" s="11"/>
    </row>
    <row r="20466" spans="8:20" x14ac:dyDescent="0.35">
      <c r="H20466" s="711"/>
      <c r="I20466" s="711"/>
      <c r="J20466" s="711"/>
      <c r="K20466" s="711"/>
      <c r="L20466" s="711"/>
      <c r="Q20466" s="11"/>
      <c r="R20466" s="11"/>
      <c r="S20466" s="11"/>
      <c r="T20466" s="11"/>
    </row>
    <row r="20467" spans="8:20" x14ac:dyDescent="0.35">
      <c r="H20467" s="711"/>
      <c r="I20467" s="711"/>
      <c r="J20467" s="711"/>
      <c r="K20467" s="711"/>
      <c r="L20467" s="711"/>
      <c r="Q20467" s="11"/>
      <c r="R20467" s="11"/>
      <c r="S20467" s="11"/>
      <c r="T20467" s="11"/>
    </row>
    <row r="20468" spans="8:20" x14ac:dyDescent="0.35">
      <c r="H20468" s="711"/>
      <c r="I20468" s="711"/>
      <c r="J20468" s="711"/>
      <c r="K20468" s="711"/>
      <c r="L20468" s="711"/>
      <c r="Q20468" s="11"/>
      <c r="R20468" s="11"/>
      <c r="S20468" s="11"/>
      <c r="T20468" s="11"/>
    </row>
    <row r="20469" spans="8:20" x14ac:dyDescent="0.35">
      <c r="H20469" s="711"/>
      <c r="I20469" s="711"/>
      <c r="J20469" s="711"/>
      <c r="K20469" s="711"/>
      <c r="L20469" s="711"/>
      <c r="Q20469" s="11"/>
      <c r="R20469" s="11"/>
      <c r="S20469" s="11"/>
      <c r="T20469" s="11"/>
    </row>
    <row r="20470" spans="8:20" x14ac:dyDescent="0.35">
      <c r="H20470" s="711"/>
      <c r="I20470" s="711"/>
      <c r="J20470" s="711"/>
      <c r="K20470" s="711"/>
      <c r="L20470" s="711"/>
      <c r="Q20470" s="11"/>
      <c r="R20470" s="11"/>
      <c r="S20470" s="11"/>
      <c r="T20470" s="11"/>
    </row>
    <row r="20471" spans="8:20" x14ac:dyDescent="0.35">
      <c r="H20471" s="711"/>
      <c r="I20471" s="711"/>
      <c r="J20471" s="711"/>
      <c r="K20471" s="711"/>
      <c r="L20471" s="711"/>
      <c r="Q20471" s="11"/>
      <c r="R20471" s="11"/>
      <c r="S20471" s="11"/>
      <c r="T20471" s="11"/>
    </row>
    <row r="20472" spans="8:20" x14ac:dyDescent="0.35">
      <c r="H20472" s="711"/>
      <c r="I20472" s="711"/>
      <c r="J20472" s="711"/>
      <c r="K20472" s="711"/>
      <c r="L20472" s="711"/>
      <c r="Q20472" s="11"/>
      <c r="R20472" s="11"/>
      <c r="S20472" s="11"/>
      <c r="T20472" s="11"/>
    </row>
    <row r="20473" spans="8:20" x14ac:dyDescent="0.35">
      <c r="H20473" s="711"/>
      <c r="I20473" s="711"/>
      <c r="J20473" s="711"/>
      <c r="K20473" s="711"/>
      <c r="L20473" s="711"/>
      <c r="Q20473" s="11"/>
      <c r="R20473" s="11"/>
      <c r="S20473" s="11"/>
      <c r="T20473" s="11"/>
    </row>
    <row r="20474" spans="8:20" x14ac:dyDescent="0.35">
      <c r="H20474" s="711"/>
      <c r="I20474" s="711"/>
      <c r="J20474" s="711"/>
      <c r="K20474" s="711"/>
      <c r="L20474" s="711"/>
      <c r="Q20474" s="11"/>
      <c r="R20474" s="11"/>
      <c r="S20474" s="11"/>
      <c r="T20474" s="11"/>
    </row>
    <row r="20475" spans="8:20" x14ac:dyDescent="0.35">
      <c r="H20475" s="711"/>
      <c r="I20475" s="711"/>
      <c r="J20475" s="711"/>
      <c r="K20475" s="711"/>
      <c r="L20475" s="711"/>
      <c r="Q20475" s="11"/>
      <c r="R20475" s="11"/>
      <c r="S20475" s="11"/>
      <c r="T20475" s="11"/>
    </row>
    <row r="20476" spans="8:20" x14ac:dyDescent="0.35">
      <c r="H20476" s="711"/>
      <c r="I20476" s="711"/>
      <c r="J20476" s="711"/>
      <c r="K20476" s="711"/>
      <c r="L20476" s="711"/>
      <c r="Q20476" s="11"/>
      <c r="R20476" s="11"/>
      <c r="S20476" s="11"/>
      <c r="T20476" s="11"/>
    </row>
    <row r="20477" spans="8:20" x14ac:dyDescent="0.35">
      <c r="H20477" s="711"/>
      <c r="I20477" s="711"/>
      <c r="J20477" s="711"/>
      <c r="K20477" s="711"/>
      <c r="L20477" s="711"/>
      <c r="Q20477" s="11"/>
      <c r="R20477" s="11"/>
      <c r="S20477" s="11"/>
      <c r="T20477" s="11"/>
    </row>
    <row r="20478" spans="8:20" x14ac:dyDescent="0.35">
      <c r="H20478" s="711"/>
      <c r="I20478" s="711"/>
      <c r="J20478" s="711"/>
      <c r="K20478" s="711"/>
      <c r="L20478" s="711"/>
      <c r="Q20478" s="11"/>
      <c r="R20478" s="11"/>
      <c r="S20478" s="11"/>
      <c r="T20478" s="11"/>
    </row>
    <row r="20479" spans="8:20" x14ac:dyDescent="0.35">
      <c r="H20479" s="711"/>
      <c r="I20479" s="711"/>
      <c r="J20479" s="711"/>
      <c r="K20479" s="711"/>
      <c r="L20479" s="711"/>
      <c r="Q20479" s="11"/>
      <c r="R20479" s="11"/>
      <c r="S20479" s="11"/>
      <c r="T20479" s="11"/>
    </row>
    <row r="20480" spans="8:20" x14ac:dyDescent="0.35">
      <c r="H20480" s="711"/>
      <c r="I20480" s="711"/>
      <c r="J20480" s="711"/>
      <c r="K20480" s="711"/>
      <c r="L20480" s="711"/>
      <c r="Q20480" s="11"/>
      <c r="R20480" s="11"/>
      <c r="S20480" s="11"/>
      <c r="T20480" s="11"/>
    </row>
    <row r="20481" spans="8:20" x14ac:dyDescent="0.35">
      <c r="H20481" s="711"/>
      <c r="I20481" s="711"/>
      <c r="J20481" s="711"/>
      <c r="K20481" s="711"/>
      <c r="L20481" s="711"/>
      <c r="Q20481" s="11"/>
      <c r="R20481" s="11"/>
      <c r="S20481" s="11"/>
      <c r="T20481" s="11"/>
    </row>
    <row r="20482" spans="8:20" x14ac:dyDescent="0.35">
      <c r="H20482" s="711"/>
      <c r="I20482" s="711"/>
      <c r="J20482" s="711"/>
      <c r="K20482" s="711"/>
      <c r="L20482" s="711"/>
      <c r="Q20482" s="11"/>
      <c r="R20482" s="11"/>
      <c r="S20482" s="11"/>
      <c r="T20482" s="11"/>
    </row>
    <row r="20483" spans="8:20" x14ac:dyDescent="0.35">
      <c r="H20483" s="711"/>
      <c r="I20483" s="711"/>
      <c r="J20483" s="711"/>
      <c r="K20483" s="711"/>
      <c r="L20483" s="711"/>
      <c r="Q20483" s="11"/>
      <c r="R20483" s="11"/>
      <c r="S20483" s="11"/>
      <c r="T20483" s="11"/>
    </row>
    <row r="20484" spans="8:20" x14ac:dyDescent="0.35">
      <c r="H20484" s="711"/>
      <c r="I20484" s="711"/>
      <c r="J20484" s="711"/>
      <c r="K20484" s="711"/>
      <c r="L20484" s="711"/>
      <c r="Q20484" s="11"/>
      <c r="R20484" s="11"/>
      <c r="S20484" s="11"/>
      <c r="T20484" s="11"/>
    </row>
    <row r="20485" spans="8:20" x14ac:dyDescent="0.35">
      <c r="H20485" s="711"/>
      <c r="I20485" s="711"/>
      <c r="J20485" s="711"/>
      <c r="K20485" s="711"/>
      <c r="L20485" s="711"/>
      <c r="Q20485" s="11"/>
      <c r="R20485" s="11"/>
      <c r="S20485" s="11"/>
      <c r="T20485" s="11"/>
    </row>
    <row r="20486" spans="8:20" x14ac:dyDescent="0.35">
      <c r="H20486" s="711"/>
      <c r="I20486" s="711"/>
      <c r="J20486" s="711"/>
      <c r="K20486" s="711"/>
      <c r="L20486" s="711"/>
      <c r="Q20486" s="11"/>
      <c r="R20486" s="11"/>
      <c r="S20486" s="11"/>
      <c r="T20486" s="11"/>
    </row>
    <row r="20487" spans="8:20" x14ac:dyDescent="0.35">
      <c r="H20487" s="711"/>
      <c r="I20487" s="711"/>
      <c r="J20487" s="711"/>
      <c r="K20487" s="711"/>
      <c r="L20487" s="711"/>
      <c r="Q20487" s="11"/>
      <c r="R20487" s="11"/>
      <c r="S20487" s="11"/>
      <c r="T20487" s="11"/>
    </row>
    <row r="20488" spans="8:20" x14ac:dyDescent="0.35">
      <c r="H20488" s="711"/>
      <c r="I20488" s="711"/>
      <c r="J20488" s="711"/>
      <c r="K20488" s="711"/>
      <c r="L20488" s="711"/>
      <c r="Q20488" s="11"/>
      <c r="R20488" s="11"/>
      <c r="S20488" s="11"/>
      <c r="T20488" s="11"/>
    </row>
    <row r="20489" spans="8:20" x14ac:dyDescent="0.35">
      <c r="H20489" s="711"/>
      <c r="I20489" s="711"/>
      <c r="J20489" s="711"/>
      <c r="K20489" s="711"/>
      <c r="L20489" s="711"/>
      <c r="Q20489" s="11"/>
      <c r="R20489" s="11"/>
      <c r="S20489" s="11"/>
      <c r="T20489" s="11"/>
    </row>
    <row r="20490" spans="8:20" x14ac:dyDescent="0.35">
      <c r="H20490" s="711"/>
      <c r="I20490" s="711"/>
      <c r="J20490" s="711"/>
      <c r="K20490" s="711"/>
      <c r="L20490" s="711"/>
      <c r="Q20490" s="11"/>
      <c r="R20490" s="11"/>
      <c r="S20490" s="11"/>
      <c r="T20490" s="11"/>
    </row>
    <row r="20491" spans="8:20" x14ac:dyDescent="0.35">
      <c r="H20491" s="711"/>
      <c r="I20491" s="711"/>
      <c r="J20491" s="711"/>
      <c r="K20491" s="711"/>
      <c r="L20491" s="711"/>
      <c r="Q20491" s="11"/>
      <c r="R20491" s="11"/>
      <c r="S20491" s="11"/>
      <c r="T20491" s="11"/>
    </row>
    <row r="20492" spans="8:20" x14ac:dyDescent="0.35">
      <c r="H20492" s="711"/>
      <c r="I20492" s="711"/>
      <c r="J20492" s="711"/>
      <c r="K20492" s="711"/>
      <c r="L20492" s="711"/>
      <c r="Q20492" s="11"/>
      <c r="R20492" s="11"/>
      <c r="S20492" s="11"/>
      <c r="T20492" s="11"/>
    </row>
    <row r="20493" spans="8:20" x14ac:dyDescent="0.35">
      <c r="H20493" s="711"/>
      <c r="I20493" s="711"/>
      <c r="J20493" s="711"/>
      <c r="K20493" s="711"/>
      <c r="L20493" s="711"/>
      <c r="Q20493" s="11"/>
      <c r="R20493" s="11"/>
      <c r="S20493" s="11"/>
      <c r="T20493" s="11"/>
    </row>
    <row r="20494" spans="8:20" x14ac:dyDescent="0.35">
      <c r="H20494" s="711"/>
      <c r="I20494" s="711"/>
      <c r="J20494" s="711"/>
      <c r="K20494" s="711"/>
      <c r="L20494" s="711"/>
      <c r="Q20494" s="11"/>
      <c r="R20494" s="11"/>
      <c r="S20494" s="11"/>
      <c r="T20494" s="11"/>
    </row>
    <row r="20495" spans="8:20" x14ac:dyDescent="0.35">
      <c r="H20495" s="711"/>
      <c r="I20495" s="711"/>
      <c r="J20495" s="711"/>
      <c r="K20495" s="711"/>
      <c r="L20495" s="711"/>
      <c r="Q20495" s="11"/>
      <c r="R20495" s="11"/>
      <c r="S20495" s="11"/>
      <c r="T20495" s="11"/>
    </row>
    <row r="20496" spans="8:20" x14ac:dyDescent="0.35">
      <c r="H20496" s="711"/>
      <c r="I20496" s="711"/>
      <c r="J20496" s="711"/>
      <c r="K20496" s="711"/>
      <c r="L20496" s="711"/>
      <c r="Q20496" s="11"/>
      <c r="R20496" s="11"/>
      <c r="S20496" s="11"/>
      <c r="T20496" s="11"/>
    </row>
    <row r="20497" spans="8:20" x14ac:dyDescent="0.35">
      <c r="H20497" s="711"/>
      <c r="I20497" s="711"/>
      <c r="J20497" s="711"/>
      <c r="K20497" s="711"/>
      <c r="L20497" s="711"/>
      <c r="Q20497" s="11"/>
      <c r="R20497" s="11"/>
      <c r="S20497" s="11"/>
      <c r="T20497" s="11"/>
    </row>
    <row r="20498" spans="8:20" x14ac:dyDescent="0.35">
      <c r="H20498" s="711"/>
      <c r="I20498" s="711"/>
      <c r="J20498" s="711"/>
      <c r="K20498" s="711"/>
      <c r="L20498" s="711"/>
      <c r="Q20498" s="11"/>
      <c r="R20498" s="11"/>
      <c r="S20498" s="11"/>
      <c r="T20498" s="11"/>
    </row>
    <row r="20499" spans="8:20" x14ac:dyDescent="0.35">
      <c r="H20499" s="711"/>
      <c r="I20499" s="711"/>
      <c r="J20499" s="711"/>
      <c r="K20499" s="711"/>
      <c r="L20499" s="711"/>
      <c r="Q20499" s="11"/>
      <c r="R20499" s="11"/>
      <c r="S20499" s="11"/>
      <c r="T20499" s="11"/>
    </row>
    <row r="20500" spans="8:20" x14ac:dyDescent="0.35">
      <c r="H20500" s="711"/>
      <c r="I20500" s="711"/>
      <c r="J20500" s="711"/>
      <c r="K20500" s="711"/>
      <c r="L20500" s="711"/>
      <c r="Q20500" s="11"/>
      <c r="R20500" s="11"/>
      <c r="S20500" s="11"/>
      <c r="T20500" s="11"/>
    </row>
    <row r="20501" spans="8:20" x14ac:dyDescent="0.35">
      <c r="H20501" s="711"/>
      <c r="I20501" s="711"/>
      <c r="J20501" s="711"/>
      <c r="K20501" s="711"/>
      <c r="L20501" s="711"/>
      <c r="Q20501" s="11"/>
      <c r="R20501" s="11"/>
      <c r="S20501" s="11"/>
      <c r="T20501" s="11"/>
    </row>
    <row r="20502" spans="8:20" x14ac:dyDescent="0.35">
      <c r="H20502" s="711"/>
      <c r="I20502" s="711"/>
      <c r="J20502" s="711"/>
      <c r="K20502" s="711"/>
      <c r="L20502" s="711"/>
      <c r="Q20502" s="11"/>
      <c r="R20502" s="11"/>
      <c r="S20502" s="11"/>
      <c r="T20502" s="11"/>
    </row>
    <row r="20503" spans="8:20" x14ac:dyDescent="0.35">
      <c r="H20503" s="711"/>
      <c r="I20503" s="711"/>
      <c r="J20503" s="711"/>
      <c r="K20503" s="711"/>
      <c r="L20503" s="711"/>
      <c r="Q20503" s="11"/>
      <c r="R20503" s="11"/>
      <c r="S20503" s="11"/>
      <c r="T20503" s="11"/>
    </row>
    <row r="20504" spans="8:20" x14ac:dyDescent="0.35">
      <c r="H20504" s="711"/>
      <c r="I20504" s="711"/>
      <c r="J20504" s="711"/>
      <c r="K20504" s="711"/>
      <c r="L20504" s="711"/>
      <c r="Q20504" s="11"/>
      <c r="R20504" s="11"/>
      <c r="S20504" s="11"/>
      <c r="T20504" s="11"/>
    </row>
    <row r="20505" spans="8:20" x14ac:dyDescent="0.35">
      <c r="H20505" s="711"/>
      <c r="I20505" s="711"/>
      <c r="J20505" s="711"/>
      <c r="K20505" s="711"/>
      <c r="L20505" s="711"/>
      <c r="Q20505" s="11"/>
      <c r="R20505" s="11"/>
      <c r="S20505" s="11"/>
      <c r="T20505" s="11"/>
    </row>
    <row r="20506" spans="8:20" x14ac:dyDescent="0.35">
      <c r="H20506" s="711"/>
      <c r="I20506" s="711"/>
      <c r="J20506" s="711"/>
      <c r="K20506" s="711"/>
      <c r="L20506" s="711"/>
      <c r="Q20506" s="11"/>
      <c r="R20506" s="11"/>
      <c r="S20506" s="11"/>
      <c r="T20506" s="11"/>
    </row>
    <row r="20507" spans="8:20" x14ac:dyDescent="0.35">
      <c r="H20507" s="711"/>
      <c r="I20507" s="711"/>
      <c r="J20507" s="711"/>
      <c r="K20507" s="711"/>
      <c r="L20507" s="711"/>
      <c r="Q20507" s="11"/>
      <c r="R20507" s="11"/>
      <c r="S20507" s="11"/>
      <c r="T20507" s="11"/>
    </row>
    <row r="20508" spans="8:20" x14ac:dyDescent="0.35">
      <c r="H20508" s="711"/>
      <c r="I20508" s="711"/>
      <c r="J20508" s="711"/>
      <c r="K20508" s="711"/>
      <c r="L20508" s="711"/>
      <c r="Q20508" s="11"/>
      <c r="R20508" s="11"/>
      <c r="S20508" s="11"/>
      <c r="T20508" s="11"/>
    </row>
    <row r="20509" spans="8:20" x14ac:dyDescent="0.35">
      <c r="H20509" s="711"/>
      <c r="I20509" s="711"/>
      <c r="J20509" s="711"/>
      <c r="K20509" s="711"/>
      <c r="L20509" s="711"/>
      <c r="Q20509" s="11"/>
      <c r="R20509" s="11"/>
      <c r="S20509" s="11"/>
      <c r="T20509" s="11"/>
    </row>
    <row r="20510" spans="8:20" x14ac:dyDescent="0.35">
      <c r="H20510" s="711"/>
      <c r="I20510" s="711"/>
      <c r="J20510" s="711"/>
      <c r="K20510" s="711"/>
      <c r="L20510" s="711"/>
      <c r="Q20510" s="11"/>
      <c r="R20510" s="11"/>
      <c r="S20510" s="11"/>
      <c r="T20510" s="11"/>
    </row>
    <row r="20511" spans="8:20" x14ac:dyDescent="0.35">
      <c r="H20511" s="711"/>
      <c r="I20511" s="711"/>
      <c r="J20511" s="711"/>
      <c r="K20511" s="711"/>
      <c r="L20511" s="711"/>
      <c r="Q20511" s="11"/>
      <c r="R20511" s="11"/>
      <c r="S20511" s="11"/>
      <c r="T20511" s="11"/>
    </row>
    <row r="20512" spans="8:20" x14ac:dyDescent="0.35">
      <c r="H20512" s="711"/>
      <c r="I20512" s="711"/>
      <c r="J20512" s="711"/>
      <c r="K20512" s="711"/>
      <c r="L20512" s="711"/>
      <c r="Q20512" s="11"/>
      <c r="R20512" s="11"/>
      <c r="S20512" s="11"/>
      <c r="T20512" s="11"/>
    </row>
    <row r="20513" spans="8:20" x14ac:dyDescent="0.35">
      <c r="H20513" s="711"/>
      <c r="I20513" s="711"/>
      <c r="J20513" s="711"/>
      <c r="K20513" s="711"/>
      <c r="L20513" s="711"/>
      <c r="Q20513" s="11"/>
      <c r="R20513" s="11"/>
      <c r="S20513" s="11"/>
      <c r="T20513" s="11"/>
    </row>
    <row r="20514" spans="8:20" x14ac:dyDescent="0.35">
      <c r="H20514" s="711"/>
      <c r="I20514" s="711"/>
      <c r="J20514" s="711"/>
      <c r="K20514" s="711"/>
      <c r="L20514" s="711"/>
      <c r="Q20514" s="11"/>
      <c r="R20514" s="11"/>
      <c r="S20514" s="11"/>
      <c r="T20514" s="11"/>
    </row>
    <row r="20515" spans="8:20" x14ac:dyDescent="0.35">
      <c r="H20515" s="711"/>
      <c r="I20515" s="711"/>
      <c r="J20515" s="711"/>
      <c r="K20515" s="711"/>
      <c r="L20515" s="711"/>
      <c r="Q20515" s="11"/>
      <c r="R20515" s="11"/>
      <c r="S20515" s="11"/>
      <c r="T20515" s="11"/>
    </row>
    <row r="20516" spans="8:20" x14ac:dyDescent="0.35">
      <c r="H20516" s="711"/>
      <c r="I20516" s="711"/>
      <c r="J20516" s="711"/>
      <c r="K20516" s="711"/>
      <c r="L20516" s="711"/>
      <c r="Q20516" s="11"/>
      <c r="R20516" s="11"/>
      <c r="S20516" s="11"/>
      <c r="T20516" s="11"/>
    </row>
    <row r="20517" spans="8:20" x14ac:dyDescent="0.35">
      <c r="H20517" s="711"/>
      <c r="I20517" s="711"/>
      <c r="J20517" s="711"/>
      <c r="K20517" s="711"/>
      <c r="L20517" s="711"/>
      <c r="Q20517" s="11"/>
      <c r="R20517" s="11"/>
      <c r="S20517" s="11"/>
      <c r="T20517" s="11"/>
    </row>
    <row r="20518" spans="8:20" x14ac:dyDescent="0.35">
      <c r="H20518" s="711"/>
      <c r="I20518" s="711"/>
      <c r="J20518" s="711"/>
      <c r="K20518" s="711"/>
      <c r="L20518" s="711"/>
      <c r="Q20518" s="11"/>
      <c r="R20518" s="11"/>
      <c r="S20518" s="11"/>
      <c r="T20518" s="11"/>
    </row>
    <row r="20519" spans="8:20" x14ac:dyDescent="0.35">
      <c r="H20519" s="711"/>
      <c r="I20519" s="711"/>
      <c r="J20519" s="711"/>
      <c r="K20519" s="711"/>
      <c r="L20519" s="711"/>
      <c r="Q20519" s="11"/>
      <c r="R20519" s="11"/>
      <c r="S20519" s="11"/>
      <c r="T20519" s="11"/>
    </row>
    <row r="20520" spans="8:20" x14ac:dyDescent="0.35">
      <c r="H20520" s="711"/>
      <c r="I20520" s="711"/>
      <c r="J20520" s="711"/>
      <c r="K20520" s="711"/>
      <c r="L20520" s="711"/>
      <c r="Q20520" s="11"/>
      <c r="R20520" s="11"/>
      <c r="S20520" s="11"/>
      <c r="T20520" s="11"/>
    </row>
    <row r="20521" spans="8:20" x14ac:dyDescent="0.35">
      <c r="H20521" s="711"/>
      <c r="I20521" s="711"/>
      <c r="J20521" s="711"/>
      <c r="K20521" s="711"/>
      <c r="L20521" s="711"/>
      <c r="Q20521" s="11"/>
      <c r="R20521" s="11"/>
      <c r="S20521" s="11"/>
      <c r="T20521" s="11"/>
    </row>
    <row r="20522" spans="8:20" x14ac:dyDescent="0.35">
      <c r="H20522" s="711"/>
      <c r="I20522" s="711"/>
      <c r="J20522" s="711"/>
      <c r="K20522" s="711"/>
      <c r="L20522" s="711"/>
      <c r="Q20522" s="11"/>
      <c r="R20522" s="11"/>
      <c r="S20522" s="11"/>
      <c r="T20522" s="11"/>
    </row>
    <row r="20523" spans="8:20" x14ac:dyDescent="0.35">
      <c r="H20523" s="711"/>
      <c r="I20523" s="711"/>
      <c r="J20523" s="711"/>
      <c r="K20523" s="711"/>
      <c r="L20523" s="711"/>
      <c r="Q20523" s="11"/>
      <c r="R20523" s="11"/>
      <c r="S20523" s="11"/>
      <c r="T20523" s="11"/>
    </row>
    <row r="20524" spans="8:20" x14ac:dyDescent="0.35">
      <c r="H20524" s="711"/>
      <c r="I20524" s="711"/>
      <c r="J20524" s="711"/>
      <c r="K20524" s="711"/>
      <c r="L20524" s="711"/>
      <c r="Q20524" s="11"/>
      <c r="R20524" s="11"/>
      <c r="S20524" s="11"/>
      <c r="T20524" s="11"/>
    </row>
    <row r="20525" spans="8:20" x14ac:dyDescent="0.35">
      <c r="H20525" s="711"/>
      <c r="I20525" s="711"/>
      <c r="J20525" s="711"/>
      <c r="K20525" s="711"/>
      <c r="L20525" s="711"/>
      <c r="Q20525" s="11"/>
      <c r="R20525" s="11"/>
      <c r="S20525" s="11"/>
      <c r="T20525" s="11"/>
    </row>
    <row r="20526" spans="8:20" x14ac:dyDescent="0.35">
      <c r="H20526" s="711"/>
      <c r="I20526" s="711"/>
      <c r="J20526" s="711"/>
      <c r="K20526" s="711"/>
      <c r="L20526" s="711"/>
      <c r="Q20526" s="11"/>
      <c r="R20526" s="11"/>
      <c r="S20526" s="11"/>
      <c r="T20526" s="11"/>
    </row>
    <row r="20527" spans="8:20" x14ac:dyDescent="0.35">
      <c r="H20527" s="711"/>
      <c r="I20527" s="711"/>
      <c r="J20527" s="711"/>
      <c r="K20527" s="711"/>
      <c r="L20527" s="711"/>
      <c r="Q20527" s="11"/>
      <c r="R20527" s="11"/>
      <c r="S20527" s="11"/>
      <c r="T20527" s="11"/>
    </row>
    <row r="20528" spans="8:20" x14ac:dyDescent="0.35">
      <c r="H20528" s="711"/>
      <c r="I20528" s="711"/>
      <c r="J20528" s="711"/>
      <c r="K20528" s="711"/>
      <c r="L20528" s="711"/>
      <c r="Q20528" s="11"/>
      <c r="R20528" s="11"/>
      <c r="S20528" s="11"/>
      <c r="T20528" s="11"/>
    </row>
    <row r="20529" spans="8:20" x14ac:dyDescent="0.35">
      <c r="H20529" s="711"/>
      <c r="I20529" s="711"/>
      <c r="J20529" s="711"/>
      <c r="K20529" s="711"/>
      <c r="L20529" s="711"/>
      <c r="Q20529" s="11"/>
      <c r="R20529" s="11"/>
      <c r="S20529" s="11"/>
      <c r="T20529" s="11"/>
    </row>
    <row r="20530" spans="8:20" x14ac:dyDescent="0.35">
      <c r="H20530" s="711"/>
      <c r="I20530" s="711"/>
      <c r="J20530" s="711"/>
      <c r="K20530" s="711"/>
      <c r="L20530" s="711"/>
      <c r="Q20530" s="11"/>
      <c r="R20530" s="11"/>
      <c r="S20530" s="11"/>
      <c r="T20530" s="11"/>
    </row>
    <row r="20531" spans="8:20" x14ac:dyDescent="0.35">
      <c r="H20531" s="711"/>
      <c r="I20531" s="711"/>
      <c r="J20531" s="711"/>
      <c r="K20531" s="711"/>
      <c r="L20531" s="711"/>
      <c r="Q20531" s="11"/>
      <c r="R20531" s="11"/>
      <c r="S20531" s="11"/>
      <c r="T20531" s="11"/>
    </row>
    <row r="20532" spans="8:20" x14ac:dyDescent="0.35">
      <c r="H20532" s="711"/>
      <c r="I20532" s="711"/>
      <c r="J20532" s="711"/>
      <c r="K20532" s="711"/>
      <c r="L20532" s="711"/>
      <c r="Q20532" s="11"/>
      <c r="R20532" s="11"/>
      <c r="S20532" s="11"/>
      <c r="T20532" s="11"/>
    </row>
    <row r="20533" spans="8:20" x14ac:dyDescent="0.35">
      <c r="H20533" s="711"/>
      <c r="I20533" s="711"/>
      <c r="J20533" s="711"/>
      <c r="K20533" s="711"/>
      <c r="L20533" s="711"/>
      <c r="Q20533" s="11"/>
      <c r="R20533" s="11"/>
      <c r="S20533" s="11"/>
      <c r="T20533" s="11"/>
    </row>
    <row r="20534" spans="8:20" x14ac:dyDescent="0.35">
      <c r="H20534" s="711"/>
      <c r="I20534" s="711"/>
      <c r="J20534" s="711"/>
      <c r="K20534" s="711"/>
      <c r="L20534" s="711"/>
      <c r="Q20534" s="11"/>
      <c r="R20534" s="11"/>
      <c r="S20534" s="11"/>
      <c r="T20534" s="11"/>
    </row>
    <row r="20535" spans="8:20" x14ac:dyDescent="0.35">
      <c r="H20535" s="711"/>
      <c r="I20535" s="711"/>
      <c r="J20535" s="711"/>
      <c r="K20535" s="711"/>
      <c r="L20535" s="711"/>
      <c r="Q20535" s="11"/>
      <c r="R20535" s="11"/>
      <c r="S20535" s="11"/>
      <c r="T20535" s="11"/>
    </row>
    <row r="20536" spans="8:20" x14ac:dyDescent="0.35">
      <c r="H20536" s="711"/>
      <c r="I20536" s="711"/>
      <c r="J20536" s="711"/>
      <c r="K20536" s="711"/>
      <c r="L20536" s="711"/>
      <c r="Q20536" s="11"/>
      <c r="R20536" s="11"/>
      <c r="S20536" s="11"/>
      <c r="T20536" s="11"/>
    </row>
    <row r="20537" spans="8:20" x14ac:dyDescent="0.35">
      <c r="H20537" s="711"/>
      <c r="I20537" s="711"/>
      <c r="J20537" s="711"/>
      <c r="K20537" s="711"/>
      <c r="L20537" s="711"/>
      <c r="Q20537" s="11"/>
      <c r="R20537" s="11"/>
      <c r="S20537" s="11"/>
      <c r="T20537" s="11"/>
    </row>
    <row r="20538" spans="8:20" x14ac:dyDescent="0.35">
      <c r="H20538" s="711"/>
      <c r="I20538" s="711"/>
      <c r="J20538" s="711"/>
      <c r="K20538" s="711"/>
      <c r="L20538" s="711"/>
      <c r="Q20538" s="11"/>
      <c r="R20538" s="11"/>
      <c r="S20538" s="11"/>
      <c r="T20538" s="11"/>
    </row>
    <row r="20539" spans="8:20" x14ac:dyDescent="0.35">
      <c r="H20539" s="711"/>
      <c r="I20539" s="711"/>
      <c r="J20539" s="711"/>
      <c r="K20539" s="711"/>
      <c r="L20539" s="711"/>
      <c r="Q20539" s="11"/>
      <c r="R20539" s="11"/>
      <c r="S20539" s="11"/>
      <c r="T20539" s="11"/>
    </row>
    <row r="20540" spans="8:20" x14ac:dyDescent="0.35">
      <c r="H20540" s="711"/>
      <c r="I20540" s="711"/>
      <c r="J20540" s="711"/>
      <c r="K20540" s="711"/>
      <c r="L20540" s="711"/>
      <c r="Q20540" s="11"/>
      <c r="R20540" s="11"/>
      <c r="S20540" s="11"/>
      <c r="T20540" s="11"/>
    </row>
    <row r="20541" spans="8:20" x14ac:dyDescent="0.35">
      <c r="H20541" s="711"/>
      <c r="I20541" s="711"/>
      <c r="J20541" s="711"/>
      <c r="K20541" s="711"/>
      <c r="L20541" s="711"/>
      <c r="Q20541" s="11"/>
      <c r="R20541" s="11"/>
      <c r="S20541" s="11"/>
      <c r="T20541" s="11"/>
    </row>
    <row r="20542" spans="8:20" x14ac:dyDescent="0.35">
      <c r="H20542" s="711"/>
      <c r="I20542" s="711"/>
      <c r="J20542" s="711"/>
      <c r="K20542" s="711"/>
      <c r="L20542" s="711"/>
      <c r="Q20542" s="11"/>
      <c r="R20542" s="11"/>
      <c r="S20542" s="11"/>
      <c r="T20542" s="11"/>
    </row>
    <row r="20543" spans="8:20" x14ac:dyDescent="0.35">
      <c r="H20543" s="711"/>
      <c r="I20543" s="711"/>
      <c r="J20543" s="711"/>
      <c r="K20543" s="711"/>
      <c r="L20543" s="711"/>
      <c r="Q20543" s="11"/>
      <c r="R20543" s="11"/>
      <c r="S20543" s="11"/>
      <c r="T20543" s="11"/>
    </row>
    <row r="20544" spans="8:20" x14ac:dyDescent="0.35">
      <c r="H20544" s="711"/>
      <c r="I20544" s="711"/>
      <c r="J20544" s="711"/>
      <c r="K20544" s="711"/>
      <c r="L20544" s="711"/>
      <c r="Q20544" s="11"/>
      <c r="R20544" s="11"/>
      <c r="S20544" s="11"/>
      <c r="T20544" s="11"/>
    </row>
    <row r="20545" spans="8:20" x14ac:dyDescent="0.35">
      <c r="H20545" s="711"/>
      <c r="I20545" s="711"/>
      <c r="J20545" s="711"/>
      <c r="K20545" s="711"/>
      <c r="L20545" s="711"/>
      <c r="Q20545" s="11"/>
      <c r="R20545" s="11"/>
      <c r="S20545" s="11"/>
      <c r="T20545" s="11"/>
    </row>
    <row r="20546" spans="8:20" x14ac:dyDescent="0.35">
      <c r="H20546" s="711"/>
      <c r="I20546" s="711"/>
      <c r="J20546" s="711"/>
      <c r="K20546" s="711"/>
      <c r="L20546" s="711"/>
      <c r="Q20546" s="11"/>
      <c r="R20546" s="11"/>
      <c r="S20546" s="11"/>
      <c r="T20546" s="11"/>
    </row>
    <row r="20547" spans="8:20" x14ac:dyDescent="0.35">
      <c r="H20547" s="711"/>
      <c r="I20547" s="711"/>
      <c r="J20547" s="711"/>
      <c r="K20547" s="711"/>
      <c r="L20547" s="711"/>
      <c r="Q20547" s="11"/>
      <c r="R20547" s="11"/>
      <c r="S20547" s="11"/>
      <c r="T20547" s="11"/>
    </row>
    <row r="20548" spans="8:20" x14ac:dyDescent="0.35">
      <c r="H20548" s="711"/>
      <c r="I20548" s="711"/>
      <c r="J20548" s="711"/>
      <c r="K20548" s="711"/>
      <c r="L20548" s="711"/>
      <c r="Q20548" s="11"/>
      <c r="R20548" s="11"/>
      <c r="S20548" s="11"/>
      <c r="T20548" s="11"/>
    </row>
    <row r="20549" spans="8:20" x14ac:dyDescent="0.35">
      <c r="H20549" s="711"/>
      <c r="I20549" s="711"/>
      <c r="J20549" s="711"/>
      <c r="K20549" s="711"/>
      <c r="L20549" s="711"/>
      <c r="Q20549" s="11"/>
      <c r="R20549" s="11"/>
      <c r="S20549" s="11"/>
      <c r="T20549" s="11"/>
    </row>
    <row r="20550" spans="8:20" x14ac:dyDescent="0.35">
      <c r="H20550" s="711"/>
      <c r="I20550" s="711"/>
      <c r="J20550" s="711"/>
      <c r="K20550" s="711"/>
      <c r="L20550" s="711"/>
      <c r="Q20550" s="11"/>
      <c r="R20550" s="11"/>
      <c r="S20550" s="11"/>
      <c r="T20550" s="11"/>
    </row>
    <row r="20551" spans="8:20" x14ac:dyDescent="0.35">
      <c r="H20551" s="711"/>
      <c r="I20551" s="711"/>
      <c r="J20551" s="711"/>
      <c r="K20551" s="711"/>
      <c r="L20551" s="711"/>
      <c r="Q20551" s="11"/>
      <c r="R20551" s="11"/>
      <c r="S20551" s="11"/>
      <c r="T20551" s="11"/>
    </row>
    <row r="20552" spans="8:20" x14ac:dyDescent="0.35">
      <c r="H20552" s="711"/>
      <c r="I20552" s="711"/>
      <c r="J20552" s="711"/>
      <c r="K20552" s="711"/>
      <c r="L20552" s="711"/>
      <c r="Q20552" s="11"/>
      <c r="R20552" s="11"/>
      <c r="S20552" s="11"/>
      <c r="T20552" s="11"/>
    </row>
    <row r="20553" spans="8:20" x14ac:dyDescent="0.35">
      <c r="H20553" s="711"/>
      <c r="I20553" s="711"/>
      <c r="J20553" s="711"/>
      <c r="K20553" s="711"/>
      <c r="L20553" s="711"/>
      <c r="Q20553" s="11"/>
      <c r="R20553" s="11"/>
      <c r="S20553" s="11"/>
      <c r="T20553" s="11"/>
    </row>
    <row r="20554" spans="8:20" x14ac:dyDescent="0.35">
      <c r="H20554" s="711"/>
      <c r="I20554" s="711"/>
      <c r="J20554" s="711"/>
      <c r="K20554" s="711"/>
      <c r="L20554" s="711"/>
      <c r="Q20554" s="11"/>
      <c r="R20554" s="11"/>
      <c r="S20554" s="11"/>
      <c r="T20554" s="11"/>
    </row>
    <row r="20555" spans="8:20" x14ac:dyDescent="0.35">
      <c r="H20555" s="711"/>
      <c r="I20555" s="711"/>
      <c r="J20555" s="711"/>
      <c r="K20555" s="711"/>
      <c r="L20555" s="711"/>
      <c r="Q20555" s="11"/>
      <c r="R20555" s="11"/>
      <c r="S20555" s="11"/>
      <c r="T20555" s="11"/>
    </row>
    <row r="20556" spans="8:20" x14ac:dyDescent="0.35">
      <c r="H20556" s="711"/>
      <c r="I20556" s="711"/>
      <c r="J20556" s="711"/>
      <c r="K20556" s="711"/>
      <c r="L20556" s="711"/>
      <c r="Q20556" s="11"/>
      <c r="R20556" s="11"/>
      <c r="S20556" s="11"/>
      <c r="T20556" s="11"/>
    </row>
    <row r="20557" spans="8:20" x14ac:dyDescent="0.35">
      <c r="H20557" s="711"/>
      <c r="I20557" s="711"/>
      <c r="J20557" s="711"/>
      <c r="K20557" s="711"/>
      <c r="L20557" s="711"/>
      <c r="Q20557" s="11"/>
      <c r="R20557" s="11"/>
      <c r="S20557" s="11"/>
      <c r="T20557" s="11"/>
    </row>
    <row r="20558" spans="8:20" x14ac:dyDescent="0.35">
      <c r="H20558" s="711"/>
      <c r="I20558" s="711"/>
      <c r="J20558" s="711"/>
      <c r="K20558" s="711"/>
      <c r="L20558" s="711"/>
      <c r="Q20558" s="11"/>
      <c r="R20558" s="11"/>
      <c r="S20558" s="11"/>
      <c r="T20558" s="11"/>
    </row>
    <row r="20559" spans="8:20" x14ac:dyDescent="0.35">
      <c r="H20559" s="711"/>
      <c r="I20559" s="711"/>
      <c r="J20559" s="711"/>
      <c r="K20559" s="711"/>
      <c r="L20559" s="711"/>
      <c r="Q20559" s="11"/>
      <c r="R20559" s="11"/>
      <c r="S20559" s="11"/>
      <c r="T20559" s="11"/>
    </row>
    <row r="20560" spans="8:20" x14ac:dyDescent="0.35">
      <c r="H20560" s="711"/>
      <c r="I20560" s="711"/>
      <c r="J20560" s="711"/>
      <c r="K20560" s="711"/>
      <c r="L20560" s="711"/>
      <c r="Q20560" s="11"/>
      <c r="R20560" s="11"/>
      <c r="S20560" s="11"/>
      <c r="T20560" s="11"/>
    </row>
    <row r="20561" spans="8:20" x14ac:dyDescent="0.35">
      <c r="H20561" s="711"/>
      <c r="I20561" s="711"/>
      <c r="J20561" s="711"/>
      <c r="K20561" s="711"/>
      <c r="L20561" s="711"/>
      <c r="Q20561" s="11"/>
      <c r="R20561" s="11"/>
      <c r="S20561" s="11"/>
      <c r="T20561" s="11"/>
    </row>
    <row r="20562" spans="8:20" x14ac:dyDescent="0.35">
      <c r="H20562" s="711"/>
      <c r="I20562" s="711"/>
      <c r="J20562" s="711"/>
      <c r="K20562" s="711"/>
      <c r="L20562" s="711"/>
      <c r="Q20562" s="11"/>
      <c r="R20562" s="11"/>
      <c r="S20562" s="11"/>
      <c r="T20562" s="11"/>
    </row>
    <row r="20563" spans="8:20" x14ac:dyDescent="0.35">
      <c r="H20563" s="711"/>
      <c r="I20563" s="711"/>
      <c r="J20563" s="711"/>
      <c r="K20563" s="711"/>
      <c r="L20563" s="711"/>
      <c r="Q20563" s="11"/>
      <c r="R20563" s="11"/>
      <c r="S20563" s="11"/>
      <c r="T20563" s="11"/>
    </row>
    <row r="20564" spans="8:20" x14ac:dyDescent="0.35">
      <c r="H20564" s="711"/>
      <c r="I20564" s="711"/>
      <c r="J20564" s="711"/>
      <c r="K20564" s="711"/>
      <c r="L20564" s="711"/>
      <c r="Q20564" s="11"/>
      <c r="R20564" s="11"/>
      <c r="S20564" s="11"/>
      <c r="T20564" s="11"/>
    </row>
    <row r="20565" spans="8:20" x14ac:dyDescent="0.35">
      <c r="H20565" s="711"/>
      <c r="I20565" s="711"/>
      <c r="J20565" s="711"/>
      <c r="K20565" s="711"/>
      <c r="L20565" s="711"/>
      <c r="Q20565" s="11"/>
      <c r="R20565" s="11"/>
      <c r="S20565" s="11"/>
      <c r="T20565" s="11"/>
    </row>
    <row r="20566" spans="8:20" x14ac:dyDescent="0.35">
      <c r="H20566" s="711"/>
      <c r="I20566" s="711"/>
      <c r="J20566" s="711"/>
      <c r="K20566" s="711"/>
      <c r="L20566" s="711"/>
      <c r="Q20566" s="11"/>
      <c r="R20566" s="11"/>
      <c r="S20566" s="11"/>
      <c r="T20566" s="11"/>
    </row>
    <row r="20567" spans="8:20" x14ac:dyDescent="0.35">
      <c r="H20567" s="711"/>
      <c r="I20567" s="711"/>
      <c r="J20567" s="711"/>
      <c r="K20567" s="711"/>
      <c r="L20567" s="711"/>
      <c r="Q20567" s="11"/>
      <c r="R20567" s="11"/>
      <c r="S20567" s="11"/>
      <c r="T20567" s="11"/>
    </row>
    <row r="20568" spans="8:20" x14ac:dyDescent="0.35">
      <c r="H20568" s="711"/>
      <c r="I20568" s="711"/>
      <c r="J20568" s="711"/>
      <c r="K20568" s="711"/>
      <c r="L20568" s="711"/>
      <c r="Q20568" s="11"/>
      <c r="R20568" s="11"/>
      <c r="S20568" s="11"/>
      <c r="T20568" s="11"/>
    </row>
    <row r="20569" spans="8:20" x14ac:dyDescent="0.35">
      <c r="H20569" s="711"/>
      <c r="I20569" s="711"/>
      <c r="J20569" s="711"/>
      <c r="K20569" s="711"/>
      <c r="L20569" s="711"/>
      <c r="Q20569" s="11"/>
      <c r="R20569" s="11"/>
      <c r="S20569" s="11"/>
      <c r="T20569" s="11"/>
    </row>
    <row r="20570" spans="8:20" x14ac:dyDescent="0.35">
      <c r="H20570" s="711"/>
      <c r="I20570" s="711"/>
      <c r="J20570" s="711"/>
      <c r="K20570" s="711"/>
      <c r="L20570" s="711"/>
      <c r="Q20570" s="11"/>
      <c r="R20570" s="11"/>
      <c r="S20570" s="11"/>
      <c r="T20570" s="11"/>
    </row>
    <row r="20571" spans="8:20" x14ac:dyDescent="0.35">
      <c r="H20571" s="711"/>
      <c r="I20571" s="711"/>
      <c r="J20571" s="711"/>
      <c r="K20571" s="711"/>
      <c r="L20571" s="711"/>
      <c r="Q20571" s="11"/>
      <c r="R20571" s="11"/>
      <c r="S20571" s="11"/>
      <c r="T20571" s="11"/>
    </row>
    <row r="20572" spans="8:20" x14ac:dyDescent="0.35">
      <c r="H20572" s="711"/>
      <c r="I20572" s="711"/>
      <c r="J20572" s="711"/>
      <c r="K20572" s="711"/>
      <c r="L20572" s="711"/>
      <c r="Q20572" s="11"/>
      <c r="R20572" s="11"/>
      <c r="S20572" s="11"/>
      <c r="T20572" s="11"/>
    </row>
    <row r="20573" spans="8:20" x14ac:dyDescent="0.35">
      <c r="H20573" s="711"/>
      <c r="I20573" s="711"/>
      <c r="J20573" s="711"/>
      <c r="K20573" s="711"/>
      <c r="L20573" s="711"/>
      <c r="Q20573" s="11"/>
      <c r="R20573" s="11"/>
      <c r="S20573" s="11"/>
      <c r="T20573" s="11"/>
    </row>
    <row r="20574" spans="8:20" x14ac:dyDescent="0.35">
      <c r="H20574" s="711"/>
      <c r="I20574" s="711"/>
      <c r="J20574" s="711"/>
      <c r="K20574" s="711"/>
      <c r="L20574" s="711"/>
      <c r="Q20574" s="11"/>
      <c r="R20574" s="11"/>
      <c r="S20574" s="11"/>
      <c r="T20574" s="11"/>
    </row>
    <row r="20575" spans="8:20" x14ac:dyDescent="0.35">
      <c r="H20575" s="711"/>
      <c r="I20575" s="711"/>
      <c r="J20575" s="711"/>
      <c r="K20575" s="711"/>
      <c r="L20575" s="711"/>
      <c r="Q20575" s="11"/>
      <c r="R20575" s="11"/>
      <c r="S20575" s="11"/>
      <c r="T20575" s="11"/>
    </row>
    <row r="20576" spans="8:20" x14ac:dyDescent="0.35">
      <c r="H20576" s="711"/>
      <c r="I20576" s="711"/>
      <c r="J20576" s="711"/>
      <c r="K20576" s="711"/>
      <c r="L20576" s="711"/>
      <c r="Q20576" s="11"/>
      <c r="R20576" s="11"/>
      <c r="S20576" s="11"/>
      <c r="T20576" s="11"/>
    </row>
    <row r="20577" spans="8:20" x14ac:dyDescent="0.35">
      <c r="H20577" s="711"/>
      <c r="I20577" s="711"/>
      <c r="J20577" s="711"/>
      <c r="K20577" s="711"/>
      <c r="L20577" s="711"/>
      <c r="Q20577" s="11"/>
      <c r="R20577" s="11"/>
      <c r="S20577" s="11"/>
      <c r="T20577" s="11"/>
    </row>
    <row r="20578" spans="8:20" x14ac:dyDescent="0.35">
      <c r="H20578" s="711"/>
      <c r="I20578" s="711"/>
      <c r="J20578" s="711"/>
      <c r="K20578" s="711"/>
      <c r="L20578" s="711"/>
      <c r="Q20578" s="11"/>
      <c r="R20578" s="11"/>
      <c r="S20578" s="11"/>
      <c r="T20578" s="11"/>
    </row>
    <row r="20579" spans="8:20" x14ac:dyDescent="0.35">
      <c r="H20579" s="711"/>
      <c r="I20579" s="711"/>
      <c r="J20579" s="711"/>
      <c r="K20579" s="711"/>
      <c r="L20579" s="711"/>
      <c r="Q20579" s="11"/>
      <c r="R20579" s="11"/>
      <c r="S20579" s="11"/>
      <c r="T20579" s="11"/>
    </row>
    <row r="20580" spans="8:20" x14ac:dyDescent="0.35">
      <c r="H20580" s="711"/>
      <c r="I20580" s="711"/>
      <c r="J20580" s="711"/>
      <c r="K20580" s="711"/>
      <c r="L20580" s="711"/>
      <c r="Q20580" s="11"/>
      <c r="R20580" s="11"/>
      <c r="S20580" s="11"/>
      <c r="T20580" s="11"/>
    </row>
    <row r="20581" spans="8:20" x14ac:dyDescent="0.35">
      <c r="H20581" s="711"/>
      <c r="I20581" s="711"/>
      <c r="J20581" s="711"/>
      <c r="K20581" s="711"/>
      <c r="L20581" s="711"/>
      <c r="Q20581" s="11"/>
      <c r="R20581" s="11"/>
      <c r="S20581" s="11"/>
      <c r="T20581" s="11"/>
    </row>
    <row r="20582" spans="8:20" x14ac:dyDescent="0.35">
      <c r="H20582" s="711"/>
      <c r="I20582" s="711"/>
      <c r="J20582" s="711"/>
      <c r="K20582" s="711"/>
      <c r="L20582" s="711"/>
      <c r="Q20582" s="11"/>
      <c r="R20582" s="11"/>
      <c r="S20582" s="11"/>
      <c r="T20582" s="11"/>
    </row>
    <row r="20583" spans="8:20" x14ac:dyDescent="0.35">
      <c r="H20583" s="711"/>
      <c r="I20583" s="711"/>
      <c r="J20583" s="711"/>
      <c r="K20583" s="711"/>
      <c r="L20583" s="711"/>
      <c r="Q20583" s="11"/>
      <c r="R20583" s="11"/>
      <c r="S20583" s="11"/>
      <c r="T20583" s="11"/>
    </row>
    <row r="20584" spans="8:20" x14ac:dyDescent="0.35">
      <c r="H20584" s="711"/>
      <c r="I20584" s="711"/>
      <c r="J20584" s="711"/>
      <c r="K20584" s="711"/>
      <c r="L20584" s="711"/>
      <c r="Q20584" s="11"/>
      <c r="R20584" s="11"/>
      <c r="S20584" s="11"/>
      <c r="T20584" s="11"/>
    </row>
    <row r="20585" spans="8:20" x14ac:dyDescent="0.35">
      <c r="H20585" s="711"/>
      <c r="I20585" s="711"/>
      <c r="J20585" s="711"/>
      <c r="K20585" s="711"/>
      <c r="L20585" s="711"/>
      <c r="Q20585" s="11"/>
      <c r="R20585" s="11"/>
      <c r="S20585" s="11"/>
      <c r="T20585" s="11"/>
    </row>
    <row r="20586" spans="8:20" x14ac:dyDescent="0.35">
      <c r="H20586" s="711"/>
      <c r="I20586" s="711"/>
      <c r="J20586" s="711"/>
      <c r="K20586" s="711"/>
      <c r="L20586" s="711"/>
      <c r="Q20586" s="11"/>
      <c r="R20586" s="11"/>
      <c r="S20586" s="11"/>
      <c r="T20586" s="11"/>
    </row>
    <row r="20587" spans="8:20" x14ac:dyDescent="0.35">
      <c r="H20587" s="711"/>
      <c r="I20587" s="711"/>
      <c r="J20587" s="711"/>
      <c r="K20587" s="711"/>
      <c r="L20587" s="711"/>
      <c r="Q20587" s="11"/>
      <c r="R20587" s="11"/>
      <c r="S20587" s="11"/>
      <c r="T20587" s="11"/>
    </row>
    <row r="20588" spans="8:20" x14ac:dyDescent="0.35">
      <c r="H20588" s="711"/>
      <c r="I20588" s="711"/>
      <c r="J20588" s="711"/>
      <c r="K20588" s="711"/>
      <c r="L20588" s="711"/>
      <c r="Q20588" s="11"/>
      <c r="R20588" s="11"/>
      <c r="S20588" s="11"/>
      <c r="T20588" s="11"/>
    </row>
    <row r="20589" spans="8:20" x14ac:dyDescent="0.35">
      <c r="H20589" s="711"/>
      <c r="I20589" s="711"/>
      <c r="J20589" s="711"/>
      <c r="K20589" s="711"/>
      <c r="L20589" s="711"/>
      <c r="Q20589" s="11"/>
      <c r="R20589" s="11"/>
      <c r="S20589" s="11"/>
      <c r="T20589" s="11"/>
    </row>
    <row r="20590" spans="8:20" x14ac:dyDescent="0.35">
      <c r="H20590" s="711"/>
      <c r="I20590" s="711"/>
      <c r="J20590" s="711"/>
      <c r="K20590" s="711"/>
      <c r="L20590" s="711"/>
      <c r="Q20590" s="11"/>
      <c r="R20590" s="11"/>
      <c r="S20590" s="11"/>
      <c r="T20590" s="11"/>
    </row>
    <row r="20591" spans="8:20" x14ac:dyDescent="0.35">
      <c r="H20591" s="711"/>
      <c r="I20591" s="711"/>
      <c r="J20591" s="711"/>
      <c r="K20591" s="711"/>
      <c r="L20591" s="711"/>
      <c r="Q20591" s="11"/>
      <c r="R20591" s="11"/>
      <c r="S20591" s="11"/>
      <c r="T20591" s="11"/>
    </row>
    <row r="20592" spans="8:20" x14ac:dyDescent="0.35">
      <c r="H20592" s="711"/>
      <c r="I20592" s="711"/>
      <c r="J20592" s="711"/>
      <c r="K20592" s="711"/>
      <c r="L20592" s="711"/>
      <c r="Q20592" s="11"/>
      <c r="R20592" s="11"/>
      <c r="S20592" s="11"/>
      <c r="T20592" s="11"/>
    </row>
    <row r="20593" spans="8:20" x14ac:dyDescent="0.35">
      <c r="H20593" s="711"/>
      <c r="I20593" s="711"/>
      <c r="J20593" s="711"/>
      <c r="K20593" s="711"/>
      <c r="L20593" s="711"/>
      <c r="Q20593" s="11"/>
      <c r="R20593" s="11"/>
      <c r="S20593" s="11"/>
      <c r="T20593" s="11"/>
    </row>
    <row r="20594" spans="8:20" x14ac:dyDescent="0.35">
      <c r="H20594" s="711"/>
      <c r="I20594" s="711"/>
      <c r="J20594" s="711"/>
      <c r="K20594" s="711"/>
      <c r="L20594" s="711"/>
      <c r="Q20594" s="11"/>
      <c r="R20594" s="11"/>
      <c r="S20594" s="11"/>
      <c r="T20594" s="11"/>
    </row>
    <row r="20595" spans="8:20" x14ac:dyDescent="0.35">
      <c r="H20595" s="711"/>
      <c r="I20595" s="711"/>
      <c r="J20595" s="711"/>
      <c r="K20595" s="711"/>
      <c r="L20595" s="711"/>
      <c r="Q20595" s="11"/>
      <c r="R20595" s="11"/>
      <c r="S20595" s="11"/>
      <c r="T20595" s="11"/>
    </row>
    <row r="20596" spans="8:20" x14ac:dyDescent="0.35">
      <c r="H20596" s="711"/>
      <c r="I20596" s="711"/>
      <c r="J20596" s="711"/>
      <c r="K20596" s="711"/>
      <c r="L20596" s="711"/>
      <c r="Q20596" s="11"/>
      <c r="R20596" s="11"/>
      <c r="S20596" s="11"/>
      <c r="T20596" s="11"/>
    </row>
    <row r="20597" spans="8:20" x14ac:dyDescent="0.35">
      <c r="H20597" s="711"/>
      <c r="I20597" s="711"/>
      <c r="J20597" s="711"/>
      <c r="K20597" s="711"/>
      <c r="L20597" s="711"/>
      <c r="Q20597" s="11"/>
      <c r="R20597" s="11"/>
      <c r="S20597" s="11"/>
      <c r="T20597" s="11"/>
    </row>
    <row r="20598" spans="8:20" x14ac:dyDescent="0.35">
      <c r="H20598" s="711"/>
      <c r="I20598" s="711"/>
      <c r="J20598" s="711"/>
      <c r="K20598" s="711"/>
      <c r="L20598" s="711"/>
      <c r="Q20598" s="11"/>
      <c r="R20598" s="11"/>
      <c r="S20598" s="11"/>
      <c r="T20598" s="11"/>
    </row>
    <row r="20599" spans="8:20" x14ac:dyDescent="0.35">
      <c r="H20599" s="711"/>
      <c r="I20599" s="711"/>
      <c r="J20599" s="711"/>
      <c r="K20599" s="711"/>
      <c r="L20599" s="711"/>
      <c r="Q20599" s="11"/>
      <c r="R20599" s="11"/>
      <c r="S20599" s="11"/>
      <c r="T20599" s="11"/>
    </row>
    <row r="20600" spans="8:20" x14ac:dyDescent="0.35">
      <c r="H20600" s="711"/>
      <c r="I20600" s="711"/>
      <c r="J20600" s="711"/>
      <c r="K20600" s="711"/>
      <c r="L20600" s="711"/>
      <c r="Q20600" s="11"/>
      <c r="R20600" s="11"/>
      <c r="S20600" s="11"/>
      <c r="T20600" s="11"/>
    </row>
    <row r="20601" spans="8:20" x14ac:dyDescent="0.35">
      <c r="H20601" s="711"/>
      <c r="I20601" s="711"/>
      <c r="J20601" s="711"/>
      <c r="K20601" s="711"/>
      <c r="L20601" s="711"/>
      <c r="Q20601" s="11"/>
      <c r="R20601" s="11"/>
      <c r="S20601" s="11"/>
      <c r="T20601" s="11"/>
    </row>
    <row r="20602" spans="8:20" x14ac:dyDescent="0.35">
      <c r="H20602" s="711"/>
      <c r="I20602" s="711"/>
      <c r="J20602" s="711"/>
      <c r="K20602" s="711"/>
      <c r="L20602" s="711"/>
      <c r="Q20602" s="11"/>
      <c r="R20602" s="11"/>
      <c r="S20602" s="11"/>
      <c r="T20602" s="11"/>
    </row>
    <row r="20603" spans="8:20" x14ac:dyDescent="0.35">
      <c r="H20603" s="711"/>
      <c r="I20603" s="711"/>
      <c r="J20603" s="711"/>
      <c r="K20603" s="711"/>
      <c r="L20603" s="711"/>
      <c r="Q20603" s="11"/>
      <c r="R20603" s="11"/>
      <c r="S20603" s="11"/>
      <c r="T20603" s="11"/>
    </row>
    <row r="20604" spans="8:20" x14ac:dyDescent="0.35">
      <c r="H20604" s="711"/>
      <c r="I20604" s="711"/>
      <c r="J20604" s="711"/>
      <c r="K20604" s="711"/>
      <c r="L20604" s="711"/>
      <c r="Q20604" s="11"/>
      <c r="R20604" s="11"/>
      <c r="S20604" s="11"/>
      <c r="T20604" s="11"/>
    </row>
    <row r="20605" spans="8:20" x14ac:dyDescent="0.35">
      <c r="H20605" s="711"/>
      <c r="I20605" s="711"/>
      <c r="J20605" s="711"/>
      <c r="K20605" s="711"/>
      <c r="L20605" s="711"/>
      <c r="Q20605" s="11"/>
      <c r="R20605" s="11"/>
      <c r="S20605" s="11"/>
      <c r="T20605" s="11"/>
    </row>
    <row r="20606" spans="8:20" x14ac:dyDescent="0.35">
      <c r="H20606" s="711"/>
      <c r="I20606" s="711"/>
      <c r="J20606" s="711"/>
      <c r="K20606" s="711"/>
      <c r="L20606" s="711"/>
      <c r="Q20606" s="11"/>
      <c r="R20606" s="11"/>
      <c r="S20606" s="11"/>
      <c r="T20606" s="11"/>
    </row>
    <row r="20607" spans="8:20" x14ac:dyDescent="0.35">
      <c r="H20607" s="711"/>
      <c r="I20607" s="711"/>
      <c r="J20607" s="711"/>
      <c r="K20607" s="711"/>
      <c r="L20607" s="711"/>
      <c r="Q20607" s="11"/>
      <c r="R20607" s="11"/>
      <c r="S20607" s="11"/>
      <c r="T20607" s="11"/>
    </row>
    <row r="20608" spans="8:20" x14ac:dyDescent="0.35">
      <c r="H20608" s="711"/>
      <c r="I20608" s="711"/>
      <c r="J20608" s="711"/>
      <c r="K20608" s="711"/>
      <c r="L20608" s="711"/>
      <c r="Q20608" s="11"/>
      <c r="R20608" s="11"/>
      <c r="S20608" s="11"/>
      <c r="T20608" s="11"/>
    </row>
    <row r="20609" spans="8:20" x14ac:dyDescent="0.35">
      <c r="H20609" s="711"/>
      <c r="I20609" s="711"/>
      <c r="J20609" s="711"/>
      <c r="K20609" s="711"/>
      <c r="L20609" s="711"/>
      <c r="Q20609" s="11"/>
      <c r="R20609" s="11"/>
      <c r="S20609" s="11"/>
      <c r="T20609" s="11"/>
    </row>
    <row r="20610" spans="8:20" x14ac:dyDescent="0.35">
      <c r="H20610" s="711"/>
      <c r="I20610" s="711"/>
      <c r="J20610" s="711"/>
      <c r="K20610" s="711"/>
      <c r="L20610" s="711"/>
      <c r="Q20610" s="11"/>
      <c r="R20610" s="11"/>
      <c r="S20610" s="11"/>
      <c r="T20610" s="11"/>
    </row>
    <row r="20611" spans="8:20" x14ac:dyDescent="0.35">
      <c r="H20611" s="711"/>
      <c r="I20611" s="711"/>
      <c r="J20611" s="711"/>
      <c r="K20611" s="711"/>
      <c r="L20611" s="711"/>
      <c r="Q20611" s="11"/>
      <c r="R20611" s="11"/>
      <c r="S20611" s="11"/>
      <c r="T20611" s="11"/>
    </row>
    <row r="20612" spans="8:20" x14ac:dyDescent="0.35">
      <c r="H20612" s="711"/>
      <c r="I20612" s="711"/>
      <c r="J20612" s="711"/>
      <c r="K20612" s="711"/>
      <c r="L20612" s="711"/>
      <c r="Q20612" s="11"/>
      <c r="R20612" s="11"/>
      <c r="S20612" s="11"/>
      <c r="T20612" s="11"/>
    </row>
    <row r="20613" spans="8:20" x14ac:dyDescent="0.35">
      <c r="H20613" s="711"/>
      <c r="I20613" s="711"/>
      <c r="J20613" s="711"/>
      <c r="K20613" s="711"/>
      <c r="L20613" s="711"/>
      <c r="Q20613" s="11"/>
      <c r="R20613" s="11"/>
      <c r="S20613" s="11"/>
      <c r="T20613" s="11"/>
    </row>
    <row r="20614" spans="8:20" x14ac:dyDescent="0.35">
      <c r="H20614" s="711"/>
      <c r="I20614" s="711"/>
      <c r="J20614" s="711"/>
      <c r="K20614" s="711"/>
      <c r="L20614" s="711"/>
      <c r="Q20614" s="11"/>
      <c r="R20614" s="11"/>
      <c r="S20614" s="11"/>
      <c r="T20614" s="11"/>
    </row>
    <row r="20615" spans="8:20" x14ac:dyDescent="0.35">
      <c r="H20615" s="711"/>
      <c r="I20615" s="711"/>
      <c r="J20615" s="711"/>
      <c r="K20615" s="711"/>
      <c r="L20615" s="711"/>
      <c r="Q20615" s="11"/>
      <c r="R20615" s="11"/>
      <c r="S20615" s="11"/>
      <c r="T20615" s="11"/>
    </row>
    <row r="20616" spans="8:20" x14ac:dyDescent="0.35">
      <c r="H20616" s="711"/>
      <c r="I20616" s="711"/>
      <c r="J20616" s="711"/>
      <c r="K20616" s="711"/>
      <c r="L20616" s="711"/>
      <c r="Q20616" s="11"/>
      <c r="R20616" s="11"/>
      <c r="S20616" s="11"/>
      <c r="T20616" s="11"/>
    </row>
    <row r="20617" spans="8:20" x14ac:dyDescent="0.35">
      <c r="H20617" s="711"/>
      <c r="I20617" s="711"/>
      <c r="J20617" s="711"/>
      <c r="K20617" s="711"/>
      <c r="L20617" s="711"/>
      <c r="Q20617" s="11"/>
      <c r="R20617" s="11"/>
      <c r="S20617" s="11"/>
      <c r="T20617" s="11"/>
    </row>
    <row r="20618" spans="8:20" x14ac:dyDescent="0.35">
      <c r="H20618" s="711"/>
      <c r="I20618" s="711"/>
      <c r="J20618" s="711"/>
      <c r="K20618" s="711"/>
      <c r="L20618" s="711"/>
      <c r="Q20618" s="11"/>
      <c r="R20618" s="11"/>
      <c r="S20618" s="11"/>
      <c r="T20618" s="11"/>
    </row>
    <row r="20619" spans="8:20" x14ac:dyDescent="0.35">
      <c r="H20619" s="711"/>
      <c r="I20619" s="711"/>
      <c r="J20619" s="711"/>
      <c r="K20619" s="711"/>
      <c r="L20619" s="711"/>
      <c r="Q20619" s="11"/>
      <c r="R20619" s="11"/>
      <c r="S20619" s="11"/>
      <c r="T20619" s="11"/>
    </row>
    <row r="20620" spans="8:20" x14ac:dyDescent="0.35">
      <c r="H20620" s="711"/>
      <c r="I20620" s="711"/>
      <c r="J20620" s="711"/>
      <c r="K20620" s="711"/>
      <c r="L20620" s="711"/>
      <c r="Q20620" s="11"/>
      <c r="R20620" s="11"/>
      <c r="S20620" s="11"/>
      <c r="T20620" s="11"/>
    </row>
    <row r="20621" spans="8:20" x14ac:dyDescent="0.35">
      <c r="H20621" s="711"/>
      <c r="I20621" s="711"/>
      <c r="J20621" s="711"/>
      <c r="K20621" s="711"/>
      <c r="L20621" s="711"/>
      <c r="Q20621" s="11"/>
      <c r="R20621" s="11"/>
      <c r="S20621" s="11"/>
      <c r="T20621" s="11"/>
    </row>
    <row r="20622" spans="8:20" x14ac:dyDescent="0.35">
      <c r="H20622" s="711"/>
      <c r="I20622" s="711"/>
      <c r="J20622" s="711"/>
      <c r="K20622" s="711"/>
      <c r="L20622" s="711"/>
      <c r="Q20622" s="11"/>
      <c r="R20622" s="11"/>
      <c r="S20622" s="11"/>
      <c r="T20622" s="11"/>
    </row>
    <row r="20623" spans="8:20" x14ac:dyDescent="0.35">
      <c r="H20623" s="711"/>
      <c r="I20623" s="711"/>
      <c r="J20623" s="711"/>
      <c r="K20623" s="711"/>
      <c r="L20623" s="711"/>
      <c r="Q20623" s="11"/>
      <c r="R20623" s="11"/>
      <c r="S20623" s="11"/>
      <c r="T20623" s="11"/>
    </row>
    <row r="20624" spans="8:20" x14ac:dyDescent="0.35">
      <c r="H20624" s="711"/>
      <c r="I20624" s="711"/>
      <c r="J20624" s="711"/>
      <c r="K20624" s="711"/>
      <c r="L20624" s="711"/>
      <c r="Q20624" s="11"/>
      <c r="R20624" s="11"/>
      <c r="S20624" s="11"/>
      <c r="T20624" s="11"/>
    </row>
    <row r="20625" spans="8:20" x14ac:dyDescent="0.35">
      <c r="H20625" s="711"/>
      <c r="I20625" s="711"/>
      <c r="J20625" s="711"/>
      <c r="K20625" s="711"/>
      <c r="L20625" s="711"/>
      <c r="Q20625" s="11"/>
      <c r="R20625" s="11"/>
      <c r="S20625" s="11"/>
      <c r="T20625" s="11"/>
    </row>
    <row r="20626" spans="8:20" x14ac:dyDescent="0.35">
      <c r="H20626" s="711"/>
      <c r="I20626" s="711"/>
      <c r="J20626" s="711"/>
      <c r="K20626" s="711"/>
      <c r="L20626" s="711"/>
      <c r="Q20626" s="11"/>
      <c r="R20626" s="11"/>
      <c r="S20626" s="11"/>
      <c r="T20626" s="11"/>
    </row>
    <row r="20627" spans="8:20" x14ac:dyDescent="0.35">
      <c r="H20627" s="711"/>
      <c r="I20627" s="711"/>
      <c r="J20627" s="711"/>
      <c r="K20627" s="711"/>
      <c r="L20627" s="711"/>
      <c r="Q20627" s="11"/>
      <c r="R20627" s="11"/>
      <c r="S20627" s="11"/>
      <c r="T20627" s="11"/>
    </row>
    <row r="20628" spans="8:20" x14ac:dyDescent="0.35">
      <c r="H20628" s="711"/>
      <c r="I20628" s="711"/>
      <c r="J20628" s="711"/>
      <c r="K20628" s="711"/>
      <c r="L20628" s="711"/>
      <c r="Q20628" s="11"/>
      <c r="R20628" s="11"/>
      <c r="S20628" s="11"/>
      <c r="T20628" s="11"/>
    </row>
    <row r="20629" spans="8:20" x14ac:dyDescent="0.35">
      <c r="H20629" s="711"/>
      <c r="I20629" s="711"/>
      <c r="J20629" s="711"/>
      <c r="K20629" s="711"/>
      <c r="L20629" s="711"/>
      <c r="Q20629" s="11"/>
      <c r="R20629" s="11"/>
      <c r="S20629" s="11"/>
      <c r="T20629" s="11"/>
    </row>
    <row r="20630" spans="8:20" x14ac:dyDescent="0.35">
      <c r="H20630" s="711"/>
      <c r="I20630" s="711"/>
      <c r="J20630" s="711"/>
      <c r="K20630" s="711"/>
      <c r="L20630" s="711"/>
      <c r="Q20630" s="11"/>
      <c r="R20630" s="11"/>
      <c r="S20630" s="11"/>
      <c r="T20630" s="11"/>
    </row>
    <row r="20631" spans="8:20" x14ac:dyDescent="0.35">
      <c r="H20631" s="711"/>
      <c r="I20631" s="711"/>
      <c r="J20631" s="711"/>
      <c r="K20631" s="711"/>
      <c r="L20631" s="711"/>
      <c r="Q20631" s="11"/>
      <c r="R20631" s="11"/>
      <c r="S20631" s="11"/>
      <c r="T20631" s="11"/>
    </row>
    <row r="20632" spans="8:20" x14ac:dyDescent="0.35">
      <c r="H20632" s="711"/>
      <c r="I20632" s="711"/>
      <c r="J20632" s="711"/>
      <c r="K20632" s="711"/>
      <c r="L20632" s="711"/>
      <c r="Q20632" s="11"/>
      <c r="R20632" s="11"/>
      <c r="S20632" s="11"/>
      <c r="T20632" s="11"/>
    </row>
    <row r="20633" spans="8:20" x14ac:dyDescent="0.35">
      <c r="H20633" s="711"/>
      <c r="I20633" s="711"/>
      <c r="J20633" s="711"/>
      <c r="K20633" s="711"/>
      <c r="L20633" s="711"/>
      <c r="Q20633" s="11"/>
      <c r="R20633" s="11"/>
      <c r="S20633" s="11"/>
      <c r="T20633" s="11"/>
    </row>
    <row r="20634" spans="8:20" x14ac:dyDescent="0.35">
      <c r="H20634" s="711"/>
      <c r="I20634" s="711"/>
      <c r="J20634" s="711"/>
      <c r="K20634" s="711"/>
      <c r="L20634" s="711"/>
      <c r="Q20634" s="11"/>
      <c r="R20634" s="11"/>
      <c r="S20634" s="11"/>
      <c r="T20634" s="11"/>
    </row>
    <row r="20635" spans="8:20" x14ac:dyDescent="0.35">
      <c r="H20635" s="711"/>
      <c r="I20635" s="711"/>
      <c r="J20635" s="711"/>
      <c r="K20635" s="711"/>
      <c r="L20635" s="711"/>
      <c r="Q20635" s="11"/>
      <c r="R20635" s="11"/>
      <c r="S20635" s="11"/>
      <c r="T20635" s="11"/>
    </row>
    <row r="20636" spans="8:20" x14ac:dyDescent="0.35">
      <c r="H20636" s="711"/>
      <c r="I20636" s="711"/>
      <c r="J20636" s="711"/>
      <c r="K20636" s="711"/>
      <c r="L20636" s="711"/>
      <c r="Q20636" s="11"/>
      <c r="R20636" s="11"/>
      <c r="S20636" s="11"/>
      <c r="T20636" s="11"/>
    </row>
    <row r="20637" spans="8:20" x14ac:dyDescent="0.35">
      <c r="H20637" s="711"/>
      <c r="I20637" s="711"/>
      <c r="J20637" s="711"/>
      <c r="K20637" s="711"/>
      <c r="L20637" s="711"/>
      <c r="Q20637" s="11"/>
      <c r="R20637" s="11"/>
      <c r="S20637" s="11"/>
      <c r="T20637" s="11"/>
    </row>
    <row r="20638" spans="8:20" x14ac:dyDescent="0.35">
      <c r="H20638" s="711"/>
      <c r="I20638" s="711"/>
      <c r="J20638" s="711"/>
      <c r="K20638" s="711"/>
      <c r="L20638" s="711"/>
      <c r="Q20638" s="11"/>
      <c r="R20638" s="11"/>
      <c r="S20638" s="11"/>
      <c r="T20638" s="11"/>
    </row>
    <row r="20639" spans="8:20" x14ac:dyDescent="0.35">
      <c r="H20639" s="711"/>
      <c r="I20639" s="711"/>
      <c r="J20639" s="711"/>
      <c r="K20639" s="711"/>
      <c r="L20639" s="711"/>
      <c r="Q20639" s="11"/>
      <c r="R20639" s="11"/>
      <c r="S20639" s="11"/>
      <c r="T20639" s="11"/>
    </row>
    <row r="20640" spans="8:20" x14ac:dyDescent="0.35">
      <c r="H20640" s="711"/>
      <c r="I20640" s="711"/>
      <c r="J20640" s="711"/>
      <c r="K20640" s="711"/>
      <c r="L20640" s="711"/>
      <c r="Q20640" s="11"/>
      <c r="R20640" s="11"/>
      <c r="S20640" s="11"/>
      <c r="T20640" s="11"/>
    </row>
    <row r="20641" spans="8:20" x14ac:dyDescent="0.35">
      <c r="H20641" s="711"/>
      <c r="I20641" s="711"/>
      <c r="J20641" s="711"/>
      <c r="K20641" s="711"/>
      <c r="L20641" s="711"/>
      <c r="Q20641" s="11"/>
      <c r="R20641" s="11"/>
      <c r="S20641" s="11"/>
      <c r="T20641" s="11"/>
    </row>
    <row r="20642" spans="8:20" x14ac:dyDescent="0.35">
      <c r="H20642" s="711"/>
      <c r="I20642" s="711"/>
      <c r="J20642" s="711"/>
      <c r="K20642" s="711"/>
      <c r="L20642" s="711"/>
      <c r="Q20642" s="11"/>
      <c r="R20642" s="11"/>
      <c r="S20642" s="11"/>
      <c r="T20642" s="11"/>
    </row>
    <row r="20643" spans="8:20" x14ac:dyDescent="0.35">
      <c r="H20643" s="711"/>
      <c r="I20643" s="711"/>
      <c r="J20643" s="711"/>
      <c r="K20643" s="711"/>
      <c r="L20643" s="711"/>
      <c r="Q20643" s="11"/>
      <c r="R20643" s="11"/>
      <c r="S20643" s="11"/>
      <c r="T20643" s="11"/>
    </row>
    <row r="20644" spans="8:20" x14ac:dyDescent="0.35">
      <c r="H20644" s="711"/>
      <c r="I20644" s="711"/>
      <c r="J20644" s="711"/>
      <c r="K20644" s="711"/>
      <c r="L20644" s="711"/>
      <c r="Q20644" s="11"/>
      <c r="R20644" s="11"/>
      <c r="S20644" s="11"/>
      <c r="T20644" s="11"/>
    </row>
    <row r="20645" spans="8:20" x14ac:dyDescent="0.35">
      <c r="H20645" s="711"/>
      <c r="I20645" s="711"/>
      <c r="J20645" s="711"/>
      <c r="K20645" s="711"/>
      <c r="L20645" s="711"/>
      <c r="Q20645" s="11"/>
      <c r="R20645" s="11"/>
      <c r="S20645" s="11"/>
      <c r="T20645" s="11"/>
    </row>
    <row r="20646" spans="8:20" x14ac:dyDescent="0.35">
      <c r="H20646" s="711"/>
      <c r="I20646" s="711"/>
      <c r="J20646" s="711"/>
      <c r="K20646" s="711"/>
      <c r="L20646" s="711"/>
      <c r="Q20646" s="11"/>
      <c r="R20646" s="11"/>
      <c r="S20646" s="11"/>
      <c r="T20646" s="11"/>
    </row>
    <row r="20647" spans="8:20" x14ac:dyDescent="0.35">
      <c r="H20647" s="711"/>
      <c r="I20647" s="711"/>
      <c r="J20647" s="711"/>
      <c r="K20647" s="711"/>
      <c r="L20647" s="711"/>
      <c r="Q20647" s="11"/>
      <c r="R20647" s="11"/>
      <c r="S20647" s="11"/>
      <c r="T20647" s="11"/>
    </row>
    <row r="20648" spans="8:20" x14ac:dyDescent="0.35">
      <c r="H20648" s="711"/>
      <c r="I20648" s="711"/>
      <c r="J20648" s="711"/>
      <c r="K20648" s="711"/>
      <c r="L20648" s="711"/>
      <c r="Q20648" s="11"/>
      <c r="R20648" s="11"/>
      <c r="S20648" s="11"/>
      <c r="T20648" s="11"/>
    </row>
    <row r="20649" spans="8:20" x14ac:dyDescent="0.35">
      <c r="H20649" s="711"/>
      <c r="I20649" s="711"/>
      <c r="J20649" s="711"/>
      <c r="K20649" s="711"/>
      <c r="L20649" s="711"/>
      <c r="Q20649" s="11"/>
      <c r="R20649" s="11"/>
      <c r="S20649" s="11"/>
      <c r="T20649" s="11"/>
    </row>
    <row r="20650" spans="8:20" x14ac:dyDescent="0.35">
      <c r="H20650" s="711"/>
      <c r="I20650" s="711"/>
      <c r="J20650" s="711"/>
      <c r="K20650" s="711"/>
      <c r="L20650" s="711"/>
      <c r="Q20650" s="11"/>
      <c r="R20650" s="11"/>
      <c r="S20650" s="11"/>
      <c r="T20650" s="11"/>
    </row>
    <row r="20651" spans="8:20" x14ac:dyDescent="0.35">
      <c r="H20651" s="711"/>
      <c r="I20651" s="711"/>
      <c r="J20651" s="711"/>
      <c r="K20651" s="711"/>
      <c r="L20651" s="711"/>
      <c r="Q20651" s="11"/>
      <c r="R20651" s="11"/>
      <c r="S20651" s="11"/>
      <c r="T20651" s="11"/>
    </row>
    <row r="20652" spans="8:20" x14ac:dyDescent="0.35">
      <c r="H20652" s="711"/>
      <c r="I20652" s="711"/>
      <c r="J20652" s="711"/>
      <c r="K20652" s="711"/>
      <c r="L20652" s="711"/>
      <c r="Q20652" s="11"/>
      <c r="R20652" s="11"/>
      <c r="S20652" s="11"/>
      <c r="T20652" s="11"/>
    </row>
    <row r="20653" spans="8:20" x14ac:dyDescent="0.35">
      <c r="H20653" s="711"/>
      <c r="I20653" s="711"/>
      <c r="J20653" s="711"/>
      <c r="K20653" s="711"/>
      <c r="L20653" s="711"/>
      <c r="Q20653" s="11"/>
      <c r="R20653" s="11"/>
      <c r="S20653" s="11"/>
      <c r="T20653" s="11"/>
    </row>
    <row r="20654" spans="8:20" x14ac:dyDescent="0.35">
      <c r="H20654" s="711"/>
      <c r="I20654" s="711"/>
      <c r="J20654" s="711"/>
      <c r="K20654" s="711"/>
      <c r="L20654" s="711"/>
      <c r="Q20654" s="11"/>
      <c r="R20654" s="11"/>
      <c r="S20654" s="11"/>
      <c r="T20654" s="11"/>
    </row>
    <row r="20655" spans="8:20" x14ac:dyDescent="0.35">
      <c r="H20655" s="711"/>
      <c r="I20655" s="711"/>
      <c r="J20655" s="711"/>
      <c r="K20655" s="711"/>
      <c r="L20655" s="711"/>
      <c r="Q20655" s="11"/>
      <c r="R20655" s="11"/>
      <c r="S20655" s="11"/>
      <c r="T20655" s="11"/>
    </row>
    <row r="20656" spans="8:20" x14ac:dyDescent="0.35">
      <c r="H20656" s="711"/>
      <c r="I20656" s="711"/>
      <c r="J20656" s="711"/>
      <c r="K20656" s="711"/>
      <c r="L20656" s="711"/>
      <c r="Q20656" s="11"/>
      <c r="R20656" s="11"/>
      <c r="S20656" s="11"/>
      <c r="T20656" s="11"/>
    </row>
    <row r="20657" spans="8:20" x14ac:dyDescent="0.35">
      <c r="H20657" s="711"/>
      <c r="I20657" s="711"/>
      <c r="J20657" s="711"/>
      <c r="K20657" s="711"/>
      <c r="L20657" s="711"/>
      <c r="Q20657" s="11"/>
      <c r="R20657" s="11"/>
      <c r="S20657" s="11"/>
      <c r="T20657" s="11"/>
    </row>
    <row r="20658" spans="8:20" x14ac:dyDescent="0.35">
      <c r="H20658" s="711"/>
      <c r="I20658" s="711"/>
      <c r="J20658" s="711"/>
      <c r="K20658" s="711"/>
      <c r="L20658" s="711"/>
      <c r="Q20658" s="11"/>
      <c r="R20658" s="11"/>
      <c r="S20658" s="11"/>
      <c r="T20658" s="11"/>
    </row>
    <row r="20659" spans="8:20" x14ac:dyDescent="0.35">
      <c r="H20659" s="711"/>
      <c r="I20659" s="711"/>
      <c r="J20659" s="711"/>
      <c r="K20659" s="711"/>
      <c r="L20659" s="711"/>
      <c r="Q20659" s="11"/>
      <c r="R20659" s="11"/>
      <c r="S20659" s="11"/>
      <c r="T20659" s="11"/>
    </row>
    <row r="20660" spans="8:20" x14ac:dyDescent="0.35">
      <c r="H20660" s="711"/>
      <c r="I20660" s="711"/>
      <c r="J20660" s="711"/>
      <c r="K20660" s="711"/>
      <c r="L20660" s="711"/>
      <c r="Q20660" s="11"/>
      <c r="R20660" s="11"/>
      <c r="S20660" s="11"/>
      <c r="T20660" s="11"/>
    </row>
    <row r="20661" spans="8:20" x14ac:dyDescent="0.35">
      <c r="H20661" s="711"/>
      <c r="I20661" s="711"/>
      <c r="J20661" s="711"/>
      <c r="K20661" s="711"/>
      <c r="L20661" s="711"/>
      <c r="Q20661" s="11"/>
      <c r="R20661" s="11"/>
      <c r="S20661" s="11"/>
      <c r="T20661" s="11"/>
    </row>
    <row r="20662" spans="8:20" x14ac:dyDescent="0.35">
      <c r="H20662" s="711"/>
      <c r="I20662" s="711"/>
      <c r="J20662" s="711"/>
      <c r="K20662" s="711"/>
      <c r="L20662" s="711"/>
      <c r="Q20662" s="11"/>
      <c r="R20662" s="11"/>
      <c r="S20662" s="11"/>
      <c r="T20662" s="11"/>
    </row>
    <row r="20663" spans="8:20" x14ac:dyDescent="0.35">
      <c r="H20663" s="711"/>
      <c r="I20663" s="711"/>
      <c r="J20663" s="711"/>
      <c r="K20663" s="711"/>
      <c r="L20663" s="711"/>
      <c r="Q20663" s="11"/>
      <c r="R20663" s="11"/>
      <c r="S20663" s="11"/>
      <c r="T20663" s="11"/>
    </row>
    <row r="20664" spans="8:20" x14ac:dyDescent="0.35">
      <c r="H20664" s="711"/>
      <c r="I20664" s="711"/>
      <c r="J20664" s="711"/>
      <c r="K20664" s="711"/>
      <c r="L20664" s="711"/>
      <c r="Q20664" s="11"/>
      <c r="R20664" s="11"/>
      <c r="S20664" s="11"/>
      <c r="T20664" s="11"/>
    </row>
    <row r="20665" spans="8:20" x14ac:dyDescent="0.35">
      <c r="H20665" s="711"/>
      <c r="I20665" s="711"/>
      <c r="J20665" s="711"/>
      <c r="K20665" s="711"/>
      <c r="L20665" s="711"/>
      <c r="Q20665" s="11"/>
      <c r="R20665" s="11"/>
      <c r="S20665" s="11"/>
      <c r="T20665" s="11"/>
    </row>
    <row r="20666" spans="8:20" x14ac:dyDescent="0.35">
      <c r="H20666" s="711"/>
      <c r="I20666" s="711"/>
      <c r="J20666" s="711"/>
      <c r="K20666" s="711"/>
      <c r="L20666" s="711"/>
      <c r="Q20666" s="11"/>
      <c r="R20666" s="11"/>
      <c r="S20666" s="11"/>
      <c r="T20666" s="11"/>
    </row>
    <row r="20667" spans="8:20" x14ac:dyDescent="0.35">
      <c r="H20667" s="711"/>
      <c r="I20667" s="711"/>
      <c r="J20667" s="711"/>
      <c r="K20667" s="711"/>
      <c r="L20667" s="711"/>
      <c r="Q20667" s="11"/>
      <c r="R20667" s="11"/>
      <c r="S20667" s="11"/>
      <c r="T20667" s="11"/>
    </row>
    <row r="20668" spans="8:20" x14ac:dyDescent="0.35">
      <c r="H20668" s="711"/>
      <c r="I20668" s="711"/>
      <c r="J20668" s="711"/>
      <c r="K20668" s="711"/>
      <c r="L20668" s="711"/>
      <c r="Q20668" s="11"/>
      <c r="R20668" s="11"/>
      <c r="S20668" s="11"/>
      <c r="T20668" s="11"/>
    </row>
    <row r="20669" spans="8:20" x14ac:dyDescent="0.35">
      <c r="H20669" s="711"/>
      <c r="I20669" s="711"/>
      <c r="J20669" s="711"/>
      <c r="K20669" s="711"/>
      <c r="L20669" s="711"/>
      <c r="Q20669" s="11"/>
      <c r="R20669" s="11"/>
      <c r="S20669" s="11"/>
      <c r="T20669" s="11"/>
    </row>
    <row r="20670" spans="8:20" x14ac:dyDescent="0.35">
      <c r="H20670" s="711"/>
      <c r="I20670" s="711"/>
      <c r="J20670" s="711"/>
      <c r="K20670" s="711"/>
      <c r="L20670" s="711"/>
      <c r="Q20670" s="11"/>
      <c r="R20670" s="11"/>
      <c r="S20670" s="11"/>
      <c r="T20670" s="11"/>
    </row>
    <row r="20671" spans="8:20" x14ac:dyDescent="0.35">
      <c r="H20671" s="711"/>
      <c r="I20671" s="711"/>
      <c r="J20671" s="711"/>
      <c r="K20671" s="711"/>
      <c r="L20671" s="711"/>
      <c r="Q20671" s="11"/>
      <c r="R20671" s="11"/>
      <c r="S20671" s="11"/>
      <c r="T20671" s="11"/>
    </row>
    <row r="20672" spans="8:20" x14ac:dyDescent="0.35">
      <c r="H20672" s="711"/>
      <c r="I20672" s="711"/>
      <c r="J20672" s="711"/>
      <c r="K20672" s="711"/>
      <c r="L20672" s="711"/>
      <c r="Q20672" s="11"/>
      <c r="R20672" s="11"/>
      <c r="S20672" s="11"/>
      <c r="T20672" s="11"/>
    </row>
    <row r="20673" spans="8:20" x14ac:dyDescent="0.35">
      <c r="H20673" s="711"/>
      <c r="I20673" s="711"/>
      <c r="J20673" s="711"/>
      <c r="K20673" s="711"/>
      <c r="L20673" s="711"/>
      <c r="Q20673" s="11"/>
      <c r="R20673" s="11"/>
      <c r="S20673" s="11"/>
      <c r="T20673" s="11"/>
    </row>
    <row r="20674" spans="8:20" x14ac:dyDescent="0.35">
      <c r="H20674" s="711"/>
      <c r="I20674" s="711"/>
      <c r="J20674" s="711"/>
      <c r="K20674" s="711"/>
      <c r="L20674" s="711"/>
      <c r="Q20674" s="11"/>
      <c r="R20674" s="11"/>
      <c r="S20674" s="11"/>
      <c r="T20674" s="11"/>
    </row>
    <row r="20675" spans="8:20" x14ac:dyDescent="0.35">
      <c r="H20675" s="711"/>
      <c r="I20675" s="711"/>
      <c r="J20675" s="711"/>
      <c r="K20675" s="711"/>
      <c r="L20675" s="711"/>
      <c r="Q20675" s="11"/>
      <c r="R20675" s="11"/>
      <c r="S20675" s="11"/>
      <c r="T20675" s="11"/>
    </row>
    <row r="20676" spans="8:20" x14ac:dyDescent="0.35">
      <c r="H20676" s="711"/>
      <c r="I20676" s="711"/>
      <c r="J20676" s="711"/>
      <c r="K20676" s="711"/>
      <c r="L20676" s="711"/>
      <c r="Q20676" s="11"/>
      <c r="R20676" s="11"/>
      <c r="S20676" s="11"/>
      <c r="T20676" s="11"/>
    </row>
    <row r="20677" spans="8:20" x14ac:dyDescent="0.35">
      <c r="H20677" s="711"/>
      <c r="I20677" s="711"/>
      <c r="J20677" s="711"/>
      <c r="K20677" s="711"/>
      <c r="L20677" s="711"/>
      <c r="Q20677" s="11"/>
      <c r="R20677" s="11"/>
      <c r="S20677" s="11"/>
      <c r="T20677" s="11"/>
    </row>
    <row r="20678" spans="8:20" x14ac:dyDescent="0.35">
      <c r="H20678" s="711"/>
      <c r="I20678" s="711"/>
      <c r="J20678" s="711"/>
      <c r="K20678" s="711"/>
      <c r="L20678" s="711"/>
      <c r="Q20678" s="11"/>
      <c r="R20678" s="11"/>
      <c r="S20678" s="11"/>
      <c r="T20678" s="11"/>
    </row>
    <row r="20679" spans="8:20" x14ac:dyDescent="0.35">
      <c r="H20679" s="711"/>
      <c r="I20679" s="711"/>
      <c r="J20679" s="711"/>
      <c r="K20679" s="711"/>
      <c r="L20679" s="711"/>
      <c r="Q20679" s="11"/>
      <c r="R20679" s="11"/>
      <c r="S20679" s="11"/>
      <c r="T20679" s="11"/>
    </row>
    <row r="20680" spans="8:20" x14ac:dyDescent="0.35">
      <c r="H20680" s="711"/>
      <c r="I20680" s="711"/>
      <c r="J20680" s="711"/>
      <c r="K20680" s="711"/>
      <c r="L20680" s="711"/>
      <c r="Q20680" s="11"/>
      <c r="R20680" s="11"/>
      <c r="S20680" s="11"/>
      <c r="T20680" s="11"/>
    </row>
    <row r="20681" spans="8:20" x14ac:dyDescent="0.35">
      <c r="H20681" s="711"/>
      <c r="I20681" s="711"/>
      <c r="J20681" s="711"/>
      <c r="K20681" s="711"/>
      <c r="L20681" s="711"/>
      <c r="Q20681" s="11"/>
      <c r="R20681" s="11"/>
      <c r="S20681" s="11"/>
      <c r="T20681" s="11"/>
    </row>
    <row r="20682" spans="8:20" x14ac:dyDescent="0.35">
      <c r="H20682" s="711"/>
      <c r="I20682" s="711"/>
      <c r="J20682" s="711"/>
      <c r="K20682" s="711"/>
      <c r="L20682" s="711"/>
      <c r="Q20682" s="11"/>
      <c r="R20682" s="11"/>
      <c r="S20682" s="11"/>
      <c r="T20682" s="11"/>
    </row>
    <row r="20683" spans="8:20" x14ac:dyDescent="0.35">
      <c r="H20683" s="711"/>
      <c r="I20683" s="711"/>
      <c r="J20683" s="711"/>
      <c r="K20683" s="711"/>
      <c r="L20683" s="711"/>
      <c r="Q20683" s="11"/>
      <c r="R20683" s="11"/>
      <c r="S20683" s="11"/>
      <c r="T20683" s="11"/>
    </row>
    <row r="20684" spans="8:20" x14ac:dyDescent="0.35">
      <c r="H20684" s="711"/>
      <c r="I20684" s="711"/>
      <c r="J20684" s="711"/>
      <c r="K20684" s="711"/>
      <c r="L20684" s="711"/>
      <c r="Q20684" s="11"/>
      <c r="R20684" s="11"/>
      <c r="S20684" s="11"/>
      <c r="T20684" s="11"/>
    </row>
    <row r="20685" spans="8:20" x14ac:dyDescent="0.35">
      <c r="H20685" s="711"/>
      <c r="I20685" s="711"/>
      <c r="J20685" s="711"/>
      <c r="K20685" s="711"/>
      <c r="L20685" s="711"/>
      <c r="Q20685" s="11"/>
      <c r="R20685" s="11"/>
      <c r="S20685" s="11"/>
      <c r="T20685" s="11"/>
    </row>
    <row r="20686" spans="8:20" x14ac:dyDescent="0.35">
      <c r="H20686" s="711"/>
      <c r="I20686" s="711"/>
      <c r="J20686" s="711"/>
      <c r="K20686" s="711"/>
      <c r="L20686" s="711"/>
      <c r="Q20686" s="11"/>
      <c r="R20686" s="11"/>
      <c r="S20686" s="11"/>
      <c r="T20686" s="11"/>
    </row>
    <row r="20687" spans="8:20" x14ac:dyDescent="0.35">
      <c r="H20687" s="711"/>
      <c r="I20687" s="711"/>
      <c r="J20687" s="711"/>
      <c r="K20687" s="711"/>
      <c r="L20687" s="711"/>
      <c r="Q20687" s="11"/>
      <c r="R20687" s="11"/>
      <c r="S20687" s="11"/>
      <c r="T20687" s="11"/>
    </row>
    <row r="20688" spans="8:20" x14ac:dyDescent="0.35">
      <c r="H20688" s="711"/>
      <c r="I20688" s="711"/>
      <c r="J20688" s="711"/>
      <c r="K20688" s="711"/>
      <c r="L20688" s="711"/>
      <c r="Q20688" s="11"/>
      <c r="R20688" s="11"/>
      <c r="S20688" s="11"/>
      <c r="T20688" s="11"/>
    </row>
    <row r="20689" spans="8:20" x14ac:dyDescent="0.35">
      <c r="H20689" s="711"/>
      <c r="I20689" s="711"/>
      <c r="J20689" s="711"/>
      <c r="K20689" s="711"/>
      <c r="L20689" s="711"/>
      <c r="Q20689" s="11"/>
      <c r="R20689" s="11"/>
      <c r="S20689" s="11"/>
      <c r="T20689" s="11"/>
    </row>
    <row r="20690" spans="8:20" x14ac:dyDescent="0.35">
      <c r="H20690" s="711"/>
      <c r="I20690" s="711"/>
      <c r="J20690" s="711"/>
      <c r="K20690" s="711"/>
      <c r="L20690" s="711"/>
      <c r="Q20690" s="11"/>
      <c r="R20690" s="11"/>
      <c r="S20690" s="11"/>
      <c r="T20690" s="11"/>
    </row>
    <row r="20691" spans="8:20" x14ac:dyDescent="0.35">
      <c r="H20691" s="711"/>
      <c r="I20691" s="711"/>
      <c r="J20691" s="711"/>
      <c r="K20691" s="711"/>
      <c r="L20691" s="711"/>
      <c r="Q20691" s="11"/>
      <c r="R20691" s="11"/>
      <c r="S20691" s="11"/>
      <c r="T20691" s="11"/>
    </row>
    <row r="20692" spans="8:20" x14ac:dyDescent="0.35">
      <c r="H20692" s="711"/>
      <c r="I20692" s="711"/>
      <c r="J20692" s="711"/>
      <c r="K20692" s="711"/>
      <c r="L20692" s="711"/>
      <c r="Q20692" s="11"/>
      <c r="R20692" s="11"/>
      <c r="S20692" s="11"/>
      <c r="T20692" s="11"/>
    </row>
    <row r="20693" spans="8:20" x14ac:dyDescent="0.35">
      <c r="H20693" s="711"/>
      <c r="I20693" s="711"/>
      <c r="J20693" s="711"/>
      <c r="K20693" s="711"/>
      <c r="L20693" s="711"/>
      <c r="Q20693" s="11"/>
      <c r="R20693" s="11"/>
      <c r="S20693" s="11"/>
      <c r="T20693" s="11"/>
    </row>
    <row r="20694" spans="8:20" x14ac:dyDescent="0.35">
      <c r="H20694" s="711"/>
      <c r="I20694" s="711"/>
      <c r="J20694" s="711"/>
      <c r="K20694" s="711"/>
      <c r="L20694" s="711"/>
      <c r="Q20694" s="11"/>
      <c r="R20694" s="11"/>
      <c r="S20694" s="11"/>
      <c r="T20694" s="11"/>
    </row>
    <row r="20695" spans="8:20" x14ac:dyDescent="0.35">
      <c r="H20695" s="711"/>
      <c r="I20695" s="711"/>
      <c r="J20695" s="711"/>
      <c r="K20695" s="711"/>
      <c r="L20695" s="711"/>
      <c r="Q20695" s="11"/>
      <c r="R20695" s="11"/>
      <c r="S20695" s="11"/>
      <c r="T20695" s="11"/>
    </row>
    <row r="20696" spans="8:20" x14ac:dyDescent="0.35">
      <c r="H20696" s="711"/>
      <c r="I20696" s="711"/>
      <c r="J20696" s="711"/>
      <c r="K20696" s="711"/>
      <c r="L20696" s="711"/>
      <c r="Q20696" s="11"/>
      <c r="R20696" s="11"/>
      <c r="S20696" s="11"/>
      <c r="T20696" s="11"/>
    </row>
    <row r="20697" spans="8:20" x14ac:dyDescent="0.35">
      <c r="H20697" s="711"/>
      <c r="I20697" s="711"/>
      <c r="J20697" s="711"/>
      <c r="K20697" s="711"/>
      <c r="L20697" s="711"/>
      <c r="Q20697" s="11"/>
      <c r="R20697" s="11"/>
      <c r="S20697" s="11"/>
      <c r="T20697" s="11"/>
    </row>
    <row r="20698" spans="8:20" x14ac:dyDescent="0.35">
      <c r="H20698" s="711"/>
      <c r="I20698" s="711"/>
      <c r="J20698" s="711"/>
      <c r="K20698" s="711"/>
      <c r="L20698" s="711"/>
      <c r="Q20698" s="11"/>
      <c r="R20698" s="11"/>
      <c r="S20698" s="11"/>
      <c r="T20698" s="11"/>
    </row>
    <row r="20699" spans="8:20" x14ac:dyDescent="0.35">
      <c r="H20699" s="711"/>
      <c r="I20699" s="711"/>
      <c r="J20699" s="711"/>
      <c r="K20699" s="711"/>
      <c r="L20699" s="711"/>
      <c r="Q20699" s="11"/>
      <c r="R20699" s="11"/>
      <c r="S20699" s="11"/>
      <c r="T20699" s="11"/>
    </row>
    <row r="20700" spans="8:20" x14ac:dyDescent="0.35">
      <c r="H20700" s="711"/>
      <c r="I20700" s="711"/>
      <c r="J20700" s="711"/>
      <c r="K20700" s="711"/>
      <c r="L20700" s="711"/>
      <c r="Q20700" s="11"/>
      <c r="R20700" s="11"/>
      <c r="S20700" s="11"/>
      <c r="T20700" s="11"/>
    </row>
    <row r="20701" spans="8:20" x14ac:dyDescent="0.35">
      <c r="H20701" s="711"/>
      <c r="I20701" s="711"/>
      <c r="J20701" s="711"/>
      <c r="K20701" s="711"/>
      <c r="L20701" s="711"/>
      <c r="Q20701" s="11"/>
      <c r="R20701" s="11"/>
      <c r="S20701" s="11"/>
      <c r="T20701" s="11"/>
    </row>
    <row r="20702" spans="8:20" x14ac:dyDescent="0.35">
      <c r="H20702" s="711"/>
      <c r="I20702" s="711"/>
      <c r="J20702" s="711"/>
      <c r="K20702" s="711"/>
      <c r="L20702" s="711"/>
      <c r="Q20702" s="11"/>
      <c r="R20702" s="11"/>
      <c r="S20702" s="11"/>
      <c r="T20702" s="11"/>
    </row>
    <row r="20703" spans="8:20" x14ac:dyDescent="0.35">
      <c r="H20703" s="711"/>
      <c r="I20703" s="711"/>
      <c r="J20703" s="711"/>
      <c r="K20703" s="711"/>
      <c r="L20703" s="711"/>
      <c r="Q20703" s="11"/>
      <c r="R20703" s="11"/>
      <c r="S20703" s="11"/>
      <c r="T20703" s="11"/>
    </row>
    <row r="20704" spans="8:20" x14ac:dyDescent="0.35">
      <c r="H20704" s="711"/>
      <c r="I20704" s="711"/>
      <c r="J20704" s="711"/>
      <c r="K20704" s="711"/>
      <c r="L20704" s="711"/>
      <c r="Q20704" s="11"/>
      <c r="R20704" s="11"/>
      <c r="S20704" s="11"/>
      <c r="T20704" s="11"/>
    </row>
    <row r="20705" spans="8:20" x14ac:dyDescent="0.35">
      <c r="H20705" s="711"/>
      <c r="I20705" s="711"/>
      <c r="J20705" s="711"/>
      <c r="K20705" s="711"/>
      <c r="L20705" s="711"/>
      <c r="Q20705" s="11"/>
      <c r="R20705" s="11"/>
      <c r="S20705" s="11"/>
      <c r="T20705" s="11"/>
    </row>
    <row r="20706" spans="8:20" x14ac:dyDescent="0.35">
      <c r="H20706" s="711"/>
      <c r="I20706" s="711"/>
      <c r="J20706" s="711"/>
      <c r="K20706" s="711"/>
      <c r="L20706" s="711"/>
      <c r="Q20706" s="11"/>
      <c r="R20706" s="11"/>
      <c r="S20706" s="11"/>
      <c r="T20706" s="11"/>
    </row>
    <row r="20707" spans="8:20" x14ac:dyDescent="0.35">
      <c r="H20707" s="711"/>
      <c r="I20707" s="711"/>
      <c r="J20707" s="711"/>
      <c r="K20707" s="711"/>
      <c r="L20707" s="711"/>
      <c r="Q20707" s="11"/>
      <c r="R20707" s="11"/>
      <c r="S20707" s="11"/>
      <c r="T20707" s="11"/>
    </row>
    <row r="20708" spans="8:20" x14ac:dyDescent="0.35">
      <c r="H20708" s="711"/>
      <c r="I20708" s="711"/>
      <c r="J20708" s="711"/>
      <c r="K20708" s="711"/>
      <c r="L20708" s="711"/>
      <c r="Q20708" s="11"/>
      <c r="R20708" s="11"/>
      <c r="S20708" s="11"/>
      <c r="T20708" s="11"/>
    </row>
    <row r="20709" spans="8:20" x14ac:dyDescent="0.35">
      <c r="H20709" s="711"/>
      <c r="I20709" s="711"/>
      <c r="J20709" s="711"/>
      <c r="K20709" s="711"/>
      <c r="L20709" s="711"/>
      <c r="Q20709" s="11"/>
      <c r="R20709" s="11"/>
      <c r="S20709" s="11"/>
      <c r="T20709" s="11"/>
    </row>
    <row r="20710" spans="8:20" x14ac:dyDescent="0.35">
      <c r="H20710" s="711"/>
      <c r="I20710" s="711"/>
      <c r="J20710" s="711"/>
      <c r="K20710" s="711"/>
      <c r="L20710" s="711"/>
      <c r="Q20710" s="11"/>
      <c r="R20710" s="11"/>
      <c r="S20710" s="11"/>
      <c r="T20710" s="11"/>
    </row>
    <row r="20711" spans="8:20" x14ac:dyDescent="0.35">
      <c r="H20711" s="711"/>
      <c r="I20711" s="711"/>
      <c r="J20711" s="711"/>
      <c r="K20711" s="711"/>
      <c r="L20711" s="711"/>
      <c r="Q20711" s="11"/>
      <c r="R20711" s="11"/>
      <c r="S20711" s="11"/>
      <c r="T20711" s="11"/>
    </row>
    <row r="20712" spans="8:20" x14ac:dyDescent="0.35">
      <c r="H20712" s="711"/>
      <c r="I20712" s="711"/>
      <c r="J20712" s="711"/>
      <c r="K20712" s="711"/>
      <c r="L20712" s="711"/>
      <c r="Q20712" s="11"/>
      <c r="R20712" s="11"/>
      <c r="S20712" s="11"/>
      <c r="T20712" s="11"/>
    </row>
    <row r="20713" spans="8:20" x14ac:dyDescent="0.35">
      <c r="H20713" s="711"/>
      <c r="I20713" s="711"/>
      <c r="J20713" s="711"/>
      <c r="K20713" s="711"/>
      <c r="L20713" s="711"/>
      <c r="Q20713" s="11"/>
      <c r="R20713" s="11"/>
      <c r="S20713" s="11"/>
      <c r="T20713" s="11"/>
    </row>
    <row r="20714" spans="8:20" x14ac:dyDescent="0.35">
      <c r="H20714" s="711"/>
      <c r="I20714" s="711"/>
      <c r="J20714" s="711"/>
      <c r="K20714" s="711"/>
      <c r="L20714" s="711"/>
      <c r="Q20714" s="11"/>
      <c r="R20714" s="11"/>
      <c r="S20714" s="11"/>
      <c r="T20714" s="11"/>
    </row>
    <row r="20715" spans="8:20" x14ac:dyDescent="0.35">
      <c r="H20715" s="711"/>
      <c r="I20715" s="711"/>
      <c r="J20715" s="711"/>
      <c r="K20715" s="711"/>
      <c r="L20715" s="711"/>
      <c r="Q20715" s="11"/>
      <c r="R20715" s="11"/>
      <c r="S20715" s="11"/>
      <c r="T20715" s="11"/>
    </row>
    <row r="20716" spans="8:20" x14ac:dyDescent="0.35">
      <c r="H20716" s="711"/>
      <c r="I20716" s="711"/>
      <c r="J20716" s="711"/>
      <c r="K20716" s="711"/>
      <c r="L20716" s="711"/>
      <c r="Q20716" s="11"/>
      <c r="R20716" s="11"/>
      <c r="S20716" s="11"/>
      <c r="T20716" s="11"/>
    </row>
    <row r="20717" spans="8:20" x14ac:dyDescent="0.35">
      <c r="H20717" s="711"/>
      <c r="I20717" s="711"/>
      <c r="J20717" s="711"/>
      <c r="K20717" s="711"/>
      <c r="L20717" s="711"/>
      <c r="Q20717" s="11"/>
      <c r="R20717" s="11"/>
      <c r="S20717" s="11"/>
      <c r="T20717" s="11"/>
    </row>
    <row r="20718" spans="8:20" x14ac:dyDescent="0.35">
      <c r="H20718" s="711"/>
      <c r="I20718" s="711"/>
      <c r="J20718" s="711"/>
      <c r="K20718" s="711"/>
      <c r="L20718" s="711"/>
      <c r="Q20718" s="11"/>
      <c r="R20718" s="11"/>
      <c r="S20718" s="11"/>
      <c r="T20718" s="11"/>
    </row>
    <row r="20719" spans="8:20" x14ac:dyDescent="0.35">
      <c r="H20719" s="711"/>
      <c r="I20719" s="711"/>
      <c r="J20719" s="711"/>
      <c r="K20719" s="711"/>
      <c r="L20719" s="711"/>
      <c r="Q20719" s="11"/>
      <c r="R20719" s="11"/>
      <c r="S20719" s="11"/>
      <c r="T20719" s="11"/>
    </row>
    <row r="20720" spans="8:20" x14ac:dyDescent="0.35">
      <c r="H20720" s="711"/>
      <c r="I20720" s="711"/>
      <c r="J20720" s="711"/>
      <c r="K20720" s="711"/>
      <c r="L20720" s="711"/>
      <c r="Q20720" s="11"/>
      <c r="R20720" s="11"/>
      <c r="S20720" s="11"/>
      <c r="T20720" s="11"/>
    </row>
    <row r="20721" spans="8:20" x14ac:dyDescent="0.35">
      <c r="H20721" s="711"/>
      <c r="I20721" s="711"/>
      <c r="J20721" s="711"/>
      <c r="K20721" s="711"/>
      <c r="L20721" s="711"/>
      <c r="Q20721" s="11"/>
      <c r="R20721" s="11"/>
      <c r="S20721" s="11"/>
      <c r="T20721" s="11"/>
    </row>
    <row r="20722" spans="8:20" x14ac:dyDescent="0.35">
      <c r="H20722" s="711"/>
      <c r="I20722" s="711"/>
      <c r="J20722" s="711"/>
      <c r="K20722" s="711"/>
      <c r="L20722" s="711"/>
      <c r="Q20722" s="11"/>
      <c r="R20722" s="11"/>
      <c r="S20722" s="11"/>
      <c r="T20722" s="11"/>
    </row>
    <row r="20723" spans="8:20" x14ac:dyDescent="0.35">
      <c r="H20723" s="711"/>
      <c r="I20723" s="711"/>
      <c r="J20723" s="711"/>
      <c r="K20723" s="711"/>
      <c r="L20723" s="711"/>
      <c r="Q20723" s="11"/>
      <c r="R20723" s="11"/>
      <c r="S20723" s="11"/>
      <c r="T20723" s="11"/>
    </row>
    <row r="20724" spans="8:20" x14ac:dyDescent="0.35">
      <c r="H20724" s="711"/>
      <c r="I20724" s="711"/>
      <c r="J20724" s="711"/>
      <c r="K20724" s="711"/>
      <c r="L20724" s="711"/>
      <c r="Q20724" s="11"/>
      <c r="R20724" s="11"/>
      <c r="S20724" s="11"/>
      <c r="T20724" s="11"/>
    </row>
    <row r="20725" spans="8:20" x14ac:dyDescent="0.35">
      <c r="H20725" s="711"/>
      <c r="I20725" s="711"/>
      <c r="J20725" s="711"/>
      <c r="K20725" s="711"/>
      <c r="L20725" s="711"/>
      <c r="Q20725" s="11"/>
      <c r="R20725" s="11"/>
      <c r="S20725" s="11"/>
      <c r="T20725" s="11"/>
    </row>
    <row r="20726" spans="8:20" x14ac:dyDescent="0.35">
      <c r="H20726" s="711"/>
      <c r="I20726" s="711"/>
      <c r="J20726" s="711"/>
      <c r="K20726" s="711"/>
      <c r="L20726" s="711"/>
      <c r="Q20726" s="11"/>
      <c r="R20726" s="11"/>
      <c r="S20726" s="11"/>
      <c r="T20726" s="11"/>
    </row>
    <row r="20727" spans="8:20" x14ac:dyDescent="0.35">
      <c r="H20727" s="711"/>
      <c r="I20727" s="711"/>
      <c r="J20727" s="711"/>
      <c r="K20727" s="711"/>
      <c r="L20727" s="711"/>
      <c r="Q20727" s="11"/>
      <c r="R20727" s="11"/>
      <c r="S20727" s="11"/>
      <c r="T20727" s="11"/>
    </row>
    <row r="20728" spans="8:20" x14ac:dyDescent="0.35">
      <c r="H20728" s="711"/>
      <c r="I20728" s="711"/>
      <c r="J20728" s="711"/>
      <c r="K20728" s="711"/>
      <c r="L20728" s="711"/>
      <c r="Q20728" s="11"/>
      <c r="R20728" s="11"/>
      <c r="S20728" s="11"/>
      <c r="T20728" s="11"/>
    </row>
    <row r="20729" spans="8:20" x14ac:dyDescent="0.35">
      <c r="H20729" s="711"/>
      <c r="I20729" s="711"/>
      <c r="J20729" s="711"/>
      <c r="K20729" s="711"/>
      <c r="L20729" s="711"/>
      <c r="Q20729" s="11"/>
      <c r="R20729" s="11"/>
      <c r="S20729" s="11"/>
      <c r="T20729" s="11"/>
    </row>
    <row r="20730" spans="8:20" x14ac:dyDescent="0.35">
      <c r="H20730" s="711"/>
      <c r="I20730" s="711"/>
      <c r="J20730" s="711"/>
      <c r="K20730" s="711"/>
      <c r="L20730" s="711"/>
      <c r="Q20730" s="11"/>
      <c r="R20730" s="11"/>
      <c r="S20730" s="11"/>
      <c r="T20730" s="11"/>
    </row>
    <row r="20731" spans="8:20" x14ac:dyDescent="0.35">
      <c r="H20731" s="711"/>
      <c r="I20731" s="711"/>
      <c r="J20731" s="711"/>
      <c r="K20731" s="711"/>
      <c r="L20731" s="711"/>
      <c r="Q20731" s="11"/>
      <c r="R20731" s="11"/>
      <c r="S20731" s="11"/>
      <c r="T20731" s="11"/>
    </row>
    <row r="20732" spans="8:20" x14ac:dyDescent="0.35">
      <c r="H20732" s="711"/>
      <c r="I20732" s="711"/>
      <c r="J20732" s="711"/>
      <c r="K20732" s="711"/>
      <c r="L20732" s="711"/>
      <c r="Q20732" s="11"/>
      <c r="R20732" s="11"/>
      <c r="S20732" s="11"/>
      <c r="T20732" s="11"/>
    </row>
    <row r="20733" spans="8:20" x14ac:dyDescent="0.35">
      <c r="H20733" s="711"/>
      <c r="I20733" s="711"/>
      <c r="J20733" s="711"/>
      <c r="K20733" s="711"/>
      <c r="L20733" s="711"/>
      <c r="Q20733" s="11"/>
      <c r="R20733" s="11"/>
      <c r="S20733" s="11"/>
      <c r="T20733" s="11"/>
    </row>
    <row r="20734" spans="8:20" x14ac:dyDescent="0.35">
      <c r="H20734" s="711"/>
      <c r="I20734" s="711"/>
      <c r="J20734" s="711"/>
      <c r="K20734" s="711"/>
      <c r="L20734" s="711"/>
      <c r="Q20734" s="11"/>
      <c r="R20734" s="11"/>
      <c r="S20734" s="11"/>
      <c r="T20734" s="11"/>
    </row>
    <row r="20735" spans="8:20" x14ac:dyDescent="0.35">
      <c r="H20735" s="711"/>
      <c r="I20735" s="711"/>
      <c r="J20735" s="711"/>
      <c r="K20735" s="711"/>
      <c r="L20735" s="711"/>
      <c r="Q20735" s="11"/>
      <c r="R20735" s="11"/>
      <c r="S20735" s="11"/>
      <c r="T20735" s="11"/>
    </row>
    <row r="20736" spans="8:20" x14ac:dyDescent="0.35">
      <c r="H20736" s="711"/>
      <c r="I20736" s="711"/>
      <c r="J20736" s="711"/>
      <c r="K20736" s="711"/>
      <c r="L20736" s="711"/>
      <c r="Q20736" s="11"/>
      <c r="R20736" s="11"/>
      <c r="S20736" s="11"/>
      <c r="T20736" s="11"/>
    </row>
    <row r="20737" spans="8:20" x14ac:dyDescent="0.35">
      <c r="H20737" s="711"/>
      <c r="I20737" s="711"/>
      <c r="J20737" s="711"/>
      <c r="K20737" s="711"/>
      <c r="L20737" s="711"/>
      <c r="Q20737" s="11"/>
      <c r="R20737" s="11"/>
      <c r="S20737" s="11"/>
      <c r="T20737" s="11"/>
    </row>
    <row r="20738" spans="8:20" x14ac:dyDescent="0.35">
      <c r="H20738" s="711"/>
      <c r="I20738" s="711"/>
      <c r="J20738" s="711"/>
      <c r="K20738" s="711"/>
      <c r="L20738" s="711"/>
      <c r="Q20738" s="11"/>
      <c r="R20738" s="11"/>
      <c r="S20738" s="11"/>
      <c r="T20738" s="11"/>
    </row>
    <row r="20739" spans="8:20" x14ac:dyDescent="0.35">
      <c r="H20739" s="711"/>
      <c r="I20739" s="711"/>
      <c r="J20739" s="711"/>
      <c r="K20739" s="711"/>
      <c r="L20739" s="711"/>
      <c r="Q20739" s="11"/>
      <c r="R20739" s="11"/>
      <c r="S20739" s="11"/>
      <c r="T20739" s="11"/>
    </row>
    <row r="20740" spans="8:20" x14ac:dyDescent="0.35">
      <c r="H20740" s="711"/>
      <c r="I20740" s="711"/>
      <c r="J20740" s="711"/>
      <c r="K20740" s="711"/>
      <c r="L20740" s="711"/>
      <c r="Q20740" s="11"/>
      <c r="R20740" s="11"/>
      <c r="S20740" s="11"/>
      <c r="T20740" s="11"/>
    </row>
    <row r="20741" spans="8:20" x14ac:dyDescent="0.35">
      <c r="H20741" s="711"/>
      <c r="I20741" s="711"/>
      <c r="J20741" s="711"/>
      <c r="K20741" s="711"/>
      <c r="L20741" s="711"/>
      <c r="Q20741" s="11"/>
      <c r="R20741" s="11"/>
      <c r="S20741" s="11"/>
      <c r="T20741" s="11"/>
    </row>
    <row r="20742" spans="8:20" x14ac:dyDescent="0.35">
      <c r="H20742" s="711"/>
      <c r="I20742" s="711"/>
      <c r="J20742" s="711"/>
      <c r="K20742" s="711"/>
      <c r="L20742" s="711"/>
      <c r="Q20742" s="11"/>
      <c r="R20742" s="11"/>
      <c r="S20742" s="11"/>
      <c r="T20742" s="11"/>
    </row>
    <row r="20743" spans="8:20" x14ac:dyDescent="0.35">
      <c r="H20743" s="711"/>
      <c r="I20743" s="711"/>
      <c r="J20743" s="711"/>
      <c r="K20743" s="711"/>
      <c r="L20743" s="711"/>
      <c r="Q20743" s="11"/>
      <c r="R20743" s="11"/>
      <c r="S20743" s="11"/>
      <c r="T20743" s="11"/>
    </row>
    <row r="20744" spans="8:20" x14ac:dyDescent="0.35">
      <c r="H20744" s="711"/>
      <c r="I20744" s="711"/>
      <c r="J20744" s="711"/>
      <c r="K20744" s="711"/>
      <c r="L20744" s="711"/>
      <c r="Q20744" s="11"/>
      <c r="R20744" s="11"/>
      <c r="S20744" s="11"/>
      <c r="T20744" s="11"/>
    </row>
    <row r="20745" spans="8:20" x14ac:dyDescent="0.35">
      <c r="H20745" s="711"/>
      <c r="I20745" s="711"/>
      <c r="J20745" s="711"/>
      <c r="K20745" s="711"/>
      <c r="L20745" s="711"/>
      <c r="Q20745" s="11"/>
      <c r="R20745" s="11"/>
      <c r="S20745" s="11"/>
      <c r="T20745" s="11"/>
    </row>
    <row r="20746" spans="8:20" x14ac:dyDescent="0.35">
      <c r="H20746" s="711"/>
      <c r="I20746" s="711"/>
      <c r="J20746" s="711"/>
      <c r="K20746" s="711"/>
      <c r="L20746" s="711"/>
      <c r="Q20746" s="11"/>
      <c r="R20746" s="11"/>
      <c r="S20746" s="11"/>
      <c r="T20746" s="11"/>
    </row>
    <row r="20747" spans="8:20" x14ac:dyDescent="0.35">
      <c r="H20747" s="711"/>
      <c r="I20747" s="711"/>
      <c r="J20747" s="711"/>
      <c r="K20747" s="711"/>
      <c r="L20747" s="711"/>
      <c r="Q20747" s="11"/>
      <c r="R20747" s="11"/>
      <c r="S20747" s="11"/>
      <c r="T20747" s="11"/>
    </row>
    <row r="20748" spans="8:20" x14ac:dyDescent="0.35">
      <c r="H20748" s="711"/>
      <c r="I20748" s="711"/>
      <c r="J20748" s="711"/>
      <c r="K20748" s="711"/>
      <c r="L20748" s="711"/>
      <c r="Q20748" s="11"/>
      <c r="R20748" s="11"/>
      <c r="S20748" s="11"/>
      <c r="T20748" s="11"/>
    </row>
    <row r="20749" spans="8:20" x14ac:dyDescent="0.35">
      <c r="H20749" s="711"/>
      <c r="I20749" s="711"/>
      <c r="J20749" s="711"/>
      <c r="K20749" s="711"/>
      <c r="L20749" s="711"/>
      <c r="Q20749" s="11"/>
      <c r="R20749" s="11"/>
      <c r="S20749" s="11"/>
      <c r="T20749" s="11"/>
    </row>
    <row r="20750" spans="8:20" x14ac:dyDescent="0.35">
      <c r="H20750" s="711"/>
      <c r="I20750" s="711"/>
      <c r="J20750" s="711"/>
      <c r="K20750" s="711"/>
      <c r="L20750" s="711"/>
      <c r="Q20750" s="11"/>
      <c r="R20750" s="11"/>
      <c r="S20750" s="11"/>
      <c r="T20750" s="11"/>
    </row>
    <row r="20751" spans="8:20" x14ac:dyDescent="0.35">
      <c r="H20751" s="711"/>
      <c r="I20751" s="711"/>
      <c r="J20751" s="711"/>
      <c r="K20751" s="711"/>
      <c r="L20751" s="711"/>
      <c r="Q20751" s="11"/>
      <c r="R20751" s="11"/>
      <c r="S20751" s="11"/>
      <c r="T20751" s="11"/>
    </row>
    <row r="20752" spans="8:20" x14ac:dyDescent="0.35">
      <c r="H20752" s="711"/>
      <c r="I20752" s="711"/>
      <c r="J20752" s="711"/>
      <c r="K20752" s="711"/>
      <c r="L20752" s="711"/>
      <c r="Q20752" s="11"/>
      <c r="R20752" s="11"/>
      <c r="S20752" s="11"/>
      <c r="T20752" s="11"/>
    </row>
    <row r="20753" spans="8:20" x14ac:dyDescent="0.35">
      <c r="H20753" s="711"/>
      <c r="I20753" s="711"/>
      <c r="J20753" s="711"/>
      <c r="K20753" s="711"/>
      <c r="L20753" s="711"/>
      <c r="Q20753" s="11"/>
      <c r="R20753" s="11"/>
      <c r="S20753" s="11"/>
      <c r="T20753" s="11"/>
    </row>
    <row r="20754" spans="8:20" x14ac:dyDescent="0.35">
      <c r="H20754" s="711"/>
      <c r="I20754" s="711"/>
      <c r="J20754" s="711"/>
      <c r="K20754" s="711"/>
      <c r="L20754" s="711"/>
      <c r="Q20754" s="11"/>
      <c r="R20754" s="11"/>
      <c r="S20754" s="11"/>
      <c r="T20754" s="11"/>
    </row>
    <row r="20755" spans="8:20" x14ac:dyDescent="0.35">
      <c r="H20755" s="711"/>
      <c r="I20755" s="711"/>
      <c r="J20755" s="711"/>
      <c r="K20755" s="711"/>
      <c r="L20755" s="711"/>
      <c r="Q20755" s="11"/>
      <c r="R20755" s="11"/>
      <c r="S20755" s="11"/>
      <c r="T20755" s="11"/>
    </row>
    <row r="20756" spans="8:20" x14ac:dyDescent="0.35">
      <c r="H20756" s="711"/>
      <c r="I20756" s="711"/>
      <c r="J20756" s="711"/>
      <c r="K20756" s="711"/>
      <c r="L20756" s="711"/>
      <c r="Q20756" s="11"/>
      <c r="R20756" s="11"/>
      <c r="S20756" s="11"/>
      <c r="T20756" s="11"/>
    </row>
    <row r="20757" spans="8:20" x14ac:dyDescent="0.35">
      <c r="H20757" s="711"/>
      <c r="I20757" s="711"/>
      <c r="J20757" s="711"/>
      <c r="K20757" s="711"/>
      <c r="L20757" s="711"/>
      <c r="Q20757" s="11"/>
      <c r="R20757" s="11"/>
      <c r="S20757" s="11"/>
      <c r="T20757" s="11"/>
    </row>
    <row r="20758" spans="8:20" x14ac:dyDescent="0.35">
      <c r="H20758" s="711"/>
      <c r="I20758" s="711"/>
      <c r="J20758" s="711"/>
      <c r="K20758" s="711"/>
      <c r="L20758" s="711"/>
      <c r="Q20758" s="11"/>
      <c r="R20758" s="11"/>
      <c r="S20758" s="11"/>
      <c r="T20758" s="11"/>
    </row>
    <row r="20759" spans="8:20" x14ac:dyDescent="0.35">
      <c r="H20759" s="711"/>
      <c r="I20759" s="711"/>
      <c r="J20759" s="711"/>
      <c r="K20759" s="711"/>
      <c r="L20759" s="711"/>
      <c r="Q20759" s="11"/>
      <c r="R20759" s="11"/>
      <c r="S20759" s="11"/>
      <c r="T20759" s="11"/>
    </row>
    <row r="20760" spans="8:20" x14ac:dyDescent="0.35">
      <c r="H20760" s="711"/>
      <c r="I20760" s="711"/>
      <c r="J20760" s="711"/>
      <c r="K20760" s="711"/>
      <c r="L20760" s="711"/>
      <c r="Q20760" s="11"/>
      <c r="R20760" s="11"/>
      <c r="S20760" s="11"/>
      <c r="T20760" s="11"/>
    </row>
    <row r="20761" spans="8:20" x14ac:dyDescent="0.35">
      <c r="H20761" s="711"/>
      <c r="I20761" s="711"/>
      <c r="J20761" s="711"/>
      <c r="K20761" s="711"/>
      <c r="L20761" s="711"/>
      <c r="Q20761" s="11"/>
      <c r="R20761" s="11"/>
      <c r="S20761" s="11"/>
      <c r="T20761" s="11"/>
    </row>
    <row r="20762" spans="8:20" x14ac:dyDescent="0.35">
      <c r="H20762" s="711"/>
      <c r="I20762" s="711"/>
      <c r="J20762" s="711"/>
      <c r="K20762" s="711"/>
      <c r="L20762" s="711"/>
      <c r="Q20762" s="11"/>
      <c r="R20762" s="11"/>
      <c r="S20762" s="11"/>
      <c r="T20762" s="11"/>
    </row>
    <row r="20763" spans="8:20" x14ac:dyDescent="0.35">
      <c r="H20763" s="711"/>
      <c r="I20763" s="711"/>
      <c r="J20763" s="711"/>
      <c r="K20763" s="711"/>
      <c r="L20763" s="711"/>
      <c r="Q20763" s="11"/>
      <c r="R20763" s="11"/>
      <c r="S20763" s="11"/>
      <c r="T20763" s="11"/>
    </row>
    <row r="20764" spans="8:20" x14ac:dyDescent="0.35">
      <c r="H20764" s="711"/>
      <c r="I20764" s="711"/>
      <c r="J20764" s="711"/>
      <c r="K20764" s="711"/>
      <c r="L20764" s="711"/>
      <c r="Q20764" s="11"/>
      <c r="R20764" s="11"/>
      <c r="S20764" s="11"/>
      <c r="T20764" s="11"/>
    </row>
    <row r="20765" spans="8:20" x14ac:dyDescent="0.35">
      <c r="H20765" s="711"/>
      <c r="I20765" s="711"/>
      <c r="J20765" s="711"/>
      <c r="K20765" s="711"/>
      <c r="L20765" s="711"/>
      <c r="Q20765" s="11"/>
      <c r="R20765" s="11"/>
      <c r="S20765" s="11"/>
      <c r="T20765" s="11"/>
    </row>
    <row r="20766" spans="8:20" x14ac:dyDescent="0.35">
      <c r="H20766" s="711"/>
      <c r="I20766" s="711"/>
      <c r="J20766" s="711"/>
      <c r="K20766" s="711"/>
      <c r="L20766" s="711"/>
      <c r="Q20766" s="11"/>
      <c r="R20766" s="11"/>
      <c r="S20766" s="11"/>
      <c r="T20766" s="11"/>
    </row>
    <row r="20767" spans="8:20" x14ac:dyDescent="0.35">
      <c r="H20767" s="711"/>
      <c r="I20767" s="711"/>
      <c r="J20767" s="711"/>
      <c r="K20767" s="711"/>
      <c r="L20767" s="711"/>
      <c r="Q20767" s="11"/>
      <c r="R20767" s="11"/>
      <c r="S20767" s="11"/>
      <c r="T20767" s="11"/>
    </row>
    <row r="20768" spans="8:20" x14ac:dyDescent="0.35">
      <c r="H20768" s="711"/>
      <c r="I20768" s="711"/>
      <c r="J20768" s="711"/>
      <c r="K20768" s="711"/>
      <c r="L20768" s="711"/>
      <c r="Q20768" s="11"/>
      <c r="R20768" s="11"/>
      <c r="S20768" s="11"/>
      <c r="T20768" s="11"/>
    </row>
    <row r="20769" spans="8:20" x14ac:dyDescent="0.35">
      <c r="H20769" s="711"/>
      <c r="I20769" s="711"/>
      <c r="J20769" s="711"/>
      <c r="K20769" s="711"/>
      <c r="L20769" s="711"/>
      <c r="Q20769" s="11"/>
      <c r="R20769" s="11"/>
      <c r="S20769" s="11"/>
      <c r="T20769" s="11"/>
    </row>
    <row r="20770" spans="8:20" x14ac:dyDescent="0.35">
      <c r="H20770" s="711"/>
      <c r="I20770" s="711"/>
      <c r="J20770" s="711"/>
      <c r="K20770" s="711"/>
      <c r="L20770" s="711"/>
      <c r="Q20770" s="11"/>
      <c r="R20770" s="11"/>
      <c r="S20770" s="11"/>
      <c r="T20770" s="11"/>
    </row>
    <row r="20771" spans="8:20" x14ac:dyDescent="0.35">
      <c r="H20771" s="711"/>
      <c r="I20771" s="711"/>
      <c r="J20771" s="711"/>
      <c r="K20771" s="711"/>
      <c r="L20771" s="711"/>
      <c r="Q20771" s="11"/>
      <c r="R20771" s="11"/>
      <c r="S20771" s="11"/>
      <c r="T20771" s="11"/>
    </row>
    <row r="20772" spans="8:20" x14ac:dyDescent="0.35">
      <c r="H20772" s="711"/>
      <c r="I20772" s="711"/>
      <c r="J20772" s="711"/>
      <c r="K20772" s="711"/>
      <c r="L20772" s="711"/>
      <c r="Q20772" s="11"/>
      <c r="R20772" s="11"/>
      <c r="S20772" s="11"/>
      <c r="T20772" s="11"/>
    </row>
    <row r="20773" spans="8:20" x14ac:dyDescent="0.35">
      <c r="H20773" s="711"/>
      <c r="I20773" s="711"/>
      <c r="J20773" s="711"/>
      <c r="K20773" s="711"/>
      <c r="L20773" s="711"/>
      <c r="Q20773" s="11"/>
      <c r="R20773" s="11"/>
      <c r="S20773" s="11"/>
      <c r="T20773" s="11"/>
    </row>
    <row r="20774" spans="8:20" x14ac:dyDescent="0.35">
      <c r="H20774" s="711"/>
      <c r="I20774" s="711"/>
      <c r="J20774" s="711"/>
      <c r="K20774" s="711"/>
      <c r="L20774" s="711"/>
      <c r="Q20774" s="11"/>
      <c r="R20774" s="11"/>
      <c r="S20774" s="11"/>
      <c r="T20774" s="11"/>
    </row>
    <row r="20775" spans="8:20" x14ac:dyDescent="0.35">
      <c r="H20775" s="711"/>
      <c r="I20775" s="711"/>
      <c r="J20775" s="711"/>
      <c r="K20775" s="711"/>
      <c r="L20775" s="711"/>
      <c r="Q20775" s="11"/>
      <c r="R20775" s="11"/>
      <c r="S20775" s="11"/>
      <c r="T20775" s="11"/>
    </row>
    <row r="20776" spans="8:20" x14ac:dyDescent="0.35">
      <c r="H20776" s="711"/>
      <c r="I20776" s="711"/>
      <c r="J20776" s="711"/>
      <c r="K20776" s="711"/>
      <c r="L20776" s="711"/>
      <c r="Q20776" s="11"/>
      <c r="R20776" s="11"/>
      <c r="S20776" s="11"/>
      <c r="T20776" s="11"/>
    </row>
    <row r="20777" spans="8:20" x14ac:dyDescent="0.35">
      <c r="H20777" s="711"/>
      <c r="I20777" s="711"/>
      <c r="J20777" s="711"/>
      <c r="K20777" s="711"/>
      <c r="L20777" s="711"/>
      <c r="Q20777" s="11"/>
      <c r="R20777" s="11"/>
      <c r="S20777" s="11"/>
      <c r="T20777" s="11"/>
    </row>
    <row r="20778" spans="8:20" x14ac:dyDescent="0.35">
      <c r="H20778" s="711"/>
      <c r="I20778" s="711"/>
      <c r="J20778" s="711"/>
      <c r="K20778" s="711"/>
      <c r="L20778" s="711"/>
      <c r="Q20778" s="11"/>
      <c r="R20778" s="11"/>
      <c r="S20778" s="11"/>
      <c r="T20778" s="11"/>
    </row>
    <row r="20779" spans="8:20" x14ac:dyDescent="0.35">
      <c r="H20779" s="711"/>
      <c r="I20779" s="711"/>
      <c r="J20779" s="711"/>
      <c r="K20779" s="711"/>
      <c r="L20779" s="711"/>
      <c r="Q20779" s="11"/>
      <c r="R20779" s="11"/>
      <c r="S20779" s="11"/>
      <c r="T20779" s="11"/>
    </row>
    <row r="20780" spans="8:20" x14ac:dyDescent="0.35">
      <c r="H20780" s="711"/>
      <c r="I20780" s="711"/>
      <c r="J20780" s="711"/>
      <c r="K20780" s="711"/>
      <c r="L20780" s="711"/>
      <c r="Q20780" s="11"/>
      <c r="R20780" s="11"/>
      <c r="S20780" s="11"/>
      <c r="T20780" s="11"/>
    </row>
    <row r="20781" spans="8:20" x14ac:dyDescent="0.35">
      <c r="H20781" s="711"/>
      <c r="I20781" s="711"/>
      <c r="J20781" s="711"/>
      <c r="K20781" s="711"/>
      <c r="L20781" s="711"/>
      <c r="Q20781" s="11"/>
      <c r="R20781" s="11"/>
      <c r="S20781" s="11"/>
      <c r="T20781" s="11"/>
    </row>
    <row r="20782" spans="8:20" x14ac:dyDescent="0.35">
      <c r="H20782" s="711"/>
      <c r="I20782" s="711"/>
      <c r="J20782" s="711"/>
      <c r="K20782" s="711"/>
      <c r="L20782" s="711"/>
      <c r="Q20782" s="11"/>
      <c r="R20782" s="11"/>
      <c r="S20782" s="11"/>
      <c r="T20782" s="11"/>
    </row>
    <row r="20783" spans="8:20" x14ac:dyDescent="0.35">
      <c r="H20783" s="711"/>
      <c r="I20783" s="711"/>
      <c r="J20783" s="711"/>
      <c r="K20783" s="711"/>
      <c r="L20783" s="711"/>
      <c r="Q20783" s="11"/>
      <c r="R20783" s="11"/>
      <c r="S20783" s="11"/>
      <c r="T20783" s="11"/>
    </row>
    <row r="20784" spans="8:20" x14ac:dyDescent="0.35">
      <c r="H20784" s="711"/>
      <c r="I20784" s="711"/>
      <c r="J20784" s="711"/>
      <c r="K20784" s="711"/>
      <c r="L20784" s="711"/>
      <c r="Q20784" s="11"/>
      <c r="R20784" s="11"/>
      <c r="S20784" s="11"/>
      <c r="T20784" s="11"/>
    </row>
    <row r="20785" spans="8:20" x14ac:dyDescent="0.35">
      <c r="H20785" s="711"/>
      <c r="I20785" s="711"/>
      <c r="J20785" s="711"/>
      <c r="K20785" s="711"/>
      <c r="L20785" s="711"/>
      <c r="Q20785" s="11"/>
      <c r="R20785" s="11"/>
      <c r="S20785" s="11"/>
      <c r="T20785" s="11"/>
    </row>
    <row r="20786" spans="8:20" x14ac:dyDescent="0.35">
      <c r="H20786" s="711"/>
      <c r="I20786" s="711"/>
      <c r="J20786" s="711"/>
      <c r="K20786" s="711"/>
      <c r="L20786" s="711"/>
      <c r="Q20786" s="11"/>
      <c r="R20786" s="11"/>
      <c r="S20786" s="11"/>
      <c r="T20786" s="11"/>
    </row>
    <row r="20787" spans="8:20" x14ac:dyDescent="0.35">
      <c r="H20787" s="711"/>
      <c r="I20787" s="711"/>
      <c r="J20787" s="711"/>
      <c r="K20787" s="711"/>
      <c r="L20787" s="711"/>
      <c r="Q20787" s="11"/>
      <c r="R20787" s="11"/>
      <c r="S20787" s="11"/>
      <c r="T20787" s="11"/>
    </row>
    <row r="20788" spans="8:20" x14ac:dyDescent="0.35">
      <c r="H20788" s="711"/>
      <c r="I20788" s="711"/>
      <c r="J20788" s="711"/>
      <c r="K20788" s="711"/>
      <c r="L20788" s="711"/>
      <c r="Q20788" s="11"/>
      <c r="R20788" s="11"/>
      <c r="S20788" s="11"/>
      <c r="T20788" s="11"/>
    </row>
    <row r="20789" spans="8:20" x14ac:dyDescent="0.35">
      <c r="H20789" s="711"/>
      <c r="I20789" s="711"/>
      <c r="J20789" s="711"/>
      <c r="K20789" s="711"/>
      <c r="L20789" s="711"/>
      <c r="Q20789" s="11"/>
      <c r="R20789" s="11"/>
      <c r="S20789" s="11"/>
      <c r="T20789" s="11"/>
    </row>
    <row r="20790" spans="8:20" x14ac:dyDescent="0.35">
      <c r="H20790" s="711"/>
      <c r="I20790" s="711"/>
      <c r="J20790" s="711"/>
      <c r="K20790" s="711"/>
      <c r="L20790" s="711"/>
      <c r="Q20790" s="11"/>
      <c r="R20790" s="11"/>
      <c r="S20790" s="11"/>
      <c r="T20790" s="11"/>
    </row>
    <row r="20791" spans="8:20" x14ac:dyDescent="0.35">
      <c r="H20791" s="711"/>
      <c r="I20791" s="711"/>
      <c r="J20791" s="711"/>
      <c r="K20791" s="711"/>
      <c r="L20791" s="711"/>
      <c r="Q20791" s="11"/>
      <c r="R20791" s="11"/>
      <c r="S20791" s="11"/>
      <c r="T20791" s="11"/>
    </row>
    <row r="20792" spans="8:20" x14ac:dyDescent="0.35">
      <c r="H20792" s="711"/>
      <c r="I20792" s="711"/>
      <c r="J20792" s="711"/>
      <c r="K20792" s="711"/>
      <c r="L20792" s="711"/>
      <c r="Q20792" s="11"/>
      <c r="R20792" s="11"/>
      <c r="S20792" s="11"/>
      <c r="T20792" s="11"/>
    </row>
    <row r="20793" spans="8:20" x14ac:dyDescent="0.35">
      <c r="H20793" s="711"/>
      <c r="I20793" s="711"/>
      <c r="J20793" s="711"/>
      <c r="K20793" s="711"/>
      <c r="L20793" s="711"/>
      <c r="Q20793" s="11"/>
      <c r="R20793" s="11"/>
      <c r="S20793" s="11"/>
      <c r="T20793" s="11"/>
    </row>
    <row r="20794" spans="8:20" x14ac:dyDescent="0.35">
      <c r="H20794" s="711"/>
      <c r="I20794" s="711"/>
      <c r="J20794" s="711"/>
      <c r="K20794" s="711"/>
      <c r="L20794" s="711"/>
      <c r="Q20794" s="11"/>
      <c r="R20794" s="11"/>
      <c r="S20794" s="11"/>
      <c r="T20794" s="11"/>
    </row>
    <row r="20795" spans="8:20" x14ac:dyDescent="0.35">
      <c r="H20795" s="711"/>
      <c r="I20795" s="711"/>
      <c r="J20795" s="711"/>
      <c r="K20795" s="711"/>
      <c r="L20795" s="711"/>
      <c r="Q20795" s="11"/>
      <c r="R20795" s="11"/>
      <c r="S20795" s="11"/>
      <c r="T20795" s="11"/>
    </row>
    <row r="20796" spans="8:20" x14ac:dyDescent="0.35">
      <c r="H20796" s="711"/>
      <c r="I20796" s="711"/>
      <c r="J20796" s="711"/>
      <c r="K20796" s="711"/>
      <c r="L20796" s="711"/>
      <c r="Q20796" s="11"/>
      <c r="R20796" s="11"/>
      <c r="S20796" s="11"/>
      <c r="T20796" s="11"/>
    </row>
    <row r="20797" spans="8:20" x14ac:dyDescent="0.35">
      <c r="H20797" s="711"/>
      <c r="I20797" s="711"/>
      <c r="J20797" s="711"/>
      <c r="K20797" s="711"/>
      <c r="L20797" s="711"/>
      <c r="Q20797" s="11"/>
      <c r="R20797" s="11"/>
      <c r="S20797" s="11"/>
      <c r="T20797" s="11"/>
    </row>
    <row r="20798" spans="8:20" x14ac:dyDescent="0.35">
      <c r="H20798" s="711"/>
      <c r="I20798" s="711"/>
      <c r="J20798" s="711"/>
      <c r="K20798" s="711"/>
      <c r="L20798" s="711"/>
      <c r="Q20798" s="11"/>
      <c r="R20798" s="11"/>
      <c r="S20798" s="11"/>
      <c r="T20798" s="11"/>
    </row>
    <row r="20799" spans="8:20" x14ac:dyDescent="0.35">
      <c r="H20799" s="711"/>
      <c r="I20799" s="711"/>
      <c r="J20799" s="711"/>
      <c r="K20799" s="711"/>
      <c r="L20799" s="711"/>
      <c r="Q20799" s="11"/>
      <c r="R20799" s="11"/>
      <c r="S20799" s="11"/>
      <c r="T20799" s="11"/>
    </row>
    <row r="20800" spans="8:20" x14ac:dyDescent="0.35">
      <c r="H20800" s="711"/>
      <c r="I20800" s="711"/>
      <c r="J20800" s="711"/>
      <c r="K20800" s="711"/>
      <c r="L20800" s="711"/>
      <c r="Q20800" s="11"/>
      <c r="R20800" s="11"/>
      <c r="S20800" s="11"/>
      <c r="T20800" s="11"/>
    </row>
    <row r="20801" spans="8:20" x14ac:dyDescent="0.35">
      <c r="H20801" s="711"/>
      <c r="I20801" s="711"/>
      <c r="J20801" s="711"/>
      <c r="K20801" s="711"/>
      <c r="L20801" s="711"/>
      <c r="Q20801" s="11"/>
      <c r="R20801" s="11"/>
      <c r="S20801" s="11"/>
      <c r="T20801" s="11"/>
    </row>
    <row r="20802" spans="8:20" x14ac:dyDescent="0.35">
      <c r="H20802" s="711"/>
      <c r="I20802" s="711"/>
      <c r="J20802" s="711"/>
      <c r="K20802" s="711"/>
      <c r="L20802" s="711"/>
      <c r="Q20802" s="11"/>
      <c r="R20802" s="11"/>
      <c r="S20802" s="11"/>
      <c r="T20802" s="11"/>
    </row>
    <row r="20803" spans="8:20" x14ac:dyDescent="0.35">
      <c r="H20803" s="711"/>
      <c r="I20803" s="711"/>
      <c r="J20803" s="711"/>
      <c r="K20803" s="711"/>
      <c r="L20803" s="711"/>
      <c r="Q20803" s="11"/>
      <c r="R20803" s="11"/>
      <c r="S20803" s="11"/>
      <c r="T20803" s="11"/>
    </row>
    <row r="20804" spans="8:20" x14ac:dyDescent="0.35">
      <c r="H20804" s="711"/>
      <c r="I20804" s="711"/>
      <c r="J20804" s="711"/>
      <c r="K20804" s="711"/>
      <c r="L20804" s="711"/>
      <c r="Q20804" s="11"/>
      <c r="R20804" s="11"/>
      <c r="S20804" s="11"/>
      <c r="T20804" s="11"/>
    </row>
    <row r="20805" spans="8:20" x14ac:dyDescent="0.35">
      <c r="H20805" s="711"/>
      <c r="I20805" s="711"/>
      <c r="J20805" s="711"/>
      <c r="K20805" s="711"/>
      <c r="L20805" s="711"/>
      <c r="Q20805" s="11"/>
      <c r="R20805" s="11"/>
      <c r="S20805" s="11"/>
      <c r="T20805" s="11"/>
    </row>
    <row r="20806" spans="8:20" x14ac:dyDescent="0.35">
      <c r="H20806" s="711"/>
      <c r="I20806" s="711"/>
      <c r="J20806" s="711"/>
      <c r="K20806" s="711"/>
      <c r="L20806" s="711"/>
      <c r="Q20806" s="11"/>
      <c r="R20806" s="11"/>
      <c r="S20806" s="11"/>
      <c r="T20806" s="11"/>
    </row>
    <row r="20807" spans="8:20" x14ac:dyDescent="0.35">
      <c r="H20807" s="711"/>
      <c r="I20807" s="711"/>
      <c r="J20807" s="711"/>
      <c r="K20807" s="711"/>
      <c r="L20807" s="711"/>
      <c r="Q20807" s="11"/>
      <c r="R20807" s="11"/>
      <c r="S20807" s="11"/>
      <c r="T20807" s="11"/>
    </row>
    <row r="20808" spans="8:20" x14ac:dyDescent="0.35">
      <c r="H20808" s="711"/>
      <c r="I20808" s="711"/>
      <c r="J20808" s="711"/>
      <c r="K20808" s="711"/>
      <c r="L20808" s="711"/>
      <c r="Q20808" s="11"/>
      <c r="R20808" s="11"/>
      <c r="S20808" s="11"/>
      <c r="T20808" s="11"/>
    </row>
    <row r="20809" spans="8:20" x14ac:dyDescent="0.35">
      <c r="H20809" s="711"/>
      <c r="I20809" s="711"/>
      <c r="J20809" s="711"/>
      <c r="K20809" s="711"/>
      <c r="L20809" s="711"/>
      <c r="Q20809" s="11"/>
      <c r="R20809" s="11"/>
      <c r="S20809" s="11"/>
      <c r="T20809" s="11"/>
    </row>
    <row r="20810" spans="8:20" x14ac:dyDescent="0.35">
      <c r="H20810" s="711"/>
      <c r="I20810" s="711"/>
      <c r="J20810" s="711"/>
      <c r="K20810" s="711"/>
      <c r="L20810" s="711"/>
      <c r="Q20810" s="11"/>
      <c r="R20810" s="11"/>
      <c r="S20810" s="11"/>
      <c r="T20810" s="11"/>
    </row>
    <row r="20811" spans="8:20" x14ac:dyDescent="0.35">
      <c r="H20811" s="711"/>
      <c r="I20811" s="711"/>
      <c r="J20811" s="711"/>
      <c r="K20811" s="711"/>
      <c r="L20811" s="711"/>
      <c r="Q20811" s="11"/>
      <c r="R20811" s="11"/>
      <c r="S20811" s="11"/>
      <c r="T20811" s="11"/>
    </row>
    <row r="20812" spans="8:20" x14ac:dyDescent="0.35">
      <c r="H20812" s="711"/>
      <c r="I20812" s="711"/>
      <c r="J20812" s="711"/>
      <c r="K20812" s="711"/>
      <c r="L20812" s="711"/>
      <c r="Q20812" s="11"/>
      <c r="R20812" s="11"/>
      <c r="S20812" s="11"/>
      <c r="T20812" s="11"/>
    </row>
    <row r="20813" spans="8:20" x14ac:dyDescent="0.35">
      <c r="H20813" s="711"/>
      <c r="I20813" s="711"/>
      <c r="J20813" s="711"/>
      <c r="K20813" s="711"/>
      <c r="L20813" s="711"/>
      <c r="Q20813" s="11"/>
      <c r="R20813" s="11"/>
      <c r="S20813" s="11"/>
      <c r="T20813" s="11"/>
    </row>
    <row r="20814" spans="8:20" x14ac:dyDescent="0.35">
      <c r="H20814" s="711"/>
      <c r="I20814" s="711"/>
      <c r="J20814" s="711"/>
      <c r="K20814" s="711"/>
      <c r="L20814" s="711"/>
      <c r="Q20814" s="11"/>
      <c r="R20814" s="11"/>
      <c r="S20814" s="11"/>
      <c r="T20814" s="11"/>
    </row>
    <row r="20815" spans="8:20" x14ac:dyDescent="0.35">
      <c r="H20815" s="711"/>
      <c r="I20815" s="711"/>
      <c r="J20815" s="711"/>
      <c r="K20815" s="711"/>
      <c r="L20815" s="711"/>
      <c r="Q20815" s="11"/>
      <c r="R20815" s="11"/>
      <c r="S20815" s="11"/>
      <c r="T20815" s="11"/>
    </row>
    <row r="20816" spans="8:20" x14ac:dyDescent="0.35">
      <c r="H20816" s="711"/>
      <c r="I20816" s="711"/>
      <c r="J20816" s="711"/>
      <c r="K20816" s="711"/>
      <c r="L20816" s="711"/>
      <c r="Q20816" s="11"/>
      <c r="R20816" s="11"/>
      <c r="S20816" s="11"/>
      <c r="T20816" s="11"/>
    </row>
    <row r="20817" spans="8:20" x14ac:dyDescent="0.35">
      <c r="H20817" s="711"/>
      <c r="I20817" s="711"/>
      <c r="J20817" s="711"/>
      <c r="K20817" s="711"/>
      <c r="L20817" s="711"/>
      <c r="Q20817" s="11"/>
      <c r="R20817" s="11"/>
      <c r="S20817" s="11"/>
      <c r="T20817" s="11"/>
    </row>
    <row r="20818" spans="8:20" x14ac:dyDescent="0.35">
      <c r="H20818" s="711"/>
      <c r="I20818" s="711"/>
      <c r="J20818" s="711"/>
      <c r="K20818" s="711"/>
      <c r="L20818" s="711"/>
      <c r="Q20818" s="11"/>
      <c r="R20818" s="11"/>
      <c r="S20818" s="11"/>
      <c r="T20818" s="11"/>
    </row>
    <row r="20819" spans="8:20" x14ac:dyDescent="0.35">
      <c r="H20819" s="711"/>
      <c r="I20819" s="711"/>
      <c r="J20819" s="711"/>
      <c r="K20819" s="711"/>
      <c r="L20819" s="711"/>
      <c r="Q20819" s="11"/>
      <c r="R20819" s="11"/>
      <c r="S20819" s="11"/>
      <c r="T20819" s="11"/>
    </row>
    <row r="20820" spans="8:20" x14ac:dyDescent="0.35">
      <c r="H20820" s="711"/>
      <c r="I20820" s="711"/>
      <c r="J20820" s="711"/>
      <c r="K20820" s="711"/>
      <c r="L20820" s="711"/>
      <c r="Q20820" s="11"/>
      <c r="R20820" s="11"/>
      <c r="S20820" s="11"/>
      <c r="T20820" s="11"/>
    </row>
    <row r="20821" spans="8:20" x14ac:dyDescent="0.35">
      <c r="H20821" s="711"/>
      <c r="I20821" s="711"/>
      <c r="J20821" s="711"/>
      <c r="K20821" s="711"/>
      <c r="L20821" s="711"/>
      <c r="Q20821" s="11"/>
      <c r="R20821" s="11"/>
      <c r="S20821" s="11"/>
      <c r="T20821" s="11"/>
    </row>
    <row r="20822" spans="8:20" x14ac:dyDescent="0.35">
      <c r="H20822" s="711"/>
      <c r="I20822" s="711"/>
      <c r="J20822" s="711"/>
      <c r="K20822" s="711"/>
      <c r="L20822" s="711"/>
      <c r="Q20822" s="11"/>
      <c r="R20822" s="11"/>
      <c r="S20822" s="11"/>
      <c r="T20822" s="11"/>
    </row>
    <row r="20823" spans="8:20" x14ac:dyDescent="0.35">
      <c r="H20823" s="711"/>
      <c r="I20823" s="711"/>
      <c r="J20823" s="711"/>
      <c r="K20823" s="711"/>
      <c r="L20823" s="711"/>
      <c r="Q20823" s="11"/>
      <c r="R20823" s="11"/>
      <c r="S20823" s="11"/>
      <c r="T20823" s="11"/>
    </row>
    <row r="20824" spans="8:20" x14ac:dyDescent="0.35">
      <c r="H20824" s="711"/>
      <c r="I20824" s="711"/>
      <c r="J20824" s="711"/>
      <c r="K20824" s="711"/>
      <c r="L20824" s="711"/>
      <c r="Q20824" s="11"/>
      <c r="R20824" s="11"/>
      <c r="S20824" s="11"/>
      <c r="T20824" s="11"/>
    </row>
    <row r="20825" spans="8:20" x14ac:dyDescent="0.35">
      <c r="H20825" s="711"/>
      <c r="I20825" s="711"/>
      <c r="J20825" s="711"/>
      <c r="K20825" s="711"/>
      <c r="L20825" s="711"/>
      <c r="Q20825" s="11"/>
      <c r="R20825" s="11"/>
      <c r="S20825" s="11"/>
      <c r="T20825" s="11"/>
    </row>
    <row r="20826" spans="8:20" x14ac:dyDescent="0.35">
      <c r="H20826" s="711"/>
      <c r="I20826" s="711"/>
      <c r="J20826" s="711"/>
      <c r="K20826" s="711"/>
      <c r="L20826" s="711"/>
      <c r="Q20826" s="11"/>
      <c r="R20826" s="11"/>
      <c r="S20826" s="11"/>
      <c r="T20826" s="11"/>
    </row>
    <row r="20827" spans="8:20" x14ac:dyDescent="0.35">
      <c r="H20827" s="711"/>
      <c r="I20827" s="711"/>
      <c r="J20827" s="711"/>
      <c r="K20827" s="711"/>
      <c r="L20827" s="711"/>
      <c r="Q20827" s="11"/>
      <c r="R20827" s="11"/>
      <c r="S20827" s="11"/>
      <c r="T20827" s="11"/>
    </row>
    <row r="20828" spans="8:20" x14ac:dyDescent="0.35">
      <c r="H20828" s="711"/>
      <c r="I20828" s="711"/>
      <c r="J20828" s="711"/>
      <c r="K20828" s="711"/>
      <c r="L20828" s="711"/>
      <c r="Q20828" s="11"/>
      <c r="R20828" s="11"/>
      <c r="S20828" s="11"/>
      <c r="T20828" s="11"/>
    </row>
    <row r="20829" spans="8:20" x14ac:dyDescent="0.35">
      <c r="H20829" s="711"/>
      <c r="I20829" s="711"/>
      <c r="J20829" s="711"/>
      <c r="K20829" s="711"/>
      <c r="L20829" s="711"/>
      <c r="Q20829" s="11"/>
      <c r="R20829" s="11"/>
      <c r="S20829" s="11"/>
      <c r="T20829" s="11"/>
    </row>
    <row r="20830" spans="8:20" x14ac:dyDescent="0.35">
      <c r="H20830" s="711"/>
      <c r="I20830" s="711"/>
      <c r="J20830" s="711"/>
      <c r="K20830" s="711"/>
      <c r="L20830" s="711"/>
      <c r="Q20830" s="11"/>
      <c r="R20830" s="11"/>
      <c r="S20830" s="11"/>
      <c r="T20830" s="11"/>
    </row>
    <row r="20831" spans="8:20" x14ac:dyDescent="0.35">
      <c r="H20831" s="711"/>
      <c r="I20831" s="711"/>
      <c r="J20831" s="711"/>
      <c r="K20831" s="711"/>
      <c r="L20831" s="711"/>
      <c r="Q20831" s="11"/>
      <c r="R20831" s="11"/>
      <c r="S20831" s="11"/>
      <c r="T20831" s="11"/>
    </row>
    <row r="20832" spans="8:20" x14ac:dyDescent="0.35">
      <c r="H20832" s="711"/>
      <c r="I20832" s="711"/>
      <c r="J20832" s="711"/>
      <c r="K20832" s="711"/>
      <c r="L20832" s="711"/>
      <c r="Q20832" s="11"/>
      <c r="R20832" s="11"/>
      <c r="S20832" s="11"/>
      <c r="T20832" s="11"/>
    </row>
    <row r="20833" spans="8:20" x14ac:dyDescent="0.35">
      <c r="H20833" s="711"/>
      <c r="I20833" s="711"/>
      <c r="J20833" s="711"/>
      <c r="K20833" s="711"/>
      <c r="L20833" s="711"/>
      <c r="Q20833" s="11"/>
      <c r="R20833" s="11"/>
      <c r="S20833" s="11"/>
      <c r="T20833" s="11"/>
    </row>
    <row r="20834" spans="8:20" x14ac:dyDescent="0.35">
      <c r="H20834" s="711"/>
      <c r="I20834" s="711"/>
      <c r="J20834" s="711"/>
      <c r="K20834" s="711"/>
      <c r="L20834" s="711"/>
      <c r="Q20834" s="11"/>
      <c r="R20834" s="11"/>
      <c r="S20834" s="11"/>
      <c r="T20834" s="11"/>
    </row>
    <row r="20835" spans="8:20" x14ac:dyDescent="0.35">
      <c r="H20835" s="711"/>
      <c r="I20835" s="711"/>
      <c r="J20835" s="711"/>
      <c r="K20835" s="711"/>
      <c r="L20835" s="711"/>
      <c r="Q20835" s="11"/>
      <c r="R20835" s="11"/>
      <c r="S20835" s="11"/>
      <c r="T20835" s="11"/>
    </row>
    <row r="20836" spans="8:20" x14ac:dyDescent="0.35">
      <c r="H20836" s="711"/>
      <c r="I20836" s="711"/>
      <c r="J20836" s="711"/>
      <c r="K20836" s="711"/>
      <c r="L20836" s="711"/>
      <c r="Q20836" s="11"/>
      <c r="R20836" s="11"/>
      <c r="S20836" s="11"/>
      <c r="T20836" s="11"/>
    </row>
    <row r="20837" spans="8:20" x14ac:dyDescent="0.35">
      <c r="H20837" s="711"/>
      <c r="I20837" s="711"/>
      <c r="J20837" s="711"/>
      <c r="K20837" s="711"/>
      <c r="L20837" s="711"/>
      <c r="Q20837" s="11"/>
      <c r="R20837" s="11"/>
      <c r="S20837" s="11"/>
      <c r="T20837" s="11"/>
    </row>
    <row r="20838" spans="8:20" x14ac:dyDescent="0.35">
      <c r="H20838" s="711"/>
      <c r="I20838" s="711"/>
      <c r="J20838" s="711"/>
      <c r="K20838" s="711"/>
      <c r="L20838" s="711"/>
      <c r="Q20838" s="11"/>
      <c r="R20838" s="11"/>
      <c r="S20838" s="11"/>
      <c r="T20838" s="11"/>
    </row>
    <row r="20839" spans="8:20" x14ac:dyDescent="0.35">
      <c r="H20839" s="711"/>
      <c r="I20839" s="711"/>
      <c r="J20839" s="711"/>
      <c r="K20839" s="711"/>
      <c r="L20839" s="711"/>
      <c r="Q20839" s="11"/>
      <c r="R20839" s="11"/>
      <c r="S20839" s="11"/>
      <c r="T20839" s="11"/>
    </row>
    <row r="20840" spans="8:20" x14ac:dyDescent="0.35">
      <c r="H20840" s="711"/>
      <c r="I20840" s="711"/>
      <c r="J20840" s="711"/>
      <c r="K20840" s="711"/>
      <c r="L20840" s="711"/>
      <c r="Q20840" s="11"/>
      <c r="R20840" s="11"/>
      <c r="S20840" s="11"/>
      <c r="T20840" s="11"/>
    </row>
    <row r="20841" spans="8:20" x14ac:dyDescent="0.35">
      <c r="H20841" s="711"/>
      <c r="I20841" s="711"/>
      <c r="J20841" s="711"/>
      <c r="K20841" s="711"/>
      <c r="L20841" s="711"/>
      <c r="Q20841" s="11"/>
      <c r="R20841" s="11"/>
      <c r="S20841" s="11"/>
      <c r="T20841" s="11"/>
    </row>
    <row r="20842" spans="8:20" x14ac:dyDescent="0.35">
      <c r="H20842" s="711"/>
      <c r="I20842" s="711"/>
      <c r="J20842" s="711"/>
      <c r="K20842" s="711"/>
      <c r="L20842" s="711"/>
      <c r="Q20842" s="11"/>
      <c r="R20842" s="11"/>
      <c r="S20842" s="11"/>
      <c r="T20842" s="11"/>
    </row>
    <row r="20843" spans="8:20" x14ac:dyDescent="0.35">
      <c r="H20843" s="711"/>
      <c r="I20843" s="711"/>
      <c r="J20843" s="711"/>
      <c r="K20843" s="711"/>
      <c r="L20843" s="711"/>
      <c r="Q20843" s="11"/>
      <c r="R20843" s="11"/>
      <c r="S20843" s="11"/>
      <c r="T20843" s="11"/>
    </row>
    <row r="20844" spans="8:20" x14ac:dyDescent="0.35">
      <c r="H20844" s="711"/>
      <c r="I20844" s="711"/>
      <c r="J20844" s="711"/>
      <c r="K20844" s="711"/>
      <c r="L20844" s="711"/>
      <c r="Q20844" s="11"/>
      <c r="R20844" s="11"/>
      <c r="S20844" s="11"/>
      <c r="T20844" s="11"/>
    </row>
    <row r="20845" spans="8:20" x14ac:dyDescent="0.35">
      <c r="H20845" s="711"/>
      <c r="I20845" s="711"/>
      <c r="J20845" s="711"/>
      <c r="K20845" s="711"/>
      <c r="L20845" s="711"/>
      <c r="Q20845" s="11"/>
      <c r="R20845" s="11"/>
      <c r="S20845" s="11"/>
      <c r="T20845" s="11"/>
    </row>
    <row r="20846" spans="8:20" x14ac:dyDescent="0.35">
      <c r="H20846" s="711"/>
      <c r="I20846" s="711"/>
      <c r="J20846" s="711"/>
      <c r="K20846" s="711"/>
      <c r="L20846" s="711"/>
      <c r="Q20846" s="11"/>
      <c r="R20846" s="11"/>
      <c r="S20846" s="11"/>
      <c r="T20846" s="11"/>
    </row>
    <row r="20847" spans="8:20" x14ac:dyDescent="0.35">
      <c r="H20847" s="711"/>
      <c r="I20847" s="711"/>
      <c r="J20847" s="711"/>
      <c r="K20847" s="711"/>
      <c r="L20847" s="711"/>
      <c r="Q20847" s="11"/>
      <c r="R20847" s="11"/>
      <c r="S20847" s="11"/>
      <c r="T20847" s="11"/>
    </row>
    <row r="20848" spans="8:20" x14ac:dyDescent="0.35">
      <c r="H20848" s="711"/>
      <c r="I20848" s="711"/>
      <c r="J20848" s="711"/>
      <c r="K20848" s="711"/>
      <c r="L20848" s="711"/>
      <c r="Q20848" s="11"/>
      <c r="R20848" s="11"/>
      <c r="S20848" s="11"/>
      <c r="T20848" s="11"/>
    </row>
    <row r="20849" spans="8:20" x14ac:dyDescent="0.35">
      <c r="H20849" s="711"/>
      <c r="I20849" s="711"/>
      <c r="J20849" s="711"/>
      <c r="K20849" s="711"/>
      <c r="L20849" s="711"/>
      <c r="Q20849" s="11"/>
      <c r="R20849" s="11"/>
      <c r="S20849" s="11"/>
      <c r="T20849" s="11"/>
    </row>
    <row r="20850" spans="8:20" x14ac:dyDescent="0.35">
      <c r="H20850" s="711"/>
      <c r="I20850" s="711"/>
      <c r="J20850" s="711"/>
      <c r="K20850" s="711"/>
      <c r="L20850" s="711"/>
      <c r="Q20850" s="11"/>
      <c r="R20850" s="11"/>
      <c r="S20850" s="11"/>
      <c r="T20850" s="11"/>
    </row>
    <row r="20851" spans="8:20" x14ac:dyDescent="0.35">
      <c r="H20851" s="711"/>
      <c r="I20851" s="711"/>
      <c r="J20851" s="711"/>
      <c r="K20851" s="711"/>
      <c r="L20851" s="711"/>
      <c r="Q20851" s="11"/>
      <c r="R20851" s="11"/>
      <c r="S20851" s="11"/>
      <c r="T20851" s="11"/>
    </row>
    <row r="20852" spans="8:20" x14ac:dyDescent="0.35">
      <c r="H20852" s="711"/>
      <c r="I20852" s="711"/>
      <c r="J20852" s="711"/>
      <c r="K20852" s="711"/>
      <c r="L20852" s="711"/>
      <c r="Q20852" s="11"/>
      <c r="R20852" s="11"/>
      <c r="S20852" s="11"/>
      <c r="T20852" s="11"/>
    </row>
    <row r="20853" spans="8:20" x14ac:dyDescent="0.35">
      <c r="H20853" s="711"/>
      <c r="I20853" s="711"/>
      <c r="J20853" s="711"/>
      <c r="K20853" s="711"/>
      <c r="L20853" s="711"/>
      <c r="Q20853" s="11"/>
      <c r="R20853" s="11"/>
      <c r="S20853" s="11"/>
      <c r="T20853" s="11"/>
    </row>
    <row r="20854" spans="8:20" x14ac:dyDescent="0.35">
      <c r="H20854" s="711"/>
      <c r="I20854" s="711"/>
      <c r="J20854" s="711"/>
      <c r="K20854" s="711"/>
      <c r="L20854" s="711"/>
      <c r="Q20854" s="11"/>
      <c r="R20854" s="11"/>
      <c r="S20854" s="11"/>
      <c r="T20854" s="11"/>
    </row>
    <row r="20855" spans="8:20" x14ac:dyDescent="0.35">
      <c r="H20855" s="711"/>
      <c r="I20855" s="711"/>
      <c r="J20855" s="711"/>
      <c r="K20855" s="711"/>
      <c r="L20855" s="711"/>
      <c r="Q20855" s="11"/>
      <c r="R20855" s="11"/>
      <c r="S20855" s="11"/>
      <c r="T20855" s="11"/>
    </row>
    <row r="20856" spans="8:20" x14ac:dyDescent="0.35">
      <c r="H20856" s="711"/>
      <c r="I20856" s="711"/>
      <c r="J20856" s="711"/>
      <c r="K20856" s="711"/>
      <c r="L20856" s="711"/>
      <c r="Q20856" s="11"/>
      <c r="R20856" s="11"/>
      <c r="S20856" s="11"/>
      <c r="T20856" s="11"/>
    </row>
    <row r="20857" spans="8:20" x14ac:dyDescent="0.35">
      <c r="H20857" s="711"/>
      <c r="I20857" s="711"/>
      <c r="J20857" s="711"/>
      <c r="K20857" s="711"/>
      <c r="L20857" s="711"/>
      <c r="Q20857" s="11"/>
      <c r="R20857" s="11"/>
      <c r="S20857" s="11"/>
      <c r="T20857" s="11"/>
    </row>
    <row r="20858" spans="8:20" x14ac:dyDescent="0.35">
      <c r="H20858" s="711"/>
      <c r="I20858" s="711"/>
      <c r="J20858" s="711"/>
      <c r="K20858" s="711"/>
      <c r="L20858" s="711"/>
      <c r="Q20858" s="11"/>
      <c r="R20858" s="11"/>
      <c r="S20858" s="11"/>
      <c r="T20858" s="11"/>
    </row>
    <row r="20859" spans="8:20" x14ac:dyDescent="0.35">
      <c r="H20859" s="711"/>
      <c r="I20859" s="711"/>
      <c r="J20859" s="711"/>
      <c r="K20859" s="711"/>
      <c r="L20859" s="711"/>
      <c r="Q20859" s="11"/>
      <c r="R20859" s="11"/>
      <c r="S20859" s="11"/>
      <c r="T20859" s="11"/>
    </row>
    <row r="20860" spans="8:20" x14ac:dyDescent="0.35">
      <c r="H20860" s="711"/>
      <c r="I20860" s="711"/>
      <c r="J20860" s="711"/>
      <c r="K20860" s="711"/>
      <c r="L20860" s="711"/>
      <c r="Q20860" s="11"/>
      <c r="R20860" s="11"/>
      <c r="S20860" s="11"/>
      <c r="T20860" s="11"/>
    </row>
    <row r="20861" spans="8:20" x14ac:dyDescent="0.35">
      <c r="H20861" s="711"/>
      <c r="I20861" s="711"/>
      <c r="J20861" s="711"/>
      <c r="K20861" s="711"/>
      <c r="L20861" s="711"/>
      <c r="Q20861" s="11"/>
      <c r="R20861" s="11"/>
      <c r="S20861" s="11"/>
      <c r="T20861" s="11"/>
    </row>
    <row r="20862" spans="8:20" x14ac:dyDescent="0.35">
      <c r="H20862" s="711"/>
      <c r="I20862" s="711"/>
      <c r="J20862" s="711"/>
      <c r="K20862" s="711"/>
      <c r="L20862" s="711"/>
      <c r="Q20862" s="11"/>
      <c r="R20862" s="11"/>
      <c r="S20862" s="11"/>
      <c r="T20862" s="11"/>
    </row>
    <row r="20863" spans="8:20" x14ac:dyDescent="0.35">
      <c r="H20863" s="711"/>
      <c r="I20863" s="711"/>
      <c r="J20863" s="711"/>
      <c r="K20863" s="711"/>
      <c r="L20863" s="711"/>
      <c r="Q20863" s="11"/>
      <c r="R20863" s="11"/>
      <c r="S20863" s="11"/>
      <c r="T20863" s="11"/>
    </row>
    <row r="20864" spans="8:20" x14ac:dyDescent="0.35">
      <c r="H20864" s="711"/>
      <c r="I20864" s="711"/>
      <c r="J20864" s="711"/>
      <c r="K20864" s="711"/>
      <c r="L20864" s="711"/>
      <c r="Q20864" s="11"/>
      <c r="R20864" s="11"/>
      <c r="S20864" s="11"/>
      <c r="T20864" s="11"/>
    </row>
    <row r="20865" spans="8:20" x14ac:dyDescent="0.35">
      <c r="H20865" s="711"/>
      <c r="I20865" s="711"/>
      <c r="J20865" s="711"/>
      <c r="K20865" s="711"/>
      <c r="L20865" s="711"/>
      <c r="Q20865" s="11"/>
      <c r="R20865" s="11"/>
      <c r="S20865" s="11"/>
      <c r="T20865" s="11"/>
    </row>
    <row r="20866" spans="8:20" x14ac:dyDescent="0.35">
      <c r="H20866" s="711"/>
      <c r="I20866" s="711"/>
      <c r="J20866" s="711"/>
      <c r="K20866" s="711"/>
      <c r="L20866" s="711"/>
      <c r="Q20866" s="11"/>
      <c r="R20866" s="11"/>
      <c r="S20866" s="11"/>
      <c r="T20866" s="11"/>
    </row>
    <row r="20867" spans="8:20" x14ac:dyDescent="0.35">
      <c r="H20867" s="711"/>
      <c r="I20867" s="711"/>
      <c r="J20867" s="711"/>
      <c r="K20867" s="711"/>
      <c r="L20867" s="711"/>
      <c r="Q20867" s="11"/>
      <c r="R20867" s="11"/>
      <c r="S20867" s="11"/>
      <c r="T20867" s="11"/>
    </row>
    <row r="20868" spans="8:20" x14ac:dyDescent="0.35">
      <c r="H20868" s="711"/>
      <c r="I20868" s="711"/>
      <c r="J20868" s="711"/>
      <c r="K20868" s="711"/>
      <c r="L20868" s="711"/>
      <c r="Q20868" s="11"/>
      <c r="R20868" s="11"/>
      <c r="S20868" s="11"/>
      <c r="T20868" s="11"/>
    </row>
    <row r="20869" spans="8:20" x14ac:dyDescent="0.35">
      <c r="H20869" s="711"/>
      <c r="I20869" s="711"/>
      <c r="J20869" s="711"/>
      <c r="K20869" s="711"/>
      <c r="L20869" s="711"/>
      <c r="Q20869" s="11"/>
      <c r="R20869" s="11"/>
      <c r="S20869" s="11"/>
      <c r="T20869" s="11"/>
    </row>
    <row r="20870" spans="8:20" x14ac:dyDescent="0.35">
      <c r="H20870" s="711"/>
      <c r="I20870" s="711"/>
      <c r="J20870" s="711"/>
      <c r="K20870" s="711"/>
      <c r="L20870" s="711"/>
      <c r="Q20870" s="11"/>
      <c r="R20870" s="11"/>
      <c r="S20870" s="11"/>
      <c r="T20870" s="11"/>
    </row>
    <row r="20871" spans="8:20" x14ac:dyDescent="0.35">
      <c r="H20871" s="711"/>
      <c r="I20871" s="711"/>
      <c r="J20871" s="711"/>
      <c r="K20871" s="711"/>
      <c r="L20871" s="711"/>
      <c r="Q20871" s="11"/>
      <c r="R20871" s="11"/>
      <c r="S20871" s="11"/>
      <c r="T20871" s="11"/>
    </row>
    <row r="20872" spans="8:20" x14ac:dyDescent="0.35">
      <c r="H20872" s="711"/>
      <c r="I20872" s="711"/>
      <c r="J20872" s="711"/>
      <c r="K20872" s="711"/>
      <c r="L20872" s="711"/>
      <c r="Q20872" s="11"/>
      <c r="R20872" s="11"/>
      <c r="S20872" s="11"/>
      <c r="T20872" s="11"/>
    </row>
    <row r="20873" spans="8:20" x14ac:dyDescent="0.35">
      <c r="H20873" s="711"/>
      <c r="I20873" s="711"/>
      <c r="J20873" s="711"/>
      <c r="K20873" s="711"/>
      <c r="L20873" s="711"/>
      <c r="Q20873" s="11"/>
      <c r="R20873" s="11"/>
      <c r="S20873" s="11"/>
      <c r="T20873" s="11"/>
    </row>
    <row r="20874" spans="8:20" x14ac:dyDescent="0.35">
      <c r="H20874" s="711"/>
      <c r="I20874" s="711"/>
      <c r="J20874" s="711"/>
      <c r="K20874" s="711"/>
      <c r="L20874" s="711"/>
      <c r="Q20874" s="11"/>
      <c r="R20874" s="11"/>
      <c r="S20874" s="11"/>
      <c r="T20874" s="11"/>
    </row>
    <row r="20875" spans="8:20" x14ac:dyDescent="0.35">
      <c r="H20875" s="711"/>
      <c r="I20875" s="711"/>
      <c r="J20875" s="711"/>
      <c r="K20875" s="711"/>
      <c r="L20875" s="711"/>
      <c r="Q20875" s="11"/>
      <c r="R20875" s="11"/>
      <c r="S20875" s="11"/>
      <c r="T20875" s="11"/>
    </row>
    <row r="20876" spans="8:20" x14ac:dyDescent="0.35">
      <c r="H20876" s="711"/>
      <c r="I20876" s="711"/>
      <c r="J20876" s="711"/>
      <c r="K20876" s="711"/>
      <c r="L20876" s="711"/>
      <c r="Q20876" s="11"/>
      <c r="R20876" s="11"/>
      <c r="S20876" s="11"/>
      <c r="T20876" s="11"/>
    </row>
    <row r="20877" spans="8:20" x14ac:dyDescent="0.35">
      <c r="H20877" s="711"/>
      <c r="I20877" s="711"/>
      <c r="J20877" s="711"/>
      <c r="K20877" s="711"/>
      <c r="L20877" s="711"/>
      <c r="Q20877" s="11"/>
      <c r="R20877" s="11"/>
      <c r="S20877" s="11"/>
      <c r="T20877" s="11"/>
    </row>
    <row r="20878" spans="8:20" x14ac:dyDescent="0.35">
      <c r="H20878" s="711"/>
      <c r="I20878" s="711"/>
      <c r="J20878" s="711"/>
      <c r="K20878" s="711"/>
      <c r="L20878" s="711"/>
      <c r="Q20878" s="11"/>
      <c r="R20878" s="11"/>
      <c r="S20878" s="11"/>
      <c r="T20878" s="11"/>
    </row>
    <row r="20879" spans="8:20" x14ac:dyDescent="0.35">
      <c r="H20879" s="711"/>
      <c r="I20879" s="711"/>
      <c r="J20879" s="711"/>
      <c r="K20879" s="711"/>
      <c r="L20879" s="711"/>
      <c r="Q20879" s="11"/>
      <c r="R20879" s="11"/>
      <c r="S20879" s="11"/>
      <c r="T20879" s="11"/>
    </row>
    <row r="20880" spans="8:20" x14ac:dyDescent="0.35">
      <c r="H20880" s="711"/>
      <c r="I20880" s="711"/>
      <c r="J20880" s="711"/>
      <c r="K20880" s="711"/>
      <c r="L20880" s="711"/>
      <c r="Q20880" s="11"/>
      <c r="R20880" s="11"/>
      <c r="S20880" s="11"/>
      <c r="T20880" s="11"/>
    </row>
    <row r="20881" spans="8:20" x14ac:dyDescent="0.35">
      <c r="H20881" s="711"/>
      <c r="I20881" s="711"/>
      <c r="J20881" s="711"/>
      <c r="K20881" s="711"/>
      <c r="L20881" s="711"/>
      <c r="Q20881" s="11"/>
      <c r="R20881" s="11"/>
      <c r="S20881" s="11"/>
      <c r="T20881" s="11"/>
    </row>
    <row r="20882" spans="8:20" x14ac:dyDescent="0.35">
      <c r="H20882" s="711"/>
      <c r="I20882" s="711"/>
      <c r="J20882" s="711"/>
      <c r="K20882" s="711"/>
      <c r="L20882" s="711"/>
      <c r="Q20882" s="11"/>
      <c r="R20882" s="11"/>
      <c r="S20882" s="11"/>
      <c r="T20882" s="11"/>
    </row>
    <row r="20883" spans="8:20" x14ac:dyDescent="0.35">
      <c r="H20883" s="711"/>
      <c r="I20883" s="711"/>
      <c r="J20883" s="711"/>
      <c r="K20883" s="711"/>
      <c r="L20883" s="711"/>
      <c r="Q20883" s="11"/>
      <c r="R20883" s="11"/>
      <c r="S20883" s="11"/>
      <c r="T20883" s="11"/>
    </row>
    <row r="20884" spans="8:20" x14ac:dyDescent="0.35">
      <c r="H20884" s="711"/>
      <c r="I20884" s="711"/>
      <c r="J20884" s="711"/>
      <c r="K20884" s="711"/>
      <c r="L20884" s="711"/>
      <c r="Q20884" s="11"/>
      <c r="R20884" s="11"/>
      <c r="S20884" s="11"/>
      <c r="T20884" s="11"/>
    </row>
    <row r="20885" spans="8:20" x14ac:dyDescent="0.35">
      <c r="H20885" s="711"/>
      <c r="I20885" s="711"/>
      <c r="J20885" s="711"/>
      <c r="K20885" s="711"/>
      <c r="L20885" s="711"/>
      <c r="Q20885" s="11"/>
      <c r="R20885" s="11"/>
      <c r="S20885" s="11"/>
      <c r="T20885" s="11"/>
    </row>
    <row r="20886" spans="8:20" x14ac:dyDescent="0.35">
      <c r="H20886" s="711"/>
      <c r="I20886" s="711"/>
      <c r="J20886" s="711"/>
      <c r="K20886" s="711"/>
      <c r="L20886" s="711"/>
      <c r="Q20886" s="11"/>
      <c r="R20886" s="11"/>
      <c r="S20886" s="11"/>
      <c r="T20886" s="11"/>
    </row>
    <row r="20887" spans="8:20" x14ac:dyDescent="0.35">
      <c r="H20887" s="711"/>
      <c r="I20887" s="711"/>
      <c r="J20887" s="711"/>
      <c r="K20887" s="711"/>
      <c r="L20887" s="711"/>
      <c r="Q20887" s="11"/>
      <c r="R20887" s="11"/>
      <c r="S20887" s="11"/>
      <c r="T20887" s="11"/>
    </row>
    <row r="20888" spans="8:20" x14ac:dyDescent="0.35">
      <c r="H20888" s="711"/>
      <c r="I20888" s="711"/>
      <c r="J20888" s="711"/>
      <c r="K20888" s="711"/>
      <c r="L20888" s="711"/>
      <c r="Q20888" s="11"/>
      <c r="R20888" s="11"/>
      <c r="S20888" s="11"/>
      <c r="T20888" s="11"/>
    </row>
    <row r="20889" spans="8:20" x14ac:dyDescent="0.35">
      <c r="H20889" s="711"/>
      <c r="I20889" s="711"/>
      <c r="J20889" s="711"/>
      <c r="K20889" s="711"/>
      <c r="L20889" s="711"/>
      <c r="Q20889" s="11"/>
      <c r="R20889" s="11"/>
      <c r="S20889" s="11"/>
      <c r="T20889" s="11"/>
    </row>
    <row r="20890" spans="8:20" x14ac:dyDescent="0.35">
      <c r="H20890" s="711"/>
      <c r="I20890" s="711"/>
      <c r="J20890" s="711"/>
      <c r="K20890" s="711"/>
      <c r="L20890" s="711"/>
      <c r="Q20890" s="11"/>
      <c r="R20890" s="11"/>
      <c r="S20890" s="11"/>
      <c r="T20890" s="11"/>
    </row>
    <row r="20891" spans="8:20" x14ac:dyDescent="0.35">
      <c r="H20891" s="711"/>
      <c r="I20891" s="711"/>
      <c r="J20891" s="711"/>
      <c r="K20891" s="711"/>
      <c r="L20891" s="711"/>
      <c r="Q20891" s="11"/>
      <c r="R20891" s="11"/>
      <c r="S20891" s="11"/>
      <c r="T20891" s="11"/>
    </row>
    <row r="20892" spans="8:20" x14ac:dyDescent="0.35">
      <c r="H20892" s="711"/>
      <c r="I20892" s="711"/>
      <c r="J20892" s="711"/>
      <c r="K20892" s="711"/>
      <c r="L20892" s="711"/>
      <c r="Q20892" s="11"/>
      <c r="R20892" s="11"/>
      <c r="S20892" s="11"/>
      <c r="T20892" s="11"/>
    </row>
    <row r="20893" spans="8:20" x14ac:dyDescent="0.35">
      <c r="H20893" s="711"/>
      <c r="I20893" s="711"/>
      <c r="J20893" s="711"/>
      <c r="K20893" s="711"/>
      <c r="L20893" s="711"/>
      <c r="Q20893" s="11"/>
      <c r="R20893" s="11"/>
      <c r="S20893" s="11"/>
      <c r="T20893" s="11"/>
    </row>
    <row r="20894" spans="8:20" x14ac:dyDescent="0.35">
      <c r="H20894" s="711"/>
      <c r="I20894" s="711"/>
      <c r="J20894" s="711"/>
      <c r="K20894" s="711"/>
      <c r="L20894" s="711"/>
      <c r="Q20894" s="11"/>
      <c r="R20894" s="11"/>
      <c r="S20894" s="11"/>
      <c r="T20894" s="11"/>
    </row>
    <row r="20895" spans="8:20" x14ac:dyDescent="0.35">
      <c r="H20895" s="711"/>
      <c r="I20895" s="711"/>
      <c r="J20895" s="711"/>
      <c r="K20895" s="711"/>
      <c r="L20895" s="711"/>
      <c r="Q20895" s="11"/>
      <c r="R20895" s="11"/>
      <c r="S20895" s="11"/>
      <c r="T20895" s="11"/>
    </row>
    <row r="20896" spans="8:20" x14ac:dyDescent="0.35">
      <c r="H20896" s="711"/>
      <c r="I20896" s="711"/>
      <c r="J20896" s="711"/>
      <c r="K20896" s="711"/>
      <c r="L20896" s="711"/>
      <c r="Q20896" s="11"/>
      <c r="R20896" s="11"/>
      <c r="S20896" s="11"/>
      <c r="T20896" s="11"/>
    </row>
    <row r="20897" spans="8:20" x14ac:dyDescent="0.35">
      <c r="H20897" s="711"/>
      <c r="I20897" s="711"/>
      <c r="J20897" s="711"/>
      <c r="K20897" s="711"/>
      <c r="L20897" s="711"/>
      <c r="Q20897" s="11"/>
      <c r="R20897" s="11"/>
      <c r="S20897" s="11"/>
      <c r="T20897" s="11"/>
    </row>
    <row r="20898" spans="8:20" x14ac:dyDescent="0.35">
      <c r="H20898" s="711"/>
      <c r="I20898" s="711"/>
      <c r="J20898" s="711"/>
      <c r="K20898" s="711"/>
      <c r="L20898" s="711"/>
      <c r="Q20898" s="11"/>
      <c r="R20898" s="11"/>
      <c r="S20898" s="11"/>
      <c r="T20898" s="11"/>
    </row>
    <row r="20899" spans="8:20" x14ac:dyDescent="0.35">
      <c r="H20899" s="711"/>
      <c r="I20899" s="711"/>
      <c r="J20899" s="711"/>
      <c r="K20899" s="711"/>
      <c r="L20899" s="711"/>
      <c r="Q20899" s="11"/>
      <c r="R20899" s="11"/>
      <c r="S20899" s="11"/>
      <c r="T20899" s="11"/>
    </row>
    <row r="20900" spans="8:20" x14ac:dyDescent="0.35">
      <c r="H20900" s="711"/>
      <c r="I20900" s="711"/>
      <c r="J20900" s="711"/>
      <c r="K20900" s="711"/>
      <c r="L20900" s="711"/>
      <c r="Q20900" s="11"/>
      <c r="R20900" s="11"/>
      <c r="S20900" s="11"/>
      <c r="T20900" s="11"/>
    </row>
    <row r="20901" spans="8:20" x14ac:dyDescent="0.35">
      <c r="H20901" s="711"/>
      <c r="I20901" s="711"/>
      <c r="J20901" s="711"/>
      <c r="K20901" s="711"/>
      <c r="L20901" s="711"/>
      <c r="Q20901" s="11"/>
      <c r="R20901" s="11"/>
      <c r="S20901" s="11"/>
      <c r="T20901" s="11"/>
    </row>
    <row r="20902" spans="8:20" x14ac:dyDescent="0.35">
      <c r="H20902" s="711"/>
      <c r="I20902" s="711"/>
      <c r="J20902" s="711"/>
      <c r="K20902" s="711"/>
      <c r="L20902" s="711"/>
      <c r="Q20902" s="11"/>
      <c r="R20902" s="11"/>
      <c r="S20902" s="11"/>
      <c r="T20902" s="11"/>
    </row>
    <row r="20903" spans="8:20" x14ac:dyDescent="0.35">
      <c r="H20903" s="711"/>
      <c r="I20903" s="711"/>
      <c r="J20903" s="711"/>
      <c r="K20903" s="711"/>
      <c r="L20903" s="711"/>
      <c r="Q20903" s="11"/>
      <c r="R20903" s="11"/>
      <c r="S20903" s="11"/>
      <c r="T20903" s="11"/>
    </row>
    <row r="20904" spans="8:20" x14ac:dyDescent="0.35">
      <c r="H20904" s="711"/>
      <c r="I20904" s="711"/>
      <c r="J20904" s="711"/>
      <c r="K20904" s="711"/>
      <c r="L20904" s="711"/>
      <c r="Q20904" s="11"/>
      <c r="R20904" s="11"/>
      <c r="S20904" s="11"/>
      <c r="T20904" s="11"/>
    </row>
    <row r="20905" spans="8:20" x14ac:dyDescent="0.35">
      <c r="H20905" s="711"/>
      <c r="I20905" s="711"/>
      <c r="J20905" s="711"/>
      <c r="K20905" s="711"/>
      <c r="L20905" s="711"/>
      <c r="Q20905" s="11"/>
      <c r="R20905" s="11"/>
      <c r="S20905" s="11"/>
      <c r="T20905" s="11"/>
    </row>
    <row r="20906" spans="8:20" x14ac:dyDescent="0.35">
      <c r="H20906" s="711"/>
      <c r="I20906" s="711"/>
      <c r="J20906" s="711"/>
      <c r="K20906" s="711"/>
      <c r="L20906" s="711"/>
      <c r="Q20906" s="11"/>
      <c r="R20906" s="11"/>
      <c r="S20906" s="11"/>
      <c r="T20906" s="11"/>
    </row>
    <row r="20907" spans="8:20" x14ac:dyDescent="0.35">
      <c r="H20907" s="711"/>
      <c r="I20907" s="711"/>
      <c r="J20907" s="711"/>
      <c r="K20907" s="711"/>
      <c r="L20907" s="711"/>
      <c r="Q20907" s="11"/>
      <c r="R20907" s="11"/>
      <c r="S20907" s="11"/>
      <c r="T20907" s="11"/>
    </row>
    <row r="20908" spans="8:20" x14ac:dyDescent="0.35">
      <c r="H20908" s="711"/>
      <c r="I20908" s="711"/>
      <c r="J20908" s="711"/>
      <c r="K20908" s="711"/>
      <c r="L20908" s="711"/>
      <c r="Q20908" s="11"/>
      <c r="R20908" s="11"/>
      <c r="S20908" s="11"/>
      <c r="T20908" s="11"/>
    </row>
    <row r="20909" spans="8:20" x14ac:dyDescent="0.35">
      <c r="H20909" s="711"/>
      <c r="I20909" s="711"/>
      <c r="J20909" s="711"/>
      <c r="K20909" s="711"/>
      <c r="L20909" s="711"/>
      <c r="Q20909" s="11"/>
      <c r="R20909" s="11"/>
      <c r="S20909" s="11"/>
      <c r="T20909" s="11"/>
    </row>
    <row r="20910" spans="8:20" x14ac:dyDescent="0.35">
      <c r="H20910" s="711"/>
      <c r="I20910" s="711"/>
      <c r="J20910" s="711"/>
      <c r="K20910" s="711"/>
      <c r="L20910" s="711"/>
      <c r="Q20910" s="11"/>
      <c r="R20910" s="11"/>
      <c r="S20910" s="11"/>
      <c r="T20910" s="11"/>
    </row>
    <row r="20911" spans="8:20" x14ac:dyDescent="0.35">
      <c r="H20911" s="711"/>
      <c r="I20911" s="711"/>
      <c r="J20911" s="711"/>
      <c r="K20911" s="711"/>
      <c r="L20911" s="711"/>
      <c r="Q20911" s="11"/>
      <c r="R20911" s="11"/>
      <c r="S20911" s="11"/>
      <c r="T20911" s="11"/>
    </row>
    <row r="20912" spans="8:20" x14ac:dyDescent="0.35">
      <c r="H20912" s="711"/>
      <c r="I20912" s="711"/>
      <c r="J20912" s="711"/>
      <c r="K20912" s="711"/>
      <c r="L20912" s="711"/>
      <c r="Q20912" s="11"/>
      <c r="R20912" s="11"/>
      <c r="S20912" s="11"/>
      <c r="T20912" s="11"/>
    </row>
    <row r="20913" spans="8:20" x14ac:dyDescent="0.35">
      <c r="H20913" s="711"/>
      <c r="I20913" s="711"/>
      <c r="J20913" s="711"/>
      <c r="K20913" s="711"/>
      <c r="L20913" s="711"/>
      <c r="Q20913" s="11"/>
      <c r="R20913" s="11"/>
      <c r="S20913" s="11"/>
      <c r="T20913" s="11"/>
    </row>
    <row r="20914" spans="8:20" x14ac:dyDescent="0.35">
      <c r="H20914" s="711"/>
      <c r="I20914" s="711"/>
      <c r="J20914" s="711"/>
      <c r="K20914" s="711"/>
      <c r="L20914" s="711"/>
      <c r="Q20914" s="11"/>
      <c r="R20914" s="11"/>
      <c r="S20914" s="11"/>
      <c r="T20914" s="11"/>
    </row>
    <row r="20915" spans="8:20" x14ac:dyDescent="0.35">
      <c r="H20915" s="711"/>
      <c r="I20915" s="711"/>
      <c r="J20915" s="711"/>
      <c r="K20915" s="711"/>
      <c r="L20915" s="711"/>
      <c r="Q20915" s="11"/>
      <c r="R20915" s="11"/>
      <c r="S20915" s="11"/>
      <c r="T20915" s="11"/>
    </row>
    <row r="20916" spans="8:20" x14ac:dyDescent="0.35">
      <c r="H20916" s="711"/>
      <c r="I20916" s="711"/>
      <c r="J20916" s="711"/>
      <c r="K20916" s="711"/>
      <c r="L20916" s="711"/>
      <c r="Q20916" s="11"/>
      <c r="R20916" s="11"/>
      <c r="S20916" s="11"/>
      <c r="T20916" s="11"/>
    </row>
    <row r="20917" spans="8:20" x14ac:dyDescent="0.35">
      <c r="H20917" s="711"/>
      <c r="I20917" s="711"/>
      <c r="J20917" s="711"/>
      <c r="K20917" s="711"/>
      <c r="L20917" s="711"/>
      <c r="Q20917" s="11"/>
      <c r="R20917" s="11"/>
      <c r="S20917" s="11"/>
      <c r="T20917" s="11"/>
    </row>
    <row r="20918" spans="8:20" x14ac:dyDescent="0.35">
      <c r="H20918" s="711"/>
      <c r="I20918" s="711"/>
      <c r="J20918" s="711"/>
      <c r="K20918" s="711"/>
      <c r="L20918" s="711"/>
      <c r="Q20918" s="11"/>
      <c r="R20918" s="11"/>
      <c r="S20918" s="11"/>
      <c r="T20918" s="11"/>
    </row>
    <row r="20919" spans="8:20" x14ac:dyDescent="0.35">
      <c r="H20919" s="711"/>
      <c r="I20919" s="711"/>
      <c r="J20919" s="711"/>
      <c r="K20919" s="711"/>
      <c r="L20919" s="711"/>
      <c r="Q20919" s="11"/>
      <c r="R20919" s="11"/>
      <c r="S20919" s="11"/>
      <c r="T20919" s="11"/>
    </row>
    <row r="20920" spans="8:20" x14ac:dyDescent="0.35">
      <c r="H20920" s="711"/>
      <c r="I20920" s="711"/>
      <c r="J20920" s="711"/>
      <c r="K20920" s="711"/>
      <c r="L20920" s="711"/>
      <c r="Q20920" s="11"/>
      <c r="R20920" s="11"/>
      <c r="S20920" s="11"/>
      <c r="T20920" s="11"/>
    </row>
    <row r="20921" spans="8:20" x14ac:dyDescent="0.35">
      <c r="H20921" s="711"/>
      <c r="I20921" s="711"/>
      <c r="J20921" s="711"/>
      <c r="K20921" s="711"/>
      <c r="L20921" s="711"/>
      <c r="Q20921" s="11"/>
      <c r="R20921" s="11"/>
      <c r="S20921" s="11"/>
      <c r="T20921" s="11"/>
    </row>
    <row r="20922" spans="8:20" x14ac:dyDescent="0.35">
      <c r="H20922" s="711"/>
      <c r="I20922" s="711"/>
      <c r="J20922" s="711"/>
      <c r="K20922" s="711"/>
      <c r="L20922" s="711"/>
      <c r="Q20922" s="11"/>
      <c r="R20922" s="11"/>
      <c r="S20922" s="11"/>
      <c r="T20922" s="11"/>
    </row>
    <row r="20923" spans="8:20" x14ac:dyDescent="0.35">
      <c r="H20923" s="711"/>
      <c r="I20923" s="711"/>
      <c r="J20923" s="711"/>
      <c r="K20923" s="711"/>
      <c r="L20923" s="711"/>
      <c r="Q20923" s="11"/>
      <c r="R20923" s="11"/>
      <c r="S20923" s="11"/>
      <c r="T20923" s="11"/>
    </row>
    <row r="20924" spans="8:20" x14ac:dyDescent="0.35">
      <c r="H20924" s="711"/>
      <c r="I20924" s="711"/>
      <c r="J20924" s="711"/>
      <c r="K20924" s="711"/>
      <c r="L20924" s="711"/>
      <c r="Q20924" s="11"/>
      <c r="R20924" s="11"/>
      <c r="S20924" s="11"/>
      <c r="T20924" s="11"/>
    </row>
    <row r="20925" spans="8:20" x14ac:dyDescent="0.35">
      <c r="H20925" s="711"/>
      <c r="I20925" s="711"/>
      <c r="J20925" s="711"/>
      <c r="K20925" s="711"/>
      <c r="L20925" s="711"/>
      <c r="Q20925" s="11"/>
      <c r="R20925" s="11"/>
      <c r="S20925" s="11"/>
      <c r="T20925" s="11"/>
    </row>
    <row r="20926" spans="8:20" x14ac:dyDescent="0.35">
      <c r="H20926" s="711"/>
      <c r="I20926" s="711"/>
      <c r="J20926" s="711"/>
      <c r="K20926" s="711"/>
      <c r="L20926" s="711"/>
      <c r="Q20926" s="11"/>
      <c r="R20926" s="11"/>
      <c r="S20926" s="11"/>
      <c r="T20926" s="11"/>
    </row>
    <row r="20927" spans="8:20" x14ac:dyDescent="0.35">
      <c r="H20927" s="711"/>
      <c r="I20927" s="711"/>
      <c r="J20927" s="711"/>
      <c r="K20927" s="711"/>
      <c r="L20927" s="711"/>
      <c r="Q20927" s="11"/>
      <c r="R20927" s="11"/>
      <c r="S20927" s="11"/>
      <c r="T20927" s="11"/>
    </row>
    <row r="20928" spans="8:20" x14ac:dyDescent="0.35">
      <c r="H20928" s="711"/>
      <c r="I20928" s="711"/>
      <c r="J20928" s="711"/>
      <c r="K20928" s="711"/>
      <c r="L20928" s="711"/>
      <c r="Q20928" s="11"/>
      <c r="R20928" s="11"/>
      <c r="S20928" s="11"/>
      <c r="T20928" s="11"/>
    </row>
    <row r="20929" spans="8:20" x14ac:dyDescent="0.35">
      <c r="H20929" s="711"/>
      <c r="I20929" s="711"/>
      <c r="J20929" s="711"/>
      <c r="K20929" s="711"/>
      <c r="L20929" s="711"/>
      <c r="Q20929" s="11"/>
      <c r="R20929" s="11"/>
      <c r="S20929" s="11"/>
      <c r="T20929" s="11"/>
    </row>
    <row r="20930" spans="8:20" x14ac:dyDescent="0.35">
      <c r="H20930" s="711"/>
      <c r="I20930" s="711"/>
      <c r="J20930" s="711"/>
      <c r="K20930" s="711"/>
      <c r="L20930" s="711"/>
      <c r="Q20930" s="11"/>
      <c r="R20930" s="11"/>
      <c r="S20930" s="11"/>
      <c r="T20930" s="11"/>
    </row>
    <row r="20931" spans="8:20" x14ac:dyDescent="0.35">
      <c r="H20931" s="711"/>
      <c r="I20931" s="711"/>
      <c r="J20931" s="711"/>
      <c r="K20931" s="711"/>
      <c r="L20931" s="711"/>
      <c r="Q20931" s="11"/>
      <c r="R20931" s="11"/>
      <c r="S20931" s="11"/>
      <c r="T20931" s="11"/>
    </row>
    <row r="20932" spans="8:20" x14ac:dyDescent="0.35">
      <c r="H20932" s="711"/>
      <c r="I20932" s="711"/>
      <c r="J20932" s="711"/>
      <c r="K20932" s="711"/>
      <c r="L20932" s="711"/>
      <c r="Q20932" s="11"/>
      <c r="R20932" s="11"/>
      <c r="S20932" s="11"/>
      <c r="T20932" s="11"/>
    </row>
    <row r="20933" spans="8:20" x14ac:dyDescent="0.35">
      <c r="H20933" s="711"/>
      <c r="I20933" s="711"/>
      <c r="J20933" s="711"/>
      <c r="K20933" s="711"/>
      <c r="L20933" s="711"/>
      <c r="Q20933" s="11"/>
      <c r="R20933" s="11"/>
      <c r="S20933" s="11"/>
      <c r="T20933" s="11"/>
    </row>
    <row r="20934" spans="8:20" x14ac:dyDescent="0.35">
      <c r="H20934" s="711"/>
      <c r="I20934" s="711"/>
      <c r="J20934" s="711"/>
      <c r="K20934" s="711"/>
      <c r="L20934" s="711"/>
      <c r="Q20934" s="11"/>
      <c r="R20934" s="11"/>
      <c r="S20934" s="11"/>
      <c r="T20934" s="11"/>
    </row>
    <row r="20935" spans="8:20" x14ac:dyDescent="0.35">
      <c r="H20935" s="711"/>
      <c r="I20935" s="711"/>
      <c r="J20935" s="711"/>
      <c r="K20935" s="711"/>
      <c r="L20935" s="711"/>
      <c r="Q20935" s="11"/>
      <c r="R20935" s="11"/>
      <c r="S20935" s="11"/>
      <c r="T20935" s="11"/>
    </row>
    <row r="20936" spans="8:20" x14ac:dyDescent="0.35">
      <c r="H20936" s="711"/>
      <c r="I20936" s="711"/>
      <c r="J20936" s="711"/>
      <c r="K20936" s="711"/>
      <c r="L20936" s="711"/>
      <c r="Q20936" s="11"/>
      <c r="R20936" s="11"/>
      <c r="S20936" s="11"/>
      <c r="T20936" s="11"/>
    </row>
    <row r="20937" spans="8:20" x14ac:dyDescent="0.35">
      <c r="H20937" s="711"/>
      <c r="I20937" s="711"/>
      <c r="J20937" s="711"/>
      <c r="K20937" s="711"/>
      <c r="L20937" s="711"/>
      <c r="Q20937" s="11"/>
      <c r="R20937" s="11"/>
      <c r="S20937" s="11"/>
      <c r="T20937" s="11"/>
    </row>
    <row r="20938" spans="8:20" x14ac:dyDescent="0.35">
      <c r="H20938" s="711"/>
      <c r="I20938" s="711"/>
      <c r="J20938" s="711"/>
      <c r="K20938" s="711"/>
      <c r="L20938" s="711"/>
      <c r="Q20938" s="11"/>
      <c r="R20938" s="11"/>
      <c r="S20938" s="11"/>
      <c r="T20938" s="11"/>
    </row>
    <row r="20939" spans="8:20" x14ac:dyDescent="0.35">
      <c r="H20939" s="711"/>
      <c r="I20939" s="711"/>
      <c r="J20939" s="711"/>
      <c r="K20939" s="711"/>
      <c r="L20939" s="711"/>
      <c r="Q20939" s="11"/>
      <c r="R20939" s="11"/>
      <c r="S20939" s="11"/>
      <c r="T20939" s="11"/>
    </row>
    <row r="20940" spans="8:20" x14ac:dyDescent="0.35">
      <c r="H20940" s="711"/>
      <c r="I20940" s="711"/>
      <c r="J20940" s="711"/>
      <c r="K20940" s="711"/>
      <c r="L20940" s="711"/>
      <c r="Q20940" s="11"/>
      <c r="R20940" s="11"/>
      <c r="S20940" s="11"/>
      <c r="T20940" s="11"/>
    </row>
    <row r="20941" spans="8:20" x14ac:dyDescent="0.35">
      <c r="H20941" s="711"/>
      <c r="I20941" s="711"/>
      <c r="J20941" s="711"/>
      <c r="K20941" s="711"/>
      <c r="L20941" s="711"/>
      <c r="Q20941" s="11"/>
      <c r="R20941" s="11"/>
      <c r="S20941" s="11"/>
      <c r="T20941" s="11"/>
    </row>
    <row r="20942" spans="8:20" x14ac:dyDescent="0.35">
      <c r="H20942" s="711"/>
      <c r="I20942" s="711"/>
      <c r="J20942" s="711"/>
      <c r="K20942" s="711"/>
      <c r="L20942" s="711"/>
      <c r="Q20942" s="11"/>
      <c r="R20942" s="11"/>
      <c r="S20942" s="11"/>
      <c r="T20942" s="11"/>
    </row>
    <row r="20943" spans="8:20" x14ac:dyDescent="0.35">
      <c r="H20943" s="711"/>
      <c r="I20943" s="711"/>
      <c r="J20943" s="711"/>
      <c r="K20943" s="711"/>
      <c r="L20943" s="711"/>
      <c r="Q20943" s="11"/>
      <c r="R20943" s="11"/>
      <c r="S20943" s="11"/>
      <c r="T20943" s="11"/>
    </row>
    <row r="20944" spans="8:20" x14ac:dyDescent="0.35">
      <c r="H20944" s="711"/>
      <c r="I20944" s="711"/>
      <c r="J20944" s="711"/>
      <c r="K20944" s="711"/>
      <c r="L20944" s="711"/>
      <c r="Q20944" s="11"/>
      <c r="R20944" s="11"/>
      <c r="S20944" s="11"/>
      <c r="T20944" s="11"/>
    </row>
    <row r="20945" spans="8:20" x14ac:dyDescent="0.35">
      <c r="H20945" s="711"/>
      <c r="I20945" s="711"/>
      <c r="J20945" s="711"/>
      <c r="K20945" s="711"/>
      <c r="L20945" s="711"/>
      <c r="Q20945" s="11"/>
      <c r="R20945" s="11"/>
      <c r="S20945" s="11"/>
      <c r="T20945" s="11"/>
    </row>
    <row r="20946" spans="8:20" x14ac:dyDescent="0.35">
      <c r="H20946" s="711"/>
      <c r="I20946" s="711"/>
      <c r="J20946" s="711"/>
      <c r="K20946" s="711"/>
      <c r="L20946" s="711"/>
      <c r="Q20946" s="11"/>
      <c r="R20946" s="11"/>
      <c r="S20946" s="11"/>
      <c r="T20946" s="11"/>
    </row>
    <row r="20947" spans="8:20" x14ac:dyDescent="0.35">
      <c r="H20947" s="711"/>
      <c r="I20947" s="711"/>
      <c r="J20947" s="711"/>
      <c r="K20947" s="711"/>
      <c r="L20947" s="711"/>
      <c r="Q20947" s="11"/>
      <c r="R20947" s="11"/>
      <c r="S20947" s="11"/>
      <c r="T20947" s="11"/>
    </row>
    <row r="20948" spans="8:20" x14ac:dyDescent="0.35">
      <c r="H20948" s="711"/>
      <c r="I20948" s="711"/>
      <c r="J20948" s="711"/>
      <c r="K20948" s="711"/>
      <c r="L20948" s="711"/>
      <c r="Q20948" s="11"/>
      <c r="R20948" s="11"/>
      <c r="S20948" s="11"/>
      <c r="T20948" s="11"/>
    </row>
    <row r="20949" spans="8:20" x14ac:dyDescent="0.35">
      <c r="H20949" s="711"/>
      <c r="I20949" s="711"/>
      <c r="J20949" s="711"/>
      <c r="K20949" s="711"/>
      <c r="L20949" s="711"/>
      <c r="Q20949" s="11"/>
      <c r="R20949" s="11"/>
      <c r="S20949" s="11"/>
      <c r="T20949" s="11"/>
    </row>
    <row r="20950" spans="8:20" x14ac:dyDescent="0.35">
      <c r="H20950" s="711"/>
      <c r="I20950" s="711"/>
      <c r="J20950" s="711"/>
      <c r="K20950" s="711"/>
      <c r="L20950" s="711"/>
      <c r="Q20950" s="11"/>
      <c r="R20950" s="11"/>
      <c r="S20950" s="11"/>
      <c r="T20950" s="11"/>
    </row>
    <row r="20951" spans="8:20" x14ac:dyDescent="0.35">
      <c r="H20951" s="711"/>
      <c r="I20951" s="711"/>
      <c r="J20951" s="711"/>
      <c r="K20951" s="711"/>
      <c r="L20951" s="711"/>
      <c r="Q20951" s="11"/>
      <c r="R20951" s="11"/>
      <c r="S20951" s="11"/>
      <c r="T20951" s="11"/>
    </row>
    <row r="20952" spans="8:20" x14ac:dyDescent="0.35">
      <c r="H20952" s="711"/>
      <c r="I20952" s="711"/>
      <c r="J20952" s="711"/>
      <c r="K20952" s="711"/>
      <c r="L20952" s="711"/>
      <c r="Q20952" s="11"/>
      <c r="R20952" s="11"/>
      <c r="S20952" s="11"/>
      <c r="T20952" s="11"/>
    </row>
    <row r="20953" spans="8:20" x14ac:dyDescent="0.35">
      <c r="H20953" s="711"/>
      <c r="I20953" s="711"/>
      <c r="J20953" s="711"/>
      <c r="K20953" s="711"/>
      <c r="L20953" s="711"/>
      <c r="Q20953" s="11"/>
      <c r="R20953" s="11"/>
      <c r="S20953" s="11"/>
      <c r="T20953" s="11"/>
    </row>
    <row r="20954" spans="8:20" x14ac:dyDescent="0.35">
      <c r="H20954" s="711"/>
      <c r="I20954" s="711"/>
      <c r="J20954" s="711"/>
      <c r="K20954" s="711"/>
      <c r="L20954" s="711"/>
      <c r="Q20954" s="11"/>
      <c r="R20954" s="11"/>
      <c r="S20954" s="11"/>
      <c r="T20954" s="11"/>
    </row>
    <row r="20955" spans="8:20" x14ac:dyDescent="0.35">
      <c r="H20955" s="711"/>
      <c r="I20955" s="711"/>
      <c r="J20955" s="711"/>
      <c r="K20955" s="711"/>
      <c r="L20955" s="711"/>
      <c r="Q20955" s="11"/>
      <c r="R20955" s="11"/>
      <c r="S20955" s="11"/>
      <c r="T20955" s="11"/>
    </row>
    <row r="20956" spans="8:20" x14ac:dyDescent="0.35">
      <c r="H20956" s="711"/>
      <c r="I20956" s="711"/>
      <c r="J20956" s="711"/>
      <c r="K20956" s="711"/>
      <c r="L20956" s="711"/>
      <c r="Q20956" s="11"/>
      <c r="R20956" s="11"/>
      <c r="S20956" s="11"/>
      <c r="T20956" s="11"/>
    </row>
    <row r="20957" spans="8:20" x14ac:dyDescent="0.35">
      <c r="H20957" s="711"/>
      <c r="I20957" s="711"/>
      <c r="J20957" s="711"/>
      <c r="K20957" s="711"/>
      <c r="L20957" s="711"/>
      <c r="Q20957" s="11"/>
      <c r="R20957" s="11"/>
      <c r="S20957" s="11"/>
      <c r="T20957" s="11"/>
    </row>
    <row r="20958" spans="8:20" x14ac:dyDescent="0.35">
      <c r="H20958" s="711"/>
      <c r="I20958" s="711"/>
      <c r="J20958" s="711"/>
      <c r="K20958" s="711"/>
      <c r="L20958" s="711"/>
      <c r="Q20958" s="11"/>
      <c r="R20958" s="11"/>
      <c r="S20958" s="11"/>
      <c r="T20958" s="11"/>
    </row>
    <row r="20959" spans="8:20" x14ac:dyDescent="0.35">
      <c r="H20959" s="711"/>
      <c r="I20959" s="711"/>
      <c r="J20959" s="711"/>
      <c r="K20959" s="711"/>
      <c r="L20959" s="711"/>
      <c r="Q20959" s="11"/>
      <c r="R20959" s="11"/>
      <c r="S20959" s="11"/>
      <c r="T20959" s="11"/>
    </row>
    <row r="20960" spans="8:20" x14ac:dyDescent="0.35">
      <c r="H20960" s="711"/>
      <c r="I20960" s="711"/>
      <c r="J20960" s="711"/>
      <c r="K20960" s="711"/>
      <c r="L20960" s="711"/>
      <c r="Q20960" s="11"/>
      <c r="R20960" s="11"/>
      <c r="S20960" s="11"/>
      <c r="T20960" s="11"/>
    </row>
    <row r="20961" spans="8:20" x14ac:dyDescent="0.35">
      <c r="H20961" s="711"/>
      <c r="I20961" s="711"/>
      <c r="J20961" s="711"/>
      <c r="K20961" s="711"/>
      <c r="L20961" s="711"/>
      <c r="Q20961" s="11"/>
      <c r="R20961" s="11"/>
      <c r="S20961" s="11"/>
      <c r="T20961" s="11"/>
    </row>
    <row r="20962" spans="8:20" x14ac:dyDescent="0.35">
      <c r="H20962" s="711"/>
      <c r="I20962" s="711"/>
      <c r="J20962" s="711"/>
      <c r="K20962" s="711"/>
      <c r="L20962" s="711"/>
      <c r="Q20962" s="11"/>
      <c r="R20962" s="11"/>
      <c r="S20962" s="11"/>
      <c r="T20962" s="11"/>
    </row>
    <row r="20963" spans="8:20" x14ac:dyDescent="0.35">
      <c r="H20963" s="711"/>
      <c r="I20963" s="711"/>
      <c r="J20963" s="711"/>
      <c r="K20963" s="711"/>
      <c r="L20963" s="711"/>
      <c r="Q20963" s="11"/>
      <c r="R20963" s="11"/>
      <c r="S20963" s="11"/>
      <c r="T20963" s="11"/>
    </row>
    <row r="20964" spans="8:20" x14ac:dyDescent="0.35">
      <c r="H20964" s="711"/>
      <c r="I20964" s="711"/>
      <c r="J20964" s="711"/>
      <c r="K20964" s="711"/>
      <c r="L20964" s="711"/>
      <c r="Q20964" s="11"/>
      <c r="R20964" s="11"/>
      <c r="S20964" s="11"/>
      <c r="T20964" s="11"/>
    </row>
    <row r="20965" spans="8:20" x14ac:dyDescent="0.35">
      <c r="H20965" s="711"/>
      <c r="I20965" s="711"/>
      <c r="J20965" s="711"/>
      <c r="K20965" s="711"/>
      <c r="L20965" s="711"/>
      <c r="Q20965" s="11"/>
      <c r="R20965" s="11"/>
      <c r="S20965" s="11"/>
      <c r="T20965" s="11"/>
    </row>
    <row r="20966" spans="8:20" x14ac:dyDescent="0.35">
      <c r="H20966" s="711"/>
      <c r="I20966" s="711"/>
      <c r="J20966" s="711"/>
      <c r="K20966" s="711"/>
      <c r="L20966" s="711"/>
      <c r="Q20966" s="11"/>
      <c r="R20966" s="11"/>
      <c r="S20966" s="11"/>
      <c r="T20966" s="11"/>
    </row>
    <row r="20967" spans="8:20" x14ac:dyDescent="0.35">
      <c r="H20967" s="711"/>
      <c r="I20967" s="711"/>
      <c r="J20967" s="711"/>
      <c r="K20967" s="711"/>
      <c r="L20967" s="711"/>
      <c r="Q20967" s="11"/>
      <c r="R20967" s="11"/>
      <c r="S20967" s="11"/>
      <c r="T20967" s="11"/>
    </row>
    <row r="20968" spans="8:20" x14ac:dyDescent="0.35">
      <c r="H20968" s="711"/>
      <c r="I20968" s="711"/>
      <c r="J20968" s="711"/>
      <c r="K20968" s="711"/>
      <c r="L20968" s="711"/>
      <c r="Q20968" s="11"/>
      <c r="R20968" s="11"/>
      <c r="S20968" s="11"/>
      <c r="T20968" s="11"/>
    </row>
    <row r="20969" spans="8:20" x14ac:dyDescent="0.35">
      <c r="H20969" s="711"/>
      <c r="I20969" s="711"/>
      <c r="J20969" s="711"/>
      <c r="K20969" s="711"/>
      <c r="L20969" s="711"/>
      <c r="Q20969" s="11"/>
      <c r="R20969" s="11"/>
      <c r="S20969" s="11"/>
      <c r="T20969" s="11"/>
    </row>
    <row r="20970" spans="8:20" x14ac:dyDescent="0.35">
      <c r="H20970" s="711"/>
      <c r="I20970" s="711"/>
      <c r="J20970" s="711"/>
      <c r="K20970" s="711"/>
      <c r="L20970" s="711"/>
      <c r="Q20970" s="11"/>
      <c r="R20970" s="11"/>
      <c r="S20970" s="11"/>
      <c r="T20970" s="11"/>
    </row>
    <row r="20971" spans="8:20" x14ac:dyDescent="0.35">
      <c r="H20971" s="711"/>
      <c r="I20971" s="711"/>
      <c r="J20971" s="711"/>
      <c r="K20971" s="711"/>
      <c r="L20971" s="711"/>
      <c r="Q20971" s="11"/>
      <c r="R20971" s="11"/>
      <c r="S20971" s="11"/>
      <c r="T20971" s="11"/>
    </row>
    <row r="20972" spans="8:20" x14ac:dyDescent="0.35">
      <c r="H20972" s="711"/>
      <c r="I20972" s="711"/>
      <c r="J20972" s="711"/>
      <c r="K20972" s="711"/>
      <c r="L20972" s="711"/>
      <c r="Q20972" s="11"/>
      <c r="R20972" s="11"/>
      <c r="S20972" s="11"/>
      <c r="T20972" s="11"/>
    </row>
    <row r="20973" spans="8:20" x14ac:dyDescent="0.35">
      <c r="H20973" s="711"/>
      <c r="I20973" s="711"/>
      <c r="J20973" s="711"/>
      <c r="K20973" s="711"/>
      <c r="L20973" s="711"/>
      <c r="Q20973" s="11"/>
      <c r="R20973" s="11"/>
      <c r="S20973" s="11"/>
      <c r="T20973" s="11"/>
    </row>
    <row r="20974" spans="8:20" x14ac:dyDescent="0.35">
      <c r="H20974" s="711"/>
      <c r="I20974" s="711"/>
      <c r="J20974" s="711"/>
      <c r="K20974" s="711"/>
      <c r="L20974" s="711"/>
      <c r="Q20974" s="11"/>
      <c r="R20974" s="11"/>
      <c r="S20974" s="11"/>
      <c r="T20974" s="11"/>
    </row>
    <row r="20975" spans="8:20" x14ac:dyDescent="0.35">
      <c r="H20975" s="711"/>
      <c r="I20975" s="711"/>
      <c r="J20975" s="711"/>
      <c r="K20975" s="711"/>
      <c r="L20975" s="711"/>
      <c r="Q20975" s="11"/>
      <c r="R20975" s="11"/>
      <c r="S20975" s="11"/>
      <c r="T20975" s="11"/>
    </row>
    <row r="20976" spans="8:20" x14ac:dyDescent="0.35">
      <c r="H20976" s="711"/>
      <c r="I20976" s="711"/>
      <c r="J20976" s="711"/>
      <c r="K20976" s="711"/>
      <c r="L20976" s="711"/>
      <c r="Q20976" s="11"/>
      <c r="R20976" s="11"/>
      <c r="S20976" s="11"/>
      <c r="T20976" s="11"/>
    </row>
    <row r="20977" spans="8:20" x14ac:dyDescent="0.35">
      <c r="H20977" s="711"/>
      <c r="I20977" s="711"/>
      <c r="J20977" s="711"/>
      <c r="K20977" s="711"/>
      <c r="L20977" s="711"/>
      <c r="Q20977" s="11"/>
      <c r="R20977" s="11"/>
      <c r="S20977" s="11"/>
      <c r="T20977" s="11"/>
    </row>
    <row r="20978" spans="8:20" x14ac:dyDescent="0.35">
      <c r="H20978" s="711"/>
      <c r="I20978" s="711"/>
      <c r="J20978" s="711"/>
      <c r="K20978" s="711"/>
      <c r="L20978" s="711"/>
      <c r="Q20978" s="11"/>
      <c r="R20978" s="11"/>
      <c r="S20978" s="11"/>
      <c r="T20978" s="11"/>
    </row>
    <row r="20979" spans="8:20" x14ac:dyDescent="0.35">
      <c r="H20979" s="711"/>
      <c r="I20979" s="711"/>
      <c r="J20979" s="711"/>
      <c r="K20979" s="711"/>
      <c r="L20979" s="711"/>
      <c r="Q20979" s="11"/>
      <c r="R20979" s="11"/>
      <c r="S20979" s="11"/>
      <c r="T20979" s="11"/>
    </row>
    <row r="20980" spans="8:20" x14ac:dyDescent="0.35">
      <c r="H20980" s="711"/>
      <c r="I20980" s="711"/>
      <c r="J20980" s="711"/>
      <c r="K20980" s="711"/>
      <c r="L20980" s="711"/>
      <c r="Q20980" s="11"/>
      <c r="R20980" s="11"/>
      <c r="S20980" s="11"/>
      <c r="T20980" s="11"/>
    </row>
    <row r="20981" spans="8:20" x14ac:dyDescent="0.35">
      <c r="H20981" s="711"/>
      <c r="I20981" s="711"/>
      <c r="J20981" s="711"/>
      <c r="K20981" s="711"/>
      <c r="L20981" s="711"/>
      <c r="Q20981" s="11"/>
      <c r="R20981" s="11"/>
      <c r="S20981" s="11"/>
      <c r="T20981" s="11"/>
    </row>
    <row r="20982" spans="8:20" x14ac:dyDescent="0.35">
      <c r="H20982" s="711"/>
      <c r="I20982" s="711"/>
      <c r="J20982" s="711"/>
      <c r="K20982" s="711"/>
      <c r="L20982" s="711"/>
      <c r="Q20982" s="11"/>
      <c r="R20982" s="11"/>
      <c r="S20982" s="11"/>
      <c r="T20982" s="11"/>
    </row>
    <row r="20983" spans="8:20" x14ac:dyDescent="0.35">
      <c r="H20983" s="711"/>
      <c r="I20983" s="711"/>
      <c r="J20983" s="711"/>
      <c r="K20983" s="711"/>
      <c r="L20983" s="711"/>
      <c r="Q20983" s="11"/>
      <c r="R20983" s="11"/>
      <c r="S20983" s="11"/>
      <c r="T20983" s="11"/>
    </row>
    <row r="20984" spans="8:20" x14ac:dyDescent="0.35">
      <c r="H20984" s="711"/>
      <c r="I20984" s="711"/>
      <c r="J20984" s="711"/>
      <c r="K20984" s="711"/>
      <c r="L20984" s="711"/>
      <c r="Q20984" s="11"/>
      <c r="R20984" s="11"/>
      <c r="S20984" s="11"/>
      <c r="T20984" s="11"/>
    </row>
    <row r="20985" spans="8:20" x14ac:dyDescent="0.35">
      <c r="H20985" s="711"/>
      <c r="I20985" s="711"/>
      <c r="J20985" s="711"/>
      <c r="K20985" s="711"/>
      <c r="L20985" s="711"/>
      <c r="Q20985" s="11"/>
      <c r="R20985" s="11"/>
      <c r="S20985" s="11"/>
      <c r="T20985" s="11"/>
    </row>
    <row r="20986" spans="8:20" x14ac:dyDescent="0.35">
      <c r="H20986" s="711"/>
      <c r="I20986" s="711"/>
      <c r="J20986" s="711"/>
      <c r="K20986" s="711"/>
      <c r="L20986" s="711"/>
      <c r="Q20986" s="11"/>
      <c r="R20986" s="11"/>
      <c r="S20986" s="11"/>
      <c r="T20986" s="11"/>
    </row>
    <row r="20987" spans="8:20" x14ac:dyDescent="0.35">
      <c r="H20987" s="711"/>
      <c r="I20987" s="711"/>
      <c r="J20987" s="711"/>
      <c r="K20987" s="711"/>
      <c r="L20987" s="711"/>
      <c r="Q20987" s="11"/>
      <c r="R20987" s="11"/>
      <c r="S20987" s="11"/>
      <c r="T20987" s="11"/>
    </row>
    <row r="20988" spans="8:20" x14ac:dyDescent="0.35">
      <c r="H20988" s="711"/>
      <c r="I20988" s="711"/>
      <c r="J20988" s="711"/>
      <c r="K20988" s="711"/>
      <c r="L20988" s="711"/>
      <c r="Q20988" s="11"/>
      <c r="R20988" s="11"/>
      <c r="S20988" s="11"/>
      <c r="T20988" s="11"/>
    </row>
    <row r="20989" spans="8:20" x14ac:dyDescent="0.35">
      <c r="H20989" s="711"/>
      <c r="I20989" s="711"/>
      <c r="J20989" s="711"/>
      <c r="K20989" s="711"/>
      <c r="L20989" s="711"/>
      <c r="Q20989" s="11"/>
      <c r="R20989" s="11"/>
      <c r="S20989" s="11"/>
      <c r="T20989" s="11"/>
    </row>
    <row r="20990" spans="8:20" x14ac:dyDescent="0.35">
      <c r="H20990" s="711"/>
      <c r="I20990" s="711"/>
      <c r="J20990" s="711"/>
      <c r="K20990" s="711"/>
      <c r="L20990" s="711"/>
      <c r="Q20990" s="11"/>
      <c r="R20990" s="11"/>
      <c r="S20990" s="11"/>
      <c r="T20990" s="11"/>
    </row>
    <row r="20991" spans="8:20" x14ac:dyDescent="0.35">
      <c r="H20991" s="711"/>
      <c r="I20991" s="711"/>
      <c r="J20991" s="711"/>
      <c r="K20991" s="711"/>
      <c r="L20991" s="711"/>
      <c r="Q20991" s="11"/>
      <c r="R20991" s="11"/>
      <c r="S20991" s="11"/>
      <c r="T20991" s="11"/>
    </row>
    <row r="20992" spans="8:20" x14ac:dyDescent="0.35">
      <c r="H20992" s="711"/>
      <c r="I20992" s="711"/>
      <c r="J20992" s="711"/>
      <c r="K20992" s="711"/>
      <c r="L20992" s="711"/>
      <c r="Q20992" s="11"/>
      <c r="R20992" s="11"/>
      <c r="S20992" s="11"/>
      <c r="T20992" s="11"/>
    </row>
    <row r="20993" spans="8:20" x14ac:dyDescent="0.35">
      <c r="H20993" s="711"/>
      <c r="I20993" s="711"/>
      <c r="J20993" s="711"/>
      <c r="K20993" s="711"/>
      <c r="L20993" s="711"/>
      <c r="Q20993" s="11"/>
      <c r="R20993" s="11"/>
      <c r="S20993" s="11"/>
      <c r="T20993" s="11"/>
    </row>
    <row r="20994" spans="8:20" x14ac:dyDescent="0.35">
      <c r="H20994" s="711"/>
      <c r="I20994" s="711"/>
      <c r="J20994" s="711"/>
      <c r="K20994" s="711"/>
      <c r="L20994" s="711"/>
      <c r="Q20994" s="11"/>
      <c r="R20994" s="11"/>
      <c r="S20994" s="11"/>
      <c r="T20994" s="11"/>
    </row>
    <row r="20995" spans="8:20" x14ac:dyDescent="0.35">
      <c r="H20995" s="711"/>
      <c r="I20995" s="711"/>
      <c r="J20995" s="711"/>
      <c r="K20995" s="711"/>
      <c r="L20995" s="711"/>
      <c r="Q20995" s="11"/>
      <c r="R20995" s="11"/>
      <c r="S20995" s="11"/>
      <c r="T20995" s="11"/>
    </row>
    <row r="20996" spans="8:20" x14ac:dyDescent="0.35">
      <c r="H20996" s="711"/>
      <c r="I20996" s="711"/>
      <c r="J20996" s="711"/>
      <c r="K20996" s="711"/>
      <c r="L20996" s="711"/>
      <c r="Q20996" s="11"/>
      <c r="R20996" s="11"/>
      <c r="S20996" s="11"/>
      <c r="T20996" s="11"/>
    </row>
    <row r="20997" spans="8:20" x14ac:dyDescent="0.35">
      <c r="H20997" s="711"/>
      <c r="I20997" s="711"/>
      <c r="J20997" s="711"/>
      <c r="K20997" s="711"/>
      <c r="L20997" s="711"/>
      <c r="Q20997" s="11"/>
      <c r="R20997" s="11"/>
      <c r="S20997" s="11"/>
      <c r="T20997" s="11"/>
    </row>
    <row r="20998" spans="8:20" x14ac:dyDescent="0.35">
      <c r="H20998" s="711"/>
      <c r="I20998" s="711"/>
      <c r="J20998" s="711"/>
      <c r="K20998" s="711"/>
      <c r="L20998" s="711"/>
      <c r="Q20998" s="11"/>
      <c r="R20998" s="11"/>
      <c r="S20998" s="11"/>
      <c r="T20998" s="11"/>
    </row>
    <row r="20999" spans="8:20" x14ac:dyDescent="0.35">
      <c r="H20999" s="711"/>
      <c r="I20999" s="711"/>
      <c r="J20999" s="711"/>
      <c r="K20999" s="711"/>
      <c r="L20999" s="711"/>
      <c r="Q20999" s="11"/>
      <c r="R20999" s="11"/>
      <c r="S20999" s="11"/>
      <c r="T20999" s="11"/>
    </row>
    <row r="21000" spans="8:20" x14ac:dyDescent="0.35">
      <c r="H21000" s="711"/>
      <c r="I21000" s="711"/>
      <c r="J21000" s="711"/>
      <c r="K21000" s="711"/>
      <c r="L21000" s="711"/>
      <c r="Q21000" s="11"/>
      <c r="R21000" s="11"/>
      <c r="S21000" s="11"/>
      <c r="T21000" s="11"/>
    </row>
    <row r="21001" spans="8:20" x14ac:dyDescent="0.35">
      <c r="H21001" s="711"/>
      <c r="I21001" s="711"/>
      <c r="J21001" s="711"/>
      <c r="K21001" s="711"/>
      <c r="L21001" s="711"/>
      <c r="Q21001" s="11"/>
      <c r="R21001" s="11"/>
      <c r="S21001" s="11"/>
      <c r="T21001" s="11"/>
    </row>
    <row r="21002" spans="8:20" x14ac:dyDescent="0.35">
      <c r="H21002" s="711"/>
      <c r="I21002" s="711"/>
      <c r="J21002" s="711"/>
      <c r="K21002" s="711"/>
      <c r="L21002" s="711"/>
      <c r="Q21002" s="11"/>
      <c r="R21002" s="11"/>
      <c r="S21002" s="11"/>
      <c r="T21002" s="11"/>
    </row>
    <row r="21003" spans="8:20" x14ac:dyDescent="0.35">
      <c r="H21003" s="711"/>
      <c r="I21003" s="711"/>
      <c r="J21003" s="711"/>
      <c r="K21003" s="711"/>
      <c r="L21003" s="711"/>
      <c r="Q21003" s="11"/>
      <c r="R21003" s="11"/>
      <c r="S21003" s="11"/>
      <c r="T21003" s="11"/>
    </row>
    <row r="21004" spans="8:20" x14ac:dyDescent="0.35">
      <c r="H21004" s="711"/>
      <c r="I21004" s="711"/>
      <c r="J21004" s="711"/>
      <c r="K21004" s="711"/>
      <c r="L21004" s="711"/>
      <c r="Q21004" s="11"/>
      <c r="R21004" s="11"/>
      <c r="S21004" s="11"/>
      <c r="T21004" s="11"/>
    </row>
    <row r="21005" spans="8:20" x14ac:dyDescent="0.35">
      <c r="H21005" s="711"/>
      <c r="I21005" s="711"/>
      <c r="J21005" s="711"/>
      <c r="K21005" s="711"/>
      <c r="L21005" s="711"/>
      <c r="Q21005" s="11"/>
      <c r="R21005" s="11"/>
      <c r="S21005" s="11"/>
      <c r="T21005" s="11"/>
    </row>
    <row r="21006" spans="8:20" x14ac:dyDescent="0.35">
      <c r="H21006" s="711"/>
      <c r="I21006" s="711"/>
      <c r="J21006" s="711"/>
      <c r="K21006" s="711"/>
      <c r="L21006" s="711"/>
      <c r="Q21006" s="11"/>
      <c r="R21006" s="11"/>
      <c r="S21006" s="11"/>
      <c r="T21006" s="11"/>
    </row>
    <row r="21007" spans="8:20" x14ac:dyDescent="0.35">
      <c r="H21007" s="711"/>
      <c r="I21007" s="711"/>
      <c r="J21007" s="711"/>
      <c r="K21007" s="711"/>
      <c r="L21007" s="711"/>
      <c r="Q21007" s="11"/>
      <c r="R21007" s="11"/>
      <c r="S21007" s="11"/>
      <c r="T21007" s="11"/>
    </row>
    <row r="21008" spans="8:20" x14ac:dyDescent="0.35">
      <c r="H21008" s="711"/>
      <c r="I21008" s="711"/>
      <c r="J21008" s="711"/>
      <c r="K21008" s="711"/>
      <c r="L21008" s="711"/>
      <c r="Q21008" s="11"/>
      <c r="R21008" s="11"/>
      <c r="S21008" s="11"/>
      <c r="T21008" s="11"/>
    </row>
    <row r="21009" spans="8:20" x14ac:dyDescent="0.35">
      <c r="H21009" s="711"/>
      <c r="I21009" s="711"/>
      <c r="J21009" s="711"/>
      <c r="K21009" s="711"/>
      <c r="L21009" s="711"/>
      <c r="Q21009" s="11"/>
      <c r="R21009" s="11"/>
      <c r="S21009" s="11"/>
      <c r="T21009" s="11"/>
    </row>
    <row r="21010" spans="8:20" x14ac:dyDescent="0.35">
      <c r="H21010" s="711"/>
      <c r="I21010" s="711"/>
      <c r="J21010" s="711"/>
      <c r="K21010" s="711"/>
      <c r="L21010" s="711"/>
      <c r="Q21010" s="11"/>
      <c r="R21010" s="11"/>
      <c r="S21010" s="11"/>
      <c r="T21010" s="11"/>
    </row>
    <row r="21011" spans="8:20" x14ac:dyDescent="0.35">
      <c r="H21011" s="711"/>
      <c r="I21011" s="711"/>
      <c r="J21011" s="711"/>
      <c r="K21011" s="711"/>
      <c r="L21011" s="711"/>
      <c r="Q21011" s="11"/>
      <c r="R21011" s="11"/>
      <c r="S21011" s="11"/>
      <c r="T21011" s="11"/>
    </row>
    <row r="21012" spans="8:20" x14ac:dyDescent="0.35">
      <c r="H21012" s="711"/>
      <c r="I21012" s="711"/>
      <c r="J21012" s="711"/>
      <c r="K21012" s="711"/>
      <c r="L21012" s="711"/>
      <c r="Q21012" s="11"/>
      <c r="R21012" s="11"/>
      <c r="S21012" s="11"/>
      <c r="T21012" s="11"/>
    </row>
    <row r="21013" spans="8:20" x14ac:dyDescent="0.35">
      <c r="H21013" s="711"/>
      <c r="I21013" s="711"/>
      <c r="J21013" s="711"/>
      <c r="K21013" s="711"/>
      <c r="L21013" s="711"/>
      <c r="Q21013" s="11"/>
      <c r="R21013" s="11"/>
      <c r="S21013" s="11"/>
      <c r="T21013" s="11"/>
    </row>
    <row r="21014" spans="8:20" x14ac:dyDescent="0.35">
      <c r="H21014" s="711"/>
      <c r="I21014" s="711"/>
      <c r="J21014" s="711"/>
      <c r="K21014" s="711"/>
      <c r="L21014" s="711"/>
      <c r="Q21014" s="11"/>
      <c r="R21014" s="11"/>
      <c r="S21014" s="11"/>
      <c r="T21014" s="11"/>
    </row>
    <row r="21015" spans="8:20" x14ac:dyDescent="0.35">
      <c r="H21015" s="711"/>
      <c r="I21015" s="711"/>
      <c r="J21015" s="711"/>
      <c r="K21015" s="711"/>
      <c r="L21015" s="711"/>
      <c r="Q21015" s="11"/>
      <c r="R21015" s="11"/>
      <c r="S21015" s="11"/>
      <c r="T21015" s="11"/>
    </row>
    <row r="21016" spans="8:20" x14ac:dyDescent="0.35">
      <c r="H21016" s="711"/>
      <c r="I21016" s="711"/>
      <c r="J21016" s="711"/>
      <c r="K21016" s="711"/>
      <c r="L21016" s="711"/>
      <c r="Q21016" s="11"/>
      <c r="R21016" s="11"/>
      <c r="S21016" s="11"/>
      <c r="T21016" s="11"/>
    </row>
    <row r="21017" spans="8:20" x14ac:dyDescent="0.35">
      <c r="H21017" s="711"/>
      <c r="I21017" s="711"/>
      <c r="J21017" s="711"/>
      <c r="K21017" s="711"/>
      <c r="L21017" s="711"/>
      <c r="Q21017" s="11"/>
      <c r="R21017" s="11"/>
      <c r="S21017" s="11"/>
      <c r="T21017" s="11"/>
    </row>
    <row r="21018" spans="8:20" x14ac:dyDescent="0.35">
      <c r="H21018" s="711"/>
      <c r="I21018" s="711"/>
      <c r="J21018" s="711"/>
      <c r="K21018" s="711"/>
      <c r="L21018" s="711"/>
      <c r="Q21018" s="11"/>
      <c r="R21018" s="11"/>
      <c r="S21018" s="11"/>
      <c r="T21018" s="11"/>
    </row>
    <row r="21019" spans="8:20" x14ac:dyDescent="0.35">
      <c r="H21019" s="711"/>
      <c r="I21019" s="711"/>
      <c r="J21019" s="711"/>
      <c r="K21019" s="711"/>
      <c r="L21019" s="711"/>
      <c r="Q21019" s="11"/>
      <c r="R21019" s="11"/>
      <c r="S21019" s="11"/>
      <c r="T21019" s="11"/>
    </row>
    <row r="21020" spans="8:20" x14ac:dyDescent="0.35">
      <c r="H21020" s="711"/>
      <c r="I21020" s="711"/>
      <c r="J21020" s="711"/>
      <c r="K21020" s="711"/>
      <c r="L21020" s="711"/>
      <c r="Q21020" s="11"/>
      <c r="R21020" s="11"/>
      <c r="S21020" s="11"/>
      <c r="T21020" s="11"/>
    </row>
    <row r="21021" spans="8:20" x14ac:dyDescent="0.35">
      <c r="H21021" s="711"/>
      <c r="I21021" s="711"/>
      <c r="J21021" s="711"/>
      <c r="K21021" s="711"/>
      <c r="L21021" s="711"/>
      <c r="Q21021" s="11"/>
      <c r="R21021" s="11"/>
      <c r="S21021" s="11"/>
      <c r="T21021" s="11"/>
    </row>
    <row r="21022" spans="8:20" x14ac:dyDescent="0.35">
      <c r="H21022" s="711"/>
      <c r="I21022" s="711"/>
      <c r="J21022" s="711"/>
      <c r="K21022" s="711"/>
      <c r="L21022" s="711"/>
      <c r="Q21022" s="11"/>
      <c r="R21022" s="11"/>
      <c r="S21022" s="11"/>
      <c r="T21022" s="11"/>
    </row>
    <row r="21023" spans="8:20" x14ac:dyDescent="0.35">
      <c r="H21023" s="711"/>
      <c r="I21023" s="711"/>
      <c r="J21023" s="711"/>
      <c r="K21023" s="711"/>
      <c r="L21023" s="711"/>
      <c r="Q21023" s="11"/>
      <c r="R21023" s="11"/>
      <c r="S21023" s="11"/>
      <c r="T21023" s="11"/>
    </row>
    <row r="21024" spans="8:20" x14ac:dyDescent="0.35">
      <c r="H21024" s="711"/>
      <c r="I21024" s="711"/>
      <c r="J21024" s="711"/>
      <c r="K21024" s="711"/>
      <c r="L21024" s="711"/>
      <c r="Q21024" s="11"/>
      <c r="R21024" s="11"/>
      <c r="S21024" s="11"/>
      <c r="T21024" s="11"/>
    </row>
    <row r="21025" spans="8:20" x14ac:dyDescent="0.35">
      <c r="H21025" s="711"/>
      <c r="I21025" s="711"/>
      <c r="J21025" s="711"/>
      <c r="K21025" s="711"/>
      <c r="L21025" s="711"/>
      <c r="Q21025" s="11"/>
      <c r="R21025" s="11"/>
      <c r="S21025" s="11"/>
      <c r="T21025" s="11"/>
    </row>
    <row r="21026" spans="8:20" x14ac:dyDescent="0.35">
      <c r="H21026" s="711"/>
      <c r="I21026" s="711"/>
      <c r="J21026" s="711"/>
      <c r="K21026" s="711"/>
      <c r="L21026" s="711"/>
      <c r="Q21026" s="11"/>
      <c r="R21026" s="11"/>
      <c r="S21026" s="11"/>
      <c r="T21026" s="11"/>
    </row>
    <row r="21027" spans="8:20" x14ac:dyDescent="0.35">
      <c r="H21027" s="711"/>
      <c r="I21027" s="711"/>
      <c r="J21027" s="711"/>
      <c r="K21027" s="711"/>
      <c r="L21027" s="711"/>
      <c r="Q21027" s="11"/>
      <c r="R21027" s="11"/>
      <c r="S21027" s="11"/>
      <c r="T21027" s="11"/>
    </row>
    <row r="21028" spans="8:20" x14ac:dyDescent="0.35">
      <c r="H21028" s="711"/>
      <c r="I21028" s="711"/>
      <c r="J21028" s="711"/>
      <c r="K21028" s="711"/>
      <c r="L21028" s="711"/>
      <c r="Q21028" s="11"/>
      <c r="R21028" s="11"/>
      <c r="S21028" s="11"/>
      <c r="T21028" s="11"/>
    </row>
    <row r="21029" spans="8:20" x14ac:dyDescent="0.35">
      <c r="H21029" s="711"/>
      <c r="I21029" s="711"/>
      <c r="J21029" s="711"/>
      <c r="K21029" s="711"/>
      <c r="L21029" s="711"/>
      <c r="Q21029" s="11"/>
      <c r="R21029" s="11"/>
      <c r="S21029" s="11"/>
      <c r="T21029" s="11"/>
    </row>
    <row r="21030" spans="8:20" x14ac:dyDescent="0.35">
      <c r="H21030" s="711"/>
      <c r="I21030" s="711"/>
      <c r="J21030" s="711"/>
      <c r="K21030" s="711"/>
      <c r="L21030" s="711"/>
      <c r="Q21030" s="11"/>
      <c r="R21030" s="11"/>
      <c r="S21030" s="11"/>
      <c r="T21030" s="11"/>
    </row>
    <row r="21031" spans="8:20" x14ac:dyDescent="0.35">
      <c r="H21031" s="711"/>
      <c r="I21031" s="711"/>
      <c r="J21031" s="711"/>
      <c r="K21031" s="711"/>
      <c r="L21031" s="711"/>
      <c r="Q21031" s="11"/>
      <c r="R21031" s="11"/>
      <c r="S21031" s="11"/>
      <c r="T21031" s="11"/>
    </row>
    <row r="21032" spans="8:20" x14ac:dyDescent="0.35">
      <c r="H21032" s="711"/>
      <c r="I21032" s="711"/>
      <c r="J21032" s="711"/>
      <c r="K21032" s="711"/>
      <c r="L21032" s="711"/>
      <c r="Q21032" s="11"/>
      <c r="R21032" s="11"/>
      <c r="S21032" s="11"/>
      <c r="T21032" s="11"/>
    </row>
    <row r="21033" spans="8:20" x14ac:dyDescent="0.35">
      <c r="H21033" s="711"/>
      <c r="I21033" s="711"/>
      <c r="J21033" s="711"/>
      <c r="K21033" s="711"/>
      <c r="L21033" s="711"/>
      <c r="Q21033" s="11"/>
      <c r="R21033" s="11"/>
      <c r="S21033" s="11"/>
      <c r="T21033" s="11"/>
    </row>
    <row r="21034" spans="8:20" x14ac:dyDescent="0.35">
      <c r="H21034" s="711"/>
      <c r="I21034" s="711"/>
      <c r="J21034" s="711"/>
      <c r="K21034" s="711"/>
      <c r="L21034" s="711"/>
      <c r="Q21034" s="11"/>
      <c r="R21034" s="11"/>
      <c r="S21034" s="11"/>
      <c r="T21034" s="11"/>
    </row>
    <row r="21035" spans="8:20" x14ac:dyDescent="0.35">
      <c r="H21035" s="711"/>
      <c r="I21035" s="711"/>
      <c r="J21035" s="711"/>
      <c r="K21035" s="711"/>
      <c r="L21035" s="711"/>
      <c r="Q21035" s="11"/>
      <c r="R21035" s="11"/>
      <c r="S21035" s="11"/>
      <c r="T21035" s="11"/>
    </row>
    <row r="21036" spans="8:20" x14ac:dyDescent="0.35">
      <c r="H21036" s="711"/>
      <c r="I21036" s="711"/>
      <c r="J21036" s="711"/>
      <c r="K21036" s="711"/>
      <c r="L21036" s="711"/>
      <c r="Q21036" s="11"/>
      <c r="R21036" s="11"/>
      <c r="S21036" s="11"/>
      <c r="T21036" s="11"/>
    </row>
    <row r="21037" spans="8:20" x14ac:dyDescent="0.35">
      <c r="H21037" s="711"/>
      <c r="I21037" s="711"/>
      <c r="J21037" s="711"/>
      <c r="K21037" s="711"/>
      <c r="L21037" s="711"/>
      <c r="Q21037" s="11"/>
      <c r="R21037" s="11"/>
      <c r="S21037" s="11"/>
      <c r="T21037" s="11"/>
    </row>
    <row r="21038" spans="8:20" x14ac:dyDescent="0.35">
      <c r="H21038" s="711"/>
      <c r="I21038" s="711"/>
      <c r="J21038" s="711"/>
      <c r="K21038" s="711"/>
      <c r="L21038" s="711"/>
      <c r="Q21038" s="11"/>
      <c r="R21038" s="11"/>
      <c r="S21038" s="11"/>
      <c r="T21038" s="11"/>
    </row>
    <row r="21039" spans="8:20" x14ac:dyDescent="0.35">
      <c r="H21039" s="711"/>
      <c r="I21039" s="711"/>
      <c r="J21039" s="711"/>
      <c r="K21039" s="711"/>
      <c r="L21039" s="711"/>
      <c r="Q21039" s="11"/>
      <c r="R21039" s="11"/>
      <c r="S21039" s="11"/>
      <c r="T21039" s="11"/>
    </row>
    <row r="21040" spans="8:20" x14ac:dyDescent="0.35">
      <c r="H21040" s="711"/>
      <c r="I21040" s="711"/>
      <c r="J21040" s="711"/>
      <c r="K21040" s="711"/>
      <c r="L21040" s="711"/>
      <c r="Q21040" s="11"/>
      <c r="R21040" s="11"/>
      <c r="S21040" s="11"/>
      <c r="T21040" s="11"/>
    </row>
    <row r="21041" spans="8:20" x14ac:dyDescent="0.35">
      <c r="H21041" s="711"/>
      <c r="I21041" s="711"/>
      <c r="J21041" s="711"/>
      <c r="K21041" s="711"/>
      <c r="L21041" s="711"/>
      <c r="Q21041" s="11"/>
      <c r="R21041" s="11"/>
      <c r="S21041" s="11"/>
      <c r="T21041" s="11"/>
    </row>
    <row r="21042" spans="8:20" x14ac:dyDescent="0.35">
      <c r="H21042" s="711"/>
      <c r="I21042" s="711"/>
      <c r="J21042" s="711"/>
      <c r="K21042" s="711"/>
      <c r="L21042" s="711"/>
      <c r="Q21042" s="11"/>
      <c r="R21042" s="11"/>
      <c r="S21042" s="11"/>
      <c r="T21042" s="11"/>
    </row>
    <row r="21043" spans="8:20" x14ac:dyDescent="0.35">
      <c r="H21043" s="711"/>
      <c r="I21043" s="711"/>
      <c r="J21043" s="711"/>
      <c r="K21043" s="711"/>
      <c r="L21043" s="711"/>
      <c r="Q21043" s="11"/>
      <c r="R21043" s="11"/>
      <c r="S21043" s="11"/>
      <c r="T21043" s="11"/>
    </row>
    <row r="21044" spans="8:20" x14ac:dyDescent="0.35">
      <c r="H21044" s="711"/>
      <c r="I21044" s="711"/>
      <c r="J21044" s="711"/>
      <c r="K21044" s="711"/>
      <c r="L21044" s="711"/>
      <c r="Q21044" s="11"/>
      <c r="R21044" s="11"/>
      <c r="S21044" s="11"/>
      <c r="T21044" s="11"/>
    </row>
    <row r="21045" spans="8:20" x14ac:dyDescent="0.35">
      <c r="H21045" s="711"/>
      <c r="I21045" s="711"/>
      <c r="J21045" s="711"/>
      <c r="K21045" s="711"/>
      <c r="L21045" s="711"/>
      <c r="Q21045" s="11"/>
      <c r="R21045" s="11"/>
      <c r="S21045" s="11"/>
      <c r="T21045" s="11"/>
    </row>
    <row r="21046" spans="8:20" x14ac:dyDescent="0.35">
      <c r="H21046" s="711"/>
      <c r="I21046" s="711"/>
      <c r="J21046" s="711"/>
      <c r="K21046" s="711"/>
      <c r="L21046" s="711"/>
      <c r="Q21046" s="11"/>
      <c r="R21046" s="11"/>
      <c r="S21046" s="11"/>
      <c r="T21046" s="11"/>
    </row>
    <row r="21047" spans="8:20" x14ac:dyDescent="0.35">
      <c r="H21047" s="711"/>
      <c r="I21047" s="711"/>
      <c r="J21047" s="711"/>
      <c r="K21047" s="711"/>
      <c r="L21047" s="711"/>
      <c r="Q21047" s="11"/>
      <c r="R21047" s="11"/>
      <c r="S21047" s="11"/>
      <c r="T21047" s="11"/>
    </row>
    <row r="21048" spans="8:20" x14ac:dyDescent="0.35">
      <c r="H21048" s="711"/>
      <c r="I21048" s="711"/>
      <c r="J21048" s="711"/>
      <c r="K21048" s="711"/>
      <c r="L21048" s="711"/>
      <c r="Q21048" s="11"/>
      <c r="R21048" s="11"/>
      <c r="S21048" s="11"/>
      <c r="T21048" s="11"/>
    </row>
    <row r="21049" spans="8:20" x14ac:dyDescent="0.35">
      <c r="H21049" s="711"/>
      <c r="I21049" s="711"/>
      <c r="J21049" s="711"/>
      <c r="K21049" s="711"/>
      <c r="L21049" s="711"/>
      <c r="Q21049" s="11"/>
      <c r="R21049" s="11"/>
      <c r="S21049" s="11"/>
      <c r="T21049" s="11"/>
    </row>
    <row r="21050" spans="8:20" x14ac:dyDescent="0.35">
      <c r="H21050" s="711"/>
      <c r="I21050" s="711"/>
      <c r="J21050" s="711"/>
      <c r="K21050" s="711"/>
      <c r="L21050" s="711"/>
      <c r="Q21050" s="11"/>
      <c r="R21050" s="11"/>
      <c r="S21050" s="11"/>
      <c r="T21050" s="11"/>
    </row>
    <row r="21051" spans="8:20" x14ac:dyDescent="0.35">
      <c r="H21051" s="711"/>
      <c r="I21051" s="711"/>
      <c r="J21051" s="711"/>
      <c r="K21051" s="711"/>
      <c r="L21051" s="711"/>
      <c r="Q21051" s="11"/>
      <c r="R21051" s="11"/>
      <c r="S21051" s="11"/>
      <c r="T21051" s="11"/>
    </row>
    <row r="21052" spans="8:20" x14ac:dyDescent="0.35">
      <c r="H21052" s="711"/>
      <c r="I21052" s="711"/>
      <c r="J21052" s="711"/>
      <c r="K21052" s="711"/>
      <c r="L21052" s="711"/>
      <c r="Q21052" s="11"/>
      <c r="R21052" s="11"/>
      <c r="S21052" s="11"/>
      <c r="T21052" s="11"/>
    </row>
    <row r="21053" spans="8:20" x14ac:dyDescent="0.35">
      <c r="H21053" s="711"/>
      <c r="I21053" s="711"/>
      <c r="J21053" s="711"/>
      <c r="K21053" s="711"/>
      <c r="L21053" s="711"/>
      <c r="Q21053" s="11"/>
      <c r="R21053" s="11"/>
      <c r="S21053" s="11"/>
      <c r="T21053" s="11"/>
    </row>
    <row r="21054" spans="8:20" x14ac:dyDescent="0.35">
      <c r="H21054" s="711"/>
      <c r="I21054" s="711"/>
      <c r="J21054" s="711"/>
      <c r="K21054" s="711"/>
      <c r="L21054" s="711"/>
      <c r="Q21054" s="11"/>
      <c r="R21054" s="11"/>
      <c r="S21054" s="11"/>
      <c r="T21054" s="11"/>
    </row>
    <row r="21055" spans="8:20" x14ac:dyDescent="0.35">
      <c r="H21055" s="711"/>
      <c r="I21055" s="711"/>
      <c r="J21055" s="711"/>
      <c r="K21055" s="711"/>
      <c r="L21055" s="711"/>
      <c r="Q21055" s="11"/>
      <c r="R21055" s="11"/>
      <c r="S21055" s="11"/>
      <c r="T21055" s="11"/>
    </row>
    <row r="21056" spans="8:20" x14ac:dyDescent="0.35">
      <c r="H21056" s="711"/>
      <c r="I21056" s="711"/>
      <c r="J21056" s="711"/>
      <c r="K21056" s="711"/>
      <c r="L21056" s="711"/>
      <c r="Q21056" s="11"/>
      <c r="R21056" s="11"/>
      <c r="S21056" s="11"/>
      <c r="T21056" s="11"/>
    </row>
    <row r="21057" spans="8:20" x14ac:dyDescent="0.35">
      <c r="H21057" s="711"/>
      <c r="I21057" s="711"/>
      <c r="J21057" s="711"/>
      <c r="K21057" s="711"/>
      <c r="L21057" s="711"/>
      <c r="Q21057" s="11"/>
      <c r="R21057" s="11"/>
      <c r="S21057" s="11"/>
      <c r="T21057" s="11"/>
    </row>
    <row r="21058" spans="8:20" x14ac:dyDescent="0.35">
      <c r="H21058" s="711"/>
      <c r="I21058" s="711"/>
      <c r="J21058" s="711"/>
      <c r="K21058" s="711"/>
      <c r="L21058" s="711"/>
      <c r="Q21058" s="11"/>
      <c r="R21058" s="11"/>
      <c r="S21058" s="11"/>
      <c r="T21058" s="11"/>
    </row>
    <row r="21059" spans="8:20" x14ac:dyDescent="0.35">
      <c r="H21059" s="711"/>
      <c r="I21059" s="711"/>
      <c r="J21059" s="711"/>
      <c r="K21059" s="711"/>
      <c r="L21059" s="711"/>
      <c r="Q21059" s="11"/>
      <c r="R21059" s="11"/>
      <c r="S21059" s="11"/>
      <c r="T21059" s="11"/>
    </row>
    <row r="21060" spans="8:20" x14ac:dyDescent="0.35">
      <c r="H21060" s="711"/>
      <c r="I21060" s="711"/>
      <c r="J21060" s="711"/>
      <c r="K21060" s="711"/>
      <c r="L21060" s="711"/>
      <c r="Q21060" s="11"/>
      <c r="R21060" s="11"/>
      <c r="S21060" s="11"/>
      <c r="T21060" s="11"/>
    </row>
    <row r="21061" spans="8:20" x14ac:dyDescent="0.35">
      <c r="H21061" s="711"/>
      <c r="I21061" s="711"/>
      <c r="J21061" s="711"/>
      <c r="K21061" s="711"/>
      <c r="L21061" s="711"/>
      <c r="Q21061" s="11"/>
      <c r="R21061" s="11"/>
      <c r="S21061" s="11"/>
      <c r="T21061" s="11"/>
    </row>
    <row r="21062" spans="8:20" x14ac:dyDescent="0.35">
      <c r="H21062" s="711"/>
      <c r="I21062" s="711"/>
      <c r="J21062" s="711"/>
      <c r="K21062" s="711"/>
      <c r="L21062" s="711"/>
      <c r="Q21062" s="11"/>
      <c r="R21062" s="11"/>
      <c r="S21062" s="11"/>
      <c r="T21062" s="11"/>
    </row>
    <row r="21063" spans="8:20" x14ac:dyDescent="0.35">
      <c r="H21063" s="711"/>
      <c r="I21063" s="711"/>
      <c r="J21063" s="711"/>
      <c r="K21063" s="711"/>
      <c r="L21063" s="711"/>
      <c r="Q21063" s="11"/>
      <c r="R21063" s="11"/>
      <c r="S21063" s="11"/>
      <c r="T21063" s="11"/>
    </row>
    <row r="21064" spans="8:20" x14ac:dyDescent="0.35">
      <c r="H21064" s="711"/>
      <c r="I21064" s="711"/>
      <c r="J21064" s="711"/>
      <c r="K21064" s="711"/>
      <c r="L21064" s="711"/>
      <c r="Q21064" s="11"/>
      <c r="R21064" s="11"/>
      <c r="S21064" s="11"/>
      <c r="T21064" s="11"/>
    </row>
    <row r="21065" spans="8:20" x14ac:dyDescent="0.35">
      <c r="H21065" s="711"/>
      <c r="I21065" s="711"/>
      <c r="J21065" s="711"/>
      <c r="K21065" s="711"/>
      <c r="L21065" s="711"/>
      <c r="Q21065" s="11"/>
      <c r="R21065" s="11"/>
      <c r="S21065" s="11"/>
      <c r="T21065" s="11"/>
    </row>
    <row r="21066" spans="8:20" x14ac:dyDescent="0.35">
      <c r="H21066" s="711"/>
      <c r="I21066" s="711"/>
      <c r="J21066" s="711"/>
      <c r="K21066" s="711"/>
      <c r="L21066" s="711"/>
      <c r="Q21066" s="11"/>
      <c r="R21066" s="11"/>
      <c r="S21066" s="11"/>
      <c r="T21066" s="11"/>
    </row>
    <row r="21067" spans="8:20" x14ac:dyDescent="0.35">
      <c r="H21067" s="711"/>
      <c r="I21067" s="711"/>
      <c r="J21067" s="711"/>
      <c r="K21067" s="711"/>
      <c r="L21067" s="711"/>
      <c r="Q21067" s="11"/>
      <c r="R21067" s="11"/>
      <c r="S21067" s="11"/>
      <c r="T21067" s="11"/>
    </row>
    <row r="21068" spans="8:20" x14ac:dyDescent="0.35">
      <c r="H21068" s="711"/>
      <c r="I21068" s="711"/>
      <c r="J21068" s="711"/>
      <c r="K21068" s="711"/>
      <c r="L21068" s="711"/>
      <c r="Q21068" s="11"/>
      <c r="R21068" s="11"/>
      <c r="S21068" s="11"/>
      <c r="T21068" s="11"/>
    </row>
    <row r="21069" spans="8:20" x14ac:dyDescent="0.35">
      <c r="H21069" s="711"/>
      <c r="I21069" s="711"/>
      <c r="J21069" s="711"/>
      <c r="K21069" s="711"/>
      <c r="L21069" s="711"/>
      <c r="Q21069" s="11"/>
      <c r="R21069" s="11"/>
      <c r="S21069" s="11"/>
      <c r="T21069" s="11"/>
    </row>
    <row r="21070" spans="8:20" x14ac:dyDescent="0.35">
      <c r="H21070" s="711"/>
      <c r="I21070" s="711"/>
      <c r="J21070" s="711"/>
      <c r="K21070" s="711"/>
      <c r="L21070" s="711"/>
      <c r="Q21070" s="11"/>
      <c r="R21070" s="11"/>
      <c r="S21070" s="11"/>
      <c r="T21070" s="11"/>
    </row>
    <row r="21071" spans="8:20" x14ac:dyDescent="0.35">
      <c r="H21071" s="711"/>
      <c r="I21071" s="711"/>
      <c r="J21071" s="711"/>
      <c r="K21071" s="711"/>
      <c r="L21071" s="711"/>
      <c r="Q21071" s="11"/>
      <c r="R21071" s="11"/>
      <c r="S21071" s="11"/>
      <c r="T21071" s="11"/>
    </row>
    <row r="21072" spans="8:20" x14ac:dyDescent="0.35">
      <c r="H21072" s="711"/>
      <c r="I21072" s="711"/>
      <c r="J21072" s="711"/>
      <c r="K21072" s="711"/>
      <c r="L21072" s="711"/>
      <c r="Q21072" s="11"/>
      <c r="R21072" s="11"/>
      <c r="S21072" s="11"/>
      <c r="T21072" s="11"/>
    </row>
    <row r="21073" spans="8:20" x14ac:dyDescent="0.35">
      <c r="H21073" s="711"/>
      <c r="I21073" s="711"/>
      <c r="J21073" s="711"/>
      <c r="K21073" s="711"/>
      <c r="L21073" s="711"/>
      <c r="Q21073" s="11"/>
      <c r="R21073" s="11"/>
      <c r="S21073" s="11"/>
      <c r="T21073" s="11"/>
    </row>
    <row r="21074" spans="8:20" x14ac:dyDescent="0.35">
      <c r="H21074" s="711"/>
      <c r="I21074" s="711"/>
      <c r="J21074" s="711"/>
      <c r="K21074" s="711"/>
      <c r="L21074" s="711"/>
      <c r="Q21074" s="11"/>
      <c r="R21074" s="11"/>
      <c r="S21074" s="11"/>
      <c r="T21074" s="11"/>
    </row>
    <row r="21075" spans="8:20" x14ac:dyDescent="0.35">
      <c r="H21075" s="711"/>
      <c r="I21075" s="711"/>
      <c r="J21075" s="711"/>
      <c r="K21075" s="711"/>
      <c r="L21075" s="711"/>
      <c r="Q21075" s="11"/>
      <c r="R21075" s="11"/>
      <c r="S21075" s="11"/>
      <c r="T21075" s="11"/>
    </row>
    <row r="21076" spans="8:20" x14ac:dyDescent="0.35">
      <c r="H21076" s="711"/>
      <c r="I21076" s="711"/>
      <c r="J21076" s="711"/>
      <c r="K21076" s="711"/>
      <c r="L21076" s="711"/>
      <c r="Q21076" s="11"/>
      <c r="R21076" s="11"/>
      <c r="S21076" s="11"/>
      <c r="T21076" s="11"/>
    </row>
    <row r="21077" spans="8:20" x14ac:dyDescent="0.35">
      <c r="H21077" s="711"/>
      <c r="I21077" s="711"/>
      <c r="J21077" s="711"/>
      <c r="K21077" s="711"/>
      <c r="L21077" s="711"/>
      <c r="Q21077" s="11"/>
      <c r="R21077" s="11"/>
      <c r="S21077" s="11"/>
      <c r="T21077" s="11"/>
    </row>
    <row r="21078" spans="8:20" x14ac:dyDescent="0.35">
      <c r="H21078" s="711"/>
      <c r="I21078" s="711"/>
      <c r="J21078" s="711"/>
      <c r="K21078" s="711"/>
      <c r="L21078" s="711"/>
      <c r="Q21078" s="11"/>
      <c r="R21078" s="11"/>
      <c r="S21078" s="11"/>
      <c r="T21078" s="11"/>
    </row>
    <row r="21079" spans="8:20" x14ac:dyDescent="0.35">
      <c r="H21079" s="711"/>
      <c r="I21079" s="711"/>
      <c r="J21079" s="711"/>
      <c r="K21079" s="711"/>
      <c r="L21079" s="711"/>
      <c r="Q21079" s="11"/>
      <c r="R21079" s="11"/>
      <c r="S21079" s="11"/>
      <c r="T21079" s="11"/>
    </row>
    <row r="21080" spans="8:20" x14ac:dyDescent="0.35">
      <c r="H21080" s="711"/>
      <c r="I21080" s="711"/>
      <c r="J21080" s="711"/>
      <c r="K21080" s="711"/>
      <c r="L21080" s="711"/>
      <c r="Q21080" s="11"/>
      <c r="R21080" s="11"/>
      <c r="S21080" s="11"/>
      <c r="T21080" s="11"/>
    </row>
    <row r="21081" spans="8:20" x14ac:dyDescent="0.35">
      <c r="H21081" s="711"/>
      <c r="I21081" s="711"/>
      <c r="J21081" s="711"/>
      <c r="K21081" s="711"/>
      <c r="L21081" s="711"/>
      <c r="Q21081" s="11"/>
      <c r="R21081" s="11"/>
      <c r="S21081" s="11"/>
      <c r="T21081" s="11"/>
    </row>
    <row r="21082" spans="8:20" x14ac:dyDescent="0.35">
      <c r="H21082" s="711"/>
      <c r="I21082" s="711"/>
      <c r="J21082" s="711"/>
      <c r="K21082" s="711"/>
      <c r="L21082" s="711"/>
      <c r="Q21082" s="11"/>
      <c r="R21082" s="11"/>
      <c r="S21082" s="11"/>
      <c r="T21082" s="11"/>
    </row>
    <row r="21083" spans="8:20" x14ac:dyDescent="0.35">
      <c r="H21083" s="711"/>
      <c r="I21083" s="711"/>
      <c r="J21083" s="711"/>
      <c r="K21083" s="711"/>
      <c r="L21083" s="711"/>
      <c r="Q21083" s="11"/>
      <c r="R21083" s="11"/>
      <c r="S21083" s="11"/>
      <c r="T21083" s="11"/>
    </row>
    <row r="21084" spans="8:20" x14ac:dyDescent="0.35">
      <c r="H21084" s="711"/>
      <c r="I21084" s="711"/>
      <c r="J21084" s="711"/>
      <c r="K21084" s="711"/>
      <c r="L21084" s="711"/>
      <c r="Q21084" s="11"/>
      <c r="R21084" s="11"/>
      <c r="S21084" s="11"/>
      <c r="T21084" s="11"/>
    </row>
    <row r="21085" spans="8:20" x14ac:dyDescent="0.35">
      <c r="H21085" s="711"/>
      <c r="I21085" s="711"/>
      <c r="J21085" s="711"/>
      <c r="K21085" s="711"/>
      <c r="L21085" s="711"/>
      <c r="Q21085" s="11"/>
      <c r="R21085" s="11"/>
      <c r="S21085" s="11"/>
      <c r="T21085" s="11"/>
    </row>
    <row r="21086" spans="8:20" x14ac:dyDescent="0.35">
      <c r="H21086" s="711"/>
      <c r="I21086" s="711"/>
      <c r="J21086" s="711"/>
      <c r="K21086" s="711"/>
      <c r="L21086" s="711"/>
      <c r="Q21086" s="11"/>
      <c r="R21086" s="11"/>
      <c r="S21086" s="11"/>
      <c r="T21086" s="11"/>
    </row>
    <row r="21087" spans="8:20" x14ac:dyDescent="0.35">
      <c r="H21087" s="711"/>
      <c r="I21087" s="711"/>
      <c r="J21087" s="711"/>
      <c r="K21087" s="711"/>
      <c r="L21087" s="711"/>
      <c r="Q21087" s="11"/>
      <c r="R21087" s="11"/>
      <c r="S21087" s="11"/>
      <c r="T21087" s="11"/>
    </row>
    <row r="21088" spans="8:20" x14ac:dyDescent="0.35">
      <c r="H21088" s="711"/>
      <c r="I21088" s="711"/>
      <c r="J21088" s="711"/>
      <c r="K21088" s="711"/>
      <c r="L21088" s="711"/>
      <c r="Q21088" s="11"/>
      <c r="R21088" s="11"/>
      <c r="S21088" s="11"/>
      <c r="T21088" s="11"/>
    </row>
    <row r="21089" spans="8:20" x14ac:dyDescent="0.35">
      <c r="H21089" s="711"/>
      <c r="I21089" s="711"/>
      <c r="J21089" s="711"/>
      <c r="K21089" s="711"/>
      <c r="L21089" s="711"/>
      <c r="Q21089" s="11"/>
      <c r="R21089" s="11"/>
      <c r="S21089" s="11"/>
      <c r="T21089" s="11"/>
    </row>
    <row r="21090" spans="8:20" x14ac:dyDescent="0.35">
      <c r="H21090" s="711"/>
      <c r="I21090" s="711"/>
      <c r="J21090" s="711"/>
      <c r="K21090" s="711"/>
      <c r="L21090" s="711"/>
      <c r="Q21090" s="11"/>
      <c r="R21090" s="11"/>
      <c r="S21090" s="11"/>
      <c r="T21090" s="11"/>
    </row>
    <row r="21091" spans="8:20" x14ac:dyDescent="0.35">
      <c r="H21091" s="711"/>
      <c r="I21091" s="711"/>
      <c r="J21091" s="711"/>
      <c r="K21091" s="711"/>
      <c r="L21091" s="711"/>
      <c r="Q21091" s="11"/>
      <c r="R21091" s="11"/>
      <c r="S21091" s="11"/>
      <c r="T21091" s="11"/>
    </row>
    <row r="21092" spans="8:20" x14ac:dyDescent="0.35">
      <c r="H21092" s="711"/>
      <c r="I21092" s="711"/>
      <c r="J21092" s="711"/>
      <c r="K21092" s="711"/>
      <c r="L21092" s="711"/>
      <c r="Q21092" s="11"/>
      <c r="R21092" s="11"/>
      <c r="S21092" s="11"/>
      <c r="T21092" s="11"/>
    </row>
    <row r="21093" spans="8:20" x14ac:dyDescent="0.35">
      <c r="H21093" s="711"/>
      <c r="I21093" s="711"/>
      <c r="J21093" s="711"/>
      <c r="K21093" s="711"/>
      <c r="L21093" s="711"/>
      <c r="Q21093" s="11"/>
      <c r="R21093" s="11"/>
      <c r="S21093" s="11"/>
      <c r="T21093" s="11"/>
    </row>
    <row r="21094" spans="8:20" x14ac:dyDescent="0.35">
      <c r="H21094" s="711"/>
      <c r="I21094" s="711"/>
      <c r="J21094" s="711"/>
      <c r="K21094" s="711"/>
      <c r="L21094" s="711"/>
      <c r="Q21094" s="11"/>
      <c r="R21094" s="11"/>
      <c r="S21094" s="11"/>
      <c r="T21094" s="11"/>
    </row>
    <row r="21095" spans="8:20" x14ac:dyDescent="0.35">
      <c r="H21095" s="711"/>
      <c r="I21095" s="711"/>
      <c r="J21095" s="711"/>
      <c r="K21095" s="711"/>
      <c r="L21095" s="711"/>
      <c r="Q21095" s="11"/>
      <c r="R21095" s="11"/>
      <c r="S21095" s="11"/>
      <c r="T21095" s="11"/>
    </row>
    <row r="21096" spans="8:20" x14ac:dyDescent="0.35">
      <c r="H21096" s="711"/>
      <c r="I21096" s="711"/>
      <c r="J21096" s="711"/>
      <c r="K21096" s="711"/>
      <c r="L21096" s="711"/>
      <c r="Q21096" s="11"/>
      <c r="R21096" s="11"/>
      <c r="S21096" s="11"/>
      <c r="T21096" s="11"/>
    </row>
    <row r="21097" spans="8:20" x14ac:dyDescent="0.35">
      <c r="H21097" s="711"/>
      <c r="I21097" s="711"/>
      <c r="J21097" s="711"/>
      <c r="K21097" s="711"/>
      <c r="L21097" s="711"/>
      <c r="Q21097" s="11"/>
      <c r="R21097" s="11"/>
      <c r="S21097" s="11"/>
      <c r="T21097" s="11"/>
    </row>
    <row r="21098" spans="8:20" x14ac:dyDescent="0.35">
      <c r="H21098" s="711"/>
      <c r="I21098" s="711"/>
      <c r="J21098" s="711"/>
      <c r="K21098" s="711"/>
      <c r="L21098" s="711"/>
      <c r="Q21098" s="11"/>
      <c r="R21098" s="11"/>
      <c r="S21098" s="11"/>
      <c r="T21098" s="11"/>
    </row>
    <row r="21099" spans="8:20" x14ac:dyDescent="0.35">
      <c r="H21099" s="711"/>
      <c r="I21099" s="711"/>
      <c r="J21099" s="711"/>
      <c r="K21099" s="711"/>
      <c r="L21099" s="711"/>
      <c r="Q21099" s="11"/>
      <c r="R21099" s="11"/>
      <c r="S21099" s="11"/>
      <c r="T21099" s="11"/>
    </row>
    <row r="21100" spans="8:20" x14ac:dyDescent="0.35">
      <c r="H21100" s="711"/>
      <c r="I21100" s="711"/>
      <c r="J21100" s="711"/>
      <c r="K21100" s="711"/>
      <c r="L21100" s="711"/>
      <c r="Q21100" s="11"/>
      <c r="R21100" s="11"/>
      <c r="S21100" s="11"/>
      <c r="T21100" s="11"/>
    </row>
    <row r="21101" spans="8:20" x14ac:dyDescent="0.35">
      <c r="H21101" s="711"/>
      <c r="I21101" s="711"/>
      <c r="J21101" s="711"/>
      <c r="K21101" s="711"/>
      <c r="L21101" s="711"/>
      <c r="Q21101" s="11"/>
      <c r="R21101" s="11"/>
      <c r="S21101" s="11"/>
      <c r="T21101" s="11"/>
    </row>
    <row r="21102" spans="8:20" x14ac:dyDescent="0.35">
      <c r="H21102" s="711"/>
      <c r="I21102" s="711"/>
      <c r="J21102" s="711"/>
      <c r="K21102" s="711"/>
      <c r="L21102" s="711"/>
      <c r="Q21102" s="11"/>
      <c r="R21102" s="11"/>
      <c r="S21102" s="11"/>
      <c r="T21102" s="11"/>
    </row>
    <row r="21103" spans="8:20" x14ac:dyDescent="0.35">
      <c r="H21103" s="711"/>
      <c r="I21103" s="711"/>
      <c r="J21103" s="711"/>
      <c r="K21103" s="711"/>
      <c r="L21103" s="711"/>
      <c r="Q21103" s="11"/>
      <c r="R21103" s="11"/>
      <c r="S21103" s="11"/>
      <c r="T21103" s="11"/>
    </row>
    <row r="21104" spans="8:20" x14ac:dyDescent="0.35">
      <c r="H21104" s="711"/>
      <c r="I21104" s="711"/>
      <c r="J21104" s="711"/>
      <c r="K21104" s="711"/>
      <c r="L21104" s="711"/>
      <c r="Q21104" s="11"/>
      <c r="R21104" s="11"/>
      <c r="S21104" s="11"/>
      <c r="T21104" s="11"/>
    </row>
    <row r="21105" spans="8:20" x14ac:dyDescent="0.35">
      <c r="H21105" s="711"/>
      <c r="I21105" s="711"/>
      <c r="J21105" s="711"/>
      <c r="K21105" s="711"/>
      <c r="L21105" s="711"/>
      <c r="Q21105" s="11"/>
      <c r="R21105" s="11"/>
      <c r="S21105" s="11"/>
      <c r="T21105" s="11"/>
    </row>
    <row r="21106" spans="8:20" x14ac:dyDescent="0.35">
      <c r="H21106" s="711"/>
      <c r="I21106" s="711"/>
      <c r="J21106" s="711"/>
      <c r="K21106" s="711"/>
      <c r="L21106" s="711"/>
      <c r="Q21106" s="11"/>
      <c r="R21106" s="11"/>
      <c r="S21106" s="11"/>
      <c r="T21106" s="11"/>
    </row>
    <row r="21107" spans="8:20" x14ac:dyDescent="0.35">
      <c r="H21107" s="711"/>
      <c r="I21107" s="711"/>
      <c r="J21107" s="711"/>
      <c r="K21107" s="711"/>
      <c r="L21107" s="711"/>
      <c r="Q21107" s="11"/>
      <c r="R21107" s="11"/>
      <c r="S21107" s="11"/>
      <c r="T21107" s="11"/>
    </row>
    <row r="21108" spans="8:20" x14ac:dyDescent="0.35">
      <c r="H21108" s="711"/>
      <c r="I21108" s="711"/>
      <c r="J21108" s="711"/>
      <c r="K21108" s="711"/>
      <c r="L21108" s="711"/>
      <c r="Q21108" s="11"/>
      <c r="R21108" s="11"/>
      <c r="S21108" s="11"/>
      <c r="T21108" s="11"/>
    </row>
    <row r="21109" spans="8:20" x14ac:dyDescent="0.35">
      <c r="H21109" s="711"/>
      <c r="I21109" s="711"/>
      <c r="J21109" s="711"/>
      <c r="K21109" s="711"/>
      <c r="L21109" s="711"/>
      <c r="Q21109" s="11"/>
      <c r="R21109" s="11"/>
      <c r="S21109" s="11"/>
      <c r="T21109" s="11"/>
    </row>
    <row r="21110" spans="8:20" x14ac:dyDescent="0.35">
      <c r="H21110" s="711"/>
      <c r="I21110" s="711"/>
      <c r="J21110" s="711"/>
      <c r="K21110" s="711"/>
      <c r="L21110" s="711"/>
      <c r="Q21110" s="11"/>
      <c r="R21110" s="11"/>
      <c r="S21110" s="11"/>
      <c r="T21110" s="11"/>
    </row>
    <row r="21111" spans="8:20" x14ac:dyDescent="0.35">
      <c r="H21111" s="711"/>
      <c r="I21111" s="711"/>
      <c r="J21111" s="711"/>
      <c r="K21111" s="711"/>
      <c r="L21111" s="711"/>
      <c r="Q21111" s="11"/>
      <c r="R21111" s="11"/>
      <c r="S21111" s="11"/>
      <c r="T21111" s="11"/>
    </row>
    <row r="21112" spans="8:20" x14ac:dyDescent="0.35">
      <c r="H21112" s="711"/>
      <c r="I21112" s="711"/>
      <c r="J21112" s="711"/>
      <c r="K21112" s="711"/>
      <c r="L21112" s="711"/>
      <c r="Q21112" s="11"/>
      <c r="R21112" s="11"/>
      <c r="S21112" s="11"/>
      <c r="T21112" s="11"/>
    </row>
    <row r="21113" spans="8:20" x14ac:dyDescent="0.35">
      <c r="H21113" s="711"/>
      <c r="I21113" s="711"/>
      <c r="J21113" s="711"/>
      <c r="K21113" s="711"/>
      <c r="L21113" s="711"/>
      <c r="Q21113" s="11"/>
      <c r="R21113" s="11"/>
      <c r="S21113" s="11"/>
      <c r="T21113" s="11"/>
    </row>
    <row r="21114" spans="8:20" x14ac:dyDescent="0.35">
      <c r="H21114" s="711"/>
      <c r="I21114" s="711"/>
      <c r="J21114" s="711"/>
      <c r="K21114" s="711"/>
      <c r="L21114" s="711"/>
      <c r="Q21114" s="11"/>
      <c r="R21114" s="11"/>
      <c r="S21114" s="11"/>
      <c r="T21114" s="11"/>
    </row>
    <row r="21115" spans="8:20" x14ac:dyDescent="0.35">
      <c r="H21115" s="711"/>
      <c r="I21115" s="711"/>
      <c r="J21115" s="711"/>
      <c r="K21115" s="711"/>
      <c r="L21115" s="711"/>
      <c r="Q21115" s="11"/>
      <c r="R21115" s="11"/>
      <c r="S21115" s="11"/>
      <c r="T21115" s="11"/>
    </row>
    <row r="21116" spans="8:20" x14ac:dyDescent="0.35">
      <c r="H21116" s="711"/>
      <c r="I21116" s="711"/>
      <c r="J21116" s="711"/>
      <c r="K21116" s="711"/>
      <c r="L21116" s="711"/>
      <c r="Q21116" s="11"/>
      <c r="R21116" s="11"/>
      <c r="S21116" s="11"/>
      <c r="T21116" s="11"/>
    </row>
    <row r="21117" spans="8:20" x14ac:dyDescent="0.35">
      <c r="H21117" s="711"/>
      <c r="I21117" s="711"/>
      <c r="J21117" s="711"/>
      <c r="K21117" s="711"/>
      <c r="L21117" s="711"/>
      <c r="Q21117" s="11"/>
      <c r="R21117" s="11"/>
      <c r="S21117" s="11"/>
      <c r="T21117" s="11"/>
    </row>
    <row r="21118" spans="8:20" x14ac:dyDescent="0.35">
      <c r="H21118" s="711"/>
      <c r="I21118" s="711"/>
      <c r="J21118" s="711"/>
      <c r="K21118" s="711"/>
      <c r="L21118" s="711"/>
      <c r="Q21118" s="11"/>
      <c r="R21118" s="11"/>
      <c r="S21118" s="11"/>
      <c r="T21118" s="11"/>
    </row>
    <row r="21119" spans="8:20" x14ac:dyDescent="0.35">
      <c r="H21119" s="711"/>
      <c r="I21119" s="711"/>
      <c r="J21119" s="711"/>
      <c r="K21119" s="711"/>
      <c r="L21119" s="711"/>
      <c r="Q21119" s="11"/>
      <c r="R21119" s="11"/>
      <c r="S21119" s="11"/>
      <c r="T21119" s="11"/>
    </row>
    <row r="21120" spans="8:20" x14ac:dyDescent="0.35">
      <c r="H21120" s="711"/>
      <c r="I21120" s="711"/>
      <c r="J21120" s="711"/>
      <c r="K21120" s="711"/>
      <c r="L21120" s="711"/>
      <c r="Q21120" s="11"/>
      <c r="R21120" s="11"/>
      <c r="S21120" s="11"/>
      <c r="T21120" s="11"/>
    </row>
    <row r="21121" spans="8:20" x14ac:dyDescent="0.35">
      <c r="H21121" s="711"/>
      <c r="I21121" s="711"/>
      <c r="J21121" s="711"/>
      <c r="K21121" s="711"/>
      <c r="L21121" s="711"/>
      <c r="Q21121" s="11"/>
      <c r="R21121" s="11"/>
      <c r="S21121" s="11"/>
      <c r="T21121" s="11"/>
    </row>
    <row r="21122" spans="8:20" x14ac:dyDescent="0.35">
      <c r="H21122" s="711"/>
      <c r="I21122" s="711"/>
      <c r="J21122" s="711"/>
      <c r="K21122" s="711"/>
      <c r="L21122" s="711"/>
      <c r="Q21122" s="11"/>
      <c r="R21122" s="11"/>
      <c r="S21122" s="11"/>
      <c r="T21122" s="11"/>
    </row>
    <row r="21123" spans="8:20" x14ac:dyDescent="0.35">
      <c r="H21123" s="711"/>
      <c r="I21123" s="711"/>
      <c r="J21123" s="711"/>
      <c r="K21123" s="711"/>
      <c r="L21123" s="711"/>
      <c r="Q21123" s="11"/>
      <c r="R21123" s="11"/>
      <c r="S21123" s="11"/>
      <c r="T21123" s="11"/>
    </row>
    <row r="21124" spans="8:20" x14ac:dyDescent="0.35">
      <c r="H21124" s="711"/>
      <c r="I21124" s="711"/>
      <c r="J21124" s="711"/>
      <c r="K21124" s="711"/>
      <c r="L21124" s="711"/>
      <c r="Q21124" s="11"/>
      <c r="R21124" s="11"/>
      <c r="S21124" s="11"/>
      <c r="T21124" s="11"/>
    </row>
    <row r="21125" spans="8:20" x14ac:dyDescent="0.35">
      <c r="H21125" s="711"/>
      <c r="I21125" s="711"/>
      <c r="J21125" s="711"/>
      <c r="K21125" s="711"/>
      <c r="L21125" s="711"/>
      <c r="Q21125" s="11"/>
      <c r="R21125" s="11"/>
      <c r="S21125" s="11"/>
      <c r="T21125" s="11"/>
    </row>
    <row r="21126" spans="8:20" x14ac:dyDescent="0.35">
      <c r="H21126" s="711"/>
      <c r="I21126" s="711"/>
      <c r="J21126" s="711"/>
      <c r="K21126" s="711"/>
      <c r="L21126" s="711"/>
      <c r="Q21126" s="11"/>
      <c r="R21126" s="11"/>
      <c r="S21126" s="11"/>
      <c r="T21126" s="11"/>
    </row>
    <row r="21127" spans="8:20" x14ac:dyDescent="0.35">
      <c r="H21127" s="711"/>
      <c r="I21127" s="711"/>
      <c r="J21127" s="711"/>
      <c r="K21127" s="711"/>
      <c r="L21127" s="711"/>
      <c r="Q21127" s="11"/>
      <c r="R21127" s="11"/>
      <c r="S21127" s="11"/>
      <c r="T21127" s="11"/>
    </row>
    <row r="21128" spans="8:20" x14ac:dyDescent="0.35">
      <c r="H21128" s="711"/>
      <c r="I21128" s="711"/>
      <c r="J21128" s="711"/>
      <c r="K21128" s="711"/>
      <c r="L21128" s="711"/>
      <c r="Q21128" s="11"/>
      <c r="R21128" s="11"/>
      <c r="S21128" s="11"/>
      <c r="T21128" s="11"/>
    </row>
    <row r="21129" spans="8:20" x14ac:dyDescent="0.35">
      <c r="H21129" s="711"/>
      <c r="I21129" s="711"/>
      <c r="J21129" s="711"/>
      <c r="K21129" s="711"/>
      <c r="L21129" s="711"/>
      <c r="Q21129" s="11"/>
      <c r="R21129" s="11"/>
      <c r="S21129" s="11"/>
      <c r="T21129" s="11"/>
    </row>
    <row r="21130" spans="8:20" x14ac:dyDescent="0.35">
      <c r="H21130" s="711"/>
      <c r="I21130" s="711"/>
      <c r="J21130" s="711"/>
      <c r="K21130" s="711"/>
      <c r="L21130" s="711"/>
      <c r="Q21130" s="11"/>
      <c r="R21130" s="11"/>
      <c r="S21130" s="11"/>
      <c r="T21130" s="11"/>
    </row>
    <row r="21131" spans="8:20" x14ac:dyDescent="0.35">
      <c r="H21131" s="711"/>
      <c r="I21131" s="711"/>
      <c r="J21131" s="711"/>
      <c r="K21131" s="711"/>
      <c r="L21131" s="711"/>
      <c r="Q21131" s="11"/>
      <c r="R21131" s="11"/>
      <c r="S21131" s="11"/>
      <c r="T21131" s="11"/>
    </row>
    <row r="21132" spans="8:20" x14ac:dyDescent="0.35">
      <c r="H21132" s="711"/>
      <c r="I21132" s="711"/>
      <c r="J21132" s="711"/>
      <c r="K21132" s="711"/>
      <c r="L21132" s="711"/>
      <c r="Q21132" s="11"/>
      <c r="R21132" s="11"/>
      <c r="S21132" s="11"/>
      <c r="T21132" s="11"/>
    </row>
    <row r="21133" spans="8:20" x14ac:dyDescent="0.35">
      <c r="H21133" s="711"/>
      <c r="I21133" s="711"/>
      <c r="J21133" s="711"/>
      <c r="K21133" s="711"/>
      <c r="L21133" s="711"/>
      <c r="Q21133" s="11"/>
      <c r="R21133" s="11"/>
      <c r="S21133" s="11"/>
      <c r="T21133" s="11"/>
    </row>
    <row r="21134" spans="8:20" x14ac:dyDescent="0.35">
      <c r="H21134" s="711"/>
      <c r="I21134" s="711"/>
      <c r="J21134" s="711"/>
      <c r="K21134" s="711"/>
      <c r="L21134" s="711"/>
      <c r="Q21134" s="11"/>
      <c r="R21134" s="11"/>
      <c r="S21134" s="11"/>
      <c r="T21134" s="11"/>
    </row>
    <row r="21135" spans="8:20" x14ac:dyDescent="0.35">
      <c r="H21135" s="711"/>
      <c r="I21135" s="711"/>
      <c r="J21135" s="711"/>
      <c r="K21135" s="711"/>
      <c r="L21135" s="711"/>
      <c r="Q21135" s="11"/>
      <c r="R21135" s="11"/>
      <c r="S21135" s="11"/>
      <c r="T21135" s="11"/>
    </row>
    <row r="21136" spans="8:20" x14ac:dyDescent="0.35">
      <c r="H21136" s="711"/>
      <c r="I21136" s="711"/>
      <c r="J21136" s="711"/>
      <c r="K21136" s="711"/>
      <c r="L21136" s="711"/>
      <c r="Q21136" s="11"/>
      <c r="R21136" s="11"/>
      <c r="S21136" s="11"/>
      <c r="T21136" s="11"/>
    </row>
    <row r="21137" spans="8:20" x14ac:dyDescent="0.35">
      <c r="H21137" s="711"/>
      <c r="I21137" s="711"/>
      <c r="J21137" s="711"/>
      <c r="K21137" s="711"/>
      <c r="L21137" s="711"/>
      <c r="Q21137" s="11"/>
      <c r="R21137" s="11"/>
      <c r="S21137" s="11"/>
      <c r="T21137" s="11"/>
    </row>
    <row r="21138" spans="8:20" x14ac:dyDescent="0.35">
      <c r="H21138" s="711"/>
      <c r="I21138" s="711"/>
      <c r="J21138" s="711"/>
      <c r="K21138" s="711"/>
      <c r="L21138" s="711"/>
      <c r="Q21138" s="11"/>
      <c r="R21138" s="11"/>
      <c r="S21138" s="11"/>
      <c r="T21138" s="11"/>
    </row>
    <row r="21139" spans="8:20" x14ac:dyDescent="0.35">
      <c r="H21139" s="711"/>
      <c r="I21139" s="711"/>
      <c r="J21139" s="711"/>
      <c r="K21139" s="711"/>
      <c r="L21139" s="711"/>
      <c r="Q21139" s="11"/>
      <c r="R21139" s="11"/>
      <c r="S21139" s="11"/>
      <c r="T21139" s="11"/>
    </row>
    <row r="21140" spans="8:20" x14ac:dyDescent="0.35">
      <c r="H21140" s="711"/>
      <c r="I21140" s="711"/>
      <c r="J21140" s="711"/>
      <c r="K21140" s="711"/>
      <c r="L21140" s="711"/>
      <c r="Q21140" s="11"/>
      <c r="R21140" s="11"/>
      <c r="S21140" s="11"/>
      <c r="T21140" s="11"/>
    </row>
    <row r="21141" spans="8:20" x14ac:dyDescent="0.35">
      <c r="H21141" s="711"/>
      <c r="I21141" s="711"/>
      <c r="J21141" s="711"/>
      <c r="K21141" s="711"/>
      <c r="L21141" s="711"/>
      <c r="Q21141" s="11"/>
      <c r="R21141" s="11"/>
      <c r="S21141" s="11"/>
      <c r="T21141" s="11"/>
    </row>
    <row r="21142" spans="8:20" x14ac:dyDescent="0.35">
      <c r="H21142" s="711"/>
      <c r="I21142" s="711"/>
      <c r="J21142" s="711"/>
      <c r="K21142" s="711"/>
      <c r="L21142" s="711"/>
      <c r="Q21142" s="11"/>
      <c r="R21142" s="11"/>
      <c r="S21142" s="11"/>
      <c r="T21142" s="11"/>
    </row>
    <row r="21143" spans="8:20" x14ac:dyDescent="0.35">
      <c r="H21143" s="711"/>
      <c r="I21143" s="711"/>
      <c r="J21143" s="711"/>
      <c r="K21143" s="711"/>
      <c r="L21143" s="711"/>
      <c r="Q21143" s="11"/>
      <c r="R21143" s="11"/>
      <c r="S21143" s="11"/>
      <c r="T21143" s="11"/>
    </row>
    <row r="21144" spans="8:20" x14ac:dyDescent="0.35">
      <c r="H21144" s="711"/>
      <c r="I21144" s="711"/>
      <c r="J21144" s="711"/>
      <c r="K21144" s="711"/>
      <c r="L21144" s="711"/>
      <c r="Q21144" s="11"/>
      <c r="R21144" s="11"/>
      <c r="S21144" s="11"/>
      <c r="T21144" s="11"/>
    </row>
    <row r="21145" spans="8:20" x14ac:dyDescent="0.35">
      <c r="H21145" s="711"/>
      <c r="I21145" s="711"/>
      <c r="J21145" s="711"/>
      <c r="K21145" s="711"/>
      <c r="L21145" s="711"/>
      <c r="Q21145" s="11"/>
      <c r="R21145" s="11"/>
      <c r="S21145" s="11"/>
      <c r="T21145" s="11"/>
    </row>
    <row r="21146" spans="8:20" x14ac:dyDescent="0.35">
      <c r="H21146" s="711"/>
      <c r="I21146" s="711"/>
      <c r="J21146" s="711"/>
      <c r="K21146" s="711"/>
      <c r="L21146" s="711"/>
      <c r="Q21146" s="11"/>
      <c r="R21146" s="11"/>
      <c r="S21146" s="11"/>
      <c r="T21146" s="11"/>
    </row>
    <row r="21147" spans="8:20" x14ac:dyDescent="0.35">
      <c r="H21147" s="711"/>
      <c r="I21147" s="711"/>
      <c r="J21147" s="711"/>
      <c r="K21147" s="711"/>
      <c r="L21147" s="711"/>
      <c r="Q21147" s="11"/>
      <c r="R21147" s="11"/>
      <c r="S21147" s="11"/>
      <c r="T21147" s="11"/>
    </row>
    <row r="21148" spans="8:20" x14ac:dyDescent="0.35">
      <c r="H21148" s="711"/>
      <c r="I21148" s="711"/>
      <c r="J21148" s="711"/>
      <c r="K21148" s="711"/>
      <c r="L21148" s="711"/>
      <c r="Q21148" s="11"/>
      <c r="R21148" s="11"/>
      <c r="S21148" s="11"/>
      <c r="T21148" s="11"/>
    </row>
    <row r="21149" spans="8:20" x14ac:dyDescent="0.35">
      <c r="H21149" s="711"/>
      <c r="I21149" s="711"/>
      <c r="J21149" s="711"/>
      <c r="K21149" s="711"/>
      <c r="L21149" s="711"/>
      <c r="Q21149" s="11"/>
      <c r="R21149" s="11"/>
      <c r="S21149" s="11"/>
      <c r="T21149" s="11"/>
    </row>
    <row r="21150" spans="8:20" x14ac:dyDescent="0.35">
      <c r="H21150" s="711"/>
      <c r="I21150" s="711"/>
      <c r="J21150" s="711"/>
      <c r="K21150" s="711"/>
      <c r="L21150" s="711"/>
      <c r="Q21150" s="11"/>
      <c r="R21150" s="11"/>
      <c r="S21150" s="11"/>
      <c r="T21150" s="11"/>
    </row>
    <row r="21151" spans="8:20" x14ac:dyDescent="0.35">
      <c r="H21151" s="711"/>
      <c r="I21151" s="711"/>
      <c r="J21151" s="711"/>
      <c r="K21151" s="711"/>
      <c r="L21151" s="711"/>
      <c r="Q21151" s="11"/>
      <c r="R21151" s="11"/>
      <c r="S21151" s="11"/>
      <c r="T21151" s="11"/>
    </row>
    <row r="21152" spans="8:20" x14ac:dyDescent="0.35">
      <c r="H21152" s="711"/>
      <c r="I21152" s="711"/>
      <c r="J21152" s="711"/>
      <c r="K21152" s="711"/>
      <c r="L21152" s="711"/>
      <c r="Q21152" s="11"/>
      <c r="R21152" s="11"/>
      <c r="S21152" s="11"/>
      <c r="T21152" s="11"/>
    </row>
    <row r="21153" spans="8:20" x14ac:dyDescent="0.35">
      <c r="H21153" s="711"/>
      <c r="I21153" s="711"/>
      <c r="J21153" s="711"/>
      <c r="K21153" s="711"/>
      <c r="L21153" s="711"/>
      <c r="Q21153" s="11"/>
      <c r="R21153" s="11"/>
      <c r="S21153" s="11"/>
      <c r="T21153" s="11"/>
    </row>
    <row r="21154" spans="8:20" x14ac:dyDescent="0.35">
      <c r="H21154" s="711"/>
      <c r="I21154" s="711"/>
      <c r="J21154" s="711"/>
      <c r="K21154" s="711"/>
      <c r="L21154" s="711"/>
      <c r="Q21154" s="11"/>
      <c r="R21154" s="11"/>
      <c r="S21154" s="11"/>
      <c r="T21154" s="11"/>
    </row>
    <row r="21155" spans="8:20" x14ac:dyDescent="0.35">
      <c r="H21155" s="711"/>
      <c r="I21155" s="711"/>
      <c r="J21155" s="711"/>
      <c r="K21155" s="711"/>
      <c r="L21155" s="711"/>
      <c r="Q21155" s="11"/>
      <c r="R21155" s="11"/>
      <c r="S21155" s="11"/>
      <c r="T21155" s="11"/>
    </row>
    <row r="21156" spans="8:20" x14ac:dyDescent="0.35">
      <c r="H21156" s="711"/>
      <c r="I21156" s="711"/>
      <c r="J21156" s="711"/>
      <c r="K21156" s="711"/>
      <c r="L21156" s="711"/>
      <c r="Q21156" s="11"/>
      <c r="R21156" s="11"/>
      <c r="S21156" s="11"/>
      <c r="T21156" s="11"/>
    </row>
    <row r="21157" spans="8:20" x14ac:dyDescent="0.35">
      <c r="H21157" s="711"/>
      <c r="I21157" s="711"/>
      <c r="J21157" s="711"/>
      <c r="K21157" s="711"/>
      <c r="L21157" s="711"/>
      <c r="Q21157" s="11"/>
      <c r="R21157" s="11"/>
      <c r="S21157" s="11"/>
      <c r="T21157" s="11"/>
    </row>
    <row r="21158" spans="8:20" x14ac:dyDescent="0.35">
      <c r="H21158" s="711"/>
      <c r="I21158" s="711"/>
      <c r="J21158" s="711"/>
      <c r="K21158" s="711"/>
      <c r="L21158" s="711"/>
      <c r="Q21158" s="11"/>
      <c r="R21158" s="11"/>
      <c r="S21158" s="11"/>
      <c r="T21158" s="11"/>
    </row>
    <row r="21159" spans="8:20" x14ac:dyDescent="0.35">
      <c r="H21159" s="711"/>
      <c r="I21159" s="711"/>
      <c r="J21159" s="711"/>
      <c r="K21159" s="711"/>
      <c r="L21159" s="711"/>
      <c r="Q21159" s="11"/>
      <c r="R21159" s="11"/>
      <c r="S21159" s="11"/>
      <c r="T21159" s="11"/>
    </row>
    <row r="21160" spans="8:20" x14ac:dyDescent="0.35">
      <c r="H21160" s="711"/>
      <c r="I21160" s="711"/>
      <c r="J21160" s="711"/>
      <c r="K21160" s="711"/>
      <c r="L21160" s="711"/>
      <c r="Q21160" s="11"/>
      <c r="R21160" s="11"/>
      <c r="S21160" s="11"/>
      <c r="T21160" s="11"/>
    </row>
    <row r="21161" spans="8:20" x14ac:dyDescent="0.35">
      <c r="H21161" s="711"/>
      <c r="I21161" s="711"/>
      <c r="J21161" s="711"/>
      <c r="K21161" s="711"/>
      <c r="L21161" s="711"/>
      <c r="Q21161" s="11"/>
      <c r="R21161" s="11"/>
      <c r="S21161" s="11"/>
      <c r="T21161" s="11"/>
    </row>
    <row r="21162" spans="8:20" x14ac:dyDescent="0.35">
      <c r="H21162" s="711"/>
      <c r="I21162" s="711"/>
      <c r="J21162" s="711"/>
      <c r="K21162" s="711"/>
      <c r="L21162" s="711"/>
      <c r="Q21162" s="11"/>
      <c r="R21162" s="11"/>
      <c r="S21162" s="11"/>
      <c r="T21162" s="11"/>
    </row>
    <row r="21163" spans="8:20" x14ac:dyDescent="0.35">
      <c r="H21163" s="711"/>
      <c r="I21163" s="711"/>
      <c r="J21163" s="711"/>
      <c r="K21163" s="711"/>
      <c r="L21163" s="711"/>
      <c r="Q21163" s="11"/>
      <c r="R21163" s="11"/>
      <c r="S21163" s="11"/>
      <c r="T21163" s="11"/>
    </row>
    <row r="21164" spans="8:20" x14ac:dyDescent="0.35">
      <c r="H21164" s="711"/>
      <c r="I21164" s="711"/>
      <c r="J21164" s="711"/>
      <c r="K21164" s="711"/>
      <c r="L21164" s="711"/>
      <c r="Q21164" s="11"/>
      <c r="R21164" s="11"/>
      <c r="S21164" s="11"/>
      <c r="T21164" s="11"/>
    </row>
    <row r="21165" spans="8:20" x14ac:dyDescent="0.35">
      <c r="H21165" s="711"/>
      <c r="I21165" s="711"/>
      <c r="J21165" s="711"/>
      <c r="K21165" s="711"/>
      <c r="L21165" s="711"/>
      <c r="Q21165" s="11"/>
      <c r="R21165" s="11"/>
      <c r="S21165" s="11"/>
      <c r="T21165" s="11"/>
    </row>
    <row r="21166" spans="8:20" x14ac:dyDescent="0.35">
      <c r="H21166" s="711"/>
      <c r="I21166" s="711"/>
      <c r="J21166" s="711"/>
      <c r="K21166" s="711"/>
      <c r="L21166" s="711"/>
      <c r="Q21166" s="11"/>
      <c r="R21166" s="11"/>
      <c r="S21166" s="11"/>
      <c r="T21166" s="11"/>
    </row>
    <row r="21167" spans="8:20" x14ac:dyDescent="0.35">
      <c r="H21167" s="711"/>
      <c r="I21167" s="711"/>
      <c r="J21167" s="711"/>
      <c r="K21167" s="711"/>
      <c r="L21167" s="711"/>
      <c r="Q21167" s="11"/>
      <c r="R21167" s="11"/>
      <c r="S21167" s="11"/>
      <c r="T21167" s="11"/>
    </row>
    <row r="21168" spans="8:20" x14ac:dyDescent="0.35">
      <c r="H21168" s="711"/>
      <c r="I21168" s="711"/>
      <c r="J21168" s="711"/>
      <c r="K21168" s="711"/>
      <c r="L21168" s="711"/>
      <c r="Q21168" s="11"/>
      <c r="R21168" s="11"/>
      <c r="S21168" s="11"/>
      <c r="T21168" s="11"/>
    </row>
    <row r="21169" spans="8:20" x14ac:dyDescent="0.35">
      <c r="H21169" s="711"/>
      <c r="I21169" s="711"/>
      <c r="J21169" s="711"/>
      <c r="K21169" s="711"/>
      <c r="L21169" s="711"/>
      <c r="Q21169" s="11"/>
      <c r="R21169" s="11"/>
      <c r="S21169" s="11"/>
      <c r="T21169" s="11"/>
    </row>
    <row r="21170" spans="8:20" x14ac:dyDescent="0.35">
      <c r="H21170" s="711"/>
      <c r="I21170" s="711"/>
      <c r="J21170" s="711"/>
      <c r="K21170" s="711"/>
      <c r="L21170" s="711"/>
      <c r="Q21170" s="11"/>
      <c r="R21170" s="11"/>
      <c r="S21170" s="11"/>
      <c r="T21170" s="11"/>
    </row>
    <row r="21171" spans="8:20" x14ac:dyDescent="0.35">
      <c r="H21171" s="711"/>
      <c r="I21171" s="711"/>
      <c r="J21171" s="711"/>
      <c r="K21171" s="711"/>
      <c r="L21171" s="711"/>
      <c r="Q21171" s="11"/>
      <c r="R21171" s="11"/>
      <c r="S21171" s="11"/>
      <c r="T21171" s="11"/>
    </row>
    <row r="21172" spans="8:20" x14ac:dyDescent="0.35">
      <c r="H21172" s="711"/>
      <c r="I21172" s="711"/>
      <c r="J21172" s="711"/>
      <c r="K21172" s="711"/>
      <c r="L21172" s="711"/>
      <c r="Q21172" s="11"/>
      <c r="R21172" s="11"/>
      <c r="S21172" s="11"/>
      <c r="T21172" s="11"/>
    </row>
    <row r="21173" spans="8:20" x14ac:dyDescent="0.35">
      <c r="H21173" s="711"/>
      <c r="I21173" s="711"/>
      <c r="J21173" s="711"/>
      <c r="K21173" s="711"/>
      <c r="L21173" s="711"/>
      <c r="Q21173" s="11"/>
      <c r="R21173" s="11"/>
      <c r="S21173" s="11"/>
      <c r="T21173" s="11"/>
    </row>
    <row r="21174" spans="8:20" x14ac:dyDescent="0.35">
      <c r="H21174" s="711"/>
      <c r="I21174" s="711"/>
      <c r="J21174" s="711"/>
      <c r="K21174" s="711"/>
      <c r="L21174" s="711"/>
      <c r="Q21174" s="11"/>
      <c r="R21174" s="11"/>
      <c r="S21174" s="11"/>
      <c r="T21174" s="11"/>
    </row>
    <row r="21175" spans="8:20" x14ac:dyDescent="0.35">
      <c r="H21175" s="711"/>
      <c r="I21175" s="711"/>
      <c r="J21175" s="711"/>
      <c r="K21175" s="711"/>
      <c r="L21175" s="711"/>
      <c r="Q21175" s="11"/>
      <c r="R21175" s="11"/>
      <c r="S21175" s="11"/>
      <c r="T21175" s="11"/>
    </row>
    <row r="21176" spans="8:20" x14ac:dyDescent="0.35">
      <c r="H21176" s="711"/>
      <c r="I21176" s="711"/>
      <c r="J21176" s="711"/>
      <c r="K21176" s="711"/>
      <c r="L21176" s="711"/>
      <c r="Q21176" s="11"/>
      <c r="R21176" s="11"/>
      <c r="S21176" s="11"/>
      <c r="T21176" s="11"/>
    </row>
    <row r="21177" spans="8:20" x14ac:dyDescent="0.35">
      <c r="H21177" s="711"/>
      <c r="I21177" s="711"/>
      <c r="J21177" s="711"/>
      <c r="K21177" s="711"/>
      <c r="L21177" s="711"/>
      <c r="Q21177" s="11"/>
      <c r="R21177" s="11"/>
      <c r="S21177" s="11"/>
      <c r="T21177" s="11"/>
    </row>
    <row r="21178" spans="8:20" x14ac:dyDescent="0.35">
      <c r="H21178" s="711"/>
      <c r="I21178" s="711"/>
      <c r="J21178" s="711"/>
      <c r="K21178" s="711"/>
      <c r="L21178" s="711"/>
      <c r="Q21178" s="11"/>
      <c r="R21178" s="11"/>
      <c r="S21178" s="11"/>
      <c r="T21178" s="11"/>
    </row>
    <row r="21179" spans="8:20" x14ac:dyDescent="0.35">
      <c r="H21179" s="711"/>
      <c r="I21179" s="711"/>
      <c r="J21179" s="711"/>
      <c r="K21179" s="711"/>
      <c r="L21179" s="711"/>
      <c r="Q21179" s="11"/>
      <c r="R21179" s="11"/>
      <c r="S21179" s="11"/>
      <c r="T21179" s="11"/>
    </row>
    <row r="21180" spans="8:20" x14ac:dyDescent="0.35">
      <c r="H21180" s="711"/>
      <c r="I21180" s="711"/>
      <c r="J21180" s="711"/>
      <c r="K21180" s="711"/>
      <c r="L21180" s="711"/>
      <c r="Q21180" s="11"/>
      <c r="R21180" s="11"/>
      <c r="S21180" s="11"/>
      <c r="T21180" s="11"/>
    </row>
    <row r="21181" spans="8:20" x14ac:dyDescent="0.35">
      <c r="H21181" s="711"/>
      <c r="I21181" s="711"/>
      <c r="J21181" s="711"/>
      <c r="K21181" s="711"/>
      <c r="L21181" s="711"/>
      <c r="Q21181" s="11"/>
      <c r="R21181" s="11"/>
      <c r="S21181" s="11"/>
      <c r="T21181" s="11"/>
    </row>
    <row r="21182" spans="8:20" x14ac:dyDescent="0.35">
      <c r="H21182" s="711"/>
      <c r="I21182" s="711"/>
      <c r="J21182" s="711"/>
      <c r="K21182" s="711"/>
      <c r="L21182" s="711"/>
      <c r="Q21182" s="11"/>
      <c r="R21182" s="11"/>
      <c r="S21182" s="11"/>
      <c r="T21182" s="11"/>
    </row>
    <row r="21183" spans="8:20" x14ac:dyDescent="0.35">
      <c r="H21183" s="711"/>
      <c r="I21183" s="711"/>
      <c r="J21183" s="711"/>
      <c r="K21183" s="711"/>
      <c r="L21183" s="711"/>
      <c r="Q21183" s="11"/>
      <c r="R21183" s="11"/>
      <c r="S21183" s="11"/>
      <c r="T21183" s="11"/>
    </row>
    <row r="21184" spans="8:20" x14ac:dyDescent="0.35">
      <c r="H21184" s="711"/>
      <c r="I21184" s="711"/>
      <c r="J21184" s="711"/>
      <c r="K21184" s="711"/>
      <c r="L21184" s="711"/>
      <c r="Q21184" s="11"/>
      <c r="R21184" s="11"/>
      <c r="S21184" s="11"/>
      <c r="T21184" s="11"/>
    </row>
    <row r="21185" spans="8:20" x14ac:dyDescent="0.35">
      <c r="H21185" s="711"/>
      <c r="I21185" s="711"/>
      <c r="J21185" s="711"/>
      <c r="K21185" s="711"/>
      <c r="L21185" s="711"/>
      <c r="Q21185" s="11"/>
      <c r="R21185" s="11"/>
      <c r="S21185" s="11"/>
      <c r="T21185" s="11"/>
    </row>
    <row r="21186" spans="8:20" x14ac:dyDescent="0.35">
      <c r="H21186" s="711"/>
      <c r="I21186" s="711"/>
      <c r="J21186" s="711"/>
      <c r="K21186" s="711"/>
      <c r="L21186" s="711"/>
      <c r="Q21186" s="11"/>
      <c r="R21186" s="11"/>
      <c r="S21186" s="11"/>
      <c r="T21186" s="11"/>
    </row>
    <row r="21187" spans="8:20" x14ac:dyDescent="0.35">
      <c r="H21187" s="711"/>
      <c r="I21187" s="711"/>
      <c r="J21187" s="711"/>
      <c r="K21187" s="711"/>
      <c r="L21187" s="711"/>
      <c r="Q21187" s="11"/>
      <c r="R21187" s="11"/>
      <c r="S21187" s="11"/>
      <c r="T21187" s="11"/>
    </row>
    <row r="21188" spans="8:20" x14ac:dyDescent="0.35">
      <c r="H21188" s="711"/>
      <c r="I21188" s="711"/>
      <c r="J21188" s="711"/>
      <c r="K21188" s="711"/>
      <c r="L21188" s="711"/>
      <c r="Q21188" s="11"/>
      <c r="R21188" s="11"/>
      <c r="S21188" s="11"/>
      <c r="T21188" s="11"/>
    </row>
    <row r="21189" spans="8:20" x14ac:dyDescent="0.35">
      <c r="H21189" s="711"/>
      <c r="I21189" s="711"/>
      <c r="J21189" s="711"/>
      <c r="K21189" s="711"/>
      <c r="L21189" s="711"/>
      <c r="Q21189" s="11"/>
      <c r="R21189" s="11"/>
      <c r="S21189" s="11"/>
      <c r="T21189" s="11"/>
    </row>
    <row r="21190" spans="8:20" x14ac:dyDescent="0.35">
      <c r="H21190" s="711"/>
      <c r="I21190" s="711"/>
      <c r="J21190" s="711"/>
      <c r="K21190" s="711"/>
      <c r="L21190" s="711"/>
      <c r="Q21190" s="11"/>
      <c r="R21190" s="11"/>
      <c r="S21190" s="11"/>
      <c r="T21190" s="11"/>
    </row>
    <row r="21191" spans="8:20" x14ac:dyDescent="0.35">
      <c r="H21191" s="711"/>
      <c r="I21191" s="711"/>
      <c r="J21191" s="711"/>
      <c r="K21191" s="711"/>
      <c r="L21191" s="711"/>
      <c r="Q21191" s="11"/>
      <c r="R21191" s="11"/>
      <c r="S21191" s="11"/>
      <c r="T21191" s="11"/>
    </row>
    <row r="21192" spans="8:20" x14ac:dyDescent="0.35">
      <c r="H21192" s="711"/>
      <c r="I21192" s="711"/>
      <c r="J21192" s="711"/>
      <c r="K21192" s="711"/>
      <c r="L21192" s="711"/>
      <c r="Q21192" s="11"/>
      <c r="R21192" s="11"/>
      <c r="S21192" s="11"/>
      <c r="T21192" s="11"/>
    </row>
    <row r="21193" spans="8:20" x14ac:dyDescent="0.35">
      <c r="H21193" s="711"/>
      <c r="I21193" s="711"/>
      <c r="J21193" s="711"/>
      <c r="K21193" s="711"/>
      <c r="L21193" s="711"/>
      <c r="Q21193" s="11"/>
      <c r="R21193" s="11"/>
      <c r="S21193" s="11"/>
      <c r="T21193" s="11"/>
    </row>
    <row r="21194" spans="8:20" x14ac:dyDescent="0.35">
      <c r="H21194" s="711"/>
      <c r="I21194" s="711"/>
      <c r="J21194" s="711"/>
      <c r="K21194" s="711"/>
      <c r="L21194" s="711"/>
      <c r="Q21194" s="11"/>
      <c r="R21194" s="11"/>
      <c r="S21194" s="11"/>
      <c r="T21194" s="11"/>
    </row>
    <row r="21195" spans="8:20" x14ac:dyDescent="0.35">
      <c r="H21195" s="711"/>
      <c r="I21195" s="711"/>
      <c r="J21195" s="711"/>
      <c r="K21195" s="711"/>
      <c r="L21195" s="711"/>
      <c r="Q21195" s="11"/>
      <c r="R21195" s="11"/>
      <c r="S21195" s="11"/>
      <c r="T21195" s="11"/>
    </row>
    <row r="21196" spans="8:20" x14ac:dyDescent="0.35">
      <c r="H21196" s="711"/>
      <c r="I21196" s="711"/>
      <c r="J21196" s="711"/>
      <c r="K21196" s="711"/>
      <c r="L21196" s="711"/>
      <c r="Q21196" s="11"/>
      <c r="R21196" s="11"/>
      <c r="S21196" s="11"/>
      <c r="T21196" s="11"/>
    </row>
    <row r="21197" spans="8:20" x14ac:dyDescent="0.35">
      <c r="H21197" s="711"/>
      <c r="I21197" s="711"/>
      <c r="J21197" s="711"/>
      <c r="K21197" s="711"/>
      <c r="L21197" s="711"/>
      <c r="Q21197" s="11"/>
      <c r="R21197" s="11"/>
      <c r="S21197" s="11"/>
      <c r="T21197" s="11"/>
    </row>
    <row r="21198" spans="8:20" x14ac:dyDescent="0.35">
      <c r="H21198" s="711"/>
      <c r="I21198" s="711"/>
      <c r="J21198" s="711"/>
      <c r="K21198" s="711"/>
      <c r="L21198" s="711"/>
      <c r="Q21198" s="11"/>
      <c r="R21198" s="11"/>
      <c r="S21198" s="11"/>
      <c r="T21198" s="11"/>
    </row>
    <row r="21199" spans="8:20" x14ac:dyDescent="0.35">
      <c r="H21199" s="711"/>
      <c r="I21199" s="711"/>
      <c r="J21199" s="711"/>
      <c r="K21199" s="711"/>
      <c r="L21199" s="711"/>
      <c r="Q21199" s="11"/>
      <c r="R21199" s="11"/>
      <c r="S21199" s="11"/>
      <c r="T21199" s="11"/>
    </row>
    <row r="21200" spans="8:20" x14ac:dyDescent="0.35">
      <c r="H21200" s="711"/>
      <c r="I21200" s="711"/>
      <c r="J21200" s="711"/>
      <c r="K21200" s="711"/>
      <c r="L21200" s="711"/>
      <c r="Q21200" s="11"/>
      <c r="R21200" s="11"/>
      <c r="S21200" s="11"/>
      <c r="T21200" s="11"/>
    </row>
    <row r="21201" spans="8:20" x14ac:dyDescent="0.35">
      <c r="H21201" s="711"/>
      <c r="I21201" s="711"/>
      <c r="J21201" s="711"/>
      <c r="K21201" s="711"/>
      <c r="L21201" s="711"/>
      <c r="Q21201" s="11"/>
      <c r="R21201" s="11"/>
      <c r="S21201" s="11"/>
      <c r="T21201" s="11"/>
    </row>
    <row r="21202" spans="8:20" x14ac:dyDescent="0.35">
      <c r="H21202" s="711"/>
      <c r="I21202" s="711"/>
      <c r="J21202" s="711"/>
      <c r="K21202" s="711"/>
      <c r="L21202" s="711"/>
      <c r="Q21202" s="11"/>
      <c r="R21202" s="11"/>
      <c r="S21202" s="11"/>
      <c r="T21202" s="11"/>
    </row>
    <row r="21203" spans="8:20" x14ac:dyDescent="0.35">
      <c r="H21203" s="711"/>
      <c r="I21203" s="711"/>
      <c r="J21203" s="711"/>
      <c r="K21203" s="711"/>
      <c r="L21203" s="711"/>
      <c r="Q21203" s="11"/>
      <c r="R21203" s="11"/>
      <c r="S21203" s="11"/>
      <c r="T21203" s="11"/>
    </row>
    <row r="21204" spans="8:20" x14ac:dyDescent="0.35">
      <c r="H21204" s="711"/>
      <c r="I21204" s="711"/>
      <c r="J21204" s="711"/>
      <c r="K21204" s="711"/>
      <c r="L21204" s="711"/>
      <c r="Q21204" s="11"/>
      <c r="R21204" s="11"/>
      <c r="S21204" s="11"/>
      <c r="T21204" s="11"/>
    </row>
    <row r="21205" spans="8:20" x14ac:dyDescent="0.35">
      <c r="H21205" s="711"/>
      <c r="I21205" s="711"/>
      <c r="J21205" s="711"/>
      <c r="K21205" s="711"/>
      <c r="L21205" s="711"/>
      <c r="Q21205" s="11"/>
      <c r="R21205" s="11"/>
      <c r="S21205" s="11"/>
      <c r="T21205" s="11"/>
    </row>
    <row r="21206" spans="8:20" x14ac:dyDescent="0.35">
      <c r="H21206" s="711"/>
      <c r="I21206" s="711"/>
      <c r="J21206" s="711"/>
      <c r="K21206" s="711"/>
      <c r="L21206" s="711"/>
      <c r="Q21206" s="11"/>
      <c r="R21206" s="11"/>
      <c r="S21206" s="11"/>
      <c r="T21206" s="11"/>
    </row>
    <row r="21207" spans="8:20" x14ac:dyDescent="0.35">
      <c r="H21207" s="711"/>
      <c r="I21207" s="711"/>
      <c r="J21207" s="711"/>
      <c r="K21207" s="711"/>
      <c r="L21207" s="711"/>
      <c r="Q21207" s="11"/>
      <c r="R21207" s="11"/>
      <c r="S21207" s="11"/>
      <c r="T21207" s="11"/>
    </row>
    <row r="21208" spans="8:20" x14ac:dyDescent="0.35">
      <c r="H21208" s="711"/>
      <c r="I21208" s="711"/>
      <c r="J21208" s="711"/>
      <c r="K21208" s="711"/>
      <c r="L21208" s="711"/>
      <c r="Q21208" s="11"/>
      <c r="R21208" s="11"/>
      <c r="S21208" s="11"/>
      <c r="T21208" s="11"/>
    </row>
    <row r="21209" spans="8:20" x14ac:dyDescent="0.35">
      <c r="H21209" s="711"/>
      <c r="I21209" s="711"/>
      <c r="J21209" s="711"/>
      <c r="K21209" s="711"/>
      <c r="L21209" s="711"/>
      <c r="Q21209" s="11"/>
      <c r="R21209" s="11"/>
      <c r="S21209" s="11"/>
      <c r="T21209" s="11"/>
    </row>
    <row r="21210" spans="8:20" x14ac:dyDescent="0.35">
      <c r="H21210" s="711"/>
      <c r="I21210" s="711"/>
      <c r="J21210" s="711"/>
      <c r="K21210" s="711"/>
      <c r="L21210" s="711"/>
      <c r="Q21210" s="11"/>
      <c r="R21210" s="11"/>
      <c r="S21210" s="11"/>
      <c r="T21210" s="11"/>
    </row>
    <row r="21211" spans="8:20" x14ac:dyDescent="0.35">
      <c r="H21211" s="711"/>
      <c r="I21211" s="711"/>
      <c r="J21211" s="711"/>
      <c r="K21211" s="711"/>
      <c r="L21211" s="711"/>
      <c r="Q21211" s="11"/>
      <c r="R21211" s="11"/>
      <c r="S21211" s="11"/>
      <c r="T21211" s="11"/>
    </row>
    <row r="21212" spans="8:20" x14ac:dyDescent="0.35">
      <c r="H21212" s="711"/>
      <c r="I21212" s="711"/>
      <c r="J21212" s="711"/>
      <c r="K21212" s="711"/>
      <c r="L21212" s="711"/>
      <c r="Q21212" s="11"/>
      <c r="R21212" s="11"/>
      <c r="S21212" s="11"/>
      <c r="T21212" s="11"/>
    </row>
    <row r="21213" spans="8:20" x14ac:dyDescent="0.35">
      <c r="H21213" s="711"/>
      <c r="I21213" s="711"/>
      <c r="J21213" s="711"/>
      <c r="K21213" s="711"/>
      <c r="L21213" s="711"/>
      <c r="Q21213" s="11"/>
      <c r="R21213" s="11"/>
      <c r="S21213" s="11"/>
      <c r="T21213" s="11"/>
    </row>
    <row r="21214" spans="8:20" x14ac:dyDescent="0.35">
      <c r="H21214" s="711"/>
      <c r="I21214" s="711"/>
      <c r="J21214" s="711"/>
      <c r="K21214" s="711"/>
      <c r="L21214" s="711"/>
      <c r="Q21214" s="11"/>
      <c r="R21214" s="11"/>
      <c r="S21214" s="11"/>
      <c r="T21214" s="11"/>
    </row>
    <row r="21215" spans="8:20" x14ac:dyDescent="0.35">
      <c r="H21215" s="711"/>
      <c r="I21215" s="711"/>
      <c r="J21215" s="711"/>
      <c r="K21215" s="711"/>
      <c r="L21215" s="711"/>
      <c r="Q21215" s="11"/>
      <c r="R21215" s="11"/>
      <c r="S21215" s="11"/>
      <c r="T21215" s="11"/>
    </row>
    <row r="21216" spans="8:20" x14ac:dyDescent="0.35">
      <c r="H21216" s="711"/>
      <c r="I21216" s="711"/>
      <c r="J21216" s="711"/>
      <c r="K21216" s="711"/>
      <c r="L21216" s="711"/>
      <c r="Q21216" s="11"/>
      <c r="R21216" s="11"/>
      <c r="S21216" s="11"/>
      <c r="T21216" s="11"/>
    </row>
    <row r="21217" spans="8:20" x14ac:dyDescent="0.35">
      <c r="H21217" s="711"/>
      <c r="I21217" s="711"/>
      <c r="J21217" s="711"/>
      <c r="K21217" s="711"/>
      <c r="L21217" s="711"/>
      <c r="Q21217" s="11"/>
      <c r="R21217" s="11"/>
      <c r="S21217" s="11"/>
      <c r="T21217" s="11"/>
    </row>
    <row r="21218" spans="8:20" x14ac:dyDescent="0.35">
      <c r="H21218" s="711"/>
      <c r="I21218" s="711"/>
      <c r="J21218" s="711"/>
      <c r="K21218" s="711"/>
      <c r="L21218" s="711"/>
      <c r="Q21218" s="11"/>
      <c r="R21218" s="11"/>
      <c r="S21218" s="11"/>
      <c r="T21218" s="11"/>
    </row>
    <row r="21219" spans="8:20" x14ac:dyDescent="0.35">
      <c r="H21219" s="711"/>
      <c r="I21219" s="711"/>
      <c r="J21219" s="711"/>
      <c r="K21219" s="711"/>
      <c r="L21219" s="711"/>
      <c r="Q21219" s="11"/>
      <c r="R21219" s="11"/>
      <c r="S21219" s="11"/>
      <c r="T21219" s="11"/>
    </row>
    <row r="21220" spans="8:20" x14ac:dyDescent="0.35">
      <c r="H21220" s="711"/>
      <c r="I21220" s="711"/>
      <c r="J21220" s="711"/>
      <c r="K21220" s="711"/>
      <c r="L21220" s="711"/>
      <c r="Q21220" s="11"/>
      <c r="R21220" s="11"/>
      <c r="S21220" s="11"/>
      <c r="T21220" s="11"/>
    </row>
    <row r="21221" spans="8:20" x14ac:dyDescent="0.35">
      <c r="H21221" s="711"/>
      <c r="I21221" s="711"/>
      <c r="J21221" s="711"/>
      <c r="K21221" s="711"/>
      <c r="L21221" s="711"/>
      <c r="Q21221" s="11"/>
      <c r="R21221" s="11"/>
      <c r="S21221" s="11"/>
      <c r="T21221" s="11"/>
    </row>
    <row r="21222" spans="8:20" x14ac:dyDescent="0.35">
      <c r="H21222" s="711"/>
      <c r="I21222" s="711"/>
      <c r="J21222" s="711"/>
      <c r="K21222" s="711"/>
      <c r="L21222" s="711"/>
      <c r="Q21222" s="11"/>
      <c r="R21222" s="11"/>
      <c r="S21222" s="11"/>
      <c r="T21222" s="11"/>
    </row>
    <row r="21223" spans="8:20" x14ac:dyDescent="0.35">
      <c r="H21223" s="711"/>
      <c r="I21223" s="711"/>
      <c r="J21223" s="711"/>
      <c r="K21223" s="711"/>
      <c r="L21223" s="711"/>
      <c r="Q21223" s="11"/>
      <c r="R21223" s="11"/>
      <c r="S21223" s="11"/>
      <c r="T21223" s="11"/>
    </row>
    <row r="21224" spans="8:20" x14ac:dyDescent="0.35">
      <c r="H21224" s="711"/>
      <c r="I21224" s="711"/>
      <c r="J21224" s="711"/>
      <c r="K21224" s="711"/>
      <c r="L21224" s="711"/>
      <c r="Q21224" s="11"/>
      <c r="R21224" s="11"/>
      <c r="S21224" s="11"/>
      <c r="T21224" s="11"/>
    </row>
    <row r="21225" spans="8:20" x14ac:dyDescent="0.35">
      <c r="H21225" s="711"/>
      <c r="I21225" s="711"/>
      <c r="J21225" s="711"/>
      <c r="K21225" s="711"/>
      <c r="L21225" s="711"/>
      <c r="Q21225" s="11"/>
      <c r="R21225" s="11"/>
      <c r="S21225" s="11"/>
      <c r="T21225" s="11"/>
    </row>
    <row r="21226" spans="8:20" x14ac:dyDescent="0.35">
      <c r="H21226" s="711"/>
      <c r="I21226" s="711"/>
      <c r="J21226" s="711"/>
      <c r="K21226" s="711"/>
      <c r="L21226" s="711"/>
      <c r="Q21226" s="11"/>
      <c r="R21226" s="11"/>
      <c r="S21226" s="11"/>
      <c r="T21226" s="11"/>
    </row>
    <row r="21227" spans="8:20" x14ac:dyDescent="0.35">
      <c r="H21227" s="711"/>
      <c r="I21227" s="711"/>
      <c r="J21227" s="711"/>
      <c r="K21227" s="711"/>
      <c r="L21227" s="711"/>
      <c r="Q21227" s="11"/>
      <c r="R21227" s="11"/>
      <c r="S21227" s="11"/>
      <c r="T21227" s="11"/>
    </row>
    <row r="21228" spans="8:20" x14ac:dyDescent="0.35">
      <c r="H21228" s="711"/>
      <c r="I21228" s="711"/>
      <c r="J21228" s="711"/>
      <c r="K21228" s="711"/>
      <c r="L21228" s="711"/>
      <c r="Q21228" s="11"/>
      <c r="R21228" s="11"/>
      <c r="S21228" s="11"/>
      <c r="T21228" s="11"/>
    </row>
    <row r="21229" spans="8:20" x14ac:dyDescent="0.35">
      <c r="H21229" s="711"/>
      <c r="I21229" s="711"/>
      <c r="J21229" s="711"/>
      <c r="K21229" s="711"/>
      <c r="L21229" s="711"/>
      <c r="Q21229" s="11"/>
      <c r="R21229" s="11"/>
      <c r="S21229" s="11"/>
      <c r="T21229" s="11"/>
    </row>
    <row r="21230" spans="8:20" x14ac:dyDescent="0.35">
      <c r="H21230" s="711"/>
      <c r="I21230" s="711"/>
      <c r="J21230" s="711"/>
      <c r="K21230" s="711"/>
      <c r="L21230" s="711"/>
      <c r="Q21230" s="11"/>
      <c r="R21230" s="11"/>
      <c r="S21230" s="11"/>
      <c r="T21230" s="11"/>
    </row>
    <row r="21231" spans="8:20" x14ac:dyDescent="0.35">
      <c r="H21231" s="711"/>
      <c r="I21231" s="711"/>
      <c r="J21231" s="711"/>
      <c r="K21231" s="711"/>
      <c r="L21231" s="711"/>
      <c r="Q21231" s="11"/>
      <c r="R21231" s="11"/>
      <c r="S21231" s="11"/>
      <c r="T21231" s="11"/>
    </row>
    <row r="21232" spans="8:20" x14ac:dyDescent="0.35">
      <c r="H21232" s="711"/>
      <c r="I21232" s="711"/>
      <c r="J21232" s="711"/>
      <c r="K21232" s="711"/>
      <c r="L21232" s="711"/>
      <c r="Q21232" s="11"/>
      <c r="R21232" s="11"/>
      <c r="S21232" s="11"/>
      <c r="T21232" s="11"/>
    </row>
    <row r="21233" spans="8:20" x14ac:dyDescent="0.35">
      <c r="H21233" s="711"/>
      <c r="I21233" s="711"/>
      <c r="J21233" s="711"/>
      <c r="K21233" s="711"/>
      <c r="L21233" s="711"/>
      <c r="Q21233" s="11"/>
      <c r="R21233" s="11"/>
      <c r="S21233" s="11"/>
      <c r="T21233" s="11"/>
    </row>
    <row r="21234" spans="8:20" x14ac:dyDescent="0.35">
      <c r="H21234" s="711"/>
      <c r="I21234" s="711"/>
      <c r="J21234" s="711"/>
      <c r="K21234" s="711"/>
      <c r="L21234" s="711"/>
      <c r="Q21234" s="11"/>
      <c r="R21234" s="11"/>
      <c r="S21234" s="11"/>
      <c r="T21234" s="11"/>
    </row>
    <row r="21235" spans="8:20" x14ac:dyDescent="0.35">
      <c r="H21235" s="711"/>
      <c r="I21235" s="711"/>
      <c r="J21235" s="711"/>
      <c r="K21235" s="711"/>
      <c r="L21235" s="711"/>
      <c r="Q21235" s="11"/>
      <c r="R21235" s="11"/>
      <c r="S21235" s="11"/>
      <c r="T21235" s="11"/>
    </row>
    <row r="21236" spans="8:20" x14ac:dyDescent="0.35">
      <c r="H21236" s="711"/>
      <c r="I21236" s="711"/>
      <c r="J21236" s="711"/>
      <c r="K21236" s="711"/>
      <c r="L21236" s="711"/>
      <c r="Q21236" s="11"/>
      <c r="R21236" s="11"/>
      <c r="S21236" s="11"/>
      <c r="T21236" s="11"/>
    </row>
    <row r="21237" spans="8:20" x14ac:dyDescent="0.35">
      <c r="H21237" s="711"/>
      <c r="I21237" s="711"/>
      <c r="J21237" s="711"/>
      <c r="K21237" s="711"/>
      <c r="L21237" s="711"/>
      <c r="Q21237" s="11"/>
      <c r="R21237" s="11"/>
      <c r="S21237" s="11"/>
      <c r="T21237" s="11"/>
    </row>
    <row r="21238" spans="8:20" x14ac:dyDescent="0.35">
      <c r="H21238" s="711"/>
      <c r="I21238" s="711"/>
      <c r="J21238" s="711"/>
      <c r="K21238" s="711"/>
      <c r="L21238" s="711"/>
      <c r="Q21238" s="11"/>
      <c r="R21238" s="11"/>
      <c r="S21238" s="11"/>
      <c r="T21238" s="11"/>
    </row>
    <row r="21239" spans="8:20" x14ac:dyDescent="0.35">
      <c r="H21239" s="711"/>
      <c r="I21239" s="711"/>
      <c r="J21239" s="711"/>
      <c r="K21239" s="711"/>
      <c r="L21239" s="711"/>
      <c r="Q21239" s="11"/>
      <c r="R21239" s="11"/>
      <c r="S21239" s="11"/>
      <c r="T21239" s="11"/>
    </row>
    <row r="21240" spans="8:20" x14ac:dyDescent="0.35">
      <c r="H21240" s="711"/>
      <c r="I21240" s="711"/>
      <c r="J21240" s="711"/>
      <c r="K21240" s="711"/>
      <c r="L21240" s="711"/>
      <c r="Q21240" s="11"/>
      <c r="R21240" s="11"/>
      <c r="S21240" s="11"/>
      <c r="T21240" s="11"/>
    </row>
    <row r="21241" spans="8:20" x14ac:dyDescent="0.35">
      <c r="H21241" s="711"/>
      <c r="I21241" s="711"/>
      <c r="J21241" s="711"/>
      <c r="K21241" s="711"/>
      <c r="L21241" s="711"/>
      <c r="Q21241" s="11"/>
      <c r="R21241" s="11"/>
      <c r="S21241" s="11"/>
      <c r="T21241" s="11"/>
    </row>
    <row r="21242" spans="8:20" x14ac:dyDescent="0.35">
      <c r="H21242" s="711"/>
      <c r="I21242" s="711"/>
      <c r="J21242" s="711"/>
      <c r="K21242" s="711"/>
      <c r="L21242" s="711"/>
      <c r="Q21242" s="11"/>
      <c r="R21242" s="11"/>
      <c r="S21242" s="11"/>
      <c r="T21242" s="11"/>
    </row>
    <row r="21243" spans="8:20" x14ac:dyDescent="0.35">
      <c r="H21243" s="711"/>
      <c r="I21243" s="711"/>
      <c r="J21243" s="711"/>
      <c r="K21243" s="711"/>
      <c r="L21243" s="711"/>
      <c r="Q21243" s="11"/>
      <c r="R21243" s="11"/>
      <c r="S21243" s="11"/>
      <c r="T21243" s="11"/>
    </row>
    <row r="21244" spans="8:20" x14ac:dyDescent="0.35">
      <c r="H21244" s="711"/>
      <c r="I21244" s="711"/>
      <c r="J21244" s="711"/>
      <c r="K21244" s="711"/>
      <c r="L21244" s="711"/>
      <c r="Q21244" s="11"/>
      <c r="R21244" s="11"/>
      <c r="S21244" s="11"/>
      <c r="T21244" s="11"/>
    </row>
    <row r="21245" spans="8:20" x14ac:dyDescent="0.35">
      <c r="H21245" s="711"/>
      <c r="I21245" s="711"/>
      <c r="J21245" s="711"/>
      <c r="K21245" s="711"/>
      <c r="L21245" s="711"/>
      <c r="Q21245" s="11"/>
      <c r="R21245" s="11"/>
      <c r="S21245" s="11"/>
      <c r="T21245" s="11"/>
    </row>
    <row r="21246" spans="8:20" x14ac:dyDescent="0.35">
      <c r="H21246" s="711"/>
      <c r="I21246" s="711"/>
      <c r="J21246" s="711"/>
      <c r="K21246" s="711"/>
      <c r="L21246" s="711"/>
      <c r="Q21246" s="11"/>
      <c r="R21246" s="11"/>
      <c r="S21246" s="11"/>
      <c r="T21246" s="11"/>
    </row>
    <row r="21247" spans="8:20" x14ac:dyDescent="0.35">
      <c r="H21247" s="711"/>
      <c r="I21247" s="711"/>
      <c r="J21247" s="711"/>
      <c r="K21247" s="711"/>
      <c r="L21247" s="711"/>
      <c r="Q21247" s="11"/>
      <c r="R21247" s="11"/>
      <c r="S21247" s="11"/>
      <c r="T21247" s="11"/>
    </row>
    <row r="21248" spans="8:20" x14ac:dyDescent="0.35">
      <c r="H21248" s="711"/>
      <c r="I21248" s="711"/>
      <c r="J21248" s="711"/>
      <c r="K21248" s="711"/>
      <c r="L21248" s="711"/>
      <c r="Q21248" s="11"/>
      <c r="R21248" s="11"/>
      <c r="S21248" s="11"/>
      <c r="T21248" s="11"/>
    </row>
    <row r="21249" spans="8:20" x14ac:dyDescent="0.35">
      <c r="H21249" s="711"/>
      <c r="I21249" s="711"/>
      <c r="J21249" s="711"/>
      <c r="K21249" s="711"/>
      <c r="L21249" s="711"/>
      <c r="Q21249" s="11"/>
      <c r="R21249" s="11"/>
      <c r="S21249" s="11"/>
      <c r="T21249" s="11"/>
    </row>
    <row r="21250" spans="8:20" x14ac:dyDescent="0.35">
      <c r="H21250" s="711"/>
      <c r="I21250" s="711"/>
      <c r="J21250" s="711"/>
      <c r="K21250" s="711"/>
      <c r="L21250" s="711"/>
      <c r="Q21250" s="11"/>
      <c r="R21250" s="11"/>
      <c r="S21250" s="11"/>
      <c r="T21250" s="11"/>
    </row>
    <row r="21251" spans="8:20" x14ac:dyDescent="0.35">
      <c r="H21251" s="711"/>
      <c r="I21251" s="711"/>
      <c r="J21251" s="711"/>
      <c r="K21251" s="711"/>
      <c r="L21251" s="711"/>
      <c r="Q21251" s="11"/>
      <c r="R21251" s="11"/>
      <c r="S21251" s="11"/>
      <c r="T21251" s="11"/>
    </row>
    <row r="21252" spans="8:20" x14ac:dyDescent="0.35">
      <c r="H21252" s="711"/>
      <c r="I21252" s="711"/>
      <c r="J21252" s="711"/>
      <c r="K21252" s="711"/>
      <c r="L21252" s="711"/>
      <c r="Q21252" s="11"/>
      <c r="R21252" s="11"/>
      <c r="S21252" s="11"/>
      <c r="T21252" s="11"/>
    </row>
    <row r="21253" spans="8:20" x14ac:dyDescent="0.35">
      <c r="H21253" s="711"/>
      <c r="I21253" s="711"/>
      <c r="J21253" s="711"/>
      <c r="K21253" s="711"/>
      <c r="L21253" s="711"/>
      <c r="Q21253" s="11"/>
      <c r="R21253" s="11"/>
      <c r="S21253" s="11"/>
      <c r="T21253" s="11"/>
    </row>
    <row r="21254" spans="8:20" x14ac:dyDescent="0.35">
      <c r="H21254" s="711"/>
      <c r="I21254" s="711"/>
      <c r="J21254" s="711"/>
      <c r="K21254" s="711"/>
      <c r="L21254" s="711"/>
      <c r="Q21254" s="11"/>
      <c r="R21254" s="11"/>
      <c r="S21254" s="11"/>
      <c r="T21254" s="11"/>
    </row>
    <row r="21255" spans="8:20" x14ac:dyDescent="0.35">
      <c r="H21255" s="711"/>
      <c r="I21255" s="711"/>
      <c r="J21255" s="711"/>
      <c r="K21255" s="711"/>
      <c r="L21255" s="711"/>
      <c r="Q21255" s="11"/>
      <c r="R21255" s="11"/>
      <c r="S21255" s="11"/>
      <c r="T21255" s="11"/>
    </row>
    <row r="21256" spans="8:20" x14ac:dyDescent="0.35">
      <c r="H21256" s="711"/>
      <c r="I21256" s="711"/>
      <c r="J21256" s="711"/>
      <c r="K21256" s="711"/>
      <c r="L21256" s="711"/>
      <c r="Q21256" s="11"/>
      <c r="R21256" s="11"/>
      <c r="S21256" s="11"/>
      <c r="T21256" s="11"/>
    </row>
    <row r="21257" spans="8:20" x14ac:dyDescent="0.35">
      <c r="H21257" s="711"/>
      <c r="I21257" s="711"/>
      <c r="J21257" s="711"/>
      <c r="K21257" s="711"/>
      <c r="L21257" s="711"/>
      <c r="Q21257" s="11"/>
      <c r="R21257" s="11"/>
      <c r="S21257" s="11"/>
      <c r="T21257" s="11"/>
    </row>
    <row r="21258" spans="8:20" x14ac:dyDescent="0.35">
      <c r="H21258" s="711"/>
      <c r="I21258" s="711"/>
      <c r="J21258" s="711"/>
      <c r="K21258" s="711"/>
      <c r="L21258" s="711"/>
      <c r="Q21258" s="11"/>
      <c r="R21258" s="11"/>
      <c r="S21258" s="11"/>
      <c r="T21258" s="11"/>
    </row>
    <row r="21259" spans="8:20" x14ac:dyDescent="0.35">
      <c r="H21259" s="711"/>
      <c r="I21259" s="711"/>
      <c r="J21259" s="711"/>
      <c r="K21259" s="711"/>
      <c r="L21259" s="711"/>
      <c r="Q21259" s="11"/>
      <c r="R21259" s="11"/>
      <c r="S21259" s="11"/>
      <c r="T21259" s="11"/>
    </row>
    <row r="21260" spans="8:20" x14ac:dyDescent="0.35">
      <c r="H21260" s="711"/>
      <c r="I21260" s="711"/>
      <c r="J21260" s="711"/>
      <c r="K21260" s="711"/>
      <c r="L21260" s="711"/>
      <c r="Q21260" s="11"/>
      <c r="R21260" s="11"/>
      <c r="S21260" s="11"/>
      <c r="T21260" s="11"/>
    </row>
    <row r="21261" spans="8:20" x14ac:dyDescent="0.35">
      <c r="H21261" s="711"/>
      <c r="I21261" s="711"/>
      <c r="J21261" s="711"/>
      <c r="K21261" s="711"/>
      <c r="L21261" s="711"/>
      <c r="Q21261" s="11"/>
      <c r="R21261" s="11"/>
      <c r="S21261" s="11"/>
      <c r="T21261" s="11"/>
    </row>
    <row r="21262" spans="8:20" x14ac:dyDescent="0.35">
      <c r="H21262" s="711"/>
      <c r="I21262" s="711"/>
      <c r="J21262" s="711"/>
      <c r="K21262" s="711"/>
      <c r="L21262" s="711"/>
      <c r="Q21262" s="11"/>
      <c r="R21262" s="11"/>
      <c r="S21262" s="11"/>
      <c r="T21262" s="11"/>
    </row>
    <row r="21263" spans="8:20" x14ac:dyDescent="0.35">
      <c r="H21263" s="711"/>
      <c r="I21263" s="711"/>
      <c r="J21263" s="711"/>
      <c r="K21263" s="711"/>
      <c r="L21263" s="711"/>
      <c r="Q21263" s="11"/>
      <c r="R21263" s="11"/>
      <c r="S21263" s="11"/>
      <c r="T21263" s="11"/>
    </row>
    <row r="21264" spans="8:20" x14ac:dyDescent="0.35">
      <c r="H21264" s="711"/>
      <c r="I21264" s="711"/>
      <c r="J21264" s="711"/>
      <c r="K21264" s="711"/>
      <c r="L21264" s="711"/>
      <c r="Q21264" s="11"/>
      <c r="R21264" s="11"/>
      <c r="S21264" s="11"/>
      <c r="T21264" s="11"/>
    </row>
    <row r="21265" spans="8:20" x14ac:dyDescent="0.35">
      <c r="H21265" s="711"/>
      <c r="I21265" s="711"/>
      <c r="J21265" s="711"/>
      <c r="K21265" s="711"/>
      <c r="L21265" s="711"/>
      <c r="Q21265" s="11"/>
      <c r="R21265" s="11"/>
      <c r="S21265" s="11"/>
      <c r="T21265" s="11"/>
    </row>
    <row r="21266" spans="8:20" x14ac:dyDescent="0.35">
      <c r="H21266" s="711"/>
      <c r="I21266" s="711"/>
      <c r="J21266" s="711"/>
      <c r="K21266" s="711"/>
      <c r="L21266" s="711"/>
      <c r="Q21266" s="11"/>
      <c r="R21266" s="11"/>
      <c r="S21266" s="11"/>
      <c r="T21266" s="11"/>
    </row>
    <row r="21267" spans="8:20" x14ac:dyDescent="0.35">
      <c r="H21267" s="711"/>
      <c r="I21267" s="711"/>
      <c r="J21267" s="711"/>
      <c r="K21267" s="711"/>
      <c r="L21267" s="711"/>
      <c r="Q21267" s="11"/>
      <c r="R21267" s="11"/>
      <c r="S21267" s="11"/>
      <c r="T21267" s="11"/>
    </row>
    <row r="21268" spans="8:20" x14ac:dyDescent="0.35">
      <c r="H21268" s="711"/>
      <c r="I21268" s="711"/>
      <c r="J21268" s="711"/>
      <c r="K21268" s="711"/>
      <c r="L21268" s="711"/>
      <c r="Q21268" s="11"/>
      <c r="R21268" s="11"/>
      <c r="S21268" s="11"/>
      <c r="T21268" s="11"/>
    </row>
    <row r="21269" spans="8:20" x14ac:dyDescent="0.35">
      <c r="H21269" s="711"/>
      <c r="I21269" s="711"/>
      <c r="J21269" s="711"/>
      <c r="K21269" s="711"/>
      <c r="L21269" s="711"/>
      <c r="Q21269" s="11"/>
      <c r="R21269" s="11"/>
      <c r="S21269" s="11"/>
      <c r="T21269" s="11"/>
    </row>
    <row r="21270" spans="8:20" x14ac:dyDescent="0.35">
      <c r="H21270" s="711"/>
      <c r="I21270" s="711"/>
      <c r="J21270" s="711"/>
      <c r="K21270" s="711"/>
      <c r="L21270" s="711"/>
      <c r="Q21270" s="11"/>
      <c r="R21270" s="11"/>
      <c r="S21270" s="11"/>
      <c r="T21270" s="11"/>
    </row>
    <row r="21271" spans="8:20" x14ac:dyDescent="0.35">
      <c r="H21271" s="711"/>
      <c r="I21271" s="711"/>
      <c r="J21271" s="711"/>
      <c r="K21271" s="711"/>
      <c r="L21271" s="711"/>
      <c r="Q21271" s="11"/>
      <c r="R21271" s="11"/>
      <c r="S21271" s="11"/>
      <c r="T21271" s="11"/>
    </row>
    <row r="21272" spans="8:20" x14ac:dyDescent="0.35">
      <c r="H21272" s="711"/>
      <c r="I21272" s="711"/>
      <c r="J21272" s="711"/>
      <c r="K21272" s="711"/>
      <c r="L21272" s="711"/>
      <c r="Q21272" s="11"/>
      <c r="R21272" s="11"/>
      <c r="S21272" s="11"/>
      <c r="T21272" s="11"/>
    </row>
    <row r="21273" spans="8:20" x14ac:dyDescent="0.35">
      <c r="H21273" s="711"/>
      <c r="I21273" s="711"/>
      <c r="J21273" s="711"/>
      <c r="K21273" s="711"/>
      <c r="L21273" s="711"/>
      <c r="Q21273" s="11"/>
      <c r="R21273" s="11"/>
      <c r="S21273" s="11"/>
      <c r="T21273" s="11"/>
    </row>
    <row r="21274" spans="8:20" x14ac:dyDescent="0.35">
      <c r="H21274" s="711"/>
      <c r="I21274" s="711"/>
      <c r="J21274" s="711"/>
      <c r="K21274" s="711"/>
      <c r="L21274" s="711"/>
      <c r="Q21274" s="11"/>
      <c r="R21274" s="11"/>
      <c r="S21274" s="11"/>
      <c r="T21274" s="11"/>
    </row>
    <row r="21275" spans="8:20" x14ac:dyDescent="0.35">
      <c r="H21275" s="711"/>
      <c r="I21275" s="711"/>
      <c r="J21275" s="711"/>
      <c r="K21275" s="711"/>
      <c r="L21275" s="711"/>
      <c r="Q21275" s="11"/>
      <c r="R21275" s="11"/>
      <c r="S21275" s="11"/>
      <c r="T21275" s="11"/>
    </row>
    <row r="21276" spans="8:20" x14ac:dyDescent="0.35">
      <c r="H21276" s="711"/>
      <c r="I21276" s="711"/>
      <c r="J21276" s="711"/>
      <c r="K21276" s="711"/>
      <c r="L21276" s="711"/>
      <c r="Q21276" s="11"/>
      <c r="R21276" s="11"/>
      <c r="S21276" s="11"/>
      <c r="T21276" s="11"/>
    </row>
    <row r="21277" spans="8:20" x14ac:dyDescent="0.35">
      <c r="H21277" s="711"/>
      <c r="I21277" s="711"/>
      <c r="J21277" s="711"/>
      <c r="K21277" s="711"/>
      <c r="L21277" s="711"/>
      <c r="Q21277" s="11"/>
      <c r="R21277" s="11"/>
      <c r="S21277" s="11"/>
      <c r="T21277" s="11"/>
    </row>
    <row r="21278" spans="8:20" x14ac:dyDescent="0.35">
      <c r="H21278" s="711"/>
      <c r="I21278" s="711"/>
      <c r="J21278" s="711"/>
      <c r="K21278" s="711"/>
      <c r="L21278" s="711"/>
      <c r="Q21278" s="11"/>
      <c r="R21278" s="11"/>
      <c r="S21278" s="11"/>
      <c r="T21278" s="11"/>
    </row>
    <row r="21279" spans="8:20" x14ac:dyDescent="0.35">
      <c r="H21279" s="711"/>
      <c r="I21279" s="711"/>
      <c r="J21279" s="711"/>
      <c r="K21279" s="711"/>
      <c r="L21279" s="711"/>
      <c r="Q21279" s="11"/>
      <c r="R21279" s="11"/>
      <c r="S21279" s="11"/>
      <c r="T21279" s="11"/>
    </row>
    <row r="21280" spans="8:20" x14ac:dyDescent="0.35">
      <c r="H21280" s="711"/>
      <c r="I21280" s="711"/>
      <c r="J21280" s="711"/>
      <c r="K21280" s="711"/>
      <c r="L21280" s="711"/>
      <c r="Q21280" s="11"/>
      <c r="R21280" s="11"/>
      <c r="S21280" s="11"/>
      <c r="T21280" s="11"/>
    </row>
    <row r="21281" spans="8:20" x14ac:dyDescent="0.35">
      <c r="H21281" s="711"/>
      <c r="I21281" s="711"/>
      <c r="J21281" s="711"/>
      <c r="K21281" s="711"/>
      <c r="L21281" s="711"/>
      <c r="Q21281" s="11"/>
      <c r="R21281" s="11"/>
      <c r="S21281" s="11"/>
      <c r="T21281" s="11"/>
    </row>
    <row r="21282" spans="8:20" x14ac:dyDescent="0.35">
      <c r="H21282" s="711"/>
      <c r="I21282" s="711"/>
      <c r="J21282" s="711"/>
      <c r="K21282" s="711"/>
      <c r="L21282" s="711"/>
      <c r="Q21282" s="11"/>
      <c r="R21282" s="11"/>
      <c r="S21282" s="11"/>
      <c r="T21282" s="11"/>
    </row>
    <row r="21283" spans="8:20" x14ac:dyDescent="0.35">
      <c r="H21283" s="711"/>
      <c r="I21283" s="711"/>
      <c r="J21283" s="711"/>
      <c r="K21283" s="711"/>
      <c r="L21283" s="711"/>
      <c r="Q21283" s="11"/>
      <c r="R21283" s="11"/>
      <c r="S21283" s="11"/>
      <c r="T21283" s="11"/>
    </row>
    <row r="21284" spans="8:20" x14ac:dyDescent="0.35">
      <c r="H21284" s="711"/>
      <c r="I21284" s="711"/>
      <c r="J21284" s="711"/>
      <c r="K21284" s="711"/>
      <c r="L21284" s="711"/>
      <c r="Q21284" s="11"/>
      <c r="R21284" s="11"/>
      <c r="S21284" s="11"/>
      <c r="T21284" s="11"/>
    </row>
    <row r="21285" spans="8:20" x14ac:dyDescent="0.35">
      <c r="H21285" s="711"/>
      <c r="I21285" s="711"/>
      <c r="J21285" s="711"/>
      <c r="K21285" s="711"/>
      <c r="L21285" s="711"/>
      <c r="Q21285" s="11"/>
      <c r="R21285" s="11"/>
      <c r="S21285" s="11"/>
      <c r="T21285" s="11"/>
    </row>
    <row r="21286" spans="8:20" x14ac:dyDescent="0.35">
      <c r="H21286" s="711"/>
      <c r="I21286" s="711"/>
      <c r="J21286" s="711"/>
      <c r="K21286" s="711"/>
      <c r="L21286" s="711"/>
      <c r="Q21286" s="11"/>
      <c r="R21286" s="11"/>
      <c r="S21286" s="11"/>
      <c r="T21286" s="11"/>
    </row>
    <row r="21287" spans="8:20" x14ac:dyDescent="0.35">
      <c r="H21287" s="711"/>
      <c r="I21287" s="711"/>
      <c r="J21287" s="711"/>
      <c r="K21287" s="711"/>
      <c r="L21287" s="711"/>
      <c r="Q21287" s="11"/>
      <c r="R21287" s="11"/>
      <c r="S21287" s="11"/>
      <c r="T21287" s="11"/>
    </row>
    <row r="21288" spans="8:20" x14ac:dyDescent="0.35">
      <c r="H21288" s="711"/>
      <c r="I21288" s="711"/>
      <c r="J21288" s="711"/>
      <c r="K21288" s="711"/>
      <c r="L21288" s="711"/>
      <c r="Q21288" s="11"/>
      <c r="R21288" s="11"/>
      <c r="S21288" s="11"/>
      <c r="T21288" s="11"/>
    </row>
    <row r="21289" spans="8:20" x14ac:dyDescent="0.35">
      <c r="H21289" s="711"/>
      <c r="I21289" s="711"/>
      <c r="J21289" s="711"/>
      <c r="K21289" s="711"/>
      <c r="L21289" s="711"/>
      <c r="Q21289" s="11"/>
      <c r="R21289" s="11"/>
      <c r="S21289" s="11"/>
      <c r="T21289" s="11"/>
    </row>
    <row r="21290" spans="8:20" x14ac:dyDescent="0.35">
      <c r="H21290" s="711"/>
      <c r="I21290" s="711"/>
      <c r="J21290" s="711"/>
      <c r="K21290" s="711"/>
      <c r="L21290" s="711"/>
      <c r="Q21290" s="11"/>
      <c r="R21290" s="11"/>
      <c r="S21290" s="11"/>
      <c r="T21290" s="11"/>
    </row>
    <row r="21291" spans="8:20" x14ac:dyDescent="0.35">
      <c r="H21291" s="711"/>
      <c r="I21291" s="711"/>
      <c r="J21291" s="711"/>
      <c r="K21291" s="711"/>
      <c r="L21291" s="711"/>
      <c r="Q21291" s="11"/>
      <c r="R21291" s="11"/>
      <c r="S21291" s="11"/>
      <c r="T21291" s="11"/>
    </row>
    <row r="21292" spans="8:20" x14ac:dyDescent="0.35">
      <c r="H21292" s="711"/>
      <c r="I21292" s="711"/>
      <c r="J21292" s="711"/>
      <c r="K21292" s="711"/>
      <c r="L21292" s="711"/>
      <c r="Q21292" s="11"/>
      <c r="R21292" s="11"/>
      <c r="S21292" s="11"/>
      <c r="T21292" s="11"/>
    </row>
    <row r="21293" spans="8:20" x14ac:dyDescent="0.35">
      <c r="H21293" s="711"/>
      <c r="I21293" s="711"/>
      <c r="J21293" s="711"/>
      <c r="K21293" s="711"/>
      <c r="L21293" s="711"/>
      <c r="Q21293" s="11"/>
      <c r="R21293" s="11"/>
      <c r="S21293" s="11"/>
      <c r="T21293" s="11"/>
    </row>
    <row r="21294" spans="8:20" x14ac:dyDescent="0.35">
      <c r="H21294" s="711"/>
      <c r="I21294" s="711"/>
      <c r="J21294" s="711"/>
      <c r="K21294" s="711"/>
      <c r="L21294" s="711"/>
      <c r="Q21294" s="11"/>
      <c r="R21294" s="11"/>
      <c r="S21294" s="11"/>
      <c r="T21294" s="11"/>
    </row>
    <row r="21295" spans="8:20" x14ac:dyDescent="0.35">
      <c r="H21295" s="711"/>
      <c r="I21295" s="711"/>
      <c r="J21295" s="711"/>
      <c r="K21295" s="711"/>
      <c r="L21295" s="711"/>
      <c r="Q21295" s="11"/>
      <c r="R21295" s="11"/>
      <c r="S21295" s="11"/>
      <c r="T21295" s="11"/>
    </row>
    <row r="21296" spans="8:20" x14ac:dyDescent="0.35">
      <c r="H21296" s="711"/>
      <c r="I21296" s="711"/>
      <c r="J21296" s="711"/>
      <c r="K21296" s="711"/>
      <c r="L21296" s="711"/>
      <c r="Q21296" s="11"/>
      <c r="R21296" s="11"/>
      <c r="S21296" s="11"/>
      <c r="T21296" s="11"/>
    </row>
    <row r="21297" spans="8:20" x14ac:dyDescent="0.35">
      <c r="H21297" s="711"/>
      <c r="I21297" s="711"/>
      <c r="J21297" s="711"/>
      <c r="K21297" s="711"/>
      <c r="L21297" s="711"/>
      <c r="Q21297" s="11"/>
      <c r="R21297" s="11"/>
      <c r="S21297" s="11"/>
      <c r="T21297" s="11"/>
    </row>
    <row r="21298" spans="8:20" x14ac:dyDescent="0.35">
      <c r="H21298" s="711"/>
      <c r="I21298" s="711"/>
      <c r="J21298" s="711"/>
      <c r="K21298" s="711"/>
      <c r="L21298" s="711"/>
      <c r="Q21298" s="11"/>
      <c r="R21298" s="11"/>
      <c r="S21298" s="11"/>
      <c r="T21298" s="11"/>
    </row>
    <row r="21299" spans="8:20" x14ac:dyDescent="0.35">
      <c r="H21299" s="711"/>
      <c r="I21299" s="711"/>
      <c r="J21299" s="711"/>
      <c r="K21299" s="711"/>
      <c r="L21299" s="711"/>
      <c r="Q21299" s="11"/>
      <c r="R21299" s="11"/>
      <c r="S21299" s="11"/>
      <c r="T21299" s="11"/>
    </row>
    <row r="21300" spans="8:20" x14ac:dyDescent="0.35">
      <c r="H21300" s="711"/>
      <c r="I21300" s="711"/>
      <c r="J21300" s="711"/>
      <c r="K21300" s="711"/>
      <c r="L21300" s="711"/>
      <c r="Q21300" s="11"/>
      <c r="R21300" s="11"/>
      <c r="S21300" s="11"/>
      <c r="T21300" s="11"/>
    </row>
    <row r="21301" spans="8:20" x14ac:dyDescent="0.35">
      <c r="H21301" s="711"/>
      <c r="I21301" s="711"/>
      <c r="J21301" s="711"/>
      <c r="K21301" s="711"/>
      <c r="L21301" s="711"/>
      <c r="Q21301" s="11"/>
      <c r="R21301" s="11"/>
      <c r="S21301" s="11"/>
      <c r="T21301" s="11"/>
    </row>
    <row r="21302" spans="8:20" x14ac:dyDescent="0.35">
      <c r="H21302" s="711"/>
      <c r="I21302" s="711"/>
      <c r="J21302" s="711"/>
      <c r="K21302" s="711"/>
      <c r="L21302" s="711"/>
      <c r="Q21302" s="11"/>
      <c r="R21302" s="11"/>
      <c r="S21302" s="11"/>
      <c r="T21302" s="11"/>
    </row>
    <row r="21303" spans="8:20" x14ac:dyDescent="0.35">
      <c r="H21303" s="711"/>
      <c r="I21303" s="711"/>
      <c r="J21303" s="711"/>
      <c r="K21303" s="711"/>
      <c r="L21303" s="711"/>
      <c r="Q21303" s="11"/>
      <c r="R21303" s="11"/>
      <c r="S21303" s="11"/>
      <c r="T21303" s="11"/>
    </row>
    <row r="21304" spans="8:20" x14ac:dyDescent="0.35">
      <c r="H21304" s="711"/>
      <c r="I21304" s="711"/>
      <c r="J21304" s="711"/>
      <c r="K21304" s="711"/>
      <c r="L21304" s="711"/>
      <c r="Q21304" s="11"/>
      <c r="R21304" s="11"/>
      <c r="S21304" s="11"/>
      <c r="T21304" s="11"/>
    </row>
    <row r="21305" spans="8:20" x14ac:dyDescent="0.35">
      <c r="H21305" s="711"/>
      <c r="I21305" s="711"/>
      <c r="J21305" s="711"/>
      <c r="K21305" s="711"/>
      <c r="L21305" s="711"/>
      <c r="Q21305" s="11"/>
      <c r="R21305" s="11"/>
      <c r="S21305" s="11"/>
      <c r="T21305" s="11"/>
    </row>
    <row r="21306" spans="8:20" x14ac:dyDescent="0.35">
      <c r="H21306" s="711"/>
      <c r="I21306" s="711"/>
      <c r="J21306" s="711"/>
      <c r="K21306" s="711"/>
      <c r="L21306" s="711"/>
      <c r="Q21306" s="11"/>
      <c r="R21306" s="11"/>
      <c r="S21306" s="11"/>
      <c r="T21306" s="11"/>
    </row>
    <row r="21307" spans="8:20" x14ac:dyDescent="0.35">
      <c r="H21307" s="711"/>
      <c r="I21307" s="711"/>
      <c r="J21307" s="711"/>
      <c r="K21307" s="711"/>
      <c r="L21307" s="711"/>
      <c r="Q21307" s="11"/>
      <c r="R21307" s="11"/>
      <c r="S21307" s="11"/>
      <c r="T21307" s="11"/>
    </row>
    <row r="21308" spans="8:20" x14ac:dyDescent="0.35">
      <c r="H21308" s="711"/>
      <c r="I21308" s="711"/>
      <c r="J21308" s="711"/>
      <c r="K21308" s="711"/>
      <c r="L21308" s="711"/>
      <c r="Q21308" s="11"/>
      <c r="R21308" s="11"/>
      <c r="S21308" s="11"/>
      <c r="T21308" s="11"/>
    </row>
    <row r="21309" spans="8:20" x14ac:dyDescent="0.35">
      <c r="H21309" s="711"/>
      <c r="I21309" s="711"/>
      <c r="J21309" s="711"/>
      <c r="K21309" s="711"/>
      <c r="L21309" s="711"/>
      <c r="Q21309" s="11"/>
      <c r="R21309" s="11"/>
      <c r="S21309" s="11"/>
      <c r="T21309" s="11"/>
    </row>
    <row r="21310" spans="8:20" x14ac:dyDescent="0.35">
      <c r="H21310" s="711"/>
      <c r="I21310" s="711"/>
      <c r="J21310" s="711"/>
      <c r="K21310" s="711"/>
      <c r="L21310" s="711"/>
      <c r="Q21310" s="11"/>
      <c r="R21310" s="11"/>
      <c r="S21310" s="11"/>
      <c r="T21310" s="11"/>
    </row>
    <row r="21311" spans="8:20" x14ac:dyDescent="0.35">
      <c r="H21311" s="711"/>
      <c r="I21311" s="711"/>
      <c r="J21311" s="711"/>
      <c r="K21311" s="711"/>
      <c r="L21311" s="711"/>
      <c r="Q21311" s="11"/>
      <c r="R21311" s="11"/>
      <c r="S21311" s="11"/>
      <c r="T21311" s="11"/>
    </row>
    <row r="21312" spans="8:20" x14ac:dyDescent="0.35">
      <c r="H21312" s="711"/>
      <c r="I21312" s="711"/>
      <c r="J21312" s="711"/>
      <c r="K21312" s="711"/>
      <c r="L21312" s="711"/>
      <c r="Q21312" s="11"/>
      <c r="R21312" s="11"/>
      <c r="S21312" s="11"/>
      <c r="T21312" s="11"/>
    </row>
    <row r="21313" spans="8:20" x14ac:dyDescent="0.35">
      <c r="H21313" s="711"/>
      <c r="I21313" s="711"/>
      <c r="J21313" s="711"/>
      <c r="K21313" s="711"/>
      <c r="L21313" s="711"/>
      <c r="Q21313" s="11"/>
      <c r="R21313" s="11"/>
      <c r="S21313" s="11"/>
      <c r="T21313" s="11"/>
    </row>
    <row r="21314" spans="8:20" x14ac:dyDescent="0.35">
      <c r="H21314" s="711"/>
      <c r="I21314" s="711"/>
      <c r="J21314" s="711"/>
      <c r="K21314" s="711"/>
      <c r="L21314" s="711"/>
      <c r="Q21314" s="11"/>
      <c r="R21314" s="11"/>
      <c r="S21314" s="11"/>
      <c r="T21314" s="11"/>
    </row>
    <row r="21315" spans="8:20" x14ac:dyDescent="0.35">
      <c r="H21315" s="711"/>
      <c r="I21315" s="711"/>
      <c r="J21315" s="711"/>
      <c r="K21315" s="711"/>
      <c r="L21315" s="711"/>
      <c r="Q21315" s="11"/>
      <c r="R21315" s="11"/>
      <c r="S21315" s="11"/>
      <c r="T21315" s="11"/>
    </row>
    <row r="21316" spans="8:20" x14ac:dyDescent="0.35">
      <c r="H21316" s="711"/>
      <c r="I21316" s="711"/>
      <c r="J21316" s="711"/>
      <c r="K21316" s="711"/>
      <c r="L21316" s="711"/>
      <c r="Q21316" s="11"/>
      <c r="R21316" s="11"/>
      <c r="S21316" s="11"/>
      <c r="T21316" s="11"/>
    </row>
    <row r="21317" spans="8:20" x14ac:dyDescent="0.35">
      <c r="H21317" s="711"/>
      <c r="I21317" s="711"/>
      <c r="J21317" s="711"/>
      <c r="K21317" s="711"/>
      <c r="L21317" s="711"/>
      <c r="Q21317" s="11"/>
      <c r="R21317" s="11"/>
      <c r="S21317" s="11"/>
      <c r="T21317" s="11"/>
    </row>
    <row r="21318" spans="8:20" x14ac:dyDescent="0.35">
      <c r="H21318" s="711"/>
      <c r="I21318" s="711"/>
      <c r="J21318" s="711"/>
      <c r="K21318" s="711"/>
      <c r="L21318" s="711"/>
      <c r="Q21318" s="11"/>
      <c r="R21318" s="11"/>
      <c r="S21318" s="11"/>
      <c r="T21318" s="11"/>
    </row>
    <row r="21319" spans="8:20" x14ac:dyDescent="0.35">
      <c r="H21319" s="711"/>
      <c r="I21319" s="711"/>
      <c r="J21319" s="711"/>
      <c r="K21319" s="711"/>
      <c r="L21319" s="711"/>
      <c r="Q21319" s="11"/>
      <c r="R21319" s="11"/>
      <c r="S21319" s="11"/>
      <c r="T21319" s="11"/>
    </row>
    <row r="21320" spans="8:20" x14ac:dyDescent="0.35">
      <c r="H21320" s="711"/>
      <c r="I21320" s="711"/>
      <c r="J21320" s="711"/>
      <c r="K21320" s="711"/>
      <c r="L21320" s="711"/>
      <c r="Q21320" s="11"/>
      <c r="R21320" s="11"/>
      <c r="S21320" s="11"/>
      <c r="T21320" s="11"/>
    </row>
    <row r="21321" spans="8:20" x14ac:dyDescent="0.35">
      <c r="H21321" s="711"/>
      <c r="I21321" s="711"/>
      <c r="J21321" s="711"/>
      <c r="K21321" s="711"/>
      <c r="L21321" s="711"/>
      <c r="Q21321" s="11"/>
      <c r="R21321" s="11"/>
      <c r="S21321" s="11"/>
      <c r="T21321" s="11"/>
    </row>
    <row r="21322" spans="8:20" x14ac:dyDescent="0.35">
      <c r="H21322" s="711"/>
      <c r="I21322" s="711"/>
      <c r="J21322" s="711"/>
      <c r="K21322" s="711"/>
      <c r="L21322" s="711"/>
      <c r="Q21322" s="11"/>
      <c r="R21322" s="11"/>
      <c r="S21322" s="11"/>
      <c r="T21322" s="11"/>
    </row>
    <row r="21323" spans="8:20" x14ac:dyDescent="0.35">
      <c r="H21323" s="711"/>
      <c r="I21323" s="711"/>
      <c r="J21323" s="711"/>
      <c r="K21323" s="711"/>
      <c r="L21323" s="711"/>
      <c r="Q21323" s="11"/>
      <c r="R21323" s="11"/>
      <c r="S21323" s="11"/>
      <c r="T21323" s="11"/>
    </row>
    <row r="21324" spans="8:20" x14ac:dyDescent="0.35">
      <c r="H21324" s="711"/>
      <c r="I21324" s="711"/>
      <c r="J21324" s="711"/>
      <c r="K21324" s="711"/>
      <c r="L21324" s="711"/>
      <c r="Q21324" s="11"/>
      <c r="R21324" s="11"/>
      <c r="S21324" s="11"/>
      <c r="T21324" s="11"/>
    </row>
    <row r="21325" spans="8:20" x14ac:dyDescent="0.35">
      <c r="H21325" s="711"/>
      <c r="I21325" s="711"/>
      <c r="J21325" s="711"/>
      <c r="K21325" s="711"/>
      <c r="L21325" s="711"/>
      <c r="Q21325" s="11"/>
      <c r="R21325" s="11"/>
      <c r="S21325" s="11"/>
      <c r="T21325" s="11"/>
    </row>
    <row r="21326" spans="8:20" x14ac:dyDescent="0.35">
      <c r="H21326" s="711"/>
      <c r="I21326" s="711"/>
      <c r="J21326" s="711"/>
      <c r="K21326" s="711"/>
      <c r="L21326" s="711"/>
      <c r="Q21326" s="11"/>
      <c r="R21326" s="11"/>
      <c r="S21326" s="11"/>
      <c r="T21326" s="11"/>
    </row>
    <row r="21327" spans="8:20" x14ac:dyDescent="0.35">
      <c r="H21327" s="711"/>
      <c r="I21327" s="711"/>
      <c r="J21327" s="711"/>
      <c r="K21327" s="711"/>
      <c r="L21327" s="711"/>
      <c r="Q21327" s="11"/>
      <c r="R21327" s="11"/>
      <c r="S21327" s="11"/>
      <c r="T21327" s="11"/>
    </row>
    <row r="21328" spans="8:20" x14ac:dyDescent="0.35">
      <c r="H21328" s="711"/>
      <c r="I21328" s="711"/>
      <c r="J21328" s="711"/>
      <c r="K21328" s="711"/>
      <c r="L21328" s="711"/>
      <c r="Q21328" s="11"/>
      <c r="R21328" s="11"/>
      <c r="S21328" s="11"/>
      <c r="T21328" s="11"/>
    </row>
    <row r="21329" spans="8:20" x14ac:dyDescent="0.35">
      <c r="H21329" s="711"/>
      <c r="I21329" s="711"/>
      <c r="J21329" s="711"/>
      <c r="K21329" s="711"/>
      <c r="L21329" s="711"/>
      <c r="Q21329" s="11"/>
      <c r="R21329" s="11"/>
      <c r="S21329" s="11"/>
      <c r="T21329" s="11"/>
    </row>
    <row r="21330" spans="8:20" x14ac:dyDescent="0.35">
      <c r="H21330" s="711"/>
      <c r="I21330" s="711"/>
      <c r="J21330" s="711"/>
      <c r="K21330" s="711"/>
      <c r="L21330" s="711"/>
      <c r="Q21330" s="11"/>
      <c r="R21330" s="11"/>
      <c r="S21330" s="11"/>
      <c r="T21330" s="11"/>
    </row>
    <row r="21331" spans="8:20" x14ac:dyDescent="0.35">
      <c r="H21331" s="711"/>
      <c r="I21331" s="711"/>
      <c r="J21331" s="711"/>
      <c r="K21331" s="711"/>
      <c r="L21331" s="711"/>
      <c r="Q21331" s="11"/>
      <c r="R21331" s="11"/>
      <c r="S21331" s="11"/>
      <c r="T21331" s="11"/>
    </row>
    <row r="21332" spans="8:20" x14ac:dyDescent="0.35">
      <c r="H21332" s="711"/>
      <c r="I21332" s="711"/>
      <c r="J21332" s="711"/>
      <c r="K21332" s="711"/>
      <c r="L21332" s="711"/>
      <c r="Q21332" s="11"/>
      <c r="R21332" s="11"/>
      <c r="S21332" s="11"/>
      <c r="T21332" s="11"/>
    </row>
    <row r="21333" spans="8:20" x14ac:dyDescent="0.35">
      <c r="H21333" s="711"/>
      <c r="I21333" s="711"/>
      <c r="J21333" s="711"/>
      <c r="K21333" s="711"/>
      <c r="L21333" s="711"/>
      <c r="Q21333" s="11"/>
      <c r="R21333" s="11"/>
      <c r="S21333" s="11"/>
      <c r="T21333" s="11"/>
    </row>
    <row r="21334" spans="8:20" x14ac:dyDescent="0.35">
      <c r="H21334" s="711"/>
      <c r="I21334" s="711"/>
      <c r="J21334" s="711"/>
      <c r="K21334" s="711"/>
      <c r="L21334" s="711"/>
      <c r="Q21334" s="11"/>
      <c r="R21334" s="11"/>
      <c r="S21334" s="11"/>
      <c r="T21334" s="11"/>
    </row>
    <row r="21335" spans="8:20" x14ac:dyDescent="0.35">
      <c r="H21335" s="711"/>
      <c r="I21335" s="711"/>
      <c r="J21335" s="711"/>
      <c r="K21335" s="711"/>
      <c r="L21335" s="711"/>
      <c r="Q21335" s="11"/>
      <c r="R21335" s="11"/>
      <c r="S21335" s="11"/>
      <c r="T21335" s="11"/>
    </row>
    <row r="21336" spans="8:20" x14ac:dyDescent="0.35">
      <c r="H21336" s="711"/>
      <c r="I21336" s="711"/>
      <c r="J21336" s="711"/>
      <c r="K21336" s="711"/>
      <c r="L21336" s="711"/>
      <c r="Q21336" s="11"/>
      <c r="R21336" s="11"/>
      <c r="S21336" s="11"/>
      <c r="T21336" s="11"/>
    </row>
    <row r="21337" spans="8:20" x14ac:dyDescent="0.35">
      <c r="H21337" s="711"/>
      <c r="I21337" s="711"/>
      <c r="J21337" s="711"/>
      <c r="K21337" s="711"/>
      <c r="L21337" s="711"/>
      <c r="Q21337" s="11"/>
      <c r="R21337" s="11"/>
      <c r="S21337" s="11"/>
      <c r="T21337" s="11"/>
    </row>
    <row r="21338" spans="8:20" x14ac:dyDescent="0.35">
      <c r="H21338" s="711"/>
      <c r="I21338" s="711"/>
      <c r="J21338" s="711"/>
      <c r="K21338" s="711"/>
      <c r="L21338" s="711"/>
      <c r="Q21338" s="11"/>
      <c r="R21338" s="11"/>
      <c r="S21338" s="11"/>
      <c r="T21338" s="11"/>
    </row>
    <row r="21339" spans="8:20" x14ac:dyDescent="0.35">
      <c r="H21339" s="711"/>
      <c r="I21339" s="711"/>
      <c r="J21339" s="711"/>
      <c r="K21339" s="711"/>
      <c r="L21339" s="711"/>
      <c r="Q21339" s="11"/>
      <c r="R21339" s="11"/>
      <c r="S21339" s="11"/>
      <c r="T21339" s="11"/>
    </row>
    <row r="21340" spans="8:20" x14ac:dyDescent="0.35">
      <c r="H21340" s="711"/>
      <c r="I21340" s="711"/>
      <c r="J21340" s="711"/>
      <c r="K21340" s="711"/>
      <c r="L21340" s="711"/>
      <c r="Q21340" s="11"/>
      <c r="R21340" s="11"/>
      <c r="S21340" s="11"/>
      <c r="T21340" s="11"/>
    </row>
    <row r="21341" spans="8:20" x14ac:dyDescent="0.35">
      <c r="H21341" s="711"/>
      <c r="I21341" s="711"/>
      <c r="J21341" s="711"/>
      <c r="K21341" s="711"/>
      <c r="L21341" s="711"/>
      <c r="Q21341" s="11"/>
      <c r="R21341" s="11"/>
      <c r="S21341" s="11"/>
      <c r="T21341" s="11"/>
    </row>
    <row r="21342" spans="8:20" x14ac:dyDescent="0.35">
      <c r="H21342" s="711"/>
      <c r="I21342" s="711"/>
      <c r="J21342" s="711"/>
      <c r="K21342" s="711"/>
      <c r="L21342" s="711"/>
      <c r="Q21342" s="11"/>
      <c r="R21342" s="11"/>
      <c r="S21342" s="11"/>
      <c r="T21342" s="11"/>
    </row>
    <row r="21343" spans="8:20" x14ac:dyDescent="0.35">
      <c r="H21343" s="711"/>
      <c r="I21343" s="711"/>
      <c r="J21343" s="711"/>
      <c r="K21343" s="711"/>
      <c r="L21343" s="711"/>
      <c r="Q21343" s="11"/>
      <c r="R21343" s="11"/>
      <c r="S21343" s="11"/>
      <c r="T21343" s="11"/>
    </row>
    <row r="21344" spans="8:20" x14ac:dyDescent="0.35">
      <c r="H21344" s="711"/>
      <c r="I21344" s="711"/>
      <c r="J21344" s="711"/>
      <c r="K21344" s="711"/>
      <c r="L21344" s="711"/>
      <c r="Q21344" s="11"/>
      <c r="R21344" s="11"/>
      <c r="S21344" s="11"/>
      <c r="T21344" s="11"/>
    </row>
    <row r="21345" spans="8:20" x14ac:dyDescent="0.35">
      <c r="H21345" s="711"/>
      <c r="I21345" s="711"/>
      <c r="J21345" s="711"/>
      <c r="K21345" s="711"/>
      <c r="L21345" s="711"/>
      <c r="Q21345" s="11"/>
      <c r="R21345" s="11"/>
      <c r="S21345" s="11"/>
      <c r="T21345" s="11"/>
    </row>
    <row r="21346" spans="8:20" x14ac:dyDescent="0.35">
      <c r="H21346" s="711"/>
      <c r="I21346" s="711"/>
      <c r="J21346" s="711"/>
      <c r="K21346" s="711"/>
      <c r="L21346" s="711"/>
      <c r="Q21346" s="11"/>
      <c r="R21346" s="11"/>
      <c r="S21346" s="11"/>
      <c r="T21346" s="11"/>
    </row>
    <row r="21347" spans="8:20" x14ac:dyDescent="0.35">
      <c r="H21347" s="711"/>
      <c r="I21347" s="711"/>
      <c r="J21347" s="711"/>
      <c r="K21347" s="711"/>
      <c r="L21347" s="711"/>
      <c r="Q21347" s="11"/>
      <c r="R21347" s="11"/>
      <c r="S21347" s="11"/>
      <c r="T21347" s="11"/>
    </row>
    <row r="21348" spans="8:20" x14ac:dyDescent="0.35">
      <c r="H21348" s="711"/>
      <c r="I21348" s="711"/>
      <c r="J21348" s="711"/>
      <c r="K21348" s="711"/>
      <c r="L21348" s="711"/>
      <c r="Q21348" s="11"/>
      <c r="R21348" s="11"/>
      <c r="S21348" s="11"/>
      <c r="T21348" s="11"/>
    </row>
    <row r="21349" spans="8:20" x14ac:dyDescent="0.35">
      <c r="H21349" s="711"/>
      <c r="I21349" s="711"/>
      <c r="J21349" s="711"/>
      <c r="K21349" s="711"/>
      <c r="L21349" s="711"/>
      <c r="Q21349" s="11"/>
      <c r="R21349" s="11"/>
      <c r="S21349" s="11"/>
      <c r="T21349" s="11"/>
    </row>
    <row r="21350" spans="8:20" x14ac:dyDescent="0.35">
      <c r="H21350" s="711"/>
      <c r="I21350" s="711"/>
      <c r="J21350" s="711"/>
      <c r="K21350" s="711"/>
      <c r="L21350" s="711"/>
      <c r="Q21350" s="11"/>
      <c r="R21350" s="11"/>
      <c r="S21350" s="11"/>
      <c r="T21350" s="11"/>
    </row>
    <row r="21351" spans="8:20" x14ac:dyDescent="0.35">
      <c r="H21351" s="711"/>
      <c r="I21351" s="711"/>
      <c r="J21351" s="711"/>
      <c r="K21351" s="711"/>
      <c r="L21351" s="711"/>
      <c r="Q21351" s="11"/>
      <c r="R21351" s="11"/>
      <c r="S21351" s="11"/>
      <c r="T21351" s="11"/>
    </row>
    <row r="21352" spans="8:20" x14ac:dyDescent="0.35">
      <c r="H21352" s="711"/>
      <c r="I21352" s="711"/>
      <c r="J21352" s="711"/>
      <c r="K21352" s="711"/>
      <c r="L21352" s="711"/>
      <c r="Q21352" s="11"/>
      <c r="R21352" s="11"/>
      <c r="S21352" s="11"/>
      <c r="T21352" s="11"/>
    </row>
    <row r="21353" spans="8:20" x14ac:dyDescent="0.35">
      <c r="H21353" s="711"/>
      <c r="I21353" s="711"/>
      <c r="J21353" s="711"/>
      <c r="K21353" s="711"/>
      <c r="L21353" s="711"/>
      <c r="Q21353" s="11"/>
      <c r="R21353" s="11"/>
      <c r="S21353" s="11"/>
      <c r="T21353" s="11"/>
    </row>
    <row r="21354" spans="8:20" x14ac:dyDescent="0.35">
      <c r="H21354" s="711"/>
      <c r="I21354" s="711"/>
      <c r="J21354" s="711"/>
      <c r="K21354" s="711"/>
      <c r="L21354" s="711"/>
      <c r="Q21354" s="11"/>
      <c r="R21354" s="11"/>
      <c r="S21354" s="11"/>
      <c r="T21354" s="11"/>
    </row>
    <row r="21355" spans="8:20" x14ac:dyDescent="0.35">
      <c r="H21355" s="711"/>
      <c r="I21355" s="711"/>
      <c r="J21355" s="711"/>
      <c r="K21355" s="711"/>
      <c r="L21355" s="711"/>
      <c r="Q21355" s="11"/>
      <c r="R21355" s="11"/>
      <c r="S21355" s="11"/>
      <c r="T21355" s="11"/>
    </row>
    <row r="21356" spans="8:20" x14ac:dyDescent="0.35">
      <c r="H21356" s="711"/>
      <c r="I21356" s="711"/>
      <c r="J21356" s="711"/>
      <c r="K21356" s="711"/>
      <c r="L21356" s="711"/>
      <c r="Q21356" s="11"/>
      <c r="R21356" s="11"/>
      <c r="S21356" s="11"/>
      <c r="T21356" s="11"/>
    </row>
    <row r="21357" spans="8:20" x14ac:dyDescent="0.35">
      <c r="H21357" s="711"/>
      <c r="I21357" s="711"/>
      <c r="J21357" s="711"/>
      <c r="K21357" s="711"/>
      <c r="L21357" s="711"/>
      <c r="Q21357" s="11"/>
      <c r="R21357" s="11"/>
      <c r="S21357" s="11"/>
      <c r="T21357" s="11"/>
    </row>
    <row r="21358" spans="8:20" x14ac:dyDescent="0.35">
      <c r="H21358" s="711"/>
      <c r="I21358" s="711"/>
      <c r="J21358" s="711"/>
      <c r="K21358" s="711"/>
      <c r="L21358" s="711"/>
      <c r="Q21358" s="11"/>
      <c r="R21358" s="11"/>
      <c r="S21358" s="11"/>
      <c r="T21358" s="11"/>
    </row>
    <row r="21359" spans="8:20" x14ac:dyDescent="0.35">
      <c r="H21359" s="711"/>
      <c r="I21359" s="711"/>
      <c r="J21359" s="711"/>
      <c r="K21359" s="711"/>
      <c r="L21359" s="711"/>
      <c r="Q21359" s="11"/>
      <c r="R21359" s="11"/>
      <c r="S21359" s="11"/>
      <c r="T21359" s="11"/>
    </row>
    <row r="21360" spans="8:20" x14ac:dyDescent="0.35">
      <c r="H21360" s="711"/>
      <c r="I21360" s="711"/>
      <c r="J21360" s="711"/>
      <c r="K21360" s="711"/>
      <c r="L21360" s="711"/>
      <c r="Q21360" s="11"/>
      <c r="R21360" s="11"/>
      <c r="S21360" s="11"/>
      <c r="T21360" s="11"/>
    </row>
    <row r="21361" spans="8:20" x14ac:dyDescent="0.35">
      <c r="H21361" s="711"/>
      <c r="I21361" s="711"/>
      <c r="J21361" s="711"/>
      <c r="K21361" s="711"/>
      <c r="L21361" s="711"/>
      <c r="Q21361" s="11"/>
      <c r="R21361" s="11"/>
      <c r="S21361" s="11"/>
      <c r="T21361" s="11"/>
    </row>
    <row r="21362" spans="8:20" x14ac:dyDescent="0.35">
      <c r="H21362" s="711"/>
      <c r="I21362" s="711"/>
      <c r="J21362" s="711"/>
      <c r="K21362" s="711"/>
      <c r="L21362" s="711"/>
      <c r="Q21362" s="11"/>
      <c r="R21362" s="11"/>
      <c r="S21362" s="11"/>
      <c r="T21362" s="11"/>
    </row>
    <row r="21363" spans="8:20" x14ac:dyDescent="0.35">
      <c r="H21363" s="711"/>
      <c r="I21363" s="711"/>
      <c r="J21363" s="711"/>
      <c r="K21363" s="711"/>
      <c r="L21363" s="711"/>
      <c r="Q21363" s="11"/>
      <c r="R21363" s="11"/>
      <c r="S21363" s="11"/>
      <c r="T21363" s="11"/>
    </row>
    <row r="21364" spans="8:20" x14ac:dyDescent="0.35">
      <c r="H21364" s="711"/>
      <c r="I21364" s="711"/>
      <c r="J21364" s="711"/>
      <c r="K21364" s="711"/>
      <c r="L21364" s="711"/>
      <c r="Q21364" s="11"/>
      <c r="R21364" s="11"/>
      <c r="S21364" s="11"/>
      <c r="T21364" s="11"/>
    </row>
    <row r="21365" spans="8:20" x14ac:dyDescent="0.35">
      <c r="H21365" s="711"/>
      <c r="I21365" s="711"/>
      <c r="J21365" s="711"/>
      <c r="K21365" s="711"/>
      <c r="L21365" s="711"/>
      <c r="Q21365" s="11"/>
      <c r="R21365" s="11"/>
      <c r="S21365" s="11"/>
      <c r="T21365" s="11"/>
    </row>
    <row r="21366" spans="8:20" x14ac:dyDescent="0.35">
      <c r="H21366" s="711"/>
      <c r="I21366" s="711"/>
      <c r="J21366" s="711"/>
      <c r="K21366" s="711"/>
      <c r="L21366" s="711"/>
      <c r="Q21366" s="11"/>
      <c r="R21366" s="11"/>
      <c r="S21366" s="11"/>
      <c r="T21366" s="11"/>
    </row>
    <row r="21367" spans="8:20" x14ac:dyDescent="0.35">
      <c r="H21367" s="711"/>
      <c r="I21367" s="711"/>
      <c r="J21367" s="711"/>
      <c r="K21367" s="711"/>
      <c r="L21367" s="711"/>
      <c r="Q21367" s="11"/>
      <c r="R21367" s="11"/>
      <c r="S21367" s="11"/>
      <c r="T21367" s="11"/>
    </row>
    <row r="21368" spans="8:20" x14ac:dyDescent="0.35">
      <c r="H21368" s="711"/>
      <c r="I21368" s="711"/>
      <c r="J21368" s="711"/>
      <c r="K21368" s="711"/>
      <c r="L21368" s="711"/>
      <c r="Q21368" s="11"/>
      <c r="R21368" s="11"/>
      <c r="S21368" s="11"/>
      <c r="T21368" s="11"/>
    </row>
    <row r="21369" spans="8:20" x14ac:dyDescent="0.35">
      <c r="H21369" s="711"/>
      <c r="I21369" s="711"/>
      <c r="J21369" s="711"/>
      <c r="K21369" s="711"/>
      <c r="L21369" s="711"/>
      <c r="Q21369" s="11"/>
      <c r="R21369" s="11"/>
      <c r="S21369" s="11"/>
      <c r="T21369" s="11"/>
    </row>
    <row r="21370" spans="8:20" x14ac:dyDescent="0.35">
      <c r="H21370" s="711"/>
      <c r="I21370" s="711"/>
      <c r="J21370" s="711"/>
      <c r="K21370" s="711"/>
      <c r="L21370" s="711"/>
      <c r="Q21370" s="11"/>
      <c r="R21370" s="11"/>
      <c r="S21370" s="11"/>
      <c r="T21370" s="11"/>
    </row>
    <row r="21371" spans="8:20" x14ac:dyDescent="0.35">
      <c r="H21371" s="711"/>
      <c r="I21371" s="711"/>
      <c r="J21371" s="711"/>
      <c r="K21371" s="711"/>
      <c r="L21371" s="711"/>
      <c r="Q21371" s="11"/>
      <c r="R21371" s="11"/>
      <c r="S21371" s="11"/>
      <c r="T21371" s="11"/>
    </row>
    <row r="21372" spans="8:20" x14ac:dyDescent="0.35">
      <c r="H21372" s="711"/>
      <c r="I21372" s="711"/>
      <c r="J21372" s="711"/>
      <c r="K21372" s="711"/>
      <c r="L21372" s="711"/>
      <c r="Q21372" s="11"/>
      <c r="R21372" s="11"/>
      <c r="S21372" s="11"/>
      <c r="T21372" s="11"/>
    </row>
    <row r="21373" spans="8:20" x14ac:dyDescent="0.35">
      <c r="H21373" s="711"/>
      <c r="I21373" s="711"/>
      <c r="J21373" s="711"/>
      <c r="K21373" s="711"/>
      <c r="L21373" s="711"/>
      <c r="Q21373" s="11"/>
      <c r="R21373" s="11"/>
      <c r="S21373" s="11"/>
      <c r="T21373" s="11"/>
    </row>
    <row r="21374" spans="8:20" x14ac:dyDescent="0.35">
      <c r="H21374" s="711"/>
      <c r="I21374" s="711"/>
      <c r="J21374" s="711"/>
      <c r="K21374" s="711"/>
      <c r="L21374" s="711"/>
      <c r="Q21374" s="11"/>
      <c r="R21374" s="11"/>
      <c r="S21374" s="11"/>
      <c r="T21374" s="11"/>
    </row>
    <row r="21375" spans="8:20" x14ac:dyDescent="0.35">
      <c r="H21375" s="711"/>
      <c r="I21375" s="711"/>
      <c r="J21375" s="711"/>
      <c r="K21375" s="711"/>
      <c r="L21375" s="711"/>
      <c r="Q21375" s="11"/>
      <c r="R21375" s="11"/>
      <c r="S21375" s="11"/>
      <c r="T21375" s="11"/>
    </row>
    <row r="21376" spans="8:20" x14ac:dyDescent="0.35">
      <c r="H21376" s="711"/>
      <c r="I21376" s="711"/>
      <c r="J21376" s="711"/>
      <c r="K21376" s="711"/>
      <c r="L21376" s="711"/>
      <c r="Q21376" s="11"/>
      <c r="R21376" s="11"/>
      <c r="S21376" s="11"/>
      <c r="T21376" s="11"/>
    </row>
    <row r="21377" spans="8:20" x14ac:dyDescent="0.35">
      <c r="H21377" s="711"/>
      <c r="I21377" s="711"/>
      <c r="J21377" s="711"/>
      <c r="K21377" s="711"/>
      <c r="L21377" s="711"/>
      <c r="Q21377" s="11"/>
      <c r="R21377" s="11"/>
      <c r="S21377" s="11"/>
      <c r="T21377" s="11"/>
    </row>
    <row r="21378" spans="8:20" x14ac:dyDescent="0.35">
      <c r="H21378" s="711"/>
      <c r="I21378" s="711"/>
      <c r="J21378" s="711"/>
      <c r="K21378" s="711"/>
      <c r="L21378" s="711"/>
      <c r="Q21378" s="11"/>
      <c r="R21378" s="11"/>
      <c r="S21378" s="11"/>
      <c r="T21378" s="11"/>
    </row>
    <row r="21379" spans="8:20" x14ac:dyDescent="0.35">
      <c r="H21379" s="711"/>
      <c r="I21379" s="711"/>
      <c r="J21379" s="711"/>
      <c r="K21379" s="711"/>
      <c r="L21379" s="711"/>
      <c r="Q21379" s="11"/>
      <c r="R21379" s="11"/>
      <c r="S21379" s="11"/>
      <c r="T21379" s="11"/>
    </row>
    <row r="21380" spans="8:20" x14ac:dyDescent="0.35">
      <c r="H21380" s="711"/>
      <c r="I21380" s="711"/>
      <c r="J21380" s="711"/>
      <c r="K21380" s="711"/>
      <c r="L21380" s="711"/>
      <c r="Q21380" s="11"/>
      <c r="R21380" s="11"/>
      <c r="S21380" s="11"/>
      <c r="T21380" s="11"/>
    </row>
    <row r="21381" spans="8:20" x14ac:dyDescent="0.35">
      <c r="H21381" s="711"/>
      <c r="I21381" s="711"/>
      <c r="J21381" s="711"/>
      <c r="K21381" s="711"/>
      <c r="L21381" s="711"/>
      <c r="Q21381" s="11"/>
      <c r="R21381" s="11"/>
      <c r="S21381" s="11"/>
      <c r="T21381" s="11"/>
    </row>
    <row r="21382" spans="8:20" x14ac:dyDescent="0.35">
      <c r="H21382" s="711"/>
      <c r="I21382" s="711"/>
      <c r="J21382" s="711"/>
      <c r="K21382" s="711"/>
      <c r="L21382" s="711"/>
      <c r="Q21382" s="11"/>
      <c r="R21382" s="11"/>
      <c r="S21382" s="11"/>
      <c r="T21382" s="11"/>
    </row>
    <row r="21383" spans="8:20" x14ac:dyDescent="0.35">
      <c r="H21383" s="711"/>
      <c r="I21383" s="711"/>
      <c r="J21383" s="711"/>
      <c r="K21383" s="711"/>
      <c r="L21383" s="711"/>
      <c r="Q21383" s="11"/>
      <c r="R21383" s="11"/>
      <c r="S21383" s="11"/>
      <c r="T21383" s="11"/>
    </row>
    <row r="21384" spans="8:20" x14ac:dyDescent="0.35">
      <c r="H21384" s="711"/>
      <c r="I21384" s="711"/>
      <c r="J21384" s="711"/>
      <c r="K21384" s="711"/>
      <c r="L21384" s="711"/>
      <c r="Q21384" s="11"/>
      <c r="R21384" s="11"/>
      <c r="S21384" s="11"/>
      <c r="T21384" s="11"/>
    </row>
    <row r="21385" spans="8:20" x14ac:dyDescent="0.35">
      <c r="H21385" s="711"/>
      <c r="I21385" s="711"/>
      <c r="J21385" s="711"/>
      <c r="K21385" s="711"/>
      <c r="L21385" s="711"/>
      <c r="Q21385" s="11"/>
      <c r="R21385" s="11"/>
      <c r="S21385" s="11"/>
      <c r="T21385" s="11"/>
    </row>
    <row r="21386" spans="8:20" x14ac:dyDescent="0.35">
      <c r="H21386" s="711"/>
      <c r="I21386" s="711"/>
      <c r="J21386" s="711"/>
      <c r="K21386" s="711"/>
      <c r="L21386" s="711"/>
      <c r="Q21386" s="11"/>
      <c r="R21386" s="11"/>
      <c r="S21386" s="11"/>
      <c r="T21386" s="11"/>
    </row>
    <row r="21387" spans="8:20" x14ac:dyDescent="0.35">
      <c r="H21387" s="711"/>
      <c r="I21387" s="711"/>
      <c r="J21387" s="711"/>
      <c r="K21387" s="711"/>
      <c r="L21387" s="711"/>
      <c r="Q21387" s="11"/>
      <c r="R21387" s="11"/>
      <c r="S21387" s="11"/>
      <c r="T21387" s="11"/>
    </row>
    <row r="21388" spans="8:20" x14ac:dyDescent="0.35">
      <c r="H21388" s="711"/>
      <c r="I21388" s="711"/>
      <c r="J21388" s="711"/>
      <c r="K21388" s="711"/>
      <c r="L21388" s="711"/>
      <c r="Q21388" s="11"/>
      <c r="R21388" s="11"/>
      <c r="S21388" s="11"/>
      <c r="T21388" s="11"/>
    </row>
    <row r="21389" spans="8:20" x14ac:dyDescent="0.35">
      <c r="H21389" s="711"/>
      <c r="I21389" s="711"/>
      <c r="J21389" s="711"/>
      <c r="K21389" s="711"/>
      <c r="L21389" s="711"/>
      <c r="Q21389" s="11"/>
      <c r="R21389" s="11"/>
      <c r="S21389" s="11"/>
      <c r="T21389" s="11"/>
    </row>
    <row r="21390" spans="8:20" x14ac:dyDescent="0.35">
      <c r="H21390" s="711"/>
      <c r="I21390" s="711"/>
      <c r="J21390" s="711"/>
      <c r="K21390" s="711"/>
      <c r="L21390" s="711"/>
      <c r="Q21390" s="11"/>
      <c r="R21390" s="11"/>
      <c r="S21390" s="11"/>
      <c r="T21390" s="11"/>
    </row>
    <row r="21391" spans="8:20" x14ac:dyDescent="0.35">
      <c r="H21391" s="711"/>
      <c r="I21391" s="711"/>
      <c r="J21391" s="711"/>
      <c r="K21391" s="711"/>
      <c r="L21391" s="711"/>
      <c r="Q21391" s="11"/>
      <c r="R21391" s="11"/>
      <c r="S21391" s="11"/>
      <c r="T21391" s="11"/>
    </row>
    <row r="21392" spans="8:20" x14ac:dyDescent="0.35">
      <c r="H21392" s="711"/>
      <c r="I21392" s="711"/>
      <c r="J21392" s="711"/>
      <c r="K21392" s="711"/>
      <c r="L21392" s="711"/>
      <c r="Q21392" s="11"/>
      <c r="R21392" s="11"/>
      <c r="S21392" s="11"/>
      <c r="T21392" s="11"/>
    </row>
    <row r="21393" spans="8:20" x14ac:dyDescent="0.35">
      <c r="H21393" s="711"/>
      <c r="I21393" s="711"/>
      <c r="J21393" s="711"/>
      <c r="K21393" s="711"/>
      <c r="L21393" s="711"/>
      <c r="Q21393" s="11"/>
      <c r="R21393" s="11"/>
      <c r="S21393" s="11"/>
      <c r="T21393" s="11"/>
    </row>
    <row r="21394" spans="8:20" x14ac:dyDescent="0.35">
      <c r="H21394" s="711"/>
      <c r="I21394" s="711"/>
      <c r="J21394" s="711"/>
      <c r="K21394" s="711"/>
      <c r="L21394" s="711"/>
      <c r="Q21394" s="11"/>
      <c r="R21394" s="11"/>
      <c r="S21394" s="11"/>
      <c r="T21394" s="11"/>
    </row>
    <row r="21395" spans="8:20" x14ac:dyDescent="0.35">
      <c r="H21395" s="711"/>
      <c r="I21395" s="711"/>
      <c r="J21395" s="711"/>
      <c r="K21395" s="711"/>
      <c r="L21395" s="711"/>
      <c r="Q21395" s="11"/>
      <c r="R21395" s="11"/>
      <c r="S21395" s="11"/>
      <c r="T21395" s="11"/>
    </row>
    <row r="21396" spans="8:20" x14ac:dyDescent="0.35">
      <c r="H21396" s="711"/>
      <c r="I21396" s="711"/>
      <c r="J21396" s="711"/>
      <c r="K21396" s="711"/>
      <c r="L21396" s="711"/>
      <c r="Q21396" s="11"/>
      <c r="R21396" s="11"/>
      <c r="S21396" s="11"/>
      <c r="T21396" s="11"/>
    </row>
    <row r="21397" spans="8:20" x14ac:dyDescent="0.35">
      <c r="H21397" s="711"/>
      <c r="I21397" s="711"/>
      <c r="J21397" s="711"/>
      <c r="K21397" s="711"/>
      <c r="L21397" s="711"/>
      <c r="Q21397" s="11"/>
      <c r="R21397" s="11"/>
      <c r="S21397" s="11"/>
      <c r="T21397" s="11"/>
    </row>
    <row r="21398" spans="8:20" x14ac:dyDescent="0.35">
      <c r="H21398" s="711"/>
      <c r="I21398" s="711"/>
      <c r="J21398" s="711"/>
      <c r="K21398" s="711"/>
      <c r="L21398" s="711"/>
      <c r="Q21398" s="11"/>
      <c r="R21398" s="11"/>
      <c r="S21398" s="11"/>
      <c r="T21398" s="11"/>
    </row>
    <row r="21399" spans="8:20" x14ac:dyDescent="0.35">
      <c r="H21399" s="711"/>
      <c r="I21399" s="711"/>
      <c r="J21399" s="711"/>
      <c r="K21399" s="711"/>
      <c r="L21399" s="711"/>
      <c r="Q21399" s="11"/>
      <c r="R21399" s="11"/>
      <c r="S21399" s="11"/>
      <c r="T21399" s="11"/>
    </row>
    <row r="21400" spans="8:20" x14ac:dyDescent="0.35">
      <c r="H21400" s="711"/>
      <c r="I21400" s="711"/>
      <c r="J21400" s="711"/>
      <c r="K21400" s="711"/>
      <c r="L21400" s="711"/>
      <c r="Q21400" s="11"/>
      <c r="R21400" s="11"/>
      <c r="S21400" s="11"/>
      <c r="T21400" s="11"/>
    </row>
    <row r="21401" spans="8:20" x14ac:dyDescent="0.35">
      <c r="H21401" s="711"/>
      <c r="I21401" s="711"/>
      <c r="J21401" s="711"/>
      <c r="K21401" s="711"/>
      <c r="L21401" s="711"/>
      <c r="Q21401" s="11"/>
      <c r="R21401" s="11"/>
      <c r="S21401" s="11"/>
      <c r="T21401" s="11"/>
    </row>
    <row r="21402" spans="8:20" x14ac:dyDescent="0.35">
      <c r="H21402" s="711"/>
      <c r="I21402" s="711"/>
      <c r="J21402" s="711"/>
      <c r="K21402" s="711"/>
      <c r="L21402" s="711"/>
      <c r="Q21402" s="11"/>
      <c r="R21402" s="11"/>
      <c r="S21402" s="11"/>
      <c r="T21402" s="11"/>
    </row>
    <row r="21403" spans="8:20" x14ac:dyDescent="0.35">
      <c r="H21403" s="711"/>
      <c r="I21403" s="711"/>
      <c r="J21403" s="711"/>
      <c r="K21403" s="711"/>
      <c r="L21403" s="711"/>
      <c r="Q21403" s="11"/>
      <c r="R21403" s="11"/>
      <c r="S21403" s="11"/>
      <c r="T21403" s="11"/>
    </row>
    <row r="21404" spans="8:20" x14ac:dyDescent="0.35">
      <c r="H21404" s="711"/>
      <c r="I21404" s="711"/>
      <c r="J21404" s="711"/>
      <c r="K21404" s="711"/>
      <c r="L21404" s="711"/>
      <c r="Q21404" s="11"/>
      <c r="R21404" s="11"/>
      <c r="S21404" s="11"/>
      <c r="T21404" s="11"/>
    </row>
    <row r="21405" spans="8:20" x14ac:dyDescent="0.35">
      <c r="H21405" s="711"/>
      <c r="I21405" s="711"/>
      <c r="J21405" s="711"/>
      <c r="K21405" s="711"/>
      <c r="L21405" s="711"/>
      <c r="Q21405" s="11"/>
      <c r="R21405" s="11"/>
      <c r="S21405" s="11"/>
      <c r="T21405" s="11"/>
    </row>
    <row r="21406" spans="8:20" x14ac:dyDescent="0.35">
      <c r="H21406" s="711"/>
      <c r="I21406" s="711"/>
      <c r="J21406" s="711"/>
      <c r="K21406" s="711"/>
      <c r="L21406" s="711"/>
      <c r="Q21406" s="11"/>
      <c r="R21406" s="11"/>
      <c r="S21406" s="11"/>
      <c r="T21406" s="11"/>
    </row>
    <row r="21407" spans="8:20" x14ac:dyDescent="0.35">
      <c r="H21407" s="711"/>
      <c r="I21407" s="711"/>
      <c r="J21407" s="711"/>
      <c r="K21407" s="711"/>
      <c r="L21407" s="711"/>
      <c r="Q21407" s="11"/>
      <c r="R21407" s="11"/>
      <c r="S21407" s="11"/>
      <c r="T21407" s="11"/>
    </row>
    <row r="21408" spans="8:20" x14ac:dyDescent="0.35">
      <c r="H21408" s="711"/>
      <c r="I21408" s="711"/>
      <c r="J21408" s="711"/>
      <c r="K21408" s="711"/>
      <c r="L21408" s="711"/>
      <c r="Q21408" s="11"/>
      <c r="R21408" s="11"/>
      <c r="S21408" s="11"/>
      <c r="T21408" s="11"/>
    </row>
    <row r="21409" spans="8:20" x14ac:dyDescent="0.35">
      <c r="H21409" s="711"/>
      <c r="I21409" s="711"/>
      <c r="J21409" s="711"/>
      <c r="K21409" s="711"/>
      <c r="L21409" s="711"/>
      <c r="Q21409" s="11"/>
      <c r="R21409" s="11"/>
      <c r="S21409" s="11"/>
      <c r="T21409" s="11"/>
    </row>
    <row r="21410" spans="8:20" x14ac:dyDescent="0.35">
      <c r="H21410" s="711"/>
      <c r="I21410" s="711"/>
      <c r="J21410" s="711"/>
      <c r="K21410" s="711"/>
      <c r="L21410" s="711"/>
      <c r="Q21410" s="11"/>
      <c r="R21410" s="11"/>
      <c r="S21410" s="11"/>
      <c r="T21410" s="11"/>
    </row>
    <row r="21411" spans="8:20" x14ac:dyDescent="0.35">
      <c r="H21411" s="711"/>
      <c r="I21411" s="711"/>
      <c r="J21411" s="711"/>
      <c r="K21411" s="711"/>
      <c r="L21411" s="711"/>
      <c r="Q21411" s="11"/>
      <c r="R21411" s="11"/>
      <c r="S21411" s="11"/>
      <c r="T21411" s="11"/>
    </row>
    <row r="21412" spans="8:20" x14ac:dyDescent="0.35">
      <c r="H21412" s="711"/>
      <c r="I21412" s="711"/>
      <c r="J21412" s="711"/>
      <c r="K21412" s="711"/>
      <c r="L21412" s="711"/>
      <c r="Q21412" s="11"/>
      <c r="R21412" s="11"/>
      <c r="S21412" s="11"/>
      <c r="T21412" s="11"/>
    </row>
    <row r="21413" spans="8:20" x14ac:dyDescent="0.35">
      <c r="H21413" s="711"/>
      <c r="I21413" s="711"/>
      <c r="J21413" s="711"/>
      <c r="K21413" s="711"/>
      <c r="L21413" s="711"/>
      <c r="Q21413" s="11"/>
      <c r="R21413" s="11"/>
      <c r="S21413" s="11"/>
      <c r="T21413" s="11"/>
    </row>
    <row r="21414" spans="8:20" x14ac:dyDescent="0.35">
      <c r="H21414" s="711"/>
      <c r="I21414" s="711"/>
      <c r="J21414" s="711"/>
      <c r="K21414" s="711"/>
      <c r="L21414" s="711"/>
      <c r="Q21414" s="11"/>
      <c r="R21414" s="11"/>
      <c r="S21414" s="11"/>
      <c r="T21414" s="11"/>
    </row>
    <row r="21415" spans="8:20" x14ac:dyDescent="0.35">
      <c r="H21415" s="711"/>
      <c r="I21415" s="711"/>
      <c r="J21415" s="711"/>
      <c r="K21415" s="711"/>
      <c r="L21415" s="711"/>
      <c r="Q21415" s="11"/>
      <c r="R21415" s="11"/>
      <c r="S21415" s="11"/>
      <c r="T21415" s="11"/>
    </row>
    <row r="21416" spans="8:20" x14ac:dyDescent="0.35">
      <c r="H21416" s="711"/>
      <c r="I21416" s="711"/>
      <c r="J21416" s="711"/>
      <c r="K21416" s="711"/>
      <c r="L21416" s="711"/>
      <c r="Q21416" s="11"/>
      <c r="R21416" s="11"/>
      <c r="S21416" s="11"/>
      <c r="T21416" s="11"/>
    </row>
    <row r="21417" spans="8:20" x14ac:dyDescent="0.35">
      <c r="H21417" s="711"/>
      <c r="I21417" s="711"/>
      <c r="J21417" s="711"/>
      <c r="K21417" s="711"/>
      <c r="L21417" s="711"/>
      <c r="Q21417" s="11"/>
      <c r="R21417" s="11"/>
      <c r="S21417" s="11"/>
      <c r="T21417" s="11"/>
    </row>
    <row r="21418" spans="8:20" x14ac:dyDescent="0.35">
      <c r="H21418" s="711"/>
      <c r="I21418" s="711"/>
      <c r="J21418" s="711"/>
      <c r="K21418" s="711"/>
      <c r="L21418" s="711"/>
      <c r="Q21418" s="11"/>
      <c r="R21418" s="11"/>
      <c r="S21418" s="11"/>
      <c r="T21418" s="11"/>
    </row>
    <row r="21419" spans="8:20" x14ac:dyDescent="0.35">
      <c r="H21419" s="711"/>
      <c r="I21419" s="711"/>
      <c r="J21419" s="711"/>
      <c r="K21419" s="711"/>
      <c r="L21419" s="711"/>
      <c r="Q21419" s="11"/>
      <c r="R21419" s="11"/>
      <c r="S21419" s="11"/>
      <c r="T21419" s="11"/>
    </row>
    <row r="21420" spans="8:20" x14ac:dyDescent="0.35">
      <c r="H21420" s="711"/>
      <c r="I21420" s="711"/>
      <c r="J21420" s="711"/>
      <c r="K21420" s="711"/>
      <c r="L21420" s="711"/>
      <c r="Q21420" s="11"/>
      <c r="R21420" s="11"/>
      <c r="S21420" s="11"/>
      <c r="T21420" s="11"/>
    </row>
    <row r="21421" spans="8:20" x14ac:dyDescent="0.35">
      <c r="H21421" s="711"/>
      <c r="I21421" s="711"/>
      <c r="J21421" s="711"/>
      <c r="K21421" s="711"/>
      <c r="L21421" s="711"/>
      <c r="Q21421" s="11"/>
      <c r="R21421" s="11"/>
      <c r="S21421" s="11"/>
      <c r="T21421" s="11"/>
    </row>
    <row r="21422" spans="8:20" x14ac:dyDescent="0.35">
      <c r="H21422" s="711"/>
      <c r="I21422" s="711"/>
      <c r="J21422" s="711"/>
      <c r="K21422" s="711"/>
      <c r="L21422" s="711"/>
      <c r="Q21422" s="11"/>
      <c r="R21422" s="11"/>
      <c r="S21422" s="11"/>
      <c r="T21422" s="11"/>
    </row>
    <row r="21423" spans="8:20" x14ac:dyDescent="0.35">
      <c r="H21423" s="711"/>
      <c r="I21423" s="711"/>
      <c r="J21423" s="711"/>
      <c r="K21423" s="711"/>
      <c r="L21423" s="711"/>
      <c r="Q21423" s="11"/>
      <c r="R21423" s="11"/>
      <c r="S21423" s="11"/>
      <c r="T21423" s="11"/>
    </row>
    <row r="21424" spans="8:20" x14ac:dyDescent="0.35">
      <c r="H21424" s="711"/>
      <c r="I21424" s="711"/>
      <c r="J21424" s="711"/>
      <c r="K21424" s="711"/>
      <c r="L21424" s="711"/>
      <c r="Q21424" s="11"/>
      <c r="R21424" s="11"/>
      <c r="S21424" s="11"/>
      <c r="T21424" s="11"/>
    </row>
    <row r="21425" spans="8:20" x14ac:dyDescent="0.35">
      <c r="H21425" s="711"/>
      <c r="I21425" s="711"/>
      <c r="J21425" s="711"/>
      <c r="K21425" s="711"/>
      <c r="L21425" s="711"/>
      <c r="Q21425" s="11"/>
      <c r="R21425" s="11"/>
      <c r="S21425" s="11"/>
      <c r="T21425" s="11"/>
    </row>
    <row r="21426" spans="8:20" x14ac:dyDescent="0.35">
      <c r="H21426" s="711"/>
      <c r="I21426" s="711"/>
      <c r="J21426" s="711"/>
      <c r="K21426" s="711"/>
      <c r="L21426" s="711"/>
      <c r="Q21426" s="11"/>
      <c r="R21426" s="11"/>
      <c r="S21426" s="11"/>
      <c r="T21426" s="11"/>
    </row>
    <row r="21427" spans="8:20" x14ac:dyDescent="0.35">
      <c r="H21427" s="711"/>
      <c r="I21427" s="711"/>
      <c r="J21427" s="711"/>
      <c r="K21427" s="711"/>
      <c r="L21427" s="711"/>
      <c r="Q21427" s="11"/>
      <c r="R21427" s="11"/>
      <c r="S21427" s="11"/>
      <c r="T21427" s="11"/>
    </row>
    <row r="21428" spans="8:20" x14ac:dyDescent="0.35">
      <c r="H21428" s="711"/>
      <c r="I21428" s="711"/>
      <c r="J21428" s="711"/>
      <c r="K21428" s="711"/>
      <c r="L21428" s="711"/>
      <c r="Q21428" s="11"/>
      <c r="R21428" s="11"/>
      <c r="S21428" s="11"/>
      <c r="T21428" s="11"/>
    </row>
    <row r="21429" spans="8:20" x14ac:dyDescent="0.35">
      <c r="H21429" s="711"/>
      <c r="I21429" s="711"/>
      <c r="J21429" s="711"/>
      <c r="K21429" s="711"/>
      <c r="L21429" s="711"/>
      <c r="Q21429" s="11"/>
      <c r="R21429" s="11"/>
      <c r="S21429" s="11"/>
      <c r="T21429" s="11"/>
    </row>
    <row r="21430" spans="8:20" x14ac:dyDescent="0.35">
      <c r="H21430" s="711"/>
      <c r="I21430" s="711"/>
      <c r="J21430" s="711"/>
      <c r="K21430" s="711"/>
      <c r="L21430" s="711"/>
      <c r="Q21430" s="11"/>
      <c r="R21430" s="11"/>
      <c r="S21430" s="11"/>
      <c r="T21430" s="11"/>
    </row>
    <row r="21431" spans="8:20" x14ac:dyDescent="0.35">
      <c r="H21431" s="711"/>
      <c r="I21431" s="711"/>
      <c r="J21431" s="711"/>
      <c r="K21431" s="711"/>
      <c r="L21431" s="711"/>
      <c r="Q21431" s="11"/>
      <c r="R21431" s="11"/>
      <c r="S21431" s="11"/>
      <c r="T21431" s="11"/>
    </row>
    <row r="21432" spans="8:20" x14ac:dyDescent="0.35">
      <c r="H21432" s="711"/>
      <c r="I21432" s="711"/>
      <c r="J21432" s="711"/>
      <c r="K21432" s="711"/>
      <c r="L21432" s="711"/>
      <c r="Q21432" s="11"/>
      <c r="R21432" s="11"/>
      <c r="S21432" s="11"/>
      <c r="T21432" s="11"/>
    </row>
    <row r="21433" spans="8:20" x14ac:dyDescent="0.35">
      <c r="H21433" s="711"/>
      <c r="I21433" s="711"/>
      <c r="J21433" s="711"/>
      <c r="K21433" s="711"/>
      <c r="L21433" s="711"/>
      <c r="Q21433" s="11"/>
      <c r="R21433" s="11"/>
      <c r="S21433" s="11"/>
      <c r="T21433" s="11"/>
    </row>
    <row r="21434" spans="8:20" x14ac:dyDescent="0.35">
      <c r="H21434" s="711"/>
      <c r="I21434" s="711"/>
      <c r="J21434" s="711"/>
      <c r="K21434" s="711"/>
      <c r="L21434" s="711"/>
      <c r="Q21434" s="11"/>
      <c r="R21434" s="11"/>
      <c r="S21434" s="11"/>
      <c r="T21434" s="11"/>
    </row>
    <row r="21435" spans="8:20" x14ac:dyDescent="0.35">
      <c r="H21435" s="711"/>
      <c r="I21435" s="711"/>
      <c r="J21435" s="711"/>
      <c r="K21435" s="711"/>
      <c r="L21435" s="711"/>
      <c r="Q21435" s="11"/>
      <c r="R21435" s="11"/>
      <c r="S21435" s="11"/>
      <c r="T21435" s="11"/>
    </row>
    <row r="21436" spans="8:20" x14ac:dyDescent="0.35">
      <c r="H21436" s="711"/>
      <c r="I21436" s="711"/>
      <c r="J21436" s="711"/>
      <c r="K21436" s="711"/>
      <c r="L21436" s="711"/>
      <c r="Q21436" s="11"/>
      <c r="R21436" s="11"/>
      <c r="S21436" s="11"/>
      <c r="T21436" s="11"/>
    </row>
    <row r="21437" spans="8:20" x14ac:dyDescent="0.35">
      <c r="H21437" s="711"/>
      <c r="I21437" s="711"/>
      <c r="J21437" s="711"/>
      <c r="K21437" s="711"/>
      <c r="L21437" s="711"/>
      <c r="Q21437" s="11"/>
      <c r="R21437" s="11"/>
      <c r="S21437" s="11"/>
      <c r="T21437" s="11"/>
    </row>
    <row r="21438" spans="8:20" x14ac:dyDescent="0.35">
      <c r="H21438" s="711"/>
      <c r="I21438" s="711"/>
      <c r="J21438" s="711"/>
      <c r="K21438" s="711"/>
      <c r="L21438" s="711"/>
      <c r="Q21438" s="11"/>
      <c r="R21438" s="11"/>
      <c r="S21438" s="11"/>
      <c r="T21438" s="11"/>
    </row>
    <row r="21439" spans="8:20" x14ac:dyDescent="0.35">
      <c r="H21439" s="711"/>
      <c r="I21439" s="711"/>
      <c r="J21439" s="711"/>
      <c r="K21439" s="711"/>
      <c r="L21439" s="711"/>
      <c r="Q21439" s="11"/>
      <c r="R21439" s="11"/>
      <c r="S21439" s="11"/>
      <c r="T21439" s="11"/>
    </row>
    <row r="21440" spans="8:20" x14ac:dyDescent="0.35">
      <c r="H21440" s="711"/>
      <c r="I21440" s="711"/>
      <c r="J21440" s="711"/>
      <c r="K21440" s="711"/>
      <c r="L21440" s="711"/>
      <c r="Q21440" s="11"/>
      <c r="R21440" s="11"/>
      <c r="S21440" s="11"/>
      <c r="T21440" s="11"/>
    </row>
    <row r="21441" spans="8:20" x14ac:dyDescent="0.35">
      <c r="H21441" s="711"/>
      <c r="I21441" s="711"/>
      <c r="J21441" s="711"/>
      <c r="K21441" s="711"/>
      <c r="L21441" s="711"/>
      <c r="Q21441" s="11"/>
      <c r="R21441" s="11"/>
      <c r="S21441" s="11"/>
      <c r="T21441" s="11"/>
    </row>
    <row r="21442" spans="8:20" x14ac:dyDescent="0.35">
      <c r="H21442" s="711"/>
      <c r="I21442" s="711"/>
      <c r="J21442" s="711"/>
      <c r="K21442" s="711"/>
      <c r="L21442" s="711"/>
      <c r="Q21442" s="11"/>
      <c r="R21442" s="11"/>
      <c r="S21442" s="11"/>
      <c r="T21442" s="11"/>
    </row>
    <row r="21443" spans="8:20" x14ac:dyDescent="0.35">
      <c r="H21443" s="711"/>
      <c r="I21443" s="711"/>
      <c r="J21443" s="711"/>
      <c r="K21443" s="711"/>
      <c r="L21443" s="711"/>
      <c r="Q21443" s="11"/>
      <c r="R21443" s="11"/>
      <c r="S21443" s="11"/>
      <c r="T21443" s="11"/>
    </row>
    <row r="21444" spans="8:20" x14ac:dyDescent="0.35">
      <c r="H21444" s="711"/>
      <c r="I21444" s="711"/>
      <c r="J21444" s="711"/>
      <c r="K21444" s="711"/>
      <c r="L21444" s="711"/>
      <c r="Q21444" s="11"/>
      <c r="R21444" s="11"/>
      <c r="S21444" s="11"/>
      <c r="T21444" s="11"/>
    </row>
    <row r="21445" spans="8:20" x14ac:dyDescent="0.35">
      <c r="H21445" s="711"/>
      <c r="I21445" s="711"/>
      <c r="J21445" s="711"/>
      <c r="K21445" s="711"/>
      <c r="L21445" s="711"/>
      <c r="Q21445" s="11"/>
      <c r="R21445" s="11"/>
      <c r="S21445" s="11"/>
      <c r="T21445" s="11"/>
    </row>
    <row r="21446" spans="8:20" x14ac:dyDescent="0.35">
      <c r="H21446" s="711"/>
      <c r="I21446" s="711"/>
      <c r="J21446" s="711"/>
      <c r="K21446" s="711"/>
      <c r="L21446" s="711"/>
      <c r="Q21446" s="11"/>
      <c r="R21446" s="11"/>
      <c r="S21446" s="11"/>
      <c r="T21446" s="11"/>
    </row>
    <row r="21447" spans="8:20" x14ac:dyDescent="0.35">
      <c r="H21447" s="711"/>
      <c r="I21447" s="711"/>
      <c r="J21447" s="711"/>
      <c r="K21447" s="711"/>
      <c r="L21447" s="711"/>
      <c r="Q21447" s="11"/>
      <c r="R21447" s="11"/>
      <c r="S21447" s="11"/>
      <c r="T21447" s="11"/>
    </row>
    <row r="21448" spans="8:20" x14ac:dyDescent="0.35">
      <c r="H21448" s="711"/>
      <c r="I21448" s="711"/>
      <c r="J21448" s="711"/>
      <c r="K21448" s="711"/>
      <c r="L21448" s="711"/>
      <c r="Q21448" s="11"/>
      <c r="R21448" s="11"/>
      <c r="S21448" s="11"/>
      <c r="T21448" s="11"/>
    </row>
    <row r="21449" spans="8:20" x14ac:dyDescent="0.35">
      <c r="H21449" s="711"/>
      <c r="I21449" s="711"/>
      <c r="J21449" s="711"/>
      <c r="K21449" s="711"/>
      <c r="L21449" s="711"/>
      <c r="Q21449" s="11"/>
      <c r="R21449" s="11"/>
      <c r="S21449" s="11"/>
      <c r="T21449" s="11"/>
    </row>
    <row r="21450" spans="8:20" x14ac:dyDescent="0.35">
      <c r="H21450" s="711"/>
      <c r="I21450" s="711"/>
      <c r="J21450" s="711"/>
      <c r="K21450" s="711"/>
      <c r="L21450" s="711"/>
      <c r="Q21450" s="11"/>
      <c r="R21450" s="11"/>
      <c r="S21450" s="11"/>
      <c r="T21450" s="11"/>
    </row>
    <row r="21451" spans="8:20" x14ac:dyDescent="0.35">
      <c r="H21451" s="711"/>
      <c r="I21451" s="711"/>
      <c r="J21451" s="711"/>
      <c r="K21451" s="711"/>
      <c r="L21451" s="711"/>
      <c r="Q21451" s="11"/>
      <c r="R21451" s="11"/>
      <c r="S21451" s="11"/>
      <c r="T21451" s="11"/>
    </row>
    <row r="21452" spans="8:20" x14ac:dyDescent="0.35">
      <c r="H21452" s="711"/>
      <c r="I21452" s="711"/>
      <c r="J21452" s="711"/>
      <c r="K21452" s="711"/>
      <c r="L21452" s="711"/>
      <c r="Q21452" s="11"/>
      <c r="R21452" s="11"/>
      <c r="S21452" s="11"/>
      <c r="T21452" s="11"/>
    </row>
    <row r="21453" spans="8:20" x14ac:dyDescent="0.35">
      <c r="H21453" s="711"/>
      <c r="I21453" s="711"/>
      <c r="J21453" s="711"/>
      <c r="K21453" s="711"/>
      <c r="L21453" s="711"/>
      <c r="Q21453" s="11"/>
      <c r="R21453" s="11"/>
      <c r="S21453" s="11"/>
      <c r="T21453" s="11"/>
    </row>
    <row r="21454" spans="8:20" x14ac:dyDescent="0.35">
      <c r="H21454" s="711"/>
      <c r="I21454" s="711"/>
      <c r="J21454" s="711"/>
      <c r="K21454" s="711"/>
      <c r="L21454" s="711"/>
      <c r="Q21454" s="11"/>
      <c r="R21454" s="11"/>
      <c r="S21454" s="11"/>
      <c r="T21454" s="11"/>
    </row>
    <row r="21455" spans="8:20" x14ac:dyDescent="0.35">
      <c r="H21455" s="711"/>
      <c r="I21455" s="711"/>
      <c r="J21455" s="711"/>
      <c r="K21455" s="711"/>
      <c r="L21455" s="711"/>
      <c r="Q21455" s="11"/>
      <c r="R21455" s="11"/>
      <c r="S21455" s="11"/>
      <c r="T21455" s="11"/>
    </row>
    <row r="21456" spans="8:20" x14ac:dyDescent="0.35">
      <c r="H21456" s="711"/>
      <c r="I21456" s="711"/>
      <c r="J21456" s="711"/>
      <c r="K21456" s="711"/>
      <c r="L21456" s="711"/>
      <c r="Q21456" s="11"/>
      <c r="R21456" s="11"/>
      <c r="S21456" s="11"/>
      <c r="T21456" s="11"/>
    </row>
    <row r="21457" spans="8:20" x14ac:dyDescent="0.35">
      <c r="H21457" s="711"/>
      <c r="I21457" s="711"/>
      <c r="J21457" s="711"/>
      <c r="K21457" s="711"/>
      <c r="L21457" s="711"/>
      <c r="Q21457" s="11"/>
      <c r="R21457" s="11"/>
      <c r="S21457" s="11"/>
      <c r="T21457" s="11"/>
    </row>
    <row r="21458" spans="8:20" x14ac:dyDescent="0.35">
      <c r="H21458" s="711"/>
      <c r="I21458" s="711"/>
      <c r="J21458" s="711"/>
      <c r="K21458" s="711"/>
      <c r="L21458" s="711"/>
      <c r="Q21458" s="11"/>
      <c r="R21458" s="11"/>
      <c r="S21458" s="11"/>
      <c r="T21458" s="11"/>
    </row>
    <row r="21459" spans="8:20" x14ac:dyDescent="0.35">
      <c r="H21459" s="711"/>
      <c r="I21459" s="711"/>
      <c r="J21459" s="711"/>
      <c r="K21459" s="711"/>
      <c r="L21459" s="711"/>
      <c r="Q21459" s="11"/>
      <c r="R21459" s="11"/>
      <c r="S21459" s="11"/>
      <c r="T21459" s="11"/>
    </row>
    <row r="21460" spans="8:20" x14ac:dyDescent="0.35">
      <c r="H21460" s="711"/>
      <c r="I21460" s="711"/>
      <c r="J21460" s="711"/>
      <c r="K21460" s="711"/>
      <c r="L21460" s="711"/>
      <c r="Q21460" s="11"/>
      <c r="R21460" s="11"/>
      <c r="S21460" s="11"/>
      <c r="T21460" s="11"/>
    </row>
    <row r="21461" spans="8:20" x14ac:dyDescent="0.35">
      <c r="H21461" s="711"/>
      <c r="I21461" s="711"/>
      <c r="J21461" s="711"/>
      <c r="K21461" s="711"/>
      <c r="L21461" s="711"/>
      <c r="Q21461" s="11"/>
      <c r="R21461" s="11"/>
      <c r="S21461" s="11"/>
      <c r="T21461" s="11"/>
    </row>
    <row r="21462" spans="8:20" x14ac:dyDescent="0.35">
      <c r="H21462" s="711"/>
      <c r="I21462" s="711"/>
      <c r="J21462" s="711"/>
      <c r="K21462" s="711"/>
      <c r="L21462" s="711"/>
      <c r="Q21462" s="11"/>
      <c r="R21462" s="11"/>
      <c r="S21462" s="11"/>
      <c r="T21462" s="11"/>
    </row>
    <row r="21463" spans="8:20" x14ac:dyDescent="0.35">
      <c r="H21463" s="711"/>
      <c r="I21463" s="711"/>
      <c r="J21463" s="711"/>
      <c r="K21463" s="711"/>
      <c r="L21463" s="711"/>
      <c r="Q21463" s="11"/>
      <c r="R21463" s="11"/>
      <c r="S21463" s="11"/>
      <c r="T21463" s="11"/>
    </row>
    <row r="21464" spans="8:20" x14ac:dyDescent="0.35">
      <c r="H21464" s="711"/>
      <c r="I21464" s="711"/>
      <c r="J21464" s="711"/>
      <c r="K21464" s="711"/>
      <c r="L21464" s="711"/>
      <c r="Q21464" s="11"/>
      <c r="R21464" s="11"/>
      <c r="S21464" s="11"/>
      <c r="T21464" s="11"/>
    </row>
    <row r="21465" spans="8:20" x14ac:dyDescent="0.35">
      <c r="H21465" s="711"/>
      <c r="I21465" s="711"/>
      <c r="J21465" s="711"/>
      <c r="K21465" s="711"/>
      <c r="L21465" s="711"/>
      <c r="Q21465" s="11"/>
      <c r="R21465" s="11"/>
      <c r="S21465" s="11"/>
      <c r="T21465" s="11"/>
    </row>
    <row r="21466" spans="8:20" x14ac:dyDescent="0.35">
      <c r="H21466" s="711"/>
      <c r="I21466" s="711"/>
      <c r="J21466" s="711"/>
      <c r="K21466" s="711"/>
      <c r="L21466" s="711"/>
      <c r="Q21466" s="11"/>
      <c r="R21466" s="11"/>
      <c r="S21466" s="11"/>
      <c r="T21466" s="11"/>
    </row>
    <row r="21467" spans="8:20" x14ac:dyDescent="0.35">
      <c r="H21467" s="711"/>
      <c r="I21467" s="711"/>
      <c r="J21467" s="711"/>
      <c r="K21467" s="711"/>
      <c r="L21467" s="711"/>
      <c r="Q21467" s="11"/>
      <c r="R21467" s="11"/>
      <c r="S21467" s="11"/>
      <c r="T21467" s="11"/>
    </row>
    <row r="21468" spans="8:20" x14ac:dyDescent="0.35">
      <c r="H21468" s="711"/>
      <c r="I21468" s="711"/>
      <c r="J21468" s="711"/>
      <c r="K21468" s="711"/>
      <c r="L21468" s="711"/>
      <c r="Q21468" s="11"/>
      <c r="R21468" s="11"/>
      <c r="S21468" s="11"/>
      <c r="T21468" s="11"/>
    </row>
    <row r="21469" spans="8:20" x14ac:dyDescent="0.35">
      <c r="H21469" s="711"/>
      <c r="I21469" s="711"/>
      <c r="J21469" s="711"/>
      <c r="K21469" s="711"/>
      <c r="L21469" s="711"/>
      <c r="Q21469" s="11"/>
      <c r="R21469" s="11"/>
      <c r="S21469" s="11"/>
      <c r="T21469" s="11"/>
    </row>
    <row r="21470" spans="8:20" x14ac:dyDescent="0.35">
      <c r="H21470" s="711"/>
      <c r="I21470" s="711"/>
      <c r="J21470" s="711"/>
      <c r="K21470" s="711"/>
      <c r="L21470" s="711"/>
      <c r="Q21470" s="11"/>
      <c r="R21470" s="11"/>
      <c r="S21470" s="11"/>
      <c r="T21470" s="11"/>
    </row>
    <row r="21471" spans="8:20" x14ac:dyDescent="0.35">
      <c r="H21471" s="711"/>
      <c r="I21471" s="711"/>
      <c r="J21471" s="711"/>
      <c r="K21471" s="711"/>
      <c r="L21471" s="711"/>
      <c r="Q21471" s="11"/>
      <c r="R21471" s="11"/>
      <c r="S21471" s="11"/>
      <c r="T21471" s="11"/>
    </row>
    <row r="21472" spans="8:20" x14ac:dyDescent="0.35">
      <c r="H21472" s="711"/>
      <c r="I21472" s="711"/>
      <c r="J21472" s="711"/>
      <c r="K21472" s="711"/>
      <c r="L21472" s="711"/>
      <c r="Q21472" s="11"/>
      <c r="R21472" s="11"/>
      <c r="S21472" s="11"/>
      <c r="T21472" s="11"/>
    </row>
    <row r="21473" spans="8:20" x14ac:dyDescent="0.35">
      <c r="H21473" s="711"/>
      <c r="I21473" s="711"/>
      <c r="J21473" s="711"/>
      <c r="K21473" s="711"/>
      <c r="L21473" s="711"/>
      <c r="Q21473" s="11"/>
      <c r="R21473" s="11"/>
      <c r="S21473" s="11"/>
      <c r="T21473" s="11"/>
    </row>
    <row r="21474" spans="8:20" x14ac:dyDescent="0.35">
      <c r="H21474" s="711"/>
      <c r="I21474" s="711"/>
      <c r="J21474" s="711"/>
      <c r="K21474" s="711"/>
      <c r="L21474" s="711"/>
      <c r="Q21474" s="11"/>
      <c r="R21474" s="11"/>
      <c r="S21474" s="11"/>
      <c r="T21474" s="11"/>
    </row>
    <row r="21475" spans="8:20" x14ac:dyDescent="0.35">
      <c r="H21475" s="711"/>
      <c r="I21475" s="711"/>
      <c r="J21475" s="711"/>
      <c r="K21475" s="711"/>
      <c r="L21475" s="711"/>
      <c r="Q21475" s="11"/>
      <c r="R21475" s="11"/>
      <c r="S21475" s="11"/>
      <c r="T21475" s="11"/>
    </row>
    <row r="21476" spans="8:20" x14ac:dyDescent="0.35">
      <c r="H21476" s="711"/>
      <c r="I21476" s="711"/>
      <c r="J21476" s="711"/>
      <c r="K21476" s="711"/>
      <c r="L21476" s="711"/>
      <c r="Q21476" s="11"/>
      <c r="R21476" s="11"/>
      <c r="S21476" s="11"/>
      <c r="T21476" s="11"/>
    </row>
    <row r="21477" spans="8:20" x14ac:dyDescent="0.35">
      <c r="H21477" s="711"/>
      <c r="I21477" s="711"/>
      <c r="J21477" s="711"/>
      <c r="K21477" s="711"/>
      <c r="L21477" s="711"/>
      <c r="Q21477" s="11"/>
      <c r="R21477" s="11"/>
      <c r="S21477" s="11"/>
      <c r="T21477" s="11"/>
    </row>
    <row r="21478" spans="8:20" x14ac:dyDescent="0.35">
      <c r="H21478" s="711"/>
      <c r="I21478" s="711"/>
      <c r="J21478" s="711"/>
      <c r="K21478" s="711"/>
      <c r="L21478" s="711"/>
      <c r="Q21478" s="11"/>
      <c r="R21478" s="11"/>
      <c r="S21478" s="11"/>
      <c r="T21478" s="11"/>
    </row>
    <row r="21479" spans="8:20" x14ac:dyDescent="0.35">
      <c r="H21479" s="711"/>
      <c r="I21479" s="711"/>
      <c r="J21479" s="711"/>
      <c r="K21479" s="711"/>
      <c r="L21479" s="711"/>
      <c r="Q21479" s="11"/>
      <c r="R21479" s="11"/>
      <c r="S21479" s="11"/>
      <c r="T21479" s="11"/>
    </row>
    <row r="21480" spans="8:20" x14ac:dyDescent="0.35">
      <c r="H21480" s="711"/>
      <c r="I21480" s="711"/>
      <c r="J21480" s="711"/>
      <c r="K21480" s="711"/>
      <c r="L21480" s="711"/>
      <c r="Q21480" s="11"/>
      <c r="R21480" s="11"/>
      <c r="S21480" s="11"/>
      <c r="T21480" s="11"/>
    </row>
    <row r="21481" spans="8:20" x14ac:dyDescent="0.35">
      <c r="H21481" s="711"/>
      <c r="I21481" s="711"/>
      <c r="J21481" s="711"/>
      <c r="K21481" s="711"/>
      <c r="L21481" s="711"/>
      <c r="Q21481" s="11"/>
      <c r="R21481" s="11"/>
      <c r="S21481" s="11"/>
      <c r="T21481" s="11"/>
    </row>
    <row r="21482" spans="8:20" x14ac:dyDescent="0.35">
      <c r="H21482" s="711"/>
      <c r="I21482" s="711"/>
      <c r="J21482" s="711"/>
      <c r="K21482" s="711"/>
      <c r="L21482" s="711"/>
      <c r="Q21482" s="11"/>
      <c r="R21482" s="11"/>
      <c r="S21482" s="11"/>
      <c r="T21482" s="11"/>
    </row>
    <row r="21483" spans="8:20" x14ac:dyDescent="0.35">
      <c r="H21483" s="711"/>
      <c r="I21483" s="711"/>
      <c r="J21483" s="711"/>
      <c r="K21483" s="711"/>
      <c r="L21483" s="711"/>
      <c r="Q21483" s="11"/>
      <c r="R21483" s="11"/>
      <c r="S21483" s="11"/>
      <c r="T21483" s="11"/>
    </row>
    <row r="21484" spans="8:20" x14ac:dyDescent="0.35">
      <c r="H21484" s="711"/>
      <c r="I21484" s="711"/>
      <c r="J21484" s="711"/>
      <c r="K21484" s="711"/>
      <c r="L21484" s="711"/>
      <c r="Q21484" s="11"/>
      <c r="R21484" s="11"/>
      <c r="S21484" s="11"/>
      <c r="T21484" s="11"/>
    </row>
    <row r="21485" spans="8:20" x14ac:dyDescent="0.35">
      <c r="H21485" s="711"/>
      <c r="I21485" s="711"/>
      <c r="J21485" s="711"/>
      <c r="K21485" s="711"/>
      <c r="L21485" s="711"/>
      <c r="Q21485" s="11"/>
      <c r="R21485" s="11"/>
      <c r="S21485" s="11"/>
      <c r="T21485" s="11"/>
    </row>
    <row r="21486" spans="8:20" x14ac:dyDescent="0.35">
      <c r="H21486" s="711"/>
      <c r="I21486" s="711"/>
      <c r="J21486" s="711"/>
      <c r="K21486" s="711"/>
      <c r="L21486" s="711"/>
      <c r="Q21486" s="11"/>
      <c r="R21486" s="11"/>
      <c r="S21486" s="11"/>
      <c r="T21486" s="11"/>
    </row>
    <row r="21487" spans="8:20" x14ac:dyDescent="0.35">
      <c r="H21487" s="711"/>
      <c r="I21487" s="711"/>
      <c r="J21487" s="711"/>
      <c r="K21487" s="711"/>
      <c r="L21487" s="711"/>
      <c r="Q21487" s="11"/>
      <c r="R21487" s="11"/>
      <c r="S21487" s="11"/>
      <c r="T21487" s="11"/>
    </row>
    <row r="21488" spans="8:20" x14ac:dyDescent="0.35">
      <c r="H21488" s="711"/>
      <c r="I21488" s="711"/>
      <c r="J21488" s="711"/>
      <c r="K21488" s="711"/>
      <c r="L21488" s="711"/>
      <c r="Q21488" s="11"/>
      <c r="R21488" s="11"/>
      <c r="S21488" s="11"/>
      <c r="T21488" s="11"/>
    </row>
    <row r="21489" spans="8:20" x14ac:dyDescent="0.35">
      <c r="H21489" s="711"/>
      <c r="I21489" s="711"/>
      <c r="J21489" s="711"/>
      <c r="K21489" s="711"/>
      <c r="L21489" s="711"/>
      <c r="Q21489" s="11"/>
      <c r="R21489" s="11"/>
      <c r="S21489" s="11"/>
      <c r="T21489" s="11"/>
    </row>
    <row r="21490" spans="8:20" x14ac:dyDescent="0.35">
      <c r="H21490" s="711"/>
      <c r="I21490" s="711"/>
      <c r="J21490" s="711"/>
      <c r="K21490" s="711"/>
      <c r="L21490" s="711"/>
      <c r="Q21490" s="11"/>
      <c r="R21490" s="11"/>
      <c r="S21490" s="11"/>
      <c r="T21490" s="11"/>
    </row>
    <row r="21491" spans="8:20" x14ac:dyDescent="0.35">
      <c r="H21491" s="711"/>
      <c r="I21491" s="711"/>
      <c r="J21491" s="711"/>
      <c r="K21491" s="711"/>
      <c r="L21491" s="711"/>
      <c r="Q21491" s="11"/>
      <c r="R21491" s="11"/>
      <c r="S21491" s="11"/>
      <c r="T21491" s="11"/>
    </row>
    <row r="21492" spans="8:20" x14ac:dyDescent="0.35">
      <c r="H21492" s="711"/>
      <c r="I21492" s="711"/>
      <c r="J21492" s="711"/>
      <c r="K21492" s="711"/>
      <c r="L21492" s="711"/>
      <c r="Q21492" s="11"/>
      <c r="R21492" s="11"/>
      <c r="S21492" s="11"/>
      <c r="T21492" s="11"/>
    </row>
    <row r="21493" spans="8:20" x14ac:dyDescent="0.35">
      <c r="H21493" s="711"/>
      <c r="I21493" s="711"/>
      <c r="J21493" s="711"/>
      <c r="K21493" s="711"/>
      <c r="L21493" s="711"/>
      <c r="Q21493" s="11"/>
      <c r="R21493" s="11"/>
      <c r="S21493" s="11"/>
      <c r="T21493" s="11"/>
    </row>
    <row r="21494" spans="8:20" x14ac:dyDescent="0.35">
      <c r="H21494" s="711"/>
      <c r="I21494" s="711"/>
      <c r="J21494" s="711"/>
      <c r="K21494" s="711"/>
      <c r="L21494" s="711"/>
      <c r="Q21494" s="11"/>
      <c r="R21494" s="11"/>
      <c r="S21494" s="11"/>
      <c r="T21494" s="11"/>
    </row>
    <row r="21495" spans="8:20" x14ac:dyDescent="0.35">
      <c r="H21495" s="711"/>
      <c r="I21495" s="711"/>
      <c r="J21495" s="711"/>
      <c r="K21495" s="711"/>
      <c r="L21495" s="711"/>
      <c r="Q21495" s="11"/>
      <c r="R21495" s="11"/>
      <c r="S21495" s="11"/>
      <c r="T21495" s="11"/>
    </row>
    <row r="21496" spans="8:20" x14ac:dyDescent="0.35">
      <c r="H21496" s="711"/>
      <c r="I21496" s="711"/>
      <c r="J21496" s="711"/>
      <c r="K21496" s="711"/>
      <c r="L21496" s="711"/>
      <c r="Q21496" s="11"/>
      <c r="R21496" s="11"/>
      <c r="S21496" s="11"/>
      <c r="T21496" s="11"/>
    </row>
    <row r="21497" spans="8:20" x14ac:dyDescent="0.35">
      <c r="H21497" s="711"/>
      <c r="I21497" s="711"/>
      <c r="J21497" s="711"/>
      <c r="K21497" s="711"/>
      <c r="L21497" s="711"/>
      <c r="Q21497" s="11"/>
      <c r="R21497" s="11"/>
      <c r="S21497" s="11"/>
      <c r="T21497" s="11"/>
    </row>
    <row r="21498" spans="8:20" x14ac:dyDescent="0.35">
      <c r="H21498" s="711"/>
      <c r="I21498" s="711"/>
      <c r="J21498" s="711"/>
      <c r="K21498" s="711"/>
      <c r="L21498" s="711"/>
      <c r="Q21498" s="11"/>
      <c r="R21498" s="11"/>
      <c r="S21498" s="11"/>
      <c r="T21498" s="11"/>
    </row>
    <row r="21499" spans="8:20" x14ac:dyDescent="0.35">
      <c r="H21499" s="711"/>
      <c r="I21499" s="711"/>
      <c r="J21499" s="711"/>
      <c r="K21499" s="711"/>
      <c r="L21499" s="711"/>
      <c r="Q21499" s="11"/>
      <c r="R21499" s="11"/>
      <c r="S21499" s="11"/>
      <c r="T21499" s="11"/>
    </row>
    <row r="21500" spans="8:20" x14ac:dyDescent="0.35">
      <c r="H21500" s="711"/>
      <c r="I21500" s="711"/>
      <c r="J21500" s="711"/>
      <c r="K21500" s="711"/>
      <c r="L21500" s="711"/>
      <c r="Q21500" s="11"/>
      <c r="R21500" s="11"/>
      <c r="S21500" s="11"/>
      <c r="T21500" s="11"/>
    </row>
    <row r="21501" spans="8:20" x14ac:dyDescent="0.35">
      <c r="H21501" s="711"/>
      <c r="I21501" s="711"/>
      <c r="J21501" s="711"/>
      <c r="K21501" s="711"/>
      <c r="L21501" s="711"/>
      <c r="Q21501" s="11"/>
      <c r="R21501" s="11"/>
      <c r="S21501" s="11"/>
      <c r="T21501" s="11"/>
    </row>
    <row r="21502" spans="8:20" x14ac:dyDescent="0.35">
      <c r="H21502" s="711"/>
      <c r="I21502" s="711"/>
      <c r="J21502" s="711"/>
      <c r="K21502" s="711"/>
      <c r="L21502" s="711"/>
      <c r="Q21502" s="11"/>
      <c r="R21502" s="11"/>
      <c r="S21502" s="11"/>
      <c r="T21502" s="11"/>
    </row>
    <row r="21503" spans="8:20" x14ac:dyDescent="0.35">
      <c r="H21503" s="711"/>
      <c r="I21503" s="711"/>
      <c r="J21503" s="711"/>
      <c r="K21503" s="711"/>
      <c r="L21503" s="711"/>
      <c r="Q21503" s="11"/>
      <c r="R21503" s="11"/>
      <c r="S21503" s="11"/>
      <c r="T21503" s="11"/>
    </row>
    <row r="21504" spans="8:20" x14ac:dyDescent="0.35">
      <c r="H21504" s="711"/>
      <c r="I21504" s="711"/>
      <c r="J21504" s="711"/>
      <c r="K21504" s="711"/>
      <c r="L21504" s="711"/>
      <c r="Q21504" s="11"/>
      <c r="R21504" s="11"/>
      <c r="S21504" s="11"/>
      <c r="T21504" s="11"/>
    </row>
    <row r="21505" spans="8:20" x14ac:dyDescent="0.35">
      <c r="H21505" s="711"/>
      <c r="I21505" s="711"/>
      <c r="J21505" s="711"/>
      <c r="K21505" s="711"/>
      <c r="L21505" s="711"/>
      <c r="Q21505" s="11"/>
      <c r="R21505" s="11"/>
      <c r="S21505" s="11"/>
      <c r="T21505" s="11"/>
    </row>
    <row r="21506" spans="8:20" x14ac:dyDescent="0.35">
      <c r="H21506" s="711"/>
      <c r="I21506" s="711"/>
      <c r="J21506" s="711"/>
      <c r="K21506" s="711"/>
      <c r="L21506" s="711"/>
      <c r="Q21506" s="11"/>
      <c r="R21506" s="11"/>
      <c r="S21506" s="11"/>
      <c r="T21506" s="11"/>
    </row>
    <row r="21507" spans="8:20" x14ac:dyDescent="0.35">
      <c r="H21507" s="711"/>
      <c r="I21507" s="711"/>
      <c r="J21507" s="711"/>
      <c r="K21507" s="711"/>
      <c r="L21507" s="711"/>
      <c r="Q21507" s="11"/>
      <c r="R21507" s="11"/>
      <c r="S21507" s="11"/>
      <c r="T21507" s="11"/>
    </row>
    <row r="21508" spans="8:20" x14ac:dyDescent="0.35">
      <c r="H21508" s="711"/>
      <c r="I21508" s="711"/>
      <c r="J21508" s="711"/>
      <c r="K21508" s="711"/>
      <c r="L21508" s="711"/>
      <c r="Q21508" s="11"/>
      <c r="R21508" s="11"/>
      <c r="S21508" s="11"/>
      <c r="T21508" s="11"/>
    </row>
    <row r="21509" spans="8:20" x14ac:dyDescent="0.35">
      <c r="H21509" s="711"/>
      <c r="I21509" s="711"/>
      <c r="J21509" s="711"/>
      <c r="K21509" s="711"/>
      <c r="L21509" s="711"/>
      <c r="Q21509" s="11"/>
      <c r="R21509" s="11"/>
      <c r="S21509" s="11"/>
      <c r="T21509" s="11"/>
    </row>
    <row r="21510" spans="8:20" x14ac:dyDescent="0.35">
      <c r="H21510" s="711"/>
      <c r="I21510" s="711"/>
      <c r="J21510" s="711"/>
      <c r="K21510" s="711"/>
      <c r="L21510" s="711"/>
      <c r="Q21510" s="11"/>
      <c r="R21510" s="11"/>
      <c r="S21510" s="11"/>
      <c r="T21510" s="11"/>
    </row>
    <row r="21511" spans="8:20" x14ac:dyDescent="0.35">
      <c r="H21511" s="711"/>
      <c r="I21511" s="711"/>
      <c r="J21511" s="711"/>
      <c r="K21511" s="711"/>
      <c r="L21511" s="711"/>
      <c r="Q21511" s="11"/>
      <c r="R21511" s="11"/>
      <c r="S21511" s="11"/>
      <c r="T21511" s="11"/>
    </row>
    <row r="21512" spans="8:20" x14ac:dyDescent="0.35">
      <c r="H21512" s="711"/>
      <c r="I21512" s="711"/>
      <c r="J21512" s="711"/>
      <c r="K21512" s="711"/>
      <c r="L21512" s="711"/>
      <c r="Q21512" s="11"/>
      <c r="R21512" s="11"/>
      <c r="S21512" s="11"/>
      <c r="T21512" s="11"/>
    </row>
    <row r="21513" spans="8:20" x14ac:dyDescent="0.35">
      <c r="H21513" s="711"/>
      <c r="I21513" s="711"/>
      <c r="J21513" s="711"/>
      <c r="K21513" s="711"/>
      <c r="L21513" s="711"/>
      <c r="Q21513" s="11"/>
      <c r="R21513" s="11"/>
      <c r="S21513" s="11"/>
      <c r="T21513" s="11"/>
    </row>
    <row r="21514" spans="8:20" x14ac:dyDescent="0.35">
      <c r="H21514" s="711"/>
      <c r="I21514" s="711"/>
      <c r="J21514" s="711"/>
      <c r="K21514" s="711"/>
      <c r="L21514" s="711"/>
      <c r="Q21514" s="11"/>
      <c r="R21514" s="11"/>
      <c r="S21514" s="11"/>
      <c r="T21514" s="11"/>
    </row>
    <row r="21515" spans="8:20" x14ac:dyDescent="0.35">
      <c r="H21515" s="711"/>
      <c r="I21515" s="711"/>
      <c r="J21515" s="711"/>
      <c r="K21515" s="711"/>
      <c r="L21515" s="711"/>
      <c r="Q21515" s="11"/>
      <c r="R21515" s="11"/>
      <c r="S21515" s="11"/>
      <c r="T21515" s="11"/>
    </row>
    <row r="21516" spans="8:20" x14ac:dyDescent="0.35">
      <c r="H21516" s="711"/>
      <c r="I21516" s="711"/>
      <c r="J21516" s="711"/>
      <c r="K21516" s="711"/>
      <c r="L21516" s="711"/>
      <c r="Q21516" s="11"/>
      <c r="R21516" s="11"/>
      <c r="S21516" s="11"/>
      <c r="T21516" s="11"/>
    </row>
    <row r="21517" spans="8:20" x14ac:dyDescent="0.35">
      <c r="H21517" s="711"/>
      <c r="I21517" s="711"/>
      <c r="J21517" s="711"/>
      <c r="K21517" s="711"/>
      <c r="L21517" s="711"/>
      <c r="Q21517" s="11"/>
      <c r="R21517" s="11"/>
      <c r="S21517" s="11"/>
      <c r="T21517" s="11"/>
    </row>
    <row r="21518" spans="8:20" x14ac:dyDescent="0.35">
      <c r="H21518" s="711"/>
      <c r="I21518" s="711"/>
      <c r="J21518" s="711"/>
      <c r="K21518" s="711"/>
      <c r="L21518" s="711"/>
      <c r="Q21518" s="11"/>
      <c r="R21518" s="11"/>
      <c r="S21518" s="11"/>
      <c r="T21518" s="11"/>
    </row>
    <row r="21519" spans="8:20" x14ac:dyDescent="0.35">
      <c r="H21519" s="711"/>
      <c r="I21519" s="711"/>
      <c r="J21519" s="711"/>
      <c r="K21519" s="711"/>
      <c r="L21519" s="711"/>
      <c r="Q21519" s="11"/>
      <c r="R21519" s="11"/>
      <c r="S21519" s="11"/>
      <c r="T21519" s="11"/>
    </row>
    <row r="21520" spans="8:20" x14ac:dyDescent="0.35">
      <c r="H21520" s="711"/>
      <c r="I21520" s="711"/>
      <c r="J21520" s="711"/>
      <c r="K21520" s="711"/>
      <c r="L21520" s="711"/>
      <c r="Q21520" s="11"/>
      <c r="R21520" s="11"/>
      <c r="S21520" s="11"/>
      <c r="T21520" s="11"/>
    </row>
    <row r="21521" spans="8:20" x14ac:dyDescent="0.35">
      <c r="H21521" s="711"/>
      <c r="I21521" s="711"/>
      <c r="J21521" s="711"/>
      <c r="K21521" s="711"/>
      <c r="L21521" s="711"/>
      <c r="Q21521" s="11"/>
      <c r="R21521" s="11"/>
      <c r="S21521" s="11"/>
      <c r="T21521" s="11"/>
    </row>
    <row r="21522" spans="8:20" x14ac:dyDescent="0.35">
      <c r="H21522" s="711"/>
      <c r="I21522" s="711"/>
      <c r="J21522" s="711"/>
      <c r="K21522" s="711"/>
      <c r="L21522" s="711"/>
      <c r="Q21522" s="11"/>
      <c r="R21522" s="11"/>
      <c r="S21522" s="11"/>
      <c r="T21522" s="11"/>
    </row>
    <row r="21523" spans="8:20" x14ac:dyDescent="0.35">
      <c r="H21523" s="711"/>
      <c r="I21523" s="711"/>
      <c r="J21523" s="711"/>
      <c r="K21523" s="711"/>
      <c r="L21523" s="711"/>
      <c r="Q21523" s="11"/>
      <c r="R21523" s="11"/>
      <c r="S21523" s="11"/>
      <c r="T21523" s="11"/>
    </row>
    <row r="21524" spans="8:20" x14ac:dyDescent="0.35">
      <c r="H21524" s="711"/>
      <c r="I21524" s="711"/>
      <c r="J21524" s="711"/>
      <c r="K21524" s="711"/>
      <c r="L21524" s="711"/>
      <c r="Q21524" s="11"/>
      <c r="R21524" s="11"/>
      <c r="S21524" s="11"/>
      <c r="T21524" s="11"/>
    </row>
    <row r="21525" spans="8:20" x14ac:dyDescent="0.35">
      <c r="H21525" s="711"/>
      <c r="I21525" s="711"/>
      <c r="J21525" s="711"/>
      <c r="K21525" s="711"/>
      <c r="L21525" s="711"/>
      <c r="Q21525" s="11"/>
      <c r="R21525" s="11"/>
      <c r="S21525" s="11"/>
      <c r="T21525" s="11"/>
    </row>
    <row r="21526" spans="8:20" x14ac:dyDescent="0.35">
      <c r="H21526" s="711"/>
      <c r="I21526" s="711"/>
      <c r="J21526" s="711"/>
      <c r="K21526" s="711"/>
      <c r="L21526" s="711"/>
      <c r="Q21526" s="11"/>
      <c r="R21526" s="11"/>
      <c r="S21526" s="11"/>
      <c r="T21526" s="11"/>
    </row>
    <row r="21527" spans="8:20" x14ac:dyDescent="0.35">
      <c r="H21527" s="711"/>
      <c r="I21527" s="711"/>
      <c r="J21527" s="711"/>
      <c r="K21527" s="711"/>
      <c r="L21527" s="711"/>
      <c r="Q21527" s="11"/>
      <c r="R21527" s="11"/>
      <c r="S21527" s="11"/>
      <c r="T21527" s="11"/>
    </row>
    <row r="21528" spans="8:20" x14ac:dyDescent="0.35">
      <c r="H21528" s="711"/>
      <c r="I21528" s="711"/>
      <c r="J21528" s="711"/>
      <c r="K21528" s="711"/>
      <c r="L21528" s="711"/>
      <c r="Q21528" s="11"/>
      <c r="R21528" s="11"/>
      <c r="S21528" s="11"/>
      <c r="T21528" s="11"/>
    </row>
    <row r="21529" spans="8:20" x14ac:dyDescent="0.35">
      <c r="H21529" s="711"/>
      <c r="I21529" s="711"/>
      <c r="J21529" s="711"/>
      <c r="K21529" s="711"/>
      <c r="L21529" s="711"/>
      <c r="Q21529" s="11"/>
      <c r="R21529" s="11"/>
      <c r="S21529" s="11"/>
      <c r="T21529" s="11"/>
    </row>
    <row r="21530" spans="8:20" x14ac:dyDescent="0.35">
      <c r="H21530" s="711"/>
      <c r="I21530" s="711"/>
      <c r="J21530" s="711"/>
      <c r="K21530" s="711"/>
      <c r="L21530" s="711"/>
      <c r="Q21530" s="11"/>
      <c r="R21530" s="11"/>
      <c r="S21530" s="11"/>
      <c r="T21530" s="11"/>
    </row>
    <row r="21531" spans="8:20" x14ac:dyDescent="0.35">
      <c r="H21531" s="711"/>
      <c r="I21531" s="711"/>
      <c r="J21531" s="711"/>
      <c r="K21531" s="711"/>
      <c r="L21531" s="711"/>
      <c r="Q21531" s="11"/>
      <c r="R21531" s="11"/>
      <c r="S21531" s="11"/>
      <c r="T21531" s="11"/>
    </row>
    <row r="21532" spans="8:20" x14ac:dyDescent="0.35">
      <c r="H21532" s="711"/>
      <c r="I21532" s="711"/>
      <c r="J21532" s="711"/>
      <c r="K21532" s="711"/>
      <c r="L21532" s="711"/>
      <c r="Q21532" s="11"/>
      <c r="R21532" s="11"/>
      <c r="S21532" s="11"/>
      <c r="T21532" s="11"/>
    </row>
    <row r="21533" spans="8:20" x14ac:dyDescent="0.35">
      <c r="H21533" s="711"/>
      <c r="I21533" s="711"/>
      <c r="J21533" s="711"/>
      <c r="K21533" s="711"/>
      <c r="L21533" s="711"/>
      <c r="Q21533" s="11"/>
      <c r="R21533" s="11"/>
      <c r="S21533" s="11"/>
      <c r="T21533" s="11"/>
    </row>
    <row r="21534" spans="8:20" x14ac:dyDescent="0.35">
      <c r="H21534" s="711"/>
      <c r="I21534" s="711"/>
      <c r="J21534" s="711"/>
      <c r="K21534" s="711"/>
      <c r="L21534" s="711"/>
      <c r="Q21534" s="11"/>
      <c r="R21534" s="11"/>
      <c r="S21534" s="11"/>
      <c r="T21534" s="11"/>
    </row>
    <row r="21535" spans="8:20" x14ac:dyDescent="0.35">
      <c r="H21535" s="711"/>
      <c r="I21535" s="711"/>
      <c r="J21535" s="711"/>
      <c r="K21535" s="711"/>
      <c r="L21535" s="711"/>
      <c r="Q21535" s="11"/>
      <c r="R21535" s="11"/>
      <c r="S21535" s="11"/>
      <c r="T21535" s="11"/>
    </row>
    <row r="21536" spans="8:20" x14ac:dyDescent="0.35">
      <c r="H21536" s="711"/>
      <c r="I21536" s="711"/>
      <c r="J21536" s="711"/>
      <c r="K21536" s="711"/>
      <c r="L21536" s="711"/>
      <c r="Q21536" s="11"/>
      <c r="R21536" s="11"/>
      <c r="S21536" s="11"/>
      <c r="T21536" s="11"/>
    </row>
    <row r="21537" spans="8:20" x14ac:dyDescent="0.35">
      <c r="H21537" s="711"/>
      <c r="I21537" s="711"/>
      <c r="J21537" s="711"/>
      <c r="K21537" s="711"/>
      <c r="L21537" s="711"/>
      <c r="Q21537" s="11"/>
      <c r="R21537" s="11"/>
      <c r="S21537" s="11"/>
      <c r="T21537" s="11"/>
    </row>
    <row r="21538" spans="8:20" x14ac:dyDescent="0.35">
      <c r="H21538" s="711"/>
      <c r="I21538" s="711"/>
      <c r="J21538" s="711"/>
      <c r="K21538" s="711"/>
      <c r="L21538" s="711"/>
      <c r="Q21538" s="11"/>
      <c r="R21538" s="11"/>
      <c r="S21538" s="11"/>
      <c r="T21538" s="11"/>
    </row>
    <row r="21539" spans="8:20" x14ac:dyDescent="0.35">
      <c r="H21539" s="711"/>
      <c r="I21539" s="711"/>
      <c r="J21539" s="711"/>
      <c r="K21539" s="711"/>
      <c r="L21539" s="711"/>
      <c r="Q21539" s="11"/>
      <c r="R21539" s="11"/>
      <c r="S21539" s="11"/>
      <c r="T21539" s="11"/>
    </row>
    <row r="21540" spans="8:20" x14ac:dyDescent="0.35">
      <c r="H21540" s="711"/>
      <c r="I21540" s="711"/>
      <c r="J21540" s="711"/>
      <c r="K21540" s="711"/>
      <c r="L21540" s="711"/>
      <c r="Q21540" s="11"/>
      <c r="R21540" s="11"/>
      <c r="S21540" s="11"/>
      <c r="T21540" s="11"/>
    </row>
    <row r="21541" spans="8:20" x14ac:dyDescent="0.35">
      <c r="H21541" s="711"/>
      <c r="I21541" s="711"/>
      <c r="J21541" s="711"/>
      <c r="K21541" s="711"/>
      <c r="L21541" s="711"/>
      <c r="Q21541" s="11"/>
      <c r="R21541" s="11"/>
      <c r="S21541" s="11"/>
      <c r="T21541" s="11"/>
    </row>
    <row r="21542" spans="8:20" x14ac:dyDescent="0.35">
      <c r="H21542" s="711"/>
      <c r="I21542" s="711"/>
      <c r="J21542" s="711"/>
      <c r="K21542" s="711"/>
      <c r="L21542" s="711"/>
      <c r="Q21542" s="11"/>
      <c r="R21542" s="11"/>
      <c r="S21542" s="11"/>
      <c r="T21542" s="11"/>
    </row>
    <row r="21543" spans="8:20" x14ac:dyDescent="0.35">
      <c r="H21543" s="711"/>
      <c r="I21543" s="711"/>
      <c r="J21543" s="711"/>
      <c r="K21543" s="711"/>
      <c r="L21543" s="711"/>
      <c r="Q21543" s="11"/>
      <c r="R21543" s="11"/>
      <c r="S21543" s="11"/>
      <c r="T21543" s="11"/>
    </row>
    <row r="21544" spans="8:20" x14ac:dyDescent="0.35">
      <c r="H21544" s="711"/>
      <c r="I21544" s="711"/>
      <c r="J21544" s="711"/>
      <c r="K21544" s="711"/>
      <c r="L21544" s="711"/>
      <c r="Q21544" s="11"/>
      <c r="R21544" s="11"/>
      <c r="S21544" s="11"/>
      <c r="T21544" s="11"/>
    </row>
    <row r="21545" spans="8:20" x14ac:dyDescent="0.35">
      <c r="H21545" s="711"/>
      <c r="I21545" s="711"/>
      <c r="J21545" s="711"/>
      <c r="K21545" s="711"/>
      <c r="L21545" s="711"/>
      <c r="Q21545" s="11"/>
      <c r="R21545" s="11"/>
      <c r="S21545" s="11"/>
      <c r="T21545" s="11"/>
    </row>
    <row r="21546" spans="8:20" x14ac:dyDescent="0.35">
      <c r="H21546" s="711"/>
      <c r="I21546" s="711"/>
      <c r="J21546" s="711"/>
      <c r="K21546" s="711"/>
      <c r="L21546" s="711"/>
      <c r="Q21546" s="11"/>
      <c r="R21546" s="11"/>
      <c r="S21546" s="11"/>
      <c r="T21546" s="11"/>
    </row>
    <row r="21547" spans="8:20" x14ac:dyDescent="0.35">
      <c r="H21547" s="711"/>
      <c r="I21547" s="711"/>
      <c r="J21547" s="711"/>
      <c r="K21547" s="711"/>
      <c r="L21547" s="711"/>
      <c r="Q21547" s="11"/>
      <c r="R21547" s="11"/>
      <c r="S21547" s="11"/>
      <c r="T21547" s="11"/>
    </row>
    <row r="21548" spans="8:20" x14ac:dyDescent="0.35">
      <c r="H21548" s="711"/>
      <c r="I21548" s="711"/>
      <c r="J21548" s="711"/>
      <c r="K21548" s="711"/>
      <c r="L21548" s="711"/>
      <c r="Q21548" s="11"/>
      <c r="R21548" s="11"/>
      <c r="S21548" s="11"/>
      <c r="T21548" s="11"/>
    </row>
    <row r="21549" spans="8:20" x14ac:dyDescent="0.35">
      <c r="H21549" s="711"/>
      <c r="I21549" s="711"/>
      <c r="J21549" s="711"/>
      <c r="K21549" s="711"/>
      <c r="L21549" s="711"/>
      <c r="Q21549" s="11"/>
      <c r="R21549" s="11"/>
      <c r="S21549" s="11"/>
      <c r="T21549" s="11"/>
    </row>
    <row r="21550" spans="8:20" x14ac:dyDescent="0.35">
      <c r="H21550" s="711"/>
      <c r="I21550" s="711"/>
      <c r="J21550" s="711"/>
      <c r="K21550" s="711"/>
      <c r="L21550" s="711"/>
      <c r="Q21550" s="11"/>
      <c r="R21550" s="11"/>
      <c r="S21550" s="11"/>
      <c r="T21550" s="11"/>
    </row>
    <row r="21551" spans="8:20" x14ac:dyDescent="0.35">
      <c r="H21551" s="711"/>
      <c r="I21551" s="711"/>
      <c r="J21551" s="711"/>
      <c r="K21551" s="711"/>
      <c r="L21551" s="711"/>
      <c r="Q21551" s="11"/>
      <c r="R21551" s="11"/>
      <c r="S21551" s="11"/>
      <c r="T21551" s="11"/>
    </row>
    <row r="21552" spans="8:20" x14ac:dyDescent="0.35">
      <c r="H21552" s="711"/>
      <c r="I21552" s="711"/>
      <c r="J21552" s="711"/>
      <c r="K21552" s="711"/>
      <c r="L21552" s="711"/>
      <c r="Q21552" s="11"/>
      <c r="R21552" s="11"/>
      <c r="S21552" s="11"/>
      <c r="T21552" s="11"/>
    </row>
    <row r="21553" spans="8:20" x14ac:dyDescent="0.35">
      <c r="H21553" s="711"/>
      <c r="I21553" s="711"/>
      <c r="J21553" s="711"/>
      <c r="K21553" s="711"/>
      <c r="L21553" s="711"/>
      <c r="Q21553" s="11"/>
      <c r="R21553" s="11"/>
      <c r="S21553" s="11"/>
      <c r="T21553" s="11"/>
    </row>
    <row r="21554" spans="8:20" x14ac:dyDescent="0.35">
      <c r="H21554" s="711"/>
      <c r="I21554" s="711"/>
      <c r="J21554" s="711"/>
      <c r="K21554" s="711"/>
      <c r="L21554" s="711"/>
      <c r="Q21554" s="11"/>
      <c r="R21554" s="11"/>
      <c r="S21554" s="11"/>
      <c r="T21554" s="11"/>
    </row>
    <row r="21555" spans="8:20" x14ac:dyDescent="0.35">
      <c r="H21555" s="711"/>
      <c r="I21555" s="711"/>
      <c r="J21555" s="711"/>
      <c r="K21555" s="711"/>
      <c r="L21555" s="711"/>
      <c r="Q21555" s="11"/>
      <c r="R21555" s="11"/>
      <c r="S21555" s="11"/>
      <c r="T21555" s="11"/>
    </row>
    <row r="21556" spans="8:20" x14ac:dyDescent="0.35">
      <c r="H21556" s="711"/>
      <c r="I21556" s="711"/>
      <c r="J21556" s="711"/>
      <c r="K21556" s="711"/>
      <c r="L21556" s="711"/>
      <c r="Q21556" s="11"/>
      <c r="R21556" s="11"/>
      <c r="S21556" s="11"/>
      <c r="T21556" s="11"/>
    </row>
    <row r="21557" spans="8:20" x14ac:dyDescent="0.35">
      <c r="H21557" s="711"/>
      <c r="I21557" s="711"/>
      <c r="J21557" s="711"/>
      <c r="K21557" s="711"/>
      <c r="L21557" s="711"/>
      <c r="Q21557" s="11"/>
      <c r="R21557" s="11"/>
      <c r="S21557" s="11"/>
      <c r="T21557" s="11"/>
    </row>
    <row r="21558" spans="8:20" x14ac:dyDescent="0.35">
      <c r="H21558" s="711"/>
      <c r="I21558" s="711"/>
      <c r="J21558" s="711"/>
      <c r="K21558" s="711"/>
      <c r="L21558" s="711"/>
      <c r="Q21558" s="11"/>
      <c r="R21558" s="11"/>
      <c r="S21558" s="11"/>
      <c r="T21558" s="11"/>
    </row>
    <row r="21559" spans="8:20" x14ac:dyDescent="0.35">
      <c r="H21559" s="711"/>
      <c r="I21559" s="711"/>
      <c r="J21559" s="711"/>
      <c r="K21559" s="711"/>
      <c r="L21559" s="711"/>
      <c r="Q21559" s="11"/>
      <c r="R21559" s="11"/>
      <c r="S21559" s="11"/>
      <c r="T21559" s="11"/>
    </row>
    <row r="21560" spans="8:20" x14ac:dyDescent="0.35">
      <c r="H21560" s="711"/>
      <c r="I21560" s="711"/>
      <c r="J21560" s="711"/>
      <c r="K21560" s="711"/>
      <c r="L21560" s="711"/>
      <c r="Q21560" s="11"/>
      <c r="R21560" s="11"/>
      <c r="S21560" s="11"/>
      <c r="T21560" s="11"/>
    </row>
    <row r="21561" spans="8:20" x14ac:dyDescent="0.35">
      <c r="H21561" s="711"/>
      <c r="I21561" s="711"/>
      <c r="J21561" s="711"/>
      <c r="K21561" s="711"/>
      <c r="L21561" s="711"/>
      <c r="Q21561" s="11"/>
      <c r="R21561" s="11"/>
      <c r="S21561" s="11"/>
      <c r="T21561" s="11"/>
    </row>
    <row r="21562" spans="8:20" x14ac:dyDescent="0.35">
      <c r="H21562" s="711"/>
      <c r="I21562" s="711"/>
      <c r="J21562" s="711"/>
      <c r="K21562" s="711"/>
      <c r="L21562" s="711"/>
      <c r="Q21562" s="11"/>
      <c r="R21562" s="11"/>
      <c r="S21562" s="11"/>
      <c r="T21562" s="11"/>
    </row>
    <row r="21563" spans="8:20" x14ac:dyDescent="0.35">
      <c r="H21563" s="711"/>
      <c r="I21563" s="711"/>
      <c r="J21563" s="711"/>
      <c r="K21563" s="711"/>
      <c r="L21563" s="711"/>
      <c r="Q21563" s="11"/>
      <c r="R21563" s="11"/>
      <c r="S21563" s="11"/>
      <c r="T21563" s="11"/>
    </row>
    <row r="21564" spans="8:20" x14ac:dyDescent="0.35">
      <c r="H21564" s="711"/>
      <c r="I21564" s="711"/>
      <c r="J21564" s="711"/>
      <c r="K21564" s="711"/>
      <c r="L21564" s="711"/>
      <c r="Q21564" s="11"/>
      <c r="R21564" s="11"/>
      <c r="S21564" s="11"/>
      <c r="T21564" s="11"/>
    </row>
    <row r="21565" spans="8:20" x14ac:dyDescent="0.35">
      <c r="H21565" s="711"/>
      <c r="I21565" s="711"/>
      <c r="J21565" s="711"/>
      <c r="K21565" s="711"/>
      <c r="L21565" s="711"/>
      <c r="Q21565" s="11"/>
      <c r="R21565" s="11"/>
      <c r="S21565" s="11"/>
      <c r="T21565" s="11"/>
    </row>
    <row r="21566" spans="8:20" x14ac:dyDescent="0.35">
      <c r="H21566" s="711"/>
      <c r="I21566" s="711"/>
      <c r="J21566" s="711"/>
      <c r="K21566" s="711"/>
      <c r="L21566" s="711"/>
      <c r="Q21566" s="11"/>
      <c r="R21566" s="11"/>
      <c r="S21566" s="11"/>
      <c r="T21566" s="11"/>
    </row>
    <row r="21567" spans="8:20" x14ac:dyDescent="0.35">
      <c r="H21567" s="711"/>
      <c r="I21567" s="711"/>
      <c r="J21567" s="711"/>
      <c r="K21567" s="711"/>
      <c r="L21567" s="711"/>
      <c r="Q21567" s="11"/>
      <c r="R21567" s="11"/>
      <c r="S21567" s="11"/>
      <c r="T21567" s="11"/>
    </row>
    <row r="21568" spans="8:20" x14ac:dyDescent="0.35">
      <c r="H21568" s="711"/>
      <c r="I21568" s="711"/>
      <c r="J21568" s="711"/>
      <c r="K21568" s="711"/>
      <c r="L21568" s="711"/>
      <c r="Q21568" s="11"/>
      <c r="R21568" s="11"/>
      <c r="S21568" s="11"/>
      <c r="T21568" s="11"/>
    </row>
    <row r="21569" spans="8:20" x14ac:dyDescent="0.35">
      <c r="H21569" s="711"/>
      <c r="I21569" s="711"/>
      <c r="J21569" s="711"/>
      <c r="K21569" s="711"/>
      <c r="L21569" s="711"/>
      <c r="Q21569" s="11"/>
      <c r="R21569" s="11"/>
      <c r="S21569" s="11"/>
      <c r="T21569" s="11"/>
    </row>
    <row r="21570" spans="8:20" x14ac:dyDescent="0.35">
      <c r="H21570" s="711"/>
      <c r="I21570" s="711"/>
      <c r="J21570" s="711"/>
      <c r="K21570" s="711"/>
      <c r="L21570" s="711"/>
      <c r="Q21570" s="11"/>
      <c r="R21570" s="11"/>
      <c r="S21570" s="11"/>
      <c r="T21570" s="11"/>
    </row>
    <row r="21571" spans="8:20" x14ac:dyDescent="0.35">
      <c r="H21571" s="711"/>
      <c r="I21571" s="711"/>
      <c r="J21571" s="711"/>
      <c r="K21571" s="711"/>
      <c r="L21571" s="711"/>
      <c r="Q21571" s="11"/>
      <c r="R21571" s="11"/>
      <c r="S21571" s="11"/>
      <c r="T21571" s="11"/>
    </row>
    <row r="21572" spans="8:20" x14ac:dyDescent="0.35">
      <c r="H21572" s="711"/>
      <c r="I21572" s="711"/>
      <c r="J21572" s="711"/>
      <c r="K21572" s="711"/>
      <c r="L21572" s="711"/>
      <c r="Q21572" s="11"/>
      <c r="R21572" s="11"/>
      <c r="S21572" s="11"/>
      <c r="T21572" s="11"/>
    </row>
    <row r="21573" spans="8:20" x14ac:dyDescent="0.35">
      <c r="H21573" s="711"/>
      <c r="I21573" s="711"/>
      <c r="J21573" s="711"/>
      <c r="K21573" s="711"/>
      <c r="L21573" s="711"/>
      <c r="Q21573" s="11"/>
      <c r="R21573" s="11"/>
      <c r="S21573" s="11"/>
      <c r="T21573" s="11"/>
    </row>
    <row r="21574" spans="8:20" x14ac:dyDescent="0.35">
      <c r="H21574" s="711"/>
      <c r="I21574" s="711"/>
      <c r="J21574" s="711"/>
      <c r="K21574" s="711"/>
      <c r="L21574" s="711"/>
      <c r="Q21574" s="11"/>
      <c r="R21574" s="11"/>
      <c r="S21574" s="11"/>
      <c r="T21574" s="11"/>
    </row>
    <row r="21575" spans="8:20" x14ac:dyDescent="0.35">
      <c r="H21575" s="711"/>
      <c r="I21575" s="711"/>
      <c r="J21575" s="711"/>
      <c r="K21575" s="711"/>
      <c r="L21575" s="711"/>
      <c r="Q21575" s="11"/>
      <c r="R21575" s="11"/>
      <c r="S21575" s="11"/>
      <c r="T21575" s="11"/>
    </row>
    <row r="21576" spans="8:20" x14ac:dyDescent="0.35">
      <c r="H21576" s="711"/>
      <c r="I21576" s="711"/>
      <c r="J21576" s="711"/>
      <c r="K21576" s="711"/>
      <c r="L21576" s="711"/>
      <c r="Q21576" s="11"/>
      <c r="R21576" s="11"/>
      <c r="S21576" s="11"/>
      <c r="T21576" s="11"/>
    </row>
    <row r="21577" spans="8:20" x14ac:dyDescent="0.35">
      <c r="H21577" s="711"/>
      <c r="I21577" s="711"/>
      <c r="J21577" s="711"/>
      <c r="K21577" s="711"/>
      <c r="L21577" s="711"/>
      <c r="Q21577" s="11"/>
      <c r="R21577" s="11"/>
      <c r="S21577" s="11"/>
      <c r="T21577" s="11"/>
    </row>
    <row r="21578" spans="8:20" x14ac:dyDescent="0.35">
      <c r="H21578" s="711"/>
      <c r="I21578" s="711"/>
      <c r="J21578" s="711"/>
      <c r="K21578" s="711"/>
      <c r="L21578" s="711"/>
      <c r="Q21578" s="11"/>
      <c r="R21578" s="11"/>
      <c r="S21578" s="11"/>
      <c r="T21578" s="11"/>
    </row>
    <row r="21579" spans="8:20" x14ac:dyDescent="0.35">
      <c r="H21579" s="711"/>
      <c r="I21579" s="711"/>
      <c r="J21579" s="711"/>
      <c r="K21579" s="711"/>
      <c r="L21579" s="711"/>
      <c r="Q21579" s="11"/>
      <c r="R21579" s="11"/>
      <c r="S21579" s="11"/>
      <c r="T21579" s="11"/>
    </row>
    <row r="21580" spans="8:20" x14ac:dyDescent="0.35">
      <c r="H21580" s="711"/>
      <c r="I21580" s="711"/>
      <c r="J21580" s="711"/>
      <c r="K21580" s="711"/>
      <c r="L21580" s="711"/>
      <c r="Q21580" s="11"/>
      <c r="R21580" s="11"/>
      <c r="S21580" s="11"/>
      <c r="T21580" s="11"/>
    </row>
    <row r="21581" spans="8:20" x14ac:dyDescent="0.35">
      <c r="H21581" s="711"/>
      <c r="I21581" s="711"/>
      <c r="J21581" s="711"/>
      <c r="K21581" s="711"/>
      <c r="L21581" s="711"/>
      <c r="Q21581" s="11"/>
      <c r="R21581" s="11"/>
      <c r="S21581" s="11"/>
      <c r="T21581" s="11"/>
    </row>
    <row r="21582" spans="8:20" x14ac:dyDescent="0.35">
      <c r="H21582" s="711"/>
      <c r="I21582" s="711"/>
      <c r="J21582" s="711"/>
      <c r="K21582" s="711"/>
      <c r="L21582" s="711"/>
      <c r="Q21582" s="11"/>
      <c r="R21582" s="11"/>
      <c r="S21582" s="11"/>
      <c r="T21582" s="11"/>
    </row>
    <row r="21583" spans="8:20" x14ac:dyDescent="0.35">
      <c r="H21583" s="711"/>
      <c r="I21583" s="711"/>
      <c r="J21583" s="711"/>
      <c r="K21583" s="711"/>
      <c r="L21583" s="711"/>
      <c r="Q21583" s="11"/>
      <c r="R21583" s="11"/>
      <c r="S21583" s="11"/>
      <c r="T21583" s="11"/>
    </row>
    <row r="21584" spans="8:20" x14ac:dyDescent="0.35">
      <c r="H21584" s="711"/>
      <c r="I21584" s="711"/>
      <c r="J21584" s="711"/>
      <c r="K21584" s="711"/>
      <c r="L21584" s="711"/>
      <c r="Q21584" s="11"/>
      <c r="R21584" s="11"/>
      <c r="S21584" s="11"/>
      <c r="T21584" s="11"/>
    </row>
    <row r="21585" spans="8:20" x14ac:dyDescent="0.35">
      <c r="H21585" s="711"/>
      <c r="I21585" s="711"/>
      <c r="J21585" s="711"/>
      <c r="K21585" s="711"/>
      <c r="L21585" s="711"/>
      <c r="Q21585" s="11"/>
      <c r="R21585" s="11"/>
      <c r="S21585" s="11"/>
      <c r="T21585" s="11"/>
    </row>
    <row r="21586" spans="8:20" x14ac:dyDescent="0.35">
      <c r="H21586" s="711"/>
      <c r="I21586" s="711"/>
      <c r="J21586" s="711"/>
      <c r="K21586" s="711"/>
      <c r="L21586" s="711"/>
      <c r="Q21586" s="11"/>
      <c r="R21586" s="11"/>
      <c r="S21586" s="11"/>
      <c r="T21586" s="11"/>
    </row>
    <row r="21587" spans="8:20" x14ac:dyDescent="0.35">
      <c r="H21587" s="711"/>
      <c r="I21587" s="711"/>
      <c r="J21587" s="711"/>
      <c r="K21587" s="711"/>
      <c r="L21587" s="711"/>
      <c r="Q21587" s="11"/>
      <c r="R21587" s="11"/>
      <c r="S21587" s="11"/>
      <c r="T21587" s="11"/>
    </row>
    <row r="21588" spans="8:20" x14ac:dyDescent="0.35">
      <c r="H21588" s="711"/>
      <c r="I21588" s="711"/>
      <c r="J21588" s="711"/>
      <c r="K21588" s="711"/>
      <c r="L21588" s="711"/>
      <c r="Q21588" s="11"/>
      <c r="R21588" s="11"/>
      <c r="S21588" s="11"/>
      <c r="T21588" s="11"/>
    </row>
    <row r="21589" spans="8:20" x14ac:dyDescent="0.35">
      <c r="H21589" s="711"/>
      <c r="I21589" s="711"/>
      <c r="J21589" s="711"/>
      <c r="K21589" s="711"/>
      <c r="L21589" s="711"/>
      <c r="Q21589" s="11"/>
      <c r="R21589" s="11"/>
      <c r="S21589" s="11"/>
      <c r="T21589" s="11"/>
    </row>
    <row r="21590" spans="8:20" x14ac:dyDescent="0.35">
      <c r="H21590" s="711"/>
      <c r="I21590" s="711"/>
      <c r="J21590" s="711"/>
      <c r="K21590" s="711"/>
      <c r="L21590" s="711"/>
      <c r="Q21590" s="11"/>
      <c r="R21590" s="11"/>
      <c r="S21590" s="11"/>
      <c r="T21590" s="11"/>
    </row>
    <row r="21591" spans="8:20" x14ac:dyDescent="0.35">
      <c r="H21591" s="711"/>
      <c r="I21591" s="711"/>
      <c r="J21591" s="711"/>
      <c r="K21591" s="711"/>
      <c r="L21591" s="711"/>
      <c r="Q21591" s="11"/>
      <c r="R21591" s="11"/>
      <c r="S21591" s="11"/>
      <c r="T21591" s="11"/>
    </row>
    <row r="21592" spans="8:20" x14ac:dyDescent="0.35">
      <c r="H21592" s="711"/>
      <c r="I21592" s="711"/>
      <c r="J21592" s="711"/>
      <c r="K21592" s="711"/>
      <c r="L21592" s="711"/>
      <c r="Q21592" s="11"/>
      <c r="R21592" s="11"/>
      <c r="S21592" s="11"/>
      <c r="T21592" s="11"/>
    </row>
    <row r="21593" spans="8:20" x14ac:dyDescent="0.35">
      <c r="H21593" s="711"/>
      <c r="I21593" s="711"/>
      <c r="J21593" s="711"/>
      <c r="K21593" s="711"/>
      <c r="L21593" s="711"/>
      <c r="Q21593" s="11"/>
      <c r="R21593" s="11"/>
      <c r="S21593" s="11"/>
      <c r="T21593" s="11"/>
    </row>
    <row r="21594" spans="8:20" x14ac:dyDescent="0.35">
      <c r="H21594" s="711"/>
      <c r="I21594" s="711"/>
      <c r="J21594" s="711"/>
      <c r="K21594" s="711"/>
      <c r="L21594" s="711"/>
      <c r="Q21594" s="11"/>
      <c r="R21594" s="11"/>
      <c r="S21594" s="11"/>
      <c r="T21594" s="11"/>
    </row>
    <row r="21595" spans="8:20" x14ac:dyDescent="0.35">
      <c r="H21595" s="711"/>
      <c r="I21595" s="711"/>
      <c r="J21595" s="711"/>
      <c r="K21595" s="711"/>
      <c r="L21595" s="711"/>
      <c r="Q21595" s="11"/>
      <c r="R21595" s="11"/>
      <c r="S21595" s="11"/>
      <c r="T21595" s="11"/>
    </row>
    <row r="21596" spans="8:20" x14ac:dyDescent="0.35">
      <c r="H21596" s="711"/>
      <c r="I21596" s="711"/>
      <c r="J21596" s="711"/>
      <c r="K21596" s="711"/>
      <c r="L21596" s="711"/>
      <c r="Q21596" s="11"/>
      <c r="R21596" s="11"/>
      <c r="S21596" s="11"/>
      <c r="T21596" s="11"/>
    </row>
    <row r="21597" spans="8:20" x14ac:dyDescent="0.35">
      <c r="H21597" s="711"/>
      <c r="I21597" s="711"/>
      <c r="J21597" s="711"/>
      <c r="K21597" s="711"/>
      <c r="L21597" s="711"/>
      <c r="Q21597" s="11"/>
      <c r="R21597" s="11"/>
      <c r="S21597" s="11"/>
      <c r="T21597" s="11"/>
    </row>
    <row r="21598" spans="8:20" x14ac:dyDescent="0.35">
      <c r="H21598" s="711"/>
      <c r="I21598" s="711"/>
      <c r="J21598" s="711"/>
      <c r="K21598" s="711"/>
      <c r="L21598" s="711"/>
      <c r="Q21598" s="11"/>
      <c r="R21598" s="11"/>
      <c r="S21598" s="11"/>
      <c r="T21598" s="11"/>
    </row>
    <row r="21599" spans="8:20" x14ac:dyDescent="0.35">
      <c r="H21599" s="711"/>
      <c r="I21599" s="711"/>
      <c r="J21599" s="711"/>
      <c r="K21599" s="711"/>
      <c r="L21599" s="711"/>
      <c r="Q21599" s="11"/>
      <c r="R21599" s="11"/>
      <c r="S21599" s="11"/>
      <c r="T21599" s="11"/>
    </row>
    <row r="21600" spans="8:20" x14ac:dyDescent="0.35">
      <c r="H21600" s="711"/>
      <c r="I21600" s="711"/>
      <c r="J21600" s="711"/>
      <c r="K21600" s="711"/>
      <c r="L21600" s="711"/>
      <c r="Q21600" s="11"/>
      <c r="R21600" s="11"/>
      <c r="S21600" s="11"/>
      <c r="T21600" s="11"/>
    </row>
    <row r="21601" spans="8:20" x14ac:dyDescent="0.35">
      <c r="H21601" s="711"/>
      <c r="I21601" s="711"/>
      <c r="J21601" s="711"/>
      <c r="K21601" s="711"/>
      <c r="L21601" s="711"/>
      <c r="Q21601" s="11"/>
      <c r="R21601" s="11"/>
      <c r="S21601" s="11"/>
      <c r="T21601" s="11"/>
    </row>
    <row r="21602" spans="8:20" x14ac:dyDescent="0.35">
      <c r="H21602" s="711"/>
      <c r="I21602" s="711"/>
      <c r="J21602" s="711"/>
      <c r="K21602" s="711"/>
      <c r="L21602" s="711"/>
      <c r="Q21602" s="11"/>
      <c r="R21602" s="11"/>
      <c r="S21602" s="11"/>
      <c r="T21602" s="11"/>
    </row>
    <row r="21603" spans="8:20" x14ac:dyDescent="0.35">
      <c r="H21603" s="711"/>
      <c r="I21603" s="711"/>
      <c r="J21603" s="711"/>
      <c r="K21603" s="711"/>
      <c r="L21603" s="711"/>
      <c r="Q21603" s="11"/>
      <c r="R21603" s="11"/>
      <c r="S21603" s="11"/>
      <c r="T21603" s="11"/>
    </row>
    <row r="21604" spans="8:20" x14ac:dyDescent="0.35">
      <c r="H21604" s="711"/>
      <c r="I21604" s="711"/>
      <c r="J21604" s="711"/>
      <c r="K21604" s="711"/>
      <c r="L21604" s="711"/>
      <c r="Q21604" s="11"/>
      <c r="R21604" s="11"/>
      <c r="S21604" s="11"/>
      <c r="T21604" s="11"/>
    </row>
    <row r="21605" spans="8:20" x14ac:dyDescent="0.35">
      <c r="H21605" s="711"/>
      <c r="I21605" s="711"/>
      <c r="J21605" s="711"/>
      <c r="K21605" s="711"/>
      <c r="L21605" s="711"/>
      <c r="Q21605" s="11"/>
      <c r="R21605" s="11"/>
      <c r="S21605" s="11"/>
      <c r="T21605" s="11"/>
    </row>
    <row r="21606" spans="8:20" x14ac:dyDescent="0.35">
      <c r="H21606" s="711"/>
      <c r="I21606" s="711"/>
      <c r="J21606" s="711"/>
      <c r="K21606" s="711"/>
      <c r="L21606" s="711"/>
      <c r="Q21606" s="11"/>
      <c r="R21606" s="11"/>
      <c r="S21606" s="11"/>
      <c r="T21606" s="11"/>
    </row>
    <row r="21607" spans="8:20" x14ac:dyDescent="0.35">
      <c r="H21607" s="711"/>
      <c r="I21607" s="711"/>
      <c r="J21607" s="711"/>
      <c r="K21607" s="711"/>
      <c r="L21607" s="711"/>
      <c r="Q21607" s="11"/>
      <c r="R21607" s="11"/>
      <c r="S21607" s="11"/>
      <c r="T21607" s="11"/>
    </row>
    <row r="21608" spans="8:20" x14ac:dyDescent="0.35">
      <c r="H21608" s="711"/>
      <c r="I21608" s="711"/>
      <c r="J21608" s="711"/>
      <c r="K21608" s="711"/>
      <c r="L21608" s="711"/>
      <c r="Q21608" s="11"/>
      <c r="R21608" s="11"/>
      <c r="S21608" s="11"/>
      <c r="T21608" s="11"/>
    </row>
    <row r="21609" spans="8:20" x14ac:dyDescent="0.35">
      <c r="H21609" s="711"/>
      <c r="I21609" s="711"/>
      <c r="J21609" s="711"/>
      <c r="K21609" s="711"/>
      <c r="L21609" s="711"/>
      <c r="Q21609" s="11"/>
      <c r="R21609" s="11"/>
      <c r="S21609" s="11"/>
      <c r="T21609" s="11"/>
    </row>
    <row r="21610" spans="8:20" x14ac:dyDescent="0.35">
      <c r="H21610" s="711"/>
      <c r="I21610" s="711"/>
      <c r="J21610" s="711"/>
      <c r="K21610" s="711"/>
      <c r="L21610" s="711"/>
      <c r="Q21610" s="11"/>
      <c r="R21610" s="11"/>
      <c r="S21610" s="11"/>
      <c r="T21610" s="11"/>
    </row>
    <row r="21611" spans="8:20" x14ac:dyDescent="0.35">
      <c r="H21611" s="711"/>
      <c r="I21611" s="711"/>
      <c r="J21611" s="711"/>
      <c r="K21611" s="711"/>
      <c r="L21611" s="711"/>
      <c r="Q21611" s="11"/>
      <c r="R21611" s="11"/>
      <c r="S21611" s="11"/>
      <c r="T21611" s="11"/>
    </row>
    <row r="21612" spans="8:20" x14ac:dyDescent="0.35">
      <c r="H21612" s="711"/>
      <c r="I21612" s="711"/>
      <c r="J21612" s="711"/>
      <c r="K21612" s="711"/>
      <c r="L21612" s="711"/>
      <c r="Q21612" s="11"/>
      <c r="R21612" s="11"/>
      <c r="S21612" s="11"/>
      <c r="T21612" s="11"/>
    </row>
    <row r="21613" spans="8:20" x14ac:dyDescent="0.35">
      <c r="H21613" s="711"/>
      <c r="I21613" s="711"/>
      <c r="J21613" s="711"/>
      <c r="K21613" s="711"/>
      <c r="L21613" s="711"/>
      <c r="Q21613" s="11"/>
      <c r="R21613" s="11"/>
      <c r="S21613" s="11"/>
      <c r="T21613" s="11"/>
    </row>
    <row r="21614" spans="8:20" x14ac:dyDescent="0.35">
      <c r="H21614" s="711"/>
      <c r="I21614" s="711"/>
      <c r="J21614" s="711"/>
      <c r="K21614" s="711"/>
      <c r="L21614" s="711"/>
      <c r="Q21614" s="11"/>
      <c r="R21614" s="11"/>
      <c r="S21614" s="11"/>
      <c r="T21614" s="11"/>
    </row>
    <row r="21615" spans="8:20" x14ac:dyDescent="0.35">
      <c r="H21615" s="711"/>
      <c r="I21615" s="711"/>
      <c r="J21615" s="711"/>
      <c r="K21615" s="711"/>
      <c r="L21615" s="711"/>
      <c r="Q21615" s="11"/>
      <c r="R21615" s="11"/>
      <c r="S21615" s="11"/>
      <c r="T21615" s="11"/>
    </row>
    <row r="21616" spans="8:20" x14ac:dyDescent="0.35">
      <c r="H21616" s="711"/>
      <c r="I21616" s="711"/>
      <c r="J21616" s="711"/>
      <c r="K21616" s="711"/>
      <c r="L21616" s="711"/>
      <c r="Q21616" s="11"/>
      <c r="R21616" s="11"/>
      <c r="S21616" s="11"/>
      <c r="T21616" s="11"/>
    </row>
    <row r="21617" spans="8:20" x14ac:dyDescent="0.35">
      <c r="H21617" s="711"/>
      <c r="I21617" s="711"/>
      <c r="J21617" s="711"/>
      <c r="K21617" s="711"/>
      <c r="L21617" s="711"/>
      <c r="Q21617" s="11"/>
      <c r="R21617" s="11"/>
      <c r="S21617" s="11"/>
      <c r="T21617" s="11"/>
    </row>
    <row r="21618" spans="8:20" x14ac:dyDescent="0.35">
      <c r="H21618" s="711"/>
      <c r="I21618" s="711"/>
      <c r="J21618" s="711"/>
      <c r="K21618" s="711"/>
      <c r="L21618" s="711"/>
      <c r="Q21618" s="11"/>
      <c r="R21618" s="11"/>
      <c r="S21618" s="11"/>
      <c r="T21618" s="11"/>
    </row>
    <row r="21619" spans="8:20" x14ac:dyDescent="0.35">
      <c r="H21619" s="711"/>
      <c r="I21619" s="711"/>
      <c r="J21619" s="711"/>
      <c r="K21619" s="711"/>
      <c r="L21619" s="711"/>
      <c r="Q21619" s="11"/>
      <c r="R21619" s="11"/>
      <c r="S21619" s="11"/>
      <c r="T21619" s="11"/>
    </row>
    <row r="21620" spans="8:20" x14ac:dyDescent="0.35">
      <c r="H21620" s="711"/>
      <c r="I21620" s="711"/>
      <c r="J21620" s="711"/>
      <c r="K21620" s="711"/>
      <c r="L21620" s="711"/>
      <c r="Q21620" s="11"/>
      <c r="R21620" s="11"/>
      <c r="S21620" s="11"/>
      <c r="T21620" s="11"/>
    </row>
    <row r="21621" spans="8:20" x14ac:dyDescent="0.35">
      <c r="H21621" s="711"/>
      <c r="I21621" s="711"/>
      <c r="J21621" s="711"/>
      <c r="K21621" s="711"/>
      <c r="L21621" s="711"/>
      <c r="Q21621" s="11"/>
      <c r="R21621" s="11"/>
      <c r="S21621" s="11"/>
      <c r="T21621" s="11"/>
    </row>
    <row r="21622" spans="8:20" x14ac:dyDescent="0.35">
      <c r="H21622" s="711"/>
      <c r="I21622" s="711"/>
      <c r="J21622" s="711"/>
      <c r="K21622" s="711"/>
      <c r="L21622" s="711"/>
      <c r="Q21622" s="11"/>
      <c r="R21622" s="11"/>
      <c r="S21622" s="11"/>
      <c r="T21622" s="11"/>
    </row>
    <row r="21623" spans="8:20" x14ac:dyDescent="0.35">
      <c r="H21623" s="711"/>
      <c r="I21623" s="711"/>
      <c r="J21623" s="711"/>
      <c r="K21623" s="711"/>
      <c r="L21623" s="711"/>
      <c r="Q21623" s="11"/>
      <c r="R21623" s="11"/>
      <c r="S21623" s="11"/>
      <c r="T21623" s="11"/>
    </row>
    <row r="21624" spans="8:20" x14ac:dyDescent="0.35">
      <c r="H21624" s="711"/>
      <c r="I21624" s="711"/>
      <c r="J21624" s="711"/>
      <c r="K21624" s="711"/>
      <c r="L21624" s="711"/>
      <c r="Q21624" s="11"/>
      <c r="R21624" s="11"/>
      <c r="S21624" s="11"/>
      <c r="T21624" s="11"/>
    </row>
    <row r="21625" spans="8:20" x14ac:dyDescent="0.35">
      <c r="H21625" s="711"/>
      <c r="I21625" s="711"/>
      <c r="J21625" s="711"/>
      <c r="K21625" s="711"/>
      <c r="L21625" s="711"/>
      <c r="Q21625" s="11"/>
      <c r="R21625" s="11"/>
      <c r="S21625" s="11"/>
      <c r="T21625" s="11"/>
    </row>
    <row r="21626" spans="8:20" x14ac:dyDescent="0.35">
      <c r="H21626" s="711"/>
      <c r="I21626" s="711"/>
      <c r="J21626" s="711"/>
      <c r="K21626" s="711"/>
      <c r="L21626" s="711"/>
      <c r="Q21626" s="11"/>
      <c r="R21626" s="11"/>
      <c r="S21626" s="11"/>
      <c r="T21626" s="11"/>
    </row>
    <row r="21627" spans="8:20" x14ac:dyDescent="0.35">
      <c r="H21627" s="711"/>
      <c r="I21627" s="711"/>
      <c r="J21627" s="711"/>
      <c r="K21627" s="711"/>
      <c r="L21627" s="711"/>
      <c r="Q21627" s="11"/>
      <c r="R21627" s="11"/>
      <c r="S21627" s="11"/>
      <c r="T21627" s="11"/>
    </row>
    <row r="21628" spans="8:20" x14ac:dyDescent="0.35">
      <c r="H21628" s="711"/>
      <c r="I21628" s="711"/>
      <c r="J21628" s="711"/>
      <c r="K21628" s="711"/>
      <c r="L21628" s="711"/>
      <c r="Q21628" s="11"/>
      <c r="R21628" s="11"/>
      <c r="S21628" s="11"/>
      <c r="T21628" s="11"/>
    </row>
    <row r="21629" spans="8:20" x14ac:dyDescent="0.35">
      <c r="H21629" s="711"/>
      <c r="I21629" s="711"/>
      <c r="J21629" s="711"/>
      <c r="K21629" s="711"/>
      <c r="L21629" s="711"/>
      <c r="Q21629" s="11"/>
      <c r="R21629" s="11"/>
      <c r="S21629" s="11"/>
      <c r="T21629" s="11"/>
    </row>
    <row r="21630" spans="8:20" x14ac:dyDescent="0.35">
      <c r="H21630" s="711"/>
      <c r="I21630" s="711"/>
      <c r="J21630" s="711"/>
      <c r="K21630" s="711"/>
      <c r="L21630" s="711"/>
      <c r="Q21630" s="11"/>
      <c r="R21630" s="11"/>
      <c r="S21630" s="11"/>
      <c r="T21630" s="11"/>
    </row>
    <row r="21631" spans="8:20" x14ac:dyDescent="0.35">
      <c r="H21631" s="711"/>
      <c r="I21631" s="711"/>
      <c r="J21631" s="711"/>
      <c r="K21631" s="711"/>
      <c r="L21631" s="711"/>
      <c r="Q21631" s="11"/>
      <c r="R21631" s="11"/>
      <c r="S21631" s="11"/>
      <c r="T21631" s="11"/>
    </row>
    <row r="21632" spans="8:20" x14ac:dyDescent="0.35">
      <c r="H21632" s="711"/>
      <c r="I21632" s="711"/>
      <c r="J21632" s="711"/>
      <c r="K21632" s="711"/>
      <c r="L21632" s="711"/>
      <c r="Q21632" s="11"/>
      <c r="R21632" s="11"/>
      <c r="S21632" s="11"/>
      <c r="T21632" s="11"/>
    </row>
    <row r="21633" spans="8:20" x14ac:dyDescent="0.35">
      <c r="H21633" s="711"/>
      <c r="I21633" s="711"/>
      <c r="J21633" s="711"/>
      <c r="K21633" s="711"/>
      <c r="L21633" s="711"/>
      <c r="Q21633" s="11"/>
      <c r="R21633" s="11"/>
      <c r="S21633" s="11"/>
      <c r="T21633" s="11"/>
    </row>
    <row r="21634" spans="8:20" x14ac:dyDescent="0.35">
      <c r="H21634" s="711"/>
      <c r="I21634" s="711"/>
      <c r="J21634" s="711"/>
      <c r="K21634" s="711"/>
      <c r="L21634" s="711"/>
      <c r="Q21634" s="11"/>
      <c r="R21634" s="11"/>
      <c r="S21634" s="11"/>
      <c r="T21634" s="11"/>
    </row>
    <row r="21635" spans="8:20" x14ac:dyDescent="0.35">
      <c r="H21635" s="711"/>
      <c r="I21635" s="711"/>
      <c r="J21635" s="711"/>
      <c r="K21635" s="711"/>
      <c r="L21635" s="711"/>
      <c r="Q21635" s="11"/>
      <c r="R21635" s="11"/>
      <c r="S21635" s="11"/>
      <c r="T21635" s="11"/>
    </row>
    <row r="21636" spans="8:20" x14ac:dyDescent="0.35">
      <c r="H21636" s="711"/>
      <c r="I21636" s="711"/>
      <c r="J21636" s="711"/>
      <c r="K21636" s="711"/>
      <c r="L21636" s="711"/>
      <c r="Q21636" s="11"/>
      <c r="R21636" s="11"/>
      <c r="S21636" s="11"/>
      <c r="T21636" s="11"/>
    </row>
    <row r="21637" spans="8:20" x14ac:dyDescent="0.35">
      <c r="H21637" s="711"/>
      <c r="I21637" s="711"/>
      <c r="J21637" s="711"/>
      <c r="K21637" s="711"/>
      <c r="L21637" s="711"/>
      <c r="Q21637" s="11"/>
      <c r="R21637" s="11"/>
      <c r="S21637" s="11"/>
      <c r="T21637" s="11"/>
    </row>
    <row r="21638" spans="8:20" x14ac:dyDescent="0.35">
      <c r="H21638" s="711"/>
      <c r="I21638" s="711"/>
      <c r="J21638" s="711"/>
      <c r="K21638" s="711"/>
      <c r="L21638" s="711"/>
      <c r="Q21638" s="11"/>
      <c r="R21638" s="11"/>
      <c r="S21638" s="11"/>
      <c r="T21638" s="11"/>
    </row>
    <row r="21639" spans="8:20" x14ac:dyDescent="0.35">
      <c r="H21639" s="711"/>
      <c r="I21639" s="711"/>
      <c r="J21639" s="711"/>
      <c r="K21639" s="711"/>
      <c r="L21639" s="711"/>
      <c r="Q21639" s="11"/>
      <c r="R21639" s="11"/>
      <c r="S21639" s="11"/>
      <c r="T21639" s="11"/>
    </row>
    <row r="21640" spans="8:20" x14ac:dyDescent="0.35">
      <c r="H21640" s="711"/>
      <c r="I21640" s="711"/>
      <c r="J21640" s="711"/>
      <c r="K21640" s="711"/>
      <c r="L21640" s="711"/>
      <c r="Q21640" s="11"/>
      <c r="R21640" s="11"/>
      <c r="S21640" s="11"/>
      <c r="T21640" s="11"/>
    </row>
    <row r="21641" spans="8:20" x14ac:dyDescent="0.35">
      <c r="H21641" s="711"/>
      <c r="I21641" s="711"/>
      <c r="J21641" s="711"/>
      <c r="K21641" s="711"/>
      <c r="L21641" s="711"/>
      <c r="Q21641" s="11"/>
      <c r="R21641" s="11"/>
      <c r="S21641" s="11"/>
      <c r="T21641" s="11"/>
    </row>
    <row r="21642" spans="8:20" x14ac:dyDescent="0.35">
      <c r="H21642" s="711"/>
      <c r="I21642" s="711"/>
      <c r="J21642" s="711"/>
      <c r="K21642" s="711"/>
      <c r="L21642" s="711"/>
      <c r="Q21642" s="11"/>
      <c r="R21642" s="11"/>
      <c r="S21642" s="11"/>
      <c r="T21642" s="11"/>
    </row>
    <row r="21643" spans="8:20" x14ac:dyDescent="0.35">
      <c r="H21643" s="711"/>
      <c r="I21643" s="711"/>
      <c r="J21643" s="711"/>
      <c r="K21643" s="711"/>
      <c r="L21643" s="711"/>
      <c r="Q21643" s="11"/>
      <c r="R21643" s="11"/>
      <c r="S21643" s="11"/>
      <c r="T21643" s="11"/>
    </row>
    <row r="21644" spans="8:20" x14ac:dyDescent="0.35">
      <c r="H21644" s="711"/>
      <c r="I21644" s="711"/>
      <c r="J21644" s="711"/>
      <c r="K21644" s="711"/>
      <c r="L21644" s="711"/>
      <c r="Q21644" s="11"/>
      <c r="R21644" s="11"/>
      <c r="S21644" s="11"/>
      <c r="T21644" s="11"/>
    </row>
    <row r="21645" spans="8:20" x14ac:dyDescent="0.35">
      <c r="H21645" s="711"/>
      <c r="I21645" s="711"/>
      <c r="J21645" s="711"/>
      <c r="K21645" s="711"/>
      <c r="L21645" s="711"/>
      <c r="Q21645" s="11"/>
      <c r="R21645" s="11"/>
      <c r="S21645" s="11"/>
      <c r="T21645" s="11"/>
    </row>
    <row r="21646" spans="8:20" x14ac:dyDescent="0.35">
      <c r="H21646" s="711"/>
      <c r="I21646" s="711"/>
      <c r="J21646" s="711"/>
      <c r="K21646" s="711"/>
      <c r="L21646" s="711"/>
      <c r="Q21646" s="11"/>
      <c r="R21646" s="11"/>
      <c r="S21646" s="11"/>
      <c r="T21646" s="11"/>
    </row>
    <row r="21647" spans="8:20" x14ac:dyDescent="0.35">
      <c r="H21647" s="711"/>
      <c r="I21647" s="711"/>
      <c r="J21647" s="711"/>
      <c r="K21647" s="711"/>
      <c r="L21647" s="711"/>
      <c r="Q21647" s="11"/>
      <c r="R21647" s="11"/>
      <c r="S21647" s="11"/>
      <c r="T21647" s="11"/>
    </row>
    <row r="21648" spans="8:20" x14ac:dyDescent="0.35">
      <c r="H21648" s="711"/>
      <c r="I21648" s="711"/>
      <c r="J21648" s="711"/>
      <c r="K21648" s="711"/>
      <c r="L21648" s="711"/>
      <c r="Q21648" s="11"/>
      <c r="R21648" s="11"/>
      <c r="S21648" s="11"/>
      <c r="T21648" s="11"/>
    </row>
    <row r="21649" spans="8:20" x14ac:dyDescent="0.35">
      <c r="H21649" s="711"/>
      <c r="I21649" s="711"/>
      <c r="J21649" s="711"/>
      <c r="K21649" s="711"/>
      <c r="L21649" s="711"/>
      <c r="Q21649" s="11"/>
      <c r="R21649" s="11"/>
      <c r="S21649" s="11"/>
      <c r="T21649" s="11"/>
    </row>
    <row r="21650" spans="8:20" x14ac:dyDescent="0.35">
      <c r="H21650" s="711"/>
      <c r="I21650" s="711"/>
      <c r="J21650" s="711"/>
      <c r="K21650" s="711"/>
      <c r="L21650" s="711"/>
      <c r="Q21650" s="11"/>
      <c r="R21650" s="11"/>
      <c r="S21650" s="11"/>
      <c r="T21650" s="11"/>
    </row>
    <row r="21651" spans="8:20" x14ac:dyDescent="0.35">
      <c r="H21651" s="711"/>
      <c r="I21651" s="711"/>
      <c r="J21651" s="711"/>
      <c r="K21651" s="711"/>
      <c r="L21651" s="711"/>
      <c r="Q21651" s="11"/>
      <c r="R21651" s="11"/>
      <c r="S21651" s="11"/>
      <c r="T21651" s="11"/>
    </row>
    <row r="21652" spans="8:20" x14ac:dyDescent="0.35">
      <c r="H21652" s="711"/>
      <c r="I21652" s="711"/>
      <c r="J21652" s="711"/>
      <c r="K21652" s="711"/>
      <c r="L21652" s="711"/>
      <c r="Q21652" s="11"/>
      <c r="R21652" s="11"/>
      <c r="S21652" s="11"/>
      <c r="T21652" s="11"/>
    </row>
    <row r="21653" spans="8:20" x14ac:dyDescent="0.35">
      <c r="H21653" s="711"/>
      <c r="I21653" s="711"/>
      <c r="J21653" s="711"/>
      <c r="K21653" s="711"/>
      <c r="L21653" s="711"/>
      <c r="Q21653" s="11"/>
      <c r="R21653" s="11"/>
      <c r="S21653" s="11"/>
      <c r="T21653" s="11"/>
    </row>
    <row r="21654" spans="8:20" x14ac:dyDescent="0.35">
      <c r="H21654" s="711"/>
      <c r="I21654" s="711"/>
      <c r="J21654" s="711"/>
      <c r="K21654" s="711"/>
      <c r="L21654" s="711"/>
      <c r="Q21654" s="11"/>
      <c r="R21654" s="11"/>
      <c r="S21654" s="11"/>
      <c r="T21654" s="11"/>
    </row>
    <row r="21655" spans="8:20" x14ac:dyDescent="0.35">
      <c r="H21655" s="711"/>
      <c r="I21655" s="711"/>
      <c r="J21655" s="711"/>
      <c r="K21655" s="711"/>
      <c r="L21655" s="711"/>
      <c r="Q21655" s="11"/>
      <c r="R21655" s="11"/>
      <c r="S21655" s="11"/>
      <c r="T21655" s="11"/>
    </row>
    <row r="21656" spans="8:20" x14ac:dyDescent="0.35">
      <c r="H21656" s="711"/>
      <c r="I21656" s="711"/>
      <c r="J21656" s="711"/>
      <c r="K21656" s="711"/>
      <c r="L21656" s="711"/>
      <c r="Q21656" s="11"/>
      <c r="R21656" s="11"/>
      <c r="S21656" s="11"/>
      <c r="T21656" s="11"/>
    </row>
    <row r="21657" spans="8:20" x14ac:dyDescent="0.35">
      <c r="H21657" s="711"/>
      <c r="I21657" s="711"/>
      <c r="J21657" s="711"/>
      <c r="K21657" s="711"/>
      <c r="L21657" s="711"/>
      <c r="Q21657" s="11"/>
      <c r="R21657" s="11"/>
      <c r="S21657" s="11"/>
      <c r="T21657" s="11"/>
    </row>
    <row r="21658" spans="8:20" x14ac:dyDescent="0.35">
      <c r="H21658" s="711"/>
      <c r="I21658" s="711"/>
      <c r="J21658" s="711"/>
      <c r="K21658" s="711"/>
      <c r="L21658" s="711"/>
      <c r="Q21658" s="11"/>
      <c r="R21658" s="11"/>
      <c r="S21658" s="11"/>
      <c r="T21658" s="11"/>
    </row>
    <row r="21659" spans="8:20" x14ac:dyDescent="0.35">
      <c r="H21659" s="711"/>
      <c r="I21659" s="711"/>
      <c r="J21659" s="711"/>
      <c r="K21659" s="711"/>
      <c r="L21659" s="711"/>
      <c r="Q21659" s="11"/>
      <c r="R21659" s="11"/>
      <c r="S21659" s="11"/>
      <c r="T21659" s="11"/>
    </row>
    <row r="21660" spans="8:20" x14ac:dyDescent="0.35">
      <c r="H21660" s="711"/>
      <c r="I21660" s="711"/>
      <c r="J21660" s="711"/>
      <c r="K21660" s="711"/>
      <c r="L21660" s="711"/>
      <c r="Q21660" s="11"/>
      <c r="R21660" s="11"/>
      <c r="S21660" s="11"/>
      <c r="T21660" s="11"/>
    </row>
    <row r="21661" spans="8:20" x14ac:dyDescent="0.35">
      <c r="H21661" s="711"/>
      <c r="I21661" s="711"/>
      <c r="J21661" s="711"/>
      <c r="K21661" s="711"/>
      <c r="L21661" s="711"/>
      <c r="Q21661" s="11"/>
      <c r="R21661" s="11"/>
      <c r="S21661" s="11"/>
      <c r="T21661" s="11"/>
    </row>
    <row r="21662" spans="8:20" x14ac:dyDescent="0.35">
      <c r="H21662" s="711"/>
      <c r="I21662" s="711"/>
      <c r="J21662" s="711"/>
      <c r="K21662" s="711"/>
      <c r="L21662" s="711"/>
      <c r="Q21662" s="11"/>
      <c r="R21662" s="11"/>
      <c r="S21662" s="11"/>
      <c r="T21662" s="11"/>
    </row>
    <row r="21663" spans="8:20" x14ac:dyDescent="0.35">
      <c r="H21663" s="711"/>
      <c r="I21663" s="711"/>
      <c r="J21663" s="711"/>
      <c r="K21663" s="711"/>
      <c r="L21663" s="711"/>
      <c r="Q21663" s="11"/>
      <c r="R21663" s="11"/>
      <c r="S21663" s="11"/>
      <c r="T21663" s="11"/>
    </row>
    <row r="21664" spans="8:20" x14ac:dyDescent="0.35">
      <c r="H21664" s="711"/>
      <c r="I21664" s="711"/>
      <c r="J21664" s="711"/>
      <c r="K21664" s="711"/>
      <c r="L21664" s="711"/>
      <c r="Q21664" s="11"/>
      <c r="R21664" s="11"/>
      <c r="S21664" s="11"/>
      <c r="T21664" s="11"/>
    </row>
    <row r="21665" spans="8:20" x14ac:dyDescent="0.35">
      <c r="H21665" s="711"/>
      <c r="I21665" s="711"/>
      <c r="J21665" s="711"/>
      <c r="K21665" s="711"/>
      <c r="L21665" s="711"/>
      <c r="Q21665" s="11"/>
      <c r="R21665" s="11"/>
      <c r="S21665" s="11"/>
      <c r="T21665" s="11"/>
    </row>
    <row r="21666" spans="8:20" x14ac:dyDescent="0.35">
      <c r="H21666" s="711"/>
      <c r="I21666" s="711"/>
      <c r="J21666" s="711"/>
      <c r="K21666" s="711"/>
      <c r="L21666" s="711"/>
      <c r="Q21666" s="11"/>
      <c r="R21666" s="11"/>
      <c r="S21666" s="11"/>
      <c r="T21666" s="11"/>
    </row>
    <row r="21667" spans="8:20" x14ac:dyDescent="0.35">
      <c r="H21667" s="711"/>
      <c r="I21667" s="711"/>
      <c r="J21667" s="711"/>
      <c r="K21667" s="711"/>
      <c r="L21667" s="711"/>
      <c r="Q21667" s="11"/>
      <c r="R21667" s="11"/>
      <c r="S21667" s="11"/>
      <c r="T21667" s="11"/>
    </row>
    <row r="21668" spans="8:20" x14ac:dyDescent="0.35">
      <c r="H21668" s="711"/>
      <c r="I21668" s="711"/>
      <c r="J21668" s="711"/>
      <c r="K21668" s="711"/>
      <c r="L21668" s="711"/>
      <c r="Q21668" s="11"/>
      <c r="R21668" s="11"/>
      <c r="S21668" s="11"/>
      <c r="T21668" s="11"/>
    </row>
    <row r="21669" spans="8:20" x14ac:dyDescent="0.35">
      <c r="H21669" s="711"/>
      <c r="I21669" s="711"/>
      <c r="J21669" s="711"/>
      <c r="K21669" s="711"/>
      <c r="L21669" s="711"/>
      <c r="Q21669" s="11"/>
      <c r="R21669" s="11"/>
      <c r="S21669" s="11"/>
      <c r="T21669" s="11"/>
    </row>
    <row r="21670" spans="8:20" x14ac:dyDescent="0.35">
      <c r="H21670" s="711"/>
      <c r="I21670" s="711"/>
      <c r="J21670" s="711"/>
      <c r="K21670" s="711"/>
      <c r="L21670" s="711"/>
      <c r="Q21670" s="11"/>
      <c r="R21670" s="11"/>
      <c r="S21670" s="11"/>
      <c r="T21670" s="11"/>
    </row>
    <row r="21671" spans="8:20" x14ac:dyDescent="0.35">
      <c r="H21671" s="711"/>
      <c r="I21671" s="711"/>
      <c r="J21671" s="711"/>
      <c r="K21671" s="711"/>
      <c r="L21671" s="711"/>
      <c r="Q21671" s="11"/>
      <c r="R21671" s="11"/>
      <c r="S21671" s="11"/>
      <c r="T21671" s="11"/>
    </row>
    <row r="21672" spans="8:20" x14ac:dyDescent="0.35">
      <c r="H21672" s="711"/>
      <c r="I21672" s="711"/>
      <c r="J21672" s="711"/>
      <c r="K21672" s="711"/>
      <c r="L21672" s="711"/>
      <c r="Q21672" s="11"/>
      <c r="R21672" s="11"/>
      <c r="S21672" s="11"/>
      <c r="T21672" s="11"/>
    </row>
    <row r="21673" spans="8:20" x14ac:dyDescent="0.35">
      <c r="H21673" s="711"/>
      <c r="I21673" s="711"/>
      <c r="J21673" s="711"/>
      <c r="K21673" s="711"/>
      <c r="L21673" s="711"/>
      <c r="Q21673" s="11"/>
      <c r="R21673" s="11"/>
      <c r="S21673" s="11"/>
      <c r="T21673" s="11"/>
    </row>
    <row r="21674" spans="8:20" x14ac:dyDescent="0.35">
      <c r="H21674" s="711"/>
      <c r="I21674" s="711"/>
      <c r="J21674" s="711"/>
      <c r="K21674" s="711"/>
      <c r="L21674" s="711"/>
      <c r="Q21674" s="11"/>
      <c r="R21674" s="11"/>
      <c r="S21674" s="11"/>
      <c r="T21674" s="11"/>
    </row>
    <row r="21675" spans="8:20" x14ac:dyDescent="0.35">
      <c r="H21675" s="711"/>
      <c r="I21675" s="711"/>
      <c r="J21675" s="711"/>
      <c r="K21675" s="711"/>
      <c r="L21675" s="711"/>
      <c r="Q21675" s="11"/>
      <c r="R21675" s="11"/>
      <c r="S21675" s="11"/>
      <c r="T21675" s="11"/>
    </row>
    <row r="21676" spans="8:20" x14ac:dyDescent="0.35">
      <c r="H21676" s="711"/>
      <c r="I21676" s="711"/>
      <c r="J21676" s="711"/>
      <c r="K21676" s="711"/>
      <c r="L21676" s="711"/>
      <c r="Q21676" s="11"/>
      <c r="R21676" s="11"/>
      <c r="S21676" s="11"/>
      <c r="T21676" s="11"/>
    </row>
    <row r="21677" spans="8:20" x14ac:dyDescent="0.35">
      <c r="H21677" s="711"/>
      <c r="I21677" s="711"/>
      <c r="J21677" s="711"/>
      <c r="K21677" s="711"/>
      <c r="L21677" s="711"/>
      <c r="Q21677" s="11"/>
      <c r="R21677" s="11"/>
      <c r="S21677" s="11"/>
      <c r="T21677" s="11"/>
    </row>
    <row r="21678" spans="8:20" x14ac:dyDescent="0.35">
      <c r="H21678" s="711"/>
      <c r="I21678" s="711"/>
      <c r="J21678" s="711"/>
      <c r="K21678" s="711"/>
      <c r="L21678" s="711"/>
      <c r="Q21678" s="11"/>
      <c r="R21678" s="11"/>
      <c r="S21678" s="11"/>
      <c r="T21678" s="11"/>
    </row>
    <row r="21679" spans="8:20" x14ac:dyDescent="0.35">
      <c r="H21679" s="711"/>
      <c r="I21679" s="711"/>
      <c r="J21679" s="711"/>
      <c r="K21679" s="711"/>
      <c r="L21679" s="711"/>
      <c r="Q21679" s="11"/>
      <c r="R21679" s="11"/>
      <c r="S21679" s="11"/>
      <c r="T21679" s="11"/>
    </row>
    <row r="21680" spans="8:20" x14ac:dyDescent="0.35">
      <c r="H21680" s="711"/>
      <c r="I21680" s="711"/>
      <c r="J21680" s="711"/>
      <c r="K21680" s="711"/>
      <c r="L21680" s="711"/>
      <c r="Q21680" s="11"/>
      <c r="R21680" s="11"/>
      <c r="S21680" s="11"/>
      <c r="T21680" s="11"/>
    </row>
    <row r="21681" spans="8:20" x14ac:dyDescent="0.35">
      <c r="H21681" s="711"/>
      <c r="I21681" s="711"/>
      <c r="J21681" s="711"/>
      <c r="K21681" s="711"/>
      <c r="L21681" s="711"/>
      <c r="Q21681" s="11"/>
      <c r="R21681" s="11"/>
      <c r="S21681" s="11"/>
      <c r="T21681" s="11"/>
    </row>
    <row r="21682" spans="8:20" x14ac:dyDescent="0.35">
      <c r="H21682" s="711"/>
      <c r="I21682" s="711"/>
      <c r="J21682" s="711"/>
      <c r="K21682" s="711"/>
      <c r="L21682" s="711"/>
      <c r="Q21682" s="11"/>
      <c r="R21682" s="11"/>
      <c r="S21682" s="11"/>
      <c r="T21682" s="11"/>
    </row>
    <row r="21683" spans="8:20" x14ac:dyDescent="0.35">
      <c r="H21683" s="711"/>
      <c r="I21683" s="711"/>
      <c r="J21683" s="711"/>
      <c r="K21683" s="711"/>
      <c r="L21683" s="711"/>
      <c r="Q21683" s="11"/>
      <c r="R21683" s="11"/>
      <c r="S21683" s="11"/>
      <c r="T21683" s="11"/>
    </row>
    <row r="21684" spans="8:20" x14ac:dyDescent="0.35">
      <c r="H21684" s="711"/>
      <c r="I21684" s="711"/>
      <c r="J21684" s="711"/>
      <c r="K21684" s="711"/>
      <c r="L21684" s="711"/>
      <c r="Q21684" s="11"/>
      <c r="R21684" s="11"/>
      <c r="S21684" s="11"/>
      <c r="T21684" s="11"/>
    </row>
    <row r="21685" spans="8:20" x14ac:dyDescent="0.35">
      <c r="H21685" s="711"/>
      <c r="I21685" s="711"/>
      <c r="J21685" s="711"/>
      <c r="K21685" s="711"/>
      <c r="L21685" s="711"/>
      <c r="Q21685" s="11"/>
      <c r="R21685" s="11"/>
      <c r="S21685" s="11"/>
      <c r="T21685" s="11"/>
    </row>
    <row r="21686" spans="8:20" x14ac:dyDescent="0.35">
      <c r="H21686" s="711"/>
      <c r="I21686" s="711"/>
      <c r="J21686" s="711"/>
      <c r="K21686" s="711"/>
      <c r="L21686" s="711"/>
      <c r="Q21686" s="11"/>
      <c r="R21686" s="11"/>
      <c r="S21686" s="11"/>
      <c r="T21686" s="11"/>
    </row>
    <row r="21687" spans="8:20" x14ac:dyDescent="0.35">
      <c r="H21687" s="711"/>
      <c r="I21687" s="711"/>
      <c r="J21687" s="711"/>
      <c r="K21687" s="711"/>
      <c r="L21687" s="711"/>
      <c r="Q21687" s="11"/>
      <c r="R21687" s="11"/>
      <c r="S21687" s="11"/>
      <c r="T21687" s="11"/>
    </row>
    <row r="21688" spans="8:20" x14ac:dyDescent="0.35">
      <c r="H21688" s="711"/>
      <c r="I21688" s="711"/>
      <c r="J21688" s="711"/>
      <c r="K21688" s="711"/>
      <c r="L21688" s="711"/>
      <c r="Q21688" s="11"/>
      <c r="R21688" s="11"/>
      <c r="S21688" s="11"/>
      <c r="T21688" s="11"/>
    </row>
    <row r="21689" spans="8:20" x14ac:dyDescent="0.35">
      <c r="H21689" s="711"/>
      <c r="I21689" s="711"/>
      <c r="J21689" s="711"/>
      <c r="K21689" s="711"/>
      <c r="L21689" s="711"/>
      <c r="Q21689" s="11"/>
      <c r="R21689" s="11"/>
      <c r="S21689" s="11"/>
      <c r="T21689" s="11"/>
    </row>
    <row r="21690" spans="8:20" x14ac:dyDescent="0.35">
      <c r="H21690" s="711"/>
      <c r="I21690" s="711"/>
      <c r="J21690" s="711"/>
      <c r="K21690" s="711"/>
      <c r="L21690" s="711"/>
      <c r="Q21690" s="11"/>
      <c r="R21690" s="11"/>
      <c r="S21690" s="11"/>
      <c r="T21690" s="11"/>
    </row>
    <row r="21691" spans="8:20" x14ac:dyDescent="0.35">
      <c r="H21691" s="711"/>
      <c r="I21691" s="711"/>
      <c r="J21691" s="711"/>
      <c r="K21691" s="711"/>
      <c r="L21691" s="711"/>
      <c r="Q21691" s="11"/>
      <c r="R21691" s="11"/>
      <c r="S21691" s="11"/>
      <c r="T21691" s="11"/>
    </row>
    <row r="21692" spans="8:20" x14ac:dyDescent="0.35">
      <c r="H21692" s="711"/>
      <c r="I21692" s="711"/>
      <c r="J21692" s="711"/>
      <c r="K21692" s="711"/>
      <c r="L21692" s="711"/>
      <c r="Q21692" s="11"/>
      <c r="R21692" s="11"/>
      <c r="S21692" s="11"/>
      <c r="T21692" s="11"/>
    </row>
    <row r="21693" spans="8:20" x14ac:dyDescent="0.35">
      <c r="H21693" s="711"/>
      <c r="I21693" s="711"/>
      <c r="J21693" s="711"/>
      <c r="K21693" s="711"/>
      <c r="L21693" s="711"/>
      <c r="Q21693" s="11"/>
      <c r="R21693" s="11"/>
      <c r="S21693" s="11"/>
      <c r="T21693" s="11"/>
    </row>
    <row r="21694" spans="8:20" x14ac:dyDescent="0.35">
      <c r="H21694" s="711"/>
      <c r="I21694" s="711"/>
      <c r="J21694" s="711"/>
      <c r="K21694" s="711"/>
      <c r="L21694" s="711"/>
      <c r="Q21694" s="11"/>
      <c r="R21694" s="11"/>
      <c r="S21694" s="11"/>
      <c r="T21694" s="11"/>
    </row>
    <row r="21695" spans="8:20" x14ac:dyDescent="0.35">
      <c r="H21695" s="711"/>
      <c r="I21695" s="711"/>
      <c r="J21695" s="711"/>
      <c r="K21695" s="711"/>
      <c r="L21695" s="711"/>
      <c r="Q21695" s="11"/>
      <c r="R21695" s="11"/>
      <c r="S21695" s="11"/>
      <c r="T21695" s="11"/>
    </row>
    <row r="21696" spans="8:20" x14ac:dyDescent="0.35">
      <c r="H21696" s="711"/>
      <c r="I21696" s="711"/>
      <c r="J21696" s="711"/>
      <c r="K21696" s="711"/>
      <c r="L21696" s="711"/>
      <c r="Q21696" s="11"/>
      <c r="R21696" s="11"/>
      <c r="S21696" s="11"/>
      <c r="T21696" s="11"/>
    </row>
    <row r="21697" spans="8:20" x14ac:dyDescent="0.35">
      <c r="H21697" s="711"/>
      <c r="I21697" s="711"/>
      <c r="J21697" s="711"/>
      <c r="K21697" s="711"/>
      <c r="L21697" s="711"/>
      <c r="Q21697" s="11"/>
      <c r="R21697" s="11"/>
      <c r="S21697" s="11"/>
      <c r="T21697" s="11"/>
    </row>
    <row r="21698" spans="8:20" x14ac:dyDescent="0.35">
      <c r="H21698" s="711"/>
      <c r="I21698" s="711"/>
      <c r="J21698" s="711"/>
      <c r="K21698" s="711"/>
      <c r="L21698" s="711"/>
      <c r="Q21698" s="11"/>
      <c r="R21698" s="11"/>
      <c r="S21698" s="11"/>
      <c r="T21698" s="11"/>
    </row>
    <row r="21699" spans="8:20" x14ac:dyDescent="0.35">
      <c r="H21699" s="711"/>
      <c r="I21699" s="711"/>
      <c r="J21699" s="711"/>
      <c r="K21699" s="711"/>
      <c r="L21699" s="711"/>
      <c r="Q21699" s="11"/>
      <c r="R21699" s="11"/>
      <c r="S21699" s="11"/>
      <c r="T21699" s="11"/>
    </row>
    <row r="21700" spans="8:20" x14ac:dyDescent="0.35">
      <c r="H21700" s="711"/>
      <c r="I21700" s="711"/>
      <c r="J21700" s="711"/>
      <c r="K21700" s="711"/>
      <c r="L21700" s="711"/>
      <c r="Q21700" s="11"/>
      <c r="R21700" s="11"/>
      <c r="S21700" s="11"/>
      <c r="T21700" s="11"/>
    </row>
    <row r="21701" spans="8:20" x14ac:dyDescent="0.35">
      <c r="H21701" s="711"/>
      <c r="I21701" s="711"/>
      <c r="J21701" s="711"/>
      <c r="K21701" s="711"/>
      <c r="L21701" s="711"/>
      <c r="Q21701" s="11"/>
      <c r="R21701" s="11"/>
      <c r="S21701" s="11"/>
      <c r="T21701" s="11"/>
    </row>
    <row r="21702" spans="8:20" x14ac:dyDescent="0.35">
      <c r="H21702" s="711"/>
      <c r="I21702" s="711"/>
      <c r="J21702" s="711"/>
      <c r="K21702" s="711"/>
      <c r="L21702" s="711"/>
      <c r="Q21702" s="11"/>
      <c r="R21702" s="11"/>
      <c r="S21702" s="11"/>
      <c r="T21702" s="11"/>
    </row>
    <row r="21703" spans="8:20" x14ac:dyDescent="0.35">
      <c r="H21703" s="711"/>
      <c r="I21703" s="711"/>
      <c r="J21703" s="711"/>
      <c r="K21703" s="711"/>
      <c r="L21703" s="711"/>
      <c r="Q21703" s="11"/>
      <c r="R21703" s="11"/>
      <c r="S21703" s="11"/>
      <c r="T21703" s="11"/>
    </row>
    <row r="21704" spans="8:20" x14ac:dyDescent="0.35">
      <c r="H21704" s="711"/>
      <c r="I21704" s="711"/>
      <c r="J21704" s="711"/>
      <c r="K21704" s="711"/>
      <c r="L21704" s="711"/>
      <c r="Q21704" s="11"/>
      <c r="R21704" s="11"/>
      <c r="S21704" s="11"/>
      <c r="T21704" s="11"/>
    </row>
    <row r="21705" spans="8:20" x14ac:dyDescent="0.35">
      <c r="H21705" s="711"/>
      <c r="I21705" s="711"/>
      <c r="J21705" s="711"/>
      <c r="K21705" s="711"/>
      <c r="L21705" s="711"/>
      <c r="Q21705" s="11"/>
      <c r="R21705" s="11"/>
      <c r="S21705" s="11"/>
      <c r="T21705" s="11"/>
    </row>
    <row r="21706" spans="8:20" x14ac:dyDescent="0.35">
      <c r="H21706" s="711"/>
      <c r="I21706" s="711"/>
      <c r="J21706" s="711"/>
      <c r="K21706" s="711"/>
      <c r="L21706" s="711"/>
      <c r="Q21706" s="11"/>
      <c r="R21706" s="11"/>
      <c r="S21706" s="11"/>
      <c r="T21706" s="11"/>
    </row>
    <row r="21707" spans="8:20" x14ac:dyDescent="0.35">
      <c r="H21707" s="711"/>
      <c r="I21707" s="711"/>
      <c r="J21707" s="711"/>
      <c r="K21707" s="711"/>
      <c r="L21707" s="711"/>
      <c r="Q21707" s="11"/>
      <c r="R21707" s="11"/>
      <c r="S21707" s="11"/>
      <c r="T21707" s="11"/>
    </row>
    <row r="21708" spans="8:20" x14ac:dyDescent="0.35">
      <c r="H21708" s="711"/>
      <c r="I21708" s="711"/>
      <c r="J21708" s="711"/>
      <c r="K21708" s="711"/>
      <c r="L21708" s="711"/>
      <c r="Q21708" s="11"/>
      <c r="R21708" s="11"/>
      <c r="S21708" s="11"/>
      <c r="T21708" s="11"/>
    </row>
    <row r="21709" spans="8:20" x14ac:dyDescent="0.35">
      <c r="H21709" s="711"/>
      <c r="I21709" s="711"/>
      <c r="J21709" s="711"/>
      <c r="K21709" s="711"/>
      <c r="L21709" s="711"/>
      <c r="Q21709" s="11"/>
      <c r="R21709" s="11"/>
      <c r="S21709" s="11"/>
      <c r="T21709" s="11"/>
    </row>
    <row r="21710" spans="8:20" x14ac:dyDescent="0.35">
      <c r="H21710" s="711"/>
      <c r="I21710" s="711"/>
      <c r="J21710" s="711"/>
      <c r="K21710" s="711"/>
      <c r="L21710" s="711"/>
      <c r="Q21710" s="11"/>
      <c r="R21710" s="11"/>
      <c r="S21710" s="11"/>
      <c r="T21710" s="11"/>
    </row>
    <row r="21711" spans="8:20" x14ac:dyDescent="0.35">
      <c r="H21711" s="711"/>
      <c r="I21711" s="711"/>
      <c r="J21711" s="711"/>
      <c r="K21711" s="711"/>
      <c r="L21711" s="711"/>
      <c r="Q21711" s="11"/>
      <c r="R21711" s="11"/>
      <c r="S21711" s="11"/>
      <c r="T21711" s="11"/>
    </row>
    <row r="21712" spans="8:20" x14ac:dyDescent="0.35">
      <c r="H21712" s="711"/>
      <c r="I21712" s="711"/>
      <c r="J21712" s="711"/>
      <c r="K21712" s="711"/>
      <c r="L21712" s="711"/>
      <c r="Q21712" s="11"/>
      <c r="R21712" s="11"/>
      <c r="S21712" s="11"/>
      <c r="T21712" s="11"/>
    </row>
    <row r="21713" spans="8:20" x14ac:dyDescent="0.35">
      <c r="H21713" s="711"/>
      <c r="I21713" s="711"/>
      <c r="J21713" s="711"/>
      <c r="K21713" s="711"/>
      <c r="L21713" s="711"/>
      <c r="Q21713" s="11"/>
      <c r="R21713" s="11"/>
      <c r="S21713" s="11"/>
      <c r="T21713" s="11"/>
    </row>
    <row r="21714" spans="8:20" x14ac:dyDescent="0.35">
      <c r="H21714" s="711"/>
      <c r="I21714" s="711"/>
      <c r="J21714" s="711"/>
      <c r="K21714" s="711"/>
      <c r="L21714" s="711"/>
      <c r="Q21714" s="11"/>
      <c r="R21714" s="11"/>
      <c r="S21714" s="11"/>
      <c r="T21714" s="11"/>
    </row>
    <row r="21715" spans="8:20" x14ac:dyDescent="0.35">
      <c r="H21715" s="711"/>
      <c r="I21715" s="711"/>
      <c r="J21715" s="711"/>
      <c r="K21715" s="711"/>
      <c r="L21715" s="711"/>
      <c r="Q21715" s="11"/>
      <c r="R21715" s="11"/>
      <c r="S21715" s="11"/>
      <c r="T21715" s="11"/>
    </row>
    <row r="21716" spans="8:20" x14ac:dyDescent="0.35">
      <c r="H21716" s="711"/>
      <c r="I21716" s="711"/>
      <c r="J21716" s="711"/>
      <c r="K21716" s="711"/>
      <c r="L21716" s="711"/>
      <c r="Q21716" s="11"/>
      <c r="R21716" s="11"/>
      <c r="S21716" s="11"/>
      <c r="T21716" s="11"/>
    </row>
    <row r="21717" spans="8:20" x14ac:dyDescent="0.35">
      <c r="H21717" s="711"/>
      <c r="I21717" s="711"/>
      <c r="J21717" s="711"/>
      <c r="K21717" s="711"/>
      <c r="L21717" s="711"/>
      <c r="Q21717" s="11"/>
      <c r="R21717" s="11"/>
      <c r="S21717" s="11"/>
      <c r="T21717" s="11"/>
    </row>
    <row r="21718" spans="8:20" x14ac:dyDescent="0.35">
      <c r="H21718" s="711"/>
      <c r="I21718" s="711"/>
      <c r="J21718" s="711"/>
      <c r="K21718" s="711"/>
      <c r="L21718" s="711"/>
      <c r="Q21718" s="11"/>
      <c r="R21718" s="11"/>
      <c r="S21718" s="11"/>
      <c r="T21718" s="11"/>
    </row>
    <row r="21719" spans="8:20" x14ac:dyDescent="0.35">
      <c r="H21719" s="711"/>
      <c r="I21719" s="711"/>
      <c r="J21719" s="711"/>
      <c r="K21719" s="711"/>
      <c r="L21719" s="711"/>
      <c r="Q21719" s="11"/>
      <c r="R21719" s="11"/>
      <c r="S21719" s="11"/>
      <c r="T21719" s="11"/>
    </row>
    <row r="21720" spans="8:20" x14ac:dyDescent="0.35">
      <c r="H21720" s="711"/>
      <c r="I21720" s="711"/>
      <c r="J21720" s="711"/>
      <c r="K21720" s="711"/>
      <c r="L21720" s="711"/>
      <c r="Q21720" s="11"/>
      <c r="R21720" s="11"/>
      <c r="S21720" s="11"/>
      <c r="T21720" s="11"/>
    </row>
    <row r="21721" spans="8:20" x14ac:dyDescent="0.35">
      <c r="H21721" s="711"/>
      <c r="I21721" s="711"/>
      <c r="J21721" s="711"/>
      <c r="K21721" s="711"/>
      <c r="L21721" s="711"/>
      <c r="Q21721" s="11"/>
      <c r="R21721" s="11"/>
      <c r="S21721" s="11"/>
      <c r="T21721" s="11"/>
    </row>
    <row r="21722" spans="8:20" x14ac:dyDescent="0.35">
      <c r="H21722" s="711"/>
      <c r="I21722" s="711"/>
      <c r="J21722" s="711"/>
      <c r="K21722" s="711"/>
      <c r="L21722" s="711"/>
      <c r="Q21722" s="11"/>
      <c r="R21722" s="11"/>
      <c r="S21722" s="11"/>
      <c r="T21722" s="11"/>
    </row>
    <row r="21723" spans="8:20" x14ac:dyDescent="0.35">
      <c r="H21723" s="711"/>
      <c r="I21723" s="711"/>
      <c r="J21723" s="711"/>
      <c r="K21723" s="711"/>
      <c r="L21723" s="711"/>
      <c r="Q21723" s="11"/>
      <c r="R21723" s="11"/>
      <c r="S21723" s="11"/>
      <c r="T21723" s="11"/>
    </row>
    <row r="21724" spans="8:20" x14ac:dyDescent="0.35">
      <c r="H21724" s="711"/>
      <c r="I21724" s="711"/>
      <c r="J21724" s="711"/>
      <c r="K21724" s="711"/>
      <c r="L21724" s="711"/>
      <c r="Q21724" s="11"/>
      <c r="R21724" s="11"/>
      <c r="S21724" s="11"/>
      <c r="T21724" s="11"/>
    </row>
    <row r="21725" spans="8:20" x14ac:dyDescent="0.35">
      <c r="H21725" s="711"/>
      <c r="I21725" s="711"/>
      <c r="J21725" s="711"/>
      <c r="K21725" s="711"/>
      <c r="L21725" s="711"/>
      <c r="Q21725" s="11"/>
      <c r="R21725" s="11"/>
      <c r="S21725" s="11"/>
      <c r="T21725" s="11"/>
    </row>
    <row r="21726" spans="8:20" x14ac:dyDescent="0.35">
      <c r="H21726" s="711"/>
      <c r="I21726" s="711"/>
      <c r="J21726" s="711"/>
      <c r="K21726" s="711"/>
      <c r="L21726" s="711"/>
      <c r="Q21726" s="11"/>
      <c r="R21726" s="11"/>
      <c r="S21726" s="11"/>
      <c r="T21726" s="11"/>
    </row>
    <row r="21727" spans="8:20" x14ac:dyDescent="0.35">
      <c r="H21727" s="711"/>
      <c r="I21727" s="711"/>
      <c r="J21727" s="711"/>
      <c r="K21727" s="711"/>
      <c r="L21727" s="711"/>
      <c r="Q21727" s="11"/>
      <c r="R21727" s="11"/>
      <c r="S21727" s="11"/>
      <c r="T21727" s="11"/>
    </row>
    <row r="21728" spans="8:20" x14ac:dyDescent="0.35">
      <c r="H21728" s="711"/>
      <c r="I21728" s="711"/>
      <c r="J21728" s="711"/>
      <c r="K21728" s="711"/>
      <c r="L21728" s="711"/>
      <c r="Q21728" s="11"/>
      <c r="R21728" s="11"/>
      <c r="S21728" s="11"/>
      <c r="T21728" s="11"/>
    </row>
    <row r="21729" spans="8:20" x14ac:dyDescent="0.35">
      <c r="H21729" s="711"/>
      <c r="I21729" s="711"/>
      <c r="J21729" s="711"/>
      <c r="K21729" s="711"/>
      <c r="L21729" s="711"/>
      <c r="Q21729" s="11"/>
      <c r="R21729" s="11"/>
      <c r="S21729" s="11"/>
      <c r="T21729" s="11"/>
    </row>
    <row r="21730" spans="8:20" x14ac:dyDescent="0.35">
      <c r="H21730" s="711"/>
      <c r="I21730" s="711"/>
      <c r="J21730" s="711"/>
      <c r="K21730" s="711"/>
      <c r="L21730" s="711"/>
      <c r="Q21730" s="11"/>
      <c r="R21730" s="11"/>
      <c r="S21730" s="11"/>
      <c r="T21730" s="11"/>
    </row>
    <row r="21731" spans="8:20" x14ac:dyDescent="0.35">
      <c r="H21731" s="711"/>
      <c r="I21731" s="711"/>
      <c r="J21731" s="711"/>
      <c r="K21731" s="711"/>
      <c r="L21731" s="711"/>
      <c r="Q21731" s="11"/>
      <c r="R21731" s="11"/>
      <c r="S21731" s="11"/>
      <c r="T21731" s="11"/>
    </row>
    <row r="21732" spans="8:20" x14ac:dyDescent="0.35">
      <c r="H21732" s="711"/>
      <c r="I21732" s="711"/>
      <c r="J21732" s="711"/>
      <c r="K21732" s="711"/>
      <c r="L21732" s="711"/>
      <c r="Q21732" s="11"/>
      <c r="R21732" s="11"/>
      <c r="S21732" s="11"/>
      <c r="T21732" s="11"/>
    </row>
    <row r="21733" spans="8:20" x14ac:dyDescent="0.35">
      <c r="H21733" s="711"/>
      <c r="I21733" s="711"/>
      <c r="J21733" s="711"/>
      <c r="K21733" s="711"/>
      <c r="L21733" s="711"/>
      <c r="Q21733" s="11"/>
      <c r="R21733" s="11"/>
      <c r="S21733" s="11"/>
      <c r="T21733" s="11"/>
    </row>
    <row r="21734" spans="8:20" x14ac:dyDescent="0.35">
      <c r="H21734" s="711"/>
      <c r="I21734" s="711"/>
      <c r="J21734" s="711"/>
      <c r="K21734" s="711"/>
      <c r="L21734" s="711"/>
      <c r="Q21734" s="11"/>
      <c r="R21734" s="11"/>
      <c r="S21734" s="11"/>
      <c r="T21734" s="11"/>
    </row>
    <row r="21735" spans="8:20" x14ac:dyDescent="0.35">
      <c r="H21735" s="711"/>
      <c r="I21735" s="711"/>
      <c r="J21735" s="711"/>
      <c r="K21735" s="711"/>
      <c r="L21735" s="711"/>
      <c r="Q21735" s="11"/>
      <c r="R21735" s="11"/>
      <c r="S21735" s="11"/>
      <c r="T21735" s="11"/>
    </row>
    <row r="21736" spans="8:20" x14ac:dyDescent="0.35">
      <c r="H21736" s="711"/>
      <c r="I21736" s="711"/>
      <c r="J21736" s="711"/>
      <c r="K21736" s="711"/>
      <c r="L21736" s="711"/>
      <c r="Q21736" s="11"/>
      <c r="R21736" s="11"/>
      <c r="S21736" s="11"/>
      <c r="T21736" s="11"/>
    </row>
    <row r="21737" spans="8:20" x14ac:dyDescent="0.35">
      <c r="H21737" s="711"/>
      <c r="I21737" s="711"/>
      <c r="J21737" s="711"/>
      <c r="K21737" s="711"/>
      <c r="L21737" s="711"/>
      <c r="Q21737" s="11"/>
      <c r="R21737" s="11"/>
      <c r="S21737" s="11"/>
      <c r="T21737" s="11"/>
    </row>
    <row r="21738" spans="8:20" x14ac:dyDescent="0.35">
      <c r="H21738" s="711"/>
      <c r="I21738" s="711"/>
      <c r="J21738" s="711"/>
      <c r="K21738" s="711"/>
      <c r="L21738" s="711"/>
      <c r="Q21738" s="11"/>
      <c r="R21738" s="11"/>
      <c r="S21738" s="11"/>
      <c r="T21738" s="11"/>
    </row>
    <row r="21739" spans="8:20" x14ac:dyDescent="0.35">
      <c r="H21739" s="711"/>
      <c r="I21739" s="711"/>
      <c r="J21739" s="711"/>
      <c r="K21739" s="711"/>
      <c r="L21739" s="711"/>
      <c r="Q21739" s="11"/>
      <c r="R21739" s="11"/>
      <c r="S21739" s="11"/>
      <c r="T21739" s="11"/>
    </row>
    <row r="21740" spans="8:20" x14ac:dyDescent="0.35">
      <c r="H21740" s="711"/>
      <c r="I21740" s="711"/>
      <c r="J21740" s="711"/>
      <c r="K21740" s="711"/>
      <c r="L21740" s="711"/>
      <c r="Q21740" s="11"/>
      <c r="R21740" s="11"/>
      <c r="S21740" s="11"/>
      <c r="T21740" s="11"/>
    </row>
    <row r="21741" spans="8:20" x14ac:dyDescent="0.35">
      <c r="H21741" s="711"/>
      <c r="I21741" s="711"/>
      <c r="J21741" s="711"/>
      <c r="K21741" s="711"/>
      <c r="L21741" s="711"/>
      <c r="Q21741" s="11"/>
      <c r="R21741" s="11"/>
      <c r="S21741" s="11"/>
      <c r="T21741" s="11"/>
    </row>
    <row r="21742" spans="8:20" x14ac:dyDescent="0.35">
      <c r="H21742" s="711"/>
      <c r="I21742" s="711"/>
      <c r="J21742" s="711"/>
      <c r="K21742" s="711"/>
      <c r="L21742" s="711"/>
      <c r="Q21742" s="11"/>
      <c r="R21742" s="11"/>
      <c r="S21742" s="11"/>
      <c r="T21742" s="11"/>
    </row>
    <row r="21743" spans="8:20" x14ac:dyDescent="0.35">
      <c r="H21743" s="711"/>
      <c r="I21743" s="711"/>
      <c r="J21743" s="711"/>
      <c r="K21743" s="711"/>
      <c r="L21743" s="711"/>
      <c r="Q21743" s="11"/>
      <c r="R21743" s="11"/>
      <c r="S21743" s="11"/>
      <c r="T21743" s="11"/>
    </row>
    <row r="21744" spans="8:20" x14ac:dyDescent="0.35">
      <c r="H21744" s="711"/>
      <c r="I21744" s="711"/>
      <c r="J21744" s="711"/>
      <c r="K21744" s="711"/>
      <c r="L21744" s="711"/>
      <c r="Q21744" s="11"/>
      <c r="R21744" s="11"/>
      <c r="S21744" s="11"/>
      <c r="T21744" s="11"/>
    </row>
    <row r="21745" spans="8:20" x14ac:dyDescent="0.35">
      <c r="H21745" s="711"/>
      <c r="I21745" s="711"/>
      <c r="J21745" s="711"/>
      <c r="K21745" s="711"/>
      <c r="L21745" s="711"/>
      <c r="Q21745" s="11"/>
      <c r="R21745" s="11"/>
      <c r="S21745" s="11"/>
      <c r="T21745" s="11"/>
    </row>
    <row r="21746" spans="8:20" x14ac:dyDescent="0.35">
      <c r="H21746" s="711"/>
      <c r="I21746" s="711"/>
      <c r="J21746" s="711"/>
      <c r="K21746" s="711"/>
      <c r="L21746" s="711"/>
      <c r="Q21746" s="11"/>
      <c r="R21746" s="11"/>
      <c r="S21746" s="11"/>
      <c r="T21746" s="11"/>
    </row>
    <row r="21747" spans="8:20" x14ac:dyDescent="0.35">
      <c r="H21747" s="711"/>
      <c r="I21747" s="711"/>
      <c r="J21747" s="711"/>
      <c r="K21747" s="711"/>
      <c r="L21747" s="711"/>
      <c r="Q21747" s="11"/>
      <c r="R21747" s="11"/>
      <c r="S21747" s="11"/>
      <c r="T21747" s="11"/>
    </row>
    <row r="21748" spans="8:20" x14ac:dyDescent="0.35">
      <c r="H21748" s="711"/>
      <c r="I21748" s="711"/>
      <c r="J21748" s="711"/>
      <c r="K21748" s="711"/>
      <c r="L21748" s="711"/>
      <c r="Q21748" s="11"/>
      <c r="R21748" s="11"/>
      <c r="S21748" s="11"/>
      <c r="T21748" s="11"/>
    </row>
    <row r="21749" spans="8:20" x14ac:dyDescent="0.35">
      <c r="H21749" s="711"/>
      <c r="I21749" s="711"/>
      <c r="J21749" s="711"/>
      <c r="K21749" s="711"/>
      <c r="L21749" s="711"/>
      <c r="Q21749" s="11"/>
      <c r="R21749" s="11"/>
      <c r="S21749" s="11"/>
      <c r="T21749" s="11"/>
    </row>
    <row r="21750" spans="8:20" x14ac:dyDescent="0.35">
      <c r="H21750" s="711"/>
      <c r="I21750" s="711"/>
      <c r="J21750" s="711"/>
      <c r="K21750" s="711"/>
      <c r="L21750" s="711"/>
      <c r="Q21750" s="11"/>
      <c r="R21750" s="11"/>
      <c r="S21750" s="11"/>
      <c r="T21750" s="11"/>
    </row>
    <row r="21751" spans="8:20" x14ac:dyDescent="0.35">
      <c r="H21751" s="711"/>
      <c r="I21751" s="711"/>
      <c r="J21751" s="711"/>
      <c r="K21751" s="711"/>
      <c r="L21751" s="711"/>
      <c r="Q21751" s="11"/>
      <c r="R21751" s="11"/>
      <c r="S21751" s="11"/>
      <c r="T21751" s="11"/>
    </row>
    <row r="21752" spans="8:20" x14ac:dyDescent="0.35">
      <c r="H21752" s="711"/>
      <c r="I21752" s="711"/>
      <c r="J21752" s="711"/>
      <c r="K21752" s="711"/>
      <c r="L21752" s="711"/>
      <c r="Q21752" s="11"/>
      <c r="R21752" s="11"/>
      <c r="S21752" s="11"/>
      <c r="T21752" s="11"/>
    </row>
    <row r="21753" spans="8:20" x14ac:dyDescent="0.35">
      <c r="H21753" s="711"/>
      <c r="I21753" s="711"/>
      <c r="J21753" s="711"/>
      <c r="K21753" s="711"/>
      <c r="L21753" s="711"/>
      <c r="Q21753" s="11"/>
      <c r="R21753" s="11"/>
      <c r="S21753" s="11"/>
      <c r="T21753" s="11"/>
    </row>
    <row r="21754" spans="8:20" x14ac:dyDescent="0.35">
      <c r="H21754" s="711"/>
      <c r="I21754" s="711"/>
      <c r="J21754" s="711"/>
      <c r="K21754" s="711"/>
      <c r="L21754" s="711"/>
      <c r="Q21754" s="11"/>
      <c r="R21754" s="11"/>
      <c r="S21754" s="11"/>
      <c r="T21754" s="11"/>
    </row>
    <row r="21755" spans="8:20" x14ac:dyDescent="0.35">
      <c r="H21755" s="711"/>
      <c r="I21755" s="711"/>
      <c r="J21755" s="711"/>
      <c r="K21755" s="711"/>
      <c r="L21755" s="711"/>
      <c r="Q21755" s="11"/>
      <c r="R21755" s="11"/>
      <c r="S21755" s="11"/>
      <c r="T21755" s="11"/>
    </row>
    <row r="21756" spans="8:20" x14ac:dyDescent="0.35">
      <c r="H21756" s="711"/>
      <c r="I21756" s="711"/>
      <c r="J21756" s="711"/>
      <c r="K21756" s="711"/>
      <c r="L21756" s="711"/>
      <c r="Q21756" s="11"/>
      <c r="R21756" s="11"/>
      <c r="S21756" s="11"/>
      <c r="T21756" s="11"/>
    </row>
    <row r="21757" spans="8:20" x14ac:dyDescent="0.35">
      <c r="H21757" s="711"/>
      <c r="I21757" s="711"/>
      <c r="J21757" s="711"/>
      <c r="K21757" s="711"/>
      <c r="L21757" s="711"/>
      <c r="Q21757" s="11"/>
      <c r="R21757" s="11"/>
      <c r="S21757" s="11"/>
      <c r="T21757" s="11"/>
    </row>
    <row r="21758" spans="8:20" x14ac:dyDescent="0.35">
      <c r="H21758" s="711"/>
      <c r="I21758" s="711"/>
      <c r="J21758" s="711"/>
      <c r="K21758" s="711"/>
      <c r="L21758" s="711"/>
      <c r="Q21758" s="11"/>
      <c r="R21758" s="11"/>
      <c r="S21758" s="11"/>
      <c r="T21758" s="11"/>
    </row>
    <row r="21759" spans="8:20" x14ac:dyDescent="0.35">
      <c r="H21759" s="711"/>
      <c r="I21759" s="711"/>
      <c r="J21759" s="711"/>
      <c r="K21759" s="711"/>
      <c r="L21759" s="711"/>
      <c r="Q21759" s="11"/>
      <c r="R21759" s="11"/>
      <c r="S21759" s="11"/>
      <c r="T21759" s="11"/>
    </row>
    <row r="21760" spans="8:20" x14ac:dyDescent="0.35">
      <c r="H21760" s="711"/>
      <c r="I21760" s="711"/>
      <c r="J21760" s="711"/>
      <c r="K21760" s="711"/>
      <c r="L21760" s="711"/>
      <c r="Q21760" s="11"/>
      <c r="R21760" s="11"/>
      <c r="S21760" s="11"/>
      <c r="T21760" s="11"/>
    </row>
    <row r="21761" spans="8:20" x14ac:dyDescent="0.35">
      <c r="H21761" s="711"/>
      <c r="I21761" s="711"/>
      <c r="J21761" s="711"/>
      <c r="K21761" s="711"/>
      <c r="L21761" s="711"/>
      <c r="Q21761" s="11"/>
      <c r="R21761" s="11"/>
      <c r="S21761" s="11"/>
      <c r="T21761" s="11"/>
    </row>
    <row r="21762" spans="8:20" x14ac:dyDescent="0.35">
      <c r="H21762" s="711"/>
      <c r="I21762" s="711"/>
      <c r="J21762" s="711"/>
      <c r="K21762" s="711"/>
      <c r="L21762" s="711"/>
      <c r="Q21762" s="11"/>
      <c r="R21762" s="11"/>
      <c r="S21762" s="11"/>
      <c r="T21762" s="11"/>
    </row>
    <row r="21763" spans="8:20" x14ac:dyDescent="0.35">
      <c r="H21763" s="711"/>
      <c r="I21763" s="711"/>
      <c r="J21763" s="711"/>
      <c r="K21763" s="711"/>
      <c r="L21763" s="711"/>
      <c r="Q21763" s="11"/>
      <c r="R21763" s="11"/>
      <c r="S21763" s="11"/>
      <c r="T21763" s="11"/>
    </row>
    <row r="21764" spans="8:20" x14ac:dyDescent="0.35">
      <c r="H21764" s="711"/>
      <c r="I21764" s="711"/>
      <c r="J21764" s="711"/>
      <c r="K21764" s="711"/>
      <c r="L21764" s="711"/>
      <c r="Q21764" s="11"/>
      <c r="R21764" s="11"/>
      <c r="S21764" s="11"/>
      <c r="T21764" s="11"/>
    </row>
    <row r="21765" spans="8:20" x14ac:dyDescent="0.35">
      <c r="H21765" s="711"/>
      <c r="I21765" s="711"/>
      <c r="J21765" s="711"/>
      <c r="K21765" s="711"/>
      <c r="L21765" s="711"/>
      <c r="Q21765" s="11"/>
      <c r="R21765" s="11"/>
      <c r="S21765" s="11"/>
      <c r="T21765" s="11"/>
    </row>
    <row r="21766" spans="8:20" x14ac:dyDescent="0.35">
      <c r="H21766" s="711"/>
      <c r="I21766" s="711"/>
      <c r="J21766" s="711"/>
      <c r="K21766" s="711"/>
      <c r="L21766" s="711"/>
      <c r="Q21766" s="11"/>
      <c r="R21766" s="11"/>
      <c r="S21766" s="11"/>
      <c r="T21766" s="11"/>
    </row>
    <row r="21767" spans="8:20" x14ac:dyDescent="0.35">
      <c r="H21767" s="711"/>
      <c r="I21767" s="711"/>
      <c r="J21767" s="711"/>
      <c r="K21767" s="711"/>
      <c r="L21767" s="711"/>
      <c r="Q21767" s="11"/>
      <c r="R21767" s="11"/>
      <c r="S21767" s="11"/>
      <c r="T21767" s="11"/>
    </row>
    <row r="21768" spans="8:20" x14ac:dyDescent="0.35">
      <c r="H21768" s="711"/>
      <c r="I21768" s="711"/>
      <c r="J21768" s="711"/>
      <c r="K21768" s="711"/>
      <c r="L21768" s="711"/>
      <c r="Q21768" s="11"/>
      <c r="R21768" s="11"/>
      <c r="S21768" s="11"/>
      <c r="T21768" s="11"/>
    </row>
    <row r="21769" spans="8:20" x14ac:dyDescent="0.35">
      <c r="H21769" s="711"/>
      <c r="I21769" s="711"/>
      <c r="J21769" s="711"/>
      <c r="K21769" s="711"/>
      <c r="L21769" s="711"/>
      <c r="Q21769" s="11"/>
      <c r="R21769" s="11"/>
      <c r="S21769" s="11"/>
      <c r="T21769" s="11"/>
    </row>
    <row r="21770" spans="8:20" x14ac:dyDescent="0.35">
      <c r="H21770" s="711"/>
      <c r="I21770" s="711"/>
      <c r="J21770" s="711"/>
      <c r="K21770" s="711"/>
      <c r="L21770" s="711"/>
      <c r="Q21770" s="11"/>
      <c r="R21770" s="11"/>
      <c r="S21770" s="11"/>
      <c r="T21770" s="11"/>
    </row>
    <row r="21771" spans="8:20" x14ac:dyDescent="0.35">
      <c r="H21771" s="711"/>
      <c r="I21771" s="711"/>
      <c r="J21771" s="711"/>
      <c r="K21771" s="711"/>
      <c r="L21771" s="711"/>
      <c r="Q21771" s="11"/>
      <c r="R21771" s="11"/>
      <c r="S21771" s="11"/>
      <c r="T21771" s="11"/>
    </row>
    <row r="21772" spans="8:20" x14ac:dyDescent="0.35">
      <c r="H21772" s="711"/>
      <c r="I21772" s="711"/>
      <c r="J21772" s="711"/>
      <c r="K21772" s="711"/>
      <c r="L21772" s="711"/>
      <c r="Q21772" s="11"/>
      <c r="R21772" s="11"/>
      <c r="S21772" s="11"/>
      <c r="T21772" s="11"/>
    </row>
    <row r="21773" spans="8:20" x14ac:dyDescent="0.35">
      <c r="H21773" s="711"/>
      <c r="I21773" s="711"/>
      <c r="J21773" s="711"/>
      <c r="K21773" s="711"/>
      <c r="L21773" s="711"/>
      <c r="Q21773" s="11"/>
      <c r="R21773" s="11"/>
      <c r="S21773" s="11"/>
      <c r="T21773" s="11"/>
    </row>
    <row r="21774" spans="8:20" x14ac:dyDescent="0.35">
      <c r="H21774" s="711"/>
      <c r="I21774" s="711"/>
      <c r="J21774" s="711"/>
      <c r="K21774" s="711"/>
      <c r="L21774" s="711"/>
      <c r="Q21774" s="11"/>
      <c r="R21774" s="11"/>
      <c r="S21774" s="11"/>
      <c r="T21774" s="11"/>
    </row>
    <row r="21775" spans="8:20" x14ac:dyDescent="0.35">
      <c r="H21775" s="711"/>
      <c r="I21775" s="711"/>
      <c r="J21775" s="711"/>
      <c r="K21775" s="711"/>
      <c r="L21775" s="711"/>
      <c r="Q21775" s="11"/>
      <c r="R21775" s="11"/>
      <c r="S21775" s="11"/>
      <c r="T21775" s="11"/>
    </row>
    <row r="21776" spans="8:20" x14ac:dyDescent="0.35">
      <c r="H21776" s="711"/>
      <c r="I21776" s="711"/>
      <c r="J21776" s="711"/>
      <c r="K21776" s="711"/>
      <c r="L21776" s="711"/>
      <c r="Q21776" s="11"/>
      <c r="R21776" s="11"/>
      <c r="S21776" s="11"/>
      <c r="T21776" s="11"/>
    </row>
    <row r="21777" spans="8:20" x14ac:dyDescent="0.35">
      <c r="H21777" s="711"/>
      <c r="I21777" s="711"/>
      <c r="J21777" s="711"/>
      <c r="K21777" s="711"/>
      <c r="L21777" s="711"/>
      <c r="Q21777" s="11"/>
      <c r="R21777" s="11"/>
      <c r="S21777" s="11"/>
      <c r="T21777" s="11"/>
    </row>
    <row r="21778" spans="8:20" x14ac:dyDescent="0.35">
      <c r="H21778" s="711"/>
      <c r="I21778" s="711"/>
      <c r="J21778" s="711"/>
      <c r="K21778" s="711"/>
      <c r="L21778" s="711"/>
      <c r="Q21778" s="11"/>
      <c r="R21778" s="11"/>
      <c r="S21778" s="11"/>
      <c r="T21778" s="11"/>
    </row>
    <row r="21779" spans="8:20" x14ac:dyDescent="0.35">
      <c r="H21779" s="711"/>
      <c r="I21779" s="711"/>
      <c r="J21779" s="711"/>
      <c r="K21779" s="711"/>
      <c r="L21779" s="711"/>
      <c r="Q21779" s="11"/>
      <c r="R21779" s="11"/>
      <c r="S21779" s="11"/>
      <c r="T21779" s="11"/>
    </row>
    <row r="21780" spans="8:20" x14ac:dyDescent="0.35">
      <c r="H21780" s="711"/>
      <c r="I21780" s="711"/>
      <c r="J21780" s="711"/>
      <c r="K21780" s="711"/>
      <c r="L21780" s="711"/>
      <c r="Q21780" s="11"/>
      <c r="R21780" s="11"/>
      <c r="S21780" s="11"/>
      <c r="T21780" s="11"/>
    </row>
    <row r="21781" spans="8:20" x14ac:dyDescent="0.35">
      <c r="H21781" s="711"/>
      <c r="I21781" s="711"/>
      <c r="J21781" s="711"/>
      <c r="K21781" s="711"/>
      <c r="L21781" s="711"/>
      <c r="Q21781" s="11"/>
      <c r="R21781" s="11"/>
      <c r="S21781" s="11"/>
      <c r="T21781" s="11"/>
    </row>
    <row r="21782" spans="8:20" x14ac:dyDescent="0.35">
      <c r="H21782" s="711"/>
      <c r="I21782" s="711"/>
      <c r="J21782" s="711"/>
      <c r="K21782" s="711"/>
      <c r="L21782" s="711"/>
      <c r="Q21782" s="11"/>
      <c r="R21782" s="11"/>
      <c r="S21782" s="11"/>
      <c r="T21782" s="11"/>
    </row>
    <row r="21783" spans="8:20" x14ac:dyDescent="0.35">
      <c r="H21783" s="711"/>
      <c r="I21783" s="711"/>
      <c r="J21783" s="711"/>
      <c r="K21783" s="711"/>
      <c r="L21783" s="711"/>
      <c r="Q21783" s="11"/>
      <c r="R21783" s="11"/>
      <c r="S21783" s="11"/>
      <c r="T21783" s="11"/>
    </row>
    <row r="21784" spans="8:20" x14ac:dyDescent="0.35">
      <c r="H21784" s="711"/>
      <c r="I21784" s="711"/>
      <c r="J21784" s="711"/>
      <c r="K21784" s="711"/>
      <c r="L21784" s="711"/>
      <c r="Q21784" s="11"/>
      <c r="R21784" s="11"/>
      <c r="S21784" s="11"/>
      <c r="T21784" s="11"/>
    </row>
    <row r="21785" spans="8:20" x14ac:dyDescent="0.35">
      <c r="H21785" s="711"/>
      <c r="I21785" s="711"/>
      <c r="J21785" s="711"/>
      <c r="K21785" s="711"/>
      <c r="L21785" s="711"/>
      <c r="Q21785" s="11"/>
      <c r="R21785" s="11"/>
      <c r="S21785" s="11"/>
      <c r="T21785" s="11"/>
    </row>
    <row r="21786" spans="8:20" x14ac:dyDescent="0.35">
      <c r="H21786" s="711"/>
      <c r="I21786" s="711"/>
      <c r="J21786" s="711"/>
      <c r="K21786" s="711"/>
      <c r="L21786" s="711"/>
      <c r="Q21786" s="11"/>
      <c r="R21786" s="11"/>
      <c r="S21786" s="11"/>
      <c r="T21786" s="11"/>
    </row>
    <row r="21787" spans="8:20" x14ac:dyDescent="0.35">
      <c r="H21787" s="711"/>
      <c r="I21787" s="711"/>
      <c r="J21787" s="711"/>
      <c r="K21787" s="711"/>
      <c r="L21787" s="711"/>
      <c r="Q21787" s="11"/>
      <c r="R21787" s="11"/>
      <c r="S21787" s="11"/>
      <c r="T21787" s="11"/>
    </row>
    <row r="21788" spans="8:20" x14ac:dyDescent="0.35">
      <c r="H21788" s="711"/>
      <c r="I21788" s="711"/>
      <c r="J21788" s="711"/>
      <c r="K21788" s="711"/>
      <c r="L21788" s="711"/>
      <c r="Q21788" s="11"/>
      <c r="R21788" s="11"/>
      <c r="S21788" s="11"/>
      <c r="T21788" s="11"/>
    </row>
    <row r="21789" spans="8:20" x14ac:dyDescent="0.35">
      <c r="H21789" s="711"/>
      <c r="I21789" s="711"/>
      <c r="J21789" s="711"/>
      <c r="K21789" s="711"/>
      <c r="L21789" s="711"/>
      <c r="Q21789" s="11"/>
      <c r="R21789" s="11"/>
      <c r="S21789" s="11"/>
      <c r="T21789" s="11"/>
    </row>
    <row r="21790" spans="8:20" x14ac:dyDescent="0.35">
      <c r="H21790" s="711"/>
      <c r="I21790" s="711"/>
      <c r="J21790" s="711"/>
      <c r="K21790" s="711"/>
      <c r="L21790" s="711"/>
      <c r="Q21790" s="11"/>
      <c r="R21790" s="11"/>
      <c r="S21790" s="11"/>
      <c r="T21790" s="11"/>
    </row>
    <row r="21791" spans="8:20" x14ac:dyDescent="0.35">
      <c r="H21791" s="711"/>
      <c r="I21791" s="711"/>
      <c r="J21791" s="711"/>
      <c r="K21791" s="711"/>
      <c r="L21791" s="711"/>
      <c r="Q21791" s="11"/>
      <c r="R21791" s="11"/>
      <c r="S21791" s="11"/>
      <c r="T21791" s="11"/>
    </row>
    <row r="21792" spans="8:20" x14ac:dyDescent="0.35">
      <c r="H21792" s="711"/>
      <c r="I21792" s="711"/>
      <c r="J21792" s="711"/>
      <c r="K21792" s="711"/>
      <c r="L21792" s="711"/>
      <c r="Q21792" s="11"/>
      <c r="R21792" s="11"/>
      <c r="S21792" s="11"/>
      <c r="T21792" s="11"/>
    </row>
    <row r="21793" spans="8:20" x14ac:dyDescent="0.35">
      <c r="H21793" s="711"/>
      <c r="I21793" s="711"/>
      <c r="J21793" s="711"/>
      <c r="K21793" s="711"/>
      <c r="L21793" s="711"/>
      <c r="Q21793" s="11"/>
      <c r="R21793" s="11"/>
      <c r="S21793" s="11"/>
      <c r="T21793" s="11"/>
    </row>
    <row r="21794" spans="8:20" x14ac:dyDescent="0.35">
      <c r="H21794" s="711"/>
      <c r="I21794" s="711"/>
      <c r="J21794" s="711"/>
      <c r="K21794" s="711"/>
      <c r="L21794" s="711"/>
      <c r="Q21794" s="11"/>
      <c r="R21794" s="11"/>
      <c r="S21794" s="11"/>
      <c r="T21794" s="11"/>
    </row>
    <row r="21795" spans="8:20" x14ac:dyDescent="0.35">
      <c r="H21795" s="711"/>
      <c r="I21795" s="711"/>
      <c r="J21795" s="711"/>
      <c r="K21795" s="711"/>
      <c r="L21795" s="711"/>
      <c r="Q21795" s="11"/>
      <c r="R21795" s="11"/>
      <c r="S21795" s="11"/>
      <c r="T21795" s="11"/>
    </row>
    <row r="21796" spans="8:20" x14ac:dyDescent="0.35">
      <c r="H21796" s="711"/>
      <c r="I21796" s="711"/>
      <c r="J21796" s="711"/>
      <c r="K21796" s="711"/>
      <c r="L21796" s="711"/>
      <c r="Q21796" s="11"/>
      <c r="R21796" s="11"/>
      <c r="S21796" s="11"/>
      <c r="T21796" s="11"/>
    </row>
    <row r="21797" spans="8:20" x14ac:dyDescent="0.35">
      <c r="H21797" s="711"/>
      <c r="I21797" s="711"/>
      <c r="J21797" s="711"/>
      <c r="K21797" s="711"/>
      <c r="L21797" s="711"/>
      <c r="Q21797" s="11"/>
      <c r="R21797" s="11"/>
      <c r="S21797" s="11"/>
      <c r="T21797" s="11"/>
    </row>
    <row r="21798" spans="8:20" x14ac:dyDescent="0.35">
      <c r="H21798" s="711"/>
      <c r="I21798" s="711"/>
      <c r="J21798" s="711"/>
      <c r="K21798" s="711"/>
      <c r="L21798" s="711"/>
      <c r="Q21798" s="11"/>
      <c r="R21798" s="11"/>
      <c r="S21798" s="11"/>
      <c r="T21798" s="11"/>
    </row>
    <row r="21799" spans="8:20" x14ac:dyDescent="0.35">
      <c r="H21799" s="711"/>
      <c r="I21799" s="711"/>
      <c r="J21799" s="711"/>
      <c r="K21799" s="711"/>
      <c r="L21799" s="711"/>
      <c r="Q21799" s="11"/>
      <c r="R21799" s="11"/>
      <c r="S21799" s="11"/>
      <c r="T21799" s="11"/>
    </row>
    <row r="21800" spans="8:20" x14ac:dyDescent="0.35">
      <c r="H21800" s="711"/>
      <c r="I21800" s="711"/>
      <c r="J21800" s="711"/>
      <c r="K21800" s="711"/>
      <c r="L21800" s="711"/>
      <c r="Q21800" s="11"/>
      <c r="R21800" s="11"/>
      <c r="S21800" s="11"/>
      <c r="T21800" s="11"/>
    </row>
    <row r="21801" spans="8:20" x14ac:dyDescent="0.35">
      <c r="H21801" s="711"/>
      <c r="I21801" s="711"/>
      <c r="J21801" s="711"/>
      <c r="K21801" s="711"/>
      <c r="L21801" s="711"/>
      <c r="Q21801" s="11"/>
      <c r="R21801" s="11"/>
      <c r="S21801" s="11"/>
      <c r="T21801" s="11"/>
    </row>
    <row r="21802" spans="8:20" x14ac:dyDescent="0.35">
      <c r="H21802" s="711"/>
      <c r="I21802" s="711"/>
      <c r="J21802" s="711"/>
      <c r="K21802" s="711"/>
      <c r="L21802" s="711"/>
      <c r="Q21802" s="11"/>
      <c r="R21802" s="11"/>
      <c r="S21802" s="11"/>
      <c r="T21802" s="11"/>
    </row>
    <row r="21803" spans="8:20" x14ac:dyDescent="0.35">
      <c r="H21803" s="711"/>
      <c r="I21803" s="711"/>
      <c r="J21803" s="711"/>
      <c r="K21803" s="711"/>
      <c r="L21803" s="711"/>
      <c r="Q21803" s="11"/>
      <c r="R21803" s="11"/>
      <c r="S21803" s="11"/>
      <c r="T21803" s="11"/>
    </row>
    <row r="21804" spans="8:20" x14ac:dyDescent="0.35">
      <c r="H21804" s="711"/>
      <c r="I21804" s="711"/>
      <c r="J21804" s="711"/>
      <c r="K21804" s="711"/>
      <c r="L21804" s="711"/>
      <c r="Q21804" s="11"/>
      <c r="R21804" s="11"/>
      <c r="S21804" s="11"/>
      <c r="T21804" s="11"/>
    </row>
    <row r="21805" spans="8:20" x14ac:dyDescent="0.35">
      <c r="H21805" s="711"/>
      <c r="I21805" s="711"/>
      <c r="J21805" s="711"/>
      <c r="K21805" s="711"/>
      <c r="L21805" s="711"/>
      <c r="Q21805" s="11"/>
      <c r="R21805" s="11"/>
      <c r="S21805" s="11"/>
      <c r="T21805" s="11"/>
    </row>
    <row r="21806" spans="8:20" x14ac:dyDescent="0.35">
      <c r="H21806" s="711"/>
      <c r="I21806" s="711"/>
      <c r="J21806" s="711"/>
      <c r="K21806" s="711"/>
      <c r="L21806" s="711"/>
      <c r="Q21806" s="11"/>
      <c r="R21806" s="11"/>
      <c r="S21806" s="11"/>
      <c r="T21806" s="11"/>
    </row>
    <row r="21807" spans="8:20" x14ac:dyDescent="0.35">
      <c r="H21807" s="711"/>
      <c r="I21807" s="711"/>
      <c r="J21807" s="711"/>
      <c r="K21807" s="711"/>
      <c r="L21807" s="711"/>
      <c r="Q21807" s="11"/>
      <c r="R21807" s="11"/>
      <c r="S21807" s="11"/>
      <c r="T21807" s="11"/>
    </row>
    <row r="21808" spans="8:20" x14ac:dyDescent="0.35">
      <c r="H21808" s="711"/>
      <c r="I21808" s="711"/>
      <c r="J21808" s="711"/>
      <c r="K21808" s="711"/>
      <c r="L21808" s="711"/>
      <c r="Q21808" s="11"/>
      <c r="R21808" s="11"/>
      <c r="S21808" s="11"/>
      <c r="T21808" s="11"/>
    </row>
    <row r="21809" spans="8:20" x14ac:dyDescent="0.35">
      <c r="H21809" s="711"/>
      <c r="I21809" s="711"/>
      <c r="J21809" s="711"/>
      <c r="K21809" s="711"/>
      <c r="L21809" s="711"/>
      <c r="Q21809" s="11"/>
      <c r="R21809" s="11"/>
      <c r="S21809" s="11"/>
      <c r="T21809" s="11"/>
    </row>
    <row r="21810" spans="8:20" x14ac:dyDescent="0.35">
      <c r="H21810" s="711"/>
      <c r="I21810" s="711"/>
      <c r="J21810" s="711"/>
      <c r="K21810" s="711"/>
      <c r="L21810" s="711"/>
      <c r="Q21810" s="11"/>
      <c r="R21810" s="11"/>
      <c r="S21810" s="11"/>
      <c r="T21810" s="11"/>
    </row>
    <row r="21811" spans="8:20" x14ac:dyDescent="0.35">
      <c r="H21811" s="711"/>
      <c r="I21811" s="711"/>
      <c r="J21811" s="711"/>
      <c r="K21811" s="711"/>
      <c r="L21811" s="711"/>
      <c r="Q21811" s="11"/>
      <c r="R21811" s="11"/>
      <c r="S21811" s="11"/>
      <c r="T21811" s="11"/>
    </row>
    <row r="21812" spans="8:20" x14ac:dyDescent="0.35">
      <c r="H21812" s="711"/>
      <c r="I21812" s="711"/>
      <c r="J21812" s="711"/>
      <c r="K21812" s="711"/>
      <c r="L21812" s="711"/>
      <c r="Q21812" s="11"/>
      <c r="R21812" s="11"/>
      <c r="S21812" s="11"/>
      <c r="T21812" s="11"/>
    </row>
    <row r="21813" spans="8:20" x14ac:dyDescent="0.35">
      <c r="H21813" s="711"/>
      <c r="I21813" s="711"/>
      <c r="J21813" s="711"/>
      <c r="K21813" s="711"/>
      <c r="L21813" s="711"/>
      <c r="Q21813" s="11"/>
      <c r="R21813" s="11"/>
      <c r="S21813" s="11"/>
      <c r="T21813" s="11"/>
    </row>
    <row r="21814" spans="8:20" x14ac:dyDescent="0.35">
      <c r="H21814" s="711"/>
      <c r="I21814" s="711"/>
      <c r="J21814" s="711"/>
      <c r="K21814" s="711"/>
      <c r="L21814" s="711"/>
      <c r="Q21814" s="11"/>
      <c r="R21814" s="11"/>
      <c r="S21814" s="11"/>
      <c r="T21814" s="11"/>
    </row>
    <row r="21815" spans="8:20" x14ac:dyDescent="0.35">
      <c r="H21815" s="711"/>
      <c r="I21815" s="711"/>
      <c r="J21815" s="711"/>
      <c r="K21815" s="711"/>
      <c r="L21815" s="711"/>
      <c r="Q21815" s="11"/>
      <c r="R21815" s="11"/>
      <c r="S21815" s="11"/>
      <c r="T21815" s="11"/>
    </row>
    <row r="21816" spans="8:20" x14ac:dyDescent="0.35">
      <c r="H21816" s="711"/>
      <c r="I21816" s="711"/>
      <c r="J21816" s="711"/>
      <c r="K21816" s="711"/>
      <c r="L21816" s="711"/>
      <c r="Q21816" s="11"/>
      <c r="R21816" s="11"/>
      <c r="S21816" s="11"/>
      <c r="T21816" s="11"/>
    </row>
    <row r="21817" spans="8:20" x14ac:dyDescent="0.35">
      <c r="H21817" s="711"/>
      <c r="I21817" s="711"/>
      <c r="J21817" s="711"/>
      <c r="K21817" s="711"/>
      <c r="L21817" s="711"/>
      <c r="Q21817" s="11"/>
      <c r="R21817" s="11"/>
      <c r="S21817" s="11"/>
      <c r="T21817" s="11"/>
    </row>
    <row r="21818" spans="8:20" x14ac:dyDescent="0.35">
      <c r="H21818" s="711"/>
      <c r="I21818" s="711"/>
      <c r="J21818" s="711"/>
      <c r="K21818" s="711"/>
      <c r="L21818" s="711"/>
      <c r="Q21818" s="11"/>
      <c r="R21818" s="11"/>
      <c r="S21818" s="11"/>
      <c r="T21818" s="11"/>
    </row>
    <row r="21819" spans="8:20" x14ac:dyDescent="0.35">
      <c r="H21819" s="711"/>
      <c r="I21819" s="711"/>
      <c r="J21819" s="711"/>
      <c r="K21819" s="711"/>
      <c r="L21819" s="711"/>
      <c r="Q21819" s="11"/>
      <c r="R21819" s="11"/>
      <c r="S21819" s="11"/>
      <c r="T21819" s="11"/>
    </row>
    <row r="21820" spans="8:20" x14ac:dyDescent="0.35">
      <c r="H21820" s="711"/>
      <c r="I21820" s="711"/>
      <c r="J21820" s="711"/>
      <c r="K21820" s="711"/>
      <c r="L21820" s="711"/>
      <c r="Q21820" s="11"/>
      <c r="R21820" s="11"/>
      <c r="S21820" s="11"/>
      <c r="T21820" s="11"/>
    </row>
    <row r="21821" spans="8:20" x14ac:dyDescent="0.35">
      <c r="H21821" s="711"/>
      <c r="I21821" s="711"/>
      <c r="J21821" s="711"/>
      <c r="K21821" s="711"/>
      <c r="L21821" s="711"/>
      <c r="Q21821" s="11"/>
      <c r="R21821" s="11"/>
      <c r="S21821" s="11"/>
      <c r="T21821" s="11"/>
    </row>
    <row r="21822" spans="8:20" x14ac:dyDescent="0.35">
      <c r="H21822" s="711"/>
      <c r="I21822" s="711"/>
      <c r="J21822" s="711"/>
      <c r="K21822" s="711"/>
      <c r="L21822" s="711"/>
      <c r="Q21822" s="11"/>
      <c r="R21822" s="11"/>
      <c r="S21822" s="11"/>
      <c r="T21822" s="11"/>
    </row>
    <row r="21823" spans="8:20" x14ac:dyDescent="0.35">
      <c r="H21823" s="711"/>
      <c r="I21823" s="711"/>
      <c r="J21823" s="711"/>
      <c r="K21823" s="711"/>
      <c r="L21823" s="711"/>
      <c r="Q21823" s="11"/>
      <c r="R21823" s="11"/>
      <c r="S21823" s="11"/>
      <c r="T21823" s="11"/>
    </row>
    <row r="21824" spans="8:20" x14ac:dyDescent="0.35">
      <c r="H21824" s="711"/>
      <c r="I21824" s="711"/>
      <c r="J21824" s="711"/>
      <c r="K21824" s="711"/>
      <c r="L21824" s="711"/>
      <c r="Q21824" s="11"/>
      <c r="R21824" s="11"/>
      <c r="S21824" s="11"/>
      <c r="T21824" s="11"/>
    </row>
    <row r="21825" spans="8:20" x14ac:dyDescent="0.35">
      <c r="H21825" s="711"/>
      <c r="I21825" s="711"/>
      <c r="J21825" s="711"/>
      <c r="K21825" s="711"/>
      <c r="L21825" s="711"/>
      <c r="Q21825" s="11"/>
      <c r="R21825" s="11"/>
      <c r="S21825" s="11"/>
      <c r="T21825" s="11"/>
    </row>
    <row r="21826" spans="8:20" x14ac:dyDescent="0.35">
      <c r="H21826" s="711"/>
      <c r="I21826" s="711"/>
      <c r="J21826" s="711"/>
      <c r="K21826" s="711"/>
      <c r="L21826" s="711"/>
      <c r="Q21826" s="11"/>
      <c r="R21826" s="11"/>
      <c r="S21826" s="11"/>
      <c r="T21826" s="11"/>
    </row>
    <row r="21827" spans="8:20" x14ac:dyDescent="0.35">
      <c r="H21827" s="711"/>
      <c r="I21827" s="711"/>
      <c r="J21827" s="711"/>
      <c r="K21827" s="711"/>
      <c r="L21827" s="711"/>
      <c r="Q21827" s="11"/>
      <c r="R21827" s="11"/>
      <c r="S21827" s="11"/>
      <c r="T21827" s="11"/>
    </row>
    <row r="21828" spans="8:20" x14ac:dyDescent="0.35">
      <c r="H21828" s="711"/>
      <c r="I21828" s="711"/>
      <c r="J21828" s="711"/>
      <c r="K21828" s="711"/>
      <c r="L21828" s="711"/>
      <c r="Q21828" s="11"/>
      <c r="R21828" s="11"/>
      <c r="S21828" s="11"/>
      <c r="T21828" s="11"/>
    </row>
    <row r="21829" spans="8:20" x14ac:dyDescent="0.35">
      <c r="H21829" s="711"/>
      <c r="I21829" s="711"/>
      <c r="J21829" s="711"/>
      <c r="K21829" s="711"/>
      <c r="L21829" s="711"/>
      <c r="Q21829" s="11"/>
      <c r="R21829" s="11"/>
      <c r="S21829" s="11"/>
      <c r="T21829" s="11"/>
    </row>
    <row r="21830" spans="8:20" x14ac:dyDescent="0.35">
      <c r="H21830" s="711"/>
      <c r="I21830" s="711"/>
      <c r="J21830" s="711"/>
      <c r="K21830" s="711"/>
      <c r="L21830" s="711"/>
      <c r="Q21830" s="11"/>
      <c r="R21830" s="11"/>
      <c r="S21830" s="11"/>
      <c r="T21830" s="11"/>
    </row>
    <row r="21831" spans="8:20" x14ac:dyDescent="0.35">
      <c r="H21831" s="711"/>
      <c r="I21831" s="711"/>
      <c r="J21831" s="711"/>
      <c r="K21831" s="711"/>
      <c r="L21831" s="711"/>
      <c r="Q21831" s="11"/>
      <c r="R21831" s="11"/>
      <c r="S21831" s="11"/>
      <c r="T21831" s="11"/>
    </row>
    <row r="21832" spans="8:20" x14ac:dyDescent="0.35">
      <c r="H21832" s="711"/>
      <c r="I21832" s="711"/>
      <c r="J21832" s="711"/>
      <c r="K21832" s="711"/>
      <c r="L21832" s="711"/>
      <c r="Q21832" s="11"/>
      <c r="R21832" s="11"/>
      <c r="S21832" s="11"/>
      <c r="T21832" s="11"/>
    </row>
    <row r="21833" spans="8:20" x14ac:dyDescent="0.35">
      <c r="H21833" s="711"/>
      <c r="I21833" s="711"/>
      <c r="J21833" s="711"/>
      <c r="K21833" s="711"/>
      <c r="L21833" s="711"/>
      <c r="Q21833" s="11"/>
      <c r="R21833" s="11"/>
      <c r="S21833" s="11"/>
      <c r="T21833" s="11"/>
    </row>
    <row r="21834" spans="8:20" x14ac:dyDescent="0.35">
      <c r="H21834" s="711"/>
      <c r="I21834" s="711"/>
      <c r="J21834" s="711"/>
      <c r="K21834" s="711"/>
      <c r="L21834" s="711"/>
      <c r="Q21834" s="11"/>
      <c r="R21834" s="11"/>
      <c r="S21834" s="11"/>
      <c r="T21834" s="11"/>
    </row>
    <row r="21835" spans="8:20" x14ac:dyDescent="0.35">
      <c r="H21835" s="711"/>
      <c r="I21835" s="711"/>
      <c r="J21835" s="711"/>
      <c r="K21835" s="711"/>
      <c r="L21835" s="711"/>
      <c r="Q21835" s="11"/>
      <c r="R21835" s="11"/>
      <c r="S21835" s="11"/>
      <c r="T21835" s="11"/>
    </row>
    <row r="21836" spans="8:20" x14ac:dyDescent="0.35">
      <c r="H21836" s="711"/>
      <c r="I21836" s="711"/>
      <c r="J21836" s="711"/>
      <c r="K21836" s="711"/>
      <c r="L21836" s="711"/>
      <c r="Q21836" s="11"/>
      <c r="R21836" s="11"/>
      <c r="S21836" s="11"/>
      <c r="T21836" s="11"/>
    </row>
    <row r="21837" spans="8:20" x14ac:dyDescent="0.35">
      <c r="H21837" s="711"/>
      <c r="I21837" s="711"/>
      <c r="J21837" s="711"/>
      <c r="K21837" s="711"/>
      <c r="L21837" s="711"/>
      <c r="Q21837" s="11"/>
      <c r="R21837" s="11"/>
      <c r="S21837" s="11"/>
      <c r="T21837" s="11"/>
    </row>
    <row r="21838" spans="8:20" x14ac:dyDescent="0.35">
      <c r="H21838" s="711"/>
      <c r="I21838" s="711"/>
      <c r="J21838" s="711"/>
      <c r="K21838" s="711"/>
      <c r="L21838" s="711"/>
      <c r="Q21838" s="11"/>
      <c r="R21838" s="11"/>
      <c r="S21838" s="11"/>
      <c r="T21838" s="11"/>
    </row>
    <row r="21839" spans="8:20" x14ac:dyDescent="0.35">
      <c r="H21839" s="711"/>
      <c r="I21839" s="711"/>
      <c r="J21839" s="711"/>
      <c r="K21839" s="711"/>
      <c r="L21839" s="711"/>
      <c r="Q21839" s="11"/>
      <c r="R21839" s="11"/>
      <c r="S21839" s="11"/>
      <c r="T21839" s="11"/>
    </row>
    <row r="21840" spans="8:20" x14ac:dyDescent="0.35">
      <c r="H21840" s="711"/>
      <c r="I21840" s="711"/>
      <c r="J21840" s="711"/>
      <c r="K21840" s="711"/>
      <c r="L21840" s="711"/>
      <c r="Q21840" s="11"/>
      <c r="R21840" s="11"/>
      <c r="S21840" s="11"/>
      <c r="T21840" s="11"/>
    </row>
    <row r="21841" spans="8:20" x14ac:dyDescent="0.35">
      <c r="H21841" s="711"/>
      <c r="I21841" s="711"/>
      <c r="J21841" s="711"/>
      <c r="K21841" s="711"/>
      <c r="L21841" s="711"/>
      <c r="Q21841" s="11"/>
      <c r="R21841" s="11"/>
      <c r="S21841" s="11"/>
      <c r="T21841" s="11"/>
    </row>
    <row r="21842" spans="8:20" x14ac:dyDescent="0.35">
      <c r="H21842" s="711"/>
      <c r="I21842" s="711"/>
      <c r="J21842" s="711"/>
      <c r="K21842" s="711"/>
      <c r="L21842" s="711"/>
      <c r="Q21842" s="11"/>
      <c r="R21842" s="11"/>
      <c r="S21842" s="11"/>
      <c r="T21842" s="11"/>
    </row>
    <row r="21843" spans="8:20" x14ac:dyDescent="0.35">
      <c r="H21843" s="711"/>
      <c r="I21843" s="711"/>
      <c r="J21843" s="711"/>
      <c r="K21843" s="711"/>
      <c r="L21843" s="711"/>
      <c r="Q21843" s="11"/>
      <c r="R21843" s="11"/>
      <c r="S21843" s="11"/>
      <c r="T21843" s="11"/>
    </row>
    <row r="21844" spans="8:20" x14ac:dyDescent="0.35">
      <c r="H21844" s="711"/>
      <c r="I21844" s="711"/>
      <c r="J21844" s="711"/>
      <c r="K21844" s="711"/>
      <c r="L21844" s="711"/>
      <c r="Q21844" s="11"/>
      <c r="R21844" s="11"/>
      <c r="S21844" s="11"/>
      <c r="T21844" s="11"/>
    </row>
    <row r="21845" spans="8:20" x14ac:dyDescent="0.35">
      <c r="H21845" s="711"/>
      <c r="I21845" s="711"/>
      <c r="J21845" s="711"/>
      <c r="K21845" s="711"/>
      <c r="L21845" s="711"/>
      <c r="Q21845" s="11"/>
      <c r="R21845" s="11"/>
      <c r="S21845" s="11"/>
      <c r="T21845" s="11"/>
    </row>
    <row r="21846" spans="8:20" x14ac:dyDescent="0.35">
      <c r="H21846" s="711"/>
      <c r="I21846" s="711"/>
      <c r="J21846" s="711"/>
      <c r="K21846" s="711"/>
      <c r="L21846" s="711"/>
      <c r="Q21846" s="11"/>
      <c r="R21846" s="11"/>
      <c r="S21846" s="11"/>
      <c r="T21846" s="11"/>
    </row>
    <row r="21847" spans="8:20" x14ac:dyDescent="0.35">
      <c r="H21847" s="711"/>
      <c r="I21847" s="711"/>
      <c r="J21847" s="711"/>
      <c r="K21847" s="711"/>
      <c r="L21847" s="711"/>
      <c r="Q21847" s="11"/>
      <c r="R21847" s="11"/>
      <c r="S21847" s="11"/>
      <c r="T21847" s="11"/>
    </row>
    <row r="21848" spans="8:20" x14ac:dyDescent="0.35">
      <c r="H21848" s="711"/>
      <c r="I21848" s="711"/>
      <c r="J21848" s="711"/>
      <c r="K21848" s="711"/>
      <c r="L21848" s="711"/>
      <c r="Q21848" s="11"/>
      <c r="R21848" s="11"/>
      <c r="S21848" s="11"/>
      <c r="T21848" s="11"/>
    </row>
    <row r="21849" spans="8:20" x14ac:dyDescent="0.35">
      <c r="H21849" s="711"/>
      <c r="I21849" s="711"/>
      <c r="J21849" s="711"/>
      <c r="K21849" s="711"/>
      <c r="L21849" s="711"/>
      <c r="Q21849" s="11"/>
      <c r="R21849" s="11"/>
      <c r="S21849" s="11"/>
      <c r="T21849" s="11"/>
    </row>
    <row r="21850" spans="8:20" x14ac:dyDescent="0.35">
      <c r="H21850" s="711"/>
      <c r="I21850" s="711"/>
      <c r="J21850" s="711"/>
      <c r="K21850" s="711"/>
      <c r="L21850" s="711"/>
      <c r="Q21850" s="11"/>
      <c r="R21850" s="11"/>
      <c r="S21850" s="11"/>
      <c r="T21850" s="11"/>
    </row>
    <row r="21851" spans="8:20" x14ac:dyDescent="0.35">
      <c r="H21851" s="711"/>
      <c r="I21851" s="711"/>
      <c r="J21851" s="711"/>
      <c r="K21851" s="711"/>
      <c r="L21851" s="711"/>
      <c r="Q21851" s="11"/>
      <c r="R21851" s="11"/>
      <c r="S21851" s="11"/>
      <c r="T21851" s="11"/>
    </row>
    <row r="21852" spans="8:20" x14ac:dyDescent="0.35">
      <c r="H21852" s="711"/>
      <c r="I21852" s="711"/>
      <c r="J21852" s="711"/>
      <c r="K21852" s="711"/>
      <c r="L21852" s="711"/>
      <c r="Q21852" s="11"/>
      <c r="R21852" s="11"/>
      <c r="S21852" s="11"/>
      <c r="T21852" s="11"/>
    </row>
    <row r="21853" spans="8:20" x14ac:dyDescent="0.35">
      <c r="H21853" s="711"/>
      <c r="I21853" s="711"/>
      <c r="J21853" s="711"/>
      <c r="K21853" s="711"/>
      <c r="L21853" s="711"/>
      <c r="Q21853" s="11"/>
      <c r="R21853" s="11"/>
      <c r="S21853" s="11"/>
      <c r="T21853" s="11"/>
    </row>
    <row r="21854" spans="8:20" x14ac:dyDescent="0.35">
      <c r="H21854" s="711"/>
      <c r="I21854" s="711"/>
      <c r="J21854" s="711"/>
      <c r="K21854" s="711"/>
      <c r="L21854" s="711"/>
      <c r="Q21854" s="11"/>
      <c r="R21854" s="11"/>
      <c r="S21854" s="11"/>
      <c r="T21854" s="11"/>
    </row>
    <row r="21855" spans="8:20" x14ac:dyDescent="0.35">
      <c r="H21855" s="711"/>
      <c r="I21855" s="711"/>
      <c r="J21855" s="711"/>
      <c r="K21855" s="711"/>
      <c r="L21855" s="711"/>
      <c r="Q21855" s="11"/>
      <c r="R21855" s="11"/>
      <c r="S21855" s="11"/>
      <c r="T21855" s="11"/>
    </row>
    <row r="21856" spans="8:20" x14ac:dyDescent="0.35">
      <c r="H21856" s="711"/>
      <c r="I21856" s="711"/>
      <c r="J21856" s="711"/>
      <c r="K21856" s="711"/>
      <c r="L21856" s="711"/>
      <c r="Q21856" s="11"/>
      <c r="R21856" s="11"/>
      <c r="S21856" s="11"/>
      <c r="T21856" s="11"/>
    </row>
    <row r="21857" spans="8:20" x14ac:dyDescent="0.35">
      <c r="H21857" s="711"/>
      <c r="I21857" s="711"/>
      <c r="J21857" s="711"/>
      <c r="K21857" s="711"/>
      <c r="L21857" s="711"/>
      <c r="Q21857" s="11"/>
      <c r="R21857" s="11"/>
      <c r="S21857" s="11"/>
      <c r="T21857" s="11"/>
    </row>
    <row r="21858" spans="8:20" x14ac:dyDescent="0.35">
      <c r="H21858" s="711"/>
      <c r="I21858" s="711"/>
      <c r="J21858" s="711"/>
      <c r="K21858" s="711"/>
      <c r="L21858" s="711"/>
      <c r="Q21858" s="11"/>
      <c r="R21858" s="11"/>
      <c r="S21858" s="11"/>
      <c r="T21858" s="11"/>
    </row>
    <row r="21859" spans="8:20" x14ac:dyDescent="0.35">
      <c r="H21859" s="711"/>
      <c r="I21859" s="711"/>
      <c r="J21859" s="711"/>
      <c r="K21859" s="711"/>
      <c r="L21859" s="711"/>
      <c r="Q21859" s="11"/>
      <c r="R21859" s="11"/>
      <c r="S21859" s="11"/>
      <c r="T21859" s="11"/>
    </row>
    <row r="21860" spans="8:20" x14ac:dyDescent="0.35">
      <c r="H21860" s="711"/>
      <c r="I21860" s="711"/>
      <c r="J21860" s="711"/>
      <c r="K21860" s="711"/>
      <c r="L21860" s="711"/>
      <c r="Q21860" s="11"/>
      <c r="R21860" s="11"/>
      <c r="S21860" s="11"/>
      <c r="T21860" s="11"/>
    </row>
    <row r="21861" spans="8:20" x14ac:dyDescent="0.35">
      <c r="H21861" s="711"/>
      <c r="I21861" s="711"/>
      <c r="J21861" s="711"/>
      <c r="K21861" s="711"/>
      <c r="L21861" s="711"/>
      <c r="Q21861" s="11"/>
      <c r="R21861" s="11"/>
      <c r="S21861" s="11"/>
      <c r="T21861" s="11"/>
    </row>
    <row r="21862" spans="8:20" x14ac:dyDescent="0.35">
      <c r="H21862" s="711"/>
      <c r="I21862" s="711"/>
      <c r="J21862" s="711"/>
      <c r="K21862" s="711"/>
      <c r="L21862" s="711"/>
      <c r="Q21862" s="11"/>
      <c r="R21862" s="11"/>
      <c r="S21862" s="11"/>
      <c r="T21862" s="11"/>
    </row>
    <row r="21863" spans="8:20" x14ac:dyDescent="0.35">
      <c r="H21863" s="711"/>
      <c r="I21863" s="711"/>
      <c r="J21863" s="711"/>
      <c r="K21863" s="711"/>
      <c r="L21863" s="711"/>
      <c r="Q21863" s="11"/>
      <c r="R21863" s="11"/>
      <c r="S21863" s="11"/>
      <c r="T21863" s="11"/>
    </row>
    <row r="21864" spans="8:20" x14ac:dyDescent="0.35">
      <c r="H21864" s="711"/>
      <c r="I21864" s="711"/>
      <c r="J21864" s="711"/>
      <c r="K21864" s="711"/>
      <c r="L21864" s="711"/>
      <c r="Q21864" s="11"/>
      <c r="R21864" s="11"/>
      <c r="S21864" s="11"/>
      <c r="T21864" s="11"/>
    </row>
    <row r="21865" spans="8:20" x14ac:dyDescent="0.35">
      <c r="H21865" s="711"/>
      <c r="I21865" s="711"/>
      <c r="J21865" s="711"/>
      <c r="K21865" s="711"/>
      <c r="L21865" s="711"/>
      <c r="Q21865" s="11"/>
      <c r="R21865" s="11"/>
      <c r="S21865" s="11"/>
      <c r="T21865" s="11"/>
    </row>
    <row r="21866" spans="8:20" x14ac:dyDescent="0.35">
      <c r="H21866" s="711"/>
      <c r="I21866" s="711"/>
      <c r="J21866" s="711"/>
      <c r="K21866" s="711"/>
      <c r="L21866" s="711"/>
      <c r="Q21866" s="11"/>
      <c r="R21866" s="11"/>
      <c r="S21866" s="11"/>
      <c r="T21866" s="11"/>
    </row>
    <row r="21867" spans="8:20" x14ac:dyDescent="0.35">
      <c r="H21867" s="711"/>
      <c r="I21867" s="711"/>
      <c r="J21867" s="711"/>
      <c r="K21867" s="711"/>
      <c r="L21867" s="711"/>
      <c r="Q21867" s="11"/>
      <c r="R21867" s="11"/>
      <c r="S21867" s="11"/>
      <c r="T21867" s="11"/>
    </row>
    <row r="21868" spans="8:20" x14ac:dyDescent="0.35">
      <c r="H21868" s="711"/>
      <c r="I21868" s="711"/>
      <c r="J21868" s="711"/>
      <c r="K21868" s="711"/>
      <c r="L21868" s="711"/>
      <c r="Q21868" s="11"/>
      <c r="R21868" s="11"/>
      <c r="S21868" s="11"/>
      <c r="T21868" s="11"/>
    </row>
    <row r="21869" spans="8:20" x14ac:dyDescent="0.35">
      <c r="H21869" s="711"/>
      <c r="I21869" s="711"/>
      <c r="J21869" s="711"/>
      <c r="K21869" s="711"/>
      <c r="L21869" s="711"/>
      <c r="Q21869" s="11"/>
      <c r="R21869" s="11"/>
      <c r="S21869" s="11"/>
      <c r="T21869" s="11"/>
    </row>
    <row r="21870" spans="8:20" x14ac:dyDescent="0.35">
      <c r="H21870" s="711"/>
      <c r="I21870" s="711"/>
      <c r="J21870" s="711"/>
      <c r="K21870" s="711"/>
      <c r="L21870" s="711"/>
      <c r="Q21870" s="11"/>
      <c r="R21870" s="11"/>
      <c r="S21870" s="11"/>
      <c r="T21870" s="11"/>
    </row>
    <row r="21871" spans="8:20" x14ac:dyDescent="0.35">
      <c r="H21871" s="711"/>
      <c r="I21871" s="711"/>
      <c r="J21871" s="711"/>
      <c r="K21871" s="711"/>
      <c r="L21871" s="711"/>
      <c r="Q21871" s="11"/>
      <c r="R21871" s="11"/>
      <c r="S21871" s="11"/>
      <c r="T21871" s="11"/>
    </row>
    <row r="21872" spans="8:20" x14ac:dyDescent="0.35">
      <c r="H21872" s="711"/>
      <c r="I21872" s="711"/>
      <c r="J21872" s="711"/>
      <c r="K21872" s="711"/>
      <c r="L21872" s="711"/>
      <c r="Q21872" s="11"/>
      <c r="R21872" s="11"/>
      <c r="S21872" s="11"/>
      <c r="T21872" s="11"/>
    </row>
    <row r="21873" spans="8:20" x14ac:dyDescent="0.35">
      <c r="H21873" s="711"/>
      <c r="I21873" s="711"/>
      <c r="J21873" s="711"/>
      <c r="K21873" s="711"/>
      <c r="L21873" s="711"/>
      <c r="Q21873" s="11"/>
      <c r="R21873" s="11"/>
      <c r="S21873" s="11"/>
      <c r="T21873" s="11"/>
    </row>
    <row r="21874" spans="8:20" x14ac:dyDescent="0.35">
      <c r="H21874" s="711"/>
      <c r="I21874" s="711"/>
      <c r="J21874" s="711"/>
      <c r="K21874" s="711"/>
      <c r="L21874" s="711"/>
      <c r="Q21874" s="11"/>
      <c r="R21874" s="11"/>
      <c r="S21874" s="11"/>
      <c r="T21874" s="11"/>
    </row>
    <row r="21875" spans="8:20" x14ac:dyDescent="0.35">
      <c r="H21875" s="711"/>
      <c r="I21875" s="711"/>
      <c r="J21875" s="711"/>
      <c r="K21875" s="711"/>
      <c r="L21875" s="711"/>
      <c r="Q21875" s="11"/>
      <c r="R21875" s="11"/>
      <c r="S21875" s="11"/>
      <c r="T21875" s="11"/>
    </row>
    <row r="21876" spans="8:20" x14ac:dyDescent="0.35">
      <c r="H21876" s="711"/>
      <c r="I21876" s="711"/>
      <c r="J21876" s="711"/>
      <c r="K21876" s="711"/>
      <c r="L21876" s="711"/>
      <c r="Q21876" s="11"/>
      <c r="R21876" s="11"/>
      <c r="S21876" s="11"/>
      <c r="T21876" s="11"/>
    </row>
    <row r="21877" spans="8:20" x14ac:dyDescent="0.35">
      <c r="H21877" s="711"/>
      <c r="I21877" s="711"/>
      <c r="J21877" s="711"/>
      <c r="K21877" s="711"/>
      <c r="L21877" s="711"/>
      <c r="Q21877" s="11"/>
      <c r="R21877" s="11"/>
      <c r="S21877" s="11"/>
      <c r="T21877" s="11"/>
    </row>
    <row r="21878" spans="8:20" x14ac:dyDescent="0.35">
      <c r="H21878" s="711"/>
      <c r="I21878" s="711"/>
      <c r="J21878" s="711"/>
      <c r="K21878" s="711"/>
      <c r="L21878" s="711"/>
      <c r="Q21878" s="11"/>
      <c r="R21878" s="11"/>
      <c r="S21878" s="11"/>
      <c r="T21878" s="11"/>
    </row>
    <row r="21879" spans="8:20" x14ac:dyDescent="0.35">
      <c r="H21879" s="711"/>
      <c r="I21879" s="711"/>
      <c r="J21879" s="711"/>
      <c r="K21879" s="711"/>
      <c r="L21879" s="711"/>
      <c r="Q21879" s="11"/>
      <c r="R21879" s="11"/>
      <c r="S21879" s="11"/>
      <c r="T21879" s="11"/>
    </row>
    <row r="21880" spans="8:20" x14ac:dyDescent="0.35">
      <c r="H21880" s="711"/>
      <c r="I21880" s="711"/>
      <c r="J21880" s="711"/>
      <c r="K21880" s="711"/>
      <c r="L21880" s="711"/>
      <c r="Q21880" s="11"/>
      <c r="R21880" s="11"/>
      <c r="S21880" s="11"/>
      <c r="T21880" s="11"/>
    </row>
    <row r="21881" spans="8:20" x14ac:dyDescent="0.35">
      <c r="H21881" s="711"/>
      <c r="I21881" s="711"/>
      <c r="J21881" s="711"/>
      <c r="K21881" s="711"/>
      <c r="L21881" s="711"/>
      <c r="Q21881" s="11"/>
      <c r="R21881" s="11"/>
      <c r="S21881" s="11"/>
      <c r="T21881" s="11"/>
    </row>
    <row r="21882" spans="8:20" x14ac:dyDescent="0.35">
      <c r="H21882" s="711"/>
      <c r="I21882" s="711"/>
      <c r="J21882" s="711"/>
      <c r="K21882" s="711"/>
      <c r="L21882" s="711"/>
      <c r="Q21882" s="11"/>
      <c r="R21882" s="11"/>
      <c r="S21882" s="11"/>
      <c r="T21882" s="11"/>
    </row>
    <row r="21883" spans="8:20" x14ac:dyDescent="0.35">
      <c r="H21883" s="711"/>
      <c r="I21883" s="711"/>
      <c r="J21883" s="711"/>
      <c r="K21883" s="711"/>
      <c r="L21883" s="711"/>
      <c r="Q21883" s="11"/>
      <c r="R21883" s="11"/>
      <c r="S21883" s="11"/>
      <c r="T21883" s="11"/>
    </row>
    <row r="21884" spans="8:20" x14ac:dyDescent="0.35">
      <c r="H21884" s="711"/>
      <c r="I21884" s="711"/>
      <c r="J21884" s="711"/>
      <c r="K21884" s="711"/>
      <c r="L21884" s="711"/>
      <c r="Q21884" s="11"/>
      <c r="R21884" s="11"/>
      <c r="S21884" s="11"/>
      <c r="T21884" s="11"/>
    </row>
    <row r="21885" spans="8:20" x14ac:dyDescent="0.35">
      <c r="H21885" s="711"/>
      <c r="I21885" s="711"/>
      <c r="J21885" s="711"/>
      <c r="K21885" s="711"/>
      <c r="L21885" s="711"/>
      <c r="Q21885" s="11"/>
      <c r="R21885" s="11"/>
      <c r="S21885" s="11"/>
      <c r="T21885" s="11"/>
    </row>
    <row r="21886" spans="8:20" x14ac:dyDescent="0.35">
      <c r="H21886" s="711"/>
      <c r="I21886" s="711"/>
      <c r="J21886" s="711"/>
      <c r="K21886" s="711"/>
      <c r="L21886" s="711"/>
      <c r="Q21886" s="11"/>
      <c r="R21886" s="11"/>
      <c r="S21886" s="11"/>
      <c r="T21886" s="11"/>
    </row>
    <row r="21887" spans="8:20" x14ac:dyDescent="0.35">
      <c r="H21887" s="711"/>
      <c r="I21887" s="711"/>
      <c r="J21887" s="711"/>
      <c r="K21887" s="711"/>
      <c r="L21887" s="711"/>
      <c r="Q21887" s="11"/>
      <c r="R21887" s="11"/>
      <c r="S21887" s="11"/>
      <c r="T21887" s="11"/>
    </row>
    <row r="21888" spans="8:20" x14ac:dyDescent="0.35">
      <c r="H21888" s="711"/>
      <c r="I21888" s="711"/>
      <c r="J21888" s="711"/>
      <c r="K21888" s="711"/>
      <c r="L21888" s="711"/>
      <c r="Q21888" s="11"/>
      <c r="R21888" s="11"/>
      <c r="S21888" s="11"/>
      <c r="T21888" s="11"/>
    </row>
    <row r="21889" spans="8:20" x14ac:dyDescent="0.35">
      <c r="H21889" s="711"/>
      <c r="I21889" s="711"/>
      <c r="J21889" s="711"/>
      <c r="K21889" s="711"/>
      <c r="L21889" s="711"/>
      <c r="Q21889" s="11"/>
      <c r="R21889" s="11"/>
      <c r="S21889" s="11"/>
      <c r="T21889" s="11"/>
    </row>
    <row r="21890" spans="8:20" x14ac:dyDescent="0.35">
      <c r="H21890" s="711"/>
      <c r="I21890" s="711"/>
      <c r="J21890" s="711"/>
      <c r="K21890" s="711"/>
      <c r="L21890" s="711"/>
      <c r="Q21890" s="11"/>
      <c r="R21890" s="11"/>
      <c r="S21890" s="11"/>
      <c r="T21890" s="11"/>
    </row>
    <row r="21891" spans="8:20" x14ac:dyDescent="0.35">
      <c r="H21891" s="711"/>
      <c r="I21891" s="711"/>
      <c r="J21891" s="711"/>
      <c r="K21891" s="711"/>
      <c r="L21891" s="711"/>
      <c r="Q21891" s="11"/>
      <c r="R21891" s="11"/>
      <c r="S21891" s="11"/>
      <c r="T21891" s="11"/>
    </row>
    <row r="21892" spans="8:20" x14ac:dyDescent="0.35">
      <c r="H21892" s="711"/>
      <c r="I21892" s="711"/>
      <c r="J21892" s="711"/>
      <c r="K21892" s="711"/>
      <c r="L21892" s="711"/>
      <c r="Q21892" s="11"/>
      <c r="R21892" s="11"/>
      <c r="S21892" s="11"/>
      <c r="T21892" s="11"/>
    </row>
    <row r="21893" spans="8:20" x14ac:dyDescent="0.35">
      <c r="H21893" s="711"/>
      <c r="I21893" s="711"/>
      <c r="J21893" s="711"/>
      <c r="K21893" s="711"/>
      <c r="L21893" s="711"/>
      <c r="Q21893" s="11"/>
      <c r="R21893" s="11"/>
      <c r="S21893" s="11"/>
      <c r="T21893" s="11"/>
    </row>
    <row r="21894" spans="8:20" x14ac:dyDescent="0.35">
      <c r="H21894" s="711"/>
      <c r="I21894" s="711"/>
      <c r="J21894" s="711"/>
      <c r="K21894" s="711"/>
      <c r="L21894" s="711"/>
      <c r="Q21894" s="11"/>
      <c r="R21894" s="11"/>
      <c r="S21894" s="11"/>
      <c r="T21894" s="11"/>
    </row>
    <row r="21895" spans="8:20" x14ac:dyDescent="0.35">
      <c r="H21895" s="711"/>
      <c r="I21895" s="711"/>
      <c r="J21895" s="711"/>
      <c r="K21895" s="711"/>
      <c r="L21895" s="711"/>
      <c r="Q21895" s="11"/>
      <c r="R21895" s="11"/>
      <c r="S21895" s="11"/>
      <c r="T21895" s="11"/>
    </row>
    <row r="21896" spans="8:20" x14ac:dyDescent="0.35">
      <c r="H21896" s="711"/>
      <c r="I21896" s="711"/>
      <c r="J21896" s="711"/>
      <c r="K21896" s="711"/>
      <c r="L21896" s="711"/>
      <c r="Q21896" s="11"/>
      <c r="R21896" s="11"/>
      <c r="S21896" s="11"/>
      <c r="T21896" s="11"/>
    </row>
    <row r="21897" spans="8:20" x14ac:dyDescent="0.35">
      <c r="H21897" s="711"/>
      <c r="I21897" s="711"/>
      <c r="J21897" s="711"/>
      <c r="K21897" s="711"/>
      <c r="L21897" s="711"/>
      <c r="Q21897" s="11"/>
      <c r="R21897" s="11"/>
      <c r="S21897" s="11"/>
      <c r="T21897" s="11"/>
    </row>
    <row r="21898" spans="8:20" x14ac:dyDescent="0.35">
      <c r="H21898" s="711"/>
      <c r="I21898" s="711"/>
      <c r="J21898" s="711"/>
      <c r="K21898" s="711"/>
      <c r="L21898" s="711"/>
      <c r="Q21898" s="11"/>
      <c r="R21898" s="11"/>
      <c r="S21898" s="11"/>
      <c r="T21898" s="11"/>
    </row>
    <row r="21899" spans="8:20" x14ac:dyDescent="0.35">
      <c r="H21899" s="711"/>
      <c r="I21899" s="711"/>
      <c r="J21899" s="711"/>
      <c r="K21899" s="711"/>
      <c r="L21899" s="711"/>
      <c r="Q21899" s="11"/>
      <c r="R21899" s="11"/>
      <c r="S21899" s="11"/>
      <c r="T21899" s="11"/>
    </row>
    <row r="21900" spans="8:20" x14ac:dyDescent="0.35">
      <c r="H21900" s="711"/>
      <c r="I21900" s="711"/>
      <c r="J21900" s="711"/>
      <c r="K21900" s="711"/>
      <c r="L21900" s="711"/>
      <c r="Q21900" s="11"/>
      <c r="R21900" s="11"/>
      <c r="S21900" s="11"/>
      <c r="T21900" s="11"/>
    </row>
    <row r="21901" spans="8:20" x14ac:dyDescent="0.35">
      <c r="H21901" s="711"/>
      <c r="I21901" s="711"/>
      <c r="J21901" s="711"/>
      <c r="K21901" s="711"/>
      <c r="L21901" s="711"/>
      <c r="Q21901" s="11"/>
      <c r="R21901" s="11"/>
      <c r="S21901" s="11"/>
      <c r="T21901" s="11"/>
    </row>
    <row r="21902" spans="8:20" x14ac:dyDescent="0.35">
      <c r="H21902" s="711"/>
      <c r="I21902" s="711"/>
      <c r="J21902" s="711"/>
      <c r="K21902" s="711"/>
      <c r="L21902" s="711"/>
      <c r="Q21902" s="11"/>
      <c r="R21902" s="11"/>
      <c r="S21902" s="11"/>
      <c r="T21902" s="11"/>
    </row>
    <row r="21903" spans="8:20" x14ac:dyDescent="0.35">
      <c r="H21903" s="711"/>
      <c r="I21903" s="711"/>
      <c r="J21903" s="711"/>
      <c r="K21903" s="711"/>
      <c r="L21903" s="711"/>
      <c r="Q21903" s="11"/>
      <c r="R21903" s="11"/>
      <c r="S21903" s="11"/>
      <c r="T21903" s="11"/>
    </row>
    <row r="21904" spans="8:20" x14ac:dyDescent="0.35">
      <c r="H21904" s="711"/>
      <c r="I21904" s="711"/>
      <c r="J21904" s="711"/>
      <c r="K21904" s="711"/>
      <c r="L21904" s="711"/>
      <c r="Q21904" s="11"/>
      <c r="R21904" s="11"/>
      <c r="S21904" s="11"/>
      <c r="T21904" s="11"/>
    </row>
    <row r="21905" spans="8:20" x14ac:dyDescent="0.35">
      <c r="H21905" s="711"/>
      <c r="I21905" s="711"/>
      <c r="J21905" s="711"/>
      <c r="K21905" s="711"/>
      <c r="L21905" s="711"/>
      <c r="Q21905" s="11"/>
      <c r="R21905" s="11"/>
      <c r="S21905" s="11"/>
      <c r="T21905" s="11"/>
    </row>
    <row r="21906" spans="8:20" x14ac:dyDescent="0.35">
      <c r="H21906" s="711"/>
      <c r="I21906" s="711"/>
      <c r="J21906" s="711"/>
      <c r="K21906" s="711"/>
      <c r="L21906" s="711"/>
      <c r="Q21906" s="11"/>
      <c r="R21906" s="11"/>
      <c r="S21906" s="11"/>
      <c r="T21906" s="11"/>
    </row>
    <row r="21907" spans="8:20" x14ac:dyDescent="0.35">
      <c r="H21907" s="711"/>
      <c r="I21907" s="711"/>
      <c r="J21907" s="711"/>
      <c r="K21907" s="711"/>
      <c r="L21907" s="711"/>
      <c r="Q21907" s="11"/>
      <c r="R21907" s="11"/>
      <c r="S21907" s="11"/>
      <c r="T21907" s="11"/>
    </row>
    <row r="21908" spans="8:20" x14ac:dyDescent="0.35">
      <c r="H21908" s="711"/>
      <c r="I21908" s="711"/>
      <c r="J21908" s="711"/>
      <c r="K21908" s="711"/>
      <c r="L21908" s="711"/>
      <c r="Q21908" s="11"/>
      <c r="R21908" s="11"/>
      <c r="S21908" s="11"/>
      <c r="T21908" s="11"/>
    </row>
    <row r="21909" spans="8:20" x14ac:dyDescent="0.35">
      <c r="H21909" s="711"/>
      <c r="I21909" s="711"/>
      <c r="J21909" s="711"/>
      <c r="K21909" s="711"/>
      <c r="L21909" s="711"/>
      <c r="Q21909" s="11"/>
      <c r="R21909" s="11"/>
      <c r="S21909" s="11"/>
      <c r="T21909" s="11"/>
    </row>
    <row r="21910" spans="8:20" x14ac:dyDescent="0.35">
      <c r="H21910" s="711"/>
      <c r="I21910" s="711"/>
      <c r="J21910" s="711"/>
      <c r="K21910" s="711"/>
      <c r="L21910" s="711"/>
      <c r="Q21910" s="11"/>
      <c r="R21910" s="11"/>
      <c r="S21910" s="11"/>
      <c r="T21910" s="11"/>
    </row>
    <row r="21911" spans="8:20" x14ac:dyDescent="0.35">
      <c r="H21911" s="711"/>
      <c r="I21911" s="711"/>
      <c r="J21911" s="711"/>
      <c r="K21911" s="711"/>
      <c r="L21911" s="711"/>
      <c r="Q21911" s="11"/>
      <c r="R21911" s="11"/>
      <c r="S21911" s="11"/>
      <c r="T21911" s="11"/>
    </row>
    <row r="21912" spans="8:20" x14ac:dyDescent="0.35">
      <c r="H21912" s="711"/>
      <c r="I21912" s="711"/>
      <c r="J21912" s="711"/>
      <c r="K21912" s="711"/>
      <c r="L21912" s="711"/>
      <c r="Q21912" s="11"/>
      <c r="R21912" s="11"/>
      <c r="S21912" s="11"/>
      <c r="T21912" s="11"/>
    </row>
    <row r="21913" spans="8:20" x14ac:dyDescent="0.35">
      <c r="H21913" s="711"/>
      <c r="I21913" s="711"/>
      <c r="J21913" s="711"/>
      <c r="K21913" s="711"/>
      <c r="L21913" s="711"/>
      <c r="Q21913" s="11"/>
      <c r="R21913" s="11"/>
      <c r="S21913" s="11"/>
      <c r="T21913" s="11"/>
    </row>
    <row r="21914" spans="8:20" x14ac:dyDescent="0.35">
      <c r="H21914" s="711"/>
      <c r="I21914" s="711"/>
      <c r="J21914" s="711"/>
      <c r="K21914" s="711"/>
      <c r="L21914" s="711"/>
      <c r="Q21914" s="11"/>
      <c r="R21914" s="11"/>
      <c r="S21914" s="11"/>
      <c r="T21914" s="11"/>
    </row>
    <row r="21915" spans="8:20" x14ac:dyDescent="0.35">
      <c r="H21915" s="711"/>
      <c r="I21915" s="711"/>
      <c r="J21915" s="711"/>
      <c r="K21915" s="711"/>
      <c r="L21915" s="711"/>
      <c r="Q21915" s="11"/>
      <c r="R21915" s="11"/>
      <c r="S21915" s="11"/>
      <c r="T21915" s="11"/>
    </row>
    <row r="21916" spans="8:20" x14ac:dyDescent="0.35">
      <c r="H21916" s="711"/>
      <c r="I21916" s="711"/>
      <c r="J21916" s="711"/>
      <c r="K21916" s="711"/>
      <c r="L21916" s="711"/>
      <c r="Q21916" s="11"/>
      <c r="R21916" s="11"/>
      <c r="S21916" s="11"/>
      <c r="T21916" s="11"/>
    </row>
    <row r="21917" spans="8:20" x14ac:dyDescent="0.35">
      <c r="H21917" s="711"/>
      <c r="I21917" s="711"/>
      <c r="J21917" s="711"/>
      <c r="K21917" s="711"/>
      <c r="L21917" s="711"/>
      <c r="Q21917" s="11"/>
      <c r="R21917" s="11"/>
      <c r="S21917" s="11"/>
      <c r="T21917" s="11"/>
    </row>
    <row r="21918" spans="8:20" x14ac:dyDescent="0.35">
      <c r="H21918" s="711"/>
      <c r="I21918" s="711"/>
      <c r="J21918" s="711"/>
      <c r="K21918" s="711"/>
      <c r="L21918" s="711"/>
      <c r="Q21918" s="11"/>
      <c r="R21918" s="11"/>
      <c r="S21918" s="11"/>
      <c r="T21918" s="11"/>
    </row>
    <row r="21919" spans="8:20" x14ac:dyDescent="0.35">
      <c r="H21919" s="711"/>
      <c r="I21919" s="711"/>
      <c r="J21919" s="711"/>
      <c r="K21919" s="711"/>
      <c r="L21919" s="711"/>
      <c r="Q21919" s="11"/>
      <c r="R21919" s="11"/>
      <c r="S21919" s="11"/>
      <c r="T21919" s="11"/>
    </row>
    <row r="21920" spans="8:20" x14ac:dyDescent="0.35">
      <c r="H21920" s="711"/>
      <c r="I21920" s="711"/>
      <c r="J21920" s="711"/>
      <c r="K21920" s="711"/>
      <c r="L21920" s="711"/>
      <c r="Q21920" s="11"/>
      <c r="R21920" s="11"/>
      <c r="S21920" s="11"/>
      <c r="T21920" s="11"/>
    </row>
    <row r="21921" spans="8:20" x14ac:dyDescent="0.35">
      <c r="H21921" s="711"/>
      <c r="I21921" s="711"/>
      <c r="J21921" s="711"/>
      <c r="K21921" s="711"/>
      <c r="L21921" s="711"/>
      <c r="Q21921" s="11"/>
      <c r="R21921" s="11"/>
      <c r="S21921" s="11"/>
      <c r="T21921" s="11"/>
    </row>
    <row r="21922" spans="8:20" x14ac:dyDescent="0.35">
      <c r="H21922" s="711"/>
      <c r="I21922" s="711"/>
      <c r="J21922" s="711"/>
      <c r="K21922" s="711"/>
      <c r="L21922" s="711"/>
      <c r="Q21922" s="11"/>
      <c r="R21922" s="11"/>
      <c r="S21922" s="11"/>
      <c r="T21922" s="11"/>
    </row>
    <row r="21923" spans="8:20" x14ac:dyDescent="0.35">
      <c r="H21923" s="711"/>
      <c r="I21923" s="711"/>
      <c r="J21923" s="711"/>
      <c r="K21923" s="711"/>
      <c r="L21923" s="711"/>
      <c r="Q21923" s="11"/>
      <c r="R21923" s="11"/>
      <c r="S21923" s="11"/>
      <c r="T21923" s="11"/>
    </row>
    <row r="21924" spans="8:20" x14ac:dyDescent="0.35">
      <c r="H21924" s="711"/>
      <c r="I21924" s="711"/>
      <c r="J21924" s="711"/>
      <c r="K21924" s="711"/>
      <c r="L21924" s="711"/>
      <c r="Q21924" s="11"/>
      <c r="R21924" s="11"/>
      <c r="S21924" s="11"/>
      <c r="T21924" s="11"/>
    </row>
    <row r="21925" spans="8:20" x14ac:dyDescent="0.35">
      <c r="H21925" s="711"/>
      <c r="I21925" s="711"/>
      <c r="J21925" s="711"/>
      <c r="K21925" s="711"/>
      <c r="L21925" s="711"/>
      <c r="Q21925" s="11"/>
      <c r="R21925" s="11"/>
      <c r="S21925" s="11"/>
      <c r="T21925" s="11"/>
    </row>
    <row r="21926" spans="8:20" x14ac:dyDescent="0.35">
      <c r="H21926" s="711"/>
      <c r="I21926" s="711"/>
      <c r="J21926" s="711"/>
      <c r="K21926" s="711"/>
      <c r="L21926" s="711"/>
      <c r="Q21926" s="11"/>
      <c r="R21926" s="11"/>
      <c r="S21926" s="11"/>
      <c r="T21926" s="11"/>
    </row>
    <row r="21927" spans="8:20" x14ac:dyDescent="0.35">
      <c r="H21927" s="711"/>
      <c r="I21927" s="711"/>
      <c r="J21927" s="711"/>
      <c r="K21927" s="711"/>
      <c r="L21927" s="711"/>
      <c r="Q21927" s="11"/>
      <c r="R21927" s="11"/>
      <c r="S21927" s="11"/>
      <c r="T21927" s="11"/>
    </row>
    <row r="21928" spans="8:20" x14ac:dyDescent="0.35">
      <c r="H21928" s="711"/>
      <c r="I21928" s="711"/>
      <c r="J21928" s="711"/>
      <c r="K21928" s="711"/>
      <c r="L21928" s="711"/>
      <c r="Q21928" s="11"/>
      <c r="R21928" s="11"/>
      <c r="S21928" s="11"/>
      <c r="T21928" s="11"/>
    </row>
    <row r="21929" spans="8:20" x14ac:dyDescent="0.35">
      <c r="H21929" s="711"/>
      <c r="I21929" s="711"/>
      <c r="J21929" s="711"/>
      <c r="K21929" s="711"/>
      <c r="L21929" s="711"/>
      <c r="Q21929" s="11"/>
      <c r="R21929" s="11"/>
      <c r="S21929" s="11"/>
      <c r="T21929" s="11"/>
    </row>
    <row r="21930" spans="8:20" x14ac:dyDescent="0.35">
      <c r="H21930" s="711"/>
      <c r="I21930" s="711"/>
      <c r="J21930" s="711"/>
      <c r="K21930" s="711"/>
      <c r="L21930" s="711"/>
      <c r="Q21930" s="11"/>
      <c r="R21930" s="11"/>
      <c r="S21930" s="11"/>
      <c r="T21930" s="11"/>
    </row>
    <row r="21931" spans="8:20" x14ac:dyDescent="0.35">
      <c r="H21931" s="711"/>
      <c r="I21931" s="711"/>
      <c r="J21931" s="711"/>
      <c r="K21931" s="711"/>
      <c r="L21931" s="711"/>
      <c r="Q21931" s="11"/>
      <c r="R21931" s="11"/>
      <c r="S21931" s="11"/>
      <c r="T21931" s="11"/>
    </row>
    <row r="21932" spans="8:20" x14ac:dyDescent="0.35">
      <c r="H21932" s="711"/>
      <c r="I21932" s="711"/>
      <c r="J21932" s="711"/>
      <c r="K21932" s="711"/>
      <c r="L21932" s="711"/>
      <c r="Q21932" s="11"/>
      <c r="R21932" s="11"/>
      <c r="S21932" s="11"/>
      <c r="T21932" s="11"/>
    </row>
    <row r="21933" spans="8:20" x14ac:dyDescent="0.35">
      <c r="H21933" s="711"/>
      <c r="I21933" s="711"/>
      <c r="J21933" s="711"/>
      <c r="K21933" s="711"/>
      <c r="L21933" s="711"/>
      <c r="Q21933" s="11"/>
      <c r="R21933" s="11"/>
      <c r="S21933" s="11"/>
      <c r="T21933" s="11"/>
    </row>
    <row r="21934" spans="8:20" x14ac:dyDescent="0.35">
      <c r="H21934" s="711"/>
      <c r="I21934" s="711"/>
      <c r="J21934" s="711"/>
      <c r="K21934" s="711"/>
      <c r="L21934" s="711"/>
      <c r="Q21934" s="11"/>
      <c r="R21934" s="11"/>
      <c r="S21934" s="11"/>
      <c r="T21934" s="11"/>
    </row>
    <row r="21935" spans="8:20" x14ac:dyDescent="0.35">
      <c r="H21935" s="711"/>
      <c r="I21935" s="711"/>
      <c r="J21935" s="711"/>
      <c r="K21935" s="711"/>
      <c r="L21935" s="711"/>
      <c r="Q21935" s="11"/>
      <c r="R21935" s="11"/>
      <c r="S21935" s="11"/>
      <c r="T21935" s="11"/>
    </row>
    <row r="21936" spans="8:20" x14ac:dyDescent="0.35">
      <c r="H21936" s="711"/>
      <c r="I21936" s="711"/>
      <c r="J21936" s="711"/>
      <c r="K21936" s="711"/>
      <c r="L21936" s="711"/>
      <c r="Q21936" s="11"/>
      <c r="R21936" s="11"/>
      <c r="S21936" s="11"/>
      <c r="T21936" s="11"/>
    </row>
    <row r="21937" spans="8:20" x14ac:dyDescent="0.35">
      <c r="H21937" s="711"/>
      <c r="I21937" s="711"/>
      <c r="J21937" s="711"/>
      <c r="K21937" s="711"/>
      <c r="L21937" s="711"/>
      <c r="Q21937" s="11"/>
      <c r="R21937" s="11"/>
      <c r="S21937" s="11"/>
      <c r="T21937" s="11"/>
    </row>
    <row r="21938" spans="8:20" x14ac:dyDescent="0.35">
      <c r="H21938" s="711"/>
      <c r="I21938" s="711"/>
      <c r="J21938" s="711"/>
      <c r="K21938" s="711"/>
      <c r="L21938" s="711"/>
      <c r="Q21938" s="11"/>
      <c r="R21938" s="11"/>
      <c r="S21938" s="11"/>
      <c r="T21938" s="11"/>
    </row>
    <row r="21939" spans="8:20" x14ac:dyDescent="0.35">
      <c r="H21939" s="711"/>
      <c r="I21939" s="711"/>
      <c r="J21939" s="711"/>
      <c r="K21939" s="711"/>
      <c r="L21939" s="711"/>
      <c r="Q21939" s="11"/>
      <c r="R21939" s="11"/>
      <c r="S21939" s="11"/>
      <c r="T21939" s="11"/>
    </row>
    <row r="21940" spans="8:20" x14ac:dyDescent="0.35">
      <c r="H21940" s="711"/>
      <c r="I21940" s="711"/>
      <c r="J21940" s="711"/>
      <c r="K21940" s="711"/>
      <c r="L21940" s="711"/>
      <c r="Q21940" s="11"/>
      <c r="R21940" s="11"/>
      <c r="S21940" s="11"/>
      <c r="T21940" s="11"/>
    </row>
    <row r="21941" spans="8:20" x14ac:dyDescent="0.35">
      <c r="H21941" s="711"/>
      <c r="I21941" s="711"/>
      <c r="J21941" s="711"/>
      <c r="K21941" s="711"/>
      <c r="L21941" s="711"/>
      <c r="Q21941" s="11"/>
      <c r="R21941" s="11"/>
      <c r="S21941" s="11"/>
      <c r="T21941" s="11"/>
    </row>
    <row r="21942" spans="8:20" x14ac:dyDescent="0.35">
      <c r="H21942" s="711"/>
      <c r="I21942" s="711"/>
      <c r="J21942" s="711"/>
      <c r="K21942" s="711"/>
      <c r="L21942" s="711"/>
      <c r="Q21942" s="11"/>
      <c r="R21942" s="11"/>
      <c r="S21942" s="11"/>
      <c r="T21942" s="11"/>
    </row>
    <row r="21943" spans="8:20" x14ac:dyDescent="0.35">
      <c r="H21943" s="711"/>
      <c r="I21943" s="711"/>
      <c r="J21943" s="711"/>
      <c r="K21943" s="711"/>
      <c r="L21943" s="711"/>
      <c r="Q21943" s="11"/>
      <c r="R21943" s="11"/>
      <c r="S21943" s="11"/>
      <c r="T21943" s="11"/>
    </row>
    <row r="21944" spans="8:20" x14ac:dyDescent="0.35">
      <c r="H21944" s="711"/>
      <c r="I21944" s="711"/>
      <c r="J21944" s="711"/>
      <c r="K21944" s="711"/>
      <c r="L21944" s="711"/>
      <c r="Q21944" s="11"/>
      <c r="R21944" s="11"/>
      <c r="S21944" s="11"/>
      <c r="T21944" s="11"/>
    </row>
    <row r="21945" spans="8:20" x14ac:dyDescent="0.35">
      <c r="H21945" s="711"/>
      <c r="I21945" s="711"/>
      <c r="J21945" s="711"/>
      <c r="K21945" s="711"/>
      <c r="L21945" s="711"/>
      <c r="Q21945" s="11"/>
      <c r="R21945" s="11"/>
      <c r="S21945" s="11"/>
      <c r="T21945" s="11"/>
    </row>
    <row r="21946" spans="8:20" x14ac:dyDescent="0.35">
      <c r="H21946" s="711"/>
      <c r="I21946" s="711"/>
      <c r="J21946" s="711"/>
      <c r="K21946" s="711"/>
      <c r="L21946" s="711"/>
      <c r="Q21946" s="11"/>
      <c r="R21946" s="11"/>
      <c r="S21946" s="11"/>
      <c r="T21946" s="11"/>
    </row>
    <row r="21947" spans="8:20" x14ac:dyDescent="0.35">
      <c r="H21947" s="711"/>
      <c r="I21947" s="711"/>
      <c r="J21947" s="711"/>
      <c r="K21947" s="711"/>
      <c r="L21947" s="711"/>
      <c r="Q21947" s="11"/>
      <c r="R21947" s="11"/>
      <c r="S21947" s="11"/>
      <c r="T21947" s="11"/>
    </row>
    <row r="21948" spans="8:20" x14ac:dyDescent="0.35">
      <c r="H21948" s="711"/>
      <c r="I21948" s="711"/>
      <c r="J21948" s="711"/>
      <c r="K21948" s="711"/>
      <c r="L21948" s="711"/>
      <c r="Q21948" s="11"/>
      <c r="R21948" s="11"/>
      <c r="S21948" s="11"/>
      <c r="T21948" s="11"/>
    </row>
    <row r="21949" spans="8:20" x14ac:dyDescent="0.35">
      <c r="H21949" s="711"/>
      <c r="I21949" s="711"/>
      <c r="J21949" s="711"/>
      <c r="K21949" s="711"/>
      <c r="L21949" s="711"/>
      <c r="Q21949" s="11"/>
      <c r="R21949" s="11"/>
      <c r="S21949" s="11"/>
      <c r="T21949" s="11"/>
    </row>
    <row r="21950" spans="8:20" x14ac:dyDescent="0.35">
      <c r="H21950" s="711"/>
      <c r="I21950" s="711"/>
      <c r="J21950" s="711"/>
      <c r="K21950" s="711"/>
      <c r="L21950" s="711"/>
      <c r="Q21950" s="11"/>
      <c r="R21950" s="11"/>
      <c r="S21950" s="11"/>
      <c r="T21950" s="11"/>
    </row>
    <row r="21951" spans="8:20" x14ac:dyDescent="0.35">
      <c r="H21951" s="711"/>
      <c r="I21951" s="711"/>
      <c r="J21951" s="711"/>
      <c r="K21951" s="711"/>
      <c r="L21951" s="711"/>
      <c r="Q21951" s="11"/>
      <c r="R21951" s="11"/>
      <c r="S21951" s="11"/>
      <c r="T21951" s="11"/>
    </row>
    <row r="21952" spans="8:20" x14ac:dyDescent="0.35">
      <c r="H21952" s="711"/>
      <c r="I21952" s="711"/>
      <c r="J21952" s="711"/>
      <c r="K21952" s="711"/>
      <c r="L21952" s="711"/>
      <c r="Q21952" s="11"/>
      <c r="R21952" s="11"/>
      <c r="S21952" s="11"/>
      <c r="T21952" s="11"/>
    </row>
    <row r="21953" spans="8:20" x14ac:dyDescent="0.35">
      <c r="H21953" s="711"/>
      <c r="I21953" s="711"/>
      <c r="J21953" s="711"/>
      <c r="K21953" s="711"/>
      <c r="L21953" s="711"/>
      <c r="Q21953" s="11"/>
      <c r="R21953" s="11"/>
      <c r="S21953" s="11"/>
      <c r="T21953" s="11"/>
    </row>
    <row r="21954" spans="8:20" x14ac:dyDescent="0.35">
      <c r="H21954" s="711"/>
      <c r="I21954" s="711"/>
      <c r="J21954" s="711"/>
      <c r="K21954" s="711"/>
      <c r="L21954" s="711"/>
      <c r="Q21954" s="11"/>
      <c r="R21954" s="11"/>
      <c r="S21954" s="11"/>
      <c r="T21954" s="11"/>
    </row>
    <row r="21955" spans="8:20" x14ac:dyDescent="0.35">
      <c r="H21955" s="711"/>
      <c r="I21955" s="711"/>
      <c r="J21955" s="711"/>
      <c r="K21955" s="711"/>
      <c r="L21955" s="711"/>
      <c r="Q21955" s="11"/>
      <c r="R21955" s="11"/>
      <c r="S21955" s="11"/>
      <c r="T21955" s="11"/>
    </row>
    <row r="21956" spans="8:20" x14ac:dyDescent="0.35">
      <c r="H21956" s="711"/>
      <c r="I21956" s="711"/>
      <c r="J21956" s="711"/>
      <c r="K21956" s="711"/>
      <c r="L21956" s="711"/>
      <c r="Q21956" s="11"/>
      <c r="R21956" s="11"/>
      <c r="S21956" s="11"/>
      <c r="T21956" s="11"/>
    </row>
    <row r="21957" spans="8:20" x14ac:dyDescent="0.35">
      <c r="H21957" s="711"/>
      <c r="I21957" s="711"/>
      <c r="J21957" s="711"/>
      <c r="K21957" s="711"/>
      <c r="L21957" s="711"/>
      <c r="Q21957" s="11"/>
      <c r="R21957" s="11"/>
      <c r="S21957" s="11"/>
      <c r="T21957" s="11"/>
    </row>
    <row r="21958" spans="8:20" x14ac:dyDescent="0.35">
      <c r="H21958" s="711"/>
      <c r="I21958" s="711"/>
      <c r="J21958" s="711"/>
      <c r="K21958" s="711"/>
      <c r="L21958" s="711"/>
      <c r="Q21958" s="11"/>
      <c r="R21958" s="11"/>
      <c r="S21958" s="11"/>
      <c r="T21958" s="11"/>
    </row>
    <row r="21959" spans="8:20" x14ac:dyDescent="0.35">
      <c r="H21959" s="711"/>
      <c r="I21959" s="711"/>
      <c r="J21959" s="711"/>
      <c r="K21959" s="711"/>
      <c r="L21959" s="711"/>
      <c r="Q21959" s="11"/>
      <c r="R21959" s="11"/>
      <c r="S21959" s="11"/>
      <c r="T21959" s="11"/>
    </row>
    <row r="21960" spans="8:20" x14ac:dyDescent="0.35">
      <c r="H21960" s="711"/>
      <c r="I21960" s="711"/>
      <c r="J21960" s="711"/>
      <c r="K21960" s="711"/>
      <c r="L21960" s="711"/>
      <c r="Q21960" s="11"/>
      <c r="R21960" s="11"/>
      <c r="S21960" s="11"/>
      <c r="T21960" s="11"/>
    </row>
    <row r="21961" spans="8:20" x14ac:dyDescent="0.35">
      <c r="H21961" s="711"/>
      <c r="I21961" s="711"/>
      <c r="J21961" s="711"/>
      <c r="K21961" s="711"/>
      <c r="L21961" s="711"/>
      <c r="Q21961" s="11"/>
      <c r="R21961" s="11"/>
      <c r="S21961" s="11"/>
      <c r="T21961" s="11"/>
    </row>
    <row r="21962" spans="8:20" x14ac:dyDescent="0.35">
      <c r="H21962" s="711"/>
      <c r="I21962" s="711"/>
      <c r="J21962" s="711"/>
      <c r="K21962" s="711"/>
      <c r="L21962" s="711"/>
      <c r="Q21962" s="11"/>
      <c r="R21962" s="11"/>
      <c r="S21962" s="11"/>
      <c r="T21962" s="11"/>
    </row>
    <row r="21963" spans="8:20" x14ac:dyDescent="0.35">
      <c r="H21963" s="711"/>
      <c r="I21963" s="711"/>
      <c r="J21963" s="711"/>
      <c r="K21963" s="711"/>
      <c r="L21963" s="711"/>
      <c r="Q21963" s="11"/>
      <c r="R21963" s="11"/>
      <c r="S21963" s="11"/>
      <c r="T21963" s="11"/>
    </row>
    <row r="21964" spans="8:20" x14ac:dyDescent="0.35">
      <c r="H21964" s="711"/>
      <c r="I21964" s="711"/>
      <c r="J21964" s="711"/>
      <c r="K21964" s="711"/>
      <c r="L21964" s="711"/>
      <c r="Q21964" s="11"/>
      <c r="R21964" s="11"/>
      <c r="S21964" s="11"/>
      <c r="T21964" s="11"/>
    </row>
    <row r="21965" spans="8:20" x14ac:dyDescent="0.35">
      <c r="H21965" s="711"/>
      <c r="I21965" s="711"/>
      <c r="J21965" s="711"/>
      <c r="K21965" s="711"/>
      <c r="L21965" s="711"/>
      <c r="Q21965" s="11"/>
      <c r="R21965" s="11"/>
      <c r="S21965" s="11"/>
      <c r="T21965" s="11"/>
    </row>
    <row r="21966" spans="8:20" x14ac:dyDescent="0.35">
      <c r="H21966" s="711"/>
      <c r="I21966" s="711"/>
      <c r="J21966" s="711"/>
      <c r="K21966" s="711"/>
      <c r="L21966" s="711"/>
      <c r="Q21966" s="11"/>
      <c r="R21966" s="11"/>
      <c r="S21966" s="11"/>
      <c r="T21966" s="11"/>
    </row>
    <row r="21967" spans="8:20" x14ac:dyDescent="0.35">
      <c r="H21967" s="711"/>
      <c r="I21967" s="711"/>
      <c r="J21967" s="711"/>
      <c r="K21967" s="711"/>
      <c r="L21967" s="711"/>
      <c r="Q21967" s="11"/>
      <c r="R21967" s="11"/>
      <c r="S21967" s="11"/>
      <c r="T21967" s="11"/>
    </row>
    <row r="21968" spans="8:20" x14ac:dyDescent="0.35">
      <c r="H21968" s="711"/>
      <c r="I21968" s="711"/>
      <c r="J21968" s="711"/>
      <c r="K21968" s="711"/>
      <c r="L21968" s="711"/>
      <c r="Q21968" s="11"/>
      <c r="R21968" s="11"/>
      <c r="S21968" s="11"/>
      <c r="T21968" s="11"/>
    </row>
    <row r="21969" spans="8:20" x14ac:dyDescent="0.35">
      <c r="H21969" s="711"/>
      <c r="I21969" s="711"/>
      <c r="J21969" s="711"/>
      <c r="K21969" s="711"/>
      <c r="L21969" s="711"/>
      <c r="Q21969" s="11"/>
      <c r="R21969" s="11"/>
      <c r="S21969" s="11"/>
      <c r="T21969" s="11"/>
    </row>
    <row r="21970" spans="8:20" x14ac:dyDescent="0.35">
      <c r="H21970" s="711"/>
      <c r="I21970" s="711"/>
      <c r="J21970" s="711"/>
      <c r="K21970" s="711"/>
      <c r="L21970" s="711"/>
      <c r="Q21970" s="11"/>
      <c r="R21970" s="11"/>
      <c r="S21970" s="11"/>
      <c r="T21970" s="11"/>
    </row>
    <row r="21971" spans="8:20" x14ac:dyDescent="0.35">
      <c r="H21971" s="711"/>
      <c r="I21971" s="711"/>
      <c r="J21971" s="711"/>
      <c r="K21971" s="711"/>
      <c r="L21971" s="711"/>
      <c r="Q21971" s="11"/>
      <c r="R21971" s="11"/>
      <c r="S21971" s="11"/>
      <c r="T21971" s="11"/>
    </row>
    <row r="21972" spans="8:20" x14ac:dyDescent="0.35">
      <c r="H21972" s="711"/>
      <c r="I21972" s="711"/>
      <c r="J21972" s="711"/>
      <c r="K21972" s="711"/>
      <c r="L21972" s="711"/>
      <c r="Q21972" s="11"/>
      <c r="R21972" s="11"/>
      <c r="S21972" s="11"/>
      <c r="T21972" s="11"/>
    </row>
    <row r="21973" spans="8:20" x14ac:dyDescent="0.35">
      <c r="H21973" s="711"/>
      <c r="I21973" s="711"/>
      <c r="J21973" s="711"/>
      <c r="K21973" s="711"/>
      <c r="L21973" s="711"/>
      <c r="Q21973" s="11"/>
      <c r="R21973" s="11"/>
      <c r="S21973" s="11"/>
      <c r="T21973" s="11"/>
    </row>
    <row r="21974" spans="8:20" x14ac:dyDescent="0.35">
      <c r="H21974" s="711"/>
      <c r="I21974" s="711"/>
      <c r="J21974" s="711"/>
      <c r="K21974" s="711"/>
      <c r="L21974" s="711"/>
      <c r="Q21974" s="11"/>
      <c r="R21974" s="11"/>
      <c r="S21974" s="11"/>
      <c r="T21974" s="11"/>
    </row>
    <row r="21975" spans="8:20" x14ac:dyDescent="0.35">
      <c r="H21975" s="711"/>
      <c r="I21975" s="711"/>
      <c r="J21975" s="711"/>
      <c r="K21975" s="711"/>
      <c r="L21975" s="711"/>
      <c r="Q21975" s="11"/>
      <c r="R21975" s="11"/>
      <c r="S21975" s="11"/>
      <c r="T21975" s="11"/>
    </row>
    <row r="21976" spans="8:20" x14ac:dyDescent="0.35">
      <c r="H21976" s="711"/>
      <c r="I21976" s="711"/>
      <c r="J21976" s="711"/>
      <c r="K21976" s="711"/>
      <c r="L21976" s="711"/>
      <c r="Q21976" s="11"/>
      <c r="R21976" s="11"/>
      <c r="S21976" s="11"/>
      <c r="T21976" s="11"/>
    </row>
    <row r="21977" spans="8:20" x14ac:dyDescent="0.35">
      <c r="H21977" s="711"/>
      <c r="I21977" s="711"/>
      <c r="J21977" s="711"/>
      <c r="K21977" s="711"/>
      <c r="L21977" s="711"/>
      <c r="Q21977" s="11"/>
      <c r="R21977" s="11"/>
      <c r="S21977" s="11"/>
      <c r="T21977" s="11"/>
    </row>
    <row r="21978" spans="8:20" x14ac:dyDescent="0.35">
      <c r="H21978" s="711"/>
      <c r="I21978" s="711"/>
      <c r="J21978" s="711"/>
      <c r="K21978" s="711"/>
      <c r="L21978" s="711"/>
      <c r="Q21978" s="11"/>
      <c r="R21978" s="11"/>
      <c r="S21978" s="11"/>
      <c r="T21978" s="11"/>
    </row>
    <row r="21979" spans="8:20" x14ac:dyDescent="0.35">
      <c r="H21979" s="711"/>
      <c r="I21979" s="711"/>
      <c r="J21979" s="711"/>
      <c r="K21979" s="711"/>
      <c r="L21979" s="711"/>
      <c r="Q21979" s="11"/>
      <c r="R21979" s="11"/>
      <c r="S21979" s="11"/>
      <c r="T21979" s="11"/>
    </row>
    <row r="21980" spans="8:20" x14ac:dyDescent="0.35">
      <c r="H21980" s="711"/>
      <c r="I21980" s="711"/>
      <c r="J21980" s="711"/>
      <c r="K21980" s="711"/>
      <c r="L21980" s="711"/>
      <c r="Q21980" s="11"/>
      <c r="R21980" s="11"/>
      <c r="S21980" s="11"/>
      <c r="T21980" s="11"/>
    </row>
    <row r="21981" spans="8:20" x14ac:dyDescent="0.35">
      <c r="H21981" s="711"/>
      <c r="I21981" s="711"/>
      <c r="J21981" s="711"/>
      <c r="K21981" s="711"/>
      <c r="L21981" s="711"/>
      <c r="Q21981" s="11"/>
      <c r="R21981" s="11"/>
      <c r="S21981" s="11"/>
      <c r="T21981" s="11"/>
    </row>
    <row r="21982" spans="8:20" x14ac:dyDescent="0.35">
      <c r="H21982" s="711"/>
      <c r="I21982" s="711"/>
      <c r="J21982" s="711"/>
      <c r="K21982" s="711"/>
      <c r="L21982" s="711"/>
      <c r="Q21982" s="11"/>
      <c r="R21982" s="11"/>
      <c r="S21982" s="11"/>
      <c r="T21982" s="11"/>
    </row>
    <row r="21983" spans="8:20" x14ac:dyDescent="0.35">
      <c r="H21983" s="711"/>
      <c r="I21983" s="711"/>
      <c r="J21983" s="711"/>
      <c r="K21983" s="711"/>
      <c r="L21983" s="711"/>
      <c r="Q21983" s="11"/>
      <c r="R21983" s="11"/>
      <c r="S21983" s="11"/>
      <c r="T21983" s="11"/>
    </row>
    <row r="21984" spans="8:20" x14ac:dyDescent="0.35">
      <c r="H21984" s="711"/>
      <c r="I21984" s="711"/>
      <c r="J21984" s="711"/>
      <c r="K21984" s="711"/>
      <c r="L21984" s="711"/>
      <c r="Q21984" s="11"/>
      <c r="R21984" s="11"/>
      <c r="S21984" s="11"/>
      <c r="T21984" s="11"/>
    </row>
    <row r="21985" spans="8:20" x14ac:dyDescent="0.35">
      <c r="H21985" s="711"/>
      <c r="I21985" s="711"/>
      <c r="J21985" s="711"/>
      <c r="K21985" s="711"/>
      <c r="L21985" s="711"/>
      <c r="Q21985" s="11"/>
      <c r="R21985" s="11"/>
      <c r="S21985" s="11"/>
      <c r="T21985" s="11"/>
    </row>
    <row r="21986" spans="8:20" x14ac:dyDescent="0.35">
      <c r="H21986" s="711"/>
      <c r="I21986" s="711"/>
      <c r="J21986" s="711"/>
      <c r="K21986" s="711"/>
      <c r="L21986" s="711"/>
      <c r="Q21986" s="11"/>
      <c r="R21986" s="11"/>
      <c r="S21986" s="11"/>
      <c r="T21986" s="11"/>
    </row>
    <row r="21987" spans="8:20" x14ac:dyDescent="0.35">
      <c r="H21987" s="711"/>
      <c r="I21987" s="711"/>
      <c r="J21987" s="711"/>
      <c r="K21987" s="711"/>
      <c r="L21987" s="711"/>
      <c r="Q21987" s="11"/>
      <c r="R21987" s="11"/>
      <c r="S21987" s="11"/>
      <c r="T21987" s="11"/>
    </row>
    <row r="21988" spans="8:20" x14ac:dyDescent="0.35">
      <c r="H21988" s="711"/>
      <c r="I21988" s="711"/>
      <c r="J21988" s="711"/>
      <c r="K21988" s="711"/>
      <c r="L21988" s="711"/>
      <c r="Q21988" s="11"/>
      <c r="R21988" s="11"/>
      <c r="S21988" s="11"/>
      <c r="T21988" s="11"/>
    </row>
    <row r="21989" spans="8:20" x14ac:dyDescent="0.35">
      <c r="H21989" s="711"/>
      <c r="I21989" s="711"/>
      <c r="J21989" s="711"/>
      <c r="K21989" s="711"/>
      <c r="L21989" s="711"/>
      <c r="Q21989" s="11"/>
      <c r="R21989" s="11"/>
      <c r="S21989" s="11"/>
      <c r="T21989" s="11"/>
    </row>
    <row r="21990" spans="8:20" x14ac:dyDescent="0.35">
      <c r="H21990" s="711"/>
      <c r="I21990" s="711"/>
      <c r="J21990" s="711"/>
      <c r="K21990" s="711"/>
      <c r="L21990" s="711"/>
      <c r="Q21990" s="11"/>
      <c r="R21990" s="11"/>
      <c r="S21990" s="11"/>
      <c r="T21990" s="11"/>
    </row>
    <row r="21991" spans="8:20" x14ac:dyDescent="0.35">
      <c r="H21991" s="711"/>
      <c r="I21991" s="711"/>
      <c r="J21991" s="711"/>
      <c r="K21991" s="711"/>
      <c r="L21991" s="711"/>
      <c r="Q21991" s="11"/>
      <c r="R21991" s="11"/>
      <c r="S21991" s="11"/>
      <c r="T21991" s="11"/>
    </row>
    <row r="21992" spans="8:20" x14ac:dyDescent="0.35">
      <c r="H21992" s="711"/>
      <c r="I21992" s="711"/>
      <c r="J21992" s="711"/>
      <c r="K21992" s="711"/>
      <c r="L21992" s="711"/>
      <c r="Q21992" s="11"/>
      <c r="R21992" s="11"/>
      <c r="S21992" s="11"/>
      <c r="T21992" s="11"/>
    </row>
    <row r="21993" spans="8:20" x14ac:dyDescent="0.35">
      <c r="H21993" s="711"/>
      <c r="I21993" s="711"/>
      <c r="J21993" s="711"/>
      <c r="K21993" s="711"/>
      <c r="L21993" s="711"/>
      <c r="Q21993" s="11"/>
      <c r="R21993" s="11"/>
      <c r="S21993" s="11"/>
      <c r="T21993" s="11"/>
    </row>
    <row r="21994" spans="8:20" x14ac:dyDescent="0.35">
      <c r="H21994" s="711"/>
      <c r="I21994" s="711"/>
      <c r="J21994" s="711"/>
      <c r="K21994" s="711"/>
      <c r="L21994" s="711"/>
      <c r="Q21994" s="11"/>
      <c r="R21994" s="11"/>
      <c r="S21994" s="11"/>
      <c r="T21994" s="11"/>
    </row>
    <row r="21995" spans="8:20" x14ac:dyDescent="0.35">
      <c r="H21995" s="711"/>
      <c r="I21995" s="711"/>
      <c r="J21995" s="711"/>
      <c r="K21995" s="711"/>
      <c r="L21995" s="711"/>
      <c r="Q21995" s="11"/>
      <c r="R21995" s="11"/>
      <c r="S21995" s="11"/>
      <c r="T21995" s="11"/>
    </row>
    <row r="21996" spans="8:20" x14ac:dyDescent="0.35">
      <c r="H21996" s="711"/>
      <c r="I21996" s="711"/>
      <c r="J21996" s="711"/>
      <c r="K21996" s="711"/>
      <c r="L21996" s="711"/>
      <c r="Q21996" s="11"/>
      <c r="R21996" s="11"/>
      <c r="S21996" s="11"/>
      <c r="T21996" s="11"/>
    </row>
    <row r="21997" spans="8:20" x14ac:dyDescent="0.35">
      <c r="H21997" s="711"/>
      <c r="I21997" s="711"/>
      <c r="J21997" s="711"/>
      <c r="K21997" s="711"/>
      <c r="L21997" s="711"/>
      <c r="Q21997" s="11"/>
      <c r="R21997" s="11"/>
      <c r="S21997" s="11"/>
      <c r="T21997" s="11"/>
    </row>
    <row r="21998" spans="8:20" x14ac:dyDescent="0.35">
      <c r="H21998" s="711"/>
      <c r="I21998" s="711"/>
      <c r="J21998" s="711"/>
      <c r="K21998" s="711"/>
      <c r="L21998" s="711"/>
      <c r="Q21998" s="11"/>
      <c r="R21998" s="11"/>
      <c r="S21998" s="11"/>
      <c r="T21998" s="11"/>
    </row>
    <row r="21999" spans="8:20" x14ac:dyDescent="0.35">
      <c r="H21999" s="711"/>
      <c r="I21999" s="711"/>
      <c r="J21999" s="711"/>
      <c r="K21999" s="711"/>
      <c r="L21999" s="711"/>
      <c r="Q21999" s="11"/>
      <c r="R21999" s="11"/>
      <c r="S21999" s="11"/>
      <c r="T21999" s="11"/>
    </row>
    <row r="22000" spans="8:20" x14ac:dyDescent="0.35">
      <c r="H22000" s="711"/>
      <c r="I22000" s="711"/>
      <c r="J22000" s="711"/>
      <c r="K22000" s="711"/>
      <c r="L22000" s="711"/>
      <c r="Q22000" s="11"/>
      <c r="R22000" s="11"/>
      <c r="S22000" s="11"/>
      <c r="T22000" s="11"/>
    </row>
    <row r="22001" spans="8:20" x14ac:dyDescent="0.35">
      <c r="H22001" s="711"/>
      <c r="I22001" s="711"/>
      <c r="J22001" s="711"/>
      <c r="K22001" s="711"/>
      <c r="L22001" s="711"/>
      <c r="Q22001" s="11"/>
      <c r="R22001" s="11"/>
      <c r="S22001" s="11"/>
      <c r="T22001" s="11"/>
    </row>
    <row r="22002" spans="8:20" x14ac:dyDescent="0.35">
      <c r="H22002" s="711"/>
      <c r="I22002" s="711"/>
      <c r="J22002" s="711"/>
      <c r="K22002" s="711"/>
      <c r="L22002" s="711"/>
      <c r="Q22002" s="11"/>
      <c r="R22002" s="11"/>
      <c r="S22002" s="11"/>
      <c r="T22002" s="11"/>
    </row>
    <row r="22003" spans="8:20" x14ac:dyDescent="0.35">
      <c r="H22003" s="711"/>
      <c r="I22003" s="711"/>
      <c r="J22003" s="711"/>
      <c r="K22003" s="711"/>
      <c r="L22003" s="711"/>
      <c r="Q22003" s="11"/>
      <c r="R22003" s="11"/>
      <c r="S22003" s="11"/>
      <c r="T22003" s="11"/>
    </row>
    <row r="22004" spans="8:20" x14ac:dyDescent="0.35">
      <c r="H22004" s="711"/>
      <c r="I22004" s="711"/>
      <c r="J22004" s="711"/>
      <c r="K22004" s="711"/>
      <c r="L22004" s="711"/>
      <c r="Q22004" s="11"/>
      <c r="R22004" s="11"/>
      <c r="S22004" s="11"/>
      <c r="T22004" s="11"/>
    </row>
    <row r="22005" spans="8:20" x14ac:dyDescent="0.35">
      <c r="H22005" s="711"/>
      <c r="I22005" s="711"/>
      <c r="J22005" s="711"/>
      <c r="K22005" s="711"/>
      <c r="L22005" s="711"/>
      <c r="Q22005" s="11"/>
      <c r="R22005" s="11"/>
      <c r="S22005" s="11"/>
      <c r="T22005" s="11"/>
    </row>
    <row r="22006" spans="8:20" x14ac:dyDescent="0.35">
      <c r="H22006" s="711"/>
      <c r="I22006" s="711"/>
      <c r="J22006" s="711"/>
      <c r="K22006" s="711"/>
      <c r="L22006" s="711"/>
      <c r="Q22006" s="11"/>
      <c r="R22006" s="11"/>
      <c r="S22006" s="11"/>
      <c r="T22006" s="11"/>
    </row>
    <row r="22007" spans="8:20" x14ac:dyDescent="0.35">
      <c r="H22007" s="711"/>
      <c r="I22007" s="711"/>
      <c r="J22007" s="711"/>
      <c r="K22007" s="711"/>
      <c r="L22007" s="711"/>
      <c r="Q22007" s="11"/>
      <c r="R22007" s="11"/>
      <c r="S22007" s="11"/>
      <c r="T22007" s="11"/>
    </row>
    <row r="22008" spans="8:20" x14ac:dyDescent="0.35">
      <c r="H22008" s="711"/>
      <c r="I22008" s="711"/>
      <c r="J22008" s="711"/>
      <c r="K22008" s="711"/>
      <c r="L22008" s="711"/>
      <c r="Q22008" s="11"/>
      <c r="R22008" s="11"/>
      <c r="S22008" s="11"/>
      <c r="T22008" s="11"/>
    </row>
    <row r="22009" spans="8:20" x14ac:dyDescent="0.35">
      <c r="H22009" s="711"/>
      <c r="I22009" s="711"/>
      <c r="J22009" s="711"/>
      <c r="K22009" s="711"/>
      <c r="L22009" s="711"/>
      <c r="Q22009" s="11"/>
      <c r="R22009" s="11"/>
      <c r="S22009" s="11"/>
      <c r="T22009" s="11"/>
    </row>
    <row r="22010" spans="8:20" x14ac:dyDescent="0.35">
      <c r="H22010" s="711"/>
      <c r="I22010" s="711"/>
      <c r="J22010" s="711"/>
      <c r="K22010" s="711"/>
      <c r="L22010" s="711"/>
      <c r="Q22010" s="11"/>
      <c r="R22010" s="11"/>
      <c r="S22010" s="11"/>
      <c r="T22010" s="11"/>
    </row>
    <row r="22011" spans="8:20" x14ac:dyDescent="0.35">
      <c r="H22011" s="711"/>
      <c r="I22011" s="711"/>
      <c r="J22011" s="711"/>
      <c r="K22011" s="711"/>
      <c r="L22011" s="711"/>
      <c r="Q22011" s="11"/>
      <c r="R22011" s="11"/>
      <c r="S22011" s="11"/>
      <c r="T22011" s="11"/>
    </row>
    <row r="22012" spans="8:20" x14ac:dyDescent="0.35">
      <c r="H22012" s="711"/>
      <c r="I22012" s="711"/>
      <c r="J22012" s="711"/>
      <c r="K22012" s="711"/>
      <c r="L22012" s="711"/>
      <c r="Q22012" s="11"/>
      <c r="R22012" s="11"/>
      <c r="S22012" s="11"/>
      <c r="T22012" s="11"/>
    </row>
    <row r="22013" spans="8:20" x14ac:dyDescent="0.35">
      <c r="H22013" s="711"/>
      <c r="I22013" s="711"/>
      <c r="J22013" s="711"/>
      <c r="K22013" s="711"/>
      <c r="L22013" s="711"/>
      <c r="Q22013" s="11"/>
      <c r="R22013" s="11"/>
      <c r="S22013" s="11"/>
      <c r="T22013" s="11"/>
    </row>
    <row r="22014" spans="8:20" x14ac:dyDescent="0.35">
      <c r="H22014" s="711"/>
      <c r="I22014" s="711"/>
      <c r="J22014" s="711"/>
      <c r="K22014" s="711"/>
      <c r="L22014" s="711"/>
      <c r="Q22014" s="11"/>
      <c r="R22014" s="11"/>
      <c r="S22014" s="11"/>
      <c r="T22014" s="11"/>
    </row>
    <row r="22015" spans="8:20" x14ac:dyDescent="0.35">
      <c r="H22015" s="711"/>
      <c r="I22015" s="711"/>
      <c r="J22015" s="711"/>
      <c r="K22015" s="711"/>
      <c r="L22015" s="711"/>
      <c r="Q22015" s="11"/>
      <c r="R22015" s="11"/>
      <c r="S22015" s="11"/>
      <c r="T22015" s="11"/>
    </row>
    <row r="22016" spans="8:20" x14ac:dyDescent="0.35">
      <c r="H22016" s="711"/>
      <c r="I22016" s="711"/>
      <c r="J22016" s="711"/>
      <c r="K22016" s="711"/>
      <c r="L22016" s="711"/>
      <c r="Q22016" s="11"/>
      <c r="R22016" s="11"/>
      <c r="S22016" s="11"/>
      <c r="T22016" s="11"/>
    </row>
    <row r="22017" spans="8:20" x14ac:dyDescent="0.35">
      <c r="H22017" s="711"/>
      <c r="I22017" s="711"/>
      <c r="J22017" s="711"/>
      <c r="K22017" s="711"/>
      <c r="L22017" s="711"/>
      <c r="Q22017" s="11"/>
      <c r="R22017" s="11"/>
      <c r="S22017" s="11"/>
      <c r="T22017" s="11"/>
    </row>
    <row r="22018" spans="8:20" x14ac:dyDescent="0.35">
      <c r="H22018" s="711"/>
      <c r="I22018" s="711"/>
      <c r="J22018" s="711"/>
      <c r="K22018" s="711"/>
      <c r="L22018" s="711"/>
      <c r="Q22018" s="11"/>
      <c r="R22018" s="11"/>
      <c r="S22018" s="11"/>
      <c r="T22018" s="11"/>
    </row>
    <row r="22019" spans="8:20" x14ac:dyDescent="0.35">
      <c r="H22019" s="711"/>
      <c r="I22019" s="711"/>
      <c r="J22019" s="711"/>
      <c r="K22019" s="711"/>
      <c r="L22019" s="711"/>
      <c r="Q22019" s="11"/>
      <c r="R22019" s="11"/>
      <c r="S22019" s="11"/>
      <c r="T22019" s="11"/>
    </row>
    <row r="22020" spans="8:20" x14ac:dyDescent="0.35">
      <c r="H22020" s="711"/>
      <c r="I22020" s="711"/>
      <c r="J22020" s="711"/>
      <c r="K22020" s="711"/>
      <c r="L22020" s="711"/>
      <c r="Q22020" s="11"/>
      <c r="R22020" s="11"/>
      <c r="S22020" s="11"/>
      <c r="T22020" s="11"/>
    </row>
    <row r="22021" spans="8:20" x14ac:dyDescent="0.35">
      <c r="H22021" s="711"/>
      <c r="I22021" s="711"/>
      <c r="J22021" s="711"/>
      <c r="K22021" s="711"/>
      <c r="L22021" s="711"/>
      <c r="Q22021" s="11"/>
      <c r="R22021" s="11"/>
      <c r="S22021" s="11"/>
      <c r="T22021" s="11"/>
    </row>
    <row r="22022" spans="8:20" x14ac:dyDescent="0.35">
      <c r="H22022" s="711"/>
      <c r="I22022" s="711"/>
      <c r="J22022" s="711"/>
      <c r="K22022" s="711"/>
      <c r="L22022" s="711"/>
      <c r="Q22022" s="11"/>
      <c r="R22022" s="11"/>
      <c r="S22022" s="11"/>
      <c r="T22022" s="11"/>
    </row>
    <row r="22023" spans="8:20" x14ac:dyDescent="0.35">
      <c r="H22023" s="711"/>
      <c r="I22023" s="711"/>
      <c r="J22023" s="711"/>
      <c r="K22023" s="711"/>
      <c r="L22023" s="711"/>
      <c r="Q22023" s="11"/>
      <c r="R22023" s="11"/>
      <c r="S22023" s="11"/>
      <c r="T22023" s="11"/>
    </row>
    <row r="22024" spans="8:20" x14ac:dyDescent="0.35">
      <c r="H22024" s="711"/>
      <c r="I22024" s="711"/>
      <c r="J22024" s="711"/>
      <c r="K22024" s="711"/>
      <c r="L22024" s="711"/>
      <c r="Q22024" s="11"/>
      <c r="R22024" s="11"/>
      <c r="S22024" s="11"/>
      <c r="T22024" s="11"/>
    </row>
    <row r="22025" spans="8:20" x14ac:dyDescent="0.35">
      <c r="H22025" s="711"/>
      <c r="I22025" s="711"/>
      <c r="J22025" s="711"/>
      <c r="K22025" s="711"/>
      <c r="L22025" s="711"/>
      <c r="Q22025" s="11"/>
      <c r="R22025" s="11"/>
      <c r="S22025" s="11"/>
      <c r="T22025" s="11"/>
    </row>
    <row r="22026" spans="8:20" x14ac:dyDescent="0.35">
      <c r="H22026" s="711"/>
      <c r="I22026" s="711"/>
      <c r="J22026" s="711"/>
      <c r="K22026" s="711"/>
      <c r="L22026" s="711"/>
      <c r="Q22026" s="11"/>
      <c r="R22026" s="11"/>
      <c r="S22026" s="11"/>
      <c r="T22026" s="11"/>
    </row>
    <row r="22027" spans="8:20" x14ac:dyDescent="0.35">
      <c r="H22027" s="711"/>
      <c r="I22027" s="711"/>
      <c r="J22027" s="711"/>
      <c r="K22027" s="711"/>
      <c r="L22027" s="711"/>
      <c r="Q22027" s="11"/>
      <c r="R22027" s="11"/>
      <c r="S22027" s="11"/>
      <c r="T22027" s="11"/>
    </row>
    <row r="22028" spans="8:20" x14ac:dyDescent="0.35">
      <c r="H22028" s="711"/>
      <c r="I22028" s="711"/>
      <c r="J22028" s="711"/>
      <c r="K22028" s="711"/>
      <c r="L22028" s="711"/>
      <c r="Q22028" s="11"/>
      <c r="R22028" s="11"/>
      <c r="S22028" s="11"/>
      <c r="T22028" s="11"/>
    </row>
    <row r="22029" spans="8:20" x14ac:dyDescent="0.35">
      <c r="H22029" s="711"/>
      <c r="I22029" s="711"/>
      <c r="J22029" s="711"/>
      <c r="K22029" s="711"/>
      <c r="L22029" s="711"/>
      <c r="Q22029" s="11"/>
      <c r="R22029" s="11"/>
      <c r="S22029" s="11"/>
      <c r="T22029" s="11"/>
    </row>
    <row r="22030" spans="8:20" x14ac:dyDescent="0.35">
      <c r="H22030" s="711"/>
      <c r="I22030" s="711"/>
      <c r="J22030" s="711"/>
      <c r="K22030" s="711"/>
      <c r="L22030" s="711"/>
      <c r="Q22030" s="11"/>
      <c r="R22030" s="11"/>
      <c r="S22030" s="11"/>
      <c r="T22030" s="11"/>
    </row>
    <row r="22031" spans="8:20" x14ac:dyDescent="0.35">
      <c r="H22031" s="711"/>
      <c r="I22031" s="711"/>
      <c r="J22031" s="711"/>
      <c r="K22031" s="711"/>
      <c r="L22031" s="711"/>
      <c r="Q22031" s="11"/>
      <c r="R22031" s="11"/>
      <c r="S22031" s="11"/>
      <c r="T22031" s="11"/>
    </row>
    <row r="22032" spans="8:20" x14ac:dyDescent="0.35">
      <c r="H22032" s="711"/>
      <c r="I22032" s="711"/>
      <c r="J22032" s="711"/>
      <c r="K22032" s="711"/>
      <c r="L22032" s="711"/>
      <c r="Q22032" s="11"/>
      <c r="R22032" s="11"/>
      <c r="S22032" s="11"/>
      <c r="T22032" s="11"/>
    </row>
    <row r="22033" spans="8:20" x14ac:dyDescent="0.35">
      <c r="H22033" s="711"/>
      <c r="I22033" s="711"/>
      <c r="J22033" s="711"/>
      <c r="K22033" s="711"/>
      <c r="L22033" s="711"/>
      <c r="Q22033" s="11"/>
      <c r="R22033" s="11"/>
      <c r="S22033" s="11"/>
      <c r="T22033" s="11"/>
    </row>
    <row r="22034" spans="8:20" x14ac:dyDescent="0.35">
      <c r="H22034" s="711"/>
      <c r="I22034" s="711"/>
      <c r="J22034" s="711"/>
      <c r="K22034" s="711"/>
      <c r="L22034" s="711"/>
      <c r="Q22034" s="11"/>
      <c r="R22034" s="11"/>
      <c r="S22034" s="11"/>
      <c r="T22034" s="11"/>
    </row>
    <row r="22035" spans="8:20" x14ac:dyDescent="0.35">
      <c r="H22035" s="711"/>
      <c r="I22035" s="711"/>
      <c r="J22035" s="711"/>
      <c r="K22035" s="711"/>
      <c r="L22035" s="711"/>
      <c r="Q22035" s="11"/>
      <c r="R22035" s="11"/>
      <c r="S22035" s="11"/>
      <c r="T22035" s="11"/>
    </row>
    <row r="22036" spans="8:20" x14ac:dyDescent="0.35">
      <c r="H22036" s="711"/>
      <c r="I22036" s="711"/>
      <c r="J22036" s="711"/>
      <c r="K22036" s="711"/>
      <c r="L22036" s="711"/>
      <c r="Q22036" s="11"/>
      <c r="R22036" s="11"/>
      <c r="S22036" s="11"/>
      <c r="T22036" s="11"/>
    </row>
    <row r="22037" spans="8:20" x14ac:dyDescent="0.35">
      <c r="H22037" s="711"/>
      <c r="I22037" s="711"/>
      <c r="J22037" s="711"/>
      <c r="K22037" s="711"/>
      <c r="L22037" s="711"/>
      <c r="Q22037" s="11"/>
      <c r="R22037" s="11"/>
      <c r="S22037" s="11"/>
      <c r="T22037" s="11"/>
    </row>
    <row r="22038" spans="8:20" x14ac:dyDescent="0.35">
      <c r="H22038" s="711"/>
      <c r="I22038" s="711"/>
      <c r="J22038" s="711"/>
      <c r="K22038" s="711"/>
      <c r="L22038" s="711"/>
      <c r="Q22038" s="11"/>
      <c r="R22038" s="11"/>
      <c r="S22038" s="11"/>
      <c r="T22038" s="11"/>
    </row>
    <row r="22039" spans="8:20" x14ac:dyDescent="0.35">
      <c r="H22039" s="711"/>
      <c r="I22039" s="711"/>
      <c r="J22039" s="711"/>
      <c r="K22039" s="711"/>
      <c r="L22039" s="711"/>
      <c r="Q22039" s="11"/>
      <c r="R22039" s="11"/>
      <c r="S22039" s="11"/>
      <c r="T22039" s="11"/>
    </row>
    <row r="22040" spans="8:20" x14ac:dyDescent="0.35">
      <c r="H22040" s="711"/>
      <c r="I22040" s="711"/>
      <c r="J22040" s="711"/>
      <c r="K22040" s="711"/>
      <c r="L22040" s="711"/>
      <c r="Q22040" s="11"/>
      <c r="R22040" s="11"/>
      <c r="S22040" s="11"/>
      <c r="T22040" s="11"/>
    </row>
    <row r="22041" spans="8:20" x14ac:dyDescent="0.35">
      <c r="H22041" s="711"/>
      <c r="I22041" s="711"/>
      <c r="J22041" s="711"/>
      <c r="K22041" s="711"/>
      <c r="L22041" s="711"/>
      <c r="Q22041" s="11"/>
      <c r="R22041" s="11"/>
      <c r="S22041" s="11"/>
      <c r="T22041" s="11"/>
    </row>
    <row r="22042" spans="8:20" x14ac:dyDescent="0.35">
      <c r="H22042" s="711"/>
      <c r="I22042" s="711"/>
      <c r="J22042" s="711"/>
      <c r="K22042" s="711"/>
      <c r="L22042" s="711"/>
      <c r="Q22042" s="11"/>
      <c r="R22042" s="11"/>
      <c r="S22042" s="11"/>
      <c r="T22042" s="11"/>
    </row>
    <row r="22043" spans="8:20" x14ac:dyDescent="0.35">
      <c r="H22043" s="711"/>
      <c r="I22043" s="711"/>
      <c r="J22043" s="711"/>
      <c r="K22043" s="711"/>
      <c r="L22043" s="711"/>
      <c r="Q22043" s="11"/>
      <c r="R22043" s="11"/>
      <c r="S22043" s="11"/>
      <c r="T22043" s="11"/>
    </row>
    <row r="22044" spans="8:20" x14ac:dyDescent="0.35">
      <c r="H22044" s="711"/>
      <c r="I22044" s="711"/>
      <c r="J22044" s="711"/>
      <c r="K22044" s="711"/>
      <c r="L22044" s="711"/>
      <c r="Q22044" s="11"/>
      <c r="R22044" s="11"/>
      <c r="S22044" s="11"/>
      <c r="T22044" s="11"/>
    </row>
    <row r="22045" spans="8:20" x14ac:dyDescent="0.35">
      <c r="H22045" s="711"/>
      <c r="I22045" s="711"/>
      <c r="J22045" s="711"/>
      <c r="K22045" s="711"/>
      <c r="L22045" s="711"/>
      <c r="Q22045" s="11"/>
      <c r="R22045" s="11"/>
      <c r="S22045" s="11"/>
      <c r="T22045" s="11"/>
    </row>
    <row r="22046" spans="8:20" x14ac:dyDescent="0.35">
      <c r="H22046" s="711"/>
      <c r="I22046" s="711"/>
      <c r="J22046" s="711"/>
      <c r="K22046" s="711"/>
      <c r="L22046" s="711"/>
      <c r="Q22046" s="11"/>
      <c r="R22046" s="11"/>
      <c r="S22046" s="11"/>
      <c r="T22046" s="11"/>
    </row>
    <row r="22047" spans="8:20" x14ac:dyDescent="0.35">
      <c r="H22047" s="711"/>
      <c r="I22047" s="711"/>
      <c r="J22047" s="711"/>
      <c r="K22047" s="711"/>
      <c r="L22047" s="711"/>
      <c r="Q22047" s="11"/>
      <c r="R22047" s="11"/>
      <c r="S22047" s="11"/>
      <c r="T22047" s="11"/>
    </row>
    <row r="22048" spans="8:20" x14ac:dyDescent="0.35">
      <c r="H22048" s="711"/>
      <c r="I22048" s="711"/>
      <c r="J22048" s="711"/>
      <c r="K22048" s="711"/>
      <c r="L22048" s="711"/>
      <c r="Q22048" s="11"/>
      <c r="R22048" s="11"/>
      <c r="S22048" s="11"/>
      <c r="T22048" s="11"/>
    </row>
    <row r="22049" spans="8:20" x14ac:dyDescent="0.35">
      <c r="H22049" s="711"/>
      <c r="I22049" s="711"/>
      <c r="J22049" s="711"/>
      <c r="K22049" s="711"/>
      <c r="L22049" s="711"/>
      <c r="Q22049" s="11"/>
      <c r="R22049" s="11"/>
      <c r="S22049" s="11"/>
      <c r="T22049" s="11"/>
    </row>
    <row r="22050" spans="8:20" x14ac:dyDescent="0.35">
      <c r="H22050" s="711"/>
      <c r="I22050" s="711"/>
      <c r="J22050" s="711"/>
      <c r="K22050" s="711"/>
      <c r="L22050" s="711"/>
      <c r="Q22050" s="11"/>
      <c r="R22050" s="11"/>
      <c r="S22050" s="11"/>
      <c r="T22050" s="11"/>
    </row>
    <row r="22051" spans="8:20" x14ac:dyDescent="0.35">
      <c r="H22051" s="711"/>
      <c r="I22051" s="711"/>
      <c r="J22051" s="711"/>
      <c r="K22051" s="711"/>
      <c r="L22051" s="711"/>
      <c r="Q22051" s="11"/>
      <c r="R22051" s="11"/>
      <c r="S22051" s="11"/>
      <c r="T22051" s="11"/>
    </row>
    <row r="22052" spans="8:20" x14ac:dyDescent="0.35">
      <c r="H22052" s="711"/>
      <c r="I22052" s="711"/>
      <c r="J22052" s="711"/>
      <c r="K22052" s="711"/>
      <c r="L22052" s="711"/>
      <c r="Q22052" s="11"/>
      <c r="R22052" s="11"/>
      <c r="S22052" s="11"/>
      <c r="T22052" s="11"/>
    </row>
    <row r="22053" spans="8:20" x14ac:dyDescent="0.35">
      <c r="H22053" s="711"/>
      <c r="I22053" s="711"/>
      <c r="J22053" s="711"/>
      <c r="K22053" s="711"/>
      <c r="L22053" s="711"/>
      <c r="Q22053" s="11"/>
      <c r="R22053" s="11"/>
      <c r="S22053" s="11"/>
      <c r="T22053" s="11"/>
    </row>
    <row r="22054" spans="8:20" x14ac:dyDescent="0.35">
      <c r="H22054" s="711"/>
      <c r="I22054" s="711"/>
      <c r="J22054" s="711"/>
      <c r="K22054" s="711"/>
      <c r="L22054" s="711"/>
      <c r="Q22054" s="11"/>
      <c r="R22054" s="11"/>
      <c r="S22054" s="11"/>
      <c r="T22054" s="11"/>
    </row>
    <row r="22055" spans="8:20" x14ac:dyDescent="0.35">
      <c r="H22055" s="711"/>
      <c r="I22055" s="711"/>
      <c r="J22055" s="711"/>
      <c r="K22055" s="711"/>
      <c r="L22055" s="711"/>
      <c r="Q22055" s="11"/>
      <c r="R22055" s="11"/>
      <c r="S22055" s="11"/>
      <c r="T22055" s="11"/>
    </row>
    <row r="22056" spans="8:20" x14ac:dyDescent="0.35">
      <c r="H22056" s="711"/>
      <c r="I22056" s="711"/>
      <c r="J22056" s="711"/>
      <c r="K22056" s="711"/>
      <c r="L22056" s="711"/>
      <c r="Q22056" s="11"/>
      <c r="R22056" s="11"/>
      <c r="S22056" s="11"/>
      <c r="T22056" s="11"/>
    </row>
    <row r="22057" spans="8:20" x14ac:dyDescent="0.35">
      <c r="H22057" s="711"/>
      <c r="I22057" s="711"/>
      <c r="J22057" s="711"/>
      <c r="K22057" s="711"/>
      <c r="L22057" s="711"/>
      <c r="Q22057" s="11"/>
      <c r="R22057" s="11"/>
      <c r="S22057" s="11"/>
      <c r="T22057" s="11"/>
    </row>
    <row r="22058" spans="8:20" x14ac:dyDescent="0.35">
      <c r="H22058" s="711"/>
      <c r="I22058" s="711"/>
      <c r="J22058" s="711"/>
      <c r="K22058" s="711"/>
      <c r="L22058" s="711"/>
      <c r="Q22058" s="11"/>
      <c r="R22058" s="11"/>
      <c r="S22058" s="11"/>
      <c r="T22058" s="11"/>
    </row>
    <row r="22059" spans="8:20" x14ac:dyDescent="0.35">
      <c r="H22059" s="711"/>
      <c r="I22059" s="711"/>
      <c r="J22059" s="711"/>
      <c r="K22059" s="711"/>
      <c r="L22059" s="711"/>
      <c r="Q22059" s="11"/>
      <c r="R22059" s="11"/>
      <c r="S22059" s="11"/>
      <c r="T22059" s="11"/>
    </row>
    <row r="22060" spans="8:20" x14ac:dyDescent="0.35">
      <c r="H22060" s="711"/>
      <c r="I22060" s="711"/>
      <c r="J22060" s="711"/>
      <c r="K22060" s="711"/>
      <c r="L22060" s="711"/>
      <c r="Q22060" s="11"/>
      <c r="R22060" s="11"/>
      <c r="S22060" s="11"/>
      <c r="T22060" s="11"/>
    </row>
    <row r="22061" spans="8:20" x14ac:dyDescent="0.35">
      <c r="H22061" s="711"/>
      <c r="I22061" s="711"/>
      <c r="J22061" s="711"/>
      <c r="K22061" s="711"/>
      <c r="L22061" s="711"/>
      <c r="Q22061" s="11"/>
      <c r="R22061" s="11"/>
      <c r="S22061" s="11"/>
      <c r="T22061" s="11"/>
    </row>
    <row r="22062" spans="8:20" x14ac:dyDescent="0.35">
      <c r="H22062" s="711"/>
      <c r="I22062" s="711"/>
      <c r="J22062" s="711"/>
      <c r="K22062" s="711"/>
      <c r="L22062" s="711"/>
      <c r="Q22062" s="11"/>
      <c r="R22062" s="11"/>
      <c r="S22062" s="11"/>
      <c r="T22062" s="11"/>
    </row>
    <row r="22063" spans="8:20" x14ac:dyDescent="0.35">
      <c r="H22063" s="711"/>
      <c r="I22063" s="711"/>
      <c r="J22063" s="711"/>
      <c r="K22063" s="711"/>
      <c r="L22063" s="711"/>
      <c r="Q22063" s="11"/>
      <c r="R22063" s="11"/>
      <c r="S22063" s="11"/>
      <c r="T22063" s="11"/>
    </row>
    <row r="22064" spans="8:20" x14ac:dyDescent="0.35">
      <c r="H22064" s="711"/>
      <c r="I22064" s="711"/>
      <c r="J22064" s="711"/>
      <c r="K22064" s="711"/>
      <c r="L22064" s="711"/>
      <c r="Q22064" s="11"/>
      <c r="R22064" s="11"/>
      <c r="S22064" s="11"/>
      <c r="T22064" s="11"/>
    </row>
    <row r="22065" spans="8:20" x14ac:dyDescent="0.35">
      <c r="H22065" s="711"/>
      <c r="I22065" s="711"/>
      <c r="J22065" s="711"/>
      <c r="K22065" s="711"/>
      <c r="L22065" s="711"/>
      <c r="Q22065" s="11"/>
      <c r="R22065" s="11"/>
      <c r="S22065" s="11"/>
      <c r="T22065" s="11"/>
    </row>
    <row r="22066" spans="8:20" x14ac:dyDescent="0.35">
      <c r="H22066" s="711"/>
      <c r="I22066" s="711"/>
      <c r="J22066" s="711"/>
      <c r="K22066" s="711"/>
      <c r="L22066" s="711"/>
      <c r="Q22066" s="11"/>
      <c r="R22066" s="11"/>
      <c r="S22066" s="11"/>
      <c r="T22066" s="11"/>
    </row>
    <row r="22067" spans="8:20" x14ac:dyDescent="0.35">
      <c r="H22067" s="711"/>
      <c r="I22067" s="711"/>
      <c r="J22067" s="711"/>
      <c r="K22067" s="711"/>
      <c r="L22067" s="711"/>
      <c r="Q22067" s="11"/>
      <c r="R22067" s="11"/>
      <c r="S22067" s="11"/>
      <c r="T22067" s="11"/>
    </row>
    <row r="22068" spans="8:20" x14ac:dyDescent="0.35">
      <c r="H22068" s="711"/>
      <c r="I22068" s="711"/>
      <c r="J22068" s="711"/>
      <c r="K22068" s="711"/>
      <c r="L22068" s="711"/>
      <c r="Q22068" s="11"/>
      <c r="R22068" s="11"/>
      <c r="S22068" s="11"/>
      <c r="T22068" s="11"/>
    </row>
    <row r="22069" spans="8:20" x14ac:dyDescent="0.35">
      <c r="H22069" s="711"/>
      <c r="I22069" s="711"/>
      <c r="J22069" s="711"/>
      <c r="K22069" s="711"/>
      <c r="L22069" s="711"/>
      <c r="Q22069" s="11"/>
      <c r="R22069" s="11"/>
      <c r="S22069" s="11"/>
      <c r="T22069" s="11"/>
    </row>
    <row r="22070" spans="8:20" x14ac:dyDescent="0.35">
      <c r="H22070" s="711"/>
      <c r="I22070" s="711"/>
      <c r="J22070" s="711"/>
      <c r="K22070" s="711"/>
      <c r="L22070" s="711"/>
      <c r="Q22070" s="11"/>
      <c r="R22070" s="11"/>
      <c r="S22070" s="11"/>
      <c r="T22070" s="11"/>
    </row>
    <row r="22071" spans="8:20" x14ac:dyDescent="0.35">
      <c r="H22071" s="711"/>
      <c r="I22071" s="711"/>
      <c r="J22071" s="711"/>
      <c r="K22071" s="711"/>
      <c r="L22071" s="711"/>
      <c r="Q22071" s="11"/>
      <c r="R22071" s="11"/>
      <c r="S22071" s="11"/>
      <c r="T22071" s="11"/>
    </row>
    <row r="22072" spans="8:20" x14ac:dyDescent="0.35">
      <c r="H22072" s="711"/>
      <c r="I22072" s="711"/>
      <c r="J22072" s="711"/>
      <c r="K22072" s="711"/>
      <c r="L22072" s="711"/>
      <c r="Q22072" s="11"/>
      <c r="R22072" s="11"/>
      <c r="S22072" s="11"/>
      <c r="T22072" s="11"/>
    </row>
    <row r="22073" spans="8:20" x14ac:dyDescent="0.35">
      <c r="H22073" s="711"/>
      <c r="I22073" s="711"/>
      <c r="J22073" s="711"/>
      <c r="K22073" s="711"/>
      <c r="L22073" s="711"/>
      <c r="Q22073" s="11"/>
      <c r="R22073" s="11"/>
      <c r="S22073" s="11"/>
      <c r="T22073" s="11"/>
    </row>
    <row r="22074" spans="8:20" x14ac:dyDescent="0.35">
      <c r="H22074" s="711"/>
      <c r="I22074" s="711"/>
      <c r="J22074" s="711"/>
      <c r="K22074" s="711"/>
      <c r="L22074" s="711"/>
      <c r="Q22074" s="11"/>
      <c r="R22074" s="11"/>
      <c r="S22074" s="11"/>
      <c r="T22074" s="11"/>
    </row>
    <row r="22075" spans="8:20" x14ac:dyDescent="0.35">
      <c r="H22075" s="711"/>
      <c r="I22075" s="711"/>
      <c r="J22075" s="711"/>
      <c r="K22075" s="711"/>
      <c r="L22075" s="711"/>
      <c r="Q22075" s="11"/>
      <c r="R22075" s="11"/>
      <c r="S22075" s="11"/>
      <c r="T22075" s="11"/>
    </row>
    <row r="22076" spans="8:20" x14ac:dyDescent="0.35">
      <c r="H22076" s="711"/>
      <c r="I22076" s="711"/>
      <c r="J22076" s="711"/>
      <c r="K22076" s="711"/>
      <c r="L22076" s="711"/>
      <c r="Q22076" s="11"/>
      <c r="R22076" s="11"/>
      <c r="S22076" s="11"/>
      <c r="T22076" s="11"/>
    </row>
    <row r="22077" spans="8:20" x14ac:dyDescent="0.35">
      <c r="H22077" s="711"/>
      <c r="I22077" s="711"/>
      <c r="J22077" s="711"/>
      <c r="K22077" s="711"/>
      <c r="L22077" s="711"/>
      <c r="Q22077" s="11"/>
      <c r="R22077" s="11"/>
      <c r="S22077" s="11"/>
      <c r="T22077" s="11"/>
    </row>
    <row r="22078" spans="8:20" x14ac:dyDescent="0.35">
      <c r="H22078" s="711"/>
      <c r="I22078" s="711"/>
      <c r="J22078" s="711"/>
      <c r="K22078" s="711"/>
      <c r="L22078" s="711"/>
      <c r="Q22078" s="11"/>
      <c r="R22078" s="11"/>
      <c r="S22078" s="11"/>
      <c r="T22078" s="11"/>
    </row>
    <row r="22079" spans="8:20" x14ac:dyDescent="0.35">
      <c r="H22079" s="711"/>
      <c r="I22079" s="711"/>
      <c r="J22079" s="711"/>
      <c r="K22079" s="711"/>
      <c r="L22079" s="711"/>
      <c r="Q22079" s="11"/>
      <c r="R22079" s="11"/>
      <c r="S22079" s="11"/>
      <c r="T22079" s="11"/>
    </row>
    <row r="22080" spans="8:20" x14ac:dyDescent="0.35">
      <c r="H22080" s="711"/>
      <c r="I22080" s="711"/>
      <c r="J22080" s="711"/>
      <c r="K22080" s="711"/>
      <c r="L22080" s="711"/>
      <c r="Q22080" s="11"/>
      <c r="R22080" s="11"/>
      <c r="S22080" s="11"/>
      <c r="T22080" s="11"/>
    </row>
    <row r="22081" spans="8:20" x14ac:dyDescent="0.35">
      <c r="H22081" s="711"/>
      <c r="I22081" s="711"/>
      <c r="J22081" s="711"/>
      <c r="K22081" s="711"/>
      <c r="L22081" s="711"/>
      <c r="Q22081" s="11"/>
      <c r="R22081" s="11"/>
      <c r="S22081" s="11"/>
      <c r="T22081" s="11"/>
    </row>
    <row r="22082" spans="8:20" x14ac:dyDescent="0.35">
      <c r="H22082" s="711"/>
      <c r="I22082" s="711"/>
      <c r="J22082" s="711"/>
      <c r="K22082" s="711"/>
      <c r="L22082" s="711"/>
      <c r="Q22082" s="11"/>
      <c r="R22082" s="11"/>
      <c r="S22082" s="11"/>
      <c r="T22082" s="11"/>
    </row>
    <row r="22083" spans="8:20" x14ac:dyDescent="0.35">
      <c r="H22083" s="711"/>
      <c r="I22083" s="711"/>
      <c r="J22083" s="711"/>
      <c r="K22083" s="711"/>
      <c r="L22083" s="711"/>
      <c r="Q22083" s="11"/>
      <c r="R22083" s="11"/>
      <c r="S22083" s="11"/>
      <c r="T22083" s="11"/>
    </row>
    <row r="22084" spans="8:20" x14ac:dyDescent="0.35">
      <c r="H22084" s="711"/>
      <c r="I22084" s="711"/>
      <c r="J22084" s="711"/>
      <c r="K22084" s="711"/>
      <c r="L22084" s="711"/>
      <c r="Q22084" s="11"/>
      <c r="R22084" s="11"/>
      <c r="S22084" s="11"/>
      <c r="T22084" s="11"/>
    </row>
    <row r="22085" spans="8:20" x14ac:dyDescent="0.35">
      <c r="H22085" s="711"/>
      <c r="I22085" s="711"/>
      <c r="J22085" s="711"/>
      <c r="K22085" s="711"/>
      <c r="L22085" s="711"/>
      <c r="Q22085" s="11"/>
      <c r="R22085" s="11"/>
      <c r="S22085" s="11"/>
      <c r="T22085" s="11"/>
    </row>
    <row r="22086" spans="8:20" x14ac:dyDescent="0.35">
      <c r="H22086" s="711"/>
      <c r="I22086" s="711"/>
      <c r="J22086" s="711"/>
      <c r="K22086" s="711"/>
      <c r="L22086" s="711"/>
      <c r="Q22086" s="11"/>
      <c r="R22086" s="11"/>
      <c r="S22086" s="11"/>
      <c r="T22086" s="11"/>
    </row>
    <row r="22087" spans="8:20" x14ac:dyDescent="0.35">
      <c r="H22087" s="711"/>
      <c r="I22087" s="711"/>
      <c r="J22087" s="711"/>
      <c r="K22087" s="711"/>
      <c r="L22087" s="711"/>
      <c r="Q22087" s="11"/>
      <c r="R22087" s="11"/>
      <c r="S22087" s="11"/>
      <c r="T22087" s="11"/>
    </row>
    <row r="22088" spans="8:20" x14ac:dyDescent="0.35">
      <c r="H22088" s="711"/>
      <c r="I22088" s="711"/>
      <c r="J22088" s="711"/>
      <c r="K22088" s="711"/>
      <c r="L22088" s="711"/>
      <c r="Q22088" s="11"/>
      <c r="R22088" s="11"/>
      <c r="S22088" s="11"/>
      <c r="T22088" s="11"/>
    </row>
    <row r="22089" spans="8:20" x14ac:dyDescent="0.35">
      <c r="H22089" s="711"/>
      <c r="I22089" s="711"/>
      <c r="J22089" s="711"/>
      <c r="K22089" s="711"/>
      <c r="L22089" s="711"/>
      <c r="Q22089" s="11"/>
      <c r="R22089" s="11"/>
      <c r="S22089" s="11"/>
      <c r="T22089" s="11"/>
    </row>
    <row r="22090" spans="8:20" x14ac:dyDescent="0.35">
      <c r="H22090" s="711"/>
      <c r="I22090" s="711"/>
      <c r="J22090" s="711"/>
      <c r="K22090" s="711"/>
      <c r="L22090" s="711"/>
      <c r="Q22090" s="11"/>
      <c r="R22090" s="11"/>
      <c r="S22090" s="11"/>
      <c r="T22090" s="11"/>
    </row>
    <row r="22091" spans="8:20" x14ac:dyDescent="0.35">
      <c r="H22091" s="711"/>
      <c r="I22091" s="711"/>
      <c r="J22091" s="711"/>
      <c r="K22091" s="711"/>
      <c r="L22091" s="711"/>
      <c r="Q22091" s="11"/>
      <c r="R22091" s="11"/>
      <c r="S22091" s="11"/>
      <c r="T22091" s="11"/>
    </row>
    <row r="22092" spans="8:20" x14ac:dyDescent="0.35">
      <c r="H22092" s="711"/>
      <c r="I22092" s="711"/>
      <c r="J22092" s="711"/>
      <c r="K22092" s="711"/>
      <c r="L22092" s="711"/>
      <c r="Q22092" s="11"/>
      <c r="R22092" s="11"/>
      <c r="S22092" s="11"/>
      <c r="T22092" s="11"/>
    </row>
    <row r="22093" spans="8:20" x14ac:dyDescent="0.35">
      <c r="H22093" s="711"/>
      <c r="I22093" s="711"/>
      <c r="J22093" s="711"/>
      <c r="K22093" s="711"/>
      <c r="L22093" s="711"/>
      <c r="Q22093" s="11"/>
      <c r="R22093" s="11"/>
      <c r="S22093" s="11"/>
      <c r="T22093" s="11"/>
    </row>
    <row r="22094" spans="8:20" x14ac:dyDescent="0.35">
      <c r="H22094" s="711"/>
      <c r="I22094" s="711"/>
      <c r="J22094" s="711"/>
      <c r="K22094" s="711"/>
      <c r="L22094" s="711"/>
      <c r="Q22094" s="11"/>
      <c r="R22094" s="11"/>
      <c r="S22094" s="11"/>
      <c r="T22094" s="11"/>
    </row>
    <row r="22095" spans="8:20" x14ac:dyDescent="0.35">
      <c r="H22095" s="711"/>
      <c r="I22095" s="711"/>
      <c r="J22095" s="711"/>
      <c r="K22095" s="711"/>
      <c r="L22095" s="711"/>
      <c r="Q22095" s="11"/>
      <c r="R22095" s="11"/>
      <c r="S22095" s="11"/>
      <c r="T22095" s="11"/>
    </row>
    <row r="22096" spans="8:20" x14ac:dyDescent="0.35">
      <c r="H22096" s="711"/>
      <c r="I22096" s="711"/>
      <c r="J22096" s="711"/>
      <c r="K22096" s="711"/>
      <c r="L22096" s="711"/>
      <c r="Q22096" s="11"/>
      <c r="R22096" s="11"/>
      <c r="S22096" s="11"/>
      <c r="T22096" s="11"/>
    </row>
    <row r="22097" spans="8:20" x14ac:dyDescent="0.35">
      <c r="H22097" s="711"/>
      <c r="I22097" s="711"/>
      <c r="J22097" s="711"/>
      <c r="K22097" s="711"/>
      <c r="L22097" s="711"/>
      <c r="Q22097" s="11"/>
      <c r="R22097" s="11"/>
      <c r="S22097" s="11"/>
      <c r="T22097" s="11"/>
    </row>
    <row r="22098" spans="8:20" x14ac:dyDescent="0.35">
      <c r="H22098" s="711"/>
      <c r="I22098" s="711"/>
      <c r="J22098" s="711"/>
      <c r="K22098" s="711"/>
      <c r="L22098" s="711"/>
      <c r="Q22098" s="11"/>
      <c r="R22098" s="11"/>
      <c r="S22098" s="11"/>
      <c r="T22098" s="11"/>
    </row>
    <row r="22099" spans="8:20" x14ac:dyDescent="0.35">
      <c r="H22099" s="711"/>
      <c r="I22099" s="711"/>
      <c r="J22099" s="711"/>
      <c r="K22099" s="711"/>
      <c r="L22099" s="711"/>
      <c r="Q22099" s="11"/>
      <c r="R22099" s="11"/>
      <c r="S22099" s="11"/>
      <c r="T22099" s="11"/>
    </row>
    <row r="22100" spans="8:20" x14ac:dyDescent="0.35">
      <c r="H22100" s="711"/>
      <c r="I22100" s="711"/>
      <c r="J22100" s="711"/>
      <c r="K22100" s="711"/>
      <c r="L22100" s="711"/>
      <c r="Q22100" s="11"/>
      <c r="R22100" s="11"/>
      <c r="S22100" s="11"/>
      <c r="T22100" s="11"/>
    </row>
    <row r="22101" spans="8:20" x14ac:dyDescent="0.35">
      <c r="H22101" s="711"/>
      <c r="I22101" s="711"/>
      <c r="J22101" s="711"/>
      <c r="K22101" s="711"/>
      <c r="L22101" s="711"/>
      <c r="Q22101" s="11"/>
      <c r="R22101" s="11"/>
      <c r="S22101" s="11"/>
      <c r="T22101" s="11"/>
    </row>
    <row r="22102" spans="8:20" x14ac:dyDescent="0.35">
      <c r="H22102" s="711"/>
      <c r="I22102" s="711"/>
      <c r="J22102" s="711"/>
      <c r="K22102" s="711"/>
      <c r="L22102" s="711"/>
      <c r="Q22102" s="11"/>
      <c r="R22102" s="11"/>
      <c r="S22102" s="11"/>
      <c r="T22102" s="11"/>
    </row>
    <row r="22103" spans="8:20" x14ac:dyDescent="0.35">
      <c r="H22103" s="711"/>
      <c r="I22103" s="711"/>
      <c r="J22103" s="711"/>
      <c r="K22103" s="711"/>
      <c r="L22103" s="711"/>
      <c r="Q22103" s="11"/>
      <c r="R22103" s="11"/>
      <c r="S22103" s="11"/>
      <c r="T22103" s="11"/>
    </row>
    <row r="22104" spans="8:20" x14ac:dyDescent="0.35">
      <c r="H22104" s="711"/>
      <c r="I22104" s="711"/>
      <c r="J22104" s="711"/>
      <c r="K22104" s="711"/>
      <c r="L22104" s="711"/>
      <c r="Q22104" s="11"/>
      <c r="R22104" s="11"/>
      <c r="S22104" s="11"/>
      <c r="T22104" s="11"/>
    </row>
    <row r="22105" spans="8:20" x14ac:dyDescent="0.35">
      <c r="H22105" s="711"/>
      <c r="I22105" s="711"/>
      <c r="J22105" s="711"/>
      <c r="K22105" s="711"/>
      <c r="L22105" s="711"/>
      <c r="Q22105" s="11"/>
      <c r="R22105" s="11"/>
      <c r="S22105" s="11"/>
      <c r="T22105" s="11"/>
    </row>
    <row r="22106" spans="8:20" x14ac:dyDescent="0.35">
      <c r="H22106" s="711"/>
      <c r="I22106" s="711"/>
      <c r="J22106" s="711"/>
      <c r="K22106" s="711"/>
      <c r="L22106" s="711"/>
      <c r="Q22106" s="11"/>
      <c r="R22106" s="11"/>
      <c r="S22106" s="11"/>
      <c r="T22106" s="11"/>
    </row>
    <row r="22107" spans="8:20" x14ac:dyDescent="0.35">
      <c r="H22107" s="711"/>
      <c r="I22107" s="711"/>
      <c r="J22107" s="711"/>
      <c r="K22107" s="711"/>
      <c r="L22107" s="711"/>
      <c r="Q22107" s="11"/>
      <c r="R22107" s="11"/>
      <c r="S22107" s="11"/>
      <c r="T22107" s="11"/>
    </row>
    <row r="22108" spans="8:20" x14ac:dyDescent="0.35">
      <c r="H22108" s="711"/>
      <c r="I22108" s="711"/>
      <c r="J22108" s="711"/>
      <c r="K22108" s="711"/>
      <c r="L22108" s="711"/>
      <c r="Q22108" s="11"/>
      <c r="R22108" s="11"/>
      <c r="S22108" s="11"/>
      <c r="T22108" s="11"/>
    </row>
    <row r="22109" spans="8:20" x14ac:dyDescent="0.35">
      <c r="H22109" s="711"/>
      <c r="I22109" s="711"/>
      <c r="J22109" s="711"/>
      <c r="K22109" s="711"/>
      <c r="L22109" s="711"/>
      <c r="Q22109" s="11"/>
      <c r="R22109" s="11"/>
      <c r="S22109" s="11"/>
      <c r="T22109" s="11"/>
    </row>
    <row r="22110" spans="8:20" x14ac:dyDescent="0.35">
      <c r="H22110" s="711"/>
      <c r="I22110" s="711"/>
      <c r="J22110" s="711"/>
      <c r="K22110" s="711"/>
      <c r="L22110" s="711"/>
      <c r="Q22110" s="11"/>
      <c r="R22110" s="11"/>
      <c r="S22110" s="11"/>
      <c r="T22110" s="11"/>
    </row>
    <row r="22111" spans="8:20" x14ac:dyDescent="0.35">
      <c r="H22111" s="711"/>
      <c r="I22111" s="711"/>
      <c r="J22111" s="711"/>
      <c r="K22111" s="711"/>
      <c r="L22111" s="711"/>
      <c r="Q22111" s="11"/>
      <c r="R22111" s="11"/>
      <c r="S22111" s="11"/>
      <c r="T22111" s="11"/>
    </row>
    <row r="22112" spans="8:20" x14ac:dyDescent="0.35">
      <c r="H22112" s="711"/>
      <c r="I22112" s="711"/>
      <c r="J22112" s="711"/>
      <c r="K22112" s="711"/>
      <c r="L22112" s="711"/>
      <c r="Q22112" s="11"/>
      <c r="R22112" s="11"/>
      <c r="S22112" s="11"/>
      <c r="T22112" s="11"/>
    </row>
    <row r="22113" spans="8:20" x14ac:dyDescent="0.35">
      <c r="H22113" s="711"/>
      <c r="I22113" s="711"/>
      <c r="J22113" s="711"/>
      <c r="K22113" s="711"/>
      <c r="L22113" s="711"/>
      <c r="Q22113" s="11"/>
      <c r="R22113" s="11"/>
      <c r="S22113" s="11"/>
      <c r="T22113" s="11"/>
    </row>
    <row r="22114" spans="8:20" x14ac:dyDescent="0.35">
      <c r="H22114" s="711"/>
      <c r="I22114" s="711"/>
      <c r="J22114" s="711"/>
      <c r="K22114" s="711"/>
      <c r="L22114" s="711"/>
      <c r="Q22114" s="11"/>
      <c r="R22114" s="11"/>
      <c r="S22114" s="11"/>
      <c r="T22114" s="11"/>
    </row>
    <row r="22115" spans="8:20" x14ac:dyDescent="0.35">
      <c r="H22115" s="711"/>
      <c r="I22115" s="711"/>
      <c r="J22115" s="711"/>
      <c r="K22115" s="711"/>
      <c r="L22115" s="711"/>
      <c r="Q22115" s="11"/>
      <c r="R22115" s="11"/>
      <c r="S22115" s="11"/>
      <c r="T22115" s="11"/>
    </row>
    <row r="22116" spans="8:20" x14ac:dyDescent="0.35">
      <c r="H22116" s="711"/>
      <c r="I22116" s="711"/>
      <c r="J22116" s="711"/>
      <c r="K22116" s="711"/>
      <c r="L22116" s="711"/>
      <c r="Q22116" s="11"/>
      <c r="R22116" s="11"/>
      <c r="S22116" s="11"/>
      <c r="T22116" s="11"/>
    </row>
    <row r="22117" spans="8:20" x14ac:dyDescent="0.35">
      <c r="H22117" s="711"/>
      <c r="I22117" s="711"/>
      <c r="J22117" s="711"/>
      <c r="K22117" s="711"/>
      <c r="L22117" s="711"/>
      <c r="Q22117" s="11"/>
      <c r="R22117" s="11"/>
      <c r="S22117" s="11"/>
      <c r="T22117" s="11"/>
    </row>
    <row r="22118" spans="8:20" x14ac:dyDescent="0.35">
      <c r="H22118" s="711"/>
      <c r="I22118" s="711"/>
      <c r="J22118" s="711"/>
      <c r="K22118" s="711"/>
      <c r="L22118" s="711"/>
      <c r="Q22118" s="11"/>
      <c r="R22118" s="11"/>
      <c r="S22118" s="11"/>
      <c r="T22118" s="11"/>
    </row>
    <row r="22119" spans="8:20" x14ac:dyDescent="0.35">
      <c r="H22119" s="711"/>
      <c r="I22119" s="711"/>
      <c r="J22119" s="711"/>
      <c r="K22119" s="711"/>
      <c r="L22119" s="711"/>
      <c r="Q22119" s="11"/>
      <c r="R22119" s="11"/>
      <c r="S22119" s="11"/>
      <c r="T22119" s="11"/>
    </row>
    <row r="22120" spans="8:20" x14ac:dyDescent="0.35">
      <c r="H22120" s="711"/>
      <c r="I22120" s="711"/>
      <c r="J22120" s="711"/>
      <c r="K22120" s="711"/>
      <c r="L22120" s="711"/>
      <c r="Q22120" s="11"/>
      <c r="R22120" s="11"/>
      <c r="S22120" s="11"/>
      <c r="T22120" s="11"/>
    </row>
    <row r="22121" spans="8:20" x14ac:dyDescent="0.35">
      <c r="H22121" s="711"/>
      <c r="I22121" s="711"/>
      <c r="J22121" s="711"/>
      <c r="K22121" s="711"/>
      <c r="L22121" s="711"/>
      <c r="Q22121" s="11"/>
      <c r="R22121" s="11"/>
      <c r="S22121" s="11"/>
      <c r="T22121" s="11"/>
    </row>
    <row r="22122" spans="8:20" x14ac:dyDescent="0.35">
      <c r="H22122" s="711"/>
      <c r="I22122" s="711"/>
      <c r="J22122" s="711"/>
      <c r="K22122" s="711"/>
      <c r="L22122" s="711"/>
      <c r="Q22122" s="11"/>
      <c r="R22122" s="11"/>
      <c r="S22122" s="11"/>
      <c r="T22122" s="11"/>
    </row>
    <row r="22123" spans="8:20" x14ac:dyDescent="0.35">
      <c r="H22123" s="711"/>
      <c r="I22123" s="711"/>
      <c r="J22123" s="711"/>
      <c r="K22123" s="711"/>
      <c r="L22123" s="711"/>
      <c r="Q22123" s="11"/>
      <c r="R22123" s="11"/>
      <c r="S22123" s="11"/>
      <c r="T22123" s="11"/>
    </row>
    <row r="22124" spans="8:20" x14ac:dyDescent="0.35">
      <c r="H22124" s="711"/>
      <c r="I22124" s="711"/>
      <c r="J22124" s="711"/>
      <c r="K22124" s="711"/>
      <c r="L22124" s="711"/>
      <c r="Q22124" s="11"/>
      <c r="R22124" s="11"/>
      <c r="S22124" s="11"/>
      <c r="T22124" s="11"/>
    </row>
    <row r="22125" spans="8:20" x14ac:dyDescent="0.35">
      <c r="H22125" s="711"/>
      <c r="I22125" s="711"/>
      <c r="J22125" s="711"/>
      <c r="K22125" s="711"/>
      <c r="L22125" s="711"/>
      <c r="Q22125" s="11"/>
      <c r="R22125" s="11"/>
      <c r="S22125" s="11"/>
      <c r="T22125" s="11"/>
    </row>
    <row r="22126" spans="8:20" x14ac:dyDescent="0.35">
      <c r="H22126" s="711"/>
      <c r="I22126" s="711"/>
      <c r="J22126" s="711"/>
      <c r="K22126" s="711"/>
      <c r="L22126" s="711"/>
      <c r="Q22126" s="11"/>
      <c r="R22126" s="11"/>
      <c r="S22126" s="11"/>
      <c r="T22126" s="11"/>
    </row>
    <row r="22127" spans="8:20" x14ac:dyDescent="0.35">
      <c r="H22127" s="711"/>
      <c r="I22127" s="711"/>
      <c r="J22127" s="711"/>
      <c r="K22127" s="711"/>
      <c r="L22127" s="711"/>
      <c r="Q22127" s="11"/>
      <c r="R22127" s="11"/>
      <c r="S22127" s="11"/>
      <c r="T22127" s="11"/>
    </row>
    <row r="22128" spans="8:20" x14ac:dyDescent="0.35">
      <c r="H22128" s="711"/>
      <c r="I22128" s="711"/>
      <c r="J22128" s="711"/>
      <c r="K22128" s="711"/>
      <c r="L22128" s="711"/>
      <c r="Q22128" s="11"/>
      <c r="R22128" s="11"/>
      <c r="S22128" s="11"/>
      <c r="T22128" s="11"/>
    </row>
    <row r="22129" spans="8:20" x14ac:dyDescent="0.35">
      <c r="H22129" s="711"/>
      <c r="I22129" s="711"/>
      <c r="J22129" s="711"/>
      <c r="K22129" s="711"/>
      <c r="L22129" s="711"/>
      <c r="Q22129" s="11"/>
      <c r="R22129" s="11"/>
      <c r="S22129" s="11"/>
      <c r="T22129" s="11"/>
    </row>
    <row r="22130" spans="8:20" x14ac:dyDescent="0.35">
      <c r="H22130" s="711"/>
      <c r="I22130" s="711"/>
      <c r="J22130" s="711"/>
      <c r="K22130" s="711"/>
      <c r="L22130" s="711"/>
      <c r="Q22130" s="11"/>
      <c r="R22130" s="11"/>
      <c r="S22130" s="11"/>
      <c r="T22130" s="11"/>
    </row>
    <row r="22131" spans="8:20" x14ac:dyDescent="0.35">
      <c r="H22131" s="711"/>
      <c r="I22131" s="711"/>
      <c r="J22131" s="711"/>
      <c r="K22131" s="711"/>
      <c r="L22131" s="711"/>
      <c r="Q22131" s="11"/>
      <c r="R22131" s="11"/>
      <c r="S22131" s="11"/>
      <c r="T22131" s="11"/>
    </row>
    <row r="22132" spans="8:20" x14ac:dyDescent="0.35">
      <c r="H22132" s="711"/>
      <c r="I22132" s="711"/>
      <c r="J22132" s="711"/>
      <c r="K22132" s="711"/>
      <c r="L22132" s="711"/>
      <c r="Q22132" s="11"/>
      <c r="R22132" s="11"/>
      <c r="S22132" s="11"/>
      <c r="T22132" s="11"/>
    </row>
    <row r="22133" spans="8:20" x14ac:dyDescent="0.35">
      <c r="H22133" s="711"/>
      <c r="I22133" s="711"/>
      <c r="J22133" s="711"/>
      <c r="K22133" s="711"/>
      <c r="L22133" s="711"/>
      <c r="Q22133" s="11"/>
      <c r="R22133" s="11"/>
      <c r="S22133" s="11"/>
      <c r="T22133" s="11"/>
    </row>
    <row r="22134" spans="8:20" x14ac:dyDescent="0.35">
      <c r="H22134" s="711"/>
      <c r="I22134" s="711"/>
      <c r="J22134" s="711"/>
      <c r="K22134" s="711"/>
      <c r="L22134" s="711"/>
      <c r="Q22134" s="11"/>
      <c r="R22134" s="11"/>
      <c r="S22134" s="11"/>
      <c r="T22134" s="11"/>
    </row>
    <row r="22135" spans="8:20" x14ac:dyDescent="0.35">
      <c r="H22135" s="711"/>
      <c r="I22135" s="711"/>
      <c r="J22135" s="711"/>
      <c r="K22135" s="711"/>
      <c r="L22135" s="711"/>
      <c r="Q22135" s="11"/>
      <c r="R22135" s="11"/>
      <c r="S22135" s="11"/>
      <c r="T22135" s="11"/>
    </row>
    <row r="22136" spans="8:20" x14ac:dyDescent="0.35">
      <c r="H22136" s="711"/>
      <c r="I22136" s="711"/>
      <c r="J22136" s="711"/>
      <c r="K22136" s="711"/>
      <c r="L22136" s="711"/>
      <c r="Q22136" s="11"/>
      <c r="R22136" s="11"/>
      <c r="S22136" s="11"/>
      <c r="T22136" s="11"/>
    </row>
    <row r="22137" spans="8:20" x14ac:dyDescent="0.35">
      <c r="H22137" s="711"/>
      <c r="I22137" s="711"/>
      <c r="J22137" s="711"/>
      <c r="K22137" s="711"/>
      <c r="L22137" s="711"/>
      <c r="Q22137" s="11"/>
      <c r="R22137" s="11"/>
      <c r="S22137" s="11"/>
      <c r="T22137" s="11"/>
    </row>
    <row r="22138" spans="8:20" x14ac:dyDescent="0.35">
      <c r="H22138" s="711"/>
      <c r="I22138" s="711"/>
      <c r="J22138" s="711"/>
      <c r="K22138" s="711"/>
      <c r="L22138" s="711"/>
      <c r="Q22138" s="11"/>
      <c r="R22138" s="11"/>
      <c r="S22138" s="11"/>
      <c r="T22138" s="11"/>
    </row>
    <row r="22139" spans="8:20" x14ac:dyDescent="0.35">
      <c r="H22139" s="711"/>
      <c r="I22139" s="711"/>
      <c r="J22139" s="711"/>
      <c r="K22139" s="711"/>
      <c r="L22139" s="711"/>
      <c r="Q22139" s="11"/>
      <c r="R22139" s="11"/>
      <c r="S22139" s="11"/>
      <c r="T22139" s="11"/>
    </row>
    <row r="22140" spans="8:20" x14ac:dyDescent="0.35">
      <c r="H22140" s="711"/>
      <c r="I22140" s="711"/>
      <c r="J22140" s="711"/>
      <c r="K22140" s="711"/>
      <c r="L22140" s="711"/>
      <c r="Q22140" s="11"/>
      <c r="R22140" s="11"/>
      <c r="S22140" s="11"/>
      <c r="T22140" s="11"/>
    </row>
    <row r="22141" spans="8:20" x14ac:dyDescent="0.35">
      <c r="H22141" s="711"/>
      <c r="I22141" s="711"/>
      <c r="J22141" s="711"/>
      <c r="K22141" s="711"/>
      <c r="L22141" s="711"/>
      <c r="Q22141" s="11"/>
      <c r="R22141" s="11"/>
      <c r="S22141" s="11"/>
      <c r="T22141" s="11"/>
    </row>
    <row r="22142" spans="8:20" x14ac:dyDescent="0.35">
      <c r="H22142" s="711"/>
      <c r="I22142" s="711"/>
      <c r="J22142" s="711"/>
      <c r="K22142" s="711"/>
      <c r="L22142" s="711"/>
      <c r="Q22142" s="11"/>
      <c r="R22142" s="11"/>
      <c r="S22142" s="11"/>
      <c r="T22142" s="11"/>
    </row>
    <row r="22143" spans="8:20" x14ac:dyDescent="0.35">
      <c r="H22143" s="711"/>
      <c r="I22143" s="711"/>
      <c r="J22143" s="711"/>
      <c r="K22143" s="711"/>
      <c r="L22143" s="711"/>
      <c r="Q22143" s="11"/>
      <c r="R22143" s="11"/>
      <c r="S22143" s="11"/>
      <c r="T22143" s="11"/>
    </row>
    <row r="22144" spans="8:20" x14ac:dyDescent="0.35">
      <c r="H22144" s="711"/>
      <c r="I22144" s="711"/>
      <c r="J22144" s="711"/>
      <c r="K22144" s="711"/>
      <c r="L22144" s="711"/>
      <c r="Q22144" s="11"/>
      <c r="R22144" s="11"/>
      <c r="S22144" s="11"/>
      <c r="T22144" s="11"/>
    </row>
    <row r="22145" spans="8:20" x14ac:dyDescent="0.35">
      <c r="H22145" s="711"/>
      <c r="I22145" s="711"/>
      <c r="J22145" s="711"/>
      <c r="K22145" s="711"/>
      <c r="L22145" s="711"/>
      <c r="Q22145" s="11"/>
      <c r="R22145" s="11"/>
      <c r="S22145" s="11"/>
      <c r="T22145" s="11"/>
    </row>
    <row r="22146" spans="8:20" x14ac:dyDescent="0.35">
      <c r="H22146" s="711"/>
      <c r="I22146" s="711"/>
      <c r="J22146" s="711"/>
      <c r="K22146" s="711"/>
      <c r="L22146" s="711"/>
      <c r="Q22146" s="11"/>
      <c r="R22146" s="11"/>
      <c r="S22146" s="11"/>
      <c r="T22146" s="11"/>
    </row>
    <row r="22147" spans="8:20" x14ac:dyDescent="0.35">
      <c r="H22147" s="711"/>
      <c r="I22147" s="711"/>
      <c r="J22147" s="711"/>
      <c r="K22147" s="711"/>
      <c r="L22147" s="711"/>
      <c r="Q22147" s="11"/>
      <c r="R22147" s="11"/>
      <c r="S22147" s="11"/>
      <c r="T22147" s="11"/>
    </row>
    <row r="22148" spans="8:20" x14ac:dyDescent="0.35">
      <c r="H22148" s="711"/>
      <c r="I22148" s="711"/>
      <c r="J22148" s="711"/>
      <c r="K22148" s="711"/>
      <c r="L22148" s="711"/>
      <c r="Q22148" s="11"/>
      <c r="R22148" s="11"/>
      <c r="S22148" s="11"/>
      <c r="T22148" s="11"/>
    </row>
    <row r="22149" spans="8:20" x14ac:dyDescent="0.35">
      <c r="H22149" s="711"/>
      <c r="I22149" s="711"/>
      <c r="J22149" s="711"/>
      <c r="K22149" s="711"/>
      <c r="L22149" s="711"/>
      <c r="Q22149" s="11"/>
      <c r="R22149" s="11"/>
      <c r="S22149" s="11"/>
      <c r="T22149" s="11"/>
    </row>
    <row r="22150" spans="8:20" x14ac:dyDescent="0.35">
      <c r="H22150" s="711"/>
      <c r="I22150" s="711"/>
      <c r="J22150" s="711"/>
      <c r="K22150" s="711"/>
      <c r="L22150" s="711"/>
      <c r="Q22150" s="11"/>
      <c r="R22150" s="11"/>
      <c r="S22150" s="11"/>
      <c r="T22150" s="11"/>
    </row>
    <row r="22151" spans="8:20" x14ac:dyDescent="0.35">
      <c r="H22151" s="711"/>
      <c r="I22151" s="711"/>
      <c r="J22151" s="711"/>
      <c r="K22151" s="711"/>
      <c r="L22151" s="711"/>
      <c r="Q22151" s="11"/>
      <c r="R22151" s="11"/>
      <c r="S22151" s="11"/>
      <c r="T22151" s="11"/>
    </row>
    <row r="22152" spans="8:20" x14ac:dyDescent="0.35">
      <c r="H22152" s="711"/>
      <c r="I22152" s="711"/>
      <c r="J22152" s="711"/>
      <c r="K22152" s="711"/>
      <c r="L22152" s="711"/>
      <c r="Q22152" s="11"/>
      <c r="R22152" s="11"/>
      <c r="S22152" s="11"/>
      <c r="T22152" s="11"/>
    </row>
    <row r="22153" spans="8:20" x14ac:dyDescent="0.35">
      <c r="H22153" s="711"/>
      <c r="I22153" s="711"/>
      <c r="J22153" s="711"/>
      <c r="K22153" s="711"/>
      <c r="L22153" s="711"/>
      <c r="Q22153" s="11"/>
      <c r="R22153" s="11"/>
      <c r="S22153" s="11"/>
      <c r="T22153" s="11"/>
    </row>
    <row r="22154" spans="8:20" x14ac:dyDescent="0.35">
      <c r="H22154" s="711"/>
      <c r="I22154" s="711"/>
      <c r="J22154" s="711"/>
      <c r="K22154" s="711"/>
      <c r="L22154" s="711"/>
      <c r="Q22154" s="11"/>
      <c r="R22154" s="11"/>
      <c r="S22154" s="11"/>
      <c r="T22154" s="11"/>
    </row>
    <row r="22155" spans="8:20" x14ac:dyDescent="0.35">
      <c r="H22155" s="711"/>
      <c r="I22155" s="711"/>
      <c r="J22155" s="711"/>
      <c r="K22155" s="711"/>
      <c r="L22155" s="711"/>
      <c r="Q22155" s="11"/>
      <c r="R22155" s="11"/>
      <c r="S22155" s="11"/>
      <c r="T22155" s="11"/>
    </row>
    <row r="22156" spans="8:20" x14ac:dyDescent="0.35">
      <c r="H22156" s="711"/>
      <c r="I22156" s="711"/>
      <c r="J22156" s="711"/>
      <c r="K22156" s="711"/>
      <c r="L22156" s="711"/>
      <c r="Q22156" s="11"/>
      <c r="R22156" s="11"/>
      <c r="S22156" s="11"/>
      <c r="T22156" s="11"/>
    </row>
    <row r="22157" spans="8:20" x14ac:dyDescent="0.35">
      <c r="H22157" s="711"/>
      <c r="I22157" s="711"/>
      <c r="J22157" s="711"/>
      <c r="K22157" s="711"/>
      <c r="L22157" s="711"/>
      <c r="Q22157" s="11"/>
      <c r="R22157" s="11"/>
      <c r="S22157" s="11"/>
      <c r="T22157" s="11"/>
    </row>
    <row r="22158" spans="8:20" x14ac:dyDescent="0.35">
      <c r="H22158" s="711"/>
      <c r="I22158" s="711"/>
      <c r="J22158" s="711"/>
      <c r="K22158" s="711"/>
      <c r="L22158" s="711"/>
      <c r="Q22158" s="11"/>
      <c r="R22158" s="11"/>
      <c r="S22158" s="11"/>
      <c r="T22158" s="11"/>
    </row>
    <row r="22159" spans="8:20" x14ac:dyDescent="0.35">
      <c r="H22159" s="711"/>
      <c r="I22159" s="711"/>
      <c r="J22159" s="711"/>
      <c r="K22159" s="711"/>
      <c r="L22159" s="711"/>
      <c r="Q22159" s="11"/>
      <c r="R22159" s="11"/>
      <c r="S22159" s="11"/>
      <c r="T22159" s="11"/>
    </row>
    <row r="22160" spans="8:20" x14ac:dyDescent="0.35">
      <c r="H22160" s="711"/>
      <c r="I22160" s="711"/>
      <c r="J22160" s="711"/>
      <c r="K22160" s="711"/>
      <c r="L22160" s="711"/>
      <c r="Q22160" s="11"/>
      <c r="R22160" s="11"/>
      <c r="S22160" s="11"/>
      <c r="T22160" s="11"/>
    </row>
    <row r="22161" spans="8:20" x14ac:dyDescent="0.35">
      <c r="H22161" s="711"/>
      <c r="I22161" s="711"/>
      <c r="J22161" s="711"/>
      <c r="K22161" s="711"/>
      <c r="L22161" s="711"/>
      <c r="Q22161" s="11"/>
      <c r="R22161" s="11"/>
      <c r="S22161" s="11"/>
      <c r="T22161" s="11"/>
    </row>
    <row r="22162" spans="8:20" x14ac:dyDescent="0.35">
      <c r="H22162" s="711"/>
      <c r="I22162" s="711"/>
      <c r="J22162" s="711"/>
      <c r="K22162" s="711"/>
      <c r="L22162" s="711"/>
      <c r="Q22162" s="11"/>
      <c r="R22162" s="11"/>
      <c r="S22162" s="11"/>
      <c r="T22162" s="11"/>
    </row>
    <row r="22163" spans="8:20" x14ac:dyDescent="0.35">
      <c r="H22163" s="711"/>
      <c r="I22163" s="711"/>
      <c r="J22163" s="711"/>
      <c r="K22163" s="711"/>
      <c r="L22163" s="711"/>
      <c r="Q22163" s="11"/>
      <c r="R22163" s="11"/>
      <c r="S22163" s="11"/>
      <c r="T22163" s="11"/>
    </row>
    <row r="22164" spans="8:20" x14ac:dyDescent="0.35">
      <c r="H22164" s="711"/>
      <c r="I22164" s="711"/>
      <c r="J22164" s="711"/>
      <c r="K22164" s="711"/>
      <c r="L22164" s="711"/>
      <c r="Q22164" s="11"/>
      <c r="R22164" s="11"/>
      <c r="S22164" s="11"/>
      <c r="T22164" s="11"/>
    </row>
    <row r="22165" spans="8:20" x14ac:dyDescent="0.35">
      <c r="H22165" s="711"/>
      <c r="I22165" s="711"/>
      <c r="J22165" s="711"/>
      <c r="K22165" s="711"/>
      <c r="L22165" s="711"/>
      <c r="Q22165" s="11"/>
      <c r="R22165" s="11"/>
      <c r="S22165" s="11"/>
      <c r="T22165" s="11"/>
    </row>
    <row r="22166" spans="8:20" x14ac:dyDescent="0.35">
      <c r="H22166" s="711"/>
      <c r="I22166" s="711"/>
      <c r="J22166" s="711"/>
      <c r="K22166" s="711"/>
      <c r="L22166" s="711"/>
      <c r="Q22166" s="11"/>
      <c r="R22166" s="11"/>
      <c r="S22166" s="11"/>
      <c r="T22166" s="11"/>
    </row>
    <row r="22167" spans="8:20" x14ac:dyDescent="0.35">
      <c r="H22167" s="711"/>
      <c r="I22167" s="711"/>
      <c r="J22167" s="711"/>
      <c r="K22167" s="711"/>
      <c r="L22167" s="711"/>
      <c r="Q22167" s="11"/>
      <c r="R22167" s="11"/>
      <c r="S22167" s="11"/>
      <c r="T22167" s="11"/>
    </row>
    <row r="22168" spans="8:20" x14ac:dyDescent="0.35">
      <c r="H22168" s="711"/>
      <c r="I22168" s="711"/>
      <c r="J22168" s="711"/>
      <c r="K22168" s="711"/>
      <c r="L22168" s="711"/>
      <c r="Q22168" s="11"/>
      <c r="R22168" s="11"/>
      <c r="S22168" s="11"/>
      <c r="T22168" s="11"/>
    </row>
    <row r="22169" spans="8:20" x14ac:dyDescent="0.35">
      <c r="H22169" s="711"/>
      <c r="I22169" s="711"/>
      <c r="J22169" s="711"/>
      <c r="K22169" s="711"/>
      <c r="L22169" s="711"/>
      <c r="Q22169" s="11"/>
      <c r="R22169" s="11"/>
      <c r="S22169" s="11"/>
      <c r="T22169" s="11"/>
    </row>
    <row r="22170" spans="8:20" x14ac:dyDescent="0.35">
      <c r="H22170" s="711"/>
      <c r="I22170" s="711"/>
      <c r="J22170" s="711"/>
      <c r="K22170" s="711"/>
      <c r="L22170" s="711"/>
      <c r="Q22170" s="11"/>
      <c r="R22170" s="11"/>
      <c r="S22170" s="11"/>
      <c r="T22170" s="11"/>
    </row>
    <row r="22171" spans="8:20" x14ac:dyDescent="0.35">
      <c r="H22171" s="711"/>
      <c r="I22171" s="711"/>
      <c r="J22171" s="711"/>
      <c r="K22171" s="711"/>
      <c r="L22171" s="711"/>
      <c r="Q22171" s="11"/>
      <c r="R22171" s="11"/>
      <c r="S22171" s="11"/>
      <c r="T22171" s="11"/>
    </row>
    <row r="22172" spans="8:20" x14ac:dyDescent="0.35">
      <c r="H22172" s="711"/>
      <c r="I22172" s="711"/>
      <c r="J22172" s="711"/>
      <c r="K22172" s="711"/>
      <c r="L22172" s="711"/>
      <c r="Q22172" s="11"/>
      <c r="R22172" s="11"/>
      <c r="S22172" s="11"/>
      <c r="T22172" s="11"/>
    </row>
    <row r="22173" spans="8:20" x14ac:dyDescent="0.35">
      <c r="H22173" s="711"/>
      <c r="I22173" s="711"/>
      <c r="J22173" s="711"/>
      <c r="K22173" s="711"/>
      <c r="L22173" s="711"/>
      <c r="Q22173" s="11"/>
      <c r="R22173" s="11"/>
      <c r="S22173" s="11"/>
      <c r="T22173" s="11"/>
    </row>
    <row r="22174" spans="8:20" x14ac:dyDescent="0.35">
      <c r="H22174" s="711"/>
      <c r="I22174" s="711"/>
      <c r="J22174" s="711"/>
      <c r="K22174" s="711"/>
      <c r="L22174" s="711"/>
      <c r="Q22174" s="11"/>
      <c r="R22174" s="11"/>
      <c r="S22174" s="11"/>
      <c r="T22174" s="11"/>
    </row>
    <row r="22175" spans="8:20" x14ac:dyDescent="0.35">
      <c r="H22175" s="711"/>
      <c r="I22175" s="711"/>
      <c r="J22175" s="711"/>
      <c r="K22175" s="711"/>
      <c r="L22175" s="711"/>
      <c r="Q22175" s="11"/>
      <c r="R22175" s="11"/>
      <c r="S22175" s="11"/>
      <c r="T22175" s="11"/>
    </row>
    <row r="22176" spans="8:20" x14ac:dyDescent="0.35">
      <c r="H22176" s="711"/>
      <c r="I22176" s="711"/>
      <c r="J22176" s="711"/>
      <c r="K22176" s="711"/>
      <c r="L22176" s="711"/>
      <c r="Q22176" s="11"/>
      <c r="R22176" s="11"/>
      <c r="S22176" s="11"/>
      <c r="T22176" s="11"/>
    </row>
    <row r="22177" spans="8:20" x14ac:dyDescent="0.35">
      <c r="H22177" s="711"/>
      <c r="I22177" s="711"/>
      <c r="J22177" s="711"/>
      <c r="K22177" s="711"/>
      <c r="L22177" s="711"/>
      <c r="Q22177" s="11"/>
      <c r="R22177" s="11"/>
      <c r="S22177" s="11"/>
      <c r="T22177" s="11"/>
    </row>
    <row r="22178" spans="8:20" x14ac:dyDescent="0.35">
      <c r="H22178" s="711"/>
      <c r="I22178" s="711"/>
      <c r="J22178" s="711"/>
      <c r="K22178" s="711"/>
      <c r="L22178" s="711"/>
      <c r="Q22178" s="11"/>
      <c r="R22178" s="11"/>
      <c r="S22178" s="11"/>
      <c r="T22178" s="11"/>
    </row>
    <row r="22179" spans="8:20" x14ac:dyDescent="0.35">
      <c r="H22179" s="711"/>
      <c r="I22179" s="711"/>
      <c r="J22179" s="711"/>
      <c r="K22179" s="711"/>
      <c r="L22179" s="711"/>
      <c r="Q22179" s="11"/>
      <c r="R22179" s="11"/>
      <c r="S22179" s="11"/>
      <c r="T22179" s="11"/>
    </row>
    <row r="22180" spans="8:20" x14ac:dyDescent="0.35">
      <c r="H22180" s="711"/>
      <c r="I22180" s="711"/>
      <c r="J22180" s="711"/>
      <c r="K22180" s="711"/>
      <c r="L22180" s="711"/>
      <c r="Q22180" s="11"/>
      <c r="R22180" s="11"/>
      <c r="S22180" s="11"/>
      <c r="T22180" s="11"/>
    </row>
    <row r="22181" spans="8:20" x14ac:dyDescent="0.35">
      <c r="H22181" s="711"/>
      <c r="I22181" s="711"/>
      <c r="J22181" s="711"/>
      <c r="K22181" s="711"/>
      <c r="L22181" s="711"/>
      <c r="Q22181" s="11"/>
      <c r="R22181" s="11"/>
      <c r="S22181" s="11"/>
      <c r="T22181" s="11"/>
    </row>
    <row r="22182" spans="8:20" x14ac:dyDescent="0.35">
      <c r="H22182" s="711"/>
      <c r="I22182" s="711"/>
      <c r="J22182" s="711"/>
      <c r="K22182" s="711"/>
      <c r="L22182" s="711"/>
      <c r="Q22182" s="11"/>
      <c r="R22182" s="11"/>
      <c r="S22182" s="11"/>
      <c r="T22182" s="11"/>
    </row>
    <row r="22183" spans="8:20" x14ac:dyDescent="0.35">
      <c r="H22183" s="711"/>
      <c r="I22183" s="711"/>
      <c r="J22183" s="711"/>
      <c r="K22183" s="711"/>
      <c r="L22183" s="711"/>
      <c r="Q22183" s="11"/>
      <c r="R22183" s="11"/>
      <c r="S22183" s="11"/>
      <c r="T22183" s="11"/>
    </row>
    <row r="22184" spans="8:20" x14ac:dyDescent="0.35">
      <c r="H22184" s="711"/>
      <c r="I22184" s="711"/>
      <c r="J22184" s="711"/>
      <c r="K22184" s="711"/>
      <c r="L22184" s="711"/>
      <c r="Q22184" s="11"/>
      <c r="R22184" s="11"/>
      <c r="S22184" s="11"/>
      <c r="T22184" s="11"/>
    </row>
    <row r="22185" spans="8:20" x14ac:dyDescent="0.35">
      <c r="H22185" s="711"/>
      <c r="I22185" s="711"/>
      <c r="J22185" s="711"/>
      <c r="K22185" s="711"/>
      <c r="L22185" s="711"/>
      <c r="Q22185" s="11"/>
      <c r="R22185" s="11"/>
      <c r="S22185" s="11"/>
      <c r="T22185" s="11"/>
    </row>
    <row r="22186" spans="8:20" x14ac:dyDescent="0.35">
      <c r="H22186" s="711"/>
      <c r="I22186" s="711"/>
      <c r="J22186" s="711"/>
      <c r="K22186" s="711"/>
      <c r="L22186" s="711"/>
      <c r="Q22186" s="11"/>
      <c r="R22186" s="11"/>
      <c r="S22186" s="11"/>
      <c r="T22186" s="11"/>
    </row>
    <row r="22187" spans="8:20" x14ac:dyDescent="0.35">
      <c r="H22187" s="711"/>
      <c r="I22187" s="711"/>
      <c r="J22187" s="711"/>
      <c r="K22187" s="711"/>
      <c r="L22187" s="711"/>
      <c r="Q22187" s="11"/>
      <c r="R22187" s="11"/>
      <c r="S22187" s="11"/>
      <c r="T22187" s="11"/>
    </row>
    <row r="22188" spans="8:20" x14ac:dyDescent="0.35">
      <c r="H22188" s="711"/>
      <c r="I22188" s="711"/>
      <c r="J22188" s="711"/>
      <c r="K22188" s="711"/>
      <c r="L22188" s="711"/>
      <c r="Q22188" s="11"/>
      <c r="R22188" s="11"/>
      <c r="S22188" s="11"/>
      <c r="T22188" s="11"/>
    </row>
    <row r="22189" spans="8:20" x14ac:dyDescent="0.35">
      <c r="H22189" s="711"/>
      <c r="I22189" s="711"/>
      <c r="J22189" s="711"/>
      <c r="K22189" s="711"/>
      <c r="L22189" s="711"/>
      <c r="Q22189" s="11"/>
      <c r="R22189" s="11"/>
      <c r="S22189" s="11"/>
      <c r="T22189" s="11"/>
    </row>
    <row r="22190" spans="8:20" x14ac:dyDescent="0.35">
      <c r="H22190" s="711"/>
      <c r="I22190" s="711"/>
      <c r="J22190" s="711"/>
      <c r="K22190" s="711"/>
      <c r="L22190" s="711"/>
      <c r="Q22190" s="11"/>
      <c r="R22190" s="11"/>
      <c r="S22190" s="11"/>
      <c r="T22190" s="11"/>
    </row>
    <row r="22191" spans="8:20" x14ac:dyDescent="0.35">
      <c r="H22191" s="711"/>
      <c r="I22191" s="711"/>
      <c r="J22191" s="711"/>
      <c r="K22191" s="711"/>
      <c r="L22191" s="711"/>
      <c r="Q22191" s="11"/>
      <c r="R22191" s="11"/>
      <c r="S22191" s="11"/>
      <c r="T22191" s="11"/>
    </row>
    <row r="22192" spans="8:20" x14ac:dyDescent="0.35">
      <c r="H22192" s="711"/>
      <c r="I22192" s="711"/>
      <c r="J22192" s="711"/>
      <c r="K22192" s="711"/>
      <c r="L22192" s="711"/>
      <c r="Q22192" s="11"/>
      <c r="R22192" s="11"/>
      <c r="S22192" s="11"/>
      <c r="T22192" s="11"/>
    </row>
    <row r="22193" spans="8:20" x14ac:dyDescent="0.35">
      <c r="H22193" s="711"/>
      <c r="I22193" s="711"/>
      <c r="J22193" s="711"/>
      <c r="K22193" s="711"/>
      <c r="L22193" s="711"/>
      <c r="Q22193" s="11"/>
      <c r="R22193" s="11"/>
      <c r="S22193" s="11"/>
      <c r="T22193" s="11"/>
    </row>
    <row r="22194" spans="8:20" x14ac:dyDescent="0.35">
      <c r="H22194" s="711"/>
      <c r="I22194" s="711"/>
      <c r="J22194" s="711"/>
      <c r="K22194" s="711"/>
      <c r="L22194" s="711"/>
      <c r="Q22194" s="11"/>
      <c r="R22194" s="11"/>
      <c r="S22194" s="11"/>
      <c r="T22194" s="11"/>
    </row>
    <row r="22195" spans="8:20" x14ac:dyDescent="0.35">
      <c r="H22195" s="711"/>
      <c r="I22195" s="711"/>
      <c r="J22195" s="711"/>
      <c r="K22195" s="711"/>
      <c r="L22195" s="711"/>
      <c r="Q22195" s="11"/>
      <c r="R22195" s="11"/>
      <c r="S22195" s="11"/>
      <c r="T22195" s="11"/>
    </row>
    <row r="22196" spans="8:20" x14ac:dyDescent="0.35">
      <c r="H22196" s="711"/>
      <c r="I22196" s="711"/>
      <c r="J22196" s="711"/>
      <c r="K22196" s="711"/>
      <c r="L22196" s="711"/>
      <c r="Q22196" s="11"/>
      <c r="R22196" s="11"/>
      <c r="S22196" s="11"/>
      <c r="T22196" s="11"/>
    </row>
    <row r="22197" spans="8:20" x14ac:dyDescent="0.35">
      <c r="H22197" s="711"/>
      <c r="I22197" s="711"/>
      <c r="J22197" s="711"/>
      <c r="K22197" s="711"/>
      <c r="L22197" s="711"/>
      <c r="Q22197" s="11"/>
      <c r="R22197" s="11"/>
      <c r="S22197" s="11"/>
      <c r="T22197" s="11"/>
    </row>
    <row r="22198" spans="8:20" x14ac:dyDescent="0.35">
      <c r="H22198" s="711"/>
      <c r="I22198" s="711"/>
      <c r="J22198" s="711"/>
      <c r="K22198" s="711"/>
      <c r="L22198" s="711"/>
      <c r="Q22198" s="11"/>
      <c r="R22198" s="11"/>
      <c r="S22198" s="11"/>
      <c r="T22198" s="11"/>
    </row>
    <row r="22199" spans="8:20" x14ac:dyDescent="0.35">
      <c r="H22199" s="711"/>
      <c r="I22199" s="711"/>
      <c r="J22199" s="711"/>
      <c r="K22199" s="711"/>
      <c r="L22199" s="711"/>
      <c r="Q22199" s="11"/>
      <c r="R22199" s="11"/>
      <c r="S22199" s="11"/>
      <c r="T22199" s="11"/>
    </row>
    <row r="22200" spans="8:20" x14ac:dyDescent="0.35">
      <c r="H22200" s="711"/>
      <c r="I22200" s="711"/>
      <c r="J22200" s="711"/>
      <c r="K22200" s="711"/>
      <c r="L22200" s="711"/>
      <c r="Q22200" s="11"/>
      <c r="R22200" s="11"/>
      <c r="S22200" s="11"/>
      <c r="T22200" s="11"/>
    </row>
    <row r="22201" spans="8:20" x14ac:dyDescent="0.35">
      <c r="H22201" s="711"/>
      <c r="I22201" s="711"/>
      <c r="J22201" s="711"/>
      <c r="K22201" s="711"/>
      <c r="L22201" s="711"/>
      <c r="Q22201" s="11"/>
      <c r="R22201" s="11"/>
      <c r="S22201" s="11"/>
      <c r="T22201" s="11"/>
    </row>
    <row r="22202" spans="8:20" x14ac:dyDescent="0.35">
      <c r="H22202" s="711"/>
      <c r="I22202" s="711"/>
      <c r="J22202" s="711"/>
      <c r="K22202" s="711"/>
      <c r="L22202" s="711"/>
      <c r="Q22202" s="11"/>
      <c r="R22202" s="11"/>
      <c r="S22202" s="11"/>
      <c r="T22202" s="11"/>
    </row>
    <row r="22203" spans="8:20" x14ac:dyDescent="0.35">
      <c r="H22203" s="711"/>
      <c r="I22203" s="711"/>
      <c r="J22203" s="711"/>
      <c r="K22203" s="711"/>
      <c r="L22203" s="711"/>
      <c r="Q22203" s="11"/>
      <c r="R22203" s="11"/>
      <c r="S22203" s="11"/>
      <c r="T22203" s="11"/>
    </row>
    <row r="22204" spans="8:20" x14ac:dyDescent="0.35">
      <c r="H22204" s="711"/>
      <c r="I22204" s="711"/>
      <c r="J22204" s="711"/>
      <c r="K22204" s="711"/>
      <c r="L22204" s="711"/>
      <c r="Q22204" s="11"/>
      <c r="R22204" s="11"/>
      <c r="S22204" s="11"/>
      <c r="T22204" s="11"/>
    </row>
    <row r="22205" spans="8:20" x14ac:dyDescent="0.35">
      <c r="H22205" s="711"/>
      <c r="I22205" s="711"/>
      <c r="J22205" s="711"/>
      <c r="K22205" s="711"/>
      <c r="L22205" s="711"/>
      <c r="Q22205" s="11"/>
      <c r="R22205" s="11"/>
      <c r="S22205" s="11"/>
      <c r="T22205" s="11"/>
    </row>
    <row r="22206" spans="8:20" x14ac:dyDescent="0.35">
      <c r="H22206" s="711"/>
      <c r="I22206" s="711"/>
      <c r="J22206" s="711"/>
      <c r="K22206" s="711"/>
      <c r="L22206" s="711"/>
      <c r="Q22206" s="11"/>
      <c r="R22206" s="11"/>
      <c r="S22206" s="11"/>
      <c r="T22206" s="11"/>
    </row>
    <row r="22207" spans="8:20" x14ac:dyDescent="0.35">
      <c r="H22207" s="711"/>
      <c r="I22207" s="711"/>
      <c r="J22207" s="711"/>
      <c r="K22207" s="711"/>
      <c r="L22207" s="711"/>
      <c r="Q22207" s="11"/>
      <c r="R22207" s="11"/>
      <c r="S22207" s="11"/>
      <c r="T22207" s="11"/>
    </row>
    <row r="22208" spans="8:20" x14ac:dyDescent="0.35">
      <c r="H22208" s="711"/>
      <c r="I22208" s="711"/>
      <c r="J22208" s="711"/>
      <c r="K22208" s="711"/>
      <c r="L22208" s="711"/>
      <c r="Q22208" s="11"/>
      <c r="R22208" s="11"/>
      <c r="S22208" s="11"/>
      <c r="T22208" s="11"/>
    </row>
    <row r="22209" spans="8:20" x14ac:dyDescent="0.35">
      <c r="H22209" s="711"/>
      <c r="I22209" s="711"/>
      <c r="J22209" s="711"/>
      <c r="K22209" s="711"/>
      <c r="L22209" s="711"/>
      <c r="Q22209" s="11"/>
      <c r="R22209" s="11"/>
      <c r="S22209" s="11"/>
      <c r="T22209" s="11"/>
    </row>
    <row r="22210" spans="8:20" x14ac:dyDescent="0.35">
      <c r="H22210" s="711"/>
      <c r="I22210" s="711"/>
      <c r="J22210" s="711"/>
      <c r="K22210" s="711"/>
      <c r="L22210" s="711"/>
      <c r="Q22210" s="11"/>
      <c r="R22210" s="11"/>
      <c r="S22210" s="11"/>
      <c r="T22210" s="11"/>
    </row>
    <row r="22211" spans="8:20" x14ac:dyDescent="0.35">
      <c r="H22211" s="711"/>
      <c r="I22211" s="711"/>
      <c r="J22211" s="711"/>
      <c r="K22211" s="711"/>
      <c r="L22211" s="711"/>
      <c r="Q22211" s="11"/>
      <c r="R22211" s="11"/>
      <c r="S22211" s="11"/>
      <c r="T22211" s="11"/>
    </row>
    <row r="22212" spans="8:20" x14ac:dyDescent="0.35">
      <c r="H22212" s="711"/>
      <c r="I22212" s="711"/>
      <c r="J22212" s="711"/>
      <c r="K22212" s="711"/>
      <c r="L22212" s="711"/>
      <c r="Q22212" s="11"/>
      <c r="R22212" s="11"/>
      <c r="S22212" s="11"/>
      <c r="T22212" s="11"/>
    </row>
    <row r="22213" spans="8:20" x14ac:dyDescent="0.35">
      <c r="H22213" s="711"/>
      <c r="I22213" s="711"/>
      <c r="J22213" s="711"/>
      <c r="K22213" s="711"/>
      <c r="L22213" s="711"/>
      <c r="Q22213" s="11"/>
      <c r="R22213" s="11"/>
      <c r="S22213" s="11"/>
      <c r="T22213" s="11"/>
    </row>
    <row r="22214" spans="8:20" x14ac:dyDescent="0.35">
      <c r="H22214" s="711"/>
      <c r="I22214" s="711"/>
      <c r="J22214" s="711"/>
      <c r="K22214" s="711"/>
      <c r="L22214" s="711"/>
      <c r="Q22214" s="11"/>
      <c r="R22214" s="11"/>
      <c r="S22214" s="11"/>
      <c r="T22214" s="11"/>
    </row>
    <row r="22215" spans="8:20" x14ac:dyDescent="0.35">
      <c r="H22215" s="711"/>
      <c r="I22215" s="711"/>
      <c r="J22215" s="711"/>
      <c r="K22215" s="711"/>
      <c r="L22215" s="711"/>
      <c r="Q22215" s="11"/>
      <c r="R22215" s="11"/>
      <c r="S22215" s="11"/>
      <c r="T22215" s="11"/>
    </row>
    <row r="22216" spans="8:20" x14ac:dyDescent="0.35">
      <c r="H22216" s="711"/>
      <c r="I22216" s="711"/>
      <c r="J22216" s="711"/>
      <c r="K22216" s="711"/>
      <c r="L22216" s="711"/>
      <c r="Q22216" s="11"/>
      <c r="R22216" s="11"/>
      <c r="S22216" s="11"/>
      <c r="T22216" s="11"/>
    </row>
    <row r="22217" spans="8:20" x14ac:dyDescent="0.35">
      <c r="H22217" s="711"/>
      <c r="I22217" s="711"/>
      <c r="J22217" s="711"/>
      <c r="K22217" s="711"/>
      <c r="L22217" s="711"/>
      <c r="Q22217" s="11"/>
      <c r="R22217" s="11"/>
      <c r="S22217" s="11"/>
      <c r="T22217" s="11"/>
    </row>
    <row r="22218" spans="8:20" x14ac:dyDescent="0.35">
      <c r="H22218" s="711"/>
      <c r="I22218" s="711"/>
      <c r="J22218" s="711"/>
      <c r="K22218" s="711"/>
      <c r="L22218" s="711"/>
      <c r="Q22218" s="11"/>
      <c r="R22218" s="11"/>
      <c r="S22218" s="11"/>
      <c r="T22218" s="11"/>
    </row>
    <row r="22219" spans="8:20" x14ac:dyDescent="0.35">
      <c r="H22219" s="711"/>
      <c r="I22219" s="711"/>
      <c r="J22219" s="711"/>
      <c r="K22219" s="711"/>
      <c r="L22219" s="711"/>
      <c r="Q22219" s="11"/>
      <c r="R22219" s="11"/>
      <c r="S22219" s="11"/>
      <c r="T22219" s="11"/>
    </row>
    <row r="22220" spans="8:20" x14ac:dyDescent="0.35">
      <c r="H22220" s="711"/>
      <c r="I22220" s="711"/>
      <c r="J22220" s="711"/>
      <c r="K22220" s="711"/>
      <c r="L22220" s="711"/>
      <c r="Q22220" s="11"/>
      <c r="R22220" s="11"/>
      <c r="S22220" s="11"/>
      <c r="T22220" s="11"/>
    </row>
    <row r="22221" spans="8:20" x14ac:dyDescent="0.35">
      <c r="H22221" s="711"/>
      <c r="I22221" s="711"/>
      <c r="J22221" s="711"/>
      <c r="K22221" s="711"/>
      <c r="L22221" s="711"/>
      <c r="Q22221" s="11"/>
      <c r="R22221" s="11"/>
      <c r="S22221" s="11"/>
      <c r="T22221" s="11"/>
    </row>
    <row r="22222" spans="8:20" x14ac:dyDescent="0.35">
      <c r="H22222" s="711"/>
      <c r="I22222" s="711"/>
      <c r="J22222" s="711"/>
      <c r="K22222" s="711"/>
      <c r="L22222" s="711"/>
      <c r="Q22222" s="11"/>
      <c r="R22222" s="11"/>
      <c r="S22222" s="11"/>
      <c r="T22222" s="11"/>
    </row>
    <row r="22223" spans="8:20" x14ac:dyDescent="0.35">
      <c r="H22223" s="711"/>
      <c r="I22223" s="711"/>
      <c r="J22223" s="711"/>
      <c r="K22223" s="711"/>
      <c r="L22223" s="711"/>
      <c r="Q22223" s="11"/>
      <c r="R22223" s="11"/>
      <c r="S22223" s="11"/>
      <c r="T22223" s="11"/>
    </row>
    <row r="22224" spans="8:20" x14ac:dyDescent="0.35">
      <c r="H22224" s="711"/>
      <c r="I22224" s="711"/>
      <c r="J22224" s="711"/>
      <c r="K22224" s="711"/>
      <c r="L22224" s="711"/>
      <c r="Q22224" s="11"/>
      <c r="R22224" s="11"/>
      <c r="S22224" s="11"/>
      <c r="T22224" s="11"/>
    </row>
    <row r="22225" spans="8:20" x14ac:dyDescent="0.35">
      <c r="H22225" s="711"/>
      <c r="I22225" s="711"/>
      <c r="J22225" s="711"/>
      <c r="K22225" s="711"/>
      <c r="L22225" s="711"/>
      <c r="Q22225" s="11"/>
      <c r="R22225" s="11"/>
      <c r="S22225" s="11"/>
      <c r="T22225" s="11"/>
    </row>
    <row r="22226" spans="8:20" x14ac:dyDescent="0.35">
      <c r="H22226" s="711"/>
      <c r="I22226" s="711"/>
      <c r="J22226" s="711"/>
      <c r="K22226" s="711"/>
      <c r="L22226" s="711"/>
      <c r="Q22226" s="11"/>
      <c r="R22226" s="11"/>
      <c r="S22226" s="11"/>
      <c r="T22226" s="11"/>
    </row>
    <row r="22227" spans="8:20" x14ac:dyDescent="0.35">
      <c r="H22227" s="711"/>
      <c r="I22227" s="711"/>
      <c r="J22227" s="711"/>
      <c r="K22227" s="711"/>
      <c r="L22227" s="711"/>
      <c r="Q22227" s="11"/>
      <c r="R22227" s="11"/>
      <c r="S22227" s="11"/>
      <c r="T22227" s="11"/>
    </row>
    <row r="22228" spans="8:20" x14ac:dyDescent="0.35">
      <c r="H22228" s="711"/>
      <c r="I22228" s="711"/>
      <c r="J22228" s="711"/>
      <c r="K22228" s="711"/>
      <c r="L22228" s="711"/>
      <c r="Q22228" s="11"/>
      <c r="R22228" s="11"/>
      <c r="S22228" s="11"/>
      <c r="T22228" s="11"/>
    </row>
    <row r="22229" spans="8:20" x14ac:dyDescent="0.35">
      <c r="H22229" s="711"/>
      <c r="I22229" s="711"/>
      <c r="J22229" s="711"/>
      <c r="K22229" s="711"/>
      <c r="L22229" s="711"/>
      <c r="Q22229" s="11"/>
      <c r="R22229" s="11"/>
      <c r="S22229" s="11"/>
      <c r="T22229" s="11"/>
    </row>
    <row r="22230" spans="8:20" x14ac:dyDescent="0.35">
      <c r="H22230" s="711"/>
      <c r="I22230" s="711"/>
      <c r="J22230" s="711"/>
      <c r="K22230" s="711"/>
      <c r="L22230" s="711"/>
      <c r="Q22230" s="11"/>
      <c r="R22230" s="11"/>
      <c r="S22230" s="11"/>
      <c r="T22230" s="11"/>
    </row>
    <row r="22231" spans="8:20" x14ac:dyDescent="0.35">
      <c r="H22231" s="711"/>
      <c r="I22231" s="711"/>
      <c r="J22231" s="711"/>
      <c r="K22231" s="711"/>
      <c r="L22231" s="711"/>
      <c r="Q22231" s="11"/>
      <c r="R22231" s="11"/>
      <c r="S22231" s="11"/>
      <c r="T22231" s="11"/>
    </row>
    <row r="22232" spans="8:20" x14ac:dyDescent="0.35">
      <c r="H22232" s="711"/>
      <c r="I22232" s="711"/>
      <c r="J22232" s="711"/>
      <c r="K22232" s="711"/>
      <c r="L22232" s="711"/>
      <c r="Q22232" s="11"/>
      <c r="R22232" s="11"/>
      <c r="S22232" s="11"/>
      <c r="T22232" s="11"/>
    </row>
    <row r="22233" spans="8:20" x14ac:dyDescent="0.35">
      <c r="H22233" s="711"/>
      <c r="I22233" s="711"/>
      <c r="J22233" s="711"/>
      <c r="K22233" s="711"/>
      <c r="L22233" s="711"/>
      <c r="Q22233" s="11"/>
      <c r="R22233" s="11"/>
      <c r="S22233" s="11"/>
      <c r="T22233" s="11"/>
    </row>
    <row r="22234" spans="8:20" x14ac:dyDescent="0.35">
      <c r="H22234" s="711"/>
      <c r="I22234" s="711"/>
      <c r="J22234" s="711"/>
      <c r="K22234" s="711"/>
      <c r="L22234" s="711"/>
      <c r="Q22234" s="11"/>
      <c r="R22234" s="11"/>
      <c r="S22234" s="11"/>
      <c r="T22234" s="11"/>
    </row>
    <row r="22235" spans="8:20" x14ac:dyDescent="0.35">
      <c r="H22235" s="711"/>
      <c r="I22235" s="711"/>
      <c r="J22235" s="711"/>
      <c r="K22235" s="711"/>
      <c r="L22235" s="711"/>
      <c r="Q22235" s="11"/>
      <c r="R22235" s="11"/>
      <c r="S22235" s="11"/>
      <c r="T22235" s="11"/>
    </row>
    <row r="22236" spans="8:20" x14ac:dyDescent="0.35">
      <c r="H22236" s="711"/>
      <c r="I22236" s="711"/>
      <c r="J22236" s="711"/>
      <c r="K22236" s="711"/>
      <c r="L22236" s="711"/>
      <c r="Q22236" s="11"/>
      <c r="R22236" s="11"/>
      <c r="S22236" s="11"/>
      <c r="T22236" s="11"/>
    </row>
    <row r="22237" spans="8:20" x14ac:dyDescent="0.35">
      <c r="H22237" s="711"/>
      <c r="I22237" s="711"/>
      <c r="J22237" s="711"/>
      <c r="K22237" s="711"/>
      <c r="L22237" s="711"/>
      <c r="Q22237" s="11"/>
      <c r="R22237" s="11"/>
      <c r="S22237" s="11"/>
      <c r="T22237" s="11"/>
    </row>
    <row r="22238" spans="8:20" x14ac:dyDescent="0.35">
      <c r="H22238" s="711"/>
      <c r="I22238" s="711"/>
      <c r="J22238" s="711"/>
      <c r="K22238" s="711"/>
      <c r="L22238" s="711"/>
      <c r="Q22238" s="11"/>
      <c r="R22238" s="11"/>
      <c r="S22238" s="11"/>
      <c r="T22238" s="11"/>
    </row>
    <row r="22239" spans="8:20" x14ac:dyDescent="0.35">
      <c r="H22239" s="711"/>
      <c r="I22239" s="711"/>
      <c r="J22239" s="711"/>
      <c r="K22239" s="711"/>
      <c r="L22239" s="711"/>
      <c r="Q22239" s="11"/>
      <c r="R22239" s="11"/>
      <c r="S22239" s="11"/>
      <c r="T22239" s="11"/>
    </row>
    <row r="22240" spans="8:20" x14ac:dyDescent="0.35">
      <c r="H22240" s="711"/>
      <c r="I22240" s="711"/>
      <c r="J22240" s="711"/>
      <c r="K22240" s="711"/>
      <c r="L22240" s="711"/>
      <c r="Q22240" s="11"/>
      <c r="R22240" s="11"/>
      <c r="S22240" s="11"/>
      <c r="T22240" s="11"/>
    </row>
    <row r="22241" spans="8:20" x14ac:dyDescent="0.35">
      <c r="H22241" s="711"/>
      <c r="I22241" s="711"/>
      <c r="J22241" s="711"/>
      <c r="K22241" s="711"/>
      <c r="L22241" s="711"/>
      <c r="Q22241" s="11"/>
      <c r="R22241" s="11"/>
      <c r="S22241" s="11"/>
      <c r="T22241" s="11"/>
    </row>
    <row r="22242" spans="8:20" x14ac:dyDescent="0.35">
      <c r="H22242" s="711"/>
      <c r="I22242" s="711"/>
      <c r="J22242" s="711"/>
      <c r="K22242" s="711"/>
      <c r="L22242" s="711"/>
      <c r="Q22242" s="11"/>
      <c r="R22242" s="11"/>
      <c r="S22242" s="11"/>
      <c r="T22242" s="11"/>
    </row>
    <row r="22243" spans="8:20" x14ac:dyDescent="0.35">
      <c r="H22243" s="711"/>
      <c r="I22243" s="711"/>
      <c r="J22243" s="711"/>
      <c r="K22243" s="711"/>
      <c r="L22243" s="711"/>
      <c r="Q22243" s="11"/>
      <c r="R22243" s="11"/>
      <c r="S22243" s="11"/>
      <c r="T22243" s="11"/>
    </row>
    <row r="22244" spans="8:20" x14ac:dyDescent="0.35">
      <c r="H22244" s="711"/>
      <c r="I22244" s="711"/>
      <c r="J22244" s="711"/>
      <c r="K22244" s="711"/>
      <c r="L22244" s="711"/>
      <c r="Q22244" s="11"/>
      <c r="R22244" s="11"/>
      <c r="S22244" s="11"/>
      <c r="T22244" s="11"/>
    </row>
    <row r="22245" spans="8:20" x14ac:dyDescent="0.35">
      <c r="H22245" s="711"/>
      <c r="I22245" s="711"/>
      <c r="J22245" s="711"/>
      <c r="K22245" s="711"/>
      <c r="L22245" s="711"/>
      <c r="Q22245" s="11"/>
      <c r="R22245" s="11"/>
      <c r="S22245" s="11"/>
      <c r="T22245" s="11"/>
    </row>
    <row r="22246" spans="8:20" x14ac:dyDescent="0.35">
      <c r="H22246" s="711"/>
      <c r="I22246" s="711"/>
      <c r="J22246" s="711"/>
      <c r="K22246" s="711"/>
      <c r="L22246" s="711"/>
      <c r="Q22246" s="11"/>
      <c r="R22246" s="11"/>
      <c r="S22246" s="11"/>
      <c r="T22246" s="11"/>
    </row>
    <row r="22247" spans="8:20" x14ac:dyDescent="0.35">
      <c r="H22247" s="711"/>
      <c r="I22247" s="711"/>
      <c r="J22247" s="711"/>
      <c r="K22247" s="711"/>
      <c r="L22247" s="711"/>
      <c r="Q22247" s="11"/>
      <c r="R22247" s="11"/>
      <c r="S22247" s="11"/>
      <c r="T22247" s="11"/>
    </row>
    <row r="22248" spans="8:20" x14ac:dyDescent="0.35">
      <c r="H22248" s="711"/>
      <c r="I22248" s="711"/>
      <c r="J22248" s="711"/>
      <c r="K22248" s="711"/>
      <c r="L22248" s="711"/>
      <c r="Q22248" s="11"/>
      <c r="R22248" s="11"/>
      <c r="S22248" s="11"/>
      <c r="T22248" s="11"/>
    </row>
    <row r="22249" spans="8:20" x14ac:dyDescent="0.35">
      <c r="H22249" s="711"/>
      <c r="I22249" s="711"/>
      <c r="J22249" s="711"/>
      <c r="K22249" s="711"/>
      <c r="L22249" s="711"/>
      <c r="Q22249" s="11"/>
      <c r="R22249" s="11"/>
      <c r="S22249" s="11"/>
      <c r="T22249" s="11"/>
    </row>
    <row r="22250" spans="8:20" x14ac:dyDescent="0.35">
      <c r="H22250" s="711"/>
      <c r="I22250" s="711"/>
      <c r="J22250" s="711"/>
      <c r="K22250" s="711"/>
      <c r="L22250" s="711"/>
      <c r="Q22250" s="11"/>
      <c r="R22250" s="11"/>
      <c r="S22250" s="11"/>
      <c r="T22250" s="11"/>
    </row>
    <row r="22251" spans="8:20" x14ac:dyDescent="0.35">
      <c r="H22251" s="711"/>
      <c r="I22251" s="711"/>
      <c r="J22251" s="711"/>
      <c r="K22251" s="711"/>
      <c r="L22251" s="711"/>
      <c r="Q22251" s="11"/>
      <c r="R22251" s="11"/>
      <c r="S22251" s="11"/>
      <c r="T22251" s="11"/>
    </row>
    <row r="22252" spans="8:20" x14ac:dyDescent="0.35">
      <c r="H22252" s="711"/>
      <c r="I22252" s="711"/>
      <c r="J22252" s="711"/>
      <c r="K22252" s="711"/>
      <c r="L22252" s="711"/>
      <c r="Q22252" s="11"/>
      <c r="R22252" s="11"/>
      <c r="S22252" s="11"/>
      <c r="T22252" s="11"/>
    </row>
    <row r="22253" spans="8:20" x14ac:dyDescent="0.35">
      <c r="H22253" s="711"/>
      <c r="I22253" s="711"/>
      <c r="J22253" s="711"/>
      <c r="K22253" s="711"/>
      <c r="L22253" s="711"/>
      <c r="Q22253" s="11"/>
      <c r="R22253" s="11"/>
      <c r="S22253" s="11"/>
      <c r="T22253" s="11"/>
    </row>
    <row r="22254" spans="8:20" x14ac:dyDescent="0.35">
      <c r="H22254" s="711"/>
      <c r="I22254" s="711"/>
      <c r="J22254" s="711"/>
      <c r="K22254" s="711"/>
      <c r="L22254" s="711"/>
      <c r="Q22254" s="11"/>
      <c r="R22254" s="11"/>
      <c r="S22254" s="11"/>
      <c r="T22254" s="11"/>
    </row>
    <row r="22255" spans="8:20" x14ac:dyDescent="0.35">
      <c r="H22255" s="711"/>
      <c r="I22255" s="711"/>
      <c r="J22255" s="711"/>
      <c r="K22255" s="711"/>
      <c r="L22255" s="711"/>
      <c r="Q22255" s="11"/>
      <c r="R22255" s="11"/>
      <c r="S22255" s="11"/>
      <c r="T22255" s="11"/>
    </row>
    <row r="22256" spans="8:20" x14ac:dyDescent="0.35">
      <c r="H22256" s="711"/>
      <c r="I22256" s="711"/>
      <c r="J22256" s="711"/>
      <c r="K22256" s="711"/>
      <c r="L22256" s="711"/>
      <c r="Q22256" s="11"/>
      <c r="R22256" s="11"/>
      <c r="S22256" s="11"/>
      <c r="T22256" s="11"/>
    </row>
    <row r="22257" spans="8:20" x14ac:dyDescent="0.35">
      <c r="H22257" s="711"/>
      <c r="I22257" s="711"/>
      <c r="J22257" s="711"/>
      <c r="K22257" s="711"/>
      <c r="L22257" s="711"/>
      <c r="Q22257" s="11"/>
      <c r="R22257" s="11"/>
      <c r="S22257" s="11"/>
      <c r="T22257" s="11"/>
    </row>
    <row r="22258" spans="8:20" x14ac:dyDescent="0.35">
      <c r="H22258" s="711"/>
      <c r="I22258" s="711"/>
      <c r="J22258" s="711"/>
      <c r="K22258" s="711"/>
      <c r="L22258" s="711"/>
      <c r="Q22258" s="11"/>
      <c r="R22258" s="11"/>
      <c r="S22258" s="11"/>
      <c r="T22258" s="11"/>
    </row>
    <row r="22259" spans="8:20" x14ac:dyDescent="0.35">
      <c r="H22259" s="711"/>
      <c r="I22259" s="711"/>
      <c r="J22259" s="711"/>
      <c r="K22259" s="711"/>
      <c r="L22259" s="711"/>
      <c r="Q22259" s="11"/>
      <c r="R22259" s="11"/>
      <c r="S22259" s="11"/>
      <c r="T22259" s="11"/>
    </row>
    <row r="22260" spans="8:20" x14ac:dyDescent="0.35">
      <c r="H22260" s="711"/>
      <c r="I22260" s="711"/>
      <c r="J22260" s="711"/>
      <c r="K22260" s="711"/>
      <c r="L22260" s="711"/>
      <c r="Q22260" s="11"/>
      <c r="R22260" s="11"/>
      <c r="S22260" s="11"/>
      <c r="T22260" s="11"/>
    </row>
    <row r="22261" spans="8:20" x14ac:dyDescent="0.35">
      <c r="H22261" s="711"/>
      <c r="I22261" s="711"/>
      <c r="J22261" s="711"/>
      <c r="K22261" s="711"/>
      <c r="L22261" s="711"/>
      <c r="Q22261" s="11"/>
      <c r="R22261" s="11"/>
      <c r="S22261" s="11"/>
      <c r="T22261" s="11"/>
    </row>
    <row r="22262" spans="8:20" x14ac:dyDescent="0.35">
      <c r="H22262" s="711"/>
      <c r="I22262" s="711"/>
      <c r="J22262" s="711"/>
      <c r="K22262" s="711"/>
      <c r="L22262" s="711"/>
      <c r="Q22262" s="11"/>
      <c r="R22262" s="11"/>
      <c r="S22262" s="11"/>
      <c r="T22262" s="11"/>
    </row>
    <row r="22263" spans="8:20" x14ac:dyDescent="0.35">
      <c r="H22263" s="711"/>
      <c r="I22263" s="711"/>
      <c r="J22263" s="711"/>
      <c r="K22263" s="711"/>
      <c r="L22263" s="711"/>
      <c r="Q22263" s="11"/>
      <c r="R22263" s="11"/>
      <c r="S22263" s="11"/>
      <c r="T22263" s="11"/>
    </row>
    <row r="22264" spans="8:20" x14ac:dyDescent="0.35">
      <c r="H22264" s="711"/>
      <c r="I22264" s="711"/>
      <c r="J22264" s="711"/>
      <c r="K22264" s="711"/>
      <c r="L22264" s="711"/>
      <c r="Q22264" s="11"/>
      <c r="R22264" s="11"/>
      <c r="S22264" s="11"/>
      <c r="T22264" s="11"/>
    </row>
    <row r="22265" spans="8:20" x14ac:dyDescent="0.35">
      <c r="H22265" s="711"/>
      <c r="I22265" s="711"/>
      <c r="J22265" s="711"/>
      <c r="K22265" s="711"/>
      <c r="L22265" s="711"/>
      <c r="Q22265" s="11"/>
      <c r="R22265" s="11"/>
      <c r="S22265" s="11"/>
      <c r="T22265" s="11"/>
    </row>
    <row r="22266" spans="8:20" x14ac:dyDescent="0.35">
      <c r="H22266" s="711"/>
      <c r="I22266" s="711"/>
      <c r="J22266" s="711"/>
      <c r="K22266" s="711"/>
      <c r="L22266" s="711"/>
      <c r="Q22266" s="11"/>
      <c r="R22266" s="11"/>
      <c r="S22266" s="11"/>
      <c r="T22266" s="11"/>
    </row>
    <row r="22267" spans="8:20" x14ac:dyDescent="0.35">
      <c r="H22267" s="711"/>
      <c r="I22267" s="711"/>
      <c r="J22267" s="711"/>
      <c r="K22267" s="711"/>
      <c r="L22267" s="711"/>
      <c r="Q22267" s="11"/>
      <c r="R22267" s="11"/>
      <c r="S22267" s="11"/>
      <c r="T22267" s="11"/>
    </row>
    <row r="22268" spans="8:20" x14ac:dyDescent="0.35">
      <c r="H22268" s="711"/>
      <c r="I22268" s="711"/>
      <c r="J22268" s="711"/>
      <c r="K22268" s="711"/>
      <c r="L22268" s="711"/>
      <c r="Q22268" s="11"/>
      <c r="R22268" s="11"/>
      <c r="S22268" s="11"/>
      <c r="T22268" s="11"/>
    </row>
    <row r="22269" spans="8:20" x14ac:dyDescent="0.35">
      <c r="H22269" s="711"/>
      <c r="I22269" s="711"/>
      <c r="J22269" s="711"/>
      <c r="K22269" s="711"/>
      <c r="L22269" s="711"/>
      <c r="Q22269" s="11"/>
      <c r="R22269" s="11"/>
      <c r="S22269" s="11"/>
      <c r="T22269" s="11"/>
    </row>
    <row r="22270" spans="8:20" x14ac:dyDescent="0.35">
      <c r="H22270" s="711"/>
      <c r="I22270" s="711"/>
      <c r="J22270" s="711"/>
      <c r="K22270" s="711"/>
      <c r="L22270" s="711"/>
      <c r="Q22270" s="11"/>
      <c r="R22270" s="11"/>
      <c r="S22270" s="11"/>
      <c r="T22270" s="11"/>
    </row>
    <row r="22271" spans="8:20" x14ac:dyDescent="0.35">
      <c r="H22271" s="711"/>
      <c r="I22271" s="711"/>
      <c r="J22271" s="711"/>
      <c r="K22271" s="711"/>
      <c r="L22271" s="711"/>
      <c r="Q22271" s="11"/>
      <c r="R22271" s="11"/>
      <c r="S22271" s="11"/>
      <c r="T22271" s="11"/>
    </row>
    <row r="22272" spans="8:20" x14ac:dyDescent="0.35">
      <c r="H22272" s="711"/>
      <c r="I22272" s="711"/>
      <c r="J22272" s="711"/>
      <c r="K22272" s="711"/>
      <c r="L22272" s="711"/>
      <c r="Q22272" s="11"/>
      <c r="R22272" s="11"/>
      <c r="S22272" s="11"/>
      <c r="T22272" s="11"/>
    </row>
    <row r="22273" spans="8:20" x14ac:dyDescent="0.35">
      <c r="H22273" s="711"/>
      <c r="I22273" s="711"/>
      <c r="J22273" s="711"/>
      <c r="K22273" s="711"/>
      <c r="L22273" s="711"/>
      <c r="Q22273" s="11"/>
      <c r="R22273" s="11"/>
      <c r="S22273" s="11"/>
      <c r="T22273" s="11"/>
    </row>
    <row r="22274" spans="8:20" x14ac:dyDescent="0.35">
      <c r="H22274" s="711"/>
      <c r="I22274" s="711"/>
      <c r="J22274" s="711"/>
      <c r="K22274" s="711"/>
      <c r="L22274" s="711"/>
      <c r="Q22274" s="11"/>
      <c r="R22274" s="11"/>
      <c r="S22274" s="11"/>
      <c r="T22274" s="11"/>
    </row>
    <row r="22275" spans="8:20" x14ac:dyDescent="0.35">
      <c r="H22275" s="711"/>
      <c r="I22275" s="711"/>
      <c r="J22275" s="711"/>
      <c r="K22275" s="711"/>
      <c r="L22275" s="711"/>
      <c r="Q22275" s="11"/>
      <c r="R22275" s="11"/>
      <c r="S22275" s="11"/>
      <c r="T22275" s="11"/>
    </row>
    <row r="22276" spans="8:20" x14ac:dyDescent="0.35">
      <c r="H22276" s="711"/>
      <c r="I22276" s="711"/>
      <c r="J22276" s="711"/>
      <c r="K22276" s="711"/>
      <c r="L22276" s="711"/>
      <c r="Q22276" s="11"/>
      <c r="R22276" s="11"/>
      <c r="S22276" s="11"/>
      <c r="T22276" s="11"/>
    </row>
    <row r="22277" spans="8:20" x14ac:dyDescent="0.35">
      <c r="H22277" s="711"/>
      <c r="I22277" s="711"/>
      <c r="J22277" s="711"/>
      <c r="K22277" s="711"/>
      <c r="L22277" s="711"/>
      <c r="Q22277" s="11"/>
      <c r="R22277" s="11"/>
      <c r="S22277" s="11"/>
      <c r="T22277" s="11"/>
    </row>
    <row r="22278" spans="8:20" x14ac:dyDescent="0.35">
      <c r="H22278" s="711"/>
      <c r="I22278" s="711"/>
      <c r="J22278" s="711"/>
      <c r="K22278" s="711"/>
      <c r="L22278" s="711"/>
      <c r="Q22278" s="11"/>
      <c r="R22278" s="11"/>
      <c r="S22278" s="11"/>
      <c r="T22278" s="11"/>
    </row>
    <row r="22279" spans="8:20" x14ac:dyDescent="0.35">
      <c r="H22279" s="711"/>
      <c r="I22279" s="711"/>
      <c r="J22279" s="711"/>
      <c r="K22279" s="711"/>
      <c r="L22279" s="711"/>
      <c r="Q22279" s="11"/>
      <c r="R22279" s="11"/>
      <c r="S22279" s="11"/>
      <c r="T22279" s="11"/>
    </row>
    <row r="22280" spans="8:20" x14ac:dyDescent="0.35">
      <c r="H22280" s="711"/>
      <c r="I22280" s="711"/>
      <c r="J22280" s="711"/>
      <c r="K22280" s="711"/>
      <c r="L22280" s="711"/>
      <c r="Q22280" s="11"/>
      <c r="R22280" s="11"/>
      <c r="S22280" s="11"/>
      <c r="T22280" s="11"/>
    </row>
    <row r="22281" spans="8:20" x14ac:dyDescent="0.35">
      <c r="H22281" s="711"/>
      <c r="I22281" s="711"/>
      <c r="J22281" s="711"/>
      <c r="K22281" s="711"/>
      <c r="L22281" s="711"/>
      <c r="Q22281" s="11"/>
      <c r="R22281" s="11"/>
      <c r="S22281" s="11"/>
      <c r="T22281" s="11"/>
    </row>
    <row r="22282" spans="8:20" x14ac:dyDescent="0.35">
      <c r="H22282" s="711"/>
      <c r="I22282" s="711"/>
      <c r="J22282" s="711"/>
      <c r="K22282" s="711"/>
      <c r="L22282" s="711"/>
      <c r="Q22282" s="11"/>
      <c r="R22282" s="11"/>
      <c r="S22282" s="11"/>
      <c r="T22282" s="11"/>
    </row>
    <row r="22283" spans="8:20" x14ac:dyDescent="0.35">
      <c r="H22283" s="711"/>
      <c r="I22283" s="711"/>
      <c r="J22283" s="711"/>
      <c r="K22283" s="711"/>
      <c r="L22283" s="711"/>
      <c r="Q22283" s="11"/>
      <c r="R22283" s="11"/>
      <c r="S22283" s="11"/>
      <c r="T22283" s="11"/>
    </row>
    <row r="22284" spans="8:20" x14ac:dyDescent="0.35">
      <c r="H22284" s="711"/>
      <c r="I22284" s="711"/>
      <c r="J22284" s="711"/>
      <c r="K22284" s="711"/>
      <c r="L22284" s="711"/>
      <c r="Q22284" s="11"/>
      <c r="R22284" s="11"/>
      <c r="S22284" s="11"/>
      <c r="T22284" s="11"/>
    </row>
    <row r="22285" spans="8:20" x14ac:dyDescent="0.35">
      <c r="H22285" s="711"/>
      <c r="I22285" s="711"/>
      <c r="J22285" s="711"/>
      <c r="K22285" s="711"/>
      <c r="L22285" s="711"/>
      <c r="Q22285" s="11"/>
      <c r="R22285" s="11"/>
      <c r="S22285" s="11"/>
      <c r="T22285" s="11"/>
    </row>
    <row r="22286" spans="8:20" x14ac:dyDescent="0.35">
      <c r="H22286" s="711"/>
      <c r="I22286" s="711"/>
      <c r="J22286" s="711"/>
      <c r="K22286" s="711"/>
      <c r="L22286" s="711"/>
      <c r="Q22286" s="11"/>
      <c r="R22286" s="11"/>
      <c r="S22286" s="11"/>
      <c r="T22286" s="11"/>
    </row>
    <row r="22287" spans="8:20" x14ac:dyDescent="0.35">
      <c r="H22287" s="711"/>
      <c r="I22287" s="711"/>
      <c r="J22287" s="711"/>
      <c r="K22287" s="711"/>
      <c r="L22287" s="711"/>
      <c r="Q22287" s="11"/>
      <c r="R22287" s="11"/>
      <c r="S22287" s="11"/>
      <c r="T22287" s="11"/>
    </row>
    <row r="22288" spans="8:20" x14ac:dyDescent="0.35">
      <c r="H22288" s="711"/>
      <c r="I22288" s="711"/>
      <c r="J22288" s="711"/>
      <c r="K22288" s="711"/>
      <c r="L22288" s="711"/>
      <c r="Q22288" s="11"/>
      <c r="R22288" s="11"/>
      <c r="S22288" s="11"/>
      <c r="T22288" s="11"/>
    </row>
    <row r="22289" spans="8:20" x14ac:dyDescent="0.35">
      <c r="H22289" s="711"/>
      <c r="I22289" s="711"/>
      <c r="J22289" s="711"/>
      <c r="K22289" s="711"/>
      <c r="L22289" s="711"/>
      <c r="Q22289" s="11"/>
      <c r="R22289" s="11"/>
      <c r="S22289" s="11"/>
      <c r="T22289" s="11"/>
    </row>
    <row r="22290" spans="8:20" x14ac:dyDescent="0.35">
      <c r="H22290" s="711"/>
      <c r="I22290" s="711"/>
      <c r="J22290" s="711"/>
      <c r="K22290" s="711"/>
      <c r="L22290" s="711"/>
      <c r="Q22290" s="11"/>
      <c r="R22290" s="11"/>
      <c r="S22290" s="11"/>
      <c r="T22290" s="11"/>
    </row>
    <row r="22291" spans="8:20" x14ac:dyDescent="0.35">
      <c r="H22291" s="711"/>
      <c r="I22291" s="711"/>
      <c r="J22291" s="711"/>
      <c r="K22291" s="711"/>
      <c r="L22291" s="711"/>
      <c r="Q22291" s="11"/>
      <c r="R22291" s="11"/>
      <c r="S22291" s="11"/>
      <c r="T22291" s="11"/>
    </row>
    <row r="22292" spans="8:20" x14ac:dyDescent="0.35">
      <c r="H22292" s="711"/>
      <c r="I22292" s="711"/>
      <c r="J22292" s="711"/>
      <c r="K22292" s="711"/>
      <c r="L22292" s="711"/>
      <c r="Q22292" s="11"/>
      <c r="R22292" s="11"/>
      <c r="S22292" s="11"/>
      <c r="T22292" s="11"/>
    </row>
    <row r="22293" spans="8:20" x14ac:dyDescent="0.35">
      <c r="H22293" s="711"/>
      <c r="I22293" s="711"/>
      <c r="J22293" s="711"/>
      <c r="K22293" s="711"/>
      <c r="L22293" s="711"/>
      <c r="Q22293" s="11"/>
      <c r="R22293" s="11"/>
      <c r="S22293" s="11"/>
      <c r="T22293" s="11"/>
    </row>
    <row r="22294" spans="8:20" x14ac:dyDescent="0.35">
      <c r="H22294" s="711"/>
      <c r="I22294" s="711"/>
      <c r="J22294" s="711"/>
      <c r="K22294" s="711"/>
      <c r="L22294" s="711"/>
      <c r="Q22294" s="11"/>
      <c r="R22294" s="11"/>
      <c r="S22294" s="11"/>
      <c r="T22294" s="11"/>
    </row>
    <row r="22295" spans="8:20" x14ac:dyDescent="0.35">
      <c r="H22295" s="711"/>
      <c r="I22295" s="711"/>
      <c r="J22295" s="711"/>
      <c r="K22295" s="711"/>
      <c r="L22295" s="711"/>
      <c r="Q22295" s="11"/>
      <c r="R22295" s="11"/>
      <c r="S22295" s="11"/>
      <c r="T22295" s="11"/>
    </row>
    <row r="22296" spans="8:20" x14ac:dyDescent="0.35">
      <c r="H22296" s="711"/>
      <c r="I22296" s="711"/>
      <c r="J22296" s="711"/>
      <c r="K22296" s="711"/>
      <c r="L22296" s="711"/>
      <c r="Q22296" s="11"/>
      <c r="R22296" s="11"/>
      <c r="S22296" s="11"/>
      <c r="T22296" s="11"/>
    </row>
    <row r="22297" spans="8:20" x14ac:dyDescent="0.35">
      <c r="H22297" s="711"/>
      <c r="I22297" s="711"/>
      <c r="J22297" s="711"/>
      <c r="K22297" s="711"/>
      <c r="L22297" s="711"/>
      <c r="Q22297" s="11"/>
      <c r="R22297" s="11"/>
      <c r="S22297" s="11"/>
      <c r="T22297" s="11"/>
    </row>
    <row r="22298" spans="8:20" x14ac:dyDescent="0.35">
      <c r="H22298" s="711"/>
      <c r="I22298" s="711"/>
      <c r="J22298" s="711"/>
      <c r="K22298" s="711"/>
      <c r="L22298" s="711"/>
      <c r="Q22298" s="11"/>
      <c r="R22298" s="11"/>
      <c r="S22298" s="11"/>
      <c r="T22298" s="11"/>
    </row>
    <row r="22299" spans="8:20" x14ac:dyDescent="0.35">
      <c r="H22299" s="711"/>
      <c r="I22299" s="711"/>
      <c r="J22299" s="711"/>
      <c r="K22299" s="711"/>
      <c r="L22299" s="711"/>
      <c r="Q22299" s="11"/>
      <c r="R22299" s="11"/>
      <c r="S22299" s="11"/>
      <c r="T22299" s="11"/>
    </row>
    <row r="22300" spans="8:20" x14ac:dyDescent="0.35">
      <c r="H22300" s="711"/>
      <c r="I22300" s="711"/>
      <c r="J22300" s="711"/>
      <c r="K22300" s="711"/>
      <c r="L22300" s="711"/>
      <c r="Q22300" s="11"/>
      <c r="R22300" s="11"/>
      <c r="S22300" s="11"/>
      <c r="T22300" s="11"/>
    </row>
    <row r="22301" spans="8:20" x14ac:dyDescent="0.35">
      <c r="H22301" s="711"/>
      <c r="I22301" s="711"/>
      <c r="J22301" s="711"/>
      <c r="K22301" s="711"/>
      <c r="L22301" s="711"/>
      <c r="Q22301" s="11"/>
      <c r="R22301" s="11"/>
      <c r="S22301" s="11"/>
      <c r="T22301" s="11"/>
    </row>
    <row r="22302" spans="8:20" x14ac:dyDescent="0.35">
      <c r="H22302" s="711"/>
      <c r="I22302" s="711"/>
      <c r="J22302" s="711"/>
      <c r="K22302" s="711"/>
      <c r="L22302" s="711"/>
      <c r="Q22302" s="11"/>
      <c r="R22302" s="11"/>
      <c r="S22302" s="11"/>
      <c r="T22302" s="11"/>
    </row>
    <row r="22303" spans="8:20" x14ac:dyDescent="0.35">
      <c r="H22303" s="711"/>
      <c r="I22303" s="711"/>
      <c r="J22303" s="711"/>
      <c r="K22303" s="711"/>
      <c r="L22303" s="711"/>
      <c r="Q22303" s="11"/>
      <c r="R22303" s="11"/>
      <c r="S22303" s="11"/>
      <c r="T22303" s="11"/>
    </row>
    <row r="22304" spans="8:20" x14ac:dyDescent="0.35">
      <c r="H22304" s="711"/>
      <c r="I22304" s="711"/>
      <c r="J22304" s="711"/>
      <c r="K22304" s="711"/>
      <c r="L22304" s="711"/>
      <c r="Q22304" s="11"/>
      <c r="R22304" s="11"/>
      <c r="S22304" s="11"/>
      <c r="T22304" s="11"/>
    </row>
    <row r="22305" spans="8:20" x14ac:dyDescent="0.35">
      <c r="H22305" s="711"/>
      <c r="I22305" s="711"/>
      <c r="J22305" s="711"/>
      <c r="K22305" s="711"/>
      <c r="L22305" s="711"/>
      <c r="Q22305" s="11"/>
      <c r="R22305" s="11"/>
      <c r="S22305" s="11"/>
      <c r="T22305" s="11"/>
    </row>
    <row r="22306" spans="8:20" x14ac:dyDescent="0.35">
      <c r="H22306" s="711"/>
      <c r="I22306" s="711"/>
      <c r="J22306" s="711"/>
      <c r="K22306" s="711"/>
      <c r="L22306" s="711"/>
      <c r="Q22306" s="11"/>
      <c r="R22306" s="11"/>
      <c r="S22306" s="11"/>
      <c r="T22306" s="11"/>
    </row>
    <row r="22307" spans="8:20" x14ac:dyDescent="0.35">
      <c r="H22307" s="711"/>
      <c r="I22307" s="711"/>
      <c r="J22307" s="711"/>
      <c r="K22307" s="711"/>
      <c r="L22307" s="711"/>
      <c r="Q22307" s="11"/>
      <c r="R22307" s="11"/>
      <c r="S22307" s="11"/>
      <c r="T22307" s="11"/>
    </row>
    <row r="22308" spans="8:20" x14ac:dyDescent="0.35">
      <c r="H22308" s="711"/>
      <c r="I22308" s="711"/>
      <c r="J22308" s="711"/>
      <c r="K22308" s="711"/>
      <c r="L22308" s="711"/>
      <c r="Q22308" s="11"/>
      <c r="R22308" s="11"/>
      <c r="S22308" s="11"/>
      <c r="T22308" s="11"/>
    </row>
    <row r="22309" spans="8:20" x14ac:dyDescent="0.35">
      <c r="H22309" s="711"/>
      <c r="I22309" s="711"/>
      <c r="J22309" s="711"/>
      <c r="K22309" s="711"/>
      <c r="L22309" s="711"/>
      <c r="Q22309" s="11"/>
      <c r="R22309" s="11"/>
      <c r="S22309" s="11"/>
      <c r="T22309" s="11"/>
    </row>
    <row r="22310" spans="8:20" x14ac:dyDescent="0.35">
      <c r="H22310" s="711"/>
      <c r="I22310" s="711"/>
      <c r="J22310" s="711"/>
      <c r="K22310" s="711"/>
      <c r="L22310" s="711"/>
      <c r="Q22310" s="11"/>
      <c r="R22310" s="11"/>
      <c r="S22310" s="11"/>
      <c r="T22310" s="11"/>
    </row>
    <row r="22311" spans="8:20" x14ac:dyDescent="0.35">
      <c r="H22311" s="711"/>
      <c r="I22311" s="711"/>
      <c r="J22311" s="711"/>
      <c r="K22311" s="711"/>
      <c r="L22311" s="711"/>
      <c r="Q22311" s="11"/>
      <c r="R22311" s="11"/>
      <c r="S22311" s="11"/>
      <c r="T22311" s="11"/>
    </row>
    <row r="22312" spans="8:20" x14ac:dyDescent="0.35">
      <c r="H22312" s="711"/>
      <c r="I22312" s="711"/>
      <c r="J22312" s="711"/>
      <c r="K22312" s="711"/>
      <c r="L22312" s="711"/>
      <c r="Q22312" s="11"/>
      <c r="R22312" s="11"/>
      <c r="S22312" s="11"/>
      <c r="T22312" s="11"/>
    </row>
    <row r="22313" spans="8:20" x14ac:dyDescent="0.35">
      <c r="H22313" s="711"/>
      <c r="I22313" s="711"/>
      <c r="J22313" s="711"/>
      <c r="K22313" s="711"/>
      <c r="L22313" s="711"/>
      <c r="Q22313" s="11"/>
      <c r="R22313" s="11"/>
      <c r="S22313" s="11"/>
      <c r="T22313" s="11"/>
    </row>
    <row r="22314" spans="8:20" x14ac:dyDescent="0.35">
      <c r="H22314" s="711"/>
      <c r="I22314" s="711"/>
      <c r="J22314" s="711"/>
      <c r="K22314" s="711"/>
      <c r="L22314" s="711"/>
      <c r="Q22314" s="11"/>
      <c r="R22314" s="11"/>
      <c r="S22314" s="11"/>
      <c r="T22314" s="11"/>
    </row>
    <row r="22315" spans="8:20" x14ac:dyDescent="0.35">
      <c r="H22315" s="711"/>
      <c r="I22315" s="711"/>
      <c r="J22315" s="711"/>
      <c r="K22315" s="711"/>
      <c r="L22315" s="711"/>
      <c r="Q22315" s="11"/>
      <c r="R22315" s="11"/>
      <c r="S22315" s="11"/>
      <c r="T22315" s="11"/>
    </row>
    <row r="22316" spans="8:20" x14ac:dyDescent="0.35">
      <c r="H22316" s="711"/>
      <c r="I22316" s="711"/>
      <c r="J22316" s="711"/>
      <c r="K22316" s="711"/>
      <c r="L22316" s="711"/>
      <c r="Q22316" s="11"/>
      <c r="R22316" s="11"/>
      <c r="S22316" s="11"/>
      <c r="T22316" s="11"/>
    </row>
    <row r="22317" spans="8:20" x14ac:dyDescent="0.35">
      <c r="H22317" s="711"/>
      <c r="I22317" s="711"/>
      <c r="J22317" s="711"/>
      <c r="K22317" s="711"/>
      <c r="L22317" s="711"/>
      <c r="Q22317" s="11"/>
      <c r="R22317" s="11"/>
      <c r="S22317" s="11"/>
      <c r="T22317" s="11"/>
    </row>
    <row r="22318" spans="8:20" x14ac:dyDescent="0.35">
      <c r="H22318" s="711"/>
      <c r="I22318" s="711"/>
      <c r="J22318" s="711"/>
      <c r="K22318" s="711"/>
      <c r="L22318" s="711"/>
      <c r="Q22318" s="11"/>
      <c r="R22318" s="11"/>
      <c r="S22318" s="11"/>
      <c r="T22318" s="11"/>
    </row>
    <row r="22319" spans="8:20" x14ac:dyDescent="0.35">
      <c r="H22319" s="711"/>
      <c r="I22319" s="711"/>
      <c r="J22319" s="711"/>
      <c r="K22319" s="711"/>
      <c r="L22319" s="711"/>
      <c r="Q22319" s="11"/>
      <c r="R22319" s="11"/>
      <c r="S22319" s="11"/>
      <c r="T22319" s="11"/>
    </row>
    <row r="22320" spans="8:20" x14ac:dyDescent="0.35">
      <c r="H22320" s="711"/>
      <c r="I22320" s="711"/>
      <c r="J22320" s="711"/>
      <c r="K22320" s="711"/>
      <c r="L22320" s="711"/>
      <c r="Q22320" s="11"/>
      <c r="R22320" s="11"/>
      <c r="S22320" s="11"/>
      <c r="T22320" s="11"/>
    </row>
    <row r="22321" spans="8:20" x14ac:dyDescent="0.35">
      <c r="H22321" s="711"/>
      <c r="I22321" s="711"/>
      <c r="J22321" s="711"/>
      <c r="K22321" s="711"/>
      <c r="L22321" s="711"/>
      <c r="Q22321" s="11"/>
      <c r="R22321" s="11"/>
      <c r="S22321" s="11"/>
      <c r="T22321" s="11"/>
    </row>
    <row r="22322" spans="8:20" x14ac:dyDescent="0.35">
      <c r="H22322" s="711"/>
      <c r="I22322" s="711"/>
      <c r="J22322" s="711"/>
      <c r="K22322" s="711"/>
      <c r="L22322" s="711"/>
      <c r="Q22322" s="11"/>
      <c r="R22322" s="11"/>
      <c r="S22322" s="11"/>
      <c r="T22322" s="11"/>
    </row>
    <row r="22323" spans="8:20" x14ac:dyDescent="0.35">
      <c r="H22323" s="711"/>
      <c r="I22323" s="711"/>
      <c r="J22323" s="711"/>
      <c r="K22323" s="711"/>
      <c r="L22323" s="711"/>
      <c r="Q22323" s="11"/>
      <c r="R22323" s="11"/>
      <c r="S22323" s="11"/>
      <c r="T22323" s="11"/>
    </row>
    <row r="22324" spans="8:20" x14ac:dyDescent="0.35">
      <c r="H22324" s="711"/>
      <c r="I22324" s="711"/>
      <c r="J22324" s="711"/>
      <c r="K22324" s="711"/>
      <c r="L22324" s="711"/>
      <c r="Q22324" s="11"/>
      <c r="R22324" s="11"/>
      <c r="S22324" s="11"/>
      <c r="T22324" s="11"/>
    </row>
    <row r="22325" spans="8:20" x14ac:dyDescent="0.35">
      <c r="H22325" s="711"/>
      <c r="I22325" s="711"/>
      <c r="J22325" s="711"/>
      <c r="K22325" s="711"/>
      <c r="L22325" s="711"/>
      <c r="Q22325" s="11"/>
      <c r="R22325" s="11"/>
      <c r="S22325" s="11"/>
      <c r="T22325" s="11"/>
    </row>
    <row r="22326" spans="8:20" x14ac:dyDescent="0.35">
      <c r="H22326" s="711"/>
      <c r="I22326" s="711"/>
      <c r="J22326" s="711"/>
      <c r="K22326" s="711"/>
      <c r="L22326" s="711"/>
      <c r="Q22326" s="11"/>
      <c r="R22326" s="11"/>
      <c r="S22326" s="11"/>
      <c r="T22326" s="11"/>
    </row>
    <row r="22327" spans="8:20" x14ac:dyDescent="0.35">
      <c r="H22327" s="711"/>
      <c r="I22327" s="711"/>
      <c r="J22327" s="711"/>
      <c r="K22327" s="711"/>
      <c r="L22327" s="711"/>
      <c r="Q22327" s="11"/>
      <c r="R22327" s="11"/>
      <c r="S22327" s="11"/>
      <c r="T22327" s="11"/>
    </row>
    <row r="22328" spans="8:20" x14ac:dyDescent="0.35">
      <c r="H22328" s="711"/>
      <c r="I22328" s="711"/>
      <c r="J22328" s="711"/>
      <c r="K22328" s="711"/>
      <c r="L22328" s="711"/>
      <c r="Q22328" s="11"/>
      <c r="R22328" s="11"/>
      <c r="S22328" s="11"/>
      <c r="T22328" s="11"/>
    </row>
    <row r="22329" spans="8:20" x14ac:dyDescent="0.35">
      <c r="H22329" s="711"/>
      <c r="I22329" s="711"/>
      <c r="J22329" s="711"/>
      <c r="K22329" s="711"/>
      <c r="L22329" s="711"/>
      <c r="Q22329" s="11"/>
      <c r="R22329" s="11"/>
      <c r="S22329" s="11"/>
      <c r="T22329" s="11"/>
    </row>
    <row r="22330" spans="8:20" x14ac:dyDescent="0.35">
      <c r="H22330" s="711"/>
      <c r="I22330" s="711"/>
      <c r="J22330" s="711"/>
      <c r="K22330" s="711"/>
      <c r="L22330" s="711"/>
      <c r="Q22330" s="11"/>
      <c r="R22330" s="11"/>
      <c r="S22330" s="11"/>
      <c r="T22330" s="11"/>
    </row>
    <row r="22331" spans="8:20" x14ac:dyDescent="0.35">
      <c r="H22331" s="711"/>
      <c r="I22331" s="711"/>
      <c r="J22331" s="711"/>
      <c r="K22331" s="711"/>
      <c r="L22331" s="711"/>
      <c r="Q22331" s="11"/>
      <c r="R22331" s="11"/>
      <c r="S22331" s="11"/>
      <c r="T22331" s="11"/>
    </row>
    <row r="22332" spans="8:20" x14ac:dyDescent="0.35">
      <c r="H22332" s="711"/>
      <c r="I22332" s="711"/>
      <c r="J22332" s="711"/>
      <c r="K22332" s="711"/>
      <c r="L22332" s="711"/>
      <c r="Q22332" s="11"/>
      <c r="R22332" s="11"/>
      <c r="S22332" s="11"/>
      <c r="T22332" s="11"/>
    </row>
    <row r="22333" spans="8:20" x14ac:dyDescent="0.35">
      <c r="H22333" s="711"/>
      <c r="I22333" s="711"/>
      <c r="J22333" s="711"/>
      <c r="K22333" s="711"/>
      <c r="L22333" s="711"/>
      <c r="Q22333" s="11"/>
      <c r="R22333" s="11"/>
      <c r="S22333" s="11"/>
      <c r="T22333" s="11"/>
    </row>
    <row r="22334" spans="8:20" x14ac:dyDescent="0.35">
      <c r="H22334" s="711"/>
      <c r="I22334" s="711"/>
      <c r="J22334" s="711"/>
      <c r="K22334" s="711"/>
      <c r="L22334" s="711"/>
      <c r="Q22334" s="11"/>
      <c r="R22334" s="11"/>
      <c r="S22334" s="11"/>
      <c r="T22334" s="11"/>
    </row>
    <row r="22335" spans="8:20" x14ac:dyDescent="0.35">
      <c r="H22335" s="711"/>
      <c r="I22335" s="711"/>
      <c r="J22335" s="711"/>
      <c r="K22335" s="711"/>
      <c r="L22335" s="711"/>
      <c r="Q22335" s="11"/>
      <c r="R22335" s="11"/>
      <c r="S22335" s="11"/>
      <c r="T22335" s="11"/>
    </row>
    <row r="22336" spans="8:20" x14ac:dyDescent="0.35">
      <c r="H22336" s="711"/>
      <c r="I22336" s="711"/>
      <c r="J22336" s="711"/>
      <c r="K22336" s="711"/>
      <c r="L22336" s="711"/>
      <c r="Q22336" s="11"/>
      <c r="R22336" s="11"/>
      <c r="S22336" s="11"/>
      <c r="T22336" s="11"/>
    </row>
    <row r="22337" spans="8:20" x14ac:dyDescent="0.35">
      <c r="H22337" s="711"/>
      <c r="I22337" s="711"/>
      <c r="J22337" s="711"/>
      <c r="K22337" s="711"/>
      <c r="L22337" s="711"/>
      <c r="Q22337" s="11"/>
      <c r="R22337" s="11"/>
      <c r="S22337" s="11"/>
      <c r="T22337" s="11"/>
    </row>
    <row r="22338" spans="8:20" x14ac:dyDescent="0.35">
      <c r="H22338" s="711"/>
      <c r="I22338" s="711"/>
      <c r="J22338" s="711"/>
      <c r="K22338" s="711"/>
      <c r="L22338" s="711"/>
      <c r="Q22338" s="11"/>
      <c r="R22338" s="11"/>
      <c r="S22338" s="11"/>
      <c r="T22338" s="11"/>
    </row>
    <row r="22339" spans="8:20" x14ac:dyDescent="0.35">
      <c r="H22339" s="711"/>
      <c r="I22339" s="711"/>
      <c r="J22339" s="711"/>
      <c r="K22339" s="711"/>
      <c r="L22339" s="711"/>
      <c r="Q22339" s="11"/>
      <c r="R22339" s="11"/>
      <c r="S22339" s="11"/>
      <c r="T22339" s="11"/>
    </row>
    <row r="22340" spans="8:20" x14ac:dyDescent="0.35">
      <c r="H22340" s="711"/>
      <c r="I22340" s="711"/>
      <c r="J22340" s="711"/>
      <c r="K22340" s="711"/>
      <c r="L22340" s="711"/>
      <c r="Q22340" s="11"/>
      <c r="R22340" s="11"/>
      <c r="S22340" s="11"/>
      <c r="T22340" s="11"/>
    </row>
    <row r="22341" spans="8:20" x14ac:dyDescent="0.35">
      <c r="H22341" s="711"/>
      <c r="I22341" s="711"/>
      <c r="J22341" s="711"/>
      <c r="K22341" s="711"/>
      <c r="L22341" s="711"/>
      <c r="Q22341" s="11"/>
      <c r="R22341" s="11"/>
      <c r="S22341" s="11"/>
      <c r="T22341" s="11"/>
    </row>
    <row r="22342" spans="8:20" x14ac:dyDescent="0.35">
      <c r="H22342" s="711"/>
      <c r="I22342" s="711"/>
      <c r="J22342" s="711"/>
      <c r="K22342" s="711"/>
      <c r="L22342" s="711"/>
      <c r="Q22342" s="11"/>
      <c r="R22342" s="11"/>
      <c r="S22342" s="11"/>
      <c r="T22342" s="11"/>
    </row>
    <row r="22343" spans="8:20" x14ac:dyDescent="0.35">
      <c r="H22343" s="711"/>
      <c r="I22343" s="711"/>
      <c r="J22343" s="711"/>
      <c r="K22343" s="711"/>
      <c r="L22343" s="711"/>
      <c r="Q22343" s="11"/>
      <c r="R22343" s="11"/>
      <c r="S22343" s="11"/>
      <c r="T22343" s="11"/>
    </row>
    <row r="22344" spans="8:20" x14ac:dyDescent="0.35">
      <c r="H22344" s="711"/>
      <c r="I22344" s="711"/>
      <c r="J22344" s="711"/>
      <c r="K22344" s="711"/>
      <c r="L22344" s="711"/>
      <c r="Q22344" s="11"/>
      <c r="R22344" s="11"/>
      <c r="S22344" s="11"/>
      <c r="T22344" s="11"/>
    </row>
    <row r="22345" spans="8:20" x14ac:dyDescent="0.35">
      <c r="H22345" s="711"/>
      <c r="I22345" s="711"/>
      <c r="J22345" s="711"/>
      <c r="K22345" s="711"/>
      <c r="L22345" s="711"/>
      <c r="Q22345" s="11"/>
      <c r="R22345" s="11"/>
      <c r="S22345" s="11"/>
      <c r="T22345" s="11"/>
    </row>
    <row r="22346" spans="8:20" x14ac:dyDescent="0.35">
      <c r="H22346" s="711"/>
      <c r="I22346" s="711"/>
      <c r="J22346" s="711"/>
      <c r="K22346" s="711"/>
      <c r="L22346" s="711"/>
      <c r="Q22346" s="11"/>
      <c r="R22346" s="11"/>
      <c r="S22346" s="11"/>
      <c r="T22346" s="11"/>
    </row>
    <row r="22347" spans="8:20" x14ac:dyDescent="0.35">
      <c r="H22347" s="711"/>
      <c r="I22347" s="711"/>
      <c r="J22347" s="711"/>
      <c r="K22347" s="711"/>
      <c r="L22347" s="711"/>
      <c r="Q22347" s="11"/>
      <c r="R22347" s="11"/>
      <c r="S22347" s="11"/>
      <c r="T22347" s="11"/>
    </row>
    <row r="22348" spans="8:20" x14ac:dyDescent="0.35">
      <c r="H22348" s="711"/>
      <c r="I22348" s="711"/>
      <c r="J22348" s="711"/>
      <c r="K22348" s="711"/>
      <c r="L22348" s="711"/>
      <c r="Q22348" s="11"/>
      <c r="R22348" s="11"/>
      <c r="S22348" s="11"/>
      <c r="T22348" s="11"/>
    </row>
    <row r="22349" spans="8:20" x14ac:dyDescent="0.35">
      <c r="H22349" s="711"/>
      <c r="I22349" s="711"/>
      <c r="J22349" s="711"/>
      <c r="K22349" s="711"/>
      <c r="L22349" s="711"/>
      <c r="Q22349" s="11"/>
      <c r="R22349" s="11"/>
      <c r="S22349" s="11"/>
      <c r="T22349" s="11"/>
    </row>
    <row r="22350" spans="8:20" x14ac:dyDescent="0.35">
      <c r="H22350" s="711"/>
      <c r="I22350" s="711"/>
      <c r="J22350" s="711"/>
      <c r="K22350" s="711"/>
      <c r="L22350" s="711"/>
      <c r="Q22350" s="11"/>
      <c r="R22350" s="11"/>
      <c r="S22350" s="11"/>
      <c r="T22350" s="11"/>
    </row>
    <row r="22351" spans="8:20" x14ac:dyDescent="0.35">
      <c r="H22351" s="711"/>
      <c r="I22351" s="711"/>
      <c r="J22351" s="711"/>
      <c r="K22351" s="711"/>
      <c r="L22351" s="711"/>
      <c r="Q22351" s="11"/>
      <c r="R22351" s="11"/>
      <c r="S22351" s="11"/>
      <c r="T22351" s="11"/>
    </row>
    <row r="22352" spans="8:20" x14ac:dyDescent="0.35">
      <c r="H22352" s="711"/>
      <c r="I22352" s="711"/>
      <c r="J22352" s="711"/>
      <c r="K22352" s="711"/>
      <c r="L22352" s="711"/>
      <c r="Q22352" s="11"/>
      <c r="R22352" s="11"/>
      <c r="S22352" s="11"/>
      <c r="T22352" s="11"/>
    </row>
    <row r="22353" spans="8:20" x14ac:dyDescent="0.35">
      <c r="H22353" s="711"/>
      <c r="I22353" s="711"/>
      <c r="J22353" s="711"/>
      <c r="K22353" s="711"/>
      <c r="L22353" s="711"/>
      <c r="Q22353" s="11"/>
      <c r="R22353" s="11"/>
      <c r="S22353" s="11"/>
      <c r="T22353" s="11"/>
    </row>
    <row r="22354" spans="8:20" x14ac:dyDescent="0.35">
      <c r="H22354" s="711"/>
      <c r="I22354" s="711"/>
      <c r="J22354" s="711"/>
      <c r="K22354" s="711"/>
      <c r="L22354" s="711"/>
      <c r="Q22354" s="11"/>
      <c r="R22354" s="11"/>
      <c r="S22354" s="11"/>
      <c r="T22354" s="11"/>
    </row>
    <row r="22355" spans="8:20" x14ac:dyDescent="0.35">
      <c r="H22355" s="711"/>
      <c r="I22355" s="711"/>
      <c r="J22355" s="711"/>
      <c r="K22355" s="711"/>
      <c r="L22355" s="711"/>
      <c r="Q22355" s="11"/>
      <c r="R22355" s="11"/>
      <c r="S22355" s="11"/>
      <c r="T22355" s="11"/>
    </row>
    <row r="22356" spans="8:20" x14ac:dyDescent="0.35">
      <c r="H22356" s="711"/>
      <c r="I22356" s="711"/>
      <c r="J22356" s="711"/>
      <c r="K22356" s="711"/>
      <c r="L22356" s="711"/>
      <c r="Q22356" s="11"/>
      <c r="R22356" s="11"/>
      <c r="S22356" s="11"/>
      <c r="T22356" s="11"/>
    </row>
    <row r="22357" spans="8:20" x14ac:dyDescent="0.35">
      <c r="H22357" s="711"/>
      <c r="I22357" s="711"/>
      <c r="J22357" s="711"/>
      <c r="K22357" s="711"/>
      <c r="L22357" s="711"/>
      <c r="Q22357" s="11"/>
      <c r="R22357" s="11"/>
      <c r="S22357" s="11"/>
      <c r="T22357" s="11"/>
    </row>
    <row r="22358" spans="8:20" x14ac:dyDescent="0.35">
      <c r="H22358" s="711"/>
      <c r="I22358" s="711"/>
      <c r="J22358" s="711"/>
      <c r="K22358" s="711"/>
      <c r="L22358" s="711"/>
      <c r="Q22358" s="11"/>
      <c r="R22358" s="11"/>
      <c r="S22358" s="11"/>
      <c r="T22358" s="11"/>
    </row>
    <row r="22359" spans="8:20" x14ac:dyDescent="0.35">
      <c r="H22359" s="711"/>
      <c r="I22359" s="711"/>
      <c r="J22359" s="711"/>
      <c r="K22359" s="711"/>
      <c r="L22359" s="711"/>
      <c r="Q22359" s="11"/>
      <c r="R22359" s="11"/>
      <c r="S22359" s="11"/>
      <c r="T22359" s="11"/>
    </row>
    <row r="22360" spans="8:20" x14ac:dyDescent="0.35">
      <c r="H22360" s="711"/>
      <c r="I22360" s="711"/>
      <c r="J22360" s="711"/>
      <c r="K22360" s="711"/>
      <c r="L22360" s="711"/>
      <c r="Q22360" s="11"/>
      <c r="R22360" s="11"/>
      <c r="S22360" s="11"/>
      <c r="T22360" s="11"/>
    </row>
    <row r="22361" spans="8:20" x14ac:dyDescent="0.35">
      <c r="H22361" s="711"/>
      <c r="I22361" s="711"/>
      <c r="J22361" s="711"/>
      <c r="K22361" s="711"/>
      <c r="L22361" s="711"/>
      <c r="Q22361" s="11"/>
      <c r="R22361" s="11"/>
      <c r="S22361" s="11"/>
      <c r="T22361" s="11"/>
    </row>
    <row r="22362" spans="8:20" x14ac:dyDescent="0.35">
      <c r="H22362" s="711"/>
      <c r="I22362" s="711"/>
      <c r="J22362" s="711"/>
      <c r="K22362" s="711"/>
      <c r="L22362" s="711"/>
      <c r="Q22362" s="11"/>
      <c r="R22362" s="11"/>
      <c r="S22362" s="11"/>
      <c r="T22362" s="11"/>
    </row>
    <row r="22363" spans="8:20" x14ac:dyDescent="0.35">
      <c r="H22363" s="711"/>
      <c r="I22363" s="711"/>
      <c r="J22363" s="711"/>
      <c r="K22363" s="711"/>
      <c r="L22363" s="711"/>
      <c r="Q22363" s="11"/>
      <c r="R22363" s="11"/>
      <c r="S22363" s="11"/>
      <c r="T22363" s="11"/>
    </row>
    <row r="22364" spans="8:20" x14ac:dyDescent="0.35">
      <c r="H22364" s="711"/>
      <c r="I22364" s="711"/>
      <c r="J22364" s="711"/>
      <c r="K22364" s="711"/>
      <c r="L22364" s="711"/>
      <c r="Q22364" s="11"/>
      <c r="R22364" s="11"/>
      <c r="S22364" s="11"/>
      <c r="T22364" s="11"/>
    </row>
    <row r="22365" spans="8:20" x14ac:dyDescent="0.35">
      <c r="H22365" s="711"/>
      <c r="I22365" s="711"/>
      <c r="J22365" s="711"/>
      <c r="K22365" s="711"/>
      <c r="L22365" s="711"/>
      <c r="Q22365" s="11"/>
      <c r="R22365" s="11"/>
      <c r="S22365" s="11"/>
      <c r="T22365" s="11"/>
    </row>
    <row r="22366" spans="8:20" x14ac:dyDescent="0.35">
      <c r="H22366" s="711"/>
      <c r="I22366" s="711"/>
      <c r="J22366" s="711"/>
      <c r="K22366" s="711"/>
      <c r="L22366" s="711"/>
      <c r="Q22366" s="11"/>
      <c r="R22366" s="11"/>
      <c r="S22366" s="11"/>
      <c r="T22366" s="11"/>
    </row>
    <row r="22367" spans="8:20" x14ac:dyDescent="0.35">
      <c r="H22367" s="711"/>
      <c r="I22367" s="711"/>
      <c r="J22367" s="711"/>
      <c r="K22367" s="711"/>
      <c r="L22367" s="711"/>
      <c r="Q22367" s="11"/>
      <c r="R22367" s="11"/>
      <c r="S22367" s="11"/>
      <c r="T22367" s="11"/>
    </row>
    <row r="22368" spans="8:20" x14ac:dyDescent="0.35">
      <c r="H22368" s="711"/>
      <c r="I22368" s="711"/>
      <c r="J22368" s="711"/>
      <c r="K22368" s="711"/>
      <c r="L22368" s="711"/>
      <c r="Q22368" s="11"/>
      <c r="R22368" s="11"/>
      <c r="S22368" s="11"/>
      <c r="T22368" s="11"/>
    </row>
    <row r="22369" spans="8:20" x14ac:dyDescent="0.35">
      <c r="H22369" s="711"/>
      <c r="I22369" s="711"/>
      <c r="J22369" s="711"/>
      <c r="K22369" s="711"/>
      <c r="L22369" s="711"/>
      <c r="Q22369" s="11"/>
      <c r="R22369" s="11"/>
      <c r="S22369" s="11"/>
      <c r="T22369" s="11"/>
    </row>
    <row r="22370" spans="8:20" x14ac:dyDescent="0.35">
      <c r="H22370" s="711"/>
      <c r="I22370" s="711"/>
      <c r="J22370" s="711"/>
      <c r="K22370" s="711"/>
      <c r="L22370" s="711"/>
      <c r="Q22370" s="11"/>
      <c r="R22370" s="11"/>
      <c r="S22370" s="11"/>
      <c r="T22370" s="11"/>
    </row>
    <row r="22371" spans="8:20" x14ac:dyDescent="0.35">
      <c r="H22371" s="711"/>
      <c r="I22371" s="711"/>
      <c r="J22371" s="711"/>
      <c r="K22371" s="711"/>
      <c r="L22371" s="711"/>
      <c r="Q22371" s="11"/>
      <c r="R22371" s="11"/>
      <c r="S22371" s="11"/>
      <c r="T22371" s="11"/>
    </row>
    <row r="22372" spans="8:20" x14ac:dyDescent="0.35">
      <c r="H22372" s="711"/>
      <c r="I22372" s="711"/>
      <c r="J22372" s="711"/>
      <c r="K22372" s="711"/>
      <c r="L22372" s="711"/>
      <c r="Q22372" s="11"/>
      <c r="R22372" s="11"/>
      <c r="S22372" s="11"/>
      <c r="T22372" s="11"/>
    </row>
    <row r="22373" spans="8:20" x14ac:dyDescent="0.35">
      <c r="H22373" s="711"/>
      <c r="I22373" s="711"/>
      <c r="J22373" s="711"/>
      <c r="K22373" s="711"/>
      <c r="L22373" s="711"/>
      <c r="Q22373" s="11"/>
      <c r="R22373" s="11"/>
      <c r="S22373" s="11"/>
      <c r="T22373" s="11"/>
    </row>
    <row r="22374" spans="8:20" x14ac:dyDescent="0.35">
      <c r="H22374" s="711"/>
      <c r="I22374" s="711"/>
      <c r="J22374" s="711"/>
      <c r="K22374" s="711"/>
      <c r="L22374" s="711"/>
      <c r="Q22374" s="11"/>
      <c r="R22374" s="11"/>
      <c r="S22374" s="11"/>
      <c r="T22374" s="11"/>
    </row>
    <row r="22375" spans="8:20" x14ac:dyDescent="0.35">
      <c r="H22375" s="711"/>
      <c r="I22375" s="711"/>
      <c r="J22375" s="711"/>
      <c r="K22375" s="711"/>
      <c r="L22375" s="711"/>
      <c r="Q22375" s="11"/>
      <c r="R22375" s="11"/>
      <c r="S22375" s="11"/>
      <c r="T22375" s="11"/>
    </row>
    <row r="22376" spans="8:20" x14ac:dyDescent="0.35">
      <c r="H22376" s="711"/>
      <c r="I22376" s="711"/>
      <c r="J22376" s="711"/>
      <c r="K22376" s="711"/>
      <c r="L22376" s="711"/>
      <c r="Q22376" s="11"/>
      <c r="R22376" s="11"/>
      <c r="S22376" s="11"/>
      <c r="T22376" s="11"/>
    </row>
    <row r="22377" spans="8:20" x14ac:dyDescent="0.35">
      <c r="H22377" s="711"/>
      <c r="I22377" s="711"/>
      <c r="J22377" s="711"/>
      <c r="K22377" s="711"/>
      <c r="L22377" s="711"/>
      <c r="Q22377" s="11"/>
      <c r="R22377" s="11"/>
      <c r="S22377" s="11"/>
      <c r="T22377" s="11"/>
    </row>
    <row r="22378" spans="8:20" x14ac:dyDescent="0.35">
      <c r="H22378" s="711"/>
      <c r="I22378" s="711"/>
      <c r="J22378" s="711"/>
      <c r="K22378" s="711"/>
      <c r="L22378" s="711"/>
      <c r="Q22378" s="11"/>
      <c r="R22378" s="11"/>
      <c r="S22378" s="11"/>
      <c r="T22378" s="11"/>
    </row>
    <row r="22379" spans="8:20" x14ac:dyDescent="0.35">
      <c r="H22379" s="711"/>
      <c r="I22379" s="711"/>
      <c r="J22379" s="711"/>
      <c r="K22379" s="711"/>
      <c r="L22379" s="711"/>
      <c r="Q22379" s="11"/>
      <c r="R22379" s="11"/>
      <c r="S22379" s="11"/>
      <c r="T22379" s="11"/>
    </row>
    <row r="22380" spans="8:20" x14ac:dyDescent="0.35">
      <c r="H22380" s="711"/>
      <c r="I22380" s="711"/>
      <c r="J22380" s="711"/>
      <c r="K22380" s="711"/>
      <c r="L22380" s="711"/>
      <c r="Q22380" s="11"/>
      <c r="R22380" s="11"/>
      <c r="S22380" s="11"/>
      <c r="T22380" s="11"/>
    </row>
    <row r="22381" spans="8:20" x14ac:dyDescent="0.35">
      <c r="H22381" s="711"/>
      <c r="I22381" s="711"/>
      <c r="J22381" s="711"/>
      <c r="K22381" s="711"/>
      <c r="L22381" s="711"/>
      <c r="Q22381" s="11"/>
      <c r="R22381" s="11"/>
      <c r="S22381" s="11"/>
      <c r="T22381" s="11"/>
    </row>
    <row r="22382" spans="8:20" x14ac:dyDescent="0.35">
      <c r="H22382" s="711"/>
      <c r="I22382" s="711"/>
      <c r="J22382" s="711"/>
      <c r="K22382" s="711"/>
      <c r="L22382" s="711"/>
      <c r="Q22382" s="11"/>
      <c r="R22382" s="11"/>
      <c r="S22382" s="11"/>
      <c r="T22382" s="11"/>
    </row>
    <row r="22383" spans="8:20" x14ac:dyDescent="0.35">
      <c r="H22383" s="711"/>
      <c r="I22383" s="711"/>
      <c r="J22383" s="711"/>
      <c r="K22383" s="711"/>
      <c r="L22383" s="711"/>
      <c r="Q22383" s="11"/>
      <c r="R22383" s="11"/>
      <c r="S22383" s="11"/>
      <c r="T22383" s="11"/>
    </row>
    <row r="22384" spans="8:20" x14ac:dyDescent="0.35">
      <c r="H22384" s="711"/>
      <c r="I22384" s="711"/>
      <c r="J22384" s="711"/>
      <c r="K22384" s="711"/>
      <c r="L22384" s="711"/>
      <c r="Q22384" s="11"/>
      <c r="R22384" s="11"/>
      <c r="S22384" s="11"/>
      <c r="T22384" s="11"/>
    </row>
    <row r="22385" spans="8:20" x14ac:dyDescent="0.35">
      <c r="H22385" s="711"/>
      <c r="I22385" s="711"/>
      <c r="J22385" s="711"/>
      <c r="K22385" s="711"/>
      <c r="L22385" s="711"/>
      <c r="Q22385" s="11"/>
      <c r="R22385" s="11"/>
      <c r="S22385" s="11"/>
      <c r="T22385" s="11"/>
    </row>
    <row r="22386" spans="8:20" x14ac:dyDescent="0.35">
      <c r="H22386" s="711"/>
      <c r="I22386" s="711"/>
      <c r="J22386" s="711"/>
      <c r="K22386" s="711"/>
      <c r="L22386" s="711"/>
      <c r="Q22386" s="11"/>
      <c r="R22386" s="11"/>
      <c r="S22386" s="11"/>
      <c r="T22386" s="11"/>
    </row>
    <row r="22387" spans="8:20" x14ac:dyDescent="0.35">
      <c r="H22387" s="711"/>
      <c r="I22387" s="711"/>
      <c r="J22387" s="711"/>
      <c r="K22387" s="711"/>
      <c r="L22387" s="711"/>
      <c r="Q22387" s="11"/>
      <c r="R22387" s="11"/>
      <c r="S22387" s="11"/>
      <c r="T22387" s="11"/>
    </row>
    <row r="22388" spans="8:20" x14ac:dyDescent="0.35">
      <c r="H22388" s="711"/>
      <c r="I22388" s="711"/>
      <c r="J22388" s="711"/>
      <c r="K22388" s="711"/>
      <c r="L22388" s="711"/>
      <c r="Q22388" s="11"/>
      <c r="R22388" s="11"/>
      <c r="S22388" s="11"/>
      <c r="T22388" s="11"/>
    </row>
    <row r="22389" spans="8:20" x14ac:dyDescent="0.35">
      <c r="H22389" s="711"/>
      <c r="I22389" s="711"/>
      <c r="J22389" s="711"/>
      <c r="K22389" s="711"/>
      <c r="L22389" s="711"/>
      <c r="Q22389" s="11"/>
      <c r="R22389" s="11"/>
      <c r="S22389" s="11"/>
      <c r="T22389" s="11"/>
    </row>
    <row r="22390" spans="8:20" x14ac:dyDescent="0.35">
      <c r="H22390" s="711"/>
      <c r="I22390" s="711"/>
      <c r="J22390" s="711"/>
      <c r="K22390" s="711"/>
      <c r="L22390" s="711"/>
      <c r="Q22390" s="11"/>
      <c r="R22390" s="11"/>
      <c r="S22390" s="11"/>
      <c r="T22390" s="11"/>
    </row>
    <row r="22391" spans="8:20" x14ac:dyDescent="0.35">
      <c r="H22391" s="711"/>
      <c r="I22391" s="711"/>
      <c r="J22391" s="711"/>
      <c r="K22391" s="711"/>
      <c r="L22391" s="711"/>
      <c r="Q22391" s="11"/>
      <c r="R22391" s="11"/>
      <c r="S22391" s="11"/>
      <c r="T22391" s="11"/>
    </row>
    <row r="22392" spans="8:20" x14ac:dyDescent="0.35">
      <c r="H22392" s="711"/>
      <c r="I22392" s="711"/>
      <c r="J22392" s="711"/>
      <c r="K22392" s="711"/>
      <c r="L22392" s="711"/>
      <c r="Q22392" s="11"/>
      <c r="R22392" s="11"/>
      <c r="S22392" s="11"/>
      <c r="T22392" s="11"/>
    </row>
    <row r="22393" spans="8:20" x14ac:dyDescent="0.35">
      <c r="H22393" s="711"/>
      <c r="I22393" s="711"/>
      <c r="J22393" s="711"/>
      <c r="K22393" s="711"/>
      <c r="L22393" s="711"/>
      <c r="Q22393" s="11"/>
      <c r="R22393" s="11"/>
      <c r="S22393" s="11"/>
      <c r="T22393" s="11"/>
    </row>
    <row r="22394" spans="8:20" x14ac:dyDescent="0.35">
      <c r="H22394" s="711"/>
      <c r="I22394" s="711"/>
      <c r="J22394" s="711"/>
      <c r="K22394" s="711"/>
      <c r="L22394" s="711"/>
      <c r="Q22394" s="11"/>
      <c r="R22394" s="11"/>
      <c r="S22394" s="11"/>
      <c r="T22394" s="11"/>
    </row>
    <row r="22395" spans="8:20" x14ac:dyDescent="0.35">
      <c r="H22395" s="711"/>
      <c r="I22395" s="711"/>
      <c r="J22395" s="711"/>
      <c r="K22395" s="711"/>
      <c r="L22395" s="711"/>
      <c r="Q22395" s="11"/>
      <c r="R22395" s="11"/>
      <c r="S22395" s="11"/>
      <c r="T22395" s="11"/>
    </row>
    <row r="22396" spans="8:20" x14ac:dyDescent="0.35">
      <c r="H22396" s="711"/>
      <c r="I22396" s="711"/>
      <c r="J22396" s="711"/>
      <c r="K22396" s="711"/>
      <c r="L22396" s="711"/>
      <c r="Q22396" s="11"/>
      <c r="R22396" s="11"/>
      <c r="S22396" s="11"/>
      <c r="T22396" s="11"/>
    </row>
    <row r="22397" spans="8:20" x14ac:dyDescent="0.35">
      <c r="H22397" s="711"/>
      <c r="I22397" s="711"/>
      <c r="J22397" s="711"/>
      <c r="K22397" s="711"/>
      <c r="L22397" s="711"/>
      <c r="Q22397" s="11"/>
      <c r="R22397" s="11"/>
      <c r="S22397" s="11"/>
      <c r="T22397" s="11"/>
    </row>
    <row r="22398" spans="8:20" x14ac:dyDescent="0.35">
      <c r="H22398" s="711"/>
      <c r="I22398" s="711"/>
      <c r="J22398" s="711"/>
      <c r="K22398" s="711"/>
      <c r="L22398" s="711"/>
      <c r="Q22398" s="11"/>
      <c r="R22398" s="11"/>
      <c r="S22398" s="11"/>
      <c r="T22398" s="11"/>
    </row>
    <row r="22399" spans="8:20" x14ac:dyDescent="0.35">
      <c r="H22399" s="711"/>
      <c r="I22399" s="711"/>
      <c r="J22399" s="711"/>
      <c r="K22399" s="711"/>
      <c r="L22399" s="711"/>
      <c r="Q22399" s="11"/>
      <c r="R22399" s="11"/>
      <c r="S22399" s="11"/>
      <c r="T22399" s="11"/>
    </row>
    <row r="22400" spans="8:20" x14ac:dyDescent="0.35">
      <c r="H22400" s="711"/>
      <c r="I22400" s="711"/>
      <c r="J22400" s="711"/>
      <c r="K22400" s="711"/>
      <c r="L22400" s="711"/>
      <c r="Q22400" s="11"/>
      <c r="R22400" s="11"/>
      <c r="S22400" s="11"/>
      <c r="T22400" s="11"/>
    </row>
    <row r="22401" spans="8:20" x14ac:dyDescent="0.35">
      <c r="H22401" s="711"/>
      <c r="I22401" s="711"/>
      <c r="J22401" s="711"/>
      <c r="K22401" s="711"/>
      <c r="L22401" s="711"/>
      <c r="Q22401" s="11"/>
      <c r="R22401" s="11"/>
      <c r="S22401" s="11"/>
      <c r="T22401" s="11"/>
    </row>
    <row r="22402" spans="8:20" x14ac:dyDescent="0.35">
      <c r="H22402" s="711"/>
      <c r="I22402" s="711"/>
      <c r="J22402" s="711"/>
      <c r="K22402" s="711"/>
      <c r="L22402" s="711"/>
      <c r="Q22402" s="11"/>
      <c r="R22402" s="11"/>
      <c r="S22402" s="11"/>
      <c r="T22402" s="11"/>
    </row>
    <row r="22403" spans="8:20" x14ac:dyDescent="0.35">
      <c r="H22403" s="711"/>
      <c r="I22403" s="711"/>
      <c r="J22403" s="711"/>
      <c r="K22403" s="711"/>
      <c r="L22403" s="711"/>
      <c r="Q22403" s="11"/>
      <c r="R22403" s="11"/>
      <c r="S22403" s="11"/>
      <c r="T22403" s="11"/>
    </row>
    <row r="22404" spans="8:20" x14ac:dyDescent="0.35">
      <c r="H22404" s="711"/>
      <c r="I22404" s="711"/>
      <c r="J22404" s="711"/>
      <c r="K22404" s="711"/>
      <c r="L22404" s="711"/>
      <c r="Q22404" s="11"/>
      <c r="R22404" s="11"/>
      <c r="S22404" s="11"/>
      <c r="T22404" s="11"/>
    </row>
    <row r="22405" spans="8:20" x14ac:dyDescent="0.35">
      <c r="H22405" s="711"/>
      <c r="I22405" s="711"/>
      <c r="J22405" s="711"/>
      <c r="K22405" s="711"/>
      <c r="L22405" s="711"/>
      <c r="Q22405" s="11"/>
      <c r="R22405" s="11"/>
      <c r="S22405" s="11"/>
      <c r="T22405" s="11"/>
    </row>
    <row r="22406" spans="8:20" x14ac:dyDescent="0.35">
      <c r="H22406" s="711"/>
      <c r="I22406" s="711"/>
      <c r="J22406" s="711"/>
      <c r="K22406" s="711"/>
      <c r="L22406" s="711"/>
      <c r="Q22406" s="11"/>
      <c r="R22406" s="11"/>
      <c r="S22406" s="11"/>
      <c r="T22406" s="11"/>
    </row>
    <row r="22407" spans="8:20" x14ac:dyDescent="0.35">
      <c r="H22407" s="711"/>
      <c r="I22407" s="711"/>
      <c r="J22407" s="711"/>
      <c r="K22407" s="711"/>
      <c r="L22407" s="711"/>
      <c r="Q22407" s="11"/>
      <c r="R22407" s="11"/>
      <c r="S22407" s="11"/>
      <c r="T22407" s="11"/>
    </row>
    <row r="22408" spans="8:20" x14ac:dyDescent="0.35">
      <c r="H22408" s="711"/>
      <c r="I22408" s="711"/>
      <c r="J22408" s="711"/>
      <c r="K22408" s="711"/>
      <c r="L22408" s="711"/>
      <c r="Q22408" s="11"/>
      <c r="R22408" s="11"/>
      <c r="S22408" s="11"/>
      <c r="T22408" s="11"/>
    </row>
    <row r="22409" spans="8:20" x14ac:dyDescent="0.35">
      <c r="H22409" s="711"/>
      <c r="I22409" s="711"/>
      <c r="J22409" s="711"/>
      <c r="K22409" s="711"/>
      <c r="L22409" s="711"/>
      <c r="Q22409" s="11"/>
      <c r="R22409" s="11"/>
      <c r="S22409" s="11"/>
      <c r="T22409" s="11"/>
    </row>
    <row r="22410" spans="8:20" x14ac:dyDescent="0.35">
      <c r="H22410" s="711"/>
      <c r="I22410" s="711"/>
      <c r="J22410" s="711"/>
      <c r="K22410" s="711"/>
      <c r="L22410" s="711"/>
      <c r="Q22410" s="11"/>
      <c r="R22410" s="11"/>
      <c r="S22410" s="11"/>
      <c r="T22410" s="11"/>
    </row>
    <row r="22411" spans="8:20" x14ac:dyDescent="0.35">
      <c r="H22411" s="711"/>
      <c r="I22411" s="711"/>
      <c r="J22411" s="711"/>
      <c r="K22411" s="711"/>
      <c r="L22411" s="711"/>
      <c r="Q22411" s="11"/>
      <c r="R22411" s="11"/>
      <c r="S22411" s="11"/>
      <c r="T22411" s="11"/>
    </row>
    <row r="22412" spans="8:20" x14ac:dyDescent="0.35">
      <c r="H22412" s="711"/>
      <c r="I22412" s="711"/>
      <c r="J22412" s="711"/>
      <c r="K22412" s="711"/>
      <c r="L22412" s="711"/>
      <c r="Q22412" s="11"/>
      <c r="R22412" s="11"/>
      <c r="S22412" s="11"/>
      <c r="T22412" s="11"/>
    </row>
    <row r="22413" spans="8:20" x14ac:dyDescent="0.35">
      <c r="H22413" s="711"/>
      <c r="I22413" s="711"/>
      <c r="J22413" s="711"/>
      <c r="K22413" s="711"/>
      <c r="L22413" s="711"/>
      <c r="Q22413" s="11"/>
      <c r="R22413" s="11"/>
      <c r="S22413" s="11"/>
      <c r="T22413" s="11"/>
    </row>
    <row r="22414" spans="8:20" x14ac:dyDescent="0.35">
      <c r="H22414" s="711"/>
      <c r="I22414" s="711"/>
      <c r="J22414" s="711"/>
      <c r="K22414" s="711"/>
      <c r="L22414" s="711"/>
      <c r="Q22414" s="11"/>
      <c r="R22414" s="11"/>
      <c r="S22414" s="11"/>
      <c r="T22414" s="11"/>
    </row>
    <row r="22415" spans="8:20" x14ac:dyDescent="0.35">
      <c r="H22415" s="711"/>
      <c r="I22415" s="711"/>
      <c r="J22415" s="711"/>
      <c r="K22415" s="711"/>
      <c r="L22415" s="711"/>
      <c r="Q22415" s="11"/>
      <c r="R22415" s="11"/>
      <c r="S22415" s="11"/>
      <c r="T22415" s="11"/>
    </row>
    <row r="22416" spans="8:20" x14ac:dyDescent="0.35">
      <c r="H22416" s="711"/>
      <c r="I22416" s="711"/>
      <c r="J22416" s="711"/>
      <c r="K22416" s="711"/>
      <c r="L22416" s="711"/>
      <c r="Q22416" s="11"/>
      <c r="R22416" s="11"/>
      <c r="S22416" s="11"/>
      <c r="T22416" s="11"/>
    </row>
    <row r="22417" spans="8:20" x14ac:dyDescent="0.35">
      <c r="H22417" s="711"/>
      <c r="I22417" s="711"/>
      <c r="J22417" s="711"/>
      <c r="K22417" s="711"/>
      <c r="L22417" s="711"/>
      <c r="Q22417" s="11"/>
      <c r="R22417" s="11"/>
      <c r="S22417" s="11"/>
      <c r="T22417" s="11"/>
    </row>
    <row r="22418" spans="8:20" x14ac:dyDescent="0.35">
      <c r="H22418" s="711"/>
      <c r="I22418" s="711"/>
      <c r="J22418" s="711"/>
      <c r="K22418" s="711"/>
      <c r="L22418" s="711"/>
      <c r="Q22418" s="11"/>
      <c r="R22418" s="11"/>
      <c r="S22418" s="11"/>
      <c r="T22418" s="11"/>
    </row>
    <row r="22419" spans="8:20" x14ac:dyDescent="0.35">
      <c r="H22419" s="711"/>
      <c r="I22419" s="711"/>
      <c r="J22419" s="711"/>
      <c r="K22419" s="711"/>
      <c r="L22419" s="711"/>
      <c r="Q22419" s="11"/>
      <c r="R22419" s="11"/>
      <c r="S22419" s="11"/>
      <c r="T22419" s="11"/>
    </row>
    <row r="22420" spans="8:20" x14ac:dyDescent="0.35">
      <c r="H22420" s="711"/>
      <c r="I22420" s="711"/>
      <c r="J22420" s="711"/>
      <c r="K22420" s="711"/>
      <c r="L22420" s="711"/>
      <c r="Q22420" s="11"/>
      <c r="R22420" s="11"/>
      <c r="S22420" s="11"/>
      <c r="T22420" s="11"/>
    </row>
    <row r="22421" spans="8:20" x14ac:dyDescent="0.35">
      <c r="H22421" s="711"/>
      <c r="I22421" s="711"/>
      <c r="J22421" s="711"/>
      <c r="K22421" s="711"/>
      <c r="L22421" s="711"/>
      <c r="Q22421" s="11"/>
      <c r="R22421" s="11"/>
      <c r="S22421" s="11"/>
      <c r="T22421" s="11"/>
    </row>
    <row r="22422" spans="8:20" x14ac:dyDescent="0.35">
      <c r="H22422" s="711"/>
      <c r="I22422" s="711"/>
      <c r="J22422" s="711"/>
      <c r="K22422" s="711"/>
      <c r="L22422" s="711"/>
      <c r="Q22422" s="11"/>
      <c r="R22422" s="11"/>
      <c r="S22422" s="11"/>
      <c r="T22422" s="11"/>
    </row>
    <row r="22423" spans="8:20" x14ac:dyDescent="0.35">
      <c r="H22423" s="711"/>
      <c r="I22423" s="711"/>
      <c r="J22423" s="711"/>
      <c r="K22423" s="711"/>
      <c r="L22423" s="711"/>
      <c r="Q22423" s="11"/>
      <c r="R22423" s="11"/>
      <c r="S22423" s="11"/>
      <c r="T22423" s="11"/>
    </row>
    <row r="22424" spans="8:20" x14ac:dyDescent="0.35">
      <c r="H22424" s="711"/>
      <c r="I22424" s="711"/>
      <c r="J22424" s="711"/>
      <c r="K22424" s="711"/>
      <c r="L22424" s="711"/>
      <c r="Q22424" s="11"/>
      <c r="R22424" s="11"/>
      <c r="S22424" s="11"/>
      <c r="T22424" s="11"/>
    </row>
    <row r="22425" spans="8:20" x14ac:dyDescent="0.35">
      <c r="H22425" s="711"/>
      <c r="I22425" s="711"/>
      <c r="J22425" s="711"/>
      <c r="K22425" s="711"/>
      <c r="L22425" s="711"/>
      <c r="Q22425" s="11"/>
      <c r="R22425" s="11"/>
      <c r="S22425" s="11"/>
      <c r="T22425" s="11"/>
    </row>
    <row r="22426" spans="8:20" x14ac:dyDescent="0.35">
      <c r="H22426" s="711"/>
      <c r="I22426" s="711"/>
      <c r="J22426" s="711"/>
      <c r="K22426" s="711"/>
      <c r="L22426" s="711"/>
      <c r="Q22426" s="11"/>
      <c r="R22426" s="11"/>
      <c r="S22426" s="11"/>
      <c r="T22426" s="11"/>
    </row>
    <row r="22427" spans="8:20" x14ac:dyDescent="0.35">
      <c r="H22427" s="711"/>
      <c r="I22427" s="711"/>
      <c r="J22427" s="711"/>
      <c r="K22427" s="711"/>
      <c r="L22427" s="711"/>
      <c r="Q22427" s="11"/>
      <c r="R22427" s="11"/>
      <c r="S22427" s="11"/>
      <c r="T22427" s="11"/>
    </row>
    <row r="22428" spans="8:20" x14ac:dyDescent="0.35">
      <c r="H22428" s="711"/>
      <c r="I22428" s="711"/>
      <c r="J22428" s="711"/>
      <c r="K22428" s="711"/>
      <c r="L22428" s="711"/>
      <c r="Q22428" s="11"/>
      <c r="R22428" s="11"/>
      <c r="S22428" s="11"/>
      <c r="T22428" s="11"/>
    </row>
    <row r="22429" spans="8:20" x14ac:dyDescent="0.35">
      <c r="H22429" s="711"/>
      <c r="I22429" s="711"/>
      <c r="J22429" s="711"/>
      <c r="K22429" s="711"/>
      <c r="L22429" s="711"/>
      <c r="Q22429" s="11"/>
      <c r="R22429" s="11"/>
      <c r="S22429" s="11"/>
      <c r="T22429" s="11"/>
    </row>
    <row r="22430" spans="8:20" x14ac:dyDescent="0.35">
      <c r="H22430" s="711"/>
      <c r="I22430" s="711"/>
      <c r="J22430" s="711"/>
      <c r="K22430" s="711"/>
      <c r="L22430" s="711"/>
      <c r="Q22430" s="11"/>
      <c r="R22430" s="11"/>
      <c r="S22430" s="11"/>
      <c r="T22430" s="11"/>
    </row>
    <row r="22431" spans="8:20" x14ac:dyDescent="0.35">
      <c r="H22431" s="711"/>
      <c r="I22431" s="711"/>
      <c r="J22431" s="711"/>
      <c r="K22431" s="711"/>
      <c r="L22431" s="711"/>
      <c r="Q22431" s="11"/>
      <c r="R22431" s="11"/>
      <c r="S22431" s="11"/>
      <c r="T22431" s="11"/>
    </row>
    <row r="22432" spans="8:20" x14ac:dyDescent="0.35">
      <c r="H22432" s="711"/>
      <c r="I22432" s="711"/>
      <c r="J22432" s="711"/>
      <c r="K22432" s="711"/>
      <c r="L22432" s="711"/>
      <c r="Q22432" s="11"/>
      <c r="R22432" s="11"/>
      <c r="S22432" s="11"/>
      <c r="T22432" s="11"/>
    </row>
    <row r="22433" spans="8:20" x14ac:dyDescent="0.35">
      <c r="H22433" s="711"/>
      <c r="I22433" s="711"/>
      <c r="J22433" s="711"/>
      <c r="K22433" s="711"/>
      <c r="L22433" s="711"/>
      <c r="Q22433" s="11"/>
      <c r="R22433" s="11"/>
      <c r="S22433" s="11"/>
      <c r="T22433" s="11"/>
    </row>
    <row r="22434" spans="8:20" x14ac:dyDescent="0.35">
      <c r="H22434" s="711"/>
      <c r="I22434" s="711"/>
      <c r="J22434" s="711"/>
      <c r="K22434" s="711"/>
      <c r="L22434" s="711"/>
      <c r="Q22434" s="11"/>
      <c r="R22434" s="11"/>
      <c r="S22434" s="11"/>
      <c r="T22434" s="11"/>
    </row>
    <row r="22435" spans="8:20" x14ac:dyDescent="0.35">
      <c r="H22435" s="711"/>
      <c r="I22435" s="711"/>
      <c r="J22435" s="711"/>
      <c r="K22435" s="711"/>
      <c r="L22435" s="711"/>
      <c r="Q22435" s="11"/>
      <c r="R22435" s="11"/>
      <c r="S22435" s="11"/>
      <c r="T22435" s="11"/>
    </row>
    <row r="22436" spans="8:20" x14ac:dyDescent="0.35">
      <c r="H22436" s="711"/>
      <c r="I22436" s="711"/>
      <c r="J22436" s="711"/>
      <c r="K22436" s="711"/>
      <c r="L22436" s="711"/>
      <c r="Q22436" s="11"/>
      <c r="R22436" s="11"/>
      <c r="S22436" s="11"/>
      <c r="T22436" s="11"/>
    </row>
    <row r="22437" spans="8:20" x14ac:dyDescent="0.35">
      <c r="H22437" s="711"/>
      <c r="I22437" s="711"/>
      <c r="J22437" s="711"/>
      <c r="K22437" s="711"/>
      <c r="L22437" s="711"/>
      <c r="Q22437" s="11"/>
      <c r="R22437" s="11"/>
      <c r="S22437" s="11"/>
      <c r="T22437" s="11"/>
    </row>
    <row r="22438" spans="8:20" x14ac:dyDescent="0.35">
      <c r="H22438" s="711"/>
      <c r="I22438" s="711"/>
      <c r="J22438" s="711"/>
      <c r="K22438" s="711"/>
      <c r="L22438" s="711"/>
      <c r="Q22438" s="11"/>
      <c r="R22438" s="11"/>
      <c r="S22438" s="11"/>
      <c r="T22438" s="11"/>
    </row>
    <row r="22439" spans="8:20" x14ac:dyDescent="0.35">
      <c r="H22439" s="711"/>
      <c r="I22439" s="711"/>
      <c r="J22439" s="711"/>
      <c r="K22439" s="711"/>
      <c r="L22439" s="711"/>
      <c r="Q22439" s="11"/>
      <c r="R22439" s="11"/>
      <c r="S22439" s="11"/>
      <c r="T22439" s="11"/>
    </row>
    <row r="22440" spans="8:20" x14ac:dyDescent="0.35">
      <c r="H22440" s="711"/>
      <c r="I22440" s="711"/>
      <c r="J22440" s="711"/>
      <c r="K22440" s="711"/>
      <c r="L22440" s="711"/>
      <c r="Q22440" s="11"/>
      <c r="R22440" s="11"/>
      <c r="S22440" s="11"/>
      <c r="T22440" s="11"/>
    </row>
    <row r="22441" spans="8:20" x14ac:dyDescent="0.35">
      <c r="H22441" s="711"/>
      <c r="I22441" s="711"/>
      <c r="J22441" s="711"/>
      <c r="K22441" s="711"/>
      <c r="L22441" s="711"/>
      <c r="Q22441" s="11"/>
      <c r="R22441" s="11"/>
      <c r="S22441" s="11"/>
      <c r="T22441" s="11"/>
    </row>
    <row r="22442" spans="8:20" x14ac:dyDescent="0.35">
      <c r="H22442" s="711"/>
      <c r="I22442" s="711"/>
      <c r="J22442" s="711"/>
      <c r="K22442" s="711"/>
      <c r="L22442" s="711"/>
      <c r="Q22442" s="11"/>
      <c r="R22442" s="11"/>
      <c r="S22442" s="11"/>
      <c r="T22442" s="11"/>
    </row>
    <row r="22443" spans="8:20" x14ac:dyDescent="0.35">
      <c r="H22443" s="711"/>
      <c r="I22443" s="711"/>
      <c r="J22443" s="711"/>
      <c r="K22443" s="711"/>
      <c r="L22443" s="711"/>
      <c r="Q22443" s="11"/>
      <c r="R22443" s="11"/>
      <c r="S22443" s="11"/>
      <c r="T22443" s="11"/>
    </row>
    <row r="22444" spans="8:20" x14ac:dyDescent="0.35">
      <c r="H22444" s="711"/>
      <c r="I22444" s="711"/>
      <c r="J22444" s="711"/>
      <c r="K22444" s="711"/>
      <c r="L22444" s="711"/>
      <c r="Q22444" s="11"/>
      <c r="R22444" s="11"/>
      <c r="S22444" s="11"/>
      <c r="T22444" s="11"/>
    </row>
    <row r="22445" spans="8:20" x14ac:dyDescent="0.35">
      <c r="H22445" s="711"/>
      <c r="I22445" s="711"/>
      <c r="J22445" s="711"/>
      <c r="K22445" s="711"/>
      <c r="L22445" s="711"/>
      <c r="Q22445" s="11"/>
      <c r="R22445" s="11"/>
      <c r="S22445" s="11"/>
      <c r="T22445" s="11"/>
    </row>
    <row r="22446" spans="8:20" x14ac:dyDescent="0.35">
      <c r="H22446" s="711"/>
      <c r="I22446" s="711"/>
      <c r="J22446" s="711"/>
      <c r="K22446" s="711"/>
      <c r="L22446" s="711"/>
      <c r="Q22446" s="11"/>
      <c r="R22446" s="11"/>
      <c r="S22446" s="11"/>
      <c r="T22446" s="11"/>
    </row>
    <row r="22447" spans="8:20" x14ac:dyDescent="0.35">
      <c r="H22447" s="711"/>
      <c r="I22447" s="711"/>
      <c r="J22447" s="711"/>
      <c r="K22447" s="711"/>
      <c r="L22447" s="711"/>
      <c r="Q22447" s="11"/>
      <c r="R22447" s="11"/>
      <c r="S22447" s="11"/>
      <c r="T22447" s="11"/>
    </row>
    <row r="22448" spans="8:20" x14ac:dyDescent="0.35">
      <c r="H22448" s="711"/>
      <c r="I22448" s="711"/>
      <c r="J22448" s="711"/>
      <c r="K22448" s="711"/>
      <c r="L22448" s="711"/>
      <c r="Q22448" s="11"/>
      <c r="R22448" s="11"/>
      <c r="S22448" s="11"/>
      <c r="T22448" s="11"/>
    </row>
    <row r="22449" spans="8:20" x14ac:dyDescent="0.35">
      <c r="H22449" s="711"/>
      <c r="I22449" s="711"/>
      <c r="J22449" s="711"/>
      <c r="K22449" s="711"/>
      <c r="L22449" s="711"/>
      <c r="Q22449" s="11"/>
      <c r="R22449" s="11"/>
      <c r="S22449" s="11"/>
      <c r="T22449" s="11"/>
    </row>
    <row r="22450" spans="8:20" x14ac:dyDescent="0.35">
      <c r="H22450" s="711"/>
      <c r="I22450" s="711"/>
      <c r="J22450" s="711"/>
      <c r="K22450" s="711"/>
      <c r="L22450" s="711"/>
      <c r="Q22450" s="11"/>
      <c r="R22450" s="11"/>
      <c r="S22450" s="11"/>
      <c r="T22450" s="11"/>
    </row>
    <row r="22451" spans="8:20" x14ac:dyDescent="0.35">
      <c r="H22451" s="711"/>
      <c r="I22451" s="711"/>
      <c r="J22451" s="711"/>
      <c r="K22451" s="711"/>
      <c r="L22451" s="711"/>
      <c r="Q22451" s="11"/>
      <c r="R22451" s="11"/>
      <c r="S22451" s="11"/>
      <c r="T22451" s="11"/>
    </row>
    <row r="22452" spans="8:20" x14ac:dyDescent="0.35">
      <c r="H22452" s="711"/>
      <c r="I22452" s="711"/>
      <c r="J22452" s="711"/>
      <c r="K22452" s="711"/>
      <c r="L22452" s="711"/>
      <c r="Q22452" s="11"/>
      <c r="R22452" s="11"/>
      <c r="S22452" s="11"/>
      <c r="T22452" s="11"/>
    </row>
    <row r="22453" spans="8:20" x14ac:dyDescent="0.35">
      <c r="H22453" s="711"/>
      <c r="I22453" s="711"/>
      <c r="J22453" s="711"/>
      <c r="K22453" s="711"/>
      <c r="L22453" s="711"/>
      <c r="Q22453" s="11"/>
      <c r="R22453" s="11"/>
      <c r="S22453" s="11"/>
      <c r="T22453" s="11"/>
    </row>
    <row r="22454" spans="8:20" x14ac:dyDescent="0.35">
      <c r="H22454" s="711"/>
      <c r="I22454" s="711"/>
      <c r="J22454" s="711"/>
      <c r="K22454" s="711"/>
      <c r="L22454" s="711"/>
      <c r="Q22454" s="11"/>
      <c r="R22454" s="11"/>
      <c r="S22454" s="11"/>
      <c r="T22454" s="11"/>
    </row>
    <row r="22455" spans="8:20" x14ac:dyDescent="0.35">
      <c r="H22455" s="711"/>
      <c r="I22455" s="711"/>
      <c r="J22455" s="711"/>
      <c r="K22455" s="711"/>
      <c r="L22455" s="711"/>
      <c r="Q22455" s="11"/>
      <c r="R22455" s="11"/>
      <c r="S22455" s="11"/>
      <c r="T22455" s="11"/>
    </row>
    <row r="22456" spans="8:20" x14ac:dyDescent="0.35">
      <c r="H22456" s="711"/>
      <c r="I22456" s="711"/>
      <c r="J22456" s="711"/>
      <c r="K22456" s="711"/>
      <c r="L22456" s="711"/>
      <c r="Q22456" s="11"/>
      <c r="R22456" s="11"/>
      <c r="S22456" s="11"/>
      <c r="T22456" s="11"/>
    </row>
    <row r="22457" spans="8:20" x14ac:dyDescent="0.35">
      <c r="H22457" s="711"/>
      <c r="I22457" s="711"/>
      <c r="J22457" s="711"/>
      <c r="K22457" s="711"/>
      <c r="L22457" s="711"/>
      <c r="Q22457" s="11"/>
      <c r="R22457" s="11"/>
      <c r="S22457" s="11"/>
      <c r="T22457" s="11"/>
    </row>
    <row r="22458" spans="8:20" x14ac:dyDescent="0.35">
      <c r="H22458" s="711"/>
      <c r="I22458" s="711"/>
      <c r="J22458" s="711"/>
      <c r="K22458" s="711"/>
      <c r="L22458" s="711"/>
      <c r="Q22458" s="11"/>
      <c r="R22458" s="11"/>
      <c r="S22458" s="11"/>
      <c r="T22458" s="11"/>
    </row>
    <row r="22459" spans="8:20" x14ac:dyDescent="0.35">
      <c r="H22459" s="711"/>
      <c r="I22459" s="711"/>
      <c r="J22459" s="711"/>
      <c r="K22459" s="711"/>
      <c r="L22459" s="711"/>
      <c r="Q22459" s="11"/>
      <c r="R22459" s="11"/>
      <c r="S22459" s="11"/>
      <c r="T22459" s="11"/>
    </row>
    <row r="22460" spans="8:20" x14ac:dyDescent="0.35">
      <c r="H22460" s="711"/>
      <c r="I22460" s="711"/>
      <c r="J22460" s="711"/>
      <c r="K22460" s="711"/>
      <c r="L22460" s="711"/>
      <c r="Q22460" s="11"/>
      <c r="R22460" s="11"/>
      <c r="S22460" s="11"/>
      <c r="T22460" s="11"/>
    </row>
    <row r="22461" spans="8:20" x14ac:dyDescent="0.35">
      <c r="H22461" s="711"/>
      <c r="I22461" s="711"/>
      <c r="J22461" s="711"/>
      <c r="K22461" s="711"/>
      <c r="L22461" s="711"/>
      <c r="Q22461" s="11"/>
      <c r="R22461" s="11"/>
      <c r="S22461" s="11"/>
      <c r="T22461" s="11"/>
    </row>
    <row r="22462" spans="8:20" x14ac:dyDescent="0.35">
      <c r="H22462" s="711"/>
      <c r="I22462" s="711"/>
      <c r="J22462" s="711"/>
      <c r="K22462" s="711"/>
      <c r="L22462" s="711"/>
      <c r="Q22462" s="11"/>
      <c r="R22462" s="11"/>
      <c r="S22462" s="11"/>
      <c r="T22462" s="11"/>
    </row>
    <row r="22463" spans="8:20" x14ac:dyDescent="0.35">
      <c r="H22463" s="711"/>
      <c r="I22463" s="711"/>
      <c r="J22463" s="711"/>
      <c r="K22463" s="711"/>
      <c r="L22463" s="711"/>
      <c r="Q22463" s="11"/>
      <c r="R22463" s="11"/>
      <c r="S22463" s="11"/>
      <c r="T22463" s="11"/>
    </row>
    <row r="22464" spans="8:20" x14ac:dyDescent="0.35">
      <c r="H22464" s="711"/>
      <c r="I22464" s="711"/>
      <c r="J22464" s="711"/>
      <c r="K22464" s="711"/>
      <c r="L22464" s="711"/>
      <c r="Q22464" s="11"/>
      <c r="R22464" s="11"/>
      <c r="S22464" s="11"/>
      <c r="T22464" s="11"/>
    </row>
    <row r="22465" spans="8:20" x14ac:dyDescent="0.35">
      <c r="H22465" s="711"/>
      <c r="I22465" s="711"/>
      <c r="J22465" s="711"/>
      <c r="K22465" s="711"/>
      <c r="L22465" s="711"/>
      <c r="Q22465" s="11"/>
      <c r="R22465" s="11"/>
      <c r="S22465" s="11"/>
      <c r="T22465" s="11"/>
    </row>
    <row r="22466" spans="8:20" x14ac:dyDescent="0.35">
      <c r="H22466" s="711"/>
      <c r="I22466" s="711"/>
      <c r="J22466" s="711"/>
      <c r="K22466" s="711"/>
      <c r="L22466" s="711"/>
      <c r="Q22466" s="11"/>
      <c r="R22466" s="11"/>
      <c r="S22466" s="11"/>
      <c r="T22466" s="11"/>
    </row>
    <row r="22467" spans="8:20" x14ac:dyDescent="0.35">
      <c r="H22467" s="711"/>
      <c r="I22467" s="711"/>
      <c r="J22467" s="711"/>
      <c r="K22467" s="711"/>
      <c r="L22467" s="711"/>
      <c r="Q22467" s="11"/>
      <c r="R22467" s="11"/>
      <c r="S22467" s="11"/>
      <c r="T22467" s="11"/>
    </row>
    <row r="22468" spans="8:20" x14ac:dyDescent="0.35">
      <c r="H22468" s="711"/>
      <c r="I22468" s="711"/>
      <c r="J22468" s="711"/>
      <c r="K22468" s="711"/>
      <c r="L22468" s="711"/>
      <c r="Q22468" s="11"/>
      <c r="R22468" s="11"/>
      <c r="S22468" s="11"/>
      <c r="T22468" s="11"/>
    </row>
    <row r="22469" spans="8:20" x14ac:dyDescent="0.35">
      <c r="H22469" s="711"/>
      <c r="I22469" s="711"/>
      <c r="J22469" s="711"/>
      <c r="K22469" s="711"/>
      <c r="L22469" s="711"/>
      <c r="Q22469" s="11"/>
      <c r="R22469" s="11"/>
      <c r="S22469" s="11"/>
      <c r="T22469" s="11"/>
    </row>
    <row r="22470" spans="8:20" x14ac:dyDescent="0.35">
      <c r="H22470" s="711"/>
      <c r="I22470" s="711"/>
      <c r="J22470" s="711"/>
      <c r="K22470" s="711"/>
      <c r="L22470" s="711"/>
      <c r="Q22470" s="11"/>
      <c r="R22470" s="11"/>
      <c r="S22470" s="11"/>
      <c r="T22470" s="11"/>
    </row>
    <row r="22471" spans="8:20" x14ac:dyDescent="0.35">
      <c r="H22471" s="711"/>
      <c r="I22471" s="711"/>
      <c r="J22471" s="711"/>
      <c r="K22471" s="711"/>
      <c r="L22471" s="711"/>
      <c r="Q22471" s="11"/>
      <c r="R22471" s="11"/>
      <c r="S22471" s="11"/>
      <c r="T22471" s="11"/>
    </row>
    <row r="22472" spans="8:20" x14ac:dyDescent="0.35">
      <c r="H22472" s="711"/>
      <c r="I22472" s="711"/>
      <c r="J22472" s="711"/>
      <c r="K22472" s="711"/>
      <c r="L22472" s="711"/>
      <c r="Q22472" s="11"/>
      <c r="R22472" s="11"/>
      <c r="S22472" s="11"/>
      <c r="T22472" s="11"/>
    </row>
    <row r="22473" spans="8:20" x14ac:dyDescent="0.35">
      <c r="H22473" s="711"/>
      <c r="I22473" s="711"/>
      <c r="J22473" s="711"/>
      <c r="K22473" s="711"/>
      <c r="L22473" s="711"/>
      <c r="Q22473" s="11"/>
      <c r="R22473" s="11"/>
      <c r="S22473" s="11"/>
      <c r="T22473" s="11"/>
    </row>
    <row r="22474" spans="8:20" x14ac:dyDescent="0.35">
      <c r="H22474" s="711"/>
      <c r="I22474" s="711"/>
      <c r="J22474" s="711"/>
      <c r="K22474" s="711"/>
      <c r="L22474" s="711"/>
      <c r="Q22474" s="11"/>
      <c r="R22474" s="11"/>
      <c r="S22474" s="11"/>
      <c r="T22474" s="11"/>
    </row>
    <row r="22475" spans="8:20" x14ac:dyDescent="0.35">
      <c r="H22475" s="711"/>
      <c r="I22475" s="711"/>
      <c r="J22475" s="711"/>
      <c r="K22475" s="711"/>
      <c r="L22475" s="711"/>
      <c r="Q22475" s="11"/>
      <c r="R22475" s="11"/>
      <c r="S22475" s="11"/>
      <c r="T22475" s="11"/>
    </row>
    <row r="22476" spans="8:20" x14ac:dyDescent="0.35">
      <c r="H22476" s="711"/>
      <c r="I22476" s="711"/>
      <c r="J22476" s="711"/>
      <c r="K22476" s="711"/>
      <c r="L22476" s="711"/>
      <c r="Q22476" s="11"/>
      <c r="R22476" s="11"/>
      <c r="S22476" s="11"/>
      <c r="T22476" s="11"/>
    </row>
    <row r="22477" spans="8:20" x14ac:dyDescent="0.35">
      <c r="H22477" s="711"/>
      <c r="I22477" s="711"/>
      <c r="J22477" s="711"/>
      <c r="K22477" s="711"/>
      <c r="L22477" s="711"/>
      <c r="Q22477" s="11"/>
      <c r="R22477" s="11"/>
      <c r="S22477" s="11"/>
      <c r="T22477" s="11"/>
    </row>
    <row r="22478" spans="8:20" x14ac:dyDescent="0.35">
      <c r="H22478" s="711"/>
      <c r="I22478" s="711"/>
      <c r="J22478" s="711"/>
      <c r="K22478" s="711"/>
      <c r="L22478" s="711"/>
      <c r="Q22478" s="11"/>
      <c r="R22478" s="11"/>
      <c r="S22478" s="11"/>
      <c r="T22478" s="11"/>
    </row>
    <row r="22479" spans="8:20" x14ac:dyDescent="0.35">
      <c r="H22479" s="711"/>
      <c r="I22479" s="711"/>
      <c r="J22479" s="711"/>
      <c r="K22479" s="711"/>
      <c r="L22479" s="711"/>
      <c r="Q22479" s="11"/>
      <c r="R22479" s="11"/>
      <c r="S22479" s="11"/>
      <c r="T22479" s="11"/>
    </row>
    <row r="22480" spans="8:20" x14ac:dyDescent="0.35">
      <c r="H22480" s="711"/>
      <c r="I22480" s="711"/>
      <c r="J22480" s="711"/>
      <c r="K22480" s="711"/>
      <c r="L22480" s="711"/>
      <c r="Q22480" s="11"/>
      <c r="R22480" s="11"/>
      <c r="S22480" s="11"/>
      <c r="T22480" s="11"/>
    </row>
    <row r="22481" spans="8:20" x14ac:dyDescent="0.35">
      <c r="H22481" s="711"/>
      <c r="I22481" s="711"/>
      <c r="J22481" s="711"/>
      <c r="K22481" s="711"/>
      <c r="L22481" s="711"/>
      <c r="Q22481" s="11"/>
      <c r="R22481" s="11"/>
      <c r="S22481" s="11"/>
      <c r="T22481" s="11"/>
    </row>
    <row r="22482" spans="8:20" x14ac:dyDescent="0.35">
      <c r="H22482" s="711"/>
      <c r="I22482" s="711"/>
      <c r="J22482" s="711"/>
      <c r="K22482" s="711"/>
      <c r="L22482" s="711"/>
      <c r="Q22482" s="11"/>
      <c r="R22482" s="11"/>
      <c r="S22482" s="11"/>
      <c r="T22482" s="11"/>
    </row>
    <row r="22483" spans="8:20" x14ac:dyDescent="0.35">
      <c r="H22483" s="711"/>
      <c r="I22483" s="711"/>
      <c r="J22483" s="711"/>
      <c r="K22483" s="711"/>
      <c r="L22483" s="711"/>
      <c r="Q22483" s="11"/>
      <c r="R22483" s="11"/>
      <c r="S22483" s="11"/>
      <c r="T22483" s="11"/>
    </row>
    <row r="22484" spans="8:20" x14ac:dyDescent="0.35">
      <c r="H22484" s="711"/>
      <c r="I22484" s="711"/>
      <c r="J22484" s="711"/>
      <c r="K22484" s="711"/>
      <c r="L22484" s="711"/>
      <c r="Q22484" s="11"/>
      <c r="R22484" s="11"/>
      <c r="S22484" s="11"/>
      <c r="T22484" s="11"/>
    </row>
    <row r="22485" spans="8:20" x14ac:dyDescent="0.35">
      <c r="H22485" s="711"/>
      <c r="I22485" s="711"/>
      <c r="J22485" s="711"/>
      <c r="K22485" s="711"/>
      <c r="L22485" s="711"/>
      <c r="Q22485" s="11"/>
      <c r="R22485" s="11"/>
      <c r="S22485" s="11"/>
      <c r="T22485" s="11"/>
    </row>
    <row r="22486" spans="8:20" x14ac:dyDescent="0.35">
      <c r="H22486" s="711"/>
      <c r="I22486" s="711"/>
      <c r="J22486" s="711"/>
      <c r="K22486" s="711"/>
      <c r="L22486" s="711"/>
      <c r="Q22486" s="11"/>
      <c r="R22486" s="11"/>
      <c r="S22486" s="11"/>
      <c r="T22486" s="11"/>
    </row>
    <row r="22487" spans="8:20" x14ac:dyDescent="0.35">
      <c r="H22487" s="711"/>
      <c r="I22487" s="711"/>
      <c r="J22487" s="711"/>
      <c r="K22487" s="711"/>
      <c r="L22487" s="711"/>
      <c r="Q22487" s="11"/>
      <c r="R22487" s="11"/>
      <c r="S22487" s="11"/>
      <c r="T22487" s="11"/>
    </row>
    <row r="22488" spans="8:20" x14ac:dyDescent="0.35">
      <c r="H22488" s="711"/>
      <c r="I22488" s="711"/>
      <c r="J22488" s="711"/>
      <c r="K22488" s="711"/>
      <c r="L22488" s="711"/>
      <c r="Q22488" s="11"/>
      <c r="R22488" s="11"/>
      <c r="S22488" s="11"/>
      <c r="T22488" s="11"/>
    </row>
    <row r="22489" spans="8:20" x14ac:dyDescent="0.35">
      <c r="H22489" s="711"/>
      <c r="I22489" s="711"/>
      <c r="J22489" s="711"/>
      <c r="K22489" s="711"/>
      <c r="L22489" s="711"/>
      <c r="Q22489" s="11"/>
      <c r="R22489" s="11"/>
      <c r="S22489" s="11"/>
      <c r="T22489" s="11"/>
    </row>
    <row r="22490" spans="8:20" x14ac:dyDescent="0.35">
      <c r="H22490" s="711"/>
      <c r="I22490" s="711"/>
      <c r="J22490" s="711"/>
      <c r="K22490" s="711"/>
      <c r="L22490" s="711"/>
      <c r="Q22490" s="11"/>
      <c r="R22490" s="11"/>
      <c r="S22490" s="11"/>
      <c r="T22490" s="11"/>
    </row>
    <row r="22491" spans="8:20" x14ac:dyDescent="0.35">
      <c r="H22491" s="711"/>
      <c r="I22491" s="711"/>
      <c r="J22491" s="711"/>
      <c r="K22491" s="711"/>
      <c r="L22491" s="711"/>
      <c r="Q22491" s="11"/>
      <c r="R22491" s="11"/>
      <c r="S22491" s="11"/>
      <c r="T22491" s="11"/>
    </row>
    <row r="22492" spans="8:20" x14ac:dyDescent="0.35">
      <c r="H22492" s="711"/>
      <c r="I22492" s="711"/>
      <c r="J22492" s="711"/>
      <c r="K22492" s="711"/>
      <c r="L22492" s="711"/>
      <c r="Q22492" s="11"/>
      <c r="R22492" s="11"/>
      <c r="S22492" s="11"/>
      <c r="T22492" s="11"/>
    </row>
    <row r="22493" spans="8:20" x14ac:dyDescent="0.35">
      <c r="H22493" s="711"/>
      <c r="I22493" s="711"/>
      <c r="J22493" s="711"/>
      <c r="K22493" s="711"/>
      <c r="L22493" s="711"/>
      <c r="Q22493" s="11"/>
      <c r="R22493" s="11"/>
      <c r="S22493" s="11"/>
      <c r="T22493" s="11"/>
    </row>
    <row r="22494" spans="8:20" x14ac:dyDescent="0.35">
      <c r="H22494" s="711"/>
      <c r="I22494" s="711"/>
      <c r="J22494" s="711"/>
      <c r="K22494" s="711"/>
      <c r="L22494" s="711"/>
      <c r="Q22494" s="11"/>
      <c r="R22494" s="11"/>
      <c r="S22494" s="11"/>
      <c r="T22494" s="11"/>
    </row>
    <row r="22495" spans="8:20" x14ac:dyDescent="0.35">
      <c r="H22495" s="711"/>
      <c r="I22495" s="711"/>
      <c r="J22495" s="711"/>
      <c r="K22495" s="711"/>
      <c r="L22495" s="711"/>
      <c r="Q22495" s="11"/>
      <c r="R22495" s="11"/>
      <c r="S22495" s="11"/>
      <c r="T22495" s="11"/>
    </row>
    <row r="22496" spans="8:20" x14ac:dyDescent="0.35">
      <c r="H22496" s="711"/>
      <c r="I22496" s="711"/>
      <c r="J22496" s="711"/>
      <c r="K22496" s="711"/>
      <c r="L22496" s="711"/>
      <c r="Q22496" s="11"/>
      <c r="R22496" s="11"/>
      <c r="S22496" s="11"/>
      <c r="T22496" s="11"/>
    </row>
    <row r="22497" spans="8:20" x14ac:dyDescent="0.35">
      <c r="H22497" s="711"/>
      <c r="I22497" s="711"/>
      <c r="J22497" s="711"/>
      <c r="K22497" s="711"/>
      <c r="L22497" s="711"/>
      <c r="Q22497" s="11"/>
      <c r="R22497" s="11"/>
      <c r="S22497" s="11"/>
      <c r="T22497" s="11"/>
    </row>
    <row r="22498" spans="8:20" x14ac:dyDescent="0.35">
      <c r="H22498" s="711"/>
      <c r="I22498" s="711"/>
      <c r="J22498" s="711"/>
      <c r="K22498" s="711"/>
      <c r="L22498" s="711"/>
      <c r="Q22498" s="11"/>
      <c r="R22498" s="11"/>
      <c r="S22498" s="11"/>
      <c r="T22498" s="11"/>
    </row>
    <row r="22499" spans="8:20" x14ac:dyDescent="0.35">
      <c r="H22499" s="711"/>
      <c r="I22499" s="711"/>
      <c r="J22499" s="711"/>
      <c r="K22499" s="711"/>
      <c r="L22499" s="711"/>
      <c r="Q22499" s="11"/>
      <c r="R22499" s="11"/>
      <c r="S22499" s="11"/>
      <c r="T22499" s="11"/>
    </row>
    <row r="22500" spans="8:20" x14ac:dyDescent="0.35">
      <c r="H22500" s="711"/>
      <c r="I22500" s="711"/>
      <c r="J22500" s="711"/>
      <c r="K22500" s="711"/>
      <c r="L22500" s="711"/>
      <c r="Q22500" s="11"/>
      <c r="R22500" s="11"/>
      <c r="S22500" s="11"/>
      <c r="T22500" s="11"/>
    </row>
    <row r="22501" spans="8:20" x14ac:dyDescent="0.35">
      <c r="H22501" s="711"/>
      <c r="I22501" s="711"/>
      <c r="J22501" s="711"/>
      <c r="K22501" s="711"/>
      <c r="L22501" s="711"/>
      <c r="Q22501" s="11"/>
      <c r="R22501" s="11"/>
      <c r="S22501" s="11"/>
      <c r="T22501" s="11"/>
    </row>
    <row r="22502" spans="8:20" x14ac:dyDescent="0.35">
      <c r="H22502" s="711"/>
      <c r="I22502" s="711"/>
      <c r="J22502" s="711"/>
      <c r="K22502" s="711"/>
      <c r="L22502" s="711"/>
      <c r="Q22502" s="11"/>
      <c r="R22502" s="11"/>
      <c r="S22502" s="11"/>
      <c r="T22502" s="11"/>
    </row>
    <row r="22503" spans="8:20" x14ac:dyDescent="0.35">
      <c r="H22503" s="711"/>
      <c r="I22503" s="711"/>
      <c r="J22503" s="711"/>
      <c r="K22503" s="711"/>
      <c r="L22503" s="711"/>
      <c r="Q22503" s="11"/>
      <c r="R22503" s="11"/>
      <c r="S22503" s="11"/>
      <c r="T22503" s="11"/>
    </row>
    <row r="22504" spans="8:20" x14ac:dyDescent="0.35">
      <c r="H22504" s="711"/>
      <c r="I22504" s="711"/>
      <c r="J22504" s="711"/>
      <c r="K22504" s="711"/>
      <c r="L22504" s="711"/>
      <c r="Q22504" s="11"/>
      <c r="R22504" s="11"/>
      <c r="S22504" s="11"/>
      <c r="T22504" s="11"/>
    </row>
    <row r="22505" spans="8:20" x14ac:dyDescent="0.35">
      <c r="H22505" s="711"/>
      <c r="I22505" s="711"/>
      <c r="J22505" s="711"/>
      <c r="K22505" s="711"/>
      <c r="L22505" s="711"/>
      <c r="Q22505" s="11"/>
      <c r="R22505" s="11"/>
      <c r="S22505" s="11"/>
      <c r="T22505" s="11"/>
    </row>
    <row r="22506" spans="8:20" x14ac:dyDescent="0.35">
      <c r="H22506" s="711"/>
      <c r="I22506" s="711"/>
      <c r="J22506" s="711"/>
      <c r="K22506" s="711"/>
      <c r="L22506" s="711"/>
      <c r="Q22506" s="11"/>
      <c r="R22506" s="11"/>
      <c r="S22506" s="11"/>
      <c r="T22506" s="11"/>
    </row>
    <row r="22507" spans="8:20" x14ac:dyDescent="0.35">
      <c r="H22507" s="711"/>
      <c r="I22507" s="711"/>
      <c r="J22507" s="711"/>
      <c r="K22507" s="711"/>
      <c r="L22507" s="711"/>
      <c r="Q22507" s="11"/>
      <c r="R22507" s="11"/>
      <c r="S22507" s="11"/>
      <c r="T22507" s="11"/>
    </row>
    <row r="22508" spans="8:20" x14ac:dyDescent="0.35">
      <c r="H22508" s="711"/>
      <c r="I22508" s="711"/>
      <c r="J22508" s="711"/>
      <c r="K22508" s="711"/>
      <c r="L22508" s="711"/>
      <c r="Q22508" s="11"/>
      <c r="R22508" s="11"/>
      <c r="S22508" s="11"/>
      <c r="T22508" s="11"/>
    </row>
    <row r="22509" spans="8:20" x14ac:dyDescent="0.35">
      <c r="H22509" s="711"/>
      <c r="I22509" s="711"/>
      <c r="J22509" s="711"/>
      <c r="K22509" s="711"/>
      <c r="L22509" s="711"/>
      <c r="Q22509" s="11"/>
      <c r="R22509" s="11"/>
      <c r="S22509" s="11"/>
      <c r="T22509" s="11"/>
    </row>
    <row r="22510" spans="8:20" x14ac:dyDescent="0.35">
      <c r="H22510" s="711"/>
      <c r="I22510" s="711"/>
      <c r="J22510" s="711"/>
      <c r="K22510" s="711"/>
      <c r="L22510" s="711"/>
      <c r="Q22510" s="11"/>
      <c r="R22510" s="11"/>
      <c r="S22510" s="11"/>
      <c r="T22510" s="11"/>
    </row>
    <row r="22511" spans="8:20" x14ac:dyDescent="0.35">
      <c r="H22511" s="711"/>
      <c r="I22511" s="711"/>
      <c r="J22511" s="711"/>
      <c r="K22511" s="711"/>
      <c r="L22511" s="711"/>
      <c r="Q22511" s="11"/>
      <c r="R22511" s="11"/>
      <c r="S22511" s="11"/>
      <c r="T22511" s="11"/>
    </row>
    <row r="22512" spans="8:20" x14ac:dyDescent="0.35">
      <c r="H22512" s="711"/>
      <c r="I22512" s="711"/>
      <c r="J22512" s="711"/>
      <c r="K22512" s="711"/>
      <c r="L22512" s="711"/>
      <c r="Q22512" s="11"/>
      <c r="R22512" s="11"/>
      <c r="S22512" s="11"/>
      <c r="T22512" s="11"/>
    </row>
    <row r="22513" spans="8:20" x14ac:dyDescent="0.35">
      <c r="H22513" s="711"/>
      <c r="I22513" s="711"/>
      <c r="J22513" s="711"/>
      <c r="K22513" s="711"/>
      <c r="L22513" s="711"/>
      <c r="Q22513" s="11"/>
      <c r="R22513" s="11"/>
      <c r="S22513" s="11"/>
      <c r="T22513" s="11"/>
    </row>
    <row r="22514" spans="8:20" x14ac:dyDescent="0.35">
      <c r="H22514" s="711"/>
      <c r="I22514" s="711"/>
      <c r="J22514" s="711"/>
      <c r="K22514" s="711"/>
      <c r="L22514" s="711"/>
      <c r="Q22514" s="11"/>
      <c r="R22514" s="11"/>
      <c r="S22514" s="11"/>
      <c r="T22514" s="11"/>
    </row>
    <row r="22515" spans="8:20" x14ac:dyDescent="0.35">
      <c r="H22515" s="711"/>
      <c r="I22515" s="711"/>
      <c r="J22515" s="711"/>
      <c r="K22515" s="711"/>
      <c r="L22515" s="711"/>
      <c r="Q22515" s="11"/>
      <c r="R22515" s="11"/>
      <c r="S22515" s="11"/>
      <c r="T22515" s="11"/>
    </row>
    <row r="22516" spans="8:20" x14ac:dyDescent="0.35">
      <c r="H22516" s="711"/>
      <c r="I22516" s="711"/>
      <c r="J22516" s="711"/>
      <c r="K22516" s="711"/>
      <c r="L22516" s="711"/>
      <c r="Q22516" s="11"/>
      <c r="R22516" s="11"/>
      <c r="S22516" s="11"/>
      <c r="T22516" s="11"/>
    </row>
    <row r="22517" spans="8:20" x14ac:dyDescent="0.35">
      <c r="H22517" s="711"/>
      <c r="I22517" s="711"/>
      <c r="J22517" s="711"/>
      <c r="K22517" s="711"/>
      <c r="L22517" s="711"/>
      <c r="Q22517" s="11"/>
      <c r="R22517" s="11"/>
      <c r="S22517" s="11"/>
      <c r="T22517" s="11"/>
    </row>
    <row r="22518" spans="8:20" x14ac:dyDescent="0.35">
      <c r="H22518" s="711"/>
      <c r="I22518" s="711"/>
      <c r="J22518" s="711"/>
      <c r="K22518" s="711"/>
      <c r="L22518" s="711"/>
      <c r="Q22518" s="11"/>
      <c r="R22518" s="11"/>
      <c r="S22518" s="11"/>
      <c r="T22518" s="11"/>
    </row>
    <row r="22519" spans="8:20" x14ac:dyDescent="0.35">
      <c r="H22519" s="711"/>
      <c r="I22519" s="711"/>
      <c r="J22519" s="711"/>
      <c r="K22519" s="711"/>
      <c r="L22519" s="711"/>
      <c r="Q22519" s="11"/>
      <c r="R22519" s="11"/>
      <c r="S22519" s="11"/>
      <c r="T22519" s="11"/>
    </row>
    <row r="22520" spans="8:20" x14ac:dyDescent="0.35">
      <c r="H22520" s="711"/>
      <c r="I22520" s="711"/>
      <c r="J22520" s="711"/>
      <c r="K22520" s="711"/>
      <c r="L22520" s="711"/>
      <c r="Q22520" s="11"/>
      <c r="R22520" s="11"/>
      <c r="S22520" s="11"/>
      <c r="T22520" s="11"/>
    </row>
    <row r="22521" spans="8:20" x14ac:dyDescent="0.35">
      <c r="H22521" s="711"/>
      <c r="I22521" s="711"/>
      <c r="J22521" s="711"/>
      <c r="K22521" s="711"/>
      <c r="L22521" s="711"/>
      <c r="Q22521" s="11"/>
      <c r="R22521" s="11"/>
      <c r="S22521" s="11"/>
      <c r="T22521" s="11"/>
    </row>
    <row r="22522" spans="8:20" x14ac:dyDescent="0.35">
      <c r="H22522" s="711"/>
      <c r="I22522" s="711"/>
      <c r="J22522" s="711"/>
      <c r="K22522" s="711"/>
      <c r="L22522" s="711"/>
      <c r="Q22522" s="11"/>
      <c r="R22522" s="11"/>
      <c r="S22522" s="11"/>
      <c r="T22522" s="11"/>
    </row>
    <row r="22523" spans="8:20" x14ac:dyDescent="0.35">
      <c r="H22523" s="711"/>
      <c r="I22523" s="711"/>
      <c r="J22523" s="711"/>
      <c r="K22523" s="711"/>
      <c r="L22523" s="711"/>
      <c r="Q22523" s="11"/>
      <c r="R22523" s="11"/>
      <c r="S22523" s="11"/>
      <c r="T22523" s="11"/>
    </row>
    <row r="22524" spans="8:20" x14ac:dyDescent="0.35">
      <c r="H22524" s="711"/>
      <c r="I22524" s="711"/>
      <c r="J22524" s="711"/>
      <c r="K22524" s="711"/>
      <c r="L22524" s="711"/>
      <c r="Q22524" s="11"/>
      <c r="R22524" s="11"/>
      <c r="S22524" s="11"/>
      <c r="T22524" s="11"/>
    </row>
    <row r="22525" spans="8:20" x14ac:dyDescent="0.35">
      <c r="H22525" s="711"/>
      <c r="I22525" s="711"/>
      <c r="J22525" s="711"/>
      <c r="K22525" s="711"/>
      <c r="L22525" s="711"/>
      <c r="Q22525" s="11"/>
      <c r="R22525" s="11"/>
      <c r="S22525" s="11"/>
      <c r="T22525" s="11"/>
    </row>
    <row r="22526" spans="8:20" x14ac:dyDescent="0.35">
      <c r="H22526" s="711"/>
      <c r="I22526" s="711"/>
      <c r="J22526" s="711"/>
      <c r="K22526" s="711"/>
      <c r="L22526" s="711"/>
      <c r="Q22526" s="11"/>
      <c r="R22526" s="11"/>
      <c r="S22526" s="11"/>
      <c r="T22526" s="11"/>
    </row>
    <row r="22527" spans="8:20" x14ac:dyDescent="0.35">
      <c r="H22527" s="711"/>
      <c r="I22527" s="711"/>
      <c r="J22527" s="711"/>
      <c r="K22527" s="711"/>
      <c r="L22527" s="711"/>
      <c r="Q22527" s="11"/>
      <c r="R22527" s="11"/>
      <c r="S22527" s="11"/>
      <c r="T22527" s="11"/>
    </row>
    <row r="22528" spans="8:20" x14ac:dyDescent="0.35">
      <c r="H22528" s="711"/>
      <c r="I22528" s="711"/>
      <c r="J22528" s="711"/>
      <c r="K22528" s="711"/>
      <c r="L22528" s="711"/>
      <c r="Q22528" s="11"/>
      <c r="R22528" s="11"/>
      <c r="S22528" s="11"/>
      <c r="T22528" s="11"/>
    </row>
    <row r="22529" spans="8:20" x14ac:dyDescent="0.35">
      <c r="H22529" s="711"/>
      <c r="I22529" s="711"/>
      <c r="J22529" s="711"/>
      <c r="K22529" s="711"/>
      <c r="L22529" s="711"/>
      <c r="Q22529" s="11"/>
      <c r="R22529" s="11"/>
      <c r="S22529" s="11"/>
      <c r="T22529" s="11"/>
    </row>
    <row r="22530" spans="8:20" x14ac:dyDescent="0.35">
      <c r="H22530" s="711"/>
      <c r="I22530" s="711"/>
      <c r="J22530" s="711"/>
      <c r="K22530" s="711"/>
      <c r="L22530" s="711"/>
      <c r="Q22530" s="11"/>
      <c r="R22530" s="11"/>
      <c r="S22530" s="11"/>
      <c r="T22530" s="11"/>
    </row>
    <row r="22531" spans="8:20" x14ac:dyDescent="0.35">
      <c r="H22531" s="711"/>
      <c r="I22531" s="711"/>
      <c r="J22531" s="711"/>
      <c r="K22531" s="711"/>
      <c r="L22531" s="711"/>
      <c r="Q22531" s="11"/>
      <c r="R22531" s="11"/>
      <c r="S22531" s="11"/>
      <c r="T22531" s="11"/>
    </row>
    <row r="22532" spans="8:20" x14ac:dyDescent="0.35">
      <c r="H22532" s="711"/>
      <c r="I22532" s="711"/>
      <c r="J22532" s="711"/>
      <c r="K22532" s="711"/>
      <c r="L22532" s="711"/>
      <c r="Q22532" s="11"/>
      <c r="R22532" s="11"/>
      <c r="S22532" s="11"/>
      <c r="T22532" s="11"/>
    </row>
    <row r="22533" spans="8:20" x14ac:dyDescent="0.35">
      <c r="H22533" s="711"/>
      <c r="I22533" s="711"/>
      <c r="J22533" s="711"/>
      <c r="K22533" s="711"/>
      <c r="L22533" s="711"/>
      <c r="Q22533" s="11"/>
      <c r="R22533" s="11"/>
      <c r="S22533" s="11"/>
      <c r="T22533" s="11"/>
    </row>
    <row r="22534" spans="8:20" x14ac:dyDescent="0.35">
      <c r="H22534" s="711"/>
      <c r="I22534" s="711"/>
      <c r="J22534" s="711"/>
      <c r="K22534" s="711"/>
      <c r="L22534" s="711"/>
      <c r="Q22534" s="11"/>
      <c r="R22534" s="11"/>
      <c r="S22534" s="11"/>
      <c r="T22534" s="11"/>
    </row>
    <row r="22535" spans="8:20" x14ac:dyDescent="0.35">
      <c r="H22535" s="711"/>
      <c r="I22535" s="711"/>
      <c r="J22535" s="711"/>
      <c r="K22535" s="711"/>
      <c r="L22535" s="711"/>
      <c r="Q22535" s="11"/>
      <c r="R22535" s="11"/>
      <c r="S22535" s="11"/>
      <c r="T22535" s="11"/>
    </row>
    <row r="22536" spans="8:20" x14ac:dyDescent="0.35">
      <c r="H22536" s="711"/>
      <c r="I22536" s="711"/>
      <c r="J22536" s="711"/>
      <c r="K22536" s="711"/>
      <c r="L22536" s="711"/>
      <c r="Q22536" s="11"/>
      <c r="R22536" s="11"/>
      <c r="S22536" s="11"/>
      <c r="T22536" s="11"/>
    </row>
    <row r="22537" spans="8:20" x14ac:dyDescent="0.35">
      <c r="H22537" s="711"/>
      <c r="I22537" s="711"/>
      <c r="J22537" s="711"/>
      <c r="K22537" s="711"/>
      <c r="L22537" s="711"/>
      <c r="Q22537" s="11"/>
      <c r="R22537" s="11"/>
      <c r="S22537" s="11"/>
      <c r="T22537" s="11"/>
    </row>
    <row r="22538" spans="8:20" x14ac:dyDescent="0.35">
      <c r="H22538" s="711"/>
      <c r="I22538" s="711"/>
      <c r="J22538" s="711"/>
      <c r="K22538" s="711"/>
      <c r="L22538" s="711"/>
      <c r="Q22538" s="11"/>
      <c r="R22538" s="11"/>
      <c r="S22538" s="11"/>
      <c r="T22538" s="11"/>
    </row>
    <row r="22539" spans="8:20" x14ac:dyDescent="0.35">
      <c r="H22539" s="711"/>
      <c r="I22539" s="711"/>
      <c r="J22539" s="711"/>
      <c r="K22539" s="711"/>
      <c r="L22539" s="711"/>
      <c r="Q22539" s="11"/>
      <c r="R22539" s="11"/>
      <c r="S22539" s="11"/>
      <c r="T22539" s="11"/>
    </row>
    <row r="22540" spans="8:20" x14ac:dyDescent="0.35">
      <c r="H22540" s="711"/>
      <c r="I22540" s="711"/>
      <c r="J22540" s="711"/>
      <c r="K22540" s="711"/>
      <c r="L22540" s="711"/>
      <c r="Q22540" s="11"/>
      <c r="R22540" s="11"/>
      <c r="S22540" s="11"/>
      <c r="T22540" s="11"/>
    </row>
    <row r="22541" spans="8:20" x14ac:dyDescent="0.35">
      <c r="H22541" s="711"/>
      <c r="I22541" s="711"/>
      <c r="J22541" s="711"/>
      <c r="K22541" s="711"/>
      <c r="L22541" s="711"/>
      <c r="Q22541" s="11"/>
      <c r="R22541" s="11"/>
      <c r="S22541" s="11"/>
      <c r="T22541" s="11"/>
    </row>
    <row r="22542" spans="8:20" x14ac:dyDescent="0.35">
      <c r="H22542" s="711"/>
      <c r="I22542" s="711"/>
      <c r="J22542" s="711"/>
      <c r="K22542" s="711"/>
      <c r="L22542" s="711"/>
      <c r="Q22542" s="11"/>
      <c r="R22542" s="11"/>
      <c r="S22542" s="11"/>
      <c r="T22542" s="11"/>
    </row>
    <row r="22543" spans="8:20" x14ac:dyDescent="0.35">
      <c r="H22543" s="711"/>
      <c r="I22543" s="711"/>
      <c r="J22543" s="711"/>
      <c r="K22543" s="711"/>
      <c r="L22543" s="711"/>
      <c r="Q22543" s="11"/>
      <c r="R22543" s="11"/>
      <c r="S22543" s="11"/>
      <c r="T22543" s="11"/>
    </row>
    <row r="22544" spans="8:20" x14ac:dyDescent="0.35">
      <c r="H22544" s="711"/>
      <c r="I22544" s="711"/>
      <c r="J22544" s="711"/>
      <c r="K22544" s="711"/>
      <c r="L22544" s="711"/>
      <c r="Q22544" s="11"/>
      <c r="R22544" s="11"/>
      <c r="S22544" s="11"/>
      <c r="T22544" s="11"/>
    </row>
    <row r="22545" spans="8:20" x14ac:dyDescent="0.35">
      <c r="H22545" s="711"/>
      <c r="I22545" s="711"/>
      <c r="J22545" s="711"/>
      <c r="K22545" s="711"/>
      <c r="L22545" s="711"/>
      <c r="Q22545" s="11"/>
      <c r="R22545" s="11"/>
      <c r="S22545" s="11"/>
      <c r="T22545" s="11"/>
    </row>
    <row r="22546" spans="8:20" x14ac:dyDescent="0.35">
      <c r="H22546" s="711"/>
      <c r="I22546" s="711"/>
      <c r="J22546" s="711"/>
      <c r="K22546" s="711"/>
      <c r="L22546" s="711"/>
      <c r="Q22546" s="11"/>
      <c r="R22546" s="11"/>
      <c r="S22546" s="11"/>
      <c r="T22546" s="11"/>
    </row>
    <row r="22547" spans="8:20" x14ac:dyDescent="0.35">
      <c r="H22547" s="711"/>
      <c r="I22547" s="711"/>
      <c r="J22547" s="711"/>
      <c r="K22547" s="711"/>
      <c r="L22547" s="711"/>
      <c r="Q22547" s="11"/>
      <c r="R22547" s="11"/>
      <c r="S22547" s="11"/>
      <c r="T22547" s="11"/>
    </row>
    <row r="22548" spans="8:20" x14ac:dyDescent="0.35">
      <c r="H22548" s="711"/>
      <c r="I22548" s="711"/>
      <c r="J22548" s="711"/>
      <c r="K22548" s="711"/>
      <c r="L22548" s="711"/>
      <c r="Q22548" s="11"/>
      <c r="R22548" s="11"/>
      <c r="S22548" s="11"/>
      <c r="T22548" s="11"/>
    </row>
    <row r="22549" spans="8:20" x14ac:dyDescent="0.35">
      <c r="H22549" s="711"/>
      <c r="I22549" s="711"/>
      <c r="J22549" s="711"/>
      <c r="K22549" s="711"/>
      <c r="L22549" s="711"/>
      <c r="Q22549" s="11"/>
      <c r="R22549" s="11"/>
      <c r="S22549" s="11"/>
      <c r="T22549" s="11"/>
    </row>
    <row r="22550" spans="8:20" x14ac:dyDescent="0.35">
      <c r="H22550" s="711"/>
      <c r="I22550" s="711"/>
      <c r="J22550" s="711"/>
      <c r="K22550" s="711"/>
      <c r="L22550" s="711"/>
      <c r="Q22550" s="11"/>
      <c r="R22550" s="11"/>
      <c r="S22550" s="11"/>
      <c r="T22550" s="11"/>
    </row>
    <row r="22551" spans="8:20" x14ac:dyDescent="0.35">
      <c r="H22551" s="711"/>
      <c r="I22551" s="711"/>
      <c r="J22551" s="711"/>
      <c r="K22551" s="711"/>
      <c r="L22551" s="711"/>
      <c r="Q22551" s="11"/>
      <c r="R22551" s="11"/>
      <c r="S22551" s="11"/>
      <c r="T22551" s="11"/>
    </row>
    <row r="22552" spans="8:20" x14ac:dyDescent="0.35">
      <c r="H22552" s="711"/>
      <c r="I22552" s="711"/>
      <c r="J22552" s="711"/>
      <c r="K22552" s="711"/>
      <c r="L22552" s="711"/>
      <c r="Q22552" s="11"/>
      <c r="R22552" s="11"/>
      <c r="S22552" s="11"/>
      <c r="T22552" s="11"/>
    </row>
    <row r="22553" spans="8:20" x14ac:dyDescent="0.35">
      <c r="H22553" s="711"/>
      <c r="I22553" s="711"/>
      <c r="J22553" s="711"/>
      <c r="K22553" s="711"/>
      <c r="L22553" s="711"/>
      <c r="Q22553" s="11"/>
      <c r="R22553" s="11"/>
      <c r="S22553" s="11"/>
      <c r="T22553" s="11"/>
    </row>
    <row r="22554" spans="8:20" x14ac:dyDescent="0.35">
      <c r="H22554" s="711"/>
      <c r="I22554" s="711"/>
      <c r="J22554" s="711"/>
      <c r="K22554" s="711"/>
      <c r="L22554" s="711"/>
      <c r="Q22554" s="11"/>
      <c r="R22554" s="11"/>
      <c r="S22554" s="11"/>
      <c r="T22554" s="11"/>
    </row>
    <row r="22555" spans="8:20" x14ac:dyDescent="0.35">
      <c r="H22555" s="711"/>
      <c r="I22555" s="711"/>
      <c r="J22555" s="711"/>
      <c r="K22555" s="711"/>
      <c r="L22555" s="711"/>
      <c r="Q22555" s="11"/>
      <c r="R22555" s="11"/>
      <c r="S22555" s="11"/>
      <c r="T22555" s="11"/>
    </row>
    <row r="22556" spans="8:20" x14ac:dyDescent="0.35">
      <c r="H22556" s="711"/>
      <c r="I22556" s="711"/>
      <c r="J22556" s="711"/>
      <c r="K22556" s="711"/>
      <c r="L22556" s="711"/>
      <c r="Q22556" s="11"/>
      <c r="R22556" s="11"/>
      <c r="S22556" s="11"/>
      <c r="T22556" s="11"/>
    </row>
    <row r="22557" spans="8:20" x14ac:dyDescent="0.35">
      <c r="H22557" s="711"/>
      <c r="I22557" s="711"/>
      <c r="J22557" s="711"/>
      <c r="K22557" s="711"/>
      <c r="L22557" s="711"/>
      <c r="Q22557" s="11"/>
      <c r="R22557" s="11"/>
      <c r="S22557" s="11"/>
      <c r="T22557" s="11"/>
    </row>
    <row r="22558" spans="8:20" x14ac:dyDescent="0.35">
      <c r="H22558" s="711"/>
      <c r="I22558" s="711"/>
      <c r="J22558" s="711"/>
      <c r="K22558" s="711"/>
      <c r="L22558" s="711"/>
      <c r="Q22558" s="11"/>
      <c r="R22558" s="11"/>
      <c r="S22558" s="11"/>
      <c r="T22558" s="11"/>
    </row>
    <row r="22559" spans="8:20" x14ac:dyDescent="0.35">
      <c r="H22559" s="711"/>
      <c r="I22559" s="711"/>
      <c r="J22559" s="711"/>
      <c r="K22559" s="711"/>
      <c r="L22559" s="711"/>
      <c r="Q22559" s="11"/>
      <c r="R22559" s="11"/>
      <c r="S22559" s="11"/>
      <c r="T22559" s="11"/>
    </row>
    <row r="22560" spans="8:20" x14ac:dyDescent="0.35">
      <c r="H22560" s="711"/>
      <c r="I22560" s="711"/>
      <c r="J22560" s="711"/>
      <c r="K22560" s="711"/>
      <c r="L22560" s="711"/>
      <c r="Q22560" s="11"/>
      <c r="R22560" s="11"/>
      <c r="S22560" s="11"/>
      <c r="T22560" s="11"/>
    </row>
    <row r="22561" spans="8:20" x14ac:dyDescent="0.35">
      <c r="H22561" s="711"/>
      <c r="I22561" s="711"/>
      <c r="J22561" s="711"/>
      <c r="K22561" s="711"/>
      <c r="L22561" s="711"/>
      <c r="Q22561" s="11"/>
      <c r="R22561" s="11"/>
      <c r="S22561" s="11"/>
      <c r="T22561" s="11"/>
    </row>
    <row r="22562" spans="8:20" x14ac:dyDescent="0.35">
      <c r="H22562" s="711"/>
      <c r="I22562" s="711"/>
      <c r="J22562" s="711"/>
      <c r="K22562" s="711"/>
      <c r="L22562" s="711"/>
      <c r="Q22562" s="11"/>
      <c r="R22562" s="11"/>
      <c r="S22562" s="11"/>
      <c r="T22562" s="11"/>
    </row>
    <row r="22563" spans="8:20" x14ac:dyDescent="0.35">
      <c r="H22563" s="711"/>
      <c r="I22563" s="711"/>
      <c r="J22563" s="711"/>
      <c r="K22563" s="711"/>
      <c r="L22563" s="711"/>
      <c r="Q22563" s="11"/>
      <c r="R22563" s="11"/>
      <c r="S22563" s="11"/>
      <c r="T22563" s="11"/>
    </row>
    <row r="22564" spans="8:20" x14ac:dyDescent="0.35">
      <c r="H22564" s="711"/>
      <c r="I22564" s="711"/>
      <c r="J22564" s="711"/>
      <c r="K22564" s="711"/>
      <c r="L22564" s="711"/>
      <c r="Q22564" s="11"/>
      <c r="R22564" s="11"/>
      <c r="S22564" s="11"/>
      <c r="T22564" s="11"/>
    </row>
    <row r="22565" spans="8:20" x14ac:dyDescent="0.35">
      <c r="H22565" s="711"/>
      <c r="I22565" s="711"/>
      <c r="J22565" s="711"/>
      <c r="K22565" s="711"/>
      <c r="L22565" s="711"/>
      <c r="Q22565" s="11"/>
      <c r="R22565" s="11"/>
      <c r="S22565" s="11"/>
      <c r="T22565" s="11"/>
    </row>
    <row r="22566" spans="8:20" x14ac:dyDescent="0.35">
      <c r="H22566" s="711"/>
      <c r="I22566" s="711"/>
      <c r="J22566" s="711"/>
      <c r="K22566" s="711"/>
      <c r="L22566" s="711"/>
      <c r="Q22566" s="11"/>
      <c r="R22566" s="11"/>
      <c r="S22566" s="11"/>
      <c r="T22566" s="11"/>
    </row>
    <row r="22567" spans="8:20" x14ac:dyDescent="0.35">
      <c r="H22567" s="711"/>
      <c r="I22567" s="711"/>
      <c r="J22567" s="711"/>
      <c r="K22567" s="711"/>
      <c r="L22567" s="711"/>
      <c r="Q22567" s="11"/>
      <c r="R22567" s="11"/>
      <c r="S22567" s="11"/>
      <c r="T22567" s="11"/>
    </row>
    <row r="22568" spans="8:20" x14ac:dyDescent="0.35">
      <c r="H22568" s="711"/>
      <c r="I22568" s="711"/>
      <c r="J22568" s="711"/>
      <c r="K22568" s="711"/>
      <c r="L22568" s="711"/>
      <c r="Q22568" s="11"/>
      <c r="R22568" s="11"/>
      <c r="S22568" s="11"/>
      <c r="T22568" s="11"/>
    </row>
    <row r="22569" spans="8:20" x14ac:dyDescent="0.35">
      <c r="H22569" s="711"/>
      <c r="I22569" s="711"/>
      <c r="J22569" s="711"/>
      <c r="K22569" s="711"/>
      <c r="L22569" s="711"/>
      <c r="Q22569" s="11"/>
      <c r="R22569" s="11"/>
      <c r="S22569" s="11"/>
      <c r="T22569" s="11"/>
    </row>
    <row r="22570" spans="8:20" x14ac:dyDescent="0.35">
      <c r="H22570" s="711"/>
      <c r="I22570" s="711"/>
      <c r="J22570" s="711"/>
      <c r="K22570" s="711"/>
      <c r="L22570" s="711"/>
      <c r="Q22570" s="11"/>
      <c r="R22570" s="11"/>
      <c r="S22570" s="11"/>
      <c r="T22570" s="11"/>
    </row>
    <row r="22571" spans="8:20" x14ac:dyDescent="0.35">
      <c r="H22571" s="711"/>
      <c r="I22571" s="711"/>
      <c r="J22571" s="711"/>
      <c r="K22571" s="711"/>
      <c r="L22571" s="711"/>
      <c r="Q22571" s="11"/>
      <c r="R22571" s="11"/>
      <c r="S22571" s="11"/>
      <c r="T22571" s="11"/>
    </row>
    <row r="22572" spans="8:20" x14ac:dyDescent="0.35">
      <c r="H22572" s="711"/>
      <c r="I22572" s="711"/>
      <c r="J22572" s="711"/>
      <c r="K22572" s="711"/>
      <c r="L22572" s="711"/>
      <c r="Q22572" s="11"/>
      <c r="R22572" s="11"/>
      <c r="S22572" s="11"/>
      <c r="T22572" s="11"/>
    </row>
    <row r="22573" spans="8:20" x14ac:dyDescent="0.35">
      <c r="H22573" s="711"/>
      <c r="I22573" s="711"/>
      <c r="J22573" s="711"/>
      <c r="K22573" s="711"/>
      <c r="L22573" s="711"/>
      <c r="Q22573" s="11"/>
      <c r="R22573" s="11"/>
      <c r="S22573" s="11"/>
      <c r="T22573" s="11"/>
    </row>
    <row r="22574" spans="8:20" x14ac:dyDescent="0.35">
      <c r="H22574" s="711"/>
      <c r="I22574" s="711"/>
      <c r="J22574" s="711"/>
      <c r="K22574" s="711"/>
      <c r="L22574" s="711"/>
      <c r="Q22574" s="11"/>
      <c r="R22574" s="11"/>
      <c r="S22574" s="11"/>
      <c r="T22574" s="11"/>
    </row>
    <row r="22575" spans="8:20" x14ac:dyDescent="0.35">
      <c r="H22575" s="711"/>
      <c r="I22575" s="711"/>
      <c r="J22575" s="711"/>
      <c r="K22575" s="711"/>
      <c r="L22575" s="711"/>
      <c r="Q22575" s="11"/>
      <c r="R22575" s="11"/>
      <c r="S22575" s="11"/>
      <c r="T22575" s="11"/>
    </row>
    <row r="22576" spans="8:20" x14ac:dyDescent="0.35">
      <c r="H22576" s="711"/>
      <c r="I22576" s="711"/>
      <c r="J22576" s="711"/>
      <c r="K22576" s="711"/>
      <c r="L22576" s="711"/>
      <c r="Q22576" s="11"/>
      <c r="R22576" s="11"/>
      <c r="S22576" s="11"/>
      <c r="T22576" s="11"/>
    </row>
    <row r="22577" spans="8:20" x14ac:dyDescent="0.35">
      <c r="H22577" s="711"/>
      <c r="I22577" s="711"/>
      <c r="J22577" s="711"/>
      <c r="K22577" s="711"/>
      <c r="L22577" s="711"/>
      <c r="Q22577" s="11"/>
      <c r="R22577" s="11"/>
      <c r="S22577" s="11"/>
      <c r="T22577" s="11"/>
    </row>
    <row r="22578" spans="8:20" x14ac:dyDescent="0.35">
      <c r="H22578" s="711"/>
      <c r="I22578" s="711"/>
      <c r="J22578" s="711"/>
      <c r="K22578" s="711"/>
      <c r="L22578" s="711"/>
      <c r="Q22578" s="11"/>
      <c r="R22578" s="11"/>
      <c r="S22578" s="11"/>
      <c r="T22578" s="11"/>
    </row>
    <row r="22579" spans="8:20" x14ac:dyDescent="0.35">
      <c r="H22579" s="711"/>
      <c r="I22579" s="711"/>
      <c r="J22579" s="711"/>
      <c r="K22579" s="711"/>
      <c r="L22579" s="711"/>
      <c r="Q22579" s="11"/>
      <c r="R22579" s="11"/>
      <c r="S22579" s="11"/>
      <c r="T22579" s="11"/>
    </row>
    <row r="22580" spans="8:20" x14ac:dyDescent="0.35">
      <c r="H22580" s="711"/>
      <c r="I22580" s="711"/>
      <c r="J22580" s="711"/>
      <c r="K22580" s="711"/>
      <c r="L22580" s="711"/>
      <c r="Q22580" s="11"/>
      <c r="R22580" s="11"/>
      <c r="S22580" s="11"/>
      <c r="T22580" s="11"/>
    </row>
    <row r="22581" spans="8:20" x14ac:dyDescent="0.35">
      <c r="H22581" s="711"/>
      <c r="I22581" s="711"/>
      <c r="J22581" s="711"/>
      <c r="K22581" s="711"/>
      <c r="L22581" s="711"/>
      <c r="Q22581" s="11"/>
      <c r="R22581" s="11"/>
      <c r="S22581" s="11"/>
      <c r="T22581" s="11"/>
    </row>
    <row r="22582" spans="8:20" x14ac:dyDescent="0.35">
      <c r="H22582" s="711"/>
      <c r="I22582" s="711"/>
      <c r="J22582" s="711"/>
      <c r="K22582" s="711"/>
      <c r="L22582" s="711"/>
      <c r="Q22582" s="11"/>
      <c r="R22582" s="11"/>
      <c r="S22582" s="11"/>
      <c r="T22582" s="11"/>
    </row>
    <row r="22583" spans="8:20" x14ac:dyDescent="0.35">
      <c r="H22583" s="711"/>
      <c r="I22583" s="711"/>
      <c r="J22583" s="711"/>
      <c r="K22583" s="711"/>
      <c r="L22583" s="711"/>
      <c r="Q22583" s="11"/>
      <c r="R22583" s="11"/>
      <c r="S22583" s="11"/>
      <c r="T22583" s="11"/>
    </row>
    <row r="22584" spans="8:20" x14ac:dyDescent="0.35">
      <c r="H22584" s="711"/>
      <c r="I22584" s="711"/>
      <c r="J22584" s="711"/>
      <c r="K22584" s="711"/>
      <c r="L22584" s="711"/>
      <c r="Q22584" s="11"/>
      <c r="R22584" s="11"/>
      <c r="S22584" s="11"/>
      <c r="T22584" s="11"/>
    </row>
    <row r="22585" spans="8:20" x14ac:dyDescent="0.35">
      <c r="H22585" s="711"/>
      <c r="I22585" s="711"/>
      <c r="J22585" s="711"/>
      <c r="K22585" s="711"/>
      <c r="L22585" s="711"/>
      <c r="Q22585" s="11"/>
      <c r="R22585" s="11"/>
      <c r="S22585" s="11"/>
      <c r="T22585" s="11"/>
    </row>
    <row r="22586" spans="8:20" x14ac:dyDescent="0.35">
      <c r="H22586" s="711"/>
      <c r="I22586" s="711"/>
      <c r="J22586" s="711"/>
      <c r="K22586" s="711"/>
      <c r="L22586" s="711"/>
      <c r="Q22586" s="11"/>
      <c r="R22586" s="11"/>
      <c r="S22586" s="11"/>
      <c r="T22586" s="11"/>
    </row>
    <row r="22587" spans="8:20" x14ac:dyDescent="0.35">
      <c r="H22587" s="711"/>
      <c r="I22587" s="711"/>
      <c r="J22587" s="711"/>
      <c r="K22587" s="711"/>
      <c r="L22587" s="711"/>
      <c r="Q22587" s="11"/>
      <c r="R22587" s="11"/>
      <c r="S22587" s="11"/>
      <c r="T22587" s="11"/>
    </row>
    <row r="22588" spans="8:20" x14ac:dyDescent="0.35">
      <c r="H22588" s="711"/>
      <c r="I22588" s="711"/>
      <c r="J22588" s="711"/>
      <c r="K22588" s="711"/>
      <c r="L22588" s="711"/>
      <c r="Q22588" s="11"/>
      <c r="R22588" s="11"/>
      <c r="S22588" s="11"/>
      <c r="T22588" s="11"/>
    </row>
    <row r="22589" spans="8:20" x14ac:dyDescent="0.35">
      <c r="H22589" s="711"/>
      <c r="I22589" s="711"/>
      <c r="J22589" s="711"/>
      <c r="K22589" s="711"/>
      <c r="L22589" s="711"/>
      <c r="Q22589" s="11"/>
      <c r="R22589" s="11"/>
      <c r="S22589" s="11"/>
      <c r="T22589" s="11"/>
    </row>
    <row r="22590" spans="8:20" x14ac:dyDescent="0.35">
      <c r="H22590" s="711"/>
      <c r="I22590" s="711"/>
      <c r="J22590" s="711"/>
      <c r="K22590" s="711"/>
      <c r="L22590" s="711"/>
      <c r="Q22590" s="11"/>
      <c r="R22590" s="11"/>
      <c r="S22590" s="11"/>
      <c r="T22590" s="11"/>
    </row>
    <row r="22591" spans="8:20" x14ac:dyDescent="0.35">
      <c r="H22591" s="711"/>
      <c r="I22591" s="711"/>
      <c r="J22591" s="711"/>
      <c r="K22591" s="711"/>
      <c r="L22591" s="711"/>
      <c r="Q22591" s="11"/>
      <c r="R22591" s="11"/>
      <c r="S22591" s="11"/>
      <c r="T22591" s="11"/>
    </row>
    <row r="22592" spans="8:20" x14ac:dyDescent="0.35">
      <c r="H22592" s="711"/>
      <c r="I22592" s="711"/>
      <c r="J22592" s="711"/>
      <c r="K22592" s="711"/>
      <c r="L22592" s="711"/>
      <c r="Q22592" s="11"/>
      <c r="R22592" s="11"/>
      <c r="S22592" s="11"/>
      <c r="T22592" s="11"/>
    </row>
    <row r="22593" spans="8:20" x14ac:dyDescent="0.35">
      <c r="H22593" s="711"/>
      <c r="I22593" s="711"/>
      <c r="J22593" s="711"/>
      <c r="K22593" s="711"/>
      <c r="L22593" s="711"/>
      <c r="Q22593" s="11"/>
      <c r="R22593" s="11"/>
      <c r="S22593" s="11"/>
      <c r="T22593" s="11"/>
    </row>
    <row r="22594" spans="8:20" x14ac:dyDescent="0.35">
      <c r="H22594" s="711"/>
      <c r="I22594" s="711"/>
      <c r="J22594" s="711"/>
      <c r="K22594" s="711"/>
      <c r="L22594" s="711"/>
      <c r="Q22594" s="11"/>
      <c r="R22594" s="11"/>
      <c r="S22594" s="11"/>
      <c r="T22594" s="11"/>
    </row>
    <row r="22595" spans="8:20" x14ac:dyDescent="0.35">
      <c r="H22595" s="711"/>
      <c r="I22595" s="711"/>
      <c r="J22595" s="711"/>
      <c r="K22595" s="711"/>
      <c r="L22595" s="711"/>
      <c r="Q22595" s="11"/>
      <c r="R22595" s="11"/>
      <c r="S22595" s="11"/>
      <c r="T22595" s="11"/>
    </row>
    <row r="22596" spans="8:20" x14ac:dyDescent="0.35">
      <c r="H22596" s="711"/>
      <c r="I22596" s="711"/>
      <c r="J22596" s="711"/>
      <c r="K22596" s="711"/>
      <c r="L22596" s="711"/>
      <c r="Q22596" s="11"/>
      <c r="R22596" s="11"/>
      <c r="S22596" s="11"/>
      <c r="T22596" s="11"/>
    </row>
    <row r="22597" spans="8:20" x14ac:dyDescent="0.35">
      <c r="H22597" s="711"/>
      <c r="I22597" s="711"/>
      <c r="J22597" s="711"/>
      <c r="K22597" s="711"/>
      <c r="L22597" s="711"/>
      <c r="Q22597" s="11"/>
      <c r="R22597" s="11"/>
      <c r="S22597" s="11"/>
      <c r="T22597" s="11"/>
    </row>
    <row r="22598" spans="8:20" x14ac:dyDescent="0.35">
      <c r="H22598" s="711"/>
      <c r="I22598" s="711"/>
      <c r="J22598" s="711"/>
      <c r="K22598" s="711"/>
      <c r="L22598" s="711"/>
      <c r="Q22598" s="11"/>
      <c r="R22598" s="11"/>
      <c r="S22598" s="11"/>
      <c r="T22598" s="11"/>
    </row>
    <row r="22599" spans="8:20" x14ac:dyDescent="0.35">
      <c r="H22599" s="711"/>
      <c r="I22599" s="711"/>
      <c r="J22599" s="711"/>
      <c r="K22599" s="711"/>
      <c r="L22599" s="711"/>
      <c r="Q22599" s="11"/>
      <c r="R22599" s="11"/>
      <c r="S22599" s="11"/>
      <c r="T22599" s="11"/>
    </row>
    <row r="22600" spans="8:20" x14ac:dyDescent="0.35">
      <c r="H22600" s="711"/>
      <c r="I22600" s="711"/>
      <c r="J22600" s="711"/>
      <c r="K22600" s="711"/>
      <c r="L22600" s="711"/>
      <c r="Q22600" s="11"/>
      <c r="R22600" s="11"/>
      <c r="S22600" s="11"/>
      <c r="T22600" s="11"/>
    </row>
    <row r="22601" spans="8:20" x14ac:dyDescent="0.35">
      <c r="H22601" s="711"/>
      <c r="I22601" s="711"/>
      <c r="J22601" s="711"/>
      <c r="K22601" s="711"/>
      <c r="L22601" s="711"/>
      <c r="Q22601" s="11"/>
      <c r="R22601" s="11"/>
      <c r="S22601" s="11"/>
      <c r="T22601" s="11"/>
    </row>
    <row r="22602" spans="8:20" x14ac:dyDescent="0.35">
      <c r="H22602" s="711"/>
      <c r="I22602" s="711"/>
      <c r="J22602" s="711"/>
      <c r="K22602" s="711"/>
      <c r="L22602" s="711"/>
      <c r="Q22602" s="11"/>
      <c r="R22602" s="11"/>
      <c r="S22602" s="11"/>
      <c r="T22602" s="11"/>
    </row>
    <row r="22603" spans="8:20" x14ac:dyDescent="0.35">
      <c r="H22603" s="711"/>
      <c r="I22603" s="711"/>
      <c r="J22603" s="711"/>
      <c r="K22603" s="711"/>
      <c r="L22603" s="711"/>
      <c r="Q22603" s="11"/>
      <c r="R22603" s="11"/>
      <c r="S22603" s="11"/>
      <c r="T22603" s="11"/>
    </row>
    <row r="22604" spans="8:20" x14ac:dyDescent="0.35">
      <c r="H22604" s="711"/>
      <c r="I22604" s="711"/>
      <c r="J22604" s="711"/>
      <c r="K22604" s="711"/>
      <c r="L22604" s="711"/>
      <c r="Q22604" s="11"/>
      <c r="R22604" s="11"/>
      <c r="S22604" s="11"/>
      <c r="T22604" s="11"/>
    </row>
    <row r="22605" spans="8:20" x14ac:dyDescent="0.35">
      <c r="H22605" s="711"/>
      <c r="I22605" s="711"/>
      <c r="J22605" s="711"/>
      <c r="K22605" s="711"/>
      <c r="L22605" s="711"/>
      <c r="Q22605" s="11"/>
      <c r="R22605" s="11"/>
      <c r="S22605" s="11"/>
      <c r="T22605" s="11"/>
    </row>
    <row r="22606" spans="8:20" x14ac:dyDescent="0.35">
      <c r="H22606" s="711"/>
      <c r="I22606" s="711"/>
      <c r="J22606" s="711"/>
      <c r="K22606" s="711"/>
      <c r="L22606" s="711"/>
      <c r="Q22606" s="11"/>
      <c r="R22606" s="11"/>
      <c r="S22606" s="11"/>
      <c r="T22606" s="11"/>
    </row>
    <row r="22607" spans="8:20" x14ac:dyDescent="0.35">
      <c r="H22607" s="711"/>
      <c r="I22607" s="711"/>
      <c r="J22607" s="711"/>
      <c r="K22607" s="711"/>
      <c r="L22607" s="711"/>
      <c r="Q22607" s="11"/>
      <c r="R22607" s="11"/>
      <c r="S22607" s="11"/>
      <c r="T22607" s="11"/>
    </row>
    <row r="22608" spans="8:20" x14ac:dyDescent="0.35">
      <c r="H22608" s="711"/>
      <c r="I22608" s="711"/>
      <c r="J22608" s="711"/>
      <c r="K22608" s="711"/>
      <c r="L22608" s="711"/>
      <c r="Q22608" s="11"/>
      <c r="R22608" s="11"/>
      <c r="S22608" s="11"/>
      <c r="T22608" s="11"/>
    </row>
    <row r="22609" spans="8:20" x14ac:dyDescent="0.35">
      <c r="H22609" s="711"/>
      <c r="I22609" s="711"/>
      <c r="J22609" s="711"/>
      <c r="K22609" s="711"/>
      <c r="L22609" s="711"/>
      <c r="Q22609" s="11"/>
      <c r="R22609" s="11"/>
      <c r="S22609" s="11"/>
      <c r="T22609" s="11"/>
    </row>
    <row r="22610" spans="8:20" x14ac:dyDescent="0.35">
      <c r="H22610" s="711"/>
      <c r="I22610" s="711"/>
      <c r="J22610" s="711"/>
      <c r="K22610" s="711"/>
      <c r="L22610" s="711"/>
      <c r="Q22610" s="11"/>
      <c r="R22610" s="11"/>
      <c r="S22610" s="11"/>
      <c r="T22610" s="11"/>
    </row>
    <row r="22611" spans="8:20" x14ac:dyDescent="0.35">
      <c r="H22611" s="711"/>
      <c r="I22611" s="711"/>
      <c r="J22611" s="711"/>
      <c r="K22611" s="711"/>
      <c r="L22611" s="711"/>
      <c r="Q22611" s="11"/>
      <c r="R22611" s="11"/>
      <c r="S22611" s="11"/>
      <c r="T22611" s="11"/>
    </row>
    <row r="22612" spans="8:20" x14ac:dyDescent="0.35">
      <c r="H22612" s="711"/>
      <c r="I22612" s="711"/>
      <c r="J22612" s="711"/>
      <c r="K22612" s="711"/>
      <c r="L22612" s="711"/>
      <c r="Q22612" s="11"/>
      <c r="R22612" s="11"/>
      <c r="S22612" s="11"/>
      <c r="T22612" s="11"/>
    </row>
    <row r="22613" spans="8:20" x14ac:dyDescent="0.35">
      <c r="H22613" s="711"/>
      <c r="I22613" s="711"/>
      <c r="J22613" s="711"/>
      <c r="K22613" s="711"/>
      <c r="L22613" s="711"/>
      <c r="Q22613" s="11"/>
      <c r="R22613" s="11"/>
      <c r="S22613" s="11"/>
      <c r="T22613" s="11"/>
    </row>
    <row r="22614" spans="8:20" x14ac:dyDescent="0.35">
      <c r="H22614" s="711"/>
      <c r="I22614" s="711"/>
      <c r="J22614" s="711"/>
      <c r="K22614" s="711"/>
      <c r="L22614" s="711"/>
      <c r="Q22614" s="11"/>
      <c r="R22614" s="11"/>
      <c r="S22614" s="11"/>
      <c r="T22614" s="11"/>
    </row>
    <row r="22615" spans="8:20" x14ac:dyDescent="0.35">
      <c r="H22615" s="711"/>
      <c r="I22615" s="711"/>
      <c r="J22615" s="711"/>
      <c r="K22615" s="711"/>
      <c r="L22615" s="711"/>
      <c r="Q22615" s="11"/>
      <c r="R22615" s="11"/>
      <c r="S22615" s="11"/>
      <c r="T22615" s="11"/>
    </row>
    <row r="22616" spans="8:20" x14ac:dyDescent="0.35">
      <c r="H22616" s="711"/>
      <c r="I22616" s="711"/>
      <c r="J22616" s="711"/>
      <c r="K22616" s="711"/>
      <c r="L22616" s="711"/>
      <c r="Q22616" s="11"/>
      <c r="R22616" s="11"/>
      <c r="S22616" s="11"/>
      <c r="T22616" s="11"/>
    </row>
    <row r="22617" spans="8:20" x14ac:dyDescent="0.35">
      <c r="H22617" s="711"/>
      <c r="I22617" s="711"/>
      <c r="J22617" s="711"/>
      <c r="K22617" s="711"/>
      <c r="L22617" s="711"/>
      <c r="Q22617" s="11"/>
      <c r="R22617" s="11"/>
      <c r="S22617" s="11"/>
      <c r="T22617" s="11"/>
    </row>
    <row r="22618" spans="8:20" x14ac:dyDescent="0.35">
      <c r="H22618" s="711"/>
      <c r="I22618" s="711"/>
      <c r="J22618" s="711"/>
      <c r="K22618" s="711"/>
      <c r="L22618" s="711"/>
      <c r="Q22618" s="11"/>
      <c r="R22618" s="11"/>
      <c r="S22618" s="11"/>
      <c r="T22618" s="11"/>
    </row>
    <row r="22619" spans="8:20" x14ac:dyDescent="0.35">
      <c r="H22619" s="711"/>
      <c r="I22619" s="711"/>
      <c r="J22619" s="711"/>
      <c r="K22619" s="711"/>
      <c r="L22619" s="711"/>
      <c r="Q22619" s="11"/>
      <c r="R22619" s="11"/>
      <c r="S22619" s="11"/>
      <c r="T22619" s="11"/>
    </row>
    <row r="22620" spans="8:20" x14ac:dyDescent="0.35">
      <c r="H22620" s="711"/>
      <c r="I22620" s="711"/>
      <c r="J22620" s="711"/>
      <c r="K22620" s="711"/>
      <c r="L22620" s="711"/>
      <c r="Q22620" s="11"/>
      <c r="R22620" s="11"/>
      <c r="S22620" s="11"/>
      <c r="T22620" s="11"/>
    </row>
    <row r="22621" spans="8:20" x14ac:dyDescent="0.35">
      <c r="H22621" s="711"/>
      <c r="I22621" s="711"/>
      <c r="J22621" s="711"/>
      <c r="K22621" s="711"/>
      <c r="L22621" s="711"/>
      <c r="Q22621" s="11"/>
      <c r="R22621" s="11"/>
      <c r="S22621" s="11"/>
      <c r="T22621" s="11"/>
    </row>
    <row r="22622" spans="8:20" x14ac:dyDescent="0.35">
      <c r="H22622" s="711"/>
      <c r="I22622" s="711"/>
      <c r="J22622" s="711"/>
      <c r="K22622" s="711"/>
      <c r="L22622" s="711"/>
      <c r="Q22622" s="11"/>
      <c r="R22622" s="11"/>
      <c r="S22622" s="11"/>
      <c r="T22622" s="11"/>
    </row>
    <row r="22623" spans="8:20" x14ac:dyDescent="0.35">
      <c r="H22623" s="711"/>
      <c r="I22623" s="711"/>
      <c r="J22623" s="711"/>
      <c r="K22623" s="711"/>
      <c r="L22623" s="711"/>
      <c r="Q22623" s="11"/>
      <c r="R22623" s="11"/>
      <c r="S22623" s="11"/>
      <c r="T22623" s="11"/>
    </row>
    <row r="22624" spans="8:20" x14ac:dyDescent="0.35">
      <c r="H22624" s="711"/>
      <c r="I22624" s="711"/>
      <c r="J22624" s="711"/>
      <c r="K22624" s="711"/>
      <c r="L22624" s="711"/>
      <c r="Q22624" s="11"/>
      <c r="R22624" s="11"/>
      <c r="S22624" s="11"/>
      <c r="T22624" s="11"/>
    </row>
    <row r="22625" spans="8:20" x14ac:dyDescent="0.35">
      <c r="H22625" s="711"/>
      <c r="I22625" s="711"/>
      <c r="J22625" s="711"/>
      <c r="K22625" s="711"/>
      <c r="L22625" s="711"/>
      <c r="Q22625" s="11"/>
      <c r="R22625" s="11"/>
      <c r="S22625" s="11"/>
      <c r="T22625" s="11"/>
    </row>
    <row r="22626" spans="8:20" x14ac:dyDescent="0.35">
      <c r="H22626" s="711"/>
      <c r="I22626" s="711"/>
      <c r="J22626" s="711"/>
      <c r="K22626" s="711"/>
      <c r="L22626" s="711"/>
      <c r="Q22626" s="11"/>
      <c r="R22626" s="11"/>
      <c r="S22626" s="11"/>
      <c r="T22626" s="11"/>
    </row>
    <row r="22627" spans="8:20" x14ac:dyDescent="0.35">
      <c r="H22627" s="711"/>
      <c r="I22627" s="711"/>
      <c r="J22627" s="711"/>
      <c r="K22627" s="711"/>
      <c r="L22627" s="711"/>
      <c r="Q22627" s="11"/>
      <c r="R22627" s="11"/>
      <c r="S22627" s="11"/>
      <c r="T22627" s="11"/>
    </row>
    <row r="22628" spans="8:20" x14ac:dyDescent="0.35">
      <c r="H22628" s="711"/>
      <c r="I22628" s="711"/>
      <c r="J22628" s="711"/>
      <c r="K22628" s="711"/>
      <c r="L22628" s="711"/>
      <c r="Q22628" s="11"/>
      <c r="R22628" s="11"/>
      <c r="S22628" s="11"/>
      <c r="T22628" s="11"/>
    </row>
    <row r="22629" spans="8:20" x14ac:dyDescent="0.35">
      <c r="H22629" s="711"/>
      <c r="I22629" s="711"/>
      <c r="J22629" s="711"/>
      <c r="K22629" s="711"/>
      <c r="L22629" s="711"/>
      <c r="Q22629" s="11"/>
      <c r="R22629" s="11"/>
      <c r="S22629" s="11"/>
      <c r="T22629" s="11"/>
    </row>
    <row r="22630" spans="8:20" x14ac:dyDescent="0.35">
      <c r="H22630" s="711"/>
      <c r="I22630" s="711"/>
      <c r="J22630" s="711"/>
      <c r="K22630" s="711"/>
      <c r="L22630" s="711"/>
      <c r="Q22630" s="11"/>
      <c r="R22630" s="11"/>
      <c r="S22630" s="11"/>
      <c r="T22630" s="11"/>
    </row>
    <row r="22631" spans="8:20" x14ac:dyDescent="0.35">
      <c r="H22631" s="711"/>
      <c r="I22631" s="711"/>
      <c r="J22631" s="711"/>
      <c r="K22631" s="711"/>
      <c r="L22631" s="711"/>
      <c r="Q22631" s="11"/>
      <c r="R22631" s="11"/>
      <c r="S22631" s="11"/>
      <c r="T22631" s="11"/>
    </row>
    <row r="22632" spans="8:20" x14ac:dyDescent="0.35">
      <c r="H22632" s="711"/>
      <c r="I22632" s="711"/>
      <c r="J22632" s="711"/>
      <c r="K22632" s="711"/>
      <c r="L22632" s="711"/>
      <c r="Q22632" s="11"/>
      <c r="R22632" s="11"/>
      <c r="S22632" s="11"/>
      <c r="T22632" s="11"/>
    </row>
    <row r="22633" spans="8:20" x14ac:dyDescent="0.35">
      <c r="H22633" s="711"/>
      <c r="I22633" s="711"/>
      <c r="J22633" s="711"/>
      <c r="K22633" s="711"/>
      <c r="L22633" s="711"/>
      <c r="Q22633" s="11"/>
      <c r="R22633" s="11"/>
      <c r="S22633" s="11"/>
      <c r="T22633" s="11"/>
    </row>
    <row r="22634" spans="8:20" x14ac:dyDescent="0.35">
      <c r="H22634" s="711"/>
      <c r="I22634" s="711"/>
      <c r="J22634" s="711"/>
      <c r="K22634" s="711"/>
      <c r="L22634" s="711"/>
      <c r="Q22634" s="11"/>
      <c r="R22634" s="11"/>
      <c r="S22634" s="11"/>
      <c r="T22634" s="11"/>
    </row>
    <row r="22635" spans="8:20" x14ac:dyDescent="0.35">
      <c r="H22635" s="711"/>
      <c r="I22635" s="711"/>
      <c r="J22635" s="711"/>
      <c r="K22635" s="711"/>
      <c r="L22635" s="711"/>
      <c r="Q22635" s="11"/>
      <c r="R22635" s="11"/>
      <c r="S22635" s="11"/>
      <c r="T22635" s="11"/>
    </row>
    <row r="22636" spans="8:20" x14ac:dyDescent="0.35">
      <c r="H22636" s="711"/>
      <c r="I22636" s="711"/>
      <c r="J22636" s="711"/>
      <c r="K22636" s="711"/>
      <c r="L22636" s="711"/>
      <c r="Q22636" s="11"/>
      <c r="R22636" s="11"/>
      <c r="S22636" s="11"/>
      <c r="T22636" s="11"/>
    </row>
    <row r="22637" spans="8:20" x14ac:dyDescent="0.35">
      <c r="H22637" s="711"/>
      <c r="I22637" s="711"/>
      <c r="J22637" s="711"/>
      <c r="K22637" s="711"/>
      <c r="L22637" s="711"/>
      <c r="Q22637" s="11"/>
      <c r="R22637" s="11"/>
      <c r="S22637" s="11"/>
      <c r="T22637" s="11"/>
    </row>
    <row r="22638" spans="8:20" x14ac:dyDescent="0.35">
      <c r="H22638" s="711"/>
      <c r="I22638" s="711"/>
      <c r="J22638" s="711"/>
      <c r="K22638" s="711"/>
      <c r="L22638" s="711"/>
      <c r="Q22638" s="11"/>
      <c r="R22638" s="11"/>
      <c r="S22638" s="11"/>
      <c r="T22638" s="11"/>
    </row>
    <row r="22639" spans="8:20" x14ac:dyDescent="0.35">
      <c r="H22639" s="711"/>
      <c r="I22639" s="711"/>
      <c r="J22639" s="711"/>
      <c r="K22639" s="711"/>
      <c r="L22639" s="711"/>
      <c r="Q22639" s="11"/>
      <c r="R22639" s="11"/>
      <c r="S22639" s="11"/>
      <c r="T22639" s="11"/>
    </row>
    <row r="22640" spans="8:20" x14ac:dyDescent="0.35">
      <c r="H22640" s="711"/>
      <c r="I22640" s="711"/>
      <c r="J22640" s="711"/>
      <c r="K22640" s="711"/>
      <c r="L22640" s="711"/>
      <c r="Q22640" s="11"/>
      <c r="R22640" s="11"/>
      <c r="S22640" s="11"/>
      <c r="T22640" s="11"/>
    </row>
    <row r="22641" spans="8:20" x14ac:dyDescent="0.35">
      <c r="H22641" s="711"/>
      <c r="I22641" s="711"/>
      <c r="J22641" s="711"/>
      <c r="K22641" s="711"/>
      <c r="L22641" s="711"/>
      <c r="Q22641" s="11"/>
      <c r="R22641" s="11"/>
      <c r="S22641" s="11"/>
      <c r="T22641" s="11"/>
    </row>
    <row r="22642" spans="8:20" x14ac:dyDescent="0.35">
      <c r="H22642" s="711"/>
      <c r="I22642" s="711"/>
      <c r="J22642" s="711"/>
      <c r="K22642" s="711"/>
      <c r="L22642" s="711"/>
      <c r="Q22642" s="11"/>
      <c r="R22642" s="11"/>
      <c r="S22642" s="11"/>
      <c r="T22642" s="11"/>
    </row>
    <row r="22643" spans="8:20" x14ac:dyDescent="0.35">
      <c r="H22643" s="711"/>
      <c r="I22643" s="711"/>
      <c r="J22643" s="711"/>
      <c r="K22643" s="711"/>
      <c r="L22643" s="711"/>
      <c r="Q22643" s="11"/>
      <c r="R22643" s="11"/>
      <c r="S22643" s="11"/>
      <c r="T22643" s="11"/>
    </row>
    <row r="22644" spans="8:20" x14ac:dyDescent="0.35">
      <c r="H22644" s="711"/>
      <c r="I22644" s="711"/>
      <c r="J22644" s="711"/>
      <c r="K22644" s="711"/>
      <c r="L22644" s="711"/>
      <c r="Q22644" s="11"/>
      <c r="R22644" s="11"/>
      <c r="S22644" s="11"/>
      <c r="T22644" s="11"/>
    </row>
    <row r="22645" spans="8:20" x14ac:dyDescent="0.35">
      <c r="H22645" s="711"/>
      <c r="I22645" s="711"/>
      <c r="J22645" s="711"/>
      <c r="K22645" s="711"/>
      <c r="L22645" s="711"/>
      <c r="Q22645" s="11"/>
      <c r="R22645" s="11"/>
      <c r="S22645" s="11"/>
      <c r="T22645" s="11"/>
    </row>
    <row r="22646" spans="8:20" x14ac:dyDescent="0.35">
      <c r="H22646" s="711"/>
      <c r="I22646" s="711"/>
      <c r="J22646" s="711"/>
      <c r="K22646" s="711"/>
      <c r="L22646" s="711"/>
      <c r="Q22646" s="11"/>
      <c r="R22646" s="11"/>
      <c r="S22646" s="11"/>
      <c r="T22646" s="11"/>
    </row>
    <row r="22647" spans="8:20" x14ac:dyDescent="0.35">
      <c r="H22647" s="711"/>
      <c r="I22647" s="711"/>
      <c r="J22647" s="711"/>
      <c r="K22647" s="711"/>
      <c r="L22647" s="711"/>
      <c r="Q22647" s="11"/>
      <c r="R22647" s="11"/>
      <c r="S22647" s="11"/>
      <c r="T22647" s="11"/>
    </row>
    <row r="22648" spans="8:20" x14ac:dyDescent="0.35">
      <c r="H22648" s="711"/>
      <c r="I22648" s="711"/>
      <c r="J22648" s="711"/>
      <c r="K22648" s="711"/>
      <c r="L22648" s="711"/>
      <c r="Q22648" s="11"/>
      <c r="R22648" s="11"/>
      <c r="S22648" s="11"/>
      <c r="T22648" s="11"/>
    </row>
    <row r="22649" spans="8:20" x14ac:dyDescent="0.35">
      <c r="H22649" s="711"/>
      <c r="I22649" s="711"/>
      <c r="J22649" s="711"/>
      <c r="K22649" s="711"/>
      <c r="L22649" s="711"/>
      <c r="Q22649" s="11"/>
      <c r="R22649" s="11"/>
      <c r="S22649" s="11"/>
      <c r="T22649" s="11"/>
    </row>
    <row r="22650" spans="8:20" x14ac:dyDescent="0.35">
      <c r="H22650" s="711"/>
      <c r="I22650" s="711"/>
      <c r="J22650" s="711"/>
      <c r="K22650" s="711"/>
      <c r="L22650" s="711"/>
      <c r="Q22650" s="11"/>
      <c r="R22650" s="11"/>
      <c r="S22650" s="11"/>
      <c r="T22650" s="11"/>
    </row>
    <row r="22651" spans="8:20" x14ac:dyDescent="0.35">
      <c r="H22651" s="711"/>
      <c r="I22651" s="711"/>
      <c r="J22651" s="711"/>
      <c r="K22651" s="711"/>
      <c r="L22651" s="711"/>
      <c r="Q22651" s="11"/>
      <c r="R22651" s="11"/>
      <c r="S22651" s="11"/>
      <c r="T22651" s="11"/>
    </row>
    <row r="22652" spans="8:20" x14ac:dyDescent="0.35">
      <c r="H22652" s="711"/>
      <c r="I22652" s="711"/>
      <c r="J22652" s="711"/>
      <c r="K22652" s="711"/>
      <c r="L22652" s="711"/>
      <c r="Q22652" s="11"/>
      <c r="R22652" s="11"/>
      <c r="S22652" s="11"/>
      <c r="T22652" s="11"/>
    </row>
    <row r="22653" spans="8:20" x14ac:dyDescent="0.35">
      <c r="H22653" s="711"/>
      <c r="I22653" s="711"/>
      <c r="J22653" s="711"/>
      <c r="K22653" s="711"/>
      <c r="L22653" s="711"/>
      <c r="Q22653" s="11"/>
      <c r="R22653" s="11"/>
      <c r="S22653" s="11"/>
      <c r="T22653" s="11"/>
    </row>
    <row r="22654" spans="8:20" x14ac:dyDescent="0.35">
      <c r="H22654" s="711"/>
      <c r="I22654" s="711"/>
      <c r="J22654" s="711"/>
      <c r="K22654" s="711"/>
      <c r="L22654" s="711"/>
      <c r="Q22654" s="11"/>
      <c r="R22654" s="11"/>
      <c r="S22654" s="11"/>
      <c r="T22654" s="11"/>
    </row>
    <row r="22655" spans="8:20" x14ac:dyDescent="0.35">
      <c r="H22655" s="711"/>
      <c r="I22655" s="711"/>
      <c r="J22655" s="711"/>
      <c r="K22655" s="711"/>
      <c r="L22655" s="711"/>
      <c r="Q22655" s="11"/>
      <c r="R22655" s="11"/>
      <c r="S22655" s="11"/>
      <c r="T22655" s="11"/>
    </row>
    <row r="22656" spans="8:20" x14ac:dyDescent="0.35">
      <c r="H22656" s="711"/>
      <c r="I22656" s="711"/>
      <c r="J22656" s="711"/>
      <c r="K22656" s="711"/>
      <c r="L22656" s="711"/>
      <c r="Q22656" s="11"/>
      <c r="R22656" s="11"/>
      <c r="S22656" s="11"/>
      <c r="T22656" s="11"/>
    </row>
    <row r="22657" spans="8:20" x14ac:dyDescent="0.35">
      <c r="H22657" s="711"/>
      <c r="I22657" s="711"/>
      <c r="J22657" s="711"/>
      <c r="K22657" s="711"/>
      <c r="L22657" s="711"/>
      <c r="Q22657" s="11"/>
      <c r="R22657" s="11"/>
      <c r="S22657" s="11"/>
      <c r="T22657" s="11"/>
    </row>
    <row r="22658" spans="8:20" x14ac:dyDescent="0.35">
      <c r="H22658" s="711"/>
      <c r="I22658" s="711"/>
      <c r="J22658" s="711"/>
      <c r="K22658" s="711"/>
      <c r="L22658" s="711"/>
      <c r="Q22658" s="11"/>
      <c r="R22658" s="11"/>
      <c r="S22658" s="11"/>
      <c r="T22658" s="11"/>
    </row>
    <row r="22659" spans="8:20" x14ac:dyDescent="0.35">
      <c r="H22659" s="711"/>
      <c r="I22659" s="711"/>
      <c r="J22659" s="711"/>
      <c r="K22659" s="711"/>
      <c r="L22659" s="711"/>
      <c r="Q22659" s="11"/>
      <c r="R22659" s="11"/>
      <c r="S22659" s="11"/>
      <c r="T22659" s="11"/>
    </row>
    <row r="22660" spans="8:20" x14ac:dyDescent="0.35">
      <c r="H22660" s="711"/>
      <c r="I22660" s="711"/>
      <c r="J22660" s="711"/>
      <c r="K22660" s="711"/>
      <c r="L22660" s="711"/>
      <c r="Q22660" s="11"/>
      <c r="R22660" s="11"/>
      <c r="S22660" s="11"/>
      <c r="T22660" s="11"/>
    </row>
    <row r="22661" spans="8:20" x14ac:dyDescent="0.35">
      <c r="H22661" s="711"/>
      <c r="I22661" s="711"/>
      <c r="J22661" s="711"/>
      <c r="K22661" s="711"/>
      <c r="L22661" s="711"/>
      <c r="Q22661" s="11"/>
      <c r="R22661" s="11"/>
      <c r="S22661" s="11"/>
      <c r="T22661" s="11"/>
    </row>
    <row r="22662" spans="8:20" x14ac:dyDescent="0.35">
      <c r="H22662" s="711"/>
      <c r="I22662" s="711"/>
      <c r="J22662" s="711"/>
      <c r="K22662" s="711"/>
      <c r="L22662" s="711"/>
      <c r="Q22662" s="11"/>
      <c r="R22662" s="11"/>
      <c r="S22662" s="11"/>
      <c r="T22662" s="11"/>
    </row>
    <row r="22663" spans="8:20" x14ac:dyDescent="0.35">
      <c r="H22663" s="711"/>
      <c r="I22663" s="711"/>
      <c r="J22663" s="711"/>
      <c r="K22663" s="711"/>
      <c r="L22663" s="711"/>
      <c r="Q22663" s="11"/>
      <c r="R22663" s="11"/>
      <c r="S22663" s="11"/>
      <c r="T22663" s="11"/>
    </row>
    <row r="22664" spans="8:20" x14ac:dyDescent="0.35">
      <c r="H22664" s="711"/>
      <c r="I22664" s="711"/>
      <c r="J22664" s="711"/>
      <c r="K22664" s="711"/>
      <c r="L22664" s="711"/>
      <c r="Q22664" s="11"/>
      <c r="R22664" s="11"/>
      <c r="S22664" s="11"/>
      <c r="T22664" s="11"/>
    </row>
    <row r="22665" spans="8:20" x14ac:dyDescent="0.35">
      <c r="H22665" s="711"/>
      <c r="I22665" s="711"/>
      <c r="J22665" s="711"/>
      <c r="K22665" s="711"/>
      <c r="L22665" s="711"/>
      <c r="Q22665" s="11"/>
      <c r="R22665" s="11"/>
      <c r="S22665" s="11"/>
      <c r="T22665" s="11"/>
    </row>
    <row r="22666" spans="8:20" x14ac:dyDescent="0.35">
      <c r="H22666" s="711"/>
      <c r="I22666" s="711"/>
      <c r="J22666" s="711"/>
      <c r="K22666" s="711"/>
      <c r="L22666" s="711"/>
      <c r="Q22666" s="11"/>
      <c r="R22666" s="11"/>
      <c r="S22666" s="11"/>
      <c r="T22666" s="11"/>
    </row>
    <row r="22667" spans="8:20" x14ac:dyDescent="0.35">
      <c r="H22667" s="711"/>
      <c r="I22667" s="711"/>
      <c r="J22667" s="711"/>
      <c r="K22667" s="711"/>
      <c r="L22667" s="711"/>
      <c r="Q22667" s="11"/>
      <c r="R22667" s="11"/>
      <c r="S22667" s="11"/>
      <c r="T22667" s="11"/>
    </row>
    <row r="22668" spans="8:20" x14ac:dyDescent="0.35">
      <c r="H22668" s="711"/>
      <c r="I22668" s="711"/>
      <c r="J22668" s="711"/>
      <c r="K22668" s="711"/>
      <c r="L22668" s="711"/>
      <c r="Q22668" s="11"/>
      <c r="R22668" s="11"/>
      <c r="S22668" s="11"/>
      <c r="T22668" s="11"/>
    </row>
    <row r="22669" spans="8:20" x14ac:dyDescent="0.35">
      <c r="H22669" s="711"/>
      <c r="I22669" s="711"/>
      <c r="J22669" s="711"/>
      <c r="K22669" s="711"/>
      <c r="L22669" s="711"/>
      <c r="Q22669" s="11"/>
      <c r="R22669" s="11"/>
      <c r="S22669" s="11"/>
      <c r="T22669" s="11"/>
    </row>
    <row r="22670" spans="8:20" x14ac:dyDescent="0.35">
      <c r="H22670" s="711"/>
      <c r="I22670" s="711"/>
      <c r="J22670" s="711"/>
      <c r="K22670" s="711"/>
      <c r="L22670" s="711"/>
      <c r="Q22670" s="11"/>
      <c r="R22670" s="11"/>
      <c r="S22670" s="11"/>
      <c r="T22670" s="11"/>
    </row>
    <row r="22671" spans="8:20" x14ac:dyDescent="0.35">
      <c r="H22671" s="711"/>
      <c r="I22671" s="711"/>
      <c r="J22671" s="711"/>
      <c r="K22671" s="711"/>
      <c r="L22671" s="711"/>
      <c r="Q22671" s="11"/>
      <c r="R22671" s="11"/>
      <c r="S22671" s="11"/>
      <c r="T22671" s="11"/>
    </row>
    <row r="22672" spans="8:20" x14ac:dyDescent="0.35">
      <c r="H22672" s="711"/>
      <c r="I22672" s="711"/>
      <c r="J22672" s="711"/>
      <c r="K22672" s="711"/>
      <c r="L22672" s="711"/>
      <c r="Q22672" s="11"/>
      <c r="R22672" s="11"/>
      <c r="S22672" s="11"/>
      <c r="T22672" s="11"/>
    </row>
    <row r="22673" spans="8:20" x14ac:dyDescent="0.35">
      <c r="H22673" s="711"/>
      <c r="I22673" s="711"/>
      <c r="J22673" s="711"/>
      <c r="K22673" s="711"/>
      <c r="L22673" s="711"/>
      <c r="Q22673" s="11"/>
      <c r="R22673" s="11"/>
      <c r="S22673" s="11"/>
      <c r="T22673" s="11"/>
    </row>
    <row r="22674" spans="8:20" x14ac:dyDescent="0.35">
      <c r="H22674" s="711"/>
      <c r="I22674" s="711"/>
      <c r="J22674" s="711"/>
      <c r="K22674" s="711"/>
      <c r="L22674" s="711"/>
      <c r="Q22674" s="11"/>
      <c r="R22674" s="11"/>
      <c r="S22674" s="11"/>
      <c r="T22674" s="11"/>
    </row>
    <row r="22675" spans="8:20" x14ac:dyDescent="0.35">
      <c r="H22675" s="711"/>
      <c r="I22675" s="711"/>
      <c r="J22675" s="711"/>
      <c r="K22675" s="711"/>
      <c r="L22675" s="711"/>
      <c r="Q22675" s="11"/>
      <c r="R22675" s="11"/>
      <c r="S22675" s="11"/>
      <c r="T22675" s="11"/>
    </row>
    <row r="22676" spans="8:20" x14ac:dyDescent="0.35">
      <c r="H22676" s="711"/>
      <c r="I22676" s="711"/>
      <c r="J22676" s="711"/>
      <c r="K22676" s="711"/>
      <c r="L22676" s="711"/>
      <c r="Q22676" s="11"/>
      <c r="R22676" s="11"/>
      <c r="S22676" s="11"/>
      <c r="T22676" s="11"/>
    </row>
    <row r="22677" spans="8:20" x14ac:dyDescent="0.35">
      <c r="H22677" s="711"/>
      <c r="I22677" s="711"/>
      <c r="J22677" s="711"/>
      <c r="K22677" s="711"/>
      <c r="L22677" s="711"/>
      <c r="Q22677" s="11"/>
      <c r="R22677" s="11"/>
      <c r="S22677" s="11"/>
      <c r="T22677" s="11"/>
    </row>
    <row r="22678" spans="8:20" x14ac:dyDescent="0.35">
      <c r="H22678" s="711"/>
      <c r="I22678" s="711"/>
      <c r="J22678" s="711"/>
      <c r="K22678" s="711"/>
      <c r="L22678" s="711"/>
      <c r="Q22678" s="11"/>
      <c r="R22678" s="11"/>
      <c r="S22678" s="11"/>
      <c r="T22678" s="11"/>
    </row>
    <row r="22679" spans="8:20" x14ac:dyDescent="0.35">
      <c r="H22679" s="711"/>
      <c r="I22679" s="711"/>
      <c r="J22679" s="711"/>
      <c r="K22679" s="711"/>
      <c r="L22679" s="711"/>
      <c r="Q22679" s="11"/>
      <c r="R22679" s="11"/>
      <c r="S22679" s="11"/>
      <c r="T22679" s="11"/>
    </row>
    <row r="22680" spans="8:20" x14ac:dyDescent="0.35">
      <c r="H22680" s="711"/>
      <c r="I22680" s="711"/>
      <c r="J22680" s="711"/>
      <c r="K22680" s="711"/>
      <c r="L22680" s="711"/>
      <c r="Q22680" s="11"/>
      <c r="R22680" s="11"/>
      <c r="S22680" s="11"/>
      <c r="T22680" s="11"/>
    </row>
    <row r="22681" spans="8:20" x14ac:dyDescent="0.35">
      <c r="H22681" s="711"/>
      <c r="I22681" s="711"/>
      <c r="J22681" s="711"/>
      <c r="K22681" s="711"/>
      <c r="L22681" s="711"/>
      <c r="Q22681" s="11"/>
      <c r="R22681" s="11"/>
      <c r="S22681" s="11"/>
      <c r="T22681" s="11"/>
    </row>
    <row r="22682" spans="8:20" x14ac:dyDescent="0.35">
      <c r="H22682" s="711"/>
      <c r="I22682" s="711"/>
      <c r="J22682" s="711"/>
      <c r="K22682" s="711"/>
      <c r="L22682" s="711"/>
      <c r="Q22682" s="11"/>
      <c r="R22682" s="11"/>
      <c r="S22682" s="11"/>
      <c r="T22682" s="11"/>
    </row>
    <row r="22683" spans="8:20" x14ac:dyDescent="0.35">
      <c r="H22683" s="711"/>
      <c r="I22683" s="711"/>
      <c r="J22683" s="711"/>
      <c r="K22683" s="711"/>
      <c r="L22683" s="711"/>
      <c r="Q22683" s="11"/>
      <c r="R22683" s="11"/>
      <c r="S22683" s="11"/>
      <c r="T22683" s="11"/>
    </row>
    <row r="22684" spans="8:20" x14ac:dyDescent="0.35">
      <c r="H22684" s="711"/>
      <c r="I22684" s="711"/>
      <c r="J22684" s="711"/>
      <c r="K22684" s="711"/>
      <c r="L22684" s="711"/>
      <c r="Q22684" s="11"/>
      <c r="R22684" s="11"/>
      <c r="S22684" s="11"/>
      <c r="T22684" s="11"/>
    </row>
    <row r="22685" spans="8:20" x14ac:dyDescent="0.35">
      <c r="H22685" s="711"/>
      <c r="I22685" s="711"/>
      <c r="J22685" s="711"/>
      <c r="K22685" s="711"/>
      <c r="L22685" s="711"/>
      <c r="Q22685" s="11"/>
      <c r="R22685" s="11"/>
      <c r="S22685" s="11"/>
      <c r="T22685" s="11"/>
    </row>
    <row r="22686" spans="8:20" x14ac:dyDescent="0.35">
      <c r="H22686" s="711"/>
      <c r="I22686" s="711"/>
      <c r="J22686" s="711"/>
      <c r="K22686" s="711"/>
      <c r="L22686" s="711"/>
      <c r="Q22686" s="11"/>
      <c r="R22686" s="11"/>
      <c r="S22686" s="11"/>
      <c r="T22686" s="11"/>
    </row>
    <row r="22687" spans="8:20" x14ac:dyDescent="0.35">
      <c r="H22687" s="711"/>
      <c r="I22687" s="711"/>
      <c r="J22687" s="711"/>
      <c r="K22687" s="711"/>
      <c r="L22687" s="711"/>
      <c r="Q22687" s="11"/>
      <c r="R22687" s="11"/>
      <c r="S22687" s="11"/>
      <c r="T22687" s="11"/>
    </row>
    <row r="22688" spans="8:20" x14ac:dyDescent="0.35">
      <c r="H22688" s="711"/>
      <c r="I22688" s="711"/>
      <c r="J22688" s="711"/>
      <c r="K22688" s="711"/>
      <c r="L22688" s="711"/>
      <c r="Q22688" s="11"/>
      <c r="R22688" s="11"/>
      <c r="S22688" s="11"/>
      <c r="T22688" s="11"/>
    </row>
    <row r="22689" spans="8:20" x14ac:dyDescent="0.35">
      <c r="H22689" s="711"/>
      <c r="I22689" s="711"/>
      <c r="J22689" s="711"/>
      <c r="K22689" s="711"/>
      <c r="L22689" s="711"/>
      <c r="Q22689" s="11"/>
      <c r="R22689" s="11"/>
      <c r="S22689" s="11"/>
      <c r="T22689" s="11"/>
    </row>
    <row r="22690" spans="8:20" x14ac:dyDescent="0.35">
      <c r="H22690" s="711"/>
      <c r="I22690" s="711"/>
      <c r="J22690" s="711"/>
      <c r="K22690" s="711"/>
      <c r="L22690" s="711"/>
      <c r="Q22690" s="11"/>
      <c r="R22690" s="11"/>
      <c r="S22690" s="11"/>
      <c r="T22690" s="11"/>
    </row>
    <row r="22691" spans="8:20" x14ac:dyDescent="0.35">
      <c r="H22691" s="711"/>
      <c r="I22691" s="711"/>
      <c r="J22691" s="711"/>
      <c r="K22691" s="711"/>
      <c r="L22691" s="711"/>
      <c r="Q22691" s="11"/>
      <c r="R22691" s="11"/>
      <c r="S22691" s="11"/>
      <c r="T22691" s="11"/>
    </row>
    <row r="22692" spans="8:20" x14ac:dyDescent="0.35">
      <c r="H22692" s="711"/>
      <c r="I22692" s="711"/>
      <c r="J22692" s="711"/>
      <c r="K22692" s="711"/>
      <c r="L22692" s="711"/>
      <c r="Q22692" s="11"/>
      <c r="R22692" s="11"/>
      <c r="S22692" s="11"/>
      <c r="T22692" s="11"/>
    </row>
    <row r="22693" spans="8:20" x14ac:dyDescent="0.35">
      <c r="H22693" s="711"/>
      <c r="I22693" s="711"/>
      <c r="J22693" s="711"/>
      <c r="K22693" s="711"/>
      <c r="L22693" s="711"/>
      <c r="Q22693" s="11"/>
      <c r="R22693" s="11"/>
      <c r="S22693" s="11"/>
      <c r="T22693" s="11"/>
    </row>
    <row r="22694" spans="8:20" x14ac:dyDescent="0.35">
      <c r="H22694" s="711"/>
      <c r="I22694" s="711"/>
      <c r="J22694" s="711"/>
      <c r="K22694" s="711"/>
      <c r="L22694" s="711"/>
      <c r="Q22694" s="11"/>
      <c r="R22694" s="11"/>
      <c r="S22694" s="11"/>
      <c r="T22694" s="11"/>
    </row>
    <row r="22695" spans="8:20" x14ac:dyDescent="0.35">
      <c r="H22695" s="711"/>
      <c r="I22695" s="711"/>
      <c r="J22695" s="711"/>
      <c r="K22695" s="711"/>
      <c r="L22695" s="711"/>
      <c r="Q22695" s="11"/>
      <c r="R22695" s="11"/>
      <c r="S22695" s="11"/>
      <c r="T22695" s="11"/>
    </row>
    <row r="22696" spans="8:20" x14ac:dyDescent="0.35">
      <c r="H22696" s="711"/>
      <c r="I22696" s="711"/>
      <c r="J22696" s="711"/>
      <c r="K22696" s="711"/>
      <c r="L22696" s="711"/>
      <c r="Q22696" s="11"/>
      <c r="R22696" s="11"/>
      <c r="S22696" s="11"/>
      <c r="T22696" s="11"/>
    </row>
    <row r="22697" spans="8:20" x14ac:dyDescent="0.35">
      <c r="H22697" s="711"/>
      <c r="I22697" s="711"/>
      <c r="J22697" s="711"/>
      <c r="K22697" s="711"/>
      <c r="L22697" s="711"/>
      <c r="Q22697" s="11"/>
      <c r="R22697" s="11"/>
      <c r="S22697" s="11"/>
      <c r="T22697" s="11"/>
    </row>
    <row r="22698" spans="8:20" x14ac:dyDescent="0.35">
      <c r="H22698" s="711"/>
      <c r="I22698" s="711"/>
      <c r="J22698" s="711"/>
      <c r="K22698" s="711"/>
      <c r="L22698" s="711"/>
      <c r="Q22698" s="11"/>
      <c r="R22698" s="11"/>
      <c r="S22698" s="11"/>
      <c r="T22698" s="11"/>
    </row>
    <row r="22699" spans="8:20" x14ac:dyDescent="0.35">
      <c r="H22699" s="711"/>
      <c r="I22699" s="711"/>
      <c r="J22699" s="711"/>
      <c r="K22699" s="711"/>
      <c r="L22699" s="711"/>
      <c r="Q22699" s="11"/>
      <c r="R22699" s="11"/>
      <c r="S22699" s="11"/>
      <c r="T22699" s="11"/>
    </row>
    <row r="22700" spans="8:20" x14ac:dyDescent="0.35">
      <c r="H22700" s="711"/>
      <c r="I22700" s="711"/>
      <c r="J22700" s="711"/>
      <c r="K22700" s="711"/>
      <c r="L22700" s="711"/>
      <c r="Q22700" s="11"/>
      <c r="R22700" s="11"/>
      <c r="S22700" s="11"/>
      <c r="T22700" s="11"/>
    </row>
    <row r="22701" spans="8:20" x14ac:dyDescent="0.35">
      <c r="H22701" s="711"/>
      <c r="I22701" s="711"/>
      <c r="J22701" s="711"/>
      <c r="K22701" s="711"/>
      <c r="L22701" s="711"/>
      <c r="Q22701" s="11"/>
      <c r="R22701" s="11"/>
      <c r="S22701" s="11"/>
      <c r="T22701" s="11"/>
    </row>
    <row r="22702" spans="8:20" x14ac:dyDescent="0.35">
      <c r="H22702" s="711"/>
      <c r="I22702" s="711"/>
      <c r="J22702" s="711"/>
      <c r="K22702" s="711"/>
      <c r="L22702" s="711"/>
      <c r="Q22702" s="11"/>
      <c r="R22702" s="11"/>
      <c r="S22702" s="11"/>
      <c r="T22702" s="11"/>
    </row>
    <row r="22703" spans="8:20" x14ac:dyDescent="0.35">
      <c r="H22703" s="711"/>
      <c r="I22703" s="711"/>
      <c r="J22703" s="711"/>
      <c r="K22703" s="711"/>
      <c r="L22703" s="711"/>
      <c r="Q22703" s="11"/>
      <c r="R22703" s="11"/>
      <c r="S22703" s="11"/>
      <c r="T22703" s="11"/>
    </row>
    <row r="22704" spans="8:20" x14ac:dyDescent="0.35">
      <c r="H22704" s="711"/>
      <c r="I22704" s="711"/>
      <c r="J22704" s="711"/>
      <c r="K22704" s="711"/>
      <c r="L22704" s="711"/>
      <c r="Q22704" s="11"/>
      <c r="R22704" s="11"/>
      <c r="S22704" s="11"/>
      <c r="T22704" s="11"/>
    </row>
    <row r="22705" spans="8:20" x14ac:dyDescent="0.35">
      <c r="H22705" s="711"/>
      <c r="I22705" s="711"/>
      <c r="J22705" s="711"/>
      <c r="K22705" s="711"/>
      <c r="L22705" s="711"/>
      <c r="Q22705" s="11"/>
      <c r="R22705" s="11"/>
      <c r="S22705" s="11"/>
      <c r="T22705" s="11"/>
    </row>
    <row r="22706" spans="8:20" x14ac:dyDescent="0.35">
      <c r="H22706" s="711"/>
      <c r="I22706" s="711"/>
      <c r="J22706" s="711"/>
      <c r="K22706" s="711"/>
      <c r="L22706" s="711"/>
      <c r="Q22706" s="11"/>
      <c r="R22706" s="11"/>
      <c r="S22706" s="11"/>
      <c r="T22706" s="11"/>
    </row>
    <row r="22707" spans="8:20" x14ac:dyDescent="0.35">
      <c r="H22707" s="711"/>
      <c r="I22707" s="711"/>
      <c r="J22707" s="711"/>
      <c r="K22707" s="711"/>
      <c r="L22707" s="711"/>
      <c r="Q22707" s="11"/>
      <c r="R22707" s="11"/>
      <c r="S22707" s="11"/>
      <c r="T22707" s="11"/>
    </row>
    <row r="22708" spans="8:20" x14ac:dyDescent="0.35">
      <c r="H22708" s="711"/>
      <c r="I22708" s="711"/>
      <c r="J22708" s="711"/>
      <c r="K22708" s="711"/>
      <c r="L22708" s="711"/>
      <c r="Q22708" s="11"/>
      <c r="R22708" s="11"/>
      <c r="S22708" s="11"/>
      <c r="T22708" s="11"/>
    </row>
    <row r="22709" spans="8:20" x14ac:dyDescent="0.35">
      <c r="H22709" s="711"/>
      <c r="I22709" s="711"/>
      <c r="J22709" s="711"/>
      <c r="K22709" s="711"/>
      <c r="L22709" s="711"/>
      <c r="Q22709" s="11"/>
      <c r="R22709" s="11"/>
      <c r="S22709" s="11"/>
      <c r="T22709" s="11"/>
    </row>
    <row r="22710" spans="8:20" x14ac:dyDescent="0.35">
      <c r="H22710" s="711"/>
      <c r="I22710" s="711"/>
      <c r="J22710" s="711"/>
      <c r="K22710" s="711"/>
      <c r="L22710" s="711"/>
      <c r="Q22710" s="11"/>
      <c r="R22710" s="11"/>
      <c r="S22710" s="11"/>
      <c r="T22710" s="11"/>
    </row>
    <row r="22711" spans="8:20" x14ac:dyDescent="0.35">
      <c r="H22711" s="711"/>
      <c r="I22711" s="711"/>
      <c r="J22711" s="711"/>
      <c r="K22711" s="711"/>
      <c r="L22711" s="711"/>
      <c r="Q22711" s="11"/>
      <c r="R22711" s="11"/>
      <c r="S22711" s="11"/>
      <c r="T22711" s="11"/>
    </row>
    <row r="22712" spans="8:20" x14ac:dyDescent="0.35">
      <c r="H22712" s="711"/>
      <c r="I22712" s="711"/>
      <c r="J22712" s="711"/>
      <c r="K22712" s="711"/>
      <c r="L22712" s="711"/>
      <c r="Q22712" s="11"/>
      <c r="R22712" s="11"/>
      <c r="S22712" s="11"/>
      <c r="T22712" s="11"/>
    </row>
    <row r="22713" spans="8:20" x14ac:dyDescent="0.35">
      <c r="H22713" s="711"/>
      <c r="I22713" s="711"/>
      <c r="J22713" s="711"/>
      <c r="K22713" s="711"/>
      <c r="L22713" s="711"/>
      <c r="Q22713" s="11"/>
      <c r="R22713" s="11"/>
      <c r="S22713" s="11"/>
      <c r="T22713" s="11"/>
    </row>
    <row r="22714" spans="8:20" x14ac:dyDescent="0.35">
      <c r="H22714" s="711"/>
      <c r="I22714" s="711"/>
      <c r="J22714" s="711"/>
      <c r="K22714" s="711"/>
      <c r="L22714" s="711"/>
      <c r="Q22714" s="11"/>
      <c r="R22714" s="11"/>
      <c r="S22714" s="11"/>
      <c r="T22714" s="11"/>
    </row>
    <row r="22715" spans="8:20" x14ac:dyDescent="0.35">
      <c r="H22715" s="711"/>
      <c r="I22715" s="711"/>
      <c r="J22715" s="711"/>
      <c r="K22715" s="711"/>
      <c r="L22715" s="711"/>
      <c r="Q22715" s="11"/>
      <c r="R22715" s="11"/>
      <c r="S22715" s="11"/>
      <c r="T22715" s="11"/>
    </row>
    <row r="22716" spans="8:20" x14ac:dyDescent="0.35">
      <c r="H22716" s="711"/>
      <c r="I22716" s="711"/>
      <c r="J22716" s="711"/>
      <c r="K22716" s="711"/>
      <c r="L22716" s="711"/>
      <c r="Q22716" s="11"/>
      <c r="R22716" s="11"/>
      <c r="S22716" s="11"/>
      <c r="T22716" s="11"/>
    </row>
    <row r="22717" spans="8:20" x14ac:dyDescent="0.35">
      <c r="H22717" s="711"/>
      <c r="I22717" s="711"/>
      <c r="J22717" s="711"/>
      <c r="K22717" s="711"/>
      <c r="L22717" s="711"/>
      <c r="Q22717" s="11"/>
      <c r="R22717" s="11"/>
      <c r="S22717" s="11"/>
      <c r="T22717" s="11"/>
    </row>
    <row r="22718" spans="8:20" x14ac:dyDescent="0.35">
      <c r="H22718" s="711"/>
      <c r="I22718" s="711"/>
      <c r="J22718" s="711"/>
      <c r="K22718" s="711"/>
      <c r="L22718" s="711"/>
      <c r="Q22718" s="11"/>
      <c r="R22718" s="11"/>
      <c r="S22718" s="11"/>
      <c r="T22718" s="11"/>
    </row>
    <row r="22719" spans="8:20" x14ac:dyDescent="0.35">
      <c r="H22719" s="711"/>
      <c r="I22719" s="711"/>
      <c r="J22719" s="711"/>
      <c r="K22719" s="711"/>
      <c r="L22719" s="711"/>
      <c r="Q22719" s="11"/>
      <c r="R22719" s="11"/>
      <c r="S22719" s="11"/>
      <c r="T22719" s="11"/>
    </row>
    <row r="22720" spans="8:20" x14ac:dyDescent="0.35">
      <c r="H22720" s="711"/>
      <c r="I22720" s="711"/>
      <c r="J22720" s="711"/>
      <c r="K22720" s="711"/>
      <c r="L22720" s="711"/>
      <c r="Q22720" s="11"/>
      <c r="R22720" s="11"/>
      <c r="S22720" s="11"/>
      <c r="T22720" s="11"/>
    </row>
    <row r="22721" spans="8:20" x14ac:dyDescent="0.35">
      <c r="H22721" s="711"/>
      <c r="I22721" s="711"/>
      <c r="J22721" s="711"/>
      <c r="K22721" s="711"/>
      <c r="L22721" s="711"/>
      <c r="Q22721" s="11"/>
      <c r="R22721" s="11"/>
      <c r="S22721" s="11"/>
      <c r="T22721" s="11"/>
    </row>
    <row r="22722" spans="8:20" x14ac:dyDescent="0.35">
      <c r="H22722" s="711"/>
      <c r="I22722" s="711"/>
      <c r="J22722" s="711"/>
      <c r="K22722" s="711"/>
      <c r="L22722" s="711"/>
      <c r="Q22722" s="11"/>
      <c r="R22722" s="11"/>
      <c r="S22722" s="11"/>
      <c r="T22722" s="11"/>
    </row>
    <row r="22723" spans="8:20" x14ac:dyDescent="0.35">
      <c r="H22723" s="711"/>
      <c r="I22723" s="711"/>
      <c r="J22723" s="711"/>
      <c r="K22723" s="711"/>
      <c r="L22723" s="711"/>
      <c r="Q22723" s="11"/>
      <c r="R22723" s="11"/>
      <c r="S22723" s="11"/>
      <c r="T22723" s="11"/>
    </row>
    <row r="22724" spans="8:20" x14ac:dyDescent="0.35">
      <c r="H22724" s="711"/>
      <c r="I22724" s="711"/>
      <c r="J22724" s="711"/>
      <c r="K22724" s="711"/>
      <c r="L22724" s="711"/>
      <c r="Q22724" s="11"/>
      <c r="R22724" s="11"/>
      <c r="S22724" s="11"/>
      <c r="T22724" s="11"/>
    </row>
    <row r="22725" spans="8:20" x14ac:dyDescent="0.35">
      <c r="H22725" s="711"/>
      <c r="I22725" s="711"/>
      <c r="J22725" s="711"/>
      <c r="K22725" s="711"/>
      <c r="L22725" s="711"/>
      <c r="Q22725" s="11"/>
      <c r="R22725" s="11"/>
      <c r="S22725" s="11"/>
      <c r="T22725" s="11"/>
    </row>
    <row r="22726" spans="8:20" x14ac:dyDescent="0.35">
      <c r="H22726" s="711"/>
      <c r="I22726" s="711"/>
      <c r="J22726" s="711"/>
      <c r="K22726" s="711"/>
      <c r="L22726" s="711"/>
      <c r="Q22726" s="11"/>
      <c r="R22726" s="11"/>
      <c r="S22726" s="11"/>
      <c r="T22726" s="11"/>
    </row>
    <row r="22727" spans="8:20" x14ac:dyDescent="0.35">
      <c r="H22727" s="711"/>
      <c r="I22727" s="711"/>
      <c r="J22727" s="711"/>
      <c r="K22727" s="711"/>
      <c r="L22727" s="711"/>
      <c r="Q22727" s="11"/>
      <c r="R22727" s="11"/>
      <c r="S22727" s="11"/>
      <c r="T22727" s="11"/>
    </row>
    <row r="22728" spans="8:20" x14ac:dyDescent="0.35">
      <c r="H22728" s="711"/>
      <c r="I22728" s="711"/>
      <c r="J22728" s="711"/>
      <c r="K22728" s="711"/>
      <c r="L22728" s="711"/>
      <c r="Q22728" s="11"/>
      <c r="R22728" s="11"/>
      <c r="S22728" s="11"/>
      <c r="T22728" s="11"/>
    </row>
    <row r="22729" spans="8:20" x14ac:dyDescent="0.35">
      <c r="H22729" s="711"/>
      <c r="I22729" s="711"/>
      <c r="J22729" s="711"/>
      <c r="K22729" s="711"/>
      <c r="L22729" s="711"/>
      <c r="Q22729" s="11"/>
      <c r="R22729" s="11"/>
      <c r="S22729" s="11"/>
      <c r="T22729" s="11"/>
    </row>
    <row r="22730" spans="8:20" x14ac:dyDescent="0.35">
      <c r="H22730" s="711"/>
      <c r="I22730" s="711"/>
      <c r="J22730" s="711"/>
      <c r="K22730" s="711"/>
      <c r="L22730" s="711"/>
      <c r="Q22730" s="11"/>
      <c r="R22730" s="11"/>
      <c r="S22730" s="11"/>
      <c r="T22730" s="11"/>
    </row>
    <row r="22731" spans="8:20" x14ac:dyDescent="0.35">
      <c r="H22731" s="711"/>
      <c r="I22731" s="711"/>
      <c r="J22731" s="711"/>
      <c r="K22731" s="711"/>
      <c r="L22731" s="711"/>
      <c r="Q22731" s="11"/>
      <c r="R22731" s="11"/>
      <c r="S22731" s="11"/>
      <c r="T22731" s="11"/>
    </row>
    <row r="22732" spans="8:20" x14ac:dyDescent="0.35">
      <c r="H22732" s="711"/>
      <c r="I22732" s="711"/>
      <c r="J22732" s="711"/>
      <c r="K22732" s="711"/>
      <c r="L22732" s="711"/>
      <c r="Q22732" s="11"/>
      <c r="R22732" s="11"/>
      <c r="S22732" s="11"/>
      <c r="T22732" s="11"/>
    </row>
    <row r="22733" spans="8:20" x14ac:dyDescent="0.35">
      <c r="H22733" s="711"/>
      <c r="I22733" s="711"/>
      <c r="J22733" s="711"/>
      <c r="K22733" s="711"/>
      <c r="L22733" s="711"/>
      <c r="Q22733" s="11"/>
      <c r="R22733" s="11"/>
      <c r="S22733" s="11"/>
      <c r="T22733" s="11"/>
    </row>
    <row r="22734" spans="8:20" x14ac:dyDescent="0.35">
      <c r="H22734" s="711"/>
      <c r="I22734" s="711"/>
      <c r="J22734" s="711"/>
      <c r="K22734" s="711"/>
      <c r="L22734" s="711"/>
      <c r="Q22734" s="11"/>
      <c r="R22734" s="11"/>
      <c r="S22734" s="11"/>
      <c r="T22734" s="11"/>
    </row>
    <row r="22735" spans="8:20" x14ac:dyDescent="0.35">
      <c r="H22735" s="711"/>
      <c r="I22735" s="711"/>
      <c r="J22735" s="711"/>
      <c r="K22735" s="711"/>
      <c r="L22735" s="711"/>
      <c r="Q22735" s="11"/>
      <c r="R22735" s="11"/>
      <c r="S22735" s="11"/>
      <c r="T22735" s="11"/>
    </row>
    <row r="22736" spans="8:20" x14ac:dyDescent="0.35">
      <c r="H22736" s="711"/>
      <c r="I22736" s="711"/>
      <c r="J22736" s="711"/>
      <c r="K22736" s="711"/>
      <c r="L22736" s="711"/>
      <c r="Q22736" s="11"/>
      <c r="R22736" s="11"/>
      <c r="S22736" s="11"/>
      <c r="T22736" s="11"/>
    </row>
    <row r="22737" spans="8:20" x14ac:dyDescent="0.35">
      <c r="H22737" s="711"/>
      <c r="I22737" s="711"/>
      <c r="J22737" s="711"/>
      <c r="K22737" s="711"/>
      <c r="L22737" s="711"/>
      <c r="Q22737" s="11"/>
      <c r="R22737" s="11"/>
      <c r="S22737" s="11"/>
      <c r="T22737" s="11"/>
    </row>
    <row r="22738" spans="8:20" x14ac:dyDescent="0.35">
      <c r="H22738" s="711"/>
      <c r="I22738" s="711"/>
      <c r="J22738" s="711"/>
      <c r="K22738" s="711"/>
      <c r="L22738" s="711"/>
      <c r="Q22738" s="11"/>
      <c r="R22738" s="11"/>
      <c r="S22738" s="11"/>
      <c r="T22738" s="11"/>
    </row>
    <row r="22739" spans="8:20" x14ac:dyDescent="0.35">
      <c r="H22739" s="711"/>
      <c r="I22739" s="711"/>
      <c r="J22739" s="711"/>
      <c r="K22739" s="711"/>
      <c r="L22739" s="711"/>
      <c r="Q22739" s="11"/>
      <c r="R22739" s="11"/>
      <c r="S22739" s="11"/>
      <c r="T22739" s="11"/>
    </row>
    <row r="22740" spans="8:20" x14ac:dyDescent="0.35">
      <c r="H22740" s="711"/>
      <c r="I22740" s="711"/>
      <c r="J22740" s="711"/>
      <c r="K22740" s="711"/>
      <c r="L22740" s="711"/>
      <c r="Q22740" s="11"/>
      <c r="R22740" s="11"/>
      <c r="S22740" s="11"/>
      <c r="T22740" s="11"/>
    </row>
    <row r="22741" spans="8:20" x14ac:dyDescent="0.35">
      <c r="H22741" s="711"/>
      <c r="I22741" s="711"/>
      <c r="J22741" s="711"/>
      <c r="K22741" s="711"/>
      <c r="L22741" s="711"/>
      <c r="Q22741" s="11"/>
      <c r="R22741" s="11"/>
      <c r="S22741" s="11"/>
      <c r="T22741" s="11"/>
    </row>
    <row r="22742" spans="8:20" x14ac:dyDescent="0.35">
      <c r="H22742" s="711"/>
      <c r="I22742" s="711"/>
      <c r="J22742" s="711"/>
      <c r="K22742" s="711"/>
      <c r="L22742" s="711"/>
      <c r="Q22742" s="11"/>
      <c r="R22742" s="11"/>
      <c r="S22742" s="11"/>
      <c r="T22742" s="11"/>
    </row>
    <row r="22743" spans="8:20" x14ac:dyDescent="0.35">
      <c r="H22743" s="711"/>
      <c r="I22743" s="711"/>
      <c r="J22743" s="711"/>
      <c r="K22743" s="711"/>
      <c r="L22743" s="711"/>
      <c r="Q22743" s="11"/>
      <c r="R22743" s="11"/>
      <c r="S22743" s="11"/>
      <c r="T22743" s="11"/>
    </row>
    <row r="22744" spans="8:20" x14ac:dyDescent="0.35">
      <c r="H22744" s="711"/>
      <c r="I22744" s="711"/>
      <c r="J22744" s="711"/>
      <c r="K22744" s="711"/>
      <c r="L22744" s="711"/>
      <c r="Q22744" s="11"/>
      <c r="R22744" s="11"/>
      <c r="S22744" s="11"/>
      <c r="T22744" s="11"/>
    </row>
    <row r="22745" spans="8:20" x14ac:dyDescent="0.35">
      <c r="H22745" s="711"/>
      <c r="I22745" s="711"/>
      <c r="J22745" s="711"/>
      <c r="K22745" s="711"/>
      <c r="L22745" s="711"/>
      <c r="Q22745" s="11"/>
      <c r="R22745" s="11"/>
      <c r="S22745" s="11"/>
      <c r="T22745" s="11"/>
    </row>
    <row r="22746" spans="8:20" x14ac:dyDescent="0.35">
      <c r="H22746" s="711"/>
      <c r="I22746" s="711"/>
      <c r="J22746" s="711"/>
      <c r="K22746" s="711"/>
      <c r="L22746" s="711"/>
      <c r="Q22746" s="11"/>
      <c r="R22746" s="11"/>
      <c r="S22746" s="11"/>
      <c r="T22746" s="11"/>
    </row>
    <row r="22747" spans="8:20" x14ac:dyDescent="0.35">
      <c r="H22747" s="711"/>
      <c r="I22747" s="711"/>
      <c r="J22747" s="711"/>
      <c r="K22747" s="711"/>
      <c r="L22747" s="711"/>
      <c r="Q22747" s="11"/>
      <c r="R22747" s="11"/>
      <c r="S22747" s="11"/>
      <c r="T22747" s="11"/>
    </row>
    <row r="22748" spans="8:20" x14ac:dyDescent="0.35">
      <c r="H22748" s="711"/>
      <c r="I22748" s="711"/>
      <c r="J22748" s="711"/>
      <c r="K22748" s="711"/>
      <c r="L22748" s="711"/>
      <c r="Q22748" s="11"/>
      <c r="R22748" s="11"/>
      <c r="S22748" s="11"/>
      <c r="T22748" s="11"/>
    </row>
    <row r="22749" spans="8:20" x14ac:dyDescent="0.35">
      <c r="H22749" s="711"/>
      <c r="I22749" s="711"/>
      <c r="J22749" s="711"/>
      <c r="K22749" s="711"/>
      <c r="L22749" s="711"/>
      <c r="Q22749" s="11"/>
      <c r="R22749" s="11"/>
      <c r="S22749" s="11"/>
      <c r="T22749" s="11"/>
    </row>
    <row r="22750" spans="8:20" x14ac:dyDescent="0.35">
      <c r="H22750" s="711"/>
      <c r="I22750" s="711"/>
      <c r="J22750" s="711"/>
      <c r="K22750" s="711"/>
      <c r="L22750" s="711"/>
      <c r="Q22750" s="11"/>
      <c r="R22750" s="11"/>
      <c r="S22750" s="11"/>
      <c r="T22750" s="11"/>
    </row>
    <row r="22751" spans="8:20" x14ac:dyDescent="0.35">
      <c r="H22751" s="711"/>
      <c r="I22751" s="711"/>
      <c r="J22751" s="711"/>
      <c r="K22751" s="711"/>
      <c r="L22751" s="711"/>
      <c r="Q22751" s="11"/>
      <c r="R22751" s="11"/>
      <c r="S22751" s="11"/>
      <c r="T22751" s="11"/>
    </row>
    <row r="22752" spans="8:20" x14ac:dyDescent="0.35">
      <c r="H22752" s="711"/>
      <c r="I22752" s="711"/>
      <c r="J22752" s="711"/>
      <c r="K22752" s="711"/>
      <c r="L22752" s="711"/>
      <c r="Q22752" s="11"/>
      <c r="R22752" s="11"/>
      <c r="S22752" s="11"/>
      <c r="T22752" s="11"/>
    </row>
    <row r="22753" spans="8:20" x14ac:dyDescent="0.35">
      <c r="H22753" s="711"/>
      <c r="I22753" s="711"/>
      <c r="J22753" s="711"/>
      <c r="K22753" s="711"/>
      <c r="L22753" s="711"/>
      <c r="Q22753" s="11"/>
      <c r="R22753" s="11"/>
      <c r="S22753" s="11"/>
      <c r="T22753" s="11"/>
    </row>
    <row r="22754" spans="8:20" x14ac:dyDescent="0.35">
      <c r="H22754" s="711"/>
      <c r="I22754" s="711"/>
      <c r="J22754" s="711"/>
      <c r="K22754" s="711"/>
      <c r="L22754" s="711"/>
      <c r="Q22754" s="11"/>
      <c r="R22754" s="11"/>
      <c r="S22754" s="11"/>
      <c r="T22754" s="11"/>
    </row>
    <row r="22755" spans="8:20" x14ac:dyDescent="0.35">
      <c r="H22755" s="711"/>
      <c r="I22755" s="711"/>
      <c r="J22755" s="711"/>
      <c r="K22755" s="711"/>
      <c r="L22755" s="711"/>
      <c r="Q22755" s="11"/>
      <c r="R22755" s="11"/>
      <c r="S22755" s="11"/>
      <c r="T22755" s="11"/>
    </row>
    <row r="22756" spans="8:20" x14ac:dyDescent="0.35">
      <c r="H22756" s="711"/>
      <c r="I22756" s="711"/>
      <c r="J22756" s="711"/>
      <c r="K22756" s="711"/>
      <c r="L22756" s="711"/>
      <c r="Q22756" s="11"/>
      <c r="R22756" s="11"/>
      <c r="S22756" s="11"/>
      <c r="T22756" s="11"/>
    </row>
    <row r="22757" spans="8:20" x14ac:dyDescent="0.35">
      <c r="H22757" s="711"/>
      <c r="I22757" s="711"/>
      <c r="J22757" s="711"/>
      <c r="K22757" s="711"/>
      <c r="L22757" s="711"/>
      <c r="Q22757" s="11"/>
      <c r="R22757" s="11"/>
      <c r="S22757" s="11"/>
      <c r="T22757" s="11"/>
    </row>
    <row r="22758" spans="8:20" x14ac:dyDescent="0.35">
      <c r="H22758" s="711"/>
      <c r="I22758" s="711"/>
      <c r="J22758" s="711"/>
      <c r="K22758" s="711"/>
      <c r="L22758" s="711"/>
      <c r="Q22758" s="11"/>
      <c r="R22758" s="11"/>
      <c r="S22758" s="11"/>
      <c r="T22758" s="11"/>
    </row>
    <row r="22759" spans="8:20" x14ac:dyDescent="0.35">
      <c r="H22759" s="711"/>
      <c r="I22759" s="711"/>
      <c r="J22759" s="711"/>
      <c r="K22759" s="711"/>
      <c r="L22759" s="711"/>
      <c r="Q22759" s="11"/>
      <c r="R22759" s="11"/>
      <c r="S22759" s="11"/>
      <c r="T22759" s="11"/>
    </row>
    <row r="22760" spans="8:20" x14ac:dyDescent="0.35">
      <c r="H22760" s="711"/>
      <c r="I22760" s="711"/>
      <c r="J22760" s="711"/>
      <c r="K22760" s="711"/>
      <c r="L22760" s="711"/>
      <c r="Q22760" s="11"/>
      <c r="R22760" s="11"/>
      <c r="S22760" s="11"/>
      <c r="T22760" s="11"/>
    </row>
    <row r="22761" spans="8:20" x14ac:dyDescent="0.35">
      <c r="H22761" s="711"/>
      <c r="I22761" s="711"/>
      <c r="J22761" s="711"/>
      <c r="K22761" s="711"/>
      <c r="L22761" s="711"/>
      <c r="Q22761" s="11"/>
      <c r="R22761" s="11"/>
      <c r="S22761" s="11"/>
      <c r="T22761" s="11"/>
    </row>
    <row r="22762" spans="8:20" x14ac:dyDescent="0.35">
      <c r="H22762" s="711"/>
      <c r="I22762" s="711"/>
      <c r="J22762" s="711"/>
      <c r="K22762" s="711"/>
      <c r="L22762" s="711"/>
      <c r="Q22762" s="11"/>
      <c r="R22762" s="11"/>
      <c r="S22762" s="11"/>
      <c r="T22762" s="11"/>
    </row>
    <row r="22763" spans="8:20" x14ac:dyDescent="0.35">
      <c r="H22763" s="711"/>
      <c r="I22763" s="711"/>
      <c r="J22763" s="711"/>
      <c r="K22763" s="711"/>
      <c r="L22763" s="711"/>
      <c r="Q22763" s="11"/>
      <c r="R22763" s="11"/>
      <c r="S22763" s="11"/>
      <c r="T22763" s="11"/>
    </row>
    <row r="22764" spans="8:20" x14ac:dyDescent="0.35">
      <c r="H22764" s="711"/>
      <c r="I22764" s="711"/>
      <c r="J22764" s="711"/>
      <c r="K22764" s="711"/>
      <c r="L22764" s="711"/>
      <c r="Q22764" s="11"/>
      <c r="R22764" s="11"/>
      <c r="S22764" s="11"/>
      <c r="T22764" s="11"/>
    </row>
    <row r="22765" spans="8:20" x14ac:dyDescent="0.35">
      <c r="H22765" s="711"/>
      <c r="I22765" s="711"/>
      <c r="J22765" s="711"/>
      <c r="K22765" s="711"/>
      <c r="L22765" s="711"/>
      <c r="Q22765" s="11"/>
      <c r="R22765" s="11"/>
      <c r="S22765" s="11"/>
      <c r="T22765" s="11"/>
    </row>
    <row r="22766" spans="8:20" x14ac:dyDescent="0.35">
      <c r="H22766" s="711"/>
      <c r="I22766" s="711"/>
      <c r="J22766" s="711"/>
      <c r="K22766" s="711"/>
      <c r="L22766" s="711"/>
      <c r="Q22766" s="11"/>
      <c r="R22766" s="11"/>
      <c r="S22766" s="11"/>
      <c r="T22766" s="11"/>
    </row>
    <row r="22767" spans="8:20" x14ac:dyDescent="0.35">
      <c r="H22767" s="711"/>
      <c r="I22767" s="711"/>
      <c r="J22767" s="711"/>
      <c r="K22767" s="711"/>
      <c r="L22767" s="711"/>
      <c r="Q22767" s="11"/>
      <c r="R22767" s="11"/>
      <c r="S22767" s="11"/>
      <c r="T22767" s="11"/>
    </row>
    <row r="22768" spans="8:20" x14ac:dyDescent="0.35">
      <c r="H22768" s="711"/>
      <c r="I22768" s="711"/>
      <c r="J22768" s="711"/>
      <c r="K22768" s="711"/>
      <c r="L22768" s="711"/>
      <c r="Q22768" s="11"/>
      <c r="R22768" s="11"/>
      <c r="S22768" s="11"/>
      <c r="T22768" s="11"/>
    </row>
    <row r="22769" spans="8:20" x14ac:dyDescent="0.35">
      <c r="H22769" s="711"/>
      <c r="I22769" s="711"/>
      <c r="J22769" s="711"/>
      <c r="K22769" s="711"/>
      <c r="L22769" s="711"/>
      <c r="Q22769" s="11"/>
      <c r="R22769" s="11"/>
      <c r="S22769" s="11"/>
      <c r="T22769" s="11"/>
    </row>
    <row r="22770" spans="8:20" x14ac:dyDescent="0.35">
      <c r="H22770" s="711"/>
      <c r="I22770" s="711"/>
      <c r="J22770" s="711"/>
      <c r="K22770" s="711"/>
      <c r="L22770" s="711"/>
      <c r="Q22770" s="11"/>
      <c r="R22770" s="11"/>
      <c r="S22770" s="11"/>
      <c r="T22770" s="11"/>
    </row>
    <row r="22771" spans="8:20" x14ac:dyDescent="0.35">
      <c r="H22771" s="711"/>
      <c r="I22771" s="711"/>
      <c r="J22771" s="711"/>
      <c r="K22771" s="711"/>
      <c r="L22771" s="711"/>
      <c r="Q22771" s="11"/>
      <c r="R22771" s="11"/>
      <c r="S22771" s="11"/>
      <c r="T22771" s="11"/>
    </row>
    <row r="22772" spans="8:20" x14ac:dyDescent="0.35">
      <c r="H22772" s="711"/>
      <c r="I22772" s="711"/>
      <c r="J22772" s="711"/>
      <c r="K22772" s="711"/>
      <c r="L22772" s="711"/>
      <c r="Q22772" s="11"/>
      <c r="R22772" s="11"/>
      <c r="S22772" s="11"/>
      <c r="T22772" s="11"/>
    </row>
    <row r="22773" spans="8:20" x14ac:dyDescent="0.35">
      <c r="H22773" s="711"/>
      <c r="I22773" s="711"/>
      <c r="J22773" s="711"/>
      <c r="K22773" s="711"/>
      <c r="L22773" s="711"/>
      <c r="Q22773" s="11"/>
      <c r="R22773" s="11"/>
      <c r="S22773" s="11"/>
      <c r="T22773" s="11"/>
    </row>
    <row r="22774" spans="8:20" x14ac:dyDescent="0.35">
      <c r="H22774" s="711"/>
      <c r="I22774" s="711"/>
      <c r="J22774" s="711"/>
      <c r="K22774" s="711"/>
      <c r="L22774" s="711"/>
      <c r="Q22774" s="11"/>
      <c r="R22774" s="11"/>
      <c r="S22774" s="11"/>
      <c r="T22774" s="11"/>
    </row>
    <row r="22775" spans="8:20" x14ac:dyDescent="0.35">
      <c r="H22775" s="711"/>
      <c r="I22775" s="711"/>
      <c r="J22775" s="711"/>
      <c r="K22775" s="711"/>
      <c r="L22775" s="711"/>
      <c r="Q22775" s="11"/>
      <c r="R22775" s="11"/>
      <c r="S22775" s="11"/>
      <c r="T22775" s="11"/>
    </row>
    <row r="22776" spans="8:20" x14ac:dyDescent="0.35">
      <c r="H22776" s="711"/>
      <c r="I22776" s="711"/>
      <c r="J22776" s="711"/>
      <c r="K22776" s="711"/>
      <c r="L22776" s="711"/>
      <c r="Q22776" s="11"/>
      <c r="R22776" s="11"/>
      <c r="S22776" s="11"/>
      <c r="T22776" s="11"/>
    </row>
    <row r="22777" spans="8:20" x14ac:dyDescent="0.35">
      <c r="H22777" s="711"/>
      <c r="I22777" s="711"/>
      <c r="J22777" s="711"/>
      <c r="K22777" s="711"/>
      <c r="L22777" s="711"/>
      <c r="Q22777" s="11"/>
      <c r="R22777" s="11"/>
      <c r="S22777" s="11"/>
      <c r="T22777" s="11"/>
    </row>
    <row r="22778" spans="8:20" x14ac:dyDescent="0.35">
      <c r="H22778" s="711"/>
      <c r="I22778" s="711"/>
      <c r="J22778" s="711"/>
      <c r="K22778" s="711"/>
      <c r="L22778" s="711"/>
      <c r="Q22778" s="11"/>
      <c r="R22778" s="11"/>
      <c r="S22778" s="11"/>
      <c r="T22778" s="11"/>
    </row>
    <row r="22779" spans="8:20" x14ac:dyDescent="0.35">
      <c r="H22779" s="711"/>
      <c r="I22779" s="711"/>
      <c r="J22779" s="711"/>
      <c r="K22779" s="711"/>
      <c r="L22779" s="711"/>
      <c r="Q22779" s="11"/>
      <c r="R22779" s="11"/>
      <c r="S22779" s="11"/>
      <c r="T22779" s="11"/>
    </row>
    <row r="22780" spans="8:20" x14ac:dyDescent="0.35">
      <c r="H22780" s="711"/>
      <c r="I22780" s="711"/>
      <c r="J22780" s="711"/>
      <c r="K22780" s="711"/>
      <c r="L22780" s="711"/>
      <c r="Q22780" s="11"/>
      <c r="R22780" s="11"/>
      <c r="S22780" s="11"/>
      <c r="T22780" s="11"/>
    </row>
    <row r="22781" spans="8:20" x14ac:dyDescent="0.35">
      <c r="H22781" s="711"/>
      <c r="I22781" s="711"/>
      <c r="J22781" s="711"/>
      <c r="K22781" s="711"/>
      <c r="L22781" s="711"/>
      <c r="Q22781" s="11"/>
      <c r="R22781" s="11"/>
      <c r="S22781" s="11"/>
      <c r="T22781" s="11"/>
    </row>
    <row r="22782" spans="8:20" x14ac:dyDescent="0.35">
      <c r="H22782" s="711"/>
      <c r="I22782" s="711"/>
      <c r="J22782" s="711"/>
      <c r="K22782" s="711"/>
      <c r="L22782" s="711"/>
      <c r="Q22782" s="11"/>
      <c r="R22782" s="11"/>
      <c r="S22782" s="11"/>
      <c r="T22782" s="11"/>
    </row>
    <row r="22783" spans="8:20" x14ac:dyDescent="0.35">
      <c r="H22783" s="711"/>
      <c r="I22783" s="711"/>
      <c r="J22783" s="711"/>
      <c r="K22783" s="711"/>
      <c r="L22783" s="711"/>
      <c r="Q22783" s="11"/>
      <c r="R22783" s="11"/>
      <c r="S22783" s="11"/>
      <c r="T22783" s="11"/>
    </row>
    <row r="22784" spans="8:20" x14ac:dyDescent="0.35">
      <c r="H22784" s="711"/>
      <c r="I22784" s="711"/>
      <c r="J22784" s="711"/>
      <c r="K22784" s="711"/>
      <c r="L22784" s="711"/>
      <c r="Q22784" s="11"/>
      <c r="R22784" s="11"/>
      <c r="S22784" s="11"/>
      <c r="T22784" s="11"/>
    </row>
    <row r="22785" spans="8:20" x14ac:dyDescent="0.35">
      <c r="H22785" s="711"/>
      <c r="I22785" s="711"/>
      <c r="J22785" s="711"/>
      <c r="K22785" s="711"/>
      <c r="L22785" s="711"/>
      <c r="Q22785" s="11"/>
      <c r="R22785" s="11"/>
      <c r="S22785" s="11"/>
      <c r="T22785" s="11"/>
    </row>
    <row r="22786" spans="8:20" x14ac:dyDescent="0.35">
      <c r="H22786" s="711"/>
      <c r="I22786" s="711"/>
      <c r="J22786" s="711"/>
      <c r="K22786" s="711"/>
      <c r="L22786" s="711"/>
      <c r="Q22786" s="11"/>
      <c r="R22786" s="11"/>
      <c r="S22786" s="11"/>
      <c r="T22786" s="11"/>
    </row>
    <row r="22787" spans="8:20" x14ac:dyDescent="0.35">
      <c r="H22787" s="711"/>
      <c r="I22787" s="711"/>
      <c r="J22787" s="711"/>
      <c r="K22787" s="711"/>
      <c r="L22787" s="711"/>
      <c r="Q22787" s="11"/>
      <c r="R22787" s="11"/>
      <c r="S22787" s="11"/>
      <c r="T22787" s="11"/>
    </row>
    <row r="22788" spans="8:20" x14ac:dyDescent="0.35">
      <c r="H22788" s="711"/>
      <c r="I22788" s="711"/>
      <c r="J22788" s="711"/>
      <c r="K22788" s="711"/>
      <c r="L22788" s="711"/>
      <c r="Q22788" s="11"/>
      <c r="R22788" s="11"/>
      <c r="S22788" s="11"/>
      <c r="T22788" s="11"/>
    </row>
    <row r="22789" spans="8:20" x14ac:dyDescent="0.35">
      <c r="H22789" s="711"/>
      <c r="I22789" s="711"/>
      <c r="J22789" s="711"/>
      <c r="K22789" s="711"/>
      <c r="L22789" s="711"/>
      <c r="Q22789" s="11"/>
      <c r="R22789" s="11"/>
      <c r="S22789" s="11"/>
      <c r="T22789" s="11"/>
    </row>
    <row r="22790" spans="8:20" x14ac:dyDescent="0.35">
      <c r="H22790" s="711"/>
      <c r="I22790" s="711"/>
      <c r="J22790" s="711"/>
      <c r="K22790" s="711"/>
      <c r="L22790" s="711"/>
      <c r="Q22790" s="11"/>
      <c r="R22790" s="11"/>
      <c r="S22790" s="11"/>
      <c r="T22790" s="11"/>
    </row>
    <row r="22791" spans="8:20" x14ac:dyDescent="0.35">
      <c r="H22791" s="711"/>
      <c r="I22791" s="711"/>
      <c r="J22791" s="711"/>
      <c r="K22791" s="711"/>
      <c r="L22791" s="711"/>
      <c r="Q22791" s="11"/>
      <c r="R22791" s="11"/>
      <c r="S22791" s="11"/>
      <c r="T22791" s="11"/>
    </row>
    <row r="22792" spans="8:20" x14ac:dyDescent="0.35">
      <c r="H22792" s="711"/>
      <c r="I22792" s="711"/>
      <c r="J22792" s="711"/>
      <c r="K22792" s="711"/>
      <c r="L22792" s="711"/>
      <c r="Q22792" s="11"/>
      <c r="R22792" s="11"/>
      <c r="S22792" s="11"/>
      <c r="T22792" s="11"/>
    </row>
    <row r="22793" spans="8:20" x14ac:dyDescent="0.35">
      <c r="H22793" s="711"/>
      <c r="I22793" s="711"/>
      <c r="J22793" s="711"/>
      <c r="K22793" s="711"/>
      <c r="L22793" s="711"/>
      <c r="Q22793" s="11"/>
      <c r="R22793" s="11"/>
      <c r="S22793" s="11"/>
      <c r="T22793" s="11"/>
    </row>
    <row r="22794" spans="8:20" x14ac:dyDescent="0.35">
      <c r="H22794" s="711"/>
      <c r="I22794" s="711"/>
      <c r="J22794" s="711"/>
      <c r="K22794" s="711"/>
      <c r="L22794" s="711"/>
      <c r="Q22794" s="11"/>
      <c r="R22794" s="11"/>
      <c r="S22794" s="11"/>
      <c r="T22794" s="11"/>
    </row>
    <row r="22795" spans="8:20" x14ac:dyDescent="0.35">
      <c r="H22795" s="711"/>
      <c r="I22795" s="711"/>
      <c r="J22795" s="711"/>
      <c r="K22795" s="711"/>
      <c r="L22795" s="711"/>
      <c r="Q22795" s="11"/>
      <c r="R22795" s="11"/>
      <c r="S22795" s="11"/>
      <c r="T22795" s="11"/>
    </row>
    <row r="22796" spans="8:20" x14ac:dyDescent="0.35">
      <c r="H22796" s="711"/>
      <c r="I22796" s="711"/>
      <c r="J22796" s="711"/>
      <c r="K22796" s="711"/>
      <c r="L22796" s="711"/>
      <c r="Q22796" s="11"/>
      <c r="R22796" s="11"/>
      <c r="S22796" s="11"/>
      <c r="T22796" s="11"/>
    </row>
    <row r="22797" spans="8:20" x14ac:dyDescent="0.35">
      <c r="H22797" s="711"/>
      <c r="I22797" s="711"/>
      <c r="J22797" s="711"/>
      <c r="K22797" s="711"/>
      <c r="L22797" s="711"/>
      <c r="Q22797" s="11"/>
      <c r="R22797" s="11"/>
      <c r="S22797" s="11"/>
      <c r="T22797" s="11"/>
    </row>
    <row r="22798" spans="8:20" x14ac:dyDescent="0.35">
      <c r="H22798" s="711"/>
      <c r="I22798" s="711"/>
      <c r="J22798" s="711"/>
      <c r="K22798" s="711"/>
      <c r="L22798" s="711"/>
      <c r="Q22798" s="11"/>
      <c r="R22798" s="11"/>
      <c r="S22798" s="11"/>
      <c r="T22798" s="11"/>
    </row>
    <row r="22799" spans="8:20" x14ac:dyDescent="0.35">
      <c r="H22799" s="711"/>
      <c r="I22799" s="711"/>
      <c r="J22799" s="711"/>
      <c r="K22799" s="711"/>
      <c r="L22799" s="711"/>
      <c r="Q22799" s="11"/>
      <c r="R22799" s="11"/>
      <c r="S22799" s="11"/>
      <c r="T22799" s="11"/>
    </row>
    <row r="22800" spans="8:20" x14ac:dyDescent="0.35">
      <c r="H22800" s="711"/>
      <c r="I22800" s="711"/>
      <c r="J22800" s="711"/>
      <c r="K22800" s="711"/>
      <c r="L22800" s="711"/>
      <c r="Q22800" s="11"/>
      <c r="R22800" s="11"/>
      <c r="S22800" s="11"/>
      <c r="T22800" s="11"/>
    </row>
    <row r="22801" spans="8:20" x14ac:dyDescent="0.35">
      <c r="H22801" s="711"/>
      <c r="I22801" s="711"/>
      <c r="J22801" s="711"/>
      <c r="K22801" s="711"/>
      <c r="L22801" s="711"/>
      <c r="Q22801" s="11"/>
      <c r="R22801" s="11"/>
      <c r="S22801" s="11"/>
      <c r="T22801" s="11"/>
    </row>
    <row r="22802" spans="8:20" x14ac:dyDescent="0.35">
      <c r="H22802" s="711"/>
      <c r="I22802" s="711"/>
      <c r="J22802" s="711"/>
      <c r="K22802" s="711"/>
      <c r="L22802" s="711"/>
      <c r="Q22802" s="11"/>
      <c r="R22802" s="11"/>
      <c r="S22802" s="11"/>
      <c r="T22802" s="11"/>
    </row>
    <row r="22803" spans="8:20" x14ac:dyDescent="0.35">
      <c r="H22803" s="711"/>
      <c r="I22803" s="711"/>
      <c r="J22803" s="711"/>
      <c r="K22803" s="711"/>
      <c r="L22803" s="711"/>
      <c r="Q22803" s="11"/>
      <c r="R22803" s="11"/>
      <c r="S22803" s="11"/>
      <c r="T22803" s="11"/>
    </row>
    <row r="22804" spans="8:20" x14ac:dyDescent="0.35">
      <c r="H22804" s="711"/>
      <c r="I22804" s="711"/>
      <c r="J22804" s="711"/>
      <c r="K22804" s="711"/>
      <c r="L22804" s="711"/>
      <c r="Q22804" s="11"/>
      <c r="R22804" s="11"/>
      <c r="S22804" s="11"/>
      <c r="T22804" s="11"/>
    </row>
    <row r="22805" spans="8:20" x14ac:dyDescent="0.35">
      <c r="H22805" s="711"/>
      <c r="I22805" s="711"/>
      <c r="J22805" s="711"/>
      <c r="K22805" s="711"/>
      <c r="L22805" s="711"/>
      <c r="Q22805" s="11"/>
      <c r="R22805" s="11"/>
      <c r="S22805" s="11"/>
      <c r="T22805" s="11"/>
    </row>
    <row r="22806" spans="8:20" x14ac:dyDescent="0.35">
      <c r="H22806" s="711"/>
      <c r="I22806" s="711"/>
      <c r="J22806" s="711"/>
      <c r="K22806" s="711"/>
      <c r="L22806" s="711"/>
      <c r="Q22806" s="11"/>
      <c r="R22806" s="11"/>
      <c r="S22806" s="11"/>
      <c r="T22806" s="11"/>
    </row>
    <row r="22807" spans="8:20" x14ac:dyDescent="0.35">
      <c r="H22807" s="711"/>
      <c r="I22807" s="711"/>
      <c r="J22807" s="711"/>
      <c r="K22807" s="711"/>
      <c r="L22807" s="711"/>
      <c r="Q22807" s="11"/>
      <c r="R22807" s="11"/>
      <c r="S22807" s="11"/>
      <c r="T22807" s="11"/>
    </row>
    <row r="22808" spans="8:20" x14ac:dyDescent="0.35">
      <c r="H22808" s="711"/>
      <c r="I22808" s="711"/>
      <c r="J22808" s="711"/>
      <c r="K22808" s="711"/>
      <c r="L22808" s="711"/>
      <c r="Q22808" s="11"/>
      <c r="R22808" s="11"/>
      <c r="S22808" s="11"/>
      <c r="T22808" s="11"/>
    </row>
    <row r="22809" spans="8:20" x14ac:dyDescent="0.35">
      <c r="H22809" s="711"/>
      <c r="I22809" s="711"/>
      <c r="J22809" s="711"/>
      <c r="K22809" s="711"/>
      <c r="L22809" s="711"/>
      <c r="Q22809" s="11"/>
      <c r="R22809" s="11"/>
      <c r="S22809" s="11"/>
      <c r="T22809" s="11"/>
    </row>
    <row r="22810" spans="8:20" x14ac:dyDescent="0.35">
      <c r="H22810" s="711"/>
      <c r="I22810" s="711"/>
      <c r="J22810" s="711"/>
      <c r="K22810" s="711"/>
      <c r="L22810" s="711"/>
      <c r="Q22810" s="11"/>
      <c r="R22810" s="11"/>
      <c r="S22810" s="11"/>
      <c r="T22810" s="11"/>
    </row>
    <row r="22811" spans="8:20" x14ac:dyDescent="0.35">
      <c r="H22811" s="711"/>
      <c r="I22811" s="711"/>
      <c r="J22811" s="711"/>
      <c r="K22811" s="711"/>
      <c r="L22811" s="711"/>
      <c r="Q22811" s="11"/>
      <c r="R22811" s="11"/>
      <c r="S22811" s="11"/>
      <c r="T22811" s="11"/>
    </row>
    <row r="22812" spans="8:20" x14ac:dyDescent="0.35">
      <c r="H22812" s="711"/>
      <c r="I22812" s="711"/>
      <c r="J22812" s="711"/>
      <c r="K22812" s="711"/>
      <c r="L22812" s="711"/>
      <c r="Q22812" s="11"/>
      <c r="R22812" s="11"/>
      <c r="S22812" s="11"/>
      <c r="T22812" s="11"/>
    </row>
    <row r="22813" spans="8:20" x14ac:dyDescent="0.35">
      <c r="H22813" s="711"/>
      <c r="I22813" s="711"/>
      <c r="J22813" s="711"/>
      <c r="K22813" s="711"/>
      <c r="L22813" s="711"/>
      <c r="Q22813" s="11"/>
      <c r="R22813" s="11"/>
      <c r="S22813" s="11"/>
      <c r="T22813" s="11"/>
    </row>
    <row r="22814" spans="8:20" x14ac:dyDescent="0.35">
      <c r="H22814" s="711"/>
      <c r="I22814" s="711"/>
      <c r="J22814" s="711"/>
      <c r="K22814" s="711"/>
      <c r="L22814" s="711"/>
      <c r="Q22814" s="11"/>
      <c r="R22814" s="11"/>
      <c r="S22814" s="11"/>
      <c r="T22814" s="11"/>
    </row>
    <row r="22815" spans="8:20" x14ac:dyDescent="0.35">
      <c r="H22815" s="711"/>
      <c r="I22815" s="711"/>
      <c r="J22815" s="711"/>
      <c r="K22815" s="711"/>
      <c r="L22815" s="711"/>
      <c r="Q22815" s="11"/>
      <c r="R22815" s="11"/>
      <c r="S22815" s="11"/>
      <c r="T22815" s="11"/>
    </row>
    <row r="22816" spans="8:20" x14ac:dyDescent="0.35">
      <c r="H22816" s="711"/>
      <c r="I22816" s="711"/>
      <c r="J22816" s="711"/>
      <c r="K22816" s="711"/>
      <c r="L22816" s="711"/>
      <c r="Q22816" s="11"/>
      <c r="R22816" s="11"/>
      <c r="S22816" s="11"/>
      <c r="T22816" s="11"/>
    </row>
    <row r="22817" spans="8:20" x14ac:dyDescent="0.35">
      <c r="H22817" s="711"/>
      <c r="I22817" s="711"/>
      <c r="J22817" s="711"/>
      <c r="K22817" s="711"/>
      <c r="L22817" s="711"/>
      <c r="Q22817" s="11"/>
      <c r="R22817" s="11"/>
      <c r="S22817" s="11"/>
      <c r="T22817" s="11"/>
    </row>
    <row r="22818" spans="8:20" x14ac:dyDescent="0.35">
      <c r="H22818" s="711"/>
      <c r="I22818" s="711"/>
      <c r="J22818" s="711"/>
      <c r="K22818" s="711"/>
      <c r="L22818" s="711"/>
      <c r="Q22818" s="11"/>
      <c r="R22818" s="11"/>
      <c r="S22818" s="11"/>
      <c r="T22818" s="11"/>
    </row>
    <row r="22819" spans="8:20" x14ac:dyDescent="0.35">
      <c r="H22819" s="711"/>
      <c r="I22819" s="711"/>
      <c r="J22819" s="711"/>
      <c r="K22819" s="711"/>
      <c r="L22819" s="711"/>
      <c r="Q22819" s="11"/>
      <c r="R22819" s="11"/>
      <c r="S22819" s="11"/>
      <c r="T22819" s="11"/>
    </row>
    <row r="22820" spans="8:20" x14ac:dyDescent="0.35">
      <c r="H22820" s="711"/>
      <c r="I22820" s="711"/>
      <c r="J22820" s="711"/>
      <c r="K22820" s="711"/>
      <c r="L22820" s="711"/>
      <c r="Q22820" s="11"/>
      <c r="R22820" s="11"/>
      <c r="S22820" s="11"/>
      <c r="T22820" s="11"/>
    </row>
    <row r="22821" spans="8:20" x14ac:dyDescent="0.35">
      <c r="H22821" s="711"/>
      <c r="I22821" s="711"/>
      <c r="J22821" s="711"/>
      <c r="K22821" s="711"/>
      <c r="L22821" s="711"/>
      <c r="Q22821" s="11"/>
      <c r="R22821" s="11"/>
      <c r="S22821" s="11"/>
      <c r="T22821" s="11"/>
    </row>
    <row r="22822" spans="8:20" x14ac:dyDescent="0.35">
      <c r="H22822" s="711"/>
      <c r="I22822" s="711"/>
      <c r="J22822" s="711"/>
      <c r="K22822" s="711"/>
      <c r="L22822" s="711"/>
      <c r="Q22822" s="11"/>
      <c r="R22822" s="11"/>
      <c r="S22822" s="11"/>
      <c r="T22822" s="11"/>
    </row>
    <row r="22823" spans="8:20" x14ac:dyDescent="0.35">
      <c r="H22823" s="711"/>
      <c r="I22823" s="711"/>
      <c r="J22823" s="711"/>
      <c r="K22823" s="711"/>
      <c r="L22823" s="711"/>
      <c r="Q22823" s="11"/>
      <c r="R22823" s="11"/>
      <c r="S22823" s="11"/>
      <c r="T22823" s="11"/>
    </row>
    <row r="22824" spans="8:20" x14ac:dyDescent="0.35">
      <c r="H22824" s="711"/>
      <c r="I22824" s="711"/>
      <c r="J22824" s="711"/>
      <c r="K22824" s="711"/>
      <c r="L22824" s="711"/>
      <c r="Q22824" s="11"/>
      <c r="R22824" s="11"/>
      <c r="S22824" s="11"/>
      <c r="T22824" s="11"/>
    </row>
    <row r="22825" spans="8:20" x14ac:dyDescent="0.35">
      <c r="H22825" s="711"/>
      <c r="I22825" s="711"/>
      <c r="J22825" s="711"/>
      <c r="K22825" s="711"/>
      <c r="L22825" s="711"/>
      <c r="Q22825" s="11"/>
      <c r="R22825" s="11"/>
      <c r="S22825" s="11"/>
      <c r="T22825" s="11"/>
    </row>
    <row r="22826" spans="8:20" x14ac:dyDescent="0.35">
      <c r="H22826" s="711"/>
      <c r="I22826" s="711"/>
      <c r="J22826" s="711"/>
      <c r="K22826" s="711"/>
      <c r="L22826" s="711"/>
      <c r="Q22826" s="11"/>
      <c r="R22826" s="11"/>
      <c r="S22826" s="11"/>
      <c r="T22826" s="11"/>
    </row>
    <row r="22827" spans="8:20" x14ac:dyDescent="0.35">
      <c r="H22827" s="711"/>
      <c r="I22827" s="711"/>
      <c r="J22827" s="711"/>
      <c r="K22827" s="711"/>
      <c r="L22827" s="711"/>
      <c r="Q22827" s="11"/>
      <c r="R22827" s="11"/>
      <c r="S22827" s="11"/>
      <c r="T22827" s="11"/>
    </row>
    <row r="22828" spans="8:20" x14ac:dyDescent="0.35">
      <c r="H22828" s="711"/>
      <c r="I22828" s="711"/>
      <c r="J22828" s="711"/>
      <c r="K22828" s="711"/>
      <c r="L22828" s="711"/>
      <c r="Q22828" s="11"/>
      <c r="R22828" s="11"/>
      <c r="S22828" s="11"/>
      <c r="T22828" s="11"/>
    </row>
    <row r="22829" spans="8:20" x14ac:dyDescent="0.35">
      <c r="H22829" s="711"/>
      <c r="I22829" s="711"/>
      <c r="J22829" s="711"/>
      <c r="K22829" s="711"/>
      <c r="L22829" s="711"/>
      <c r="Q22829" s="11"/>
      <c r="R22829" s="11"/>
      <c r="S22829" s="11"/>
      <c r="T22829" s="11"/>
    </row>
    <row r="22830" spans="8:20" x14ac:dyDescent="0.35">
      <c r="H22830" s="711"/>
      <c r="I22830" s="711"/>
      <c r="J22830" s="711"/>
      <c r="K22830" s="711"/>
      <c r="L22830" s="711"/>
      <c r="Q22830" s="11"/>
      <c r="R22830" s="11"/>
      <c r="S22830" s="11"/>
      <c r="T22830" s="11"/>
    </row>
    <row r="22831" spans="8:20" x14ac:dyDescent="0.35">
      <c r="H22831" s="711"/>
      <c r="I22831" s="711"/>
      <c r="J22831" s="711"/>
      <c r="K22831" s="711"/>
      <c r="L22831" s="711"/>
      <c r="Q22831" s="11"/>
      <c r="R22831" s="11"/>
      <c r="S22831" s="11"/>
      <c r="T22831" s="11"/>
    </row>
    <row r="22832" spans="8:20" x14ac:dyDescent="0.35">
      <c r="H22832" s="711"/>
      <c r="I22832" s="711"/>
      <c r="J22832" s="711"/>
      <c r="K22832" s="711"/>
      <c r="L22832" s="711"/>
      <c r="Q22832" s="11"/>
      <c r="R22832" s="11"/>
      <c r="S22832" s="11"/>
      <c r="T22832" s="11"/>
    </row>
    <row r="22833" spans="8:20" x14ac:dyDescent="0.35">
      <c r="H22833" s="711"/>
      <c r="I22833" s="711"/>
      <c r="J22833" s="711"/>
      <c r="K22833" s="711"/>
      <c r="L22833" s="711"/>
      <c r="Q22833" s="11"/>
      <c r="R22833" s="11"/>
      <c r="S22833" s="11"/>
      <c r="T22833" s="11"/>
    </row>
    <row r="22834" spans="8:20" x14ac:dyDescent="0.35">
      <c r="H22834" s="711"/>
      <c r="I22834" s="711"/>
      <c r="J22834" s="711"/>
      <c r="K22834" s="711"/>
      <c r="L22834" s="711"/>
      <c r="Q22834" s="11"/>
      <c r="R22834" s="11"/>
      <c r="S22834" s="11"/>
      <c r="T22834" s="11"/>
    </row>
    <row r="22835" spans="8:20" x14ac:dyDescent="0.35">
      <c r="H22835" s="711"/>
      <c r="I22835" s="711"/>
      <c r="J22835" s="711"/>
      <c r="K22835" s="711"/>
      <c r="L22835" s="711"/>
      <c r="Q22835" s="11"/>
      <c r="R22835" s="11"/>
      <c r="S22835" s="11"/>
      <c r="T22835" s="11"/>
    </row>
    <row r="22836" spans="8:20" x14ac:dyDescent="0.35">
      <c r="H22836" s="711"/>
      <c r="I22836" s="711"/>
      <c r="J22836" s="711"/>
      <c r="K22836" s="711"/>
      <c r="L22836" s="711"/>
      <c r="Q22836" s="11"/>
      <c r="R22836" s="11"/>
      <c r="S22836" s="11"/>
      <c r="T22836" s="11"/>
    </row>
    <row r="22837" spans="8:20" x14ac:dyDescent="0.35">
      <c r="H22837" s="711"/>
      <c r="I22837" s="711"/>
      <c r="J22837" s="711"/>
      <c r="K22837" s="711"/>
      <c r="L22837" s="711"/>
      <c r="Q22837" s="11"/>
      <c r="R22837" s="11"/>
      <c r="S22837" s="11"/>
      <c r="T22837" s="11"/>
    </row>
    <row r="22838" spans="8:20" x14ac:dyDescent="0.35">
      <c r="H22838" s="711"/>
      <c r="I22838" s="711"/>
      <c r="J22838" s="711"/>
      <c r="K22838" s="711"/>
      <c r="L22838" s="711"/>
      <c r="Q22838" s="11"/>
      <c r="R22838" s="11"/>
      <c r="S22838" s="11"/>
      <c r="T22838" s="11"/>
    </row>
    <row r="22839" spans="8:20" x14ac:dyDescent="0.35">
      <c r="H22839" s="711"/>
      <c r="I22839" s="711"/>
      <c r="J22839" s="711"/>
      <c r="K22839" s="711"/>
      <c r="L22839" s="711"/>
      <c r="Q22839" s="11"/>
      <c r="R22839" s="11"/>
      <c r="S22839" s="11"/>
      <c r="T22839" s="11"/>
    </row>
    <row r="22840" spans="8:20" x14ac:dyDescent="0.35">
      <c r="H22840" s="711"/>
      <c r="I22840" s="711"/>
      <c r="J22840" s="711"/>
      <c r="K22840" s="711"/>
      <c r="L22840" s="711"/>
      <c r="Q22840" s="11"/>
      <c r="R22840" s="11"/>
      <c r="S22840" s="11"/>
      <c r="T22840" s="11"/>
    </row>
    <row r="22841" spans="8:20" x14ac:dyDescent="0.35">
      <c r="H22841" s="711"/>
      <c r="I22841" s="711"/>
      <c r="J22841" s="711"/>
      <c r="K22841" s="711"/>
      <c r="L22841" s="711"/>
      <c r="Q22841" s="11"/>
      <c r="R22841" s="11"/>
      <c r="S22841" s="11"/>
      <c r="T22841" s="11"/>
    </row>
    <row r="22842" spans="8:20" x14ac:dyDescent="0.35">
      <c r="H22842" s="711"/>
      <c r="I22842" s="711"/>
      <c r="J22842" s="711"/>
      <c r="K22842" s="711"/>
      <c r="L22842" s="711"/>
      <c r="Q22842" s="11"/>
      <c r="R22842" s="11"/>
      <c r="S22842" s="11"/>
      <c r="T22842" s="11"/>
    </row>
    <row r="22843" spans="8:20" x14ac:dyDescent="0.35">
      <c r="H22843" s="711"/>
      <c r="I22843" s="711"/>
      <c r="J22843" s="711"/>
      <c r="K22843" s="711"/>
      <c r="L22843" s="711"/>
      <c r="Q22843" s="11"/>
      <c r="R22843" s="11"/>
      <c r="S22843" s="11"/>
      <c r="T22843" s="11"/>
    </row>
    <row r="22844" spans="8:20" x14ac:dyDescent="0.35">
      <c r="H22844" s="711"/>
      <c r="I22844" s="711"/>
      <c r="J22844" s="711"/>
      <c r="K22844" s="711"/>
      <c r="L22844" s="711"/>
      <c r="Q22844" s="11"/>
      <c r="R22844" s="11"/>
      <c r="S22844" s="11"/>
      <c r="T22844" s="11"/>
    </row>
    <row r="22845" spans="8:20" x14ac:dyDescent="0.35">
      <c r="H22845" s="711"/>
      <c r="I22845" s="711"/>
      <c r="J22845" s="711"/>
      <c r="K22845" s="711"/>
      <c r="L22845" s="711"/>
      <c r="Q22845" s="11"/>
      <c r="R22845" s="11"/>
      <c r="S22845" s="11"/>
      <c r="T22845" s="11"/>
    </row>
    <row r="22846" spans="8:20" x14ac:dyDescent="0.35">
      <c r="H22846" s="711"/>
      <c r="I22846" s="711"/>
      <c r="J22846" s="711"/>
      <c r="K22846" s="711"/>
      <c r="L22846" s="711"/>
      <c r="Q22846" s="11"/>
      <c r="R22846" s="11"/>
      <c r="S22846" s="11"/>
      <c r="T22846" s="11"/>
    </row>
    <row r="22847" spans="8:20" x14ac:dyDescent="0.35">
      <c r="H22847" s="711"/>
      <c r="I22847" s="711"/>
      <c r="J22847" s="711"/>
      <c r="K22847" s="711"/>
      <c r="L22847" s="711"/>
      <c r="Q22847" s="11"/>
      <c r="R22847" s="11"/>
      <c r="S22847" s="11"/>
      <c r="T22847" s="11"/>
    </row>
    <row r="22848" spans="8:20" x14ac:dyDescent="0.35">
      <c r="H22848" s="711"/>
      <c r="I22848" s="711"/>
      <c r="J22848" s="711"/>
      <c r="K22848" s="711"/>
      <c r="L22848" s="711"/>
      <c r="Q22848" s="11"/>
      <c r="R22848" s="11"/>
      <c r="S22848" s="11"/>
      <c r="T22848" s="11"/>
    </row>
    <row r="22849" spans="8:20" x14ac:dyDescent="0.35">
      <c r="H22849" s="711"/>
      <c r="I22849" s="711"/>
      <c r="J22849" s="711"/>
      <c r="K22849" s="711"/>
      <c r="L22849" s="711"/>
      <c r="Q22849" s="11"/>
      <c r="R22849" s="11"/>
      <c r="S22849" s="11"/>
      <c r="T22849" s="11"/>
    </row>
    <row r="22850" spans="8:20" x14ac:dyDescent="0.35">
      <c r="H22850" s="711"/>
      <c r="I22850" s="711"/>
      <c r="J22850" s="711"/>
      <c r="K22850" s="711"/>
      <c r="L22850" s="711"/>
      <c r="Q22850" s="11"/>
      <c r="R22850" s="11"/>
      <c r="S22850" s="11"/>
      <c r="T22850" s="11"/>
    </row>
    <row r="22851" spans="8:20" x14ac:dyDescent="0.35">
      <c r="H22851" s="711"/>
      <c r="I22851" s="711"/>
      <c r="J22851" s="711"/>
      <c r="K22851" s="711"/>
      <c r="L22851" s="711"/>
      <c r="Q22851" s="11"/>
      <c r="R22851" s="11"/>
      <c r="S22851" s="11"/>
      <c r="T22851" s="11"/>
    </row>
    <row r="22852" spans="8:20" x14ac:dyDescent="0.35">
      <c r="H22852" s="711"/>
      <c r="I22852" s="711"/>
      <c r="J22852" s="711"/>
      <c r="K22852" s="711"/>
      <c r="L22852" s="711"/>
      <c r="Q22852" s="11"/>
      <c r="R22852" s="11"/>
      <c r="S22852" s="11"/>
      <c r="T22852" s="11"/>
    </row>
    <row r="22853" spans="8:20" x14ac:dyDescent="0.35">
      <c r="H22853" s="711"/>
      <c r="I22853" s="711"/>
      <c r="J22853" s="711"/>
      <c r="K22853" s="711"/>
      <c r="L22853" s="711"/>
      <c r="Q22853" s="11"/>
      <c r="R22853" s="11"/>
      <c r="S22853" s="11"/>
      <c r="T22853" s="11"/>
    </row>
    <row r="22854" spans="8:20" x14ac:dyDescent="0.35">
      <c r="H22854" s="711"/>
      <c r="I22854" s="711"/>
      <c r="J22854" s="711"/>
      <c r="K22854" s="711"/>
      <c r="L22854" s="711"/>
      <c r="Q22854" s="11"/>
      <c r="R22854" s="11"/>
      <c r="S22854" s="11"/>
      <c r="T22854" s="11"/>
    </row>
    <row r="22855" spans="8:20" x14ac:dyDescent="0.35">
      <c r="H22855" s="711"/>
      <c r="I22855" s="711"/>
      <c r="J22855" s="711"/>
      <c r="K22855" s="711"/>
      <c r="L22855" s="711"/>
      <c r="Q22855" s="11"/>
      <c r="R22855" s="11"/>
      <c r="S22855" s="11"/>
      <c r="T22855" s="11"/>
    </row>
    <row r="22856" spans="8:20" x14ac:dyDescent="0.35">
      <c r="H22856" s="711"/>
      <c r="I22856" s="711"/>
      <c r="J22856" s="711"/>
      <c r="K22856" s="711"/>
      <c r="L22856" s="711"/>
      <c r="Q22856" s="11"/>
      <c r="R22856" s="11"/>
      <c r="S22856" s="11"/>
      <c r="T22856" s="11"/>
    </row>
    <row r="22857" spans="8:20" x14ac:dyDescent="0.35">
      <c r="H22857" s="711"/>
      <c r="I22857" s="711"/>
      <c r="J22857" s="711"/>
      <c r="K22857" s="711"/>
      <c r="L22857" s="711"/>
      <c r="Q22857" s="11"/>
      <c r="R22857" s="11"/>
      <c r="S22857" s="11"/>
      <c r="T22857" s="11"/>
    </row>
    <row r="22858" spans="8:20" x14ac:dyDescent="0.35">
      <c r="H22858" s="711"/>
      <c r="I22858" s="711"/>
      <c r="J22858" s="711"/>
      <c r="K22858" s="711"/>
      <c r="L22858" s="711"/>
      <c r="Q22858" s="11"/>
      <c r="R22858" s="11"/>
      <c r="S22858" s="11"/>
      <c r="T22858" s="11"/>
    </row>
    <row r="22859" spans="8:20" x14ac:dyDescent="0.35">
      <c r="H22859" s="711"/>
      <c r="I22859" s="711"/>
      <c r="J22859" s="711"/>
      <c r="K22859" s="711"/>
      <c r="L22859" s="711"/>
      <c r="Q22859" s="11"/>
      <c r="R22859" s="11"/>
      <c r="S22859" s="11"/>
      <c r="T22859" s="11"/>
    </row>
    <row r="22860" spans="8:20" x14ac:dyDescent="0.35">
      <c r="H22860" s="711"/>
      <c r="I22860" s="711"/>
      <c r="J22860" s="711"/>
      <c r="K22860" s="711"/>
      <c r="L22860" s="711"/>
      <c r="Q22860" s="11"/>
      <c r="R22860" s="11"/>
      <c r="S22860" s="11"/>
      <c r="T22860" s="11"/>
    </row>
    <row r="22861" spans="8:20" x14ac:dyDescent="0.35">
      <c r="H22861" s="711"/>
      <c r="I22861" s="711"/>
      <c r="J22861" s="711"/>
      <c r="K22861" s="711"/>
      <c r="L22861" s="711"/>
      <c r="Q22861" s="11"/>
      <c r="R22861" s="11"/>
      <c r="S22861" s="11"/>
      <c r="T22861" s="11"/>
    </row>
    <row r="22862" spans="8:20" x14ac:dyDescent="0.35">
      <c r="H22862" s="711"/>
      <c r="I22862" s="711"/>
      <c r="J22862" s="711"/>
      <c r="K22862" s="711"/>
      <c r="L22862" s="711"/>
      <c r="Q22862" s="11"/>
      <c r="R22862" s="11"/>
      <c r="S22862" s="11"/>
      <c r="T22862" s="11"/>
    </row>
    <row r="22863" spans="8:20" x14ac:dyDescent="0.35">
      <c r="H22863" s="711"/>
      <c r="I22863" s="711"/>
      <c r="J22863" s="711"/>
      <c r="K22863" s="711"/>
      <c r="L22863" s="711"/>
      <c r="Q22863" s="11"/>
      <c r="R22863" s="11"/>
      <c r="S22863" s="11"/>
      <c r="T22863" s="11"/>
    </row>
    <row r="22864" spans="8:20" x14ac:dyDescent="0.35">
      <c r="H22864" s="711"/>
      <c r="I22864" s="711"/>
      <c r="J22864" s="711"/>
      <c r="K22864" s="711"/>
      <c r="L22864" s="711"/>
      <c r="Q22864" s="11"/>
      <c r="R22864" s="11"/>
      <c r="S22864" s="11"/>
      <c r="T22864" s="11"/>
    </row>
    <row r="22865" spans="8:20" x14ac:dyDescent="0.35">
      <c r="H22865" s="711"/>
      <c r="I22865" s="711"/>
      <c r="J22865" s="711"/>
      <c r="K22865" s="711"/>
      <c r="L22865" s="711"/>
      <c r="Q22865" s="11"/>
      <c r="R22865" s="11"/>
      <c r="S22865" s="11"/>
      <c r="T22865" s="11"/>
    </row>
    <row r="22866" spans="8:20" x14ac:dyDescent="0.35">
      <c r="H22866" s="711"/>
      <c r="I22866" s="711"/>
      <c r="J22866" s="711"/>
      <c r="K22866" s="711"/>
      <c r="L22866" s="711"/>
      <c r="Q22866" s="11"/>
      <c r="R22866" s="11"/>
      <c r="S22866" s="11"/>
      <c r="T22866" s="11"/>
    </row>
    <row r="22867" spans="8:20" x14ac:dyDescent="0.35">
      <c r="H22867" s="711"/>
      <c r="I22867" s="711"/>
      <c r="J22867" s="711"/>
      <c r="K22867" s="711"/>
      <c r="L22867" s="711"/>
      <c r="Q22867" s="11"/>
      <c r="R22867" s="11"/>
      <c r="S22867" s="11"/>
      <c r="T22867" s="11"/>
    </row>
    <row r="22868" spans="8:20" x14ac:dyDescent="0.35">
      <c r="H22868" s="711"/>
      <c r="I22868" s="711"/>
      <c r="J22868" s="711"/>
      <c r="K22868" s="711"/>
      <c r="L22868" s="711"/>
      <c r="Q22868" s="11"/>
      <c r="R22868" s="11"/>
      <c r="S22868" s="11"/>
      <c r="T22868" s="11"/>
    </row>
    <row r="22869" spans="8:20" x14ac:dyDescent="0.35">
      <c r="H22869" s="711"/>
      <c r="I22869" s="711"/>
      <c r="J22869" s="711"/>
      <c r="K22869" s="711"/>
      <c r="L22869" s="711"/>
      <c r="Q22869" s="11"/>
      <c r="R22869" s="11"/>
      <c r="S22869" s="11"/>
      <c r="T22869" s="11"/>
    </row>
    <row r="22870" spans="8:20" x14ac:dyDescent="0.35">
      <c r="H22870" s="711"/>
      <c r="I22870" s="711"/>
      <c r="J22870" s="711"/>
      <c r="K22870" s="711"/>
      <c r="L22870" s="711"/>
      <c r="Q22870" s="11"/>
      <c r="R22870" s="11"/>
      <c r="S22870" s="11"/>
      <c r="T22870" s="11"/>
    </row>
    <row r="22871" spans="8:20" x14ac:dyDescent="0.35">
      <c r="H22871" s="711"/>
      <c r="I22871" s="711"/>
      <c r="J22871" s="711"/>
      <c r="K22871" s="711"/>
      <c r="L22871" s="711"/>
      <c r="Q22871" s="11"/>
      <c r="R22871" s="11"/>
      <c r="S22871" s="11"/>
      <c r="T22871" s="11"/>
    </row>
    <row r="22872" spans="8:20" x14ac:dyDescent="0.35">
      <c r="H22872" s="711"/>
      <c r="I22872" s="711"/>
      <c r="J22872" s="711"/>
      <c r="K22872" s="711"/>
      <c r="L22872" s="711"/>
      <c r="Q22872" s="11"/>
      <c r="R22872" s="11"/>
      <c r="S22872" s="11"/>
      <c r="T22872" s="11"/>
    </row>
    <row r="22873" spans="8:20" x14ac:dyDescent="0.35">
      <c r="H22873" s="711"/>
      <c r="I22873" s="711"/>
      <c r="J22873" s="711"/>
      <c r="K22873" s="711"/>
      <c r="L22873" s="711"/>
      <c r="Q22873" s="11"/>
      <c r="R22873" s="11"/>
      <c r="S22873" s="11"/>
      <c r="T22873" s="11"/>
    </row>
    <row r="22874" spans="8:20" x14ac:dyDescent="0.35">
      <c r="H22874" s="711"/>
      <c r="I22874" s="711"/>
      <c r="J22874" s="711"/>
      <c r="K22874" s="711"/>
      <c r="L22874" s="711"/>
      <c r="Q22874" s="11"/>
      <c r="R22874" s="11"/>
      <c r="S22874" s="11"/>
      <c r="T22874" s="11"/>
    </row>
    <row r="22875" spans="8:20" x14ac:dyDescent="0.35">
      <c r="H22875" s="711"/>
      <c r="I22875" s="711"/>
      <c r="J22875" s="711"/>
      <c r="K22875" s="711"/>
      <c r="L22875" s="711"/>
      <c r="Q22875" s="11"/>
      <c r="R22875" s="11"/>
      <c r="S22875" s="11"/>
      <c r="T22875" s="11"/>
    </row>
    <row r="22876" spans="8:20" x14ac:dyDescent="0.35">
      <c r="H22876" s="711"/>
      <c r="I22876" s="711"/>
      <c r="J22876" s="711"/>
      <c r="K22876" s="711"/>
      <c r="L22876" s="711"/>
      <c r="Q22876" s="11"/>
      <c r="R22876" s="11"/>
      <c r="S22876" s="11"/>
      <c r="T22876" s="11"/>
    </row>
    <row r="22877" spans="8:20" x14ac:dyDescent="0.35">
      <c r="H22877" s="711"/>
      <c r="I22877" s="711"/>
      <c r="J22877" s="711"/>
      <c r="K22877" s="711"/>
      <c r="L22877" s="711"/>
      <c r="Q22877" s="11"/>
      <c r="R22877" s="11"/>
      <c r="S22877" s="11"/>
      <c r="T22877" s="11"/>
    </row>
    <row r="22878" spans="8:20" x14ac:dyDescent="0.35">
      <c r="H22878" s="711"/>
      <c r="I22878" s="711"/>
      <c r="J22878" s="711"/>
      <c r="K22878" s="711"/>
      <c r="L22878" s="711"/>
      <c r="Q22878" s="11"/>
      <c r="R22878" s="11"/>
      <c r="S22878" s="11"/>
      <c r="T22878" s="11"/>
    </row>
    <row r="22879" spans="8:20" x14ac:dyDescent="0.35">
      <c r="H22879" s="711"/>
      <c r="I22879" s="711"/>
      <c r="J22879" s="711"/>
      <c r="K22879" s="711"/>
      <c r="L22879" s="711"/>
      <c r="Q22879" s="11"/>
      <c r="R22879" s="11"/>
      <c r="S22879" s="11"/>
      <c r="T22879" s="11"/>
    </row>
    <row r="22880" spans="8:20" x14ac:dyDescent="0.35">
      <c r="H22880" s="711"/>
      <c r="I22880" s="711"/>
      <c r="J22880" s="711"/>
      <c r="K22880" s="711"/>
      <c r="L22880" s="711"/>
      <c r="Q22880" s="11"/>
      <c r="R22880" s="11"/>
      <c r="S22880" s="11"/>
      <c r="T22880" s="11"/>
    </row>
    <row r="22881" spans="8:20" x14ac:dyDescent="0.35">
      <c r="H22881" s="711"/>
      <c r="I22881" s="711"/>
      <c r="J22881" s="711"/>
      <c r="K22881" s="711"/>
      <c r="L22881" s="711"/>
      <c r="Q22881" s="11"/>
      <c r="R22881" s="11"/>
      <c r="S22881" s="11"/>
      <c r="T22881" s="11"/>
    </row>
    <row r="22882" spans="8:20" x14ac:dyDescent="0.35">
      <c r="H22882" s="711"/>
      <c r="I22882" s="711"/>
      <c r="J22882" s="711"/>
      <c r="K22882" s="711"/>
      <c r="L22882" s="711"/>
      <c r="Q22882" s="11"/>
      <c r="R22882" s="11"/>
      <c r="S22882" s="11"/>
      <c r="T22882" s="11"/>
    </row>
    <row r="22883" spans="8:20" x14ac:dyDescent="0.35">
      <c r="H22883" s="711"/>
      <c r="I22883" s="711"/>
      <c r="J22883" s="711"/>
      <c r="K22883" s="711"/>
      <c r="L22883" s="711"/>
      <c r="Q22883" s="11"/>
      <c r="R22883" s="11"/>
      <c r="S22883" s="11"/>
      <c r="T22883" s="11"/>
    </row>
    <row r="22884" spans="8:20" x14ac:dyDescent="0.35">
      <c r="H22884" s="711"/>
      <c r="I22884" s="711"/>
      <c r="J22884" s="711"/>
      <c r="K22884" s="711"/>
      <c r="L22884" s="711"/>
      <c r="Q22884" s="11"/>
      <c r="R22884" s="11"/>
      <c r="S22884" s="11"/>
      <c r="T22884" s="11"/>
    </row>
    <row r="22885" spans="8:20" x14ac:dyDescent="0.35">
      <c r="H22885" s="711"/>
      <c r="I22885" s="711"/>
      <c r="J22885" s="711"/>
      <c r="K22885" s="711"/>
      <c r="L22885" s="711"/>
      <c r="Q22885" s="11"/>
      <c r="R22885" s="11"/>
      <c r="S22885" s="11"/>
      <c r="T22885" s="11"/>
    </row>
    <row r="22886" spans="8:20" x14ac:dyDescent="0.35">
      <c r="H22886" s="711"/>
      <c r="I22886" s="711"/>
      <c r="J22886" s="711"/>
      <c r="K22886" s="711"/>
      <c r="L22886" s="711"/>
      <c r="Q22886" s="11"/>
      <c r="R22886" s="11"/>
      <c r="S22886" s="11"/>
      <c r="T22886" s="11"/>
    </row>
    <row r="22887" spans="8:20" x14ac:dyDescent="0.35">
      <c r="H22887" s="711"/>
      <c r="I22887" s="711"/>
      <c r="J22887" s="711"/>
      <c r="K22887" s="711"/>
      <c r="L22887" s="711"/>
      <c r="Q22887" s="11"/>
      <c r="R22887" s="11"/>
      <c r="S22887" s="11"/>
      <c r="T22887" s="11"/>
    </row>
    <row r="22888" spans="8:20" x14ac:dyDescent="0.35">
      <c r="H22888" s="711"/>
      <c r="I22888" s="711"/>
      <c r="J22888" s="711"/>
      <c r="K22888" s="711"/>
      <c r="L22888" s="711"/>
      <c r="Q22888" s="11"/>
      <c r="R22888" s="11"/>
      <c r="S22888" s="11"/>
      <c r="T22888" s="11"/>
    </row>
    <row r="22889" spans="8:20" x14ac:dyDescent="0.35">
      <c r="H22889" s="711"/>
      <c r="I22889" s="711"/>
      <c r="J22889" s="711"/>
      <c r="K22889" s="711"/>
      <c r="L22889" s="711"/>
      <c r="Q22889" s="11"/>
      <c r="R22889" s="11"/>
      <c r="S22889" s="11"/>
      <c r="T22889" s="11"/>
    </row>
    <row r="22890" spans="8:20" x14ac:dyDescent="0.35">
      <c r="H22890" s="711"/>
      <c r="I22890" s="711"/>
      <c r="J22890" s="711"/>
      <c r="K22890" s="711"/>
      <c r="L22890" s="711"/>
      <c r="Q22890" s="11"/>
      <c r="R22890" s="11"/>
      <c r="S22890" s="11"/>
      <c r="T22890" s="11"/>
    </row>
    <row r="22891" spans="8:20" x14ac:dyDescent="0.35">
      <c r="H22891" s="711"/>
      <c r="I22891" s="711"/>
      <c r="J22891" s="711"/>
      <c r="K22891" s="711"/>
      <c r="L22891" s="711"/>
      <c r="Q22891" s="11"/>
      <c r="R22891" s="11"/>
      <c r="S22891" s="11"/>
      <c r="T22891" s="11"/>
    </row>
    <row r="22892" spans="8:20" x14ac:dyDescent="0.35">
      <c r="H22892" s="711"/>
      <c r="I22892" s="711"/>
      <c r="J22892" s="711"/>
      <c r="K22892" s="711"/>
      <c r="L22892" s="711"/>
      <c r="Q22892" s="11"/>
      <c r="R22892" s="11"/>
      <c r="S22892" s="11"/>
      <c r="T22892" s="11"/>
    </row>
    <row r="22893" spans="8:20" x14ac:dyDescent="0.35">
      <c r="H22893" s="711"/>
      <c r="I22893" s="711"/>
      <c r="J22893" s="711"/>
      <c r="K22893" s="711"/>
      <c r="L22893" s="711"/>
      <c r="Q22893" s="11"/>
      <c r="R22893" s="11"/>
      <c r="S22893" s="11"/>
      <c r="T22893" s="11"/>
    </row>
    <row r="22894" spans="8:20" x14ac:dyDescent="0.35">
      <c r="H22894" s="711"/>
      <c r="I22894" s="711"/>
      <c r="J22894" s="711"/>
      <c r="K22894" s="711"/>
      <c r="L22894" s="711"/>
      <c r="Q22894" s="11"/>
      <c r="R22894" s="11"/>
      <c r="S22894" s="11"/>
      <c r="T22894" s="11"/>
    </row>
    <row r="22895" spans="8:20" x14ac:dyDescent="0.35">
      <c r="H22895" s="711"/>
      <c r="I22895" s="711"/>
      <c r="J22895" s="711"/>
      <c r="K22895" s="711"/>
      <c r="L22895" s="711"/>
      <c r="Q22895" s="11"/>
      <c r="R22895" s="11"/>
      <c r="S22895" s="11"/>
      <c r="T22895" s="11"/>
    </row>
    <row r="22896" spans="8:20" x14ac:dyDescent="0.35">
      <c r="H22896" s="711"/>
      <c r="I22896" s="711"/>
      <c r="J22896" s="711"/>
      <c r="K22896" s="711"/>
      <c r="L22896" s="711"/>
      <c r="Q22896" s="11"/>
      <c r="R22896" s="11"/>
      <c r="S22896" s="11"/>
      <c r="T22896" s="11"/>
    </row>
    <row r="22897" spans="8:20" x14ac:dyDescent="0.35">
      <c r="H22897" s="711"/>
      <c r="I22897" s="711"/>
      <c r="J22897" s="711"/>
      <c r="K22897" s="711"/>
      <c r="L22897" s="711"/>
      <c r="Q22897" s="11"/>
      <c r="R22897" s="11"/>
      <c r="S22897" s="11"/>
      <c r="T22897" s="11"/>
    </row>
    <row r="22898" spans="8:20" x14ac:dyDescent="0.35">
      <c r="H22898" s="711"/>
      <c r="I22898" s="711"/>
      <c r="J22898" s="711"/>
      <c r="K22898" s="711"/>
      <c r="L22898" s="711"/>
      <c r="Q22898" s="11"/>
      <c r="R22898" s="11"/>
      <c r="S22898" s="11"/>
      <c r="T22898" s="11"/>
    </row>
    <row r="22899" spans="8:20" x14ac:dyDescent="0.35">
      <c r="H22899" s="711"/>
      <c r="I22899" s="711"/>
      <c r="J22899" s="711"/>
      <c r="K22899" s="711"/>
      <c r="L22899" s="711"/>
      <c r="Q22899" s="11"/>
      <c r="R22899" s="11"/>
      <c r="S22899" s="11"/>
      <c r="T22899" s="11"/>
    </row>
    <row r="22900" spans="8:20" x14ac:dyDescent="0.35">
      <c r="H22900" s="711"/>
      <c r="I22900" s="711"/>
      <c r="J22900" s="711"/>
      <c r="K22900" s="711"/>
      <c r="L22900" s="711"/>
      <c r="Q22900" s="11"/>
      <c r="R22900" s="11"/>
      <c r="S22900" s="11"/>
      <c r="T22900" s="11"/>
    </row>
    <row r="22901" spans="8:20" x14ac:dyDescent="0.35">
      <c r="H22901" s="711"/>
      <c r="I22901" s="711"/>
      <c r="J22901" s="711"/>
      <c r="K22901" s="711"/>
      <c r="L22901" s="711"/>
      <c r="Q22901" s="11"/>
      <c r="R22901" s="11"/>
      <c r="S22901" s="11"/>
      <c r="T22901" s="11"/>
    </row>
    <row r="22902" spans="8:20" x14ac:dyDescent="0.35">
      <c r="H22902" s="711"/>
      <c r="I22902" s="711"/>
      <c r="J22902" s="711"/>
      <c r="K22902" s="711"/>
      <c r="L22902" s="711"/>
      <c r="Q22902" s="11"/>
      <c r="R22902" s="11"/>
      <c r="S22902" s="11"/>
      <c r="T22902" s="11"/>
    </row>
    <row r="22903" spans="8:20" x14ac:dyDescent="0.35">
      <c r="H22903" s="711"/>
      <c r="I22903" s="711"/>
      <c r="J22903" s="711"/>
      <c r="K22903" s="711"/>
      <c r="L22903" s="711"/>
      <c r="Q22903" s="11"/>
      <c r="R22903" s="11"/>
      <c r="S22903" s="11"/>
      <c r="T22903" s="11"/>
    </row>
    <row r="22904" spans="8:20" x14ac:dyDescent="0.35">
      <c r="H22904" s="711"/>
      <c r="I22904" s="711"/>
      <c r="J22904" s="711"/>
      <c r="K22904" s="711"/>
      <c r="L22904" s="711"/>
      <c r="Q22904" s="11"/>
      <c r="R22904" s="11"/>
      <c r="S22904" s="11"/>
      <c r="T22904" s="11"/>
    </row>
    <row r="22905" spans="8:20" x14ac:dyDescent="0.35">
      <c r="H22905" s="711"/>
      <c r="I22905" s="711"/>
      <c r="J22905" s="711"/>
      <c r="K22905" s="711"/>
      <c r="L22905" s="711"/>
      <c r="Q22905" s="11"/>
      <c r="R22905" s="11"/>
      <c r="S22905" s="11"/>
      <c r="T22905" s="11"/>
    </row>
    <row r="22906" spans="8:20" x14ac:dyDescent="0.35">
      <c r="H22906" s="711"/>
      <c r="I22906" s="711"/>
      <c r="J22906" s="711"/>
      <c r="K22906" s="711"/>
      <c r="L22906" s="711"/>
      <c r="Q22906" s="11"/>
      <c r="R22906" s="11"/>
      <c r="S22906" s="11"/>
      <c r="T22906" s="11"/>
    </row>
    <row r="22907" spans="8:20" x14ac:dyDescent="0.35">
      <c r="H22907" s="711"/>
      <c r="I22907" s="711"/>
      <c r="J22907" s="711"/>
      <c r="K22907" s="711"/>
      <c r="L22907" s="711"/>
      <c r="Q22907" s="11"/>
      <c r="R22907" s="11"/>
      <c r="S22907" s="11"/>
      <c r="T22907" s="11"/>
    </row>
    <row r="22908" spans="8:20" x14ac:dyDescent="0.35">
      <c r="H22908" s="711"/>
      <c r="I22908" s="711"/>
      <c r="J22908" s="711"/>
      <c r="K22908" s="711"/>
      <c r="L22908" s="711"/>
      <c r="Q22908" s="11"/>
      <c r="R22908" s="11"/>
      <c r="S22908" s="11"/>
      <c r="T22908" s="11"/>
    </row>
    <row r="22909" spans="8:20" x14ac:dyDescent="0.35">
      <c r="H22909" s="711"/>
      <c r="I22909" s="711"/>
      <c r="J22909" s="711"/>
      <c r="K22909" s="711"/>
      <c r="L22909" s="711"/>
      <c r="Q22909" s="11"/>
      <c r="R22909" s="11"/>
      <c r="S22909" s="11"/>
      <c r="T22909" s="11"/>
    </row>
    <row r="22910" spans="8:20" x14ac:dyDescent="0.35">
      <c r="H22910" s="711"/>
      <c r="I22910" s="711"/>
      <c r="J22910" s="711"/>
      <c r="K22910" s="711"/>
      <c r="L22910" s="711"/>
      <c r="Q22910" s="11"/>
      <c r="R22910" s="11"/>
      <c r="S22910" s="11"/>
      <c r="T22910" s="11"/>
    </row>
    <row r="22911" spans="8:20" x14ac:dyDescent="0.35">
      <c r="H22911" s="711"/>
      <c r="I22911" s="711"/>
      <c r="J22911" s="711"/>
      <c r="K22911" s="711"/>
      <c r="L22911" s="711"/>
      <c r="Q22911" s="11"/>
      <c r="R22911" s="11"/>
      <c r="S22911" s="11"/>
      <c r="T22911" s="11"/>
    </row>
    <row r="22912" spans="8:20" x14ac:dyDescent="0.35">
      <c r="H22912" s="711"/>
      <c r="I22912" s="711"/>
      <c r="J22912" s="711"/>
      <c r="K22912" s="711"/>
      <c r="L22912" s="711"/>
      <c r="Q22912" s="11"/>
      <c r="R22912" s="11"/>
      <c r="S22912" s="11"/>
      <c r="T22912" s="11"/>
    </row>
    <row r="22913" spans="8:20" x14ac:dyDescent="0.35">
      <c r="H22913" s="711"/>
      <c r="I22913" s="711"/>
      <c r="J22913" s="711"/>
      <c r="K22913" s="711"/>
      <c r="L22913" s="711"/>
      <c r="Q22913" s="11"/>
      <c r="R22913" s="11"/>
      <c r="S22913" s="11"/>
      <c r="T22913" s="11"/>
    </row>
    <row r="22914" spans="8:20" x14ac:dyDescent="0.35">
      <c r="H22914" s="711"/>
      <c r="I22914" s="711"/>
      <c r="J22914" s="711"/>
      <c r="K22914" s="711"/>
      <c r="L22914" s="711"/>
      <c r="Q22914" s="11"/>
      <c r="R22914" s="11"/>
      <c r="S22914" s="11"/>
      <c r="T22914" s="11"/>
    </row>
    <row r="22915" spans="8:20" x14ac:dyDescent="0.35">
      <c r="H22915" s="711"/>
      <c r="I22915" s="711"/>
      <c r="J22915" s="711"/>
      <c r="K22915" s="711"/>
      <c r="L22915" s="711"/>
      <c r="Q22915" s="11"/>
      <c r="R22915" s="11"/>
      <c r="S22915" s="11"/>
      <c r="T22915" s="11"/>
    </row>
    <row r="22916" spans="8:20" x14ac:dyDescent="0.35">
      <c r="H22916" s="711"/>
      <c r="I22916" s="711"/>
      <c r="J22916" s="711"/>
      <c r="K22916" s="711"/>
      <c r="L22916" s="711"/>
      <c r="Q22916" s="11"/>
      <c r="R22916" s="11"/>
      <c r="S22916" s="11"/>
      <c r="T22916" s="11"/>
    </row>
    <row r="22917" spans="8:20" x14ac:dyDescent="0.35">
      <c r="H22917" s="711"/>
      <c r="I22917" s="711"/>
      <c r="J22917" s="711"/>
      <c r="K22917" s="711"/>
      <c r="L22917" s="711"/>
      <c r="Q22917" s="11"/>
      <c r="R22917" s="11"/>
      <c r="S22917" s="11"/>
      <c r="T22917" s="11"/>
    </row>
    <row r="22918" spans="8:20" x14ac:dyDescent="0.35">
      <c r="H22918" s="711"/>
      <c r="I22918" s="711"/>
      <c r="J22918" s="711"/>
      <c r="K22918" s="711"/>
      <c r="L22918" s="711"/>
      <c r="Q22918" s="11"/>
      <c r="R22918" s="11"/>
      <c r="S22918" s="11"/>
      <c r="T22918" s="11"/>
    </row>
    <row r="22919" spans="8:20" x14ac:dyDescent="0.35">
      <c r="H22919" s="711"/>
      <c r="I22919" s="711"/>
      <c r="J22919" s="711"/>
      <c r="K22919" s="711"/>
      <c r="L22919" s="711"/>
      <c r="Q22919" s="11"/>
      <c r="R22919" s="11"/>
      <c r="S22919" s="11"/>
      <c r="T22919" s="11"/>
    </row>
    <row r="22920" spans="8:20" x14ac:dyDescent="0.35">
      <c r="H22920" s="711"/>
      <c r="I22920" s="711"/>
      <c r="J22920" s="711"/>
      <c r="K22920" s="711"/>
      <c r="L22920" s="711"/>
      <c r="Q22920" s="11"/>
      <c r="R22920" s="11"/>
      <c r="S22920" s="11"/>
      <c r="T22920" s="11"/>
    </row>
    <row r="22921" spans="8:20" x14ac:dyDescent="0.35">
      <c r="H22921" s="711"/>
      <c r="I22921" s="711"/>
      <c r="J22921" s="711"/>
      <c r="K22921" s="711"/>
      <c r="L22921" s="711"/>
      <c r="Q22921" s="11"/>
      <c r="R22921" s="11"/>
      <c r="S22921" s="11"/>
      <c r="T22921" s="11"/>
    </row>
    <row r="22922" spans="8:20" x14ac:dyDescent="0.35">
      <c r="H22922" s="711"/>
      <c r="I22922" s="711"/>
      <c r="J22922" s="711"/>
      <c r="K22922" s="711"/>
      <c r="L22922" s="711"/>
      <c r="Q22922" s="11"/>
      <c r="R22922" s="11"/>
      <c r="S22922" s="11"/>
      <c r="T22922" s="11"/>
    </row>
    <row r="22923" spans="8:20" x14ac:dyDescent="0.35">
      <c r="H22923" s="711"/>
      <c r="I22923" s="711"/>
      <c r="J22923" s="711"/>
      <c r="K22923" s="711"/>
      <c r="L22923" s="711"/>
      <c r="Q22923" s="11"/>
      <c r="R22923" s="11"/>
      <c r="S22923" s="11"/>
      <c r="T22923" s="11"/>
    </row>
    <row r="22924" spans="8:20" x14ac:dyDescent="0.35">
      <c r="H22924" s="711"/>
      <c r="I22924" s="711"/>
      <c r="J22924" s="711"/>
      <c r="K22924" s="711"/>
      <c r="L22924" s="711"/>
      <c r="Q22924" s="11"/>
      <c r="R22924" s="11"/>
      <c r="S22924" s="11"/>
      <c r="T22924" s="11"/>
    </row>
    <row r="22925" spans="8:20" x14ac:dyDescent="0.35">
      <c r="H22925" s="711"/>
      <c r="I22925" s="711"/>
      <c r="J22925" s="711"/>
      <c r="K22925" s="711"/>
      <c r="L22925" s="711"/>
      <c r="Q22925" s="11"/>
      <c r="R22925" s="11"/>
      <c r="S22925" s="11"/>
      <c r="T22925" s="11"/>
    </row>
    <row r="22926" spans="8:20" x14ac:dyDescent="0.35">
      <c r="H22926" s="711"/>
      <c r="I22926" s="711"/>
      <c r="J22926" s="711"/>
      <c r="K22926" s="711"/>
      <c r="L22926" s="711"/>
      <c r="Q22926" s="11"/>
      <c r="R22926" s="11"/>
      <c r="S22926" s="11"/>
      <c r="T22926" s="11"/>
    </row>
    <row r="22927" spans="8:20" x14ac:dyDescent="0.35">
      <c r="H22927" s="711"/>
      <c r="I22927" s="711"/>
      <c r="J22927" s="711"/>
      <c r="K22927" s="711"/>
      <c r="L22927" s="711"/>
      <c r="Q22927" s="11"/>
      <c r="R22927" s="11"/>
      <c r="S22927" s="11"/>
      <c r="T22927" s="11"/>
    </row>
    <row r="22928" spans="8:20" x14ac:dyDescent="0.35">
      <c r="H22928" s="711"/>
      <c r="I22928" s="711"/>
      <c r="J22928" s="711"/>
      <c r="K22928" s="711"/>
      <c r="L22928" s="711"/>
      <c r="Q22928" s="11"/>
      <c r="R22928" s="11"/>
      <c r="S22928" s="11"/>
      <c r="T22928" s="11"/>
    </row>
    <row r="22929" spans="8:20" x14ac:dyDescent="0.35">
      <c r="H22929" s="711"/>
      <c r="I22929" s="711"/>
      <c r="J22929" s="711"/>
      <c r="K22929" s="711"/>
      <c r="L22929" s="711"/>
      <c r="Q22929" s="11"/>
      <c r="R22929" s="11"/>
      <c r="S22929" s="11"/>
      <c r="T22929" s="11"/>
    </row>
    <row r="22930" spans="8:20" x14ac:dyDescent="0.35">
      <c r="H22930" s="711"/>
      <c r="I22930" s="711"/>
      <c r="J22930" s="711"/>
      <c r="K22930" s="711"/>
      <c r="L22930" s="711"/>
      <c r="Q22930" s="11"/>
      <c r="R22930" s="11"/>
      <c r="S22930" s="11"/>
      <c r="T22930" s="11"/>
    </row>
    <row r="22931" spans="8:20" x14ac:dyDescent="0.35">
      <c r="H22931" s="711"/>
      <c r="I22931" s="711"/>
      <c r="J22931" s="711"/>
      <c r="K22931" s="711"/>
      <c r="L22931" s="711"/>
      <c r="Q22931" s="11"/>
      <c r="R22931" s="11"/>
      <c r="S22931" s="11"/>
      <c r="T22931" s="11"/>
    </row>
    <row r="22932" spans="8:20" x14ac:dyDescent="0.35">
      <c r="H22932" s="711"/>
      <c r="I22932" s="711"/>
      <c r="J22932" s="711"/>
      <c r="K22932" s="711"/>
      <c r="L22932" s="711"/>
      <c r="Q22932" s="11"/>
      <c r="R22932" s="11"/>
      <c r="S22932" s="11"/>
      <c r="T22932" s="11"/>
    </row>
    <row r="22933" spans="8:20" x14ac:dyDescent="0.35">
      <c r="H22933" s="711"/>
      <c r="I22933" s="711"/>
      <c r="J22933" s="711"/>
      <c r="K22933" s="711"/>
      <c r="L22933" s="711"/>
      <c r="Q22933" s="11"/>
      <c r="R22933" s="11"/>
      <c r="S22933" s="11"/>
      <c r="T22933" s="11"/>
    </row>
    <row r="22934" spans="8:20" x14ac:dyDescent="0.35">
      <c r="H22934" s="711"/>
      <c r="I22934" s="711"/>
      <c r="J22934" s="711"/>
      <c r="K22934" s="711"/>
      <c r="L22934" s="711"/>
      <c r="Q22934" s="11"/>
      <c r="R22934" s="11"/>
      <c r="S22934" s="11"/>
      <c r="T22934" s="11"/>
    </row>
    <row r="22935" spans="8:20" x14ac:dyDescent="0.35">
      <c r="H22935" s="711"/>
      <c r="I22935" s="711"/>
      <c r="J22935" s="711"/>
      <c r="K22935" s="711"/>
      <c r="L22935" s="711"/>
      <c r="Q22935" s="11"/>
      <c r="R22935" s="11"/>
      <c r="S22935" s="11"/>
      <c r="T22935" s="11"/>
    </row>
    <row r="22936" spans="8:20" x14ac:dyDescent="0.35">
      <c r="H22936" s="711"/>
      <c r="I22936" s="711"/>
      <c r="J22936" s="711"/>
      <c r="K22936" s="711"/>
      <c r="L22936" s="711"/>
      <c r="Q22936" s="11"/>
      <c r="R22936" s="11"/>
      <c r="S22936" s="11"/>
      <c r="T22936" s="11"/>
    </row>
    <row r="22937" spans="8:20" x14ac:dyDescent="0.35">
      <c r="H22937" s="711"/>
      <c r="I22937" s="711"/>
      <c r="J22937" s="711"/>
      <c r="K22937" s="711"/>
      <c r="L22937" s="711"/>
      <c r="Q22937" s="11"/>
      <c r="R22937" s="11"/>
      <c r="S22937" s="11"/>
      <c r="T22937" s="11"/>
    </row>
    <row r="22938" spans="8:20" x14ac:dyDescent="0.35">
      <c r="H22938" s="711"/>
      <c r="I22938" s="711"/>
      <c r="J22938" s="711"/>
      <c r="K22938" s="711"/>
      <c r="L22938" s="711"/>
      <c r="Q22938" s="11"/>
      <c r="R22938" s="11"/>
      <c r="S22938" s="11"/>
      <c r="T22938" s="11"/>
    </row>
    <row r="22939" spans="8:20" x14ac:dyDescent="0.35">
      <c r="H22939" s="711"/>
      <c r="I22939" s="711"/>
      <c r="J22939" s="711"/>
      <c r="K22939" s="711"/>
      <c r="L22939" s="711"/>
      <c r="Q22939" s="11"/>
      <c r="R22939" s="11"/>
      <c r="S22939" s="11"/>
      <c r="T22939" s="11"/>
    </row>
    <row r="22940" spans="8:20" x14ac:dyDescent="0.35">
      <c r="H22940" s="711"/>
      <c r="I22940" s="711"/>
      <c r="J22940" s="711"/>
      <c r="K22940" s="711"/>
      <c r="L22940" s="711"/>
      <c r="Q22940" s="11"/>
      <c r="R22940" s="11"/>
      <c r="S22940" s="11"/>
      <c r="T22940" s="11"/>
    </row>
    <row r="22941" spans="8:20" x14ac:dyDescent="0.35">
      <c r="H22941" s="711"/>
      <c r="I22941" s="711"/>
      <c r="J22941" s="711"/>
      <c r="K22941" s="711"/>
      <c r="L22941" s="711"/>
      <c r="Q22941" s="11"/>
      <c r="R22941" s="11"/>
      <c r="S22941" s="11"/>
      <c r="T22941" s="11"/>
    </row>
    <row r="22942" spans="8:20" x14ac:dyDescent="0.35">
      <c r="H22942" s="711"/>
      <c r="I22942" s="711"/>
      <c r="J22942" s="711"/>
      <c r="K22942" s="711"/>
      <c r="L22942" s="711"/>
      <c r="Q22942" s="11"/>
      <c r="R22942" s="11"/>
      <c r="S22942" s="11"/>
      <c r="T22942" s="11"/>
    </row>
    <row r="22943" spans="8:20" x14ac:dyDescent="0.35">
      <c r="H22943" s="711"/>
      <c r="I22943" s="711"/>
      <c r="J22943" s="711"/>
      <c r="K22943" s="711"/>
      <c r="L22943" s="711"/>
      <c r="Q22943" s="11"/>
      <c r="R22943" s="11"/>
      <c r="S22943" s="11"/>
      <c r="T22943" s="11"/>
    </row>
    <row r="22944" spans="8:20" x14ac:dyDescent="0.35">
      <c r="H22944" s="711"/>
      <c r="I22944" s="711"/>
      <c r="J22944" s="711"/>
      <c r="K22944" s="711"/>
      <c r="L22944" s="711"/>
      <c r="Q22944" s="11"/>
      <c r="R22944" s="11"/>
      <c r="S22944" s="11"/>
      <c r="T22944" s="11"/>
    </row>
    <row r="22945" spans="8:20" x14ac:dyDescent="0.35">
      <c r="H22945" s="711"/>
      <c r="I22945" s="711"/>
      <c r="J22945" s="711"/>
      <c r="K22945" s="711"/>
      <c r="L22945" s="711"/>
      <c r="Q22945" s="11"/>
      <c r="R22945" s="11"/>
      <c r="S22945" s="11"/>
      <c r="T22945" s="11"/>
    </row>
    <row r="22946" spans="8:20" x14ac:dyDescent="0.35">
      <c r="H22946" s="711"/>
      <c r="I22946" s="711"/>
      <c r="J22946" s="711"/>
      <c r="K22946" s="711"/>
      <c r="L22946" s="711"/>
      <c r="Q22946" s="11"/>
      <c r="R22946" s="11"/>
      <c r="S22946" s="11"/>
      <c r="T22946" s="11"/>
    </row>
    <row r="22947" spans="8:20" x14ac:dyDescent="0.35">
      <c r="H22947" s="711"/>
      <c r="I22947" s="711"/>
      <c r="J22947" s="711"/>
      <c r="K22947" s="711"/>
      <c r="L22947" s="711"/>
      <c r="Q22947" s="11"/>
      <c r="R22947" s="11"/>
      <c r="S22947" s="11"/>
      <c r="T22947" s="11"/>
    </row>
    <row r="22948" spans="8:20" x14ac:dyDescent="0.35">
      <c r="H22948" s="711"/>
      <c r="I22948" s="711"/>
      <c r="J22948" s="711"/>
      <c r="K22948" s="711"/>
      <c r="L22948" s="711"/>
      <c r="Q22948" s="11"/>
      <c r="R22948" s="11"/>
      <c r="S22948" s="11"/>
      <c r="T22948" s="11"/>
    </row>
    <row r="22949" spans="8:20" x14ac:dyDescent="0.35">
      <c r="H22949" s="711"/>
      <c r="I22949" s="711"/>
      <c r="J22949" s="711"/>
      <c r="K22949" s="711"/>
      <c r="L22949" s="711"/>
      <c r="Q22949" s="11"/>
      <c r="R22949" s="11"/>
      <c r="S22949" s="11"/>
      <c r="T22949" s="11"/>
    </row>
    <row r="22950" spans="8:20" x14ac:dyDescent="0.35">
      <c r="H22950" s="711"/>
      <c r="I22950" s="711"/>
      <c r="J22950" s="711"/>
      <c r="K22950" s="711"/>
      <c r="L22950" s="711"/>
      <c r="Q22950" s="11"/>
      <c r="R22950" s="11"/>
      <c r="S22950" s="11"/>
      <c r="T22950" s="11"/>
    </row>
    <row r="22951" spans="8:20" x14ac:dyDescent="0.35">
      <c r="H22951" s="711"/>
      <c r="I22951" s="711"/>
      <c r="J22951" s="711"/>
      <c r="K22951" s="711"/>
      <c r="L22951" s="711"/>
      <c r="Q22951" s="11"/>
      <c r="R22951" s="11"/>
      <c r="S22951" s="11"/>
      <c r="T22951" s="11"/>
    </row>
    <row r="22952" spans="8:20" x14ac:dyDescent="0.35">
      <c r="H22952" s="711"/>
      <c r="I22952" s="711"/>
      <c r="J22952" s="711"/>
      <c r="K22952" s="711"/>
      <c r="L22952" s="711"/>
      <c r="Q22952" s="11"/>
      <c r="R22952" s="11"/>
      <c r="S22952" s="11"/>
      <c r="T22952" s="11"/>
    </row>
    <row r="22953" spans="8:20" x14ac:dyDescent="0.35">
      <c r="H22953" s="711"/>
      <c r="I22953" s="711"/>
      <c r="J22953" s="711"/>
      <c r="K22953" s="711"/>
      <c r="L22953" s="711"/>
      <c r="Q22953" s="11"/>
      <c r="R22953" s="11"/>
      <c r="S22953" s="11"/>
      <c r="T22953" s="11"/>
    </row>
    <row r="22954" spans="8:20" x14ac:dyDescent="0.35">
      <c r="H22954" s="711"/>
      <c r="I22954" s="711"/>
      <c r="J22954" s="711"/>
      <c r="K22954" s="711"/>
      <c r="L22954" s="711"/>
      <c r="Q22954" s="11"/>
      <c r="R22954" s="11"/>
      <c r="S22954" s="11"/>
      <c r="T22954" s="11"/>
    </row>
    <row r="22955" spans="8:20" x14ac:dyDescent="0.35">
      <c r="H22955" s="711"/>
      <c r="I22955" s="711"/>
      <c r="J22955" s="711"/>
      <c r="K22955" s="711"/>
      <c r="L22955" s="711"/>
      <c r="Q22955" s="11"/>
      <c r="R22955" s="11"/>
      <c r="S22955" s="11"/>
      <c r="T22955" s="11"/>
    </row>
    <row r="22956" spans="8:20" x14ac:dyDescent="0.35">
      <c r="H22956" s="711"/>
      <c r="I22956" s="711"/>
      <c r="J22956" s="711"/>
      <c r="K22956" s="711"/>
      <c r="L22956" s="711"/>
      <c r="Q22956" s="11"/>
      <c r="R22956" s="11"/>
      <c r="S22956" s="11"/>
      <c r="T22956" s="11"/>
    </row>
    <row r="22957" spans="8:20" x14ac:dyDescent="0.35">
      <c r="H22957" s="711"/>
      <c r="I22957" s="711"/>
      <c r="J22957" s="711"/>
      <c r="K22957" s="711"/>
      <c r="L22957" s="711"/>
      <c r="Q22957" s="11"/>
      <c r="R22957" s="11"/>
      <c r="S22957" s="11"/>
      <c r="T22957" s="11"/>
    </row>
    <row r="22958" spans="8:20" x14ac:dyDescent="0.35">
      <c r="H22958" s="711"/>
      <c r="I22958" s="711"/>
      <c r="J22958" s="711"/>
      <c r="K22958" s="711"/>
      <c r="L22958" s="711"/>
      <c r="Q22958" s="11"/>
      <c r="R22958" s="11"/>
      <c r="S22958" s="11"/>
      <c r="T22958" s="11"/>
    </row>
    <row r="22959" spans="8:20" x14ac:dyDescent="0.35">
      <c r="H22959" s="711"/>
      <c r="I22959" s="711"/>
      <c r="J22959" s="711"/>
      <c r="K22959" s="711"/>
      <c r="L22959" s="711"/>
      <c r="Q22959" s="11"/>
      <c r="R22959" s="11"/>
      <c r="S22959" s="11"/>
      <c r="T22959" s="11"/>
    </row>
    <row r="22960" spans="8:20" x14ac:dyDescent="0.35">
      <c r="H22960" s="711"/>
      <c r="I22960" s="711"/>
      <c r="J22960" s="711"/>
      <c r="K22960" s="711"/>
      <c r="L22960" s="711"/>
      <c r="Q22960" s="11"/>
      <c r="R22960" s="11"/>
      <c r="S22960" s="11"/>
      <c r="T22960" s="11"/>
    </row>
    <row r="22961" spans="8:20" x14ac:dyDescent="0.35">
      <c r="H22961" s="711"/>
      <c r="I22961" s="711"/>
      <c r="J22961" s="711"/>
      <c r="K22961" s="711"/>
      <c r="L22961" s="711"/>
      <c r="Q22961" s="11"/>
      <c r="R22961" s="11"/>
      <c r="S22961" s="11"/>
      <c r="T22961" s="11"/>
    </row>
    <row r="22962" spans="8:20" x14ac:dyDescent="0.35">
      <c r="H22962" s="711"/>
      <c r="I22962" s="711"/>
      <c r="J22962" s="711"/>
      <c r="K22962" s="711"/>
      <c r="L22962" s="711"/>
      <c r="Q22962" s="11"/>
      <c r="R22962" s="11"/>
      <c r="S22962" s="11"/>
      <c r="T22962" s="11"/>
    </row>
    <row r="22963" spans="8:20" x14ac:dyDescent="0.35">
      <c r="H22963" s="711"/>
      <c r="I22963" s="711"/>
      <c r="J22963" s="711"/>
      <c r="K22963" s="711"/>
      <c r="L22963" s="711"/>
      <c r="Q22963" s="11"/>
      <c r="R22963" s="11"/>
      <c r="S22963" s="11"/>
      <c r="T22963" s="11"/>
    </row>
    <row r="22964" spans="8:20" x14ac:dyDescent="0.35">
      <c r="H22964" s="711"/>
      <c r="I22964" s="711"/>
      <c r="J22964" s="711"/>
      <c r="K22964" s="711"/>
      <c r="L22964" s="711"/>
      <c r="Q22964" s="11"/>
      <c r="R22964" s="11"/>
      <c r="S22964" s="11"/>
      <c r="T22964" s="11"/>
    </row>
    <row r="22965" spans="8:20" x14ac:dyDescent="0.35">
      <c r="H22965" s="711"/>
      <c r="I22965" s="711"/>
      <c r="J22965" s="711"/>
      <c r="K22965" s="711"/>
      <c r="L22965" s="711"/>
      <c r="Q22965" s="11"/>
      <c r="R22965" s="11"/>
      <c r="S22965" s="11"/>
      <c r="T22965" s="11"/>
    </row>
    <row r="22966" spans="8:20" x14ac:dyDescent="0.35">
      <c r="H22966" s="711"/>
      <c r="I22966" s="711"/>
      <c r="J22966" s="711"/>
      <c r="K22966" s="711"/>
      <c r="L22966" s="711"/>
      <c r="Q22966" s="11"/>
      <c r="R22966" s="11"/>
      <c r="S22966" s="11"/>
      <c r="T22966" s="11"/>
    </row>
    <row r="22967" spans="8:20" x14ac:dyDescent="0.35">
      <c r="H22967" s="711"/>
      <c r="I22967" s="711"/>
      <c r="J22967" s="711"/>
      <c r="K22967" s="711"/>
      <c r="L22967" s="711"/>
      <c r="Q22967" s="11"/>
      <c r="R22967" s="11"/>
      <c r="S22967" s="11"/>
      <c r="T22967" s="11"/>
    </row>
    <row r="22968" spans="8:20" x14ac:dyDescent="0.35">
      <c r="H22968" s="711"/>
      <c r="I22968" s="711"/>
      <c r="J22968" s="711"/>
      <c r="K22968" s="711"/>
      <c r="L22968" s="711"/>
      <c r="Q22968" s="11"/>
      <c r="R22968" s="11"/>
      <c r="S22968" s="11"/>
      <c r="T22968" s="11"/>
    </row>
    <row r="22969" spans="8:20" x14ac:dyDescent="0.35">
      <c r="H22969" s="711"/>
      <c r="I22969" s="711"/>
      <c r="J22969" s="711"/>
      <c r="K22969" s="711"/>
      <c r="L22969" s="711"/>
      <c r="Q22969" s="11"/>
      <c r="R22969" s="11"/>
      <c r="S22969" s="11"/>
      <c r="T22969" s="11"/>
    </row>
    <row r="22970" spans="8:20" x14ac:dyDescent="0.35">
      <c r="H22970" s="711"/>
      <c r="I22970" s="711"/>
      <c r="J22970" s="711"/>
      <c r="K22970" s="711"/>
      <c r="L22970" s="711"/>
      <c r="Q22970" s="11"/>
      <c r="R22970" s="11"/>
      <c r="S22970" s="11"/>
      <c r="T22970" s="11"/>
    </row>
    <row r="22971" spans="8:20" x14ac:dyDescent="0.35">
      <c r="H22971" s="711"/>
      <c r="I22971" s="711"/>
      <c r="J22971" s="711"/>
      <c r="K22971" s="711"/>
      <c r="L22971" s="711"/>
      <c r="Q22971" s="11"/>
      <c r="R22971" s="11"/>
      <c r="S22971" s="11"/>
      <c r="T22971" s="11"/>
    </row>
    <row r="22972" spans="8:20" x14ac:dyDescent="0.35">
      <c r="H22972" s="711"/>
      <c r="I22972" s="711"/>
      <c r="J22972" s="711"/>
      <c r="K22972" s="711"/>
      <c r="L22972" s="711"/>
      <c r="Q22972" s="11"/>
      <c r="R22972" s="11"/>
      <c r="S22972" s="11"/>
      <c r="T22972" s="11"/>
    </row>
    <row r="22973" spans="8:20" x14ac:dyDescent="0.35">
      <c r="H22973" s="711"/>
      <c r="I22973" s="711"/>
      <c r="J22973" s="711"/>
      <c r="K22973" s="711"/>
      <c r="L22973" s="711"/>
      <c r="Q22973" s="11"/>
      <c r="R22973" s="11"/>
      <c r="S22973" s="11"/>
      <c r="T22973" s="11"/>
    </row>
    <row r="22974" spans="8:20" x14ac:dyDescent="0.35">
      <c r="H22974" s="711"/>
      <c r="I22974" s="711"/>
      <c r="J22974" s="711"/>
      <c r="K22974" s="711"/>
      <c r="L22974" s="711"/>
      <c r="Q22974" s="11"/>
      <c r="R22974" s="11"/>
      <c r="S22974" s="11"/>
      <c r="T22974" s="11"/>
    </row>
    <row r="22975" spans="8:20" x14ac:dyDescent="0.35">
      <c r="H22975" s="711"/>
      <c r="I22975" s="711"/>
      <c r="J22975" s="711"/>
      <c r="K22975" s="711"/>
      <c r="L22975" s="711"/>
      <c r="Q22975" s="11"/>
      <c r="R22975" s="11"/>
      <c r="S22975" s="11"/>
      <c r="T22975" s="11"/>
    </row>
    <row r="22976" spans="8:20" x14ac:dyDescent="0.35">
      <c r="H22976" s="711"/>
      <c r="I22976" s="711"/>
      <c r="J22976" s="711"/>
      <c r="K22976" s="711"/>
      <c r="L22976" s="711"/>
      <c r="Q22976" s="11"/>
      <c r="R22976" s="11"/>
      <c r="S22976" s="11"/>
      <c r="T22976" s="11"/>
    </row>
    <row r="22977" spans="8:20" x14ac:dyDescent="0.35">
      <c r="H22977" s="711"/>
      <c r="I22977" s="711"/>
      <c r="J22977" s="711"/>
      <c r="K22977" s="711"/>
      <c r="L22977" s="711"/>
      <c r="Q22977" s="11"/>
      <c r="R22977" s="11"/>
      <c r="S22977" s="11"/>
      <c r="T22977" s="11"/>
    </row>
    <row r="22978" spans="8:20" x14ac:dyDescent="0.35">
      <c r="H22978" s="711"/>
      <c r="I22978" s="711"/>
      <c r="J22978" s="711"/>
      <c r="K22978" s="711"/>
      <c r="L22978" s="711"/>
      <c r="Q22978" s="11"/>
      <c r="R22978" s="11"/>
      <c r="S22978" s="11"/>
      <c r="T22978" s="11"/>
    </row>
    <row r="22979" spans="8:20" x14ac:dyDescent="0.35">
      <c r="H22979" s="711"/>
      <c r="I22979" s="711"/>
      <c r="J22979" s="711"/>
      <c r="K22979" s="711"/>
      <c r="L22979" s="711"/>
      <c r="Q22979" s="11"/>
      <c r="R22979" s="11"/>
      <c r="S22979" s="11"/>
      <c r="T22979" s="11"/>
    </row>
    <row r="22980" spans="8:20" x14ac:dyDescent="0.35">
      <c r="H22980" s="711"/>
      <c r="I22980" s="711"/>
      <c r="J22980" s="711"/>
      <c r="K22980" s="711"/>
      <c r="L22980" s="711"/>
      <c r="Q22980" s="11"/>
      <c r="R22980" s="11"/>
      <c r="S22980" s="11"/>
      <c r="T22980" s="11"/>
    </row>
    <row r="22981" spans="8:20" x14ac:dyDescent="0.35">
      <c r="H22981" s="711"/>
      <c r="I22981" s="711"/>
      <c r="J22981" s="711"/>
      <c r="K22981" s="711"/>
      <c r="L22981" s="711"/>
      <c r="Q22981" s="11"/>
      <c r="R22981" s="11"/>
      <c r="S22981" s="11"/>
      <c r="T22981" s="11"/>
    </row>
    <row r="22982" spans="8:20" x14ac:dyDescent="0.35">
      <c r="H22982" s="711"/>
      <c r="I22982" s="711"/>
      <c r="J22982" s="711"/>
      <c r="K22982" s="711"/>
      <c r="L22982" s="711"/>
      <c r="Q22982" s="11"/>
      <c r="R22982" s="11"/>
      <c r="S22982" s="11"/>
      <c r="T22982" s="11"/>
    </row>
    <row r="22983" spans="8:20" x14ac:dyDescent="0.35">
      <c r="H22983" s="711"/>
      <c r="I22983" s="711"/>
      <c r="J22983" s="711"/>
      <c r="K22983" s="711"/>
      <c r="L22983" s="711"/>
      <c r="Q22983" s="11"/>
      <c r="R22983" s="11"/>
      <c r="S22983" s="11"/>
      <c r="T22983" s="11"/>
    </row>
    <row r="22984" spans="8:20" x14ac:dyDescent="0.35">
      <c r="H22984" s="711"/>
      <c r="I22984" s="711"/>
      <c r="J22984" s="711"/>
      <c r="K22984" s="711"/>
      <c r="L22984" s="711"/>
      <c r="Q22984" s="11"/>
      <c r="R22984" s="11"/>
      <c r="S22984" s="11"/>
      <c r="T22984" s="11"/>
    </row>
    <row r="22985" spans="8:20" x14ac:dyDescent="0.35">
      <c r="H22985" s="711"/>
      <c r="I22985" s="711"/>
      <c r="J22985" s="711"/>
      <c r="K22985" s="711"/>
      <c r="L22985" s="711"/>
      <c r="Q22985" s="11"/>
      <c r="R22985" s="11"/>
      <c r="S22985" s="11"/>
      <c r="T22985" s="11"/>
    </row>
    <row r="22986" spans="8:20" x14ac:dyDescent="0.35">
      <c r="H22986" s="711"/>
      <c r="I22986" s="711"/>
      <c r="J22986" s="711"/>
      <c r="K22986" s="711"/>
      <c r="L22986" s="711"/>
      <c r="Q22986" s="11"/>
      <c r="R22986" s="11"/>
      <c r="S22986" s="11"/>
      <c r="T22986" s="11"/>
    </row>
    <row r="22987" spans="8:20" x14ac:dyDescent="0.35">
      <c r="H22987" s="711"/>
      <c r="I22987" s="711"/>
      <c r="J22987" s="711"/>
      <c r="K22987" s="711"/>
      <c r="L22987" s="711"/>
      <c r="Q22987" s="11"/>
      <c r="R22987" s="11"/>
      <c r="S22987" s="11"/>
      <c r="T22987" s="11"/>
    </row>
    <row r="22988" spans="8:20" x14ac:dyDescent="0.35">
      <c r="H22988" s="711"/>
      <c r="I22988" s="711"/>
      <c r="J22988" s="711"/>
      <c r="K22988" s="711"/>
      <c r="L22988" s="711"/>
      <c r="Q22988" s="11"/>
      <c r="R22988" s="11"/>
      <c r="S22988" s="11"/>
      <c r="T22988" s="11"/>
    </row>
    <row r="22989" spans="8:20" x14ac:dyDescent="0.35">
      <c r="H22989" s="711"/>
      <c r="I22989" s="711"/>
      <c r="J22989" s="711"/>
      <c r="K22989" s="711"/>
      <c r="L22989" s="711"/>
      <c r="Q22989" s="11"/>
      <c r="R22989" s="11"/>
      <c r="S22989" s="11"/>
      <c r="T22989" s="11"/>
    </row>
    <row r="22990" spans="8:20" x14ac:dyDescent="0.35">
      <c r="H22990" s="711"/>
      <c r="I22990" s="711"/>
      <c r="J22990" s="711"/>
      <c r="K22990" s="711"/>
      <c r="L22990" s="711"/>
      <c r="Q22990" s="11"/>
      <c r="R22990" s="11"/>
      <c r="S22990" s="11"/>
      <c r="T22990" s="11"/>
    </row>
    <row r="22991" spans="8:20" x14ac:dyDescent="0.35">
      <c r="H22991" s="711"/>
      <c r="I22991" s="711"/>
      <c r="J22991" s="711"/>
      <c r="K22991" s="711"/>
      <c r="L22991" s="711"/>
      <c r="Q22991" s="11"/>
      <c r="R22991" s="11"/>
      <c r="S22991" s="11"/>
      <c r="T22991" s="11"/>
    </row>
    <row r="22992" spans="8:20" x14ac:dyDescent="0.35">
      <c r="H22992" s="711"/>
      <c r="I22992" s="711"/>
      <c r="J22992" s="711"/>
      <c r="K22992" s="711"/>
      <c r="L22992" s="711"/>
      <c r="Q22992" s="11"/>
      <c r="R22992" s="11"/>
      <c r="S22992" s="11"/>
      <c r="T22992" s="11"/>
    </row>
    <row r="22993" spans="8:20" x14ac:dyDescent="0.35">
      <c r="H22993" s="711"/>
      <c r="I22993" s="711"/>
      <c r="J22993" s="711"/>
      <c r="K22993" s="711"/>
      <c r="L22993" s="711"/>
      <c r="Q22993" s="11"/>
      <c r="R22993" s="11"/>
      <c r="S22993" s="11"/>
      <c r="T22993" s="11"/>
    </row>
    <row r="22994" spans="8:20" x14ac:dyDescent="0.35">
      <c r="H22994" s="711"/>
      <c r="I22994" s="711"/>
      <c r="J22994" s="711"/>
      <c r="K22994" s="711"/>
      <c r="L22994" s="711"/>
      <c r="Q22994" s="11"/>
      <c r="R22994" s="11"/>
      <c r="S22994" s="11"/>
      <c r="T22994" s="11"/>
    </row>
    <row r="22995" spans="8:20" x14ac:dyDescent="0.35">
      <c r="H22995" s="711"/>
      <c r="I22995" s="711"/>
      <c r="J22995" s="711"/>
      <c r="K22995" s="711"/>
      <c r="L22995" s="711"/>
      <c r="Q22995" s="11"/>
      <c r="R22995" s="11"/>
      <c r="S22995" s="11"/>
      <c r="T22995" s="11"/>
    </row>
    <row r="22996" spans="8:20" x14ac:dyDescent="0.35">
      <c r="H22996" s="711"/>
      <c r="I22996" s="711"/>
      <c r="J22996" s="711"/>
      <c r="K22996" s="711"/>
      <c r="L22996" s="711"/>
      <c r="Q22996" s="11"/>
      <c r="R22996" s="11"/>
      <c r="S22996" s="11"/>
      <c r="T22996" s="11"/>
    </row>
    <row r="22997" spans="8:20" x14ac:dyDescent="0.35">
      <c r="H22997" s="711"/>
      <c r="I22997" s="711"/>
      <c r="J22997" s="711"/>
      <c r="K22997" s="711"/>
      <c r="L22997" s="711"/>
      <c r="Q22997" s="11"/>
      <c r="R22997" s="11"/>
      <c r="S22997" s="11"/>
      <c r="T22997" s="11"/>
    </row>
    <row r="22998" spans="8:20" x14ac:dyDescent="0.35">
      <c r="H22998" s="711"/>
      <c r="I22998" s="711"/>
      <c r="J22998" s="711"/>
      <c r="K22998" s="711"/>
      <c r="L22998" s="711"/>
      <c r="Q22998" s="11"/>
      <c r="R22998" s="11"/>
      <c r="S22998" s="11"/>
      <c r="T22998" s="11"/>
    </row>
    <row r="22999" spans="8:20" x14ac:dyDescent="0.35">
      <c r="H22999" s="711"/>
      <c r="I22999" s="711"/>
      <c r="J22999" s="711"/>
      <c r="K22999" s="711"/>
      <c r="L22999" s="711"/>
      <c r="Q22999" s="11"/>
      <c r="R22999" s="11"/>
      <c r="S22999" s="11"/>
      <c r="T22999" s="11"/>
    </row>
    <row r="23000" spans="8:20" x14ac:dyDescent="0.35">
      <c r="H23000" s="711"/>
      <c r="I23000" s="711"/>
      <c r="J23000" s="711"/>
      <c r="K23000" s="711"/>
      <c r="L23000" s="711"/>
      <c r="Q23000" s="11"/>
      <c r="R23000" s="11"/>
      <c r="S23000" s="11"/>
      <c r="T23000" s="11"/>
    </row>
    <row r="23001" spans="8:20" x14ac:dyDescent="0.35">
      <c r="H23001" s="711"/>
      <c r="I23001" s="711"/>
      <c r="J23001" s="711"/>
      <c r="K23001" s="711"/>
      <c r="L23001" s="711"/>
      <c r="Q23001" s="11"/>
      <c r="R23001" s="11"/>
      <c r="S23001" s="11"/>
      <c r="T23001" s="11"/>
    </row>
    <row r="23002" spans="8:20" x14ac:dyDescent="0.35">
      <c r="H23002" s="711"/>
      <c r="I23002" s="711"/>
      <c r="J23002" s="711"/>
      <c r="K23002" s="711"/>
      <c r="L23002" s="711"/>
      <c r="Q23002" s="11"/>
      <c r="R23002" s="11"/>
      <c r="S23002" s="11"/>
      <c r="T23002" s="11"/>
    </row>
    <row r="23003" spans="8:20" x14ac:dyDescent="0.35">
      <c r="H23003" s="711"/>
      <c r="I23003" s="711"/>
      <c r="J23003" s="711"/>
      <c r="K23003" s="711"/>
      <c r="L23003" s="711"/>
      <c r="Q23003" s="11"/>
      <c r="R23003" s="11"/>
      <c r="S23003" s="11"/>
      <c r="T23003" s="11"/>
    </row>
    <row r="23004" spans="8:20" x14ac:dyDescent="0.35">
      <c r="H23004" s="711"/>
      <c r="I23004" s="711"/>
      <c r="J23004" s="711"/>
      <c r="K23004" s="711"/>
      <c r="L23004" s="711"/>
      <c r="Q23004" s="11"/>
      <c r="R23004" s="11"/>
      <c r="S23004" s="11"/>
      <c r="T23004" s="11"/>
    </row>
    <row r="23005" spans="8:20" x14ac:dyDescent="0.35">
      <c r="H23005" s="711"/>
      <c r="I23005" s="711"/>
      <c r="J23005" s="711"/>
      <c r="K23005" s="711"/>
      <c r="L23005" s="711"/>
      <c r="Q23005" s="11"/>
      <c r="R23005" s="11"/>
      <c r="S23005" s="11"/>
      <c r="T23005" s="11"/>
    </row>
    <row r="23006" spans="8:20" x14ac:dyDescent="0.35">
      <c r="H23006" s="711"/>
      <c r="I23006" s="711"/>
      <c r="J23006" s="711"/>
      <c r="K23006" s="711"/>
      <c r="L23006" s="711"/>
      <c r="Q23006" s="11"/>
      <c r="R23006" s="11"/>
      <c r="S23006" s="11"/>
      <c r="T23006" s="11"/>
    </row>
    <row r="23007" spans="8:20" x14ac:dyDescent="0.35">
      <c r="H23007" s="711"/>
      <c r="I23007" s="711"/>
      <c r="J23007" s="711"/>
      <c r="K23007" s="711"/>
      <c r="L23007" s="711"/>
      <c r="Q23007" s="11"/>
      <c r="R23007" s="11"/>
      <c r="S23007" s="11"/>
      <c r="T23007" s="11"/>
    </row>
    <row r="23008" spans="8:20" x14ac:dyDescent="0.35">
      <c r="H23008" s="711"/>
      <c r="I23008" s="711"/>
      <c r="J23008" s="711"/>
      <c r="K23008" s="711"/>
      <c r="L23008" s="711"/>
      <c r="Q23008" s="11"/>
      <c r="R23008" s="11"/>
      <c r="S23008" s="11"/>
      <c r="T23008" s="11"/>
    </row>
    <row r="23009" spans="8:20" x14ac:dyDescent="0.35">
      <c r="H23009" s="711"/>
      <c r="I23009" s="711"/>
      <c r="J23009" s="711"/>
      <c r="K23009" s="711"/>
      <c r="L23009" s="711"/>
      <c r="Q23009" s="11"/>
      <c r="R23009" s="11"/>
      <c r="S23009" s="11"/>
      <c r="T23009" s="11"/>
    </row>
    <row r="23010" spans="8:20" x14ac:dyDescent="0.35">
      <c r="H23010" s="711"/>
      <c r="I23010" s="711"/>
      <c r="J23010" s="711"/>
      <c r="K23010" s="711"/>
      <c r="L23010" s="711"/>
      <c r="Q23010" s="11"/>
      <c r="R23010" s="11"/>
      <c r="S23010" s="11"/>
      <c r="T23010" s="11"/>
    </row>
    <row r="23011" spans="8:20" x14ac:dyDescent="0.35">
      <c r="H23011" s="711"/>
      <c r="I23011" s="711"/>
      <c r="J23011" s="711"/>
      <c r="K23011" s="711"/>
      <c r="L23011" s="711"/>
      <c r="Q23011" s="11"/>
      <c r="R23011" s="11"/>
      <c r="S23011" s="11"/>
      <c r="T23011" s="11"/>
    </row>
    <row r="23012" spans="8:20" x14ac:dyDescent="0.35">
      <c r="H23012" s="711"/>
      <c r="I23012" s="711"/>
      <c r="J23012" s="711"/>
      <c r="K23012" s="711"/>
      <c r="L23012" s="711"/>
      <c r="Q23012" s="11"/>
      <c r="R23012" s="11"/>
      <c r="S23012" s="11"/>
      <c r="T23012" s="11"/>
    </row>
    <row r="23013" spans="8:20" x14ac:dyDescent="0.35">
      <c r="H23013" s="711"/>
      <c r="I23013" s="711"/>
      <c r="J23013" s="711"/>
      <c r="K23013" s="711"/>
      <c r="L23013" s="711"/>
      <c r="Q23013" s="11"/>
      <c r="R23013" s="11"/>
      <c r="S23013" s="11"/>
      <c r="T23013" s="11"/>
    </row>
    <row r="23014" spans="8:20" x14ac:dyDescent="0.35">
      <c r="H23014" s="711"/>
      <c r="I23014" s="711"/>
      <c r="J23014" s="711"/>
      <c r="K23014" s="711"/>
      <c r="L23014" s="711"/>
      <c r="Q23014" s="11"/>
      <c r="R23014" s="11"/>
      <c r="S23014" s="11"/>
      <c r="T23014" s="11"/>
    </row>
    <row r="23015" spans="8:20" x14ac:dyDescent="0.35">
      <c r="H23015" s="711"/>
      <c r="I23015" s="711"/>
      <c r="J23015" s="711"/>
      <c r="K23015" s="711"/>
      <c r="L23015" s="711"/>
      <c r="Q23015" s="11"/>
      <c r="R23015" s="11"/>
      <c r="S23015" s="11"/>
      <c r="T23015" s="11"/>
    </row>
    <row r="23016" spans="8:20" x14ac:dyDescent="0.35">
      <c r="H23016" s="711"/>
      <c r="I23016" s="711"/>
      <c r="J23016" s="711"/>
      <c r="K23016" s="711"/>
      <c r="L23016" s="711"/>
      <c r="Q23016" s="11"/>
      <c r="R23016" s="11"/>
      <c r="S23016" s="11"/>
      <c r="T23016" s="11"/>
    </row>
    <row r="23017" spans="8:20" x14ac:dyDescent="0.35">
      <c r="H23017" s="711"/>
      <c r="I23017" s="711"/>
      <c r="J23017" s="711"/>
      <c r="K23017" s="711"/>
      <c r="L23017" s="711"/>
      <c r="Q23017" s="11"/>
      <c r="R23017" s="11"/>
      <c r="S23017" s="11"/>
      <c r="T23017" s="11"/>
    </row>
    <row r="23018" spans="8:20" x14ac:dyDescent="0.35">
      <c r="H23018" s="711"/>
      <c r="I23018" s="711"/>
      <c r="J23018" s="711"/>
      <c r="K23018" s="711"/>
      <c r="L23018" s="711"/>
      <c r="Q23018" s="11"/>
      <c r="R23018" s="11"/>
      <c r="S23018" s="11"/>
      <c r="T23018" s="11"/>
    </row>
    <row r="23019" spans="8:20" x14ac:dyDescent="0.35">
      <c r="H23019" s="711"/>
      <c r="I23019" s="711"/>
      <c r="J23019" s="711"/>
      <c r="K23019" s="711"/>
      <c r="L23019" s="711"/>
      <c r="Q23019" s="11"/>
      <c r="R23019" s="11"/>
      <c r="S23019" s="11"/>
      <c r="T23019" s="11"/>
    </row>
    <row r="23020" spans="8:20" x14ac:dyDescent="0.35">
      <c r="H23020" s="711"/>
      <c r="I23020" s="711"/>
      <c r="J23020" s="711"/>
      <c r="K23020" s="711"/>
      <c r="L23020" s="711"/>
      <c r="Q23020" s="11"/>
      <c r="R23020" s="11"/>
      <c r="S23020" s="11"/>
      <c r="T23020" s="11"/>
    </row>
    <row r="23021" spans="8:20" x14ac:dyDescent="0.35">
      <c r="H23021" s="711"/>
      <c r="I23021" s="711"/>
      <c r="J23021" s="711"/>
      <c r="K23021" s="711"/>
      <c r="L23021" s="711"/>
      <c r="Q23021" s="11"/>
      <c r="R23021" s="11"/>
      <c r="S23021" s="11"/>
      <c r="T23021" s="11"/>
    </row>
    <row r="23022" spans="8:20" x14ac:dyDescent="0.35">
      <c r="H23022" s="711"/>
      <c r="I23022" s="711"/>
      <c r="J23022" s="711"/>
      <c r="K23022" s="711"/>
      <c r="L23022" s="711"/>
      <c r="Q23022" s="11"/>
      <c r="R23022" s="11"/>
      <c r="S23022" s="11"/>
      <c r="T23022" s="11"/>
    </row>
    <row r="23023" spans="8:20" x14ac:dyDescent="0.35">
      <c r="H23023" s="711"/>
      <c r="I23023" s="711"/>
      <c r="J23023" s="711"/>
      <c r="K23023" s="711"/>
      <c r="L23023" s="711"/>
      <c r="Q23023" s="11"/>
      <c r="R23023" s="11"/>
      <c r="S23023" s="11"/>
      <c r="T23023" s="11"/>
    </row>
    <row r="23024" spans="8:20" x14ac:dyDescent="0.35">
      <c r="H23024" s="711"/>
      <c r="I23024" s="711"/>
      <c r="J23024" s="711"/>
      <c r="K23024" s="711"/>
      <c r="L23024" s="711"/>
      <c r="Q23024" s="11"/>
      <c r="R23024" s="11"/>
      <c r="S23024" s="11"/>
      <c r="T23024" s="11"/>
    </row>
    <row r="23025" spans="8:20" x14ac:dyDescent="0.35">
      <c r="H23025" s="711"/>
      <c r="I23025" s="711"/>
      <c r="J23025" s="711"/>
      <c r="K23025" s="711"/>
      <c r="L23025" s="711"/>
      <c r="Q23025" s="11"/>
      <c r="R23025" s="11"/>
      <c r="S23025" s="11"/>
      <c r="T23025" s="11"/>
    </row>
    <row r="23026" spans="8:20" x14ac:dyDescent="0.35">
      <c r="H23026" s="711"/>
      <c r="I23026" s="711"/>
      <c r="J23026" s="711"/>
      <c r="K23026" s="711"/>
      <c r="L23026" s="711"/>
      <c r="Q23026" s="11"/>
      <c r="R23026" s="11"/>
      <c r="S23026" s="11"/>
      <c r="T23026" s="11"/>
    </row>
    <row r="23027" spans="8:20" x14ac:dyDescent="0.35">
      <c r="H23027" s="711"/>
      <c r="I23027" s="711"/>
      <c r="J23027" s="711"/>
      <c r="K23027" s="711"/>
      <c r="L23027" s="711"/>
      <c r="Q23027" s="11"/>
      <c r="R23027" s="11"/>
      <c r="S23027" s="11"/>
      <c r="T23027" s="11"/>
    </row>
    <row r="23028" spans="8:20" x14ac:dyDescent="0.35">
      <c r="H23028" s="711"/>
      <c r="I23028" s="711"/>
      <c r="J23028" s="711"/>
      <c r="K23028" s="711"/>
      <c r="L23028" s="711"/>
      <c r="Q23028" s="11"/>
      <c r="R23028" s="11"/>
      <c r="S23028" s="11"/>
      <c r="T23028" s="11"/>
    </row>
    <row r="23029" spans="8:20" x14ac:dyDescent="0.35">
      <c r="H23029" s="711"/>
      <c r="I23029" s="711"/>
      <c r="J23029" s="711"/>
      <c r="K23029" s="711"/>
      <c r="L23029" s="711"/>
      <c r="Q23029" s="11"/>
      <c r="R23029" s="11"/>
      <c r="S23029" s="11"/>
      <c r="T23029" s="11"/>
    </row>
    <row r="23030" spans="8:20" x14ac:dyDescent="0.35">
      <c r="H23030" s="711"/>
      <c r="I23030" s="711"/>
      <c r="J23030" s="711"/>
      <c r="K23030" s="711"/>
      <c r="L23030" s="711"/>
      <c r="Q23030" s="11"/>
      <c r="R23030" s="11"/>
      <c r="S23030" s="11"/>
      <c r="T23030" s="11"/>
    </row>
    <row r="23031" spans="8:20" x14ac:dyDescent="0.35">
      <c r="H23031" s="711"/>
      <c r="I23031" s="711"/>
      <c r="J23031" s="711"/>
      <c r="K23031" s="711"/>
      <c r="L23031" s="711"/>
      <c r="Q23031" s="11"/>
      <c r="R23031" s="11"/>
      <c r="S23031" s="11"/>
      <c r="T23031" s="11"/>
    </row>
    <row r="23032" spans="8:20" x14ac:dyDescent="0.35">
      <c r="H23032" s="711"/>
      <c r="I23032" s="711"/>
      <c r="J23032" s="711"/>
      <c r="K23032" s="711"/>
      <c r="L23032" s="711"/>
      <c r="Q23032" s="11"/>
      <c r="R23032" s="11"/>
      <c r="S23032" s="11"/>
      <c r="T23032" s="11"/>
    </row>
    <row r="23033" spans="8:20" x14ac:dyDescent="0.35">
      <c r="H23033" s="711"/>
      <c r="I23033" s="711"/>
      <c r="J23033" s="711"/>
      <c r="K23033" s="711"/>
      <c r="L23033" s="711"/>
      <c r="Q23033" s="11"/>
      <c r="R23033" s="11"/>
      <c r="S23033" s="11"/>
      <c r="T23033" s="11"/>
    </row>
    <row r="23034" spans="8:20" x14ac:dyDescent="0.35">
      <c r="H23034" s="711"/>
      <c r="I23034" s="711"/>
      <c r="J23034" s="711"/>
      <c r="K23034" s="711"/>
      <c r="L23034" s="711"/>
      <c r="Q23034" s="11"/>
      <c r="R23034" s="11"/>
      <c r="S23034" s="11"/>
      <c r="T23034" s="11"/>
    </row>
    <row r="23035" spans="8:20" x14ac:dyDescent="0.35">
      <c r="H23035" s="711"/>
      <c r="I23035" s="711"/>
      <c r="J23035" s="711"/>
      <c r="K23035" s="711"/>
      <c r="L23035" s="711"/>
      <c r="Q23035" s="11"/>
      <c r="R23035" s="11"/>
      <c r="S23035" s="11"/>
      <c r="T23035" s="11"/>
    </row>
    <row r="23036" spans="8:20" x14ac:dyDescent="0.35">
      <c r="H23036" s="711"/>
      <c r="I23036" s="711"/>
      <c r="J23036" s="711"/>
      <c r="K23036" s="711"/>
      <c r="L23036" s="711"/>
      <c r="Q23036" s="11"/>
      <c r="R23036" s="11"/>
      <c r="S23036" s="11"/>
      <c r="T23036" s="11"/>
    </row>
    <row r="23037" spans="8:20" x14ac:dyDescent="0.35">
      <c r="H23037" s="711"/>
      <c r="I23037" s="711"/>
      <c r="J23037" s="711"/>
      <c r="K23037" s="711"/>
      <c r="L23037" s="711"/>
      <c r="Q23037" s="11"/>
      <c r="R23037" s="11"/>
      <c r="S23037" s="11"/>
      <c r="T23037" s="11"/>
    </row>
    <row r="23038" spans="8:20" x14ac:dyDescent="0.35">
      <c r="H23038" s="711"/>
      <c r="I23038" s="711"/>
      <c r="J23038" s="711"/>
      <c r="K23038" s="711"/>
      <c r="L23038" s="711"/>
      <c r="Q23038" s="11"/>
      <c r="R23038" s="11"/>
      <c r="S23038" s="11"/>
      <c r="T23038" s="11"/>
    </row>
    <row r="23039" spans="8:20" x14ac:dyDescent="0.35">
      <c r="H23039" s="711"/>
      <c r="I23039" s="711"/>
      <c r="J23039" s="711"/>
      <c r="K23039" s="711"/>
      <c r="L23039" s="711"/>
      <c r="Q23039" s="11"/>
      <c r="R23039" s="11"/>
      <c r="S23039" s="11"/>
      <c r="T23039" s="11"/>
    </row>
    <row r="23040" spans="8:20" x14ac:dyDescent="0.35">
      <c r="H23040" s="711"/>
      <c r="I23040" s="711"/>
      <c r="J23040" s="711"/>
      <c r="K23040" s="711"/>
      <c r="L23040" s="711"/>
      <c r="Q23040" s="11"/>
      <c r="R23040" s="11"/>
      <c r="S23040" s="11"/>
      <c r="T23040" s="11"/>
    </row>
    <row r="23041" spans="8:20" x14ac:dyDescent="0.35">
      <c r="H23041" s="711"/>
      <c r="I23041" s="711"/>
      <c r="J23041" s="711"/>
      <c r="K23041" s="711"/>
      <c r="L23041" s="711"/>
      <c r="Q23041" s="11"/>
      <c r="R23041" s="11"/>
      <c r="S23041" s="11"/>
      <c r="T23041" s="11"/>
    </row>
    <row r="23042" spans="8:20" x14ac:dyDescent="0.35">
      <c r="H23042" s="711"/>
      <c r="I23042" s="711"/>
      <c r="J23042" s="711"/>
      <c r="K23042" s="711"/>
      <c r="L23042" s="711"/>
      <c r="Q23042" s="11"/>
      <c r="R23042" s="11"/>
      <c r="S23042" s="11"/>
      <c r="T23042" s="11"/>
    </row>
    <row r="23043" spans="8:20" x14ac:dyDescent="0.35">
      <c r="H23043" s="711"/>
      <c r="I23043" s="711"/>
      <c r="J23043" s="711"/>
      <c r="K23043" s="711"/>
      <c r="L23043" s="711"/>
      <c r="Q23043" s="11"/>
      <c r="R23043" s="11"/>
      <c r="S23043" s="11"/>
      <c r="T23043" s="11"/>
    </row>
    <row r="23044" spans="8:20" x14ac:dyDescent="0.35">
      <c r="H23044" s="711"/>
      <c r="I23044" s="711"/>
      <c r="J23044" s="711"/>
      <c r="K23044" s="711"/>
      <c r="L23044" s="711"/>
      <c r="Q23044" s="11"/>
      <c r="R23044" s="11"/>
      <c r="S23044" s="11"/>
      <c r="T23044" s="11"/>
    </row>
    <row r="23045" spans="8:20" x14ac:dyDescent="0.35">
      <c r="H23045" s="711"/>
      <c r="I23045" s="711"/>
      <c r="J23045" s="711"/>
      <c r="K23045" s="711"/>
      <c r="L23045" s="711"/>
      <c r="Q23045" s="11"/>
      <c r="R23045" s="11"/>
      <c r="S23045" s="11"/>
      <c r="T23045" s="11"/>
    </row>
    <row r="23046" spans="8:20" x14ac:dyDescent="0.35">
      <c r="H23046" s="711"/>
      <c r="I23046" s="711"/>
      <c r="J23046" s="711"/>
      <c r="K23046" s="711"/>
      <c r="L23046" s="711"/>
      <c r="Q23046" s="11"/>
      <c r="R23046" s="11"/>
      <c r="S23046" s="11"/>
      <c r="T23046" s="11"/>
    </row>
    <row r="23047" spans="8:20" x14ac:dyDescent="0.35">
      <c r="H23047" s="711"/>
      <c r="I23047" s="711"/>
      <c r="J23047" s="711"/>
      <c r="K23047" s="711"/>
      <c r="L23047" s="711"/>
      <c r="Q23047" s="11"/>
      <c r="R23047" s="11"/>
      <c r="S23047" s="11"/>
      <c r="T23047" s="11"/>
    </row>
    <row r="23048" spans="8:20" x14ac:dyDescent="0.35">
      <c r="H23048" s="711"/>
      <c r="I23048" s="711"/>
      <c r="J23048" s="711"/>
      <c r="K23048" s="711"/>
      <c r="L23048" s="711"/>
      <c r="Q23048" s="11"/>
      <c r="R23048" s="11"/>
      <c r="S23048" s="11"/>
      <c r="T23048" s="11"/>
    </row>
    <row r="23049" spans="8:20" x14ac:dyDescent="0.35">
      <c r="H23049" s="711"/>
      <c r="I23049" s="711"/>
      <c r="J23049" s="711"/>
      <c r="K23049" s="711"/>
      <c r="L23049" s="711"/>
      <c r="Q23049" s="11"/>
      <c r="R23049" s="11"/>
      <c r="S23049" s="11"/>
      <c r="T23049" s="11"/>
    </row>
    <row r="23050" spans="8:20" x14ac:dyDescent="0.35">
      <c r="H23050" s="711"/>
      <c r="I23050" s="711"/>
      <c r="J23050" s="711"/>
      <c r="K23050" s="711"/>
      <c r="L23050" s="711"/>
      <c r="Q23050" s="11"/>
      <c r="R23050" s="11"/>
      <c r="S23050" s="11"/>
      <c r="T23050" s="11"/>
    </row>
    <row r="23051" spans="8:20" x14ac:dyDescent="0.35">
      <c r="H23051" s="711"/>
      <c r="I23051" s="711"/>
      <c r="J23051" s="711"/>
      <c r="K23051" s="711"/>
      <c r="L23051" s="711"/>
      <c r="Q23051" s="11"/>
      <c r="R23051" s="11"/>
      <c r="S23051" s="11"/>
      <c r="T23051" s="11"/>
    </row>
    <row r="23052" spans="8:20" x14ac:dyDescent="0.35">
      <c r="H23052" s="711"/>
      <c r="I23052" s="711"/>
      <c r="J23052" s="711"/>
      <c r="K23052" s="711"/>
      <c r="L23052" s="711"/>
      <c r="Q23052" s="11"/>
      <c r="R23052" s="11"/>
      <c r="S23052" s="11"/>
      <c r="T23052" s="11"/>
    </row>
    <row r="23053" spans="8:20" x14ac:dyDescent="0.35">
      <c r="H23053" s="711"/>
      <c r="I23053" s="711"/>
      <c r="J23053" s="711"/>
      <c r="K23053" s="711"/>
      <c r="L23053" s="711"/>
      <c r="Q23053" s="11"/>
      <c r="R23053" s="11"/>
      <c r="S23053" s="11"/>
      <c r="T23053" s="11"/>
    </row>
    <row r="23054" spans="8:20" x14ac:dyDescent="0.35">
      <c r="H23054" s="711"/>
      <c r="I23054" s="711"/>
      <c r="J23054" s="711"/>
      <c r="K23054" s="711"/>
      <c r="L23054" s="711"/>
      <c r="Q23054" s="11"/>
      <c r="R23054" s="11"/>
      <c r="S23054" s="11"/>
      <c r="T23054" s="11"/>
    </row>
    <row r="23055" spans="8:20" x14ac:dyDescent="0.35">
      <c r="H23055" s="711"/>
      <c r="I23055" s="711"/>
      <c r="J23055" s="711"/>
      <c r="K23055" s="711"/>
      <c r="L23055" s="711"/>
      <c r="Q23055" s="11"/>
      <c r="R23055" s="11"/>
      <c r="S23055" s="11"/>
      <c r="T23055" s="11"/>
    </row>
    <row r="23056" spans="8:20" x14ac:dyDescent="0.35">
      <c r="H23056" s="711"/>
      <c r="I23056" s="711"/>
      <c r="J23056" s="711"/>
      <c r="K23056" s="711"/>
      <c r="L23056" s="711"/>
      <c r="Q23056" s="11"/>
      <c r="R23056" s="11"/>
      <c r="S23056" s="11"/>
      <c r="T23056" s="11"/>
    </row>
    <row r="23057" spans="8:20" x14ac:dyDescent="0.35">
      <c r="H23057" s="711"/>
      <c r="I23057" s="711"/>
      <c r="J23057" s="711"/>
      <c r="K23057" s="711"/>
      <c r="L23057" s="711"/>
      <c r="Q23057" s="11"/>
      <c r="R23057" s="11"/>
      <c r="S23057" s="11"/>
      <c r="T23057" s="11"/>
    </row>
    <row r="23058" spans="8:20" x14ac:dyDescent="0.35">
      <c r="H23058" s="711"/>
      <c r="I23058" s="711"/>
      <c r="J23058" s="711"/>
      <c r="K23058" s="711"/>
      <c r="L23058" s="711"/>
      <c r="Q23058" s="11"/>
      <c r="R23058" s="11"/>
      <c r="S23058" s="11"/>
      <c r="T23058" s="11"/>
    </row>
    <row r="23059" spans="8:20" x14ac:dyDescent="0.35">
      <c r="H23059" s="711"/>
      <c r="I23059" s="711"/>
      <c r="J23059" s="711"/>
      <c r="K23059" s="711"/>
      <c r="L23059" s="711"/>
      <c r="Q23059" s="11"/>
      <c r="R23059" s="11"/>
      <c r="S23059" s="11"/>
      <c r="T23059" s="11"/>
    </row>
    <row r="23060" spans="8:20" x14ac:dyDescent="0.35">
      <c r="H23060" s="711"/>
      <c r="I23060" s="711"/>
      <c r="J23060" s="711"/>
      <c r="K23060" s="711"/>
      <c r="L23060" s="711"/>
      <c r="Q23060" s="11"/>
      <c r="R23060" s="11"/>
      <c r="S23060" s="11"/>
      <c r="T23060" s="11"/>
    </row>
    <row r="23061" spans="8:20" x14ac:dyDescent="0.35">
      <c r="H23061" s="711"/>
      <c r="I23061" s="711"/>
      <c r="J23061" s="711"/>
      <c r="K23061" s="711"/>
      <c r="L23061" s="711"/>
      <c r="Q23061" s="11"/>
      <c r="R23061" s="11"/>
      <c r="S23061" s="11"/>
      <c r="T23061" s="11"/>
    </row>
    <row r="23062" spans="8:20" x14ac:dyDescent="0.35">
      <c r="H23062" s="711"/>
      <c r="I23062" s="711"/>
      <c r="J23062" s="711"/>
      <c r="K23062" s="711"/>
      <c r="L23062" s="711"/>
      <c r="Q23062" s="11"/>
      <c r="R23062" s="11"/>
      <c r="S23062" s="11"/>
      <c r="T23062" s="11"/>
    </row>
    <row r="23063" spans="8:20" x14ac:dyDescent="0.35">
      <c r="H23063" s="711"/>
      <c r="I23063" s="711"/>
      <c r="J23063" s="711"/>
      <c r="K23063" s="711"/>
      <c r="L23063" s="711"/>
      <c r="Q23063" s="11"/>
      <c r="R23063" s="11"/>
      <c r="S23063" s="11"/>
      <c r="T23063" s="11"/>
    </row>
    <row r="23064" spans="8:20" x14ac:dyDescent="0.35">
      <c r="H23064" s="711"/>
      <c r="I23064" s="711"/>
      <c r="J23064" s="711"/>
      <c r="K23064" s="711"/>
      <c r="L23064" s="711"/>
      <c r="Q23064" s="11"/>
      <c r="R23064" s="11"/>
      <c r="S23064" s="11"/>
      <c r="T23064" s="11"/>
    </row>
    <row r="23065" spans="8:20" x14ac:dyDescent="0.35">
      <c r="H23065" s="711"/>
      <c r="I23065" s="711"/>
      <c r="J23065" s="711"/>
      <c r="K23065" s="711"/>
      <c r="L23065" s="711"/>
      <c r="Q23065" s="11"/>
      <c r="R23065" s="11"/>
      <c r="S23065" s="11"/>
      <c r="T23065" s="11"/>
    </row>
    <row r="23066" spans="8:20" x14ac:dyDescent="0.35">
      <c r="H23066" s="711"/>
      <c r="I23066" s="711"/>
      <c r="J23066" s="711"/>
      <c r="K23066" s="711"/>
      <c r="L23066" s="711"/>
      <c r="Q23066" s="11"/>
      <c r="R23066" s="11"/>
      <c r="S23066" s="11"/>
      <c r="T23066" s="11"/>
    </row>
    <row r="23067" spans="8:20" x14ac:dyDescent="0.35">
      <c r="H23067" s="711"/>
      <c r="I23067" s="711"/>
      <c r="J23067" s="711"/>
      <c r="K23067" s="711"/>
      <c r="L23067" s="711"/>
      <c r="Q23067" s="11"/>
      <c r="R23067" s="11"/>
      <c r="S23067" s="11"/>
      <c r="T23067" s="11"/>
    </row>
    <row r="23068" spans="8:20" x14ac:dyDescent="0.35">
      <c r="H23068" s="711"/>
      <c r="I23068" s="711"/>
      <c r="J23068" s="711"/>
      <c r="K23068" s="711"/>
      <c r="L23068" s="711"/>
      <c r="Q23068" s="11"/>
      <c r="R23068" s="11"/>
      <c r="S23068" s="11"/>
      <c r="T23068" s="11"/>
    </row>
    <row r="23069" spans="8:20" x14ac:dyDescent="0.35">
      <c r="H23069" s="711"/>
      <c r="I23069" s="711"/>
      <c r="J23069" s="711"/>
      <c r="K23069" s="711"/>
      <c r="L23069" s="711"/>
      <c r="Q23069" s="11"/>
      <c r="R23069" s="11"/>
      <c r="S23069" s="11"/>
      <c r="T23069" s="11"/>
    </row>
    <row r="23070" spans="8:20" x14ac:dyDescent="0.35">
      <c r="H23070" s="711"/>
      <c r="I23070" s="711"/>
      <c r="J23070" s="711"/>
      <c r="K23070" s="711"/>
      <c r="L23070" s="711"/>
      <c r="Q23070" s="11"/>
      <c r="R23070" s="11"/>
      <c r="S23070" s="11"/>
      <c r="T23070" s="11"/>
    </row>
    <row r="23071" spans="8:20" x14ac:dyDescent="0.35">
      <c r="H23071" s="711"/>
      <c r="I23071" s="711"/>
      <c r="J23071" s="711"/>
      <c r="K23071" s="711"/>
      <c r="L23071" s="711"/>
      <c r="Q23071" s="11"/>
      <c r="R23071" s="11"/>
      <c r="S23071" s="11"/>
      <c r="T23071" s="11"/>
    </row>
    <row r="23072" spans="8:20" x14ac:dyDescent="0.35">
      <c r="H23072" s="711"/>
      <c r="I23072" s="711"/>
      <c r="J23072" s="711"/>
      <c r="K23072" s="711"/>
      <c r="L23072" s="711"/>
      <c r="Q23072" s="11"/>
      <c r="R23072" s="11"/>
      <c r="S23072" s="11"/>
      <c r="T23072" s="11"/>
    </row>
    <row r="23073" spans="8:20" x14ac:dyDescent="0.35">
      <c r="H23073" s="711"/>
      <c r="I23073" s="711"/>
      <c r="J23073" s="711"/>
      <c r="K23073" s="711"/>
      <c r="L23073" s="711"/>
      <c r="Q23073" s="11"/>
      <c r="R23073" s="11"/>
      <c r="S23073" s="11"/>
      <c r="T23073" s="11"/>
    </row>
    <row r="23074" spans="8:20" x14ac:dyDescent="0.35">
      <c r="H23074" s="711"/>
      <c r="I23074" s="711"/>
      <c r="J23074" s="711"/>
      <c r="K23074" s="711"/>
      <c r="L23074" s="711"/>
      <c r="Q23074" s="11"/>
      <c r="R23074" s="11"/>
      <c r="S23074" s="11"/>
      <c r="T23074" s="11"/>
    </row>
    <row r="23075" spans="8:20" x14ac:dyDescent="0.35">
      <c r="H23075" s="711"/>
      <c r="I23075" s="711"/>
      <c r="J23075" s="711"/>
      <c r="K23075" s="711"/>
      <c r="L23075" s="711"/>
      <c r="Q23075" s="11"/>
      <c r="R23075" s="11"/>
      <c r="S23075" s="11"/>
      <c r="T23075" s="11"/>
    </row>
    <row r="23076" spans="8:20" x14ac:dyDescent="0.35">
      <c r="H23076" s="711"/>
      <c r="I23076" s="711"/>
      <c r="J23076" s="711"/>
      <c r="K23076" s="711"/>
      <c r="L23076" s="711"/>
      <c r="Q23076" s="11"/>
      <c r="R23076" s="11"/>
      <c r="S23076" s="11"/>
      <c r="T23076" s="11"/>
    </row>
    <row r="23077" spans="8:20" x14ac:dyDescent="0.35">
      <c r="H23077" s="711"/>
      <c r="I23077" s="711"/>
      <c r="J23077" s="711"/>
      <c r="K23077" s="711"/>
      <c r="L23077" s="711"/>
      <c r="Q23077" s="11"/>
      <c r="R23077" s="11"/>
      <c r="S23077" s="11"/>
      <c r="T23077" s="11"/>
    </row>
    <row r="23078" spans="8:20" x14ac:dyDescent="0.35">
      <c r="H23078" s="711"/>
      <c r="I23078" s="711"/>
      <c r="J23078" s="711"/>
      <c r="K23078" s="711"/>
      <c r="L23078" s="711"/>
      <c r="Q23078" s="11"/>
      <c r="R23078" s="11"/>
      <c r="S23078" s="11"/>
      <c r="T23078" s="11"/>
    </row>
    <row r="23079" spans="8:20" x14ac:dyDescent="0.35">
      <c r="H23079" s="711"/>
      <c r="I23079" s="711"/>
      <c r="J23079" s="711"/>
      <c r="K23079" s="711"/>
      <c r="L23079" s="711"/>
      <c r="Q23079" s="11"/>
      <c r="R23079" s="11"/>
      <c r="S23079" s="11"/>
      <c r="T23079" s="11"/>
    </row>
    <row r="23080" spans="8:20" x14ac:dyDescent="0.35">
      <c r="H23080" s="711"/>
      <c r="I23080" s="711"/>
      <c r="J23080" s="711"/>
      <c r="K23080" s="711"/>
      <c r="L23080" s="711"/>
      <c r="Q23080" s="11"/>
      <c r="R23080" s="11"/>
      <c r="S23080" s="11"/>
      <c r="T23080" s="11"/>
    </row>
    <row r="23081" spans="8:20" x14ac:dyDescent="0.35">
      <c r="H23081" s="711"/>
      <c r="I23081" s="711"/>
      <c r="J23081" s="711"/>
      <c r="K23081" s="711"/>
      <c r="L23081" s="711"/>
      <c r="Q23081" s="11"/>
      <c r="R23081" s="11"/>
      <c r="S23081" s="11"/>
      <c r="T23081" s="11"/>
    </row>
    <row r="23082" spans="8:20" x14ac:dyDescent="0.35">
      <c r="H23082" s="711"/>
      <c r="I23082" s="711"/>
      <c r="J23082" s="711"/>
      <c r="K23082" s="711"/>
      <c r="L23082" s="711"/>
      <c r="Q23082" s="11"/>
      <c r="R23082" s="11"/>
      <c r="S23082" s="11"/>
      <c r="T23082" s="11"/>
    </row>
    <row r="23083" spans="8:20" x14ac:dyDescent="0.35">
      <c r="H23083" s="711"/>
      <c r="I23083" s="711"/>
      <c r="J23083" s="711"/>
      <c r="K23083" s="711"/>
      <c r="L23083" s="711"/>
      <c r="Q23083" s="11"/>
      <c r="R23083" s="11"/>
      <c r="S23083" s="11"/>
      <c r="T23083" s="11"/>
    </row>
    <row r="23084" spans="8:20" x14ac:dyDescent="0.35">
      <c r="H23084" s="711"/>
      <c r="I23084" s="711"/>
      <c r="J23084" s="711"/>
      <c r="K23084" s="711"/>
      <c r="L23084" s="711"/>
      <c r="Q23084" s="11"/>
      <c r="R23084" s="11"/>
      <c r="S23084" s="11"/>
      <c r="T23084" s="11"/>
    </row>
    <row r="23085" spans="8:20" x14ac:dyDescent="0.35">
      <c r="H23085" s="711"/>
      <c r="I23085" s="711"/>
      <c r="J23085" s="711"/>
      <c r="K23085" s="711"/>
      <c r="L23085" s="711"/>
      <c r="Q23085" s="11"/>
      <c r="R23085" s="11"/>
      <c r="S23085" s="11"/>
      <c r="T23085" s="11"/>
    </row>
    <row r="23086" spans="8:20" x14ac:dyDescent="0.35">
      <c r="H23086" s="711"/>
      <c r="I23086" s="711"/>
      <c r="J23086" s="711"/>
      <c r="K23086" s="711"/>
      <c r="L23086" s="711"/>
      <c r="Q23086" s="11"/>
      <c r="R23086" s="11"/>
      <c r="S23086" s="11"/>
      <c r="T23086" s="11"/>
    </row>
    <row r="23087" spans="8:20" x14ac:dyDescent="0.35">
      <c r="H23087" s="711"/>
      <c r="I23087" s="711"/>
      <c r="J23087" s="711"/>
      <c r="K23087" s="711"/>
      <c r="L23087" s="711"/>
      <c r="Q23087" s="11"/>
      <c r="R23087" s="11"/>
      <c r="S23087" s="11"/>
      <c r="T23087" s="11"/>
    </row>
    <row r="23088" spans="8:20" x14ac:dyDescent="0.35">
      <c r="H23088" s="711"/>
      <c r="I23088" s="711"/>
      <c r="J23088" s="711"/>
      <c r="K23088" s="711"/>
      <c r="L23088" s="711"/>
      <c r="Q23088" s="11"/>
      <c r="R23088" s="11"/>
      <c r="S23088" s="11"/>
      <c r="T23088" s="11"/>
    </row>
    <row r="23089" spans="8:20" x14ac:dyDescent="0.35">
      <c r="H23089" s="711"/>
      <c r="I23089" s="711"/>
      <c r="J23089" s="711"/>
      <c r="K23089" s="711"/>
      <c r="L23089" s="711"/>
      <c r="Q23089" s="11"/>
      <c r="R23089" s="11"/>
      <c r="S23089" s="11"/>
      <c r="T23089" s="11"/>
    </row>
    <row r="23090" spans="8:20" x14ac:dyDescent="0.35">
      <c r="H23090" s="711"/>
      <c r="I23090" s="711"/>
      <c r="J23090" s="711"/>
      <c r="K23090" s="711"/>
      <c r="L23090" s="711"/>
      <c r="Q23090" s="11"/>
      <c r="R23090" s="11"/>
      <c r="S23090" s="11"/>
      <c r="T23090" s="11"/>
    </row>
    <row r="23091" spans="8:20" x14ac:dyDescent="0.35">
      <c r="H23091" s="711"/>
      <c r="I23091" s="711"/>
      <c r="J23091" s="711"/>
      <c r="K23091" s="711"/>
      <c r="L23091" s="711"/>
      <c r="Q23091" s="11"/>
      <c r="R23091" s="11"/>
      <c r="S23091" s="11"/>
      <c r="T23091" s="11"/>
    </row>
    <row r="23092" spans="8:20" x14ac:dyDescent="0.35">
      <c r="H23092" s="711"/>
      <c r="I23092" s="711"/>
      <c r="J23092" s="711"/>
      <c r="K23092" s="711"/>
      <c r="L23092" s="711"/>
      <c r="Q23092" s="11"/>
      <c r="R23092" s="11"/>
      <c r="S23092" s="11"/>
      <c r="T23092" s="11"/>
    </row>
    <row r="23093" spans="8:20" x14ac:dyDescent="0.35">
      <c r="H23093" s="711"/>
      <c r="I23093" s="711"/>
      <c r="J23093" s="711"/>
      <c r="K23093" s="711"/>
      <c r="L23093" s="711"/>
      <c r="Q23093" s="11"/>
      <c r="R23093" s="11"/>
      <c r="S23093" s="11"/>
      <c r="T23093" s="11"/>
    </row>
    <row r="23094" spans="8:20" x14ac:dyDescent="0.35">
      <c r="H23094" s="711"/>
      <c r="I23094" s="711"/>
      <c r="J23094" s="711"/>
      <c r="K23094" s="711"/>
      <c r="L23094" s="711"/>
      <c r="Q23094" s="11"/>
      <c r="R23094" s="11"/>
      <c r="S23094" s="11"/>
      <c r="T23094" s="11"/>
    </row>
    <row r="23095" spans="8:20" x14ac:dyDescent="0.35">
      <c r="H23095" s="711"/>
      <c r="I23095" s="711"/>
      <c r="J23095" s="711"/>
      <c r="K23095" s="711"/>
      <c r="L23095" s="711"/>
      <c r="Q23095" s="11"/>
      <c r="R23095" s="11"/>
      <c r="S23095" s="11"/>
      <c r="T23095" s="11"/>
    </row>
    <row r="23096" spans="8:20" x14ac:dyDescent="0.35">
      <c r="H23096" s="711"/>
      <c r="I23096" s="711"/>
      <c r="J23096" s="711"/>
      <c r="K23096" s="711"/>
      <c r="L23096" s="711"/>
      <c r="Q23096" s="11"/>
      <c r="R23096" s="11"/>
      <c r="S23096" s="11"/>
      <c r="T23096" s="11"/>
    </row>
    <row r="23097" spans="8:20" x14ac:dyDescent="0.35">
      <c r="H23097" s="711"/>
      <c r="I23097" s="711"/>
      <c r="J23097" s="711"/>
      <c r="K23097" s="711"/>
      <c r="L23097" s="711"/>
      <c r="Q23097" s="11"/>
      <c r="R23097" s="11"/>
      <c r="S23097" s="11"/>
      <c r="T23097" s="11"/>
    </row>
    <row r="23098" spans="8:20" x14ac:dyDescent="0.35">
      <c r="H23098" s="711"/>
      <c r="I23098" s="711"/>
      <c r="J23098" s="711"/>
      <c r="K23098" s="711"/>
      <c r="L23098" s="711"/>
      <c r="Q23098" s="11"/>
      <c r="R23098" s="11"/>
      <c r="S23098" s="11"/>
      <c r="T23098" s="11"/>
    </row>
    <row r="23099" spans="8:20" x14ac:dyDescent="0.35">
      <c r="H23099" s="711"/>
      <c r="I23099" s="711"/>
      <c r="J23099" s="711"/>
      <c r="K23099" s="711"/>
      <c r="L23099" s="711"/>
      <c r="Q23099" s="11"/>
      <c r="R23099" s="11"/>
      <c r="S23099" s="11"/>
      <c r="T23099" s="11"/>
    </row>
    <row r="23100" spans="8:20" x14ac:dyDescent="0.35">
      <c r="H23100" s="711"/>
      <c r="I23100" s="711"/>
      <c r="J23100" s="711"/>
      <c r="K23100" s="711"/>
      <c r="L23100" s="711"/>
      <c r="Q23100" s="11"/>
      <c r="R23100" s="11"/>
      <c r="S23100" s="11"/>
      <c r="T23100" s="11"/>
    </row>
    <row r="23101" spans="8:20" x14ac:dyDescent="0.35">
      <c r="H23101" s="711"/>
      <c r="I23101" s="711"/>
      <c r="J23101" s="711"/>
      <c r="K23101" s="711"/>
      <c r="L23101" s="711"/>
      <c r="Q23101" s="11"/>
      <c r="R23101" s="11"/>
      <c r="S23101" s="11"/>
      <c r="T23101" s="11"/>
    </row>
    <row r="23102" spans="8:20" x14ac:dyDescent="0.35">
      <c r="H23102" s="711"/>
      <c r="I23102" s="711"/>
      <c r="J23102" s="711"/>
      <c r="K23102" s="711"/>
      <c r="L23102" s="711"/>
      <c r="Q23102" s="11"/>
      <c r="R23102" s="11"/>
      <c r="S23102" s="11"/>
      <c r="T23102" s="11"/>
    </row>
    <row r="23103" spans="8:20" x14ac:dyDescent="0.35">
      <c r="H23103" s="711"/>
      <c r="I23103" s="711"/>
      <c r="J23103" s="711"/>
      <c r="K23103" s="711"/>
      <c r="L23103" s="711"/>
      <c r="Q23103" s="11"/>
      <c r="R23103" s="11"/>
      <c r="S23103" s="11"/>
      <c r="T23103" s="11"/>
    </row>
    <row r="23104" spans="8:20" x14ac:dyDescent="0.35">
      <c r="H23104" s="711"/>
      <c r="I23104" s="711"/>
      <c r="J23104" s="711"/>
      <c r="K23104" s="711"/>
      <c r="L23104" s="711"/>
      <c r="Q23104" s="11"/>
      <c r="R23104" s="11"/>
      <c r="S23104" s="11"/>
      <c r="T23104" s="11"/>
    </row>
    <row r="23105" spans="8:20" x14ac:dyDescent="0.35">
      <c r="H23105" s="711"/>
      <c r="I23105" s="711"/>
      <c r="J23105" s="711"/>
      <c r="K23105" s="711"/>
      <c r="L23105" s="711"/>
      <c r="Q23105" s="11"/>
      <c r="R23105" s="11"/>
      <c r="S23105" s="11"/>
      <c r="T23105" s="11"/>
    </row>
    <row r="23106" spans="8:20" x14ac:dyDescent="0.35">
      <c r="H23106" s="711"/>
      <c r="I23106" s="711"/>
      <c r="J23106" s="711"/>
      <c r="K23106" s="711"/>
      <c r="L23106" s="711"/>
      <c r="Q23106" s="11"/>
      <c r="R23106" s="11"/>
      <c r="S23106" s="11"/>
      <c r="T23106" s="11"/>
    </row>
    <row r="23107" spans="8:20" x14ac:dyDescent="0.35">
      <c r="H23107" s="711"/>
      <c r="I23107" s="711"/>
      <c r="J23107" s="711"/>
      <c r="K23107" s="711"/>
      <c r="L23107" s="711"/>
      <c r="Q23107" s="11"/>
      <c r="R23107" s="11"/>
      <c r="S23107" s="11"/>
      <c r="T23107" s="11"/>
    </row>
    <row r="23108" spans="8:20" x14ac:dyDescent="0.35">
      <c r="H23108" s="711"/>
      <c r="I23108" s="711"/>
      <c r="J23108" s="711"/>
      <c r="K23108" s="711"/>
      <c r="L23108" s="711"/>
      <c r="Q23108" s="11"/>
      <c r="R23108" s="11"/>
      <c r="S23108" s="11"/>
      <c r="T23108" s="11"/>
    </row>
    <row r="23109" spans="8:20" x14ac:dyDescent="0.35">
      <c r="H23109" s="711"/>
      <c r="I23109" s="711"/>
      <c r="J23109" s="711"/>
      <c r="K23109" s="711"/>
      <c r="L23109" s="711"/>
      <c r="Q23109" s="11"/>
      <c r="R23109" s="11"/>
      <c r="S23109" s="11"/>
      <c r="T23109" s="11"/>
    </row>
    <row r="23110" spans="8:20" x14ac:dyDescent="0.35">
      <c r="H23110" s="711"/>
      <c r="I23110" s="711"/>
      <c r="J23110" s="711"/>
      <c r="K23110" s="711"/>
      <c r="L23110" s="711"/>
      <c r="Q23110" s="11"/>
      <c r="R23110" s="11"/>
      <c r="S23110" s="11"/>
      <c r="T23110" s="11"/>
    </row>
    <row r="23111" spans="8:20" x14ac:dyDescent="0.35">
      <c r="H23111" s="711"/>
      <c r="I23111" s="711"/>
      <c r="J23111" s="711"/>
      <c r="K23111" s="711"/>
      <c r="L23111" s="711"/>
      <c r="Q23111" s="11"/>
      <c r="R23111" s="11"/>
      <c r="S23111" s="11"/>
      <c r="T23111" s="11"/>
    </row>
    <row r="23112" spans="8:20" x14ac:dyDescent="0.35">
      <c r="H23112" s="711"/>
      <c r="I23112" s="711"/>
      <c r="J23112" s="711"/>
      <c r="K23112" s="711"/>
      <c r="L23112" s="711"/>
      <c r="Q23112" s="11"/>
      <c r="R23112" s="11"/>
      <c r="S23112" s="11"/>
      <c r="T23112" s="11"/>
    </row>
    <row r="23113" spans="8:20" x14ac:dyDescent="0.35">
      <c r="H23113" s="711"/>
      <c r="I23113" s="711"/>
      <c r="J23113" s="711"/>
      <c r="K23113" s="711"/>
      <c r="L23113" s="711"/>
      <c r="Q23113" s="11"/>
      <c r="R23113" s="11"/>
      <c r="S23113" s="11"/>
      <c r="T23113" s="11"/>
    </row>
    <row r="23114" spans="8:20" x14ac:dyDescent="0.35">
      <c r="H23114" s="711"/>
      <c r="I23114" s="711"/>
      <c r="J23114" s="711"/>
      <c r="K23114" s="711"/>
      <c r="L23114" s="711"/>
      <c r="Q23114" s="11"/>
      <c r="R23114" s="11"/>
      <c r="S23114" s="11"/>
      <c r="T23114" s="11"/>
    </row>
    <row r="23115" spans="8:20" x14ac:dyDescent="0.35">
      <c r="H23115" s="711"/>
      <c r="I23115" s="711"/>
      <c r="J23115" s="711"/>
      <c r="K23115" s="711"/>
      <c r="L23115" s="711"/>
      <c r="Q23115" s="11"/>
      <c r="R23115" s="11"/>
      <c r="S23115" s="11"/>
      <c r="T23115" s="11"/>
    </row>
    <row r="23116" spans="8:20" x14ac:dyDescent="0.35">
      <c r="H23116" s="711"/>
      <c r="I23116" s="711"/>
      <c r="J23116" s="711"/>
      <c r="K23116" s="711"/>
      <c r="L23116" s="711"/>
      <c r="Q23116" s="11"/>
      <c r="R23116" s="11"/>
      <c r="S23116" s="11"/>
      <c r="T23116" s="11"/>
    </row>
    <row r="23117" spans="8:20" x14ac:dyDescent="0.35">
      <c r="H23117" s="711"/>
      <c r="I23117" s="711"/>
      <c r="J23117" s="711"/>
      <c r="K23117" s="711"/>
      <c r="L23117" s="711"/>
      <c r="Q23117" s="11"/>
      <c r="R23117" s="11"/>
      <c r="S23117" s="11"/>
      <c r="T23117" s="11"/>
    </row>
    <row r="23118" spans="8:20" x14ac:dyDescent="0.35">
      <c r="H23118" s="711"/>
      <c r="I23118" s="711"/>
      <c r="J23118" s="711"/>
      <c r="K23118" s="711"/>
      <c r="L23118" s="711"/>
      <c r="Q23118" s="11"/>
      <c r="R23118" s="11"/>
      <c r="S23118" s="11"/>
      <c r="T23118" s="11"/>
    </row>
    <row r="23119" spans="8:20" x14ac:dyDescent="0.35">
      <c r="H23119" s="711"/>
      <c r="I23119" s="711"/>
      <c r="J23119" s="711"/>
      <c r="K23119" s="711"/>
      <c r="L23119" s="711"/>
      <c r="Q23119" s="11"/>
      <c r="R23119" s="11"/>
      <c r="S23119" s="11"/>
      <c r="T23119" s="11"/>
    </row>
    <row r="23120" spans="8:20" x14ac:dyDescent="0.35">
      <c r="H23120" s="711"/>
      <c r="I23120" s="711"/>
      <c r="J23120" s="711"/>
      <c r="K23120" s="711"/>
      <c r="L23120" s="711"/>
      <c r="Q23120" s="11"/>
      <c r="R23120" s="11"/>
      <c r="S23120" s="11"/>
      <c r="T23120" s="11"/>
    </row>
    <row r="23121" spans="8:20" x14ac:dyDescent="0.35">
      <c r="H23121" s="711"/>
      <c r="I23121" s="711"/>
      <c r="J23121" s="711"/>
      <c r="K23121" s="711"/>
      <c r="L23121" s="711"/>
      <c r="Q23121" s="11"/>
      <c r="R23121" s="11"/>
      <c r="S23121" s="11"/>
      <c r="T23121" s="11"/>
    </row>
    <row r="23122" spans="8:20" x14ac:dyDescent="0.35">
      <c r="H23122" s="711"/>
      <c r="I23122" s="711"/>
      <c r="J23122" s="711"/>
      <c r="K23122" s="711"/>
      <c r="L23122" s="711"/>
      <c r="Q23122" s="11"/>
      <c r="R23122" s="11"/>
      <c r="S23122" s="11"/>
      <c r="T23122" s="11"/>
    </row>
    <row r="23123" spans="8:20" x14ac:dyDescent="0.35">
      <c r="H23123" s="711"/>
      <c r="I23123" s="711"/>
      <c r="J23123" s="711"/>
      <c r="K23123" s="711"/>
      <c r="L23123" s="711"/>
      <c r="Q23123" s="11"/>
      <c r="R23123" s="11"/>
      <c r="S23123" s="11"/>
      <c r="T23123" s="11"/>
    </row>
    <row r="23124" spans="8:20" x14ac:dyDescent="0.35">
      <c r="H23124" s="711"/>
      <c r="I23124" s="711"/>
      <c r="J23124" s="711"/>
      <c r="K23124" s="711"/>
      <c r="L23124" s="711"/>
      <c r="Q23124" s="11"/>
      <c r="R23124" s="11"/>
      <c r="S23124" s="11"/>
      <c r="T23124" s="11"/>
    </row>
    <row r="23125" spans="8:20" x14ac:dyDescent="0.35">
      <c r="H23125" s="711"/>
      <c r="I23125" s="711"/>
      <c r="J23125" s="711"/>
      <c r="K23125" s="711"/>
      <c r="L23125" s="711"/>
      <c r="Q23125" s="11"/>
      <c r="R23125" s="11"/>
      <c r="S23125" s="11"/>
      <c r="T23125" s="11"/>
    </row>
    <row r="23126" spans="8:20" x14ac:dyDescent="0.35">
      <c r="H23126" s="711"/>
      <c r="I23126" s="711"/>
      <c r="J23126" s="711"/>
      <c r="K23126" s="711"/>
      <c r="L23126" s="711"/>
      <c r="Q23126" s="11"/>
      <c r="R23126" s="11"/>
      <c r="S23126" s="11"/>
      <c r="T23126" s="11"/>
    </row>
    <row r="23127" spans="8:20" x14ac:dyDescent="0.35">
      <c r="H23127" s="711"/>
      <c r="I23127" s="711"/>
      <c r="J23127" s="711"/>
      <c r="K23127" s="711"/>
      <c r="L23127" s="711"/>
      <c r="Q23127" s="11"/>
      <c r="R23127" s="11"/>
      <c r="S23127" s="11"/>
      <c r="T23127" s="11"/>
    </row>
    <row r="23128" spans="8:20" x14ac:dyDescent="0.35">
      <c r="H23128" s="711"/>
      <c r="I23128" s="711"/>
      <c r="J23128" s="711"/>
      <c r="K23128" s="711"/>
      <c r="L23128" s="711"/>
      <c r="Q23128" s="11"/>
      <c r="R23128" s="11"/>
      <c r="S23128" s="11"/>
      <c r="T23128" s="11"/>
    </row>
    <row r="23129" spans="8:20" x14ac:dyDescent="0.35">
      <c r="H23129" s="711"/>
      <c r="I23129" s="711"/>
      <c r="J23129" s="711"/>
      <c r="K23129" s="711"/>
      <c r="L23129" s="711"/>
      <c r="Q23129" s="11"/>
      <c r="R23129" s="11"/>
      <c r="S23129" s="11"/>
      <c r="T23129" s="11"/>
    </row>
    <row r="23130" spans="8:20" x14ac:dyDescent="0.35">
      <c r="H23130" s="711"/>
      <c r="I23130" s="711"/>
      <c r="J23130" s="711"/>
      <c r="K23130" s="711"/>
      <c r="L23130" s="711"/>
      <c r="Q23130" s="11"/>
      <c r="R23130" s="11"/>
      <c r="S23130" s="11"/>
      <c r="T23130" s="11"/>
    </row>
    <row r="23131" spans="8:20" x14ac:dyDescent="0.35">
      <c r="H23131" s="711"/>
      <c r="I23131" s="711"/>
      <c r="J23131" s="711"/>
      <c r="K23131" s="711"/>
      <c r="L23131" s="711"/>
      <c r="Q23131" s="11"/>
      <c r="R23131" s="11"/>
      <c r="S23131" s="11"/>
      <c r="T23131" s="11"/>
    </row>
    <row r="23132" spans="8:20" x14ac:dyDescent="0.35">
      <c r="H23132" s="711"/>
      <c r="I23132" s="711"/>
      <c r="J23132" s="711"/>
      <c r="K23132" s="711"/>
      <c r="L23132" s="711"/>
      <c r="Q23132" s="11"/>
      <c r="R23132" s="11"/>
      <c r="S23132" s="11"/>
      <c r="T23132" s="11"/>
    </row>
    <row r="23133" spans="8:20" x14ac:dyDescent="0.35">
      <c r="H23133" s="711"/>
      <c r="I23133" s="711"/>
      <c r="J23133" s="711"/>
      <c r="K23133" s="711"/>
      <c r="L23133" s="711"/>
      <c r="Q23133" s="11"/>
      <c r="R23133" s="11"/>
      <c r="S23133" s="11"/>
      <c r="T23133" s="11"/>
    </row>
    <row r="23134" spans="8:20" x14ac:dyDescent="0.35">
      <c r="H23134" s="711"/>
      <c r="I23134" s="711"/>
      <c r="J23134" s="711"/>
      <c r="K23134" s="711"/>
      <c r="L23134" s="711"/>
      <c r="Q23134" s="11"/>
      <c r="R23134" s="11"/>
      <c r="S23134" s="11"/>
      <c r="T23134" s="11"/>
    </row>
    <row r="23135" spans="8:20" x14ac:dyDescent="0.35">
      <c r="H23135" s="711"/>
      <c r="I23135" s="711"/>
      <c r="J23135" s="711"/>
      <c r="K23135" s="711"/>
      <c r="L23135" s="711"/>
      <c r="Q23135" s="11"/>
      <c r="R23135" s="11"/>
      <c r="S23135" s="11"/>
      <c r="T23135" s="11"/>
    </row>
    <row r="23136" spans="8:20" x14ac:dyDescent="0.35">
      <c r="H23136" s="711"/>
      <c r="I23136" s="711"/>
      <c r="J23136" s="711"/>
      <c r="K23136" s="711"/>
      <c r="L23136" s="711"/>
      <c r="Q23136" s="11"/>
      <c r="R23136" s="11"/>
      <c r="S23136" s="11"/>
      <c r="T23136" s="11"/>
    </row>
    <row r="23137" spans="8:20" x14ac:dyDescent="0.35">
      <c r="H23137" s="711"/>
      <c r="I23137" s="711"/>
      <c r="J23137" s="711"/>
      <c r="K23137" s="711"/>
      <c r="L23137" s="711"/>
      <c r="Q23137" s="11"/>
      <c r="R23137" s="11"/>
      <c r="S23137" s="11"/>
      <c r="T23137" s="11"/>
    </row>
    <row r="23138" spans="8:20" x14ac:dyDescent="0.35">
      <c r="H23138" s="711"/>
      <c r="I23138" s="711"/>
      <c r="J23138" s="711"/>
      <c r="K23138" s="711"/>
      <c r="L23138" s="711"/>
      <c r="Q23138" s="11"/>
      <c r="R23138" s="11"/>
      <c r="S23138" s="11"/>
      <c r="T23138" s="11"/>
    </row>
    <row r="23139" spans="8:20" x14ac:dyDescent="0.35">
      <c r="H23139" s="711"/>
      <c r="I23139" s="711"/>
      <c r="J23139" s="711"/>
      <c r="K23139" s="711"/>
      <c r="L23139" s="711"/>
      <c r="Q23139" s="11"/>
      <c r="R23139" s="11"/>
      <c r="S23139" s="11"/>
      <c r="T23139" s="11"/>
    </row>
    <row r="23140" spans="8:20" x14ac:dyDescent="0.35">
      <c r="H23140" s="711"/>
      <c r="I23140" s="711"/>
      <c r="J23140" s="711"/>
      <c r="K23140" s="711"/>
      <c r="L23140" s="711"/>
      <c r="Q23140" s="11"/>
      <c r="R23140" s="11"/>
      <c r="S23140" s="11"/>
      <c r="T23140" s="11"/>
    </row>
    <row r="23141" spans="8:20" x14ac:dyDescent="0.35">
      <c r="H23141" s="711"/>
      <c r="I23141" s="711"/>
      <c r="J23141" s="711"/>
      <c r="K23141" s="711"/>
      <c r="L23141" s="711"/>
      <c r="Q23141" s="11"/>
      <c r="R23141" s="11"/>
      <c r="S23141" s="11"/>
      <c r="T23141" s="11"/>
    </row>
    <row r="23142" spans="8:20" x14ac:dyDescent="0.35">
      <c r="H23142" s="711"/>
      <c r="I23142" s="711"/>
      <c r="J23142" s="711"/>
      <c r="K23142" s="711"/>
      <c r="L23142" s="711"/>
      <c r="Q23142" s="11"/>
      <c r="R23142" s="11"/>
      <c r="S23142" s="11"/>
      <c r="T23142" s="11"/>
    </row>
    <row r="23143" spans="8:20" x14ac:dyDescent="0.35">
      <c r="H23143" s="711"/>
      <c r="I23143" s="711"/>
      <c r="J23143" s="711"/>
      <c r="K23143" s="711"/>
      <c r="L23143" s="711"/>
      <c r="Q23143" s="11"/>
      <c r="R23143" s="11"/>
      <c r="S23143" s="11"/>
      <c r="T23143" s="11"/>
    </row>
    <row r="23144" spans="8:20" x14ac:dyDescent="0.35">
      <c r="H23144" s="711"/>
      <c r="I23144" s="711"/>
      <c r="J23144" s="711"/>
      <c r="K23144" s="711"/>
      <c r="L23144" s="711"/>
      <c r="Q23144" s="11"/>
      <c r="R23144" s="11"/>
      <c r="S23144" s="11"/>
      <c r="T23144" s="11"/>
    </row>
    <row r="23145" spans="8:20" x14ac:dyDescent="0.35">
      <c r="H23145" s="711"/>
      <c r="I23145" s="711"/>
      <c r="J23145" s="711"/>
      <c r="K23145" s="711"/>
      <c r="L23145" s="711"/>
      <c r="Q23145" s="11"/>
      <c r="R23145" s="11"/>
      <c r="S23145" s="11"/>
      <c r="T23145" s="11"/>
    </row>
    <row r="23146" spans="8:20" x14ac:dyDescent="0.35">
      <c r="H23146" s="711"/>
      <c r="I23146" s="711"/>
      <c r="J23146" s="711"/>
      <c r="K23146" s="711"/>
      <c r="L23146" s="711"/>
      <c r="Q23146" s="11"/>
      <c r="R23146" s="11"/>
      <c r="S23146" s="11"/>
      <c r="T23146" s="11"/>
    </row>
    <row r="23147" spans="8:20" x14ac:dyDescent="0.35">
      <c r="H23147" s="711"/>
      <c r="I23147" s="711"/>
      <c r="J23147" s="711"/>
      <c r="K23147" s="711"/>
      <c r="L23147" s="711"/>
      <c r="Q23147" s="11"/>
      <c r="R23147" s="11"/>
      <c r="S23147" s="11"/>
      <c r="T23147" s="11"/>
    </row>
    <row r="23148" spans="8:20" x14ac:dyDescent="0.35">
      <c r="H23148" s="711"/>
      <c r="I23148" s="711"/>
      <c r="J23148" s="711"/>
      <c r="K23148" s="711"/>
      <c r="L23148" s="711"/>
      <c r="Q23148" s="11"/>
      <c r="R23148" s="11"/>
      <c r="S23148" s="11"/>
      <c r="T23148" s="11"/>
    </row>
    <row r="23149" spans="8:20" x14ac:dyDescent="0.35">
      <c r="H23149" s="711"/>
      <c r="I23149" s="711"/>
      <c r="J23149" s="711"/>
      <c r="K23149" s="711"/>
      <c r="L23149" s="711"/>
      <c r="Q23149" s="11"/>
      <c r="R23149" s="11"/>
      <c r="S23149" s="11"/>
      <c r="T23149" s="11"/>
    </row>
    <row r="23150" spans="8:20" x14ac:dyDescent="0.35">
      <c r="H23150" s="711"/>
      <c r="I23150" s="711"/>
      <c r="J23150" s="711"/>
      <c r="K23150" s="711"/>
      <c r="L23150" s="711"/>
      <c r="Q23150" s="11"/>
      <c r="R23150" s="11"/>
      <c r="S23150" s="11"/>
      <c r="T23150" s="11"/>
    </row>
    <row r="23151" spans="8:20" x14ac:dyDescent="0.35">
      <c r="H23151" s="711"/>
      <c r="I23151" s="711"/>
      <c r="J23151" s="711"/>
      <c r="K23151" s="711"/>
      <c r="L23151" s="711"/>
      <c r="Q23151" s="11"/>
      <c r="R23151" s="11"/>
      <c r="S23151" s="11"/>
      <c r="T23151" s="11"/>
    </row>
    <row r="23152" spans="8:20" x14ac:dyDescent="0.35">
      <c r="H23152" s="711"/>
      <c r="I23152" s="711"/>
      <c r="J23152" s="711"/>
      <c r="K23152" s="711"/>
      <c r="L23152" s="711"/>
      <c r="Q23152" s="11"/>
      <c r="R23152" s="11"/>
      <c r="S23152" s="11"/>
      <c r="T23152" s="11"/>
    </row>
    <row r="23153" spans="8:20" x14ac:dyDescent="0.35">
      <c r="H23153" s="711"/>
      <c r="I23153" s="711"/>
      <c r="J23153" s="711"/>
      <c r="K23153" s="711"/>
      <c r="L23153" s="711"/>
      <c r="Q23153" s="11"/>
      <c r="R23153" s="11"/>
      <c r="S23153" s="11"/>
      <c r="T23153" s="11"/>
    </row>
    <row r="23154" spans="8:20" x14ac:dyDescent="0.35">
      <c r="H23154" s="711"/>
      <c r="I23154" s="711"/>
      <c r="J23154" s="711"/>
      <c r="K23154" s="711"/>
      <c r="L23154" s="711"/>
      <c r="Q23154" s="11"/>
      <c r="R23154" s="11"/>
      <c r="S23154" s="11"/>
      <c r="T23154" s="11"/>
    </row>
    <row r="23155" spans="8:20" x14ac:dyDescent="0.35">
      <c r="H23155" s="711"/>
      <c r="I23155" s="711"/>
      <c r="J23155" s="711"/>
      <c r="K23155" s="711"/>
      <c r="L23155" s="711"/>
      <c r="Q23155" s="11"/>
      <c r="R23155" s="11"/>
      <c r="S23155" s="11"/>
      <c r="T23155" s="11"/>
    </row>
    <row r="23156" spans="8:20" x14ac:dyDescent="0.35">
      <c r="H23156" s="711"/>
      <c r="I23156" s="711"/>
      <c r="J23156" s="711"/>
      <c r="K23156" s="711"/>
      <c r="L23156" s="711"/>
      <c r="Q23156" s="11"/>
      <c r="R23156" s="11"/>
      <c r="S23156" s="11"/>
      <c r="T23156" s="11"/>
    </row>
    <row r="23157" spans="8:20" x14ac:dyDescent="0.35">
      <c r="H23157" s="711"/>
      <c r="I23157" s="711"/>
      <c r="J23157" s="711"/>
      <c r="K23157" s="711"/>
      <c r="L23157" s="711"/>
      <c r="Q23157" s="11"/>
      <c r="R23157" s="11"/>
      <c r="S23157" s="11"/>
      <c r="T23157" s="11"/>
    </row>
    <row r="23158" spans="8:20" x14ac:dyDescent="0.35">
      <c r="H23158" s="711"/>
      <c r="I23158" s="711"/>
      <c r="J23158" s="711"/>
      <c r="K23158" s="711"/>
      <c r="L23158" s="711"/>
      <c r="Q23158" s="11"/>
      <c r="R23158" s="11"/>
      <c r="S23158" s="11"/>
      <c r="T23158" s="11"/>
    </row>
    <row r="23159" spans="8:20" x14ac:dyDescent="0.35">
      <c r="H23159" s="711"/>
      <c r="I23159" s="711"/>
      <c r="J23159" s="711"/>
      <c r="K23159" s="711"/>
      <c r="L23159" s="711"/>
      <c r="Q23159" s="11"/>
      <c r="R23159" s="11"/>
      <c r="S23159" s="11"/>
      <c r="T23159" s="11"/>
    </row>
    <row r="23160" spans="8:20" x14ac:dyDescent="0.35">
      <c r="H23160" s="711"/>
      <c r="I23160" s="711"/>
      <c r="J23160" s="711"/>
      <c r="K23160" s="711"/>
      <c r="L23160" s="711"/>
      <c r="Q23160" s="11"/>
      <c r="R23160" s="11"/>
      <c r="S23160" s="11"/>
      <c r="T23160" s="11"/>
    </row>
    <row r="23161" spans="8:20" x14ac:dyDescent="0.35">
      <c r="H23161" s="711"/>
      <c r="I23161" s="711"/>
      <c r="J23161" s="711"/>
      <c r="K23161" s="711"/>
      <c r="L23161" s="711"/>
      <c r="Q23161" s="11"/>
      <c r="R23161" s="11"/>
      <c r="S23161" s="11"/>
      <c r="T23161" s="11"/>
    </row>
    <row r="23162" spans="8:20" x14ac:dyDescent="0.35">
      <c r="H23162" s="711"/>
      <c r="I23162" s="711"/>
      <c r="J23162" s="711"/>
      <c r="K23162" s="711"/>
      <c r="L23162" s="711"/>
      <c r="Q23162" s="11"/>
      <c r="R23162" s="11"/>
      <c r="S23162" s="11"/>
      <c r="T23162" s="11"/>
    </row>
    <row r="23163" spans="8:20" x14ac:dyDescent="0.35">
      <c r="H23163" s="711"/>
      <c r="I23163" s="711"/>
      <c r="J23163" s="711"/>
      <c r="K23163" s="711"/>
      <c r="L23163" s="711"/>
      <c r="Q23163" s="11"/>
      <c r="R23163" s="11"/>
      <c r="S23163" s="11"/>
      <c r="T23163" s="11"/>
    </row>
    <row r="23164" spans="8:20" x14ac:dyDescent="0.35">
      <c r="H23164" s="711"/>
      <c r="I23164" s="711"/>
      <c r="J23164" s="711"/>
      <c r="K23164" s="711"/>
      <c r="L23164" s="711"/>
      <c r="Q23164" s="11"/>
      <c r="R23164" s="11"/>
      <c r="S23164" s="11"/>
      <c r="T23164" s="11"/>
    </row>
    <row r="23165" spans="8:20" x14ac:dyDescent="0.35">
      <c r="H23165" s="711"/>
      <c r="I23165" s="711"/>
      <c r="J23165" s="711"/>
      <c r="K23165" s="711"/>
      <c r="L23165" s="711"/>
      <c r="Q23165" s="11"/>
      <c r="R23165" s="11"/>
      <c r="S23165" s="11"/>
      <c r="T23165" s="11"/>
    </row>
    <row r="23166" spans="8:20" x14ac:dyDescent="0.35">
      <c r="H23166" s="711"/>
      <c r="I23166" s="711"/>
      <c r="J23166" s="711"/>
      <c r="K23166" s="711"/>
      <c r="L23166" s="711"/>
      <c r="Q23166" s="11"/>
      <c r="R23166" s="11"/>
      <c r="S23166" s="11"/>
      <c r="T23166" s="11"/>
    </row>
    <row r="23167" spans="8:20" x14ac:dyDescent="0.35">
      <c r="H23167" s="711"/>
      <c r="I23167" s="711"/>
      <c r="J23167" s="711"/>
      <c r="K23167" s="711"/>
      <c r="L23167" s="711"/>
      <c r="Q23167" s="11"/>
      <c r="R23167" s="11"/>
      <c r="S23167" s="11"/>
      <c r="T23167" s="11"/>
    </row>
    <row r="23168" spans="8:20" x14ac:dyDescent="0.35">
      <c r="H23168" s="711"/>
      <c r="I23168" s="711"/>
      <c r="J23168" s="711"/>
      <c r="K23168" s="711"/>
      <c r="L23168" s="711"/>
      <c r="Q23168" s="11"/>
      <c r="R23168" s="11"/>
      <c r="S23168" s="11"/>
      <c r="T23168" s="11"/>
    </row>
    <row r="23169" spans="8:20" x14ac:dyDescent="0.35">
      <c r="H23169" s="711"/>
      <c r="I23169" s="711"/>
      <c r="J23169" s="711"/>
      <c r="K23169" s="711"/>
      <c r="L23169" s="711"/>
      <c r="Q23169" s="11"/>
      <c r="R23169" s="11"/>
      <c r="S23169" s="11"/>
      <c r="T23169" s="11"/>
    </row>
    <row r="23170" spans="8:20" x14ac:dyDescent="0.35">
      <c r="H23170" s="711"/>
      <c r="I23170" s="711"/>
      <c r="J23170" s="711"/>
      <c r="K23170" s="711"/>
      <c r="L23170" s="711"/>
      <c r="Q23170" s="11"/>
      <c r="R23170" s="11"/>
      <c r="S23170" s="11"/>
      <c r="T23170" s="11"/>
    </row>
    <row r="23171" spans="8:20" x14ac:dyDescent="0.35">
      <c r="H23171" s="711"/>
      <c r="I23171" s="711"/>
      <c r="J23171" s="711"/>
      <c r="K23171" s="711"/>
      <c r="L23171" s="711"/>
      <c r="Q23171" s="11"/>
      <c r="R23171" s="11"/>
      <c r="S23171" s="11"/>
      <c r="T23171" s="11"/>
    </row>
    <row r="23172" spans="8:20" x14ac:dyDescent="0.35">
      <c r="H23172" s="711"/>
      <c r="I23172" s="711"/>
      <c r="J23172" s="711"/>
      <c r="K23172" s="711"/>
      <c r="L23172" s="711"/>
      <c r="Q23172" s="11"/>
      <c r="R23172" s="11"/>
      <c r="S23172" s="11"/>
      <c r="T23172" s="11"/>
    </row>
    <row r="23173" spans="8:20" x14ac:dyDescent="0.35">
      <c r="H23173" s="711"/>
      <c r="I23173" s="711"/>
      <c r="J23173" s="711"/>
      <c r="K23173" s="711"/>
      <c r="L23173" s="711"/>
      <c r="Q23173" s="11"/>
      <c r="R23173" s="11"/>
      <c r="S23173" s="11"/>
      <c r="T23173" s="11"/>
    </row>
    <row r="23174" spans="8:20" x14ac:dyDescent="0.35">
      <c r="H23174" s="711"/>
      <c r="I23174" s="711"/>
      <c r="J23174" s="711"/>
      <c r="K23174" s="711"/>
      <c r="L23174" s="711"/>
      <c r="Q23174" s="11"/>
      <c r="R23174" s="11"/>
      <c r="S23174" s="11"/>
      <c r="T23174" s="11"/>
    </row>
    <row r="23175" spans="8:20" x14ac:dyDescent="0.35">
      <c r="H23175" s="711"/>
      <c r="I23175" s="711"/>
      <c r="J23175" s="711"/>
      <c r="K23175" s="711"/>
      <c r="L23175" s="711"/>
      <c r="Q23175" s="11"/>
      <c r="R23175" s="11"/>
      <c r="S23175" s="11"/>
      <c r="T23175" s="11"/>
    </row>
    <row r="23176" spans="8:20" x14ac:dyDescent="0.35">
      <c r="H23176" s="711"/>
      <c r="I23176" s="711"/>
      <c r="J23176" s="711"/>
      <c r="K23176" s="711"/>
      <c r="L23176" s="711"/>
      <c r="Q23176" s="11"/>
      <c r="R23176" s="11"/>
      <c r="S23176" s="11"/>
      <c r="T23176" s="11"/>
    </row>
    <row r="23177" spans="8:20" x14ac:dyDescent="0.35">
      <c r="H23177" s="711"/>
      <c r="I23177" s="711"/>
      <c r="J23177" s="711"/>
      <c r="K23177" s="711"/>
      <c r="L23177" s="711"/>
      <c r="Q23177" s="11"/>
      <c r="R23177" s="11"/>
      <c r="S23177" s="11"/>
      <c r="T23177" s="11"/>
    </row>
    <row r="23178" spans="8:20" x14ac:dyDescent="0.35">
      <c r="H23178" s="711"/>
      <c r="I23178" s="711"/>
      <c r="J23178" s="711"/>
      <c r="K23178" s="711"/>
      <c r="L23178" s="711"/>
      <c r="Q23178" s="11"/>
      <c r="R23178" s="11"/>
      <c r="S23178" s="11"/>
      <c r="T23178" s="11"/>
    </row>
    <row r="23179" spans="8:20" x14ac:dyDescent="0.35">
      <c r="H23179" s="711"/>
      <c r="I23179" s="711"/>
      <c r="J23179" s="711"/>
      <c r="K23179" s="711"/>
      <c r="L23179" s="711"/>
      <c r="Q23179" s="11"/>
      <c r="R23179" s="11"/>
      <c r="S23179" s="11"/>
      <c r="T23179" s="11"/>
    </row>
    <row r="23180" spans="8:20" x14ac:dyDescent="0.35">
      <c r="H23180" s="711"/>
      <c r="I23180" s="711"/>
      <c r="J23180" s="711"/>
      <c r="K23180" s="711"/>
      <c r="L23180" s="711"/>
      <c r="Q23180" s="11"/>
      <c r="R23180" s="11"/>
      <c r="S23180" s="11"/>
      <c r="T23180" s="11"/>
    </row>
    <row r="23181" spans="8:20" x14ac:dyDescent="0.35">
      <c r="H23181" s="711"/>
      <c r="I23181" s="711"/>
      <c r="J23181" s="711"/>
      <c r="K23181" s="711"/>
      <c r="L23181" s="711"/>
      <c r="Q23181" s="11"/>
      <c r="R23181" s="11"/>
      <c r="S23181" s="11"/>
      <c r="T23181" s="11"/>
    </row>
    <row r="23182" spans="8:20" x14ac:dyDescent="0.35">
      <c r="H23182" s="711"/>
      <c r="I23182" s="711"/>
      <c r="J23182" s="711"/>
      <c r="K23182" s="711"/>
      <c r="L23182" s="711"/>
      <c r="Q23182" s="11"/>
      <c r="R23182" s="11"/>
      <c r="S23182" s="11"/>
      <c r="T23182" s="11"/>
    </row>
    <row r="23183" spans="8:20" x14ac:dyDescent="0.35">
      <c r="H23183" s="711"/>
      <c r="I23183" s="711"/>
      <c r="J23183" s="711"/>
      <c r="K23183" s="711"/>
      <c r="L23183" s="711"/>
      <c r="Q23183" s="11"/>
      <c r="R23183" s="11"/>
      <c r="S23183" s="11"/>
      <c r="T23183" s="11"/>
    </row>
    <row r="23184" spans="8:20" x14ac:dyDescent="0.35">
      <c r="H23184" s="711"/>
      <c r="I23184" s="711"/>
      <c r="J23184" s="711"/>
      <c r="K23184" s="711"/>
      <c r="L23184" s="711"/>
      <c r="Q23184" s="11"/>
      <c r="R23184" s="11"/>
      <c r="S23184" s="11"/>
      <c r="T23184" s="11"/>
    </row>
    <row r="23185" spans="8:20" x14ac:dyDescent="0.35">
      <c r="H23185" s="711"/>
      <c r="I23185" s="711"/>
      <c r="J23185" s="711"/>
      <c r="K23185" s="711"/>
      <c r="L23185" s="711"/>
      <c r="Q23185" s="11"/>
      <c r="R23185" s="11"/>
      <c r="S23185" s="11"/>
      <c r="T23185" s="11"/>
    </row>
    <row r="23186" spans="8:20" x14ac:dyDescent="0.35">
      <c r="H23186" s="711"/>
      <c r="I23186" s="711"/>
      <c r="J23186" s="711"/>
      <c r="K23186" s="711"/>
      <c r="L23186" s="711"/>
      <c r="Q23186" s="11"/>
      <c r="R23186" s="11"/>
      <c r="S23186" s="11"/>
      <c r="T23186" s="11"/>
    </row>
    <row r="23187" spans="8:20" x14ac:dyDescent="0.35">
      <c r="H23187" s="711"/>
      <c r="I23187" s="711"/>
      <c r="J23187" s="711"/>
      <c r="K23187" s="711"/>
      <c r="L23187" s="711"/>
      <c r="Q23187" s="11"/>
      <c r="R23187" s="11"/>
      <c r="S23187" s="11"/>
      <c r="T23187" s="11"/>
    </row>
    <row r="23188" spans="8:20" x14ac:dyDescent="0.35">
      <c r="H23188" s="711"/>
      <c r="I23188" s="711"/>
      <c r="J23188" s="711"/>
      <c r="K23188" s="711"/>
      <c r="L23188" s="711"/>
      <c r="Q23188" s="11"/>
      <c r="R23188" s="11"/>
      <c r="S23188" s="11"/>
      <c r="T23188" s="11"/>
    </row>
    <row r="23189" spans="8:20" x14ac:dyDescent="0.35">
      <c r="H23189" s="711"/>
      <c r="I23189" s="711"/>
      <c r="J23189" s="711"/>
      <c r="K23189" s="711"/>
      <c r="L23189" s="711"/>
      <c r="Q23189" s="11"/>
      <c r="R23189" s="11"/>
      <c r="S23189" s="11"/>
      <c r="T23189" s="11"/>
    </row>
    <row r="23190" spans="8:20" x14ac:dyDescent="0.35">
      <c r="H23190" s="711"/>
      <c r="I23190" s="711"/>
      <c r="J23190" s="711"/>
      <c r="K23190" s="711"/>
      <c r="L23190" s="711"/>
      <c r="Q23190" s="11"/>
      <c r="R23190" s="11"/>
      <c r="S23190" s="11"/>
      <c r="T23190" s="11"/>
    </row>
    <row r="23191" spans="8:20" x14ac:dyDescent="0.35">
      <c r="H23191" s="711"/>
      <c r="I23191" s="711"/>
      <c r="J23191" s="711"/>
      <c r="K23191" s="711"/>
      <c r="L23191" s="711"/>
      <c r="Q23191" s="11"/>
      <c r="R23191" s="11"/>
      <c r="S23191" s="11"/>
      <c r="T23191" s="11"/>
    </row>
    <row r="23192" spans="8:20" x14ac:dyDescent="0.35">
      <c r="H23192" s="711"/>
      <c r="I23192" s="711"/>
      <c r="J23192" s="711"/>
      <c r="K23192" s="711"/>
      <c r="L23192" s="711"/>
      <c r="Q23192" s="11"/>
      <c r="R23192" s="11"/>
      <c r="S23192" s="11"/>
      <c r="T23192" s="11"/>
    </row>
    <row r="23193" spans="8:20" x14ac:dyDescent="0.35">
      <c r="H23193" s="711"/>
      <c r="I23193" s="711"/>
      <c r="J23193" s="711"/>
      <c r="K23193" s="711"/>
      <c r="L23193" s="711"/>
      <c r="Q23193" s="11"/>
      <c r="R23193" s="11"/>
      <c r="S23193" s="11"/>
      <c r="T23193" s="11"/>
    </row>
    <row r="23194" spans="8:20" x14ac:dyDescent="0.35">
      <c r="H23194" s="711"/>
      <c r="I23194" s="711"/>
      <c r="J23194" s="711"/>
      <c r="K23194" s="711"/>
      <c r="L23194" s="711"/>
      <c r="Q23194" s="11"/>
      <c r="R23194" s="11"/>
      <c r="S23194" s="11"/>
      <c r="T23194" s="11"/>
    </row>
    <row r="23195" spans="8:20" x14ac:dyDescent="0.35">
      <c r="H23195" s="711"/>
      <c r="I23195" s="711"/>
      <c r="J23195" s="711"/>
      <c r="K23195" s="711"/>
      <c r="L23195" s="711"/>
      <c r="Q23195" s="11"/>
      <c r="R23195" s="11"/>
      <c r="S23195" s="11"/>
      <c r="T23195" s="11"/>
    </row>
    <row r="23196" spans="8:20" x14ac:dyDescent="0.35">
      <c r="H23196" s="711"/>
      <c r="I23196" s="711"/>
      <c r="J23196" s="711"/>
      <c r="K23196" s="711"/>
      <c r="L23196" s="711"/>
      <c r="Q23196" s="11"/>
      <c r="R23196" s="11"/>
      <c r="S23196" s="11"/>
      <c r="T23196" s="11"/>
    </row>
    <row r="23197" spans="8:20" x14ac:dyDescent="0.35">
      <c r="H23197" s="711"/>
      <c r="I23197" s="711"/>
      <c r="J23197" s="711"/>
      <c r="K23197" s="711"/>
      <c r="L23197" s="711"/>
      <c r="Q23197" s="11"/>
      <c r="R23197" s="11"/>
      <c r="S23197" s="11"/>
      <c r="T23197" s="11"/>
    </row>
    <row r="23198" spans="8:20" x14ac:dyDescent="0.35">
      <c r="H23198" s="711"/>
      <c r="I23198" s="711"/>
      <c r="J23198" s="711"/>
      <c r="K23198" s="711"/>
      <c r="L23198" s="711"/>
      <c r="Q23198" s="11"/>
      <c r="R23198" s="11"/>
      <c r="S23198" s="11"/>
      <c r="T23198" s="11"/>
    </row>
    <row r="23199" spans="8:20" x14ac:dyDescent="0.35">
      <c r="H23199" s="711"/>
      <c r="I23199" s="711"/>
      <c r="J23199" s="711"/>
      <c r="K23199" s="711"/>
      <c r="L23199" s="711"/>
      <c r="Q23199" s="11"/>
      <c r="R23199" s="11"/>
      <c r="S23199" s="11"/>
      <c r="T23199" s="11"/>
    </row>
    <row r="23200" spans="8:20" x14ac:dyDescent="0.35">
      <c r="H23200" s="711"/>
      <c r="I23200" s="711"/>
      <c r="J23200" s="711"/>
      <c r="K23200" s="711"/>
      <c r="L23200" s="711"/>
      <c r="Q23200" s="11"/>
      <c r="R23200" s="11"/>
      <c r="S23200" s="11"/>
      <c r="T23200" s="11"/>
    </row>
    <row r="23201" spans="8:20" x14ac:dyDescent="0.35">
      <c r="H23201" s="711"/>
      <c r="I23201" s="711"/>
      <c r="J23201" s="711"/>
      <c r="K23201" s="711"/>
      <c r="L23201" s="711"/>
      <c r="Q23201" s="11"/>
      <c r="R23201" s="11"/>
      <c r="S23201" s="11"/>
      <c r="T23201" s="11"/>
    </row>
    <row r="23202" spans="8:20" x14ac:dyDescent="0.35">
      <c r="H23202" s="711"/>
      <c r="I23202" s="711"/>
      <c r="J23202" s="711"/>
      <c r="K23202" s="711"/>
      <c r="L23202" s="711"/>
      <c r="Q23202" s="11"/>
      <c r="R23202" s="11"/>
      <c r="S23202" s="11"/>
      <c r="T23202" s="11"/>
    </row>
    <row r="23203" spans="8:20" x14ac:dyDescent="0.35">
      <c r="H23203" s="711"/>
      <c r="I23203" s="711"/>
      <c r="J23203" s="711"/>
      <c r="K23203" s="711"/>
      <c r="L23203" s="711"/>
      <c r="Q23203" s="11"/>
      <c r="R23203" s="11"/>
      <c r="S23203" s="11"/>
      <c r="T23203" s="11"/>
    </row>
    <row r="23204" spans="8:20" x14ac:dyDescent="0.35">
      <c r="H23204" s="711"/>
      <c r="I23204" s="711"/>
      <c r="J23204" s="711"/>
      <c r="K23204" s="711"/>
      <c r="L23204" s="711"/>
      <c r="Q23204" s="11"/>
      <c r="R23204" s="11"/>
      <c r="S23204" s="11"/>
      <c r="T23204" s="11"/>
    </row>
    <row r="23205" spans="8:20" x14ac:dyDescent="0.35">
      <c r="H23205" s="711"/>
      <c r="I23205" s="711"/>
      <c r="J23205" s="711"/>
      <c r="K23205" s="711"/>
      <c r="L23205" s="711"/>
      <c r="Q23205" s="11"/>
      <c r="R23205" s="11"/>
      <c r="S23205" s="11"/>
      <c r="T23205" s="11"/>
    </row>
    <row r="23206" spans="8:20" x14ac:dyDescent="0.35">
      <c r="H23206" s="711"/>
      <c r="I23206" s="711"/>
      <c r="J23206" s="711"/>
      <c r="K23206" s="711"/>
      <c r="L23206" s="711"/>
      <c r="Q23206" s="11"/>
      <c r="R23206" s="11"/>
      <c r="S23206" s="11"/>
      <c r="T23206" s="11"/>
    </row>
    <row r="23207" spans="8:20" x14ac:dyDescent="0.35">
      <c r="H23207" s="711"/>
      <c r="I23207" s="711"/>
      <c r="J23207" s="711"/>
      <c r="K23207" s="711"/>
      <c r="L23207" s="711"/>
      <c r="Q23207" s="11"/>
      <c r="R23207" s="11"/>
      <c r="S23207" s="11"/>
      <c r="T23207" s="11"/>
    </row>
    <row r="23208" spans="8:20" x14ac:dyDescent="0.35">
      <c r="H23208" s="711"/>
      <c r="I23208" s="711"/>
      <c r="J23208" s="711"/>
      <c r="K23208" s="711"/>
      <c r="L23208" s="711"/>
      <c r="Q23208" s="11"/>
      <c r="R23208" s="11"/>
      <c r="S23208" s="11"/>
      <c r="T23208" s="11"/>
    </row>
    <row r="23209" spans="8:20" x14ac:dyDescent="0.35">
      <c r="H23209" s="711"/>
      <c r="I23209" s="711"/>
      <c r="J23209" s="711"/>
      <c r="K23209" s="711"/>
      <c r="L23209" s="711"/>
      <c r="Q23209" s="11"/>
      <c r="R23209" s="11"/>
      <c r="S23209" s="11"/>
      <c r="T23209" s="11"/>
    </row>
    <row r="23210" spans="8:20" x14ac:dyDescent="0.35">
      <c r="H23210" s="711"/>
      <c r="I23210" s="711"/>
      <c r="J23210" s="711"/>
      <c r="K23210" s="711"/>
      <c r="L23210" s="711"/>
      <c r="Q23210" s="11"/>
      <c r="R23210" s="11"/>
      <c r="S23210" s="11"/>
      <c r="T23210" s="11"/>
    </row>
    <row r="23211" spans="8:20" x14ac:dyDescent="0.35">
      <c r="H23211" s="711"/>
      <c r="I23211" s="711"/>
      <c r="J23211" s="711"/>
      <c r="K23211" s="711"/>
      <c r="L23211" s="711"/>
      <c r="Q23211" s="11"/>
      <c r="R23211" s="11"/>
      <c r="S23211" s="11"/>
      <c r="T23211" s="11"/>
    </row>
    <row r="23212" spans="8:20" x14ac:dyDescent="0.35">
      <c r="H23212" s="711"/>
      <c r="I23212" s="711"/>
      <c r="J23212" s="711"/>
      <c r="K23212" s="711"/>
      <c r="L23212" s="711"/>
      <c r="Q23212" s="11"/>
      <c r="R23212" s="11"/>
      <c r="S23212" s="11"/>
      <c r="T23212" s="11"/>
    </row>
    <row r="23213" spans="8:20" x14ac:dyDescent="0.35">
      <c r="H23213" s="711"/>
      <c r="I23213" s="711"/>
      <c r="J23213" s="711"/>
      <c r="K23213" s="711"/>
      <c r="L23213" s="711"/>
      <c r="Q23213" s="11"/>
      <c r="R23213" s="11"/>
      <c r="S23213" s="11"/>
      <c r="T23213" s="11"/>
    </row>
    <row r="23214" spans="8:20" x14ac:dyDescent="0.35">
      <c r="H23214" s="711"/>
      <c r="I23214" s="711"/>
      <c r="J23214" s="711"/>
      <c r="K23214" s="711"/>
      <c r="L23214" s="711"/>
      <c r="Q23214" s="11"/>
      <c r="R23214" s="11"/>
      <c r="S23214" s="11"/>
      <c r="T23214" s="11"/>
    </row>
    <row r="23215" spans="8:20" x14ac:dyDescent="0.35">
      <c r="H23215" s="711"/>
      <c r="I23215" s="711"/>
      <c r="J23215" s="711"/>
      <c r="K23215" s="711"/>
      <c r="L23215" s="711"/>
      <c r="Q23215" s="11"/>
      <c r="R23215" s="11"/>
      <c r="S23215" s="11"/>
      <c r="T23215" s="11"/>
    </row>
    <row r="23216" spans="8:20" x14ac:dyDescent="0.35">
      <c r="H23216" s="711"/>
      <c r="I23216" s="711"/>
      <c r="J23216" s="711"/>
      <c r="K23216" s="711"/>
      <c r="L23216" s="711"/>
      <c r="Q23216" s="11"/>
      <c r="R23216" s="11"/>
      <c r="S23216" s="11"/>
      <c r="T23216" s="11"/>
    </row>
    <row r="23217" spans="8:20" x14ac:dyDescent="0.35">
      <c r="H23217" s="711"/>
      <c r="I23217" s="711"/>
      <c r="J23217" s="711"/>
      <c r="K23217" s="711"/>
      <c r="L23217" s="711"/>
      <c r="Q23217" s="11"/>
      <c r="R23217" s="11"/>
      <c r="S23217" s="11"/>
      <c r="T23217" s="11"/>
    </row>
    <row r="23218" spans="8:20" x14ac:dyDescent="0.35">
      <c r="H23218" s="711"/>
      <c r="I23218" s="711"/>
      <c r="J23218" s="711"/>
      <c r="K23218" s="711"/>
      <c r="L23218" s="711"/>
      <c r="Q23218" s="11"/>
      <c r="R23218" s="11"/>
      <c r="S23218" s="11"/>
      <c r="T23218" s="11"/>
    </row>
    <row r="23219" spans="8:20" x14ac:dyDescent="0.35">
      <c r="H23219" s="711"/>
      <c r="I23219" s="711"/>
      <c r="J23219" s="711"/>
      <c r="K23219" s="711"/>
      <c r="L23219" s="711"/>
      <c r="Q23219" s="11"/>
      <c r="R23219" s="11"/>
      <c r="S23219" s="11"/>
      <c r="T23219" s="11"/>
    </row>
    <row r="23220" spans="8:20" x14ac:dyDescent="0.35">
      <c r="H23220" s="711"/>
      <c r="I23220" s="711"/>
      <c r="J23220" s="711"/>
      <c r="K23220" s="711"/>
      <c r="L23220" s="711"/>
      <c r="Q23220" s="11"/>
      <c r="R23220" s="11"/>
      <c r="S23220" s="11"/>
      <c r="T23220" s="11"/>
    </row>
    <row r="23221" spans="8:20" x14ac:dyDescent="0.35">
      <c r="H23221" s="711"/>
      <c r="I23221" s="711"/>
      <c r="J23221" s="711"/>
      <c r="K23221" s="711"/>
      <c r="L23221" s="711"/>
      <c r="Q23221" s="11"/>
      <c r="R23221" s="11"/>
      <c r="S23221" s="11"/>
      <c r="T23221" s="11"/>
    </row>
    <row r="23222" spans="8:20" x14ac:dyDescent="0.35">
      <c r="H23222" s="711"/>
      <c r="I23222" s="711"/>
      <c r="J23222" s="711"/>
      <c r="K23222" s="711"/>
      <c r="L23222" s="711"/>
      <c r="Q23222" s="11"/>
      <c r="R23222" s="11"/>
      <c r="S23222" s="11"/>
      <c r="T23222" s="11"/>
    </row>
    <row r="23223" spans="8:20" x14ac:dyDescent="0.35">
      <c r="H23223" s="711"/>
      <c r="I23223" s="711"/>
      <c r="J23223" s="711"/>
      <c r="K23223" s="711"/>
      <c r="L23223" s="711"/>
      <c r="Q23223" s="11"/>
      <c r="R23223" s="11"/>
      <c r="S23223" s="11"/>
      <c r="T23223" s="11"/>
    </row>
    <row r="23224" spans="8:20" x14ac:dyDescent="0.35">
      <c r="H23224" s="711"/>
      <c r="I23224" s="711"/>
      <c r="J23224" s="711"/>
      <c r="K23224" s="711"/>
      <c r="L23224" s="711"/>
      <c r="Q23224" s="11"/>
      <c r="R23224" s="11"/>
      <c r="S23224" s="11"/>
      <c r="T23224" s="11"/>
    </row>
    <row r="23225" spans="8:20" x14ac:dyDescent="0.35">
      <c r="H23225" s="711"/>
      <c r="I23225" s="711"/>
      <c r="J23225" s="711"/>
      <c r="K23225" s="711"/>
      <c r="L23225" s="711"/>
      <c r="Q23225" s="11"/>
      <c r="R23225" s="11"/>
      <c r="S23225" s="11"/>
      <c r="T23225" s="11"/>
    </row>
    <row r="23226" spans="8:20" x14ac:dyDescent="0.35">
      <c r="H23226" s="711"/>
      <c r="I23226" s="711"/>
      <c r="J23226" s="711"/>
      <c r="K23226" s="711"/>
      <c r="L23226" s="711"/>
      <c r="Q23226" s="11"/>
      <c r="R23226" s="11"/>
      <c r="S23226" s="11"/>
      <c r="T23226" s="11"/>
    </row>
    <row r="23227" spans="8:20" x14ac:dyDescent="0.35">
      <c r="H23227" s="711"/>
      <c r="I23227" s="711"/>
      <c r="J23227" s="711"/>
      <c r="K23227" s="711"/>
      <c r="L23227" s="711"/>
      <c r="Q23227" s="11"/>
      <c r="R23227" s="11"/>
      <c r="S23227" s="11"/>
      <c r="T23227" s="11"/>
    </row>
    <row r="23228" spans="8:20" x14ac:dyDescent="0.35">
      <c r="H23228" s="711"/>
      <c r="I23228" s="711"/>
      <c r="J23228" s="711"/>
      <c r="K23228" s="711"/>
      <c r="L23228" s="711"/>
      <c r="Q23228" s="11"/>
      <c r="R23228" s="11"/>
      <c r="S23228" s="11"/>
      <c r="T23228" s="11"/>
    </row>
    <row r="23229" spans="8:20" x14ac:dyDescent="0.35">
      <c r="H23229" s="711"/>
      <c r="I23229" s="711"/>
      <c r="J23229" s="711"/>
      <c r="K23229" s="711"/>
      <c r="L23229" s="711"/>
      <c r="Q23229" s="11"/>
      <c r="R23229" s="11"/>
      <c r="S23229" s="11"/>
      <c r="T23229" s="11"/>
    </row>
    <row r="23230" spans="8:20" x14ac:dyDescent="0.35">
      <c r="H23230" s="711"/>
      <c r="I23230" s="711"/>
      <c r="J23230" s="711"/>
      <c r="K23230" s="711"/>
      <c r="L23230" s="711"/>
      <c r="Q23230" s="11"/>
      <c r="R23230" s="11"/>
      <c r="S23230" s="11"/>
      <c r="T23230" s="11"/>
    </row>
    <row r="23231" spans="8:20" x14ac:dyDescent="0.35">
      <c r="H23231" s="711"/>
      <c r="I23231" s="711"/>
      <c r="J23231" s="711"/>
      <c r="K23231" s="711"/>
      <c r="L23231" s="711"/>
      <c r="Q23231" s="11"/>
      <c r="R23231" s="11"/>
      <c r="S23231" s="11"/>
      <c r="T23231" s="11"/>
    </row>
    <row r="23232" spans="8:20" x14ac:dyDescent="0.35">
      <c r="H23232" s="711"/>
      <c r="I23232" s="711"/>
      <c r="J23232" s="711"/>
      <c r="K23232" s="711"/>
      <c r="L23232" s="711"/>
      <c r="Q23232" s="11"/>
      <c r="R23232" s="11"/>
      <c r="S23232" s="11"/>
      <c r="T23232" s="11"/>
    </row>
    <row r="23233" spans="8:20" x14ac:dyDescent="0.35">
      <c r="H23233" s="711"/>
      <c r="I23233" s="711"/>
      <c r="J23233" s="711"/>
      <c r="K23233" s="711"/>
      <c r="L23233" s="711"/>
      <c r="Q23233" s="11"/>
      <c r="R23233" s="11"/>
      <c r="S23233" s="11"/>
      <c r="T23233" s="11"/>
    </row>
    <row r="23234" spans="8:20" x14ac:dyDescent="0.35">
      <c r="H23234" s="711"/>
      <c r="I23234" s="711"/>
      <c r="J23234" s="711"/>
      <c r="K23234" s="711"/>
      <c r="L23234" s="711"/>
      <c r="Q23234" s="11"/>
      <c r="R23234" s="11"/>
      <c r="S23234" s="11"/>
      <c r="T23234" s="11"/>
    </row>
    <row r="23235" spans="8:20" x14ac:dyDescent="0.35">
      <c r="H23235" s="711"/>
      <c r="I23235" s="711"/>
      <c r="J23235" s="711"/>
      <c r="K23235" s="711"/>
      <c r="L23235" s="711"/>
      <c r="Q23235" s="11"/>
      <c r="R23235" s="11"/>
      <c r="S23235" s="11"/>
      <c r="T23235" s="11"/>
    </row>
    <row r="23236" spans="8:20" x14ac:dyDescent="0.35">
      <c r="H23236" s="711"/>
      <c r="I23236" s="711"/>
      <c r="J23236" s="711"/>
      <c r="K23236" s="711"/>
      <c r="L23236" s="711"/>
      <c r="Q23236" s="11"/>
      <c r="R23236" s="11"/>
      <c r="S23236" s="11"/>
      <c r="T23236" s="11"/>
    </row>
    <row r="23237" spans="8:20" x14ac:dyDescent="0.35">
      <c r="H23237" s="711"/>
      <c r="I23237" s="711"/>
      <c r="J23237" s="711"/>
      <c r="K23237" s="711"/>
      <c r="L23237" s="711"/>
      <c r="Q23237" s="11"/>
      <c r="R23237" s="11"/>
      <c r="S23237" s="11"/>
      <c r="T23237" s="11"/>
    </row>
    <row r="23238" spans="8:20" x14ac:dyDescent="0.35">
      <c r="H23238" s="711"/>
      <c r="I23238" s="711"/>
      <c r="J23238" s="711"/>
      <c r="K23238" s="711"/>
      <c r="L23238" s="711"/>
      <c r="Q23238" s="11"/>
      <c r="R23238" s="11"/>
      <c r="S23238" s="11"/>
      <c r="T23238" s="11"/>
    </row>
    <row r="23239" spans="8:20" x14ac:dyDescent="0.35">
      <c r="H23239" s="711"/>
      <c r="I23239" s="711"/>
      <c r="J23239" s="711"/>
      <c r="K23239" s="711"/>
      <c r="L23239" s="711"/>
      <c r="Q23239" s="11"/>
      <c r="R23239" s="11"/>
      <c r="S23239" s="11"/>
      <c r="T23239" s="11"/>
    </row>
    <row r="23240" spans="8:20" x14ac:dyDescent="0.35">
      <c r="H23240" s="711"/>
      <c r="I23240" s="711"/>
      <c r="J23240" s="711"/>
      <c r="K23240" s="711"/>
      <c r="L23240" s="711"/>
      <c r="Q23240" s="11"/>
      <c r="R23240" s="11"/>
      <c r="S23240" s="11"/>
      <c r="T23240" s="11"/>
    </row>
    <row r="23241" spans="8:20" x14ac:dyDescent="0.35">
      <c r="H23241" s="711"/>
      <c r="I23241" s="711"/>
      <c r="J23241" s="711"/>
      <c r="K23241" s="711"/>
      <c r="L23241" s="711"/>
      <c r="Q23241" s="11"/>
      <c r="R23241" s="11"/>
      <c r="S23241" s="11"/>
      <c r="T23241" s="11"/>
    </row>
    <row r="23242" spans="8:20" x14ac:dyDescent="0.35">
      <c r="H23242" s="711"/>
      <c r="I23242" s="711"/>
      <c r="J23242" s="711"/>
      <c r="K23242" s="711"/>
      <c r="L23242" s="711"/>
      <c r="Q23242" s="11"/>
      <c r="R23242" s="11"/>
      <c r="S23242" s="11"/>
      <c r="T23242" s="11"/>
    </row>
    <row r="23243" spans="8:20" x14ac:dyDescent="0.35">
      <c r="H23243" s="711"/>
      <c r="I23243" s="711"/>
      <c r="J23243" s="711"/>
      <c r="K23243" s="711"/>
      <c r="L23243" s="711"/>
      <c r="Q23243" s="11"/>
      <c r="R23243" s="11"/>
      <c r="S23243" s="11"/>
      <c r="T23243" s="11"/>
    </row>
    <row r="23244" spans="8:20" x14ac:dyDescent="0.35">
      <c r="H23244" s="711"/>
      <c r="I23244" s="711"/>
      <c r="J23244" s="711"/>
      <c r="K23244" s="711"/>
      <c r="L23244" s="711"/>
      <c r="Q23244" s="11"/>
      <c r="R23244" s="11"/>
      <c r="S23244" s="11"/>
      <c r="T23244" s="11"/>
    </row>
    <row r="23245" spans="8:20" x14ac:dyDescent="0.35">
      <c r="H23245" s="711"/>
      <c r="I23245" s="711"/>
      <c r="J23245" s="711"/>
      <c r="K23245" s="711"/>
      <c r="L23245" s="711"/>
      <c r="Q23245" s="11"/>
      <c r="R23245" s="11"/>
      <c r="S23245" s="11"/>
      <c r="T23245" s="11"/>
    </row>
    <row r="23246" spans="8:20" x14ac:dyDescent="0.35">
      <c r="H23246" s="711"/>
      <c r="I23246" s="711"/>
      <c r="J23246" s="711"/>
      <c r="K23246" s="711"/>
      <c r="L23246" s="711"/>
      <c r="Q23246" s="11"/>
      <c r="R23246" s="11"/>
      <c r="S23246" s="11"/>
      <c r="T23246" s="11"/>
    </row>
    <row r="23247" spans="8:20" x14ac:dyDescent="0.35">
      <c r="H23247" s="711"/>
      <c r="I23247" s="711"/>
      <c r="J23247" s="711"/>
      <c r="K23247" s="711"/>
      <c r="L23247" s="711"/>
      <c r="Q23247" s="11"/>
      <c r="R23247" s="11"/>
      <c r="S23247" s="11"/>
      <c r="T23247" s="11"/>
    </row>
    <row r="23248" spans="8:20" x14ac:dyDescent="0.35">
      <c r="H23248" s="711"/>
      <c r="I23248" s="711"/>
      <c r="J23248" s="711"/>
      <c r="K23248" s="711"/>
      <c r="L23248" s="711"/>
      <c r="Q23248" s="11"/>
      <c r="R23248" s="11"/>
      <c r="S23248" s="11"/>
      <c r="T23248" s="11"/>
    </row>
    <row r="23249" spans="8:20" x14ac:dyDescent="0.35">
      <c r="H23249" s="711"/>
      <c r="I23249" s="711"/>
      <c r="J23249" s="711"/>
      <c r="K23249" s="711"/>
      <c r="L23249" s="711"/>
      <c r="Q23249" s="11"/>
      <c r="R23249" s="11"/>
      <c r="S23249" s="11"/>
      <c r="T23249" s="11"/>
    </row>
    <row r="23250" spans="8:20" x14ac:dyDescent="0.35">
      <c r="H23250" s="711"/>
      <c r="I23250" s="711"/>
      <c r="J23250" s="711"/>
      <c r="K23250" s="711"/>
      <c r="L23250" s="711"/>
      <c r="Q23250" s="11"/>
      <c r="R23250" s="11"/>
      <c r="S23250" s="11"/>
      <c r="T23250" s="11"/>
    </row>
    <row r="23251" spans="8:20" x14ac:dyDescent="0.35">
      <c r="H23251" s="711"/>
      <c r="I23251" s="711"/>
      <c r="J23251" s="711"/>
      <c r="K23251" s="711"/>
      <c r="L23251" s="711"/>
      <c r="Q23251" s="11"/>
      <c r="R23251" s="11"/>
      <c r="S23251" s="11"/>
      <c r="T23251" s="11"/>
    </row>
    <row r="23252" spans="8:20" x14ac:dyDescent="0.35">
      <c r="H23252" s="711"/>
      <c r="I23252" s="711"/>
      <c r="J23252" s="711"/>
      <c r="K23252" s="711"/>
      <c r="L23252" s="711"/>
      <c r="Q23252" s="11"/>
      <c r="R23252" s="11"/>
      <c r="S23252" s="11"/>
      <c r="T23252" s="11"/>
    </row>
    <row r="23253" spans="8:20" x14ac:dyDescent="0.35">
      <c r="H23253" s="711"/>
      <c r="I23253" s="711"/>
      <c r="J23253" s="711"/>
      <c r="K23253" s="711"/>
      <c r="L23253" s="711"/>
      <c r="Q23253" s="11"/>
      <c r="R23253" s="11"/>
      <c r="S23253" s="11"/>
      <c r="T23253" s="11"/>
    </row>
    <row r="23254" spans="8:20" x14ac:dyDescent="0.35">
      <c r="H23254" s="711"/>
      <c r="I23254" s="711"/>
      <c r="J23254" s="711"/>
      <c r="K23254" s="711"/>
      <c r="L23254" s="711"/>
      <c r="Q23254" s="11"/>
      <c r="R23254" s="11"/>
      <c r="S23254" s="11"/>
      <c r="T23254" s="11"/>
    </row>
    <row r="23255" spans="8:20" x14ac:dyDescent="0.35">
      <c r="H23255" s="711"/>
      <c r="I23255" s="711"/>
      <c r="J23255" s="711"/>
      <c r="K23255" s="711"/>
      <c r="L23255" s="711"/>
      <c r="Q23255" s="11"/>
      <c r="R23255" s="11"/>
      <c r="S23255" s="11"/>
      <c r="T23255" s="11"/>
    </row>
    <row r="23256" spans="8:20" x14ac:dyDescent="0.35">
      <c r="H23256" s="711"/>
      <c r="I23256" s="711"/>
      <c r="J23256" s="711"/>
      <c r="K23256" s="711"/>
      <c r="L23256" s="711"/>
      <c r="Q23256" s="11"/>
      <c r="R23256" s="11"/>
      <c r="S23256" s="11"/>
      <c r="T23256" s="11"/>
    </row>
    <row r="23257" spans="8:20" x14ac:dyDescent="0.35">
      <c r="H23257" s="711"/>
      <c r="I23257" s="711"/>
      <c r="J23257" s="711"/>
      <c r="K23257" s="711"/>
      <c r="L23257" s="711"/>
      <c r="Q23257" s="11"/>
      <c r="R23257" s="11"/>
      <c r="S23257" s="11"/>
      <c r="T23257" s="11"/>
    </row>
    <row r="23258" spans="8:20" x14ac:dyDescent="0.35">
      <c r="H23258" s="711"/>
      <c r="I23258" s="711"/>
      <c r="J23258" s="711"/>
      <c r="K23258" s="711"/>
      <c r="L23258" s="711"/>
      <c r="Q23258" s="11"/>
      <c r="R23258" s="11"/>
      <c r="S23258" s="11"/>
      <c r="T23258" s="11"/>
    </row>
    <row r="23259" spans="8:20" x14ac:dyDescent="0.35">
      <c r="H23259" s="711"/>
      <c r="I23259" s="711"/>
      <c r="J23259" s="711"/>
      <c r="K23259" s="711"/>
      <c r="L23259" s="711"/>
      <c r="Q23259" s="11"/>
      <c r="R23259" s="11"/>
      <c r="S23259" s="11"/>
      <c r="T23259" s="11"/>
    </row>
    <row r="23260" spans="8:20" x14ac:dyDescent="0.35">
      <c r="H23260" s="711"/>
      <c r="I23260" s="711"/>
      <c r="J23260" s="711"/>
      <c r="K23260" s="711"/>
      <c r="L23260" s="711"/>
      <c r="Q23260" s="11"/>
      <c r="R23260" s="11"/>
      <c r="S23260" s="11"/>
      <c r="T23260" s="11"/>
    </row>
    <row r="23261" spans="8:20" x14ac:dyDescent="0.35">
      <c r="H23261" s="711"/>
      <c r="I23261" s="711"/>
      <c r="J23261" s="711"/>
      <c r="K23261" s="711"/>
      <c r="L23261" s="711"/>
      <c r="Q23261" s="11"/>
      <c r="R23261" s="11"/>
      <c r="S23261" s="11"/>
      <c r="T23261" s="11"/>
    </row>
    <row r="23262" spans="8:20" x14ac:dyDescent="0.35">
      <c r="H23262" s="711"/>
      <c r="I23262" s="711"/>
      <c r="J23262" s="711"/>
      <c r="K23262" s="711"/>
      <c r="L23262" s="711"/>
      <c r="Q23262" s="11"/>
      <c r="R23262" s="11"/>
      <c r="S23262" s="11"/>
      <c r="T23262" s="11"/>
    </row>
    <row r="23263" spans="8:20" x14ac:dyDescent="0.35">
      <c r="H23263" s="711"/>
      <c r="I23263" s="711"/>
      <c r="J23263" s="711"/>
      <c r="K23263" s="711"/>
      <c r="L23263" s="711"/>
      <c r="Q23263" s="11"/>
      <c r="R23263" s="11"/>
      <c r="S23263" s="11"/>
      <c r="T23263" s="11"/>
    </row>
    <row r="23264" spans="8:20" x14ac:dyDescent="0.35">
      <c r="H23264" s="711"/>
      <c r="I23264" s="711"/>
      <c r="J23264" s="711"/>
      <c r="K23264" s="711"/>
      <c r="L23264" s="711"/>
      <c r="Q23264" s="11"/>
      <c r="R23264" s="11"/>
      <c r="S23264" s="11"/>
      <c r="T23264" s="11"/>
    </row>
    <row r="23265" spans="8:20" x14ac:dyDescent="0.35">
      <c r="H23265" s="711"/>
      <c r="I23265" s="711"/>
      <c r="J23265" s="711"/>
      <c r="K23265" s="711"/>
      <c r="L23265" s="711"/>
      <c r="Q23265" s="11"/>
      <c r="R23265" s="11"/>
      <c r="S23265" s="11"/>
      <c r="T23265" s="11"/>
    </row>
    <row r="23266" spans="8:20" x14ac:dyDescent="0.35">
      <c r="H23266" s="711"/>
      <c r="I23266" s="711"/>
      <c r="J23266" s="711"/>
      <c r="K23266" s="711"/>
      <c r="L23266" s="711"/>
      <c r="Q23266" s="11"/>
      <c r="R23266" s="11"/>
      <c r="S23266" s="11"/>
      <c r="T23266" s="11"/>
    </row>
    <row r="23267" spans="8:20" x14ac:dyDescent="0.35">
      <c r="H23267" s="711"/>
      <c r="I23267" s="711"/>
      <c r="J23267" s="711"/>
      <c r="K23267" s="711"/>
      <c r="L23267" s="711"/>
      <c r="Q23267" s="11"/>
      <c r="R23267" s="11"/>
      <c r="S23267" s="11"/>
      <c r="T23267" s="11"/>
    </row>
    <row r="23268" spans="8:20" x14ac:dyDescent="0.35">
      <c r="H23268" s="711"/>
      <c r="I23268" s="711"/>
      <c r="J23268" s="711"/>
      <c r="K23268" s="711"/>
      <c r="L23268" s="711"/>
      <c r="Q23268" s="11"/>
      <c r="R23268" s="11"/>
      <c r="S23268" s="11"/>
      <c r="T23268" s="11"/>
    </row>
    <row r="23269" spans="8:20" x14ac:dyDescent="0.35">
      <c r="H23269" s="711"/>
      <c r="I23269" s="711"/>
      <c r="J23269" s="711"/>
      <c r="K23269" s="711"/>
      <c r="L23269" s="711"/>
      <c r="Q23269" s="11"/>
      <c r="R23269" s="11"/>
      <c r="S23269" s="11"/>
      <c r="T23269" s="11"/>
    </row>
    <row r="23270" spans="8:20" x14ac:dyDescent="0.35">
      <c r="H23270" s="711"/>
      <c r="I23270" s="711"/>
      <c r="J23270" s="711"/>
      <c r="K23270" s="711"/>
      <c r="L23270" s="711"/>
      <c r="Q23270" s="11"/>
      <c r="R23270" s="11"/>
      <c r="S23270" s="11"/>
      <c r="T23270" s="11"/>
    </row>
    <row r="23271" spans="8:20" x14ac:dyDescent="0.35">
      <c r="H23271" s="711"/>
      <c r="I23271" s="711"/>
      <c r="J23271" s="711"/>
      <c r="K23271" s="711"/>
      <c r="L23271" s="711"/>
      <c r="Q23271" s="11"/>
      <c r="R23271" s="11"/>
      <c r="S23271" s="11"/>
      <c r="T23271" s="11"/>
    </row>
    <row r="23272" spans="8:20" x14ac:dyDescent="0.35">
      <c r="H23272" s="711"/>
      <c r="I23272" s="711"/>
      <c r="J23272" s="711"/>
      <c r="K23272" s="711"/>
      <c r="L23272" s="711"/>
      <c r="Q23272" s="11"/>
      <c r="R23272" s="11"/>
      <c r="S23272" s="11"/>
      <c r="T23272" s="11"/>
    </row>
    <row r="23273" spans="8:20" x14ac:dyDescent="0.35">
      <c r="H23273" s="711"/>
      <c r="I23273" s="711"/>
      <c r="J23273" s="711"/>
      <c r="K23273" s="711"/>
      <c r="L23273" s="711"/>
      <c r="Q23273" s="11"/>
      <c r="R23273" s="11"/>
      <c r="S23273" s="11"/>
      <c r="T23273" s="11"/>
    </row>
    <row r="23274" spans="8:20" x14ac:dyDescent="0.35">
      <c r="H23274" s="711"/>
      <c r="I23274" s="711"/>
      <c r="J23274" s="711"/>
      <c r="K23274" s="711"/>
      <c r="L23274" s="711"/>
      <c r="Q23274" s="11"/>
      <c r="R23274" s="11"/>
      <c r="S23274" s="11"/>
      <c r="T23274" s="11"/>
    </row>
    <row r="23275" spans="8:20" x14ac:dyDescent="0.35">
      <c r="H23275" s="711"/>
      <c r="I23275" s="711"/>
      <c r="J23275" s="711"/>
      <c r="K23275" s="711"/>
      <c r="L23275" s="711"/>
      <c r="Q23275" s="11"/>
      <c r="R23275" s="11"/>
      <c r="S23275" s="11"/>
      <c r="T23275" s="11"/>
    </row>
    <row r="23276" spans="8:20" x14ac:dyDescent="0.35">
      <c r="H23276" s="711"/>
      <c r="I23276" s="711"/>
      <c r="J23276" s="711"/>
      <c r="K23276" s="711"/>
      <c r="L23276" s="711"/>
      <c r="Q23276" s="11"/>
      <c r="R23276" s="11"/>
      <c r="S23276" s="11"/>
      <c r="T23276" s="11"/>
    </row>
    <row r="23277" spans="8:20" x14ac:dyDescent="0.35">
      <c r="H23277" s="711"/>
      <c r="I23277" s="711"/>
      <c r="J23277" s="711"/>
      <c r="K23277" s="711"/>
      <c r="L23277" s="711"/>
      <c r="Q23277" s="11"/>
      <c r="R23277" s="11"/>
      <c r="S23277" s="11"/>
      <c r="T23277" s="11"/>
    </row>
    <row r="23278" spans="8:20" x14ac:dyDescent="0.35">
      <c r="H23278" s="711"/>
      <c r="I23278" s="711"/>
      <c r="J23278" s="711"/>
      <c r="K23278" s="711"/>
      <c r="L23278" s="711"/>
      <c r="Q23278" s="11"/>
      <c r="R23278" s="11"/>
      <c r="S23278" s="11"/>
      <c r="T23278" s="11"/>
    </row>
    <row r="23279" spans="8:20" x14ac:dyDescent="0.35">
      <c r="H23279" s="711"/>
      <c r="I23279" s="711"/>
      <c r="J23279" s="711"/>
      <c r="K23279" s="711"/>
      <c r="L23279" s="711"/>
      <c r="Q23279" s="11"/>
      <c r="R23279" s="11"/>
      <c r="S23279" s="11"/>
      <c r="T23279" s="11"/>
    </row>
    <row r="23280" spans="8:20" x14ac:dyDescent="0.35">
      <c r="H23280" s="711"/>
      <c r="I23280" s="711"/>
      <c r="J23280" s="711"/>
      <c r="K23280" s="711"/>
      <c r="L23280" s="711"/>
      <c r="Q23280" s="11"/>
      <c r="R23280" s="11"/>
      <c r="S23280" s="11"/>
      <c r="T23280" s="11"/>
    </row>
    <row r="23281" spans="8:20" x14ac:dyDescent="0.35">
      <c r="H23281" s="711"/>
      <c r="I23281" s="711"/>
      <c r="J23281" s="711"/>
      <c r="K23281" s="711"/>
      <c r="L23281" s="711"/>
      <c r="Q23281" s="11"/>
      <c r="R23281" s="11"/>
      <c r="S23281" s="11"/>
      <c r="T23281" s="11"/>
    </row>
    <row r="23282" spans="8:20" x14ac:dyDescent="0.35">
      <c r="H23282" s="711"/>
      <c r="I23282" s="711"/>
      <c r="J23282" s="711"/>
      <c r="K23282" s="711"/>
      <c r="L23282" s="711"/>
      <c r="Q23282" s="11"/>
      <c r="R23282" s="11"/>
      <c r="S23282" s="11"/>
      <c r="T23282" s="11"/>
    </row>
    <row r="23283" spans="8:20" x14ac:dyDescent="0.35">
      <c r="H23283" s="711"/>
      <c r="I23283" s="711"/>
      <c r="J23283" s="711"/>
      <c r="K23283" s="711"/>
      <c r="L23283" s="711"/>
      <c r="Q23283" s="11"/>
      <c r="R23283" s="11"/>
      <c r="S23283" s="11"/>
      <c r="T23283" s="11"/>
    </row>
    <row r="23284" spans="8:20" x14ac:dyDescent="0.35">
      <c r="H23284" s="711"/>
      <c r="I23284" s="711"/>
      <c r="J23284" s="711"/>
      <c r="K23284" s="711"/>
      <c r="L23284" s="711"/>
      <c r="Q23284" s="11"/>
      <c r="R23284" s="11"/>
      <c r="S23284" s="11"/>
      <c r="T23284" s="11"/>
    </row>
    <row r="23285" spans="8:20" x14ac:dyDescent="0.35">
      <c r="H23285" s="711"/>
      <c r="I23285" s="711"/>
      <c r="J23285" s="711"/>
      <c r="K23285" s="711"/>
      <c r="L23285" s="711"/>
      <c r="Q23285" s="11"/>
      <c r="R23285" s="11"/>
      <c r="S23285" s="11"/>
      <c r="T23285" s="11"/>
    </row>
    <row r="23286" spans="8:20" x14ac:dyDescent="0.35">
      <c r="H23286" s="711"/>
      <c r="I23286" s="711"/>
      <c r="J23286" s="711"/>
      <c r="K23286" s="711"/>
      <c r="L23286" s="711"/>
      <c r="Q23286" s="11"/>
      <c r="R23286" s="11"/>
      <c r="S23286" s="11"/>
      <c r="T23286" s="11"/>
    </row>
    <row r="23287" spans="8:20" x14ac:dyDescent="0.35">
      <c r="H23287" s="711"/>
      <c r="I23287" s="711"/>
      <c r="J23287" s="711"/>
      <c r="K23287" s="711"/>
      <c r="L23287" s="711"/>
      <c r="Q23287" s="11"/>
      <c r="R23287" s="11"/>
      <c r="S23287" s="11"/>
      <c r="T23287" s="11"/>
    </row>
    <row r="23288" spans="8:20" x14ac:dyDescent="0.35">
      <c r="H23288" s="711"/>
      <c r="I23288" s="711"/>
      <c r="J23288" s="711"/>
      <c r="K23288" s="711"/>
      <c r="L23288" s="711"/>
      <c r="Q23288" s="11"/>
      <c r="R23288" s="11"/>
      <c r="S23288" s="11"/>
      <c r="T23288" s="11"/>
    </row>
    <row r="23289" spans="8:20" x14ac:dyDescent="0.35">
      <c r="H23289" s="711"/>
      <c r="I23289" s="711"/>
      <c r="J23289" s="711"/>
      <c r="K23289" s="711"/>
      <c r="L23289" s="711"/>
      <c r="Q23289" s="11"/>
      <c r="R23289" s="11"/>
      <c r="S23289" s="11"/>
      <c r="T23289" s="11"/>
    </row>
    <row r="23290" spans="8:20" x14ac:dyDescent="0.35">
      <c r="H23290" s="711"/>
      <c r="I23290" s="711"/>
      <c r="J23290" s="711"/>
      <c r="K23290" s="711"/>
      <c r="L23290" s="711"/>
      <c r="Q23290" s="11"/>
      <c r="R23290" s="11"/>
      <c r="S23290" s="11"/>
      <c r="T23290" s="11"/>
    </row>
    <row r="23291" spans="8:20" x14ac:dyDescent="0.35">
      <c r="H23291" s="711"/>
      <c r="I23291" s="711"/>
      <c r="J23291" s="711"/>
      <c r="K23291" s="711"/>
      <c r="L23291" s="711"/>
      <c r="Q23291" s="11"/>
      <c r="R23291" s="11"/>
      <c r="S23291" s="11"/>
      <c r="T23291" s="11"/>
    </row>
    <row r="23292" spans="8:20" x14ac:dyDescent="0.35">
      <c r="H23292" s="711"/>
      <c r="I23292" s="711"/>
      <c r="J23292" s="711"/>
      <c r="K23292" s="711"/>
      <c r="L23292" s="711"/>
      <c r="Q23292" s="11"/>
      <c r="R23292" s="11"/>
      <c r="S23292" s="11"/>
      <c r="T23292" s="11"/>
    </row>
    <row r="23293" spans="8:20" x14ac:dyDescent="0.35">
      <c r="H23293" s="711"/>
      <c r="I23293" s="711"/>
      <c r="J23293" s="711"/>
      <c r="K23293" s="711"/>
      <c r="L23293" s="711"/>
      <c r="Q23293" s="11"/>
      <c r="R23293" s="11"/>
      <c r="S23293" s="11"/>
      <c r="T23293" s="11"/>
    </row>
    <row r="23294" spans="8:20" x14ac:dyDescent="0.35">
      <c r="H23294" s="711"/>
      <c r="I23294" s="711"/>
      <c r="J23294" s="711"/>
      <c r="K23294" s="711"/>
      <c r="L23294" s="711"/>
      <c r="Q23294" s="11"/>
      <c r="R23294" s="11"/>
      <c r="S23294" s="11"/>
      <c r="T23294" s="11"/>
    </row>
    <row r="23295" spans="8:20" x14ac:dyDescent="0.35">
      <c r="H23295" s="711"/>
      <c r="I23295" s="711"/>
      <c r="J23295" s="711"/>
      <c r="K23295" s="711"/>
      <c r="L23295" s="711"/>
      <c r="Q23295" s="11"/>
      <c r="R23295" s="11"/>
      <c r="S23295" s="11"/>
      <c r="T23295" s="11"/>
    </row>
    <row r="23296" spans="8:20" x14ac:dyDescent="0.35">
      <c r="H23296" s="711"/>
      <c r="I23296" s="711"/>
      <c r="J23296" s="711"/>
      <c r="K23296" s="711"/>
      <c r="L23296" s="711"/>
      <c r="Q23296" s="11"/>
      <c r="R23296" s="11"/>
      <c r="S23296" s="11"/>
      <c r="T23296" s="11"/>
    </row>
    <row r="23297" spans="8:20" x14ac:dyDescent="0.35">
      <c r="H23297" s="711"/>
      <c r="I23297" s="711"/>
      <c r="J23297" s="711"/>
      <c r="K23297" s="711"/>
      <c r="L23297" s="711"/>
      <c r="Q23297" s="11"/>
      <c r="R23297" s="11"/>
      <c r="S23297" s="11"/>
      <c r="T23297" s="11"/>
    </row>
    <row r="23298" spans="8:20" x14ac:dyDescent="0.35">
      <c r="H23298" s="711"/>
      <c r="I23298" s="711"/>
      <c r="J23298" s="711"/>
      <c r="K23298" s="711"/>
      <c r="L23298" s="711"/>
      <c r="Q23298" s="11"/>
      <c r="R23298" s="11"/>
      <c r="S23298" s="11"/>
      <c r="T23298" s="11"/>
    </row>
    <row r="23299" spans="8:20" x14ac:dyDescent="0.35">
      <c r="H23299" s="711"/>
      <c r="I23299" s="711"/>
      <c r="J23299" s="711"/>
      <c r="K23299" s="711"/>
      <c r="L23299" s="711"/>
      <c r="Q23299" s="11"/>
      <c r="R23299" s="11"/>
      <c r="S23299" s="11"/>
      <c r="T23299" s="11"/>
    </row>
    <row r="23300" spans="8:20" x14ac:dyDescent="0.35">
      <c r="H23300" s="711"/>
      <c r="I23300" s="711"/>
      <c r="J23300" s="711"/>
      <c r="K23300" s="711"/>
      <c r="L23300" s="711"/>
      <c r="Q23300" s="11"/>
      <c r="R23300" s="11"/>
      <c r="S23300" s="11"/>
      <c r="T23300" s="11"/>
    </row>
    <row r="23301" spans="8:20" x14ac:dyDescent="0.35">
      <c r="H23301" s="711"/>
      <c r="I23301" s="711"/>
      <c r="J23301" s="711"/>
      <c r="K23301" s="711"/>
      <c r="L23301" s="711"/>
      <c r="Q23301" s="11"/>
      <c r="R23301" s="11"/>
      <c r="S23301" s="11"/>
      <c r="T23301" s="11"/>
    </row>
    <row r="23302" spans="8:20" x14ac:dyDescent="0.35">
      <c r="H23302" s="711"/>
      <c r="I23302" s="711"/>
      <c r="J23302" s="711"/>
      <c r="K23302" s="711"/>
      <c r="L23302" s="711"/>
      <c r="Q23302" s="11"/>
      <c r="R23302" s="11"/>
      <c r="S23302" s="11"/>
      <c r="T23302" s="11"/>
    </row>
    <row r="23303" spans="8:20" x14ac:dyDescent="0.35">
      <c r="H23303" s="711"/>
      <c r="I23303" s="711"/>
      <c r="J23303" s="711"/>
      <c r="K23303" s="711"/>
      <c r="L23303" s="711"/>
      <c r="Q23303" s="11"/>
      <c r="R23303" s="11"/>
      <c r="S23303" s="11"/>
      <c r="T23303" s="11"/>
    </row>
    <row r="23304" spans="8:20" x14ac:dyDescent="0.35">
      <c r="H23304" s="711"/>
      <c r="I23304" s="711"/>
      <c r="J23304" s="711"/>
      <c r="K23304" s="711"/>
      <c r="L23304" s="711"/>
      <c r="Q23304" s="11"/>
      <c r="R23304" s="11"/>
      <c r="S23304" s="11"/>
      <c r="T23304" s="11"/>
    </row>
    <row r="23305" spans="8:20" x14ac:dyDescent="0.35">
      <c r="H23305" s="711"/>
      <c r="I23305" s="711"/>
      <c r="J23305" s="711"/>
      <c r="K23305" s="711"/>
      <c r="L23305" s="711"/>
      <c r="Q23305" s="11"/>
      <c r="R23305" s="11"/>
      <c r="S23305" s="11"/>
      <c r="T23305" s="11"/>
    </row>
    <row r="23306" spans="8:20" x14ac:dyDescent="0.35">
      <c r="H23306" s="711"/>
      <c r="I23306" s="711"/>
      <c r="J23306" s="711"/>
      <c r="K23306" s="711"/>
      <c r="L23306" s="711"/>
      <c r="Q23306" s="11"/>
      <c r="R23306" s="11"/>
      <c r="S23306" s="11"/>
      <c r="T23306" s="11"/>
    </row>
    <row r="23307" spans="8:20" x14ac:dyDescent="0.35">
      <c r="H23307" s="711"/>
      <c r="I23307" s="711"/>
      <c r="J23307" s="711"/>
      <c r="K23307" s="711"/>
      <c r="L23307" s="711"/>
      <c r="Q23307" s="11"/>
      <c r="R23307" s="11"/>
      <c r="S23307" s="11"/>
      <c r="T23307" s="11"/>
    </row>
    <row r="23308" spans="8:20" x14ac:dyDescent="0.35">
      <c r="H23308" s="711"/>
      <c r="I23308" s="711"/>
      <c r="J23308" s="711"/>
      <c r="K23308" s="711"/>
      <c r="L23308" s="711"/>
      <c r="Q23308" s="11"/>
      <c r="R23308" s="11"/>
      <c r="S23308" s="11"/>
      <c r="T23308" s="11"/>
    </row>
    <row r="23309" spans="8:20" x14ac:dyDescent="0.35">
      <c r="H23309" s="711"/>
      <c r="I23309" s="711"/>
      <c r="J23309" s="711"/>
      <c r="K23309" s="711"/>
      <c r="L23309" s="711"/>
      <c r="Q23309" s="11"/>
      <c r="R23309" s="11"/>
      <c r="S23309" s="11"/>
      <c r="T23309" s="11"/>
    </row>
    <row r="23310" spans="8:20" x14ac:dyDescent="0.35">
      <c r="H23310" s="711"/>
      <c r="I23310" s="711"/>
      <c r="J23310" s="711"/>
      <c r="K23310" s="711"/>
      <c r="L23310" s="711"/>
      <c r="Q23310" s="11"/>
      <c r="R23310" s="11"/>
      <c r="S23310" s="11"/>
      <c r="T23310" s="11"/>
    </row>
    <row r="23311" spans="8:20" x14ac:dyDescent="0.35">
      <c r="H23311" s="711"/>
      <c r="I23311" s="711"/>
      <c r="J23311" s="711"/>
      <c r="K23311" s="711"/>
      <c r="L23311" s="711"/>
      <c r="Q23311" s="11"/>
      <c r="R23311" s="11"/>
      <c r="S23311" s="11"/>
      <c r="T23311" s="11"/>
    </row>
    <row r="23312" spans="8:20" x14ac:dyDescent="0.35">
      <c r="H23312" s="711"/>
      <c r="I23312" s="711"/>
      <c r="J23312" s="711"/>
      <c r="K23312" s="711"/>
      <c r="L23312" s="711"/>
      <c r="Q23312" s="11"/>
      <c r="R23312" s="11"/>
      <c r="S23312" s="11"/>
      <c r="T23312" s="11"/>
    </row>
    <row r="23313" spans="8:20" x14ac:dyDescent="0.35">
      <c r="H23313" s="711"/>
      <c r="I23313" s="711"/>
      <c r="J23313" s="711"/>
      <c r="K23313" s="711"/>
      <c r="L23313" s="711"/>
      <c r="Q23313" s="11"/>
      <c r="R23313" s="11"/>
      <c r="S23313" s="11"/>
      <c r="T23313" s="11"/>
    </row>
    <row r="23314" spans="8:20" x14ac:dyDescent="0.35">
      <c r="H23314" s="711"/>
      <c r="I23314" s="711"/>
      <c r="J23314" s="711"/>
      <c r="K23314" s="711"/>
      <c r="L23314" s="711"/>
      <c r="Q23314" s="11"/>
      <c r="R23314" s="11"/>
      <c r="S23314" s="11"/>
      <c r="T23314" s="11"/>
    </row>
    <row r="23315" spans="8:20" x14ac:dyDescent="0.35">
      <c r="H23315" s="711"/>
      <c r="I23315" s="711"/>
      <c r="J23315" s="711"/>
      <c r="K23315" s="711"/>
      <c r="L23315" s="711"/>
      <c r="Q23315" s="11"/>
      <c r="R23315" s="11"/>
      <c r="S23315" s="11"/>
      <c r="T23315" s="11"/>
    </row>
    <row r="23316" spans="8:20" x14ac:dyDescent="0.35">
      <c r="H23316" s="711"/>
      <c r="I23316" s="711"/>
      <c r="J23316" s="711"/>
      <c r="K23316" s="711"/>
      <c r="L23316" s="711"/>
      <c r="Q23316" s="11"/>
      <c r="R23316" s="11"/>
      <c r="S23316" s="11"/>
      <c r="T23316" s="11"/>
    </row>
    <row r="23317" spans="8:20" x14ac:dyDescent="0.35">
      <c r="H23317" s="711"/>
      <c r="I23317" s="711"/>
      <c r="J23317" s="711"/>
      <c r="K23317" s="711"/>
      <c r="L23317" s="711"/>
      <c r="Q23317" s="11"/>
      <c r="R23317" s="11"/>
      <c r="S23317" s="11"/>
      <c r="T23317" s="11"/>
    </row>
    <row r="23318" spans="8:20" x14ac:dyDescent="0.35">
      <c r="H23318" s="711"/>
      <c r="I23318" s="711"/>
      <c r="J23318" s="711"/>
      <c r="K23318" s="711"/>
      <c r="L23318" s="711"/>
      <c r="Q23318" s="11"/>
      <c r="R23318" s="11"/>
      <c r="S23318" s="11"/>
      <c r="T23318" s="11"/>
    </row>
    <row r="23319" spans="8:20" x14ac:dyDescent="0.35">
      <c r="H23319" s="711"/>
      <c r="I23319" s="711"/>
      <c r="J23319" s="711"/>
      <c r="K23319" s="711"/>
      <c r="L23319" s="711"/>
      <c r="Q23319" s="11"/>
      <c r="R23319" s="11"/>
      <c r="S23319" s="11"/>
      <c r="T23319" s="11"/>
    </row>
    <row r="23320" spans="8:20" x14ac:dyDescent="0.35">
      <c r="H23320" s="711"/>
      <c r="I23320" s="711"/>
      <c r="J23320" s="711"/>
      <c r="K23320" s="711"/>
      <c r="L23320" s="711"/>
      <c r="Q23320" s="11"/>
      <c r="R23320" s="11"/>
      <c r="S23320" s="11"/>
      <c r="T23320" s="11"/>
    </row>
    <row r="23321" spans="8:20" x14ac:dyDescent="0.35">
      <c r="H23321" s="711"/>
      <c r="I23321" s="711"/>
      <c r="J23321" s="711"/>
      <c r="K23321" s="711"/>
      <c r="L23321" s="711"/>
      <c r="Q23321" s="11"/>
      <c r="R23321" s="11"/>
      <c r="S23321" s="11"/>
      <c r="T23321" s="11"/>
    </row>
    <row r="23322" spans="8:20" x14ac:dyDescent="0.35">
      <c r="H23322" s="711"/>
      <c r="I23322" s="711"/>
      <c r="J23322" s="711"/>
      <c r="K23322" s="711"/>
      <c r="L23322" s="711"/>
      <c r="Q23322" s="11"/>
      <c r="R23322" s="11"/>
      <c r="S23322" s="11"/>
      <c r="T23322" s="11"/>
    </row>
    <row r="23323" spans="8:20" x14ac:dyDescent="0.35">
      <c r="H23323" s="711"/>
      <c r="I23323" s="711"/>
      <c r="J23323" s="711"/>
      <c r="K23323" s="711"/>
      <c r="L23323" s="711"/>
      <c r="Q23323" s="11"/>
      <c r="R23323" s="11"/>
      <c r="S23323" s="11"/>
      <c r="T23323" s="11"/>
    </row>
    <row r="23324" spans="8:20" x14ac:dyDescent="0.35">
      <c r="H23324" s="711"/>
      <c r="I23324" s="711"/>
      <c r="J23324" s="711"/>
      <c r="K23324" s="711"/>
      <c r="L23324" s="711"/>
      <c r="Q23324" s="11"/>
      <c r="R23324" s="11"/>
      <c r="S23324" s="11"/>
      <c r="T23324" s="11"/>
    </row>
    <row r="23325" spans="8:20" x14ac:dyDescent="0.35">
      <c r="H23325" s="711"/>
      <c r="I23325" s="711"/>
      <c r="J23325" s="711"/>
      <c r="K23325" s="711"/>
      <c r="L23325" s="711"/>
      <c r="Q23325" s="11"/>
      <c r="R23325" s="11"/>
      <c r="S23325" s="11"/>
      <c r="T23325" s="11"/>
    </row>
    <row r="23326" spans="8:20" x14ac:dyDescent="0.35">
      <c r="H23326" s="711"/>
      <c r="I23326" s="711"/>
      <c r="J23326" s="711"/>
      <c r="K23326" s="711"/>
      <c r="L23326" s="711"/>
      <c r="Q23326" s="11"/>
      <c r="R23326" s="11"/>
      <c r="S23326" s="11"/>
      <c r="T23326" s="11"/>
    </row>
    <row r="23327" spans="8:20" x14ac:dyDescent="0.35">
      <c r="H23327" s="711"/>
      <c r="I23327" s="711"/>
      <c r="J23327" s="711"/>
      <c r="K23327" s="711"/>
      <c r="L23327" s="711"/>
      <c r="Q23327" s="11"/>
      <c r="R23327" s="11"/>
      <c r="S23327" s="11"/>
      <c r="T23327" s="11"/>
    </row>
    <row r="23328" spans="8:20" x14ac:dyDescent="0.35">
      <c r="H23328" s="711"/>
      <c r="I23328" s="711"/>
      <c r="J23328" s="711"/>
      <c r="K23328" s="711"/>
      <c r="L23328" s="711"/>
      <c r="Q23328" s="11"/>
      <c r="R23328" s="11"/>
      <c r="S23328" s="11"/>
      <c r="T23328" s="11"/>
    </row>
    <row r="23329" spans="8:20" x14ac:dyDescent="0.35">
      <c r="H23329" s="711"/>
      <c r="I23329" s="711"/>
      <c r="J23329" s="711"/>
      <c r="K23329" s="711"/>
      <c r="L23329" s="711"/>
      <c r="Q23329" s="11"/>
      <c r="R23329" s="11"/>
      <c r="S23329" s="11"/>
      <c r="T23329" s="11"/>
    </row>
    <row r="23330" spans="8:20" x14ac:dyDescent="0.35">
      <c r="H23330" s="711"/>
      <c r="I23330" s="711"/>
      <c r="J23330" s="711"/>
      <c r="K23330" s="711"/>
      <c r="L23330" s="711"/>
      <c r="Q23330" s="11"/>
      <c r="R23330" s="11"/>
      <c r="S23330" s="11"/>
      <c r="T23330" s="11"/>
    </row>
    <row r="23331" spans="8:20" x14ac:dyDescent="0.35">
      <c r="H23331" s="711"/>
      <c r="I23331" s="711"/>
      <c r="J23331" s="711"/>
      <c r="K23331" s="711"/>
      <c r="L23331" s="711"/>
      <c r="Q23331" s="11"/>
      <c r="R23331" s="11"/>
      <c r="S23331" s="11"/>
      <c r="T23331" s="11"/>
    </row>
    <row r="23332" spans="8:20" x14ac:dyDescent="0.35">
      <c r="H23332" s="711"/>
      <c r="I23332" s="711"/>
      <c r="J23332" s="711"/>
      <c r="K23332" s="711"/>
      <c r="L23332" s="711"/>
      <c r="Q23332" s="11"/>
      <c r="R23332" s="11"/>
      <c r="S23332" s="11"/>
      <c r="T23332" s="11"/>
    </row>
    <row r="23333" spans="8:20" x14ac:dyDescent="0.35">
      <c r="H23333" s="711"/>
      <c r="I23333" s="711"/>
      <c r="J23333" s="711"/>
      <c r="K23333" s="711"/>
      <c r="L23333" s="711"/>
      <c r="Q23333" s="11"/>
      <c r="R23333" s="11"/>
      <c r="S23333" s="11"/>
      <c r="T23333" s="11"/>
    </row>
    <row r="23334" spans="8:20" x14ac:dyDescent="0.35">
      <c r="H23334" s="711"/>
      <c r="I23334" s="711"/>
      <c r="J23334" s="711"/>
      <c r="K23334" s="711"/>
      <c r="L23334" s="711"/>
      <c r="Q23334" s="11"/>
      <c r="R23334" s="11"/>
      <c r="S23334" s="11"/>
      <c r="T23334" s="11"/>
    </row>
    <row r="23335" spans="8:20" x14ac:dyDescent="0.35">
      <c r="H23335" s="711"/>
      <c r="I23335" s="711"/>
      <c r="J23335" s="711"/>
      <c r="K23335" s="711"/>
      <c r="L23335" s="711"/>
      <c r="Q23335" s="11"/>
      <c r="R23335" s="11"/>
      <c r="S23335" s="11"/>
      <c r="T23335" s="11"/>
    </row>
    <row r="23336" spans="8:20" x14ac:dyDescent="0.35">
      <c r="H23336" s="711"/>
      <c r="I23336" s="711"/>
      <c r="J23336" s="711"/>
      <c r="K23336" s="711"/>
      <c r="L23336" s="711"/>
      <c r="Q23336" s="11"/>
      <c r="R23336" s="11"/>
      <c r="S23336" s="11"/>
      <c r="T23336" s="11"/>
    </row>
    <row r="23337" spans="8:20" x14ac:dyDescent="0.35">
      <c r="H23337" s="711"/>
      <c r="I23337" s="711"/>
      <c r="J23337" s="711"/>
      <c r="K23337" s="711"/>
      <c r="L23337" s="711"/>
      <c r="Q23337" s="11"/>
      <c r="R23337" s="11"/>
      <c r="S23337" s="11"/>
      <c r="T23337" s="11"/>
    </row>
    <row r="23338" spans="8:20" x14ac:dyDescent="0.35">
      <c r="H23338" s="711"/>
      <c r="I23338" s="711"/>
      <c r="J23338" s="711"/>
      <c r="K23338" s="711"/>
      <c r="L23338" s="711"/>
      <c r="Q23338" s="11"/>
      <c r="R23338" s="11"/>
      <c r="S23338" s="11"/>
      <c r="T23338" s="11"/>
    </row>
    <row r="23339" spans="8:20" x14ac:dyDescent="0.35">
      <c r="H23339" s="711"/>
      <c r="I23339" s="711"/>
      <c r="J23339" s="711"/>
      <c r="K23339" s="711"/>
      <c r="L23339" s="711"/>
      <c r="Q23339" s="11"/>
      <c r="R23339" s="11"/>
      <c r="S23339" s="11"/>
      <c r="T23339" s="11"/>
    </row>
    <row r="23340" spans="8:20" x14ac:dyDescent="0.35">
      <c r="H23340" s="711"/>
      <c r="I23340" s="711"/>
      <c r="J23340" s="711"/>
      <c r="K23340" s="711"/>
      <c r="L23340" s="711"/>
      <c r="Q23340" s="11"/>
      <c r="R23340" s="11"/>
      <c r="S23340" s="11"/>
      <c r="T23340" s="11"/>
    </row>
    <row r="23341" spans="8:20" x14ac:dyDescent="0.35">
      <c r="H23341" s="711"/>
      <c r="I23341" s="711"/>
      <c r="J23341" s="711"/>
      <c r="K23341" s="711"/>
      <c r="L23341" s="711"/>
      <c r="Q23341" s="11"/>
      <c r="R23341" s="11"/>
      <c r="S23341" s="11"/>
      <c r="T23341" s="11"/>
    </row>
    <row r="23342" spans="8:20" x14ac:dyDescent="0.35">
      <c r="H23342" s="711"/>
      <c r="I23342" s="711"/>
      <c r="J23342" s="711"/>
      <c r="K23342" s="711"/>
      <c r="L23342" s="711"/>
      <c r="Q23342" s="11"/>
      <c r="R23342" s="11"/>
      <c r="S23342" s="11"/>
      <c r="T23342" s="11"/>
    </row>
    <row r="23343" spans="8:20" x14ac:dyDescent="0.35">
      <c r="H23343" s="711"/>
      <c r="I23343" s="711"/>
      <c r="J23343" s="711"/>
      <c r="K23343" s="711"/>
      <c r="L23343" s="711"/>
      <c r="Q23343" s="11"/>
      <c r="R23343" s="11"/>
      <c r="S23343" s="11"/>
      <c r="T23343" s="11"/>
    </row>
    <row r="23344" spans="8:20" x14ac:dyDescent="0.35">
      <c r="H23344" s="711"/>
      <c r="I23344" s="711"/>
      <c r="J23344" s="711"/>
      <c r="K23344" s="711"/>
      <c r="L23344" s="711"/>
      <c r="Q23344" s="11"/>
      <c r="R23344" s="11"/>
      <c r="S23344" s="11"/>
      <c r="T23344" s="11"/>
    </row>
    <row r="23345" spans="8:20" x14ac:dyDescent="0.35">
      <c r="H23345" s="711"/>
      <c r="I23345" s="711"/>
      <c r="J23345" s="711"/>
      <c r="K23345" s="711"/>
      <c r="L23345" s="711"/>
      <c r="Q23345" s="11"/>
      <c r="R23345" s="11"/>
      <c r="S23345" s="11"/>
      <c r="T23345" s="11"/>
    </row>
    <row r="23346" spans="8:20" x14ac:dyDescent="0.35">
      <c r="H23346" s="711"/>
      <c r="I23346" s="711"/>
      <c r="J23346" s="711"/>
      <c r="K23346" s="711"/>
      <c r="L23346" s="711"/>
      <c r="Q23346" s="11"/>
      <c r="R23346" s="11"/>
      <c r="S23346" s="11"/>
      <c r="T23346" s="11"/>
    </row>
    <row r="23347" spans="8:20" x14ac:dyDescent="0.35">
      <c r="H23347" s="711"/>
      <c r="I23347" s="711"/>
      <c r="J23347" s="711"/>
      <c r="K23347" s="711"/>
      <c r="L23347" s="711"/>
      <c r="Q23347" s="11"/>
      <c r="R23347" s="11"/>
      <c r="S23347" s="11"/>
      <c r="T23347" s="11"/>
    </row>
    <row r="23348" spans="8:20" x14ac:dyDescent="0.35">
      <c r="H23348" s="711"/>
      <c r="I23348" s="711"/>
      <c r="J23348" s="711"/>
      <c r="K23348" s="711"/>
      <c r="L23348" s="711"/>
      <c r="Q23348" s="11"/>
      <c r="R23348" s="11"/>
      <c r="S23348" s="11"/>
      <c r="T23348" s="11"/>
    </row>
    <row r="23349" spans="8:20" x14ac:dyDescent="0.35">
      <c r="H23349" s="711"/>
      <c r="I23349" s="711"/>
      <c r="J23349" s="711"/>
      <c r="K23349" s="711"/>
      <c r="L23349" s="711"/>
      <c r="Q23349" s="11"/>
      <c r="R23349" s="11"/>
      <c r="S23349" s="11"/>
      <c r="T23349" s="11"/>
    </row>
    <row r="23350" spans="8:20" x14ac:dyDescent="0.35">
      <c r="H23350" s="711"/>
      <c r="I23350" s="711"/>
      <c r="J23350" s="711"/>
      <c r="K23350" s="711"/>
      <c r="L23350" s="711"/>
      <c r="Q23350" s="11"/>
      <c r="R23350" s="11"/>
      <c r="S23350" s="11"/>
      <c r="T23350" s="11"/>
    </row>
    <row r="23351" spans="8:20" x14ac:dyDescent="0.35">
      <c r="H23351" s="711"/>
      <c r="I23351" s="711"/>
      <c r="J23351" s="711"/>
      <c r="K23351" s="711"/>
      <c r="L23351" s="711"/>
      <c r="Q23351" s="11"/>
      <c r="R23351" s="11"/>
      <c r="S23351" s="11"/>
      <c r="T23351" s="11"/>
    </row>
    <row r="23352" spans="8:20" x14ac:dyDescent="0.35">
      <c r="H23352" s="711"/>
      <c r="I23352" s="711"/>
      <c r="J23352" s="711"/>
      <c r="K23352" s="711"/>
      <c r="L23352" s="711"/>
      <c r="Q23352" s="11"/>
      <c r="R23352" s="11"/>
      <c r="S23352" s="11"/>
      <c r="T23352" s="11"/>
    </row>
    <row r="23353" spans="8:20" x14ac:dyDescent="0.35">
      <c r="H23353" s="711"/>
      <c r="I23353" s="711"/>
      <c r="J23353" s="711"/>
      <c r="K23353" s="711"/>
      <c r="L23353" s="711"/>
      <c r="Q23353" s="11"/>
      <c r="R23353" s="11"/>
      <c r="S23353" s="11"/>
      <c r="T23353" s="11"/>
    </row>
    <row r="23354" spans="8:20" x14ac:dyDescent="0.35">
      <c r="H23354" s="711"/>
      <c r="I23354" s="711"/>
      <c r="J23354" s="711"/>
      <c r="K23354" s="711"/>
      <c r="L23354" s="711"/>
      <c r="Q23354" s="11"/>
      <c r="R23354" s="11"/>
      <c r="S23354" s="11"/>
      <c r="T23354" s="11"/>
    </row>
    <row r="23355" spans="8:20" x14ac:dyDescent="0.35">
      <c r="H23355" s="711"/>
      <c r="I23355" s="711"/>
      <c r="J23355" s="711"/>
      <c r="K23355" s="711"/>
      <c r="L23355" s="711"/>
      <c r="Q23355" s="11"/>
      <c r="R23355" s="11"/>
      <c r="S23355" s="11"/>
      <c r="T23355" s="11"/>
    </row>
    <row r="23356" spans="8:20" x14ac:dyDescent="0.35">
      <c r="H23356" s="711"/>
      <c r="I23356" s="711"/>
      <c r="J23356" s="711"/>
      <c r="K23356" s="711"/>
      <c r="L23356" s="711"/>
      <c r="Q23356" s="11"/>
      <c r="R23356" s="11"/>
      <c r="S23356" s="11"/>
      <c r="T23356" s="11"/>
    </row>
    <row r="23357" spans="8:20" x14ac:dyDescent="0.35">
      <c r="H23357" s="711"/>
      <c r="I23357" s="711"/>
      <c r="J23357" s="711"/>
      <c r="K23357" s="711"/>
      <c r="L23357" s="711"/>
      <c r="Q23357" s="11"/>
      <c r="R23357" s="11"/>
      <c r="S23357" s="11"/>
      <c r="T23357" s="11"/>
    </row>
    <row r="23358" spans="8:20" x14ac:dyDescent="0.35">
      <c r="H23358" s="711"/>
      <c r="I23358" s="711"/>
      <c r="J23358" s="711"/>
      <c r="K23358" s="711"/>
      <c r="L23358" s="711"/>
      <c r="Q23358" s="11"/>
      <c r="R23358" s="11"/>
      <c r="S23358" s="11"/>
      <c r="T23358" s="11"/>
    </row>
    <row r="23359" spans="8:20" x14ac:dyDescent="0.35">
      <c r="H23359" s="711"/>
      <c r="I23359" s="711"/>
      <c r="J23359" s="711"/>
      <c r="K23359" s="711"/>
      <c r="L23359" s="711"/>
      <c r="Q23359" s="11"/>
      <c r="R23359" s="11"/>
      <c r="S23359" s="11"/>
      <c r="T23359" s="11"/>
    </row>
    <row r="23360" spans="8:20" x14ac:dyDescent="0.35">
      <c r="H23360" s="711"/>
      <c r="I23360" s="711"/>
      <c r="J23360" s="711"/>
      <c r="K23360" s="711"/>
      <c r="L23360" s="711"/>
      <c r="Q23360" s="11"/>
      <c r="R23360" s="11"/>
      <c r="S23360" s="11"/>
      <c r="T23360" s="11"/>
    </row>
    <row r="23361" spans="8:20" x14ac:dyDescent="0.35">
      <c r="H23361" s="711"/>
      <c r="I23361" s="711"/>
      <c r="J23361" s="711"/>
      <c r="K23361" s="711"/>
      <c r="L23361" s="711"/>
      <c r="Q23361" s="11"/>
      <c r="R23361" s="11"/>
      <c r="S23361" s="11"/>
      <c r="T23361" s="11"/>
    </row>
    <row r="23362" spans="8:20" x14ac:dyDescent="0.35">
      <c r="H23362" s="711"/>
      <c r="I23362" s="711"/>
      <c r="J23362" s="711"/>
      <c r="K23362" s="711"/>
      <c r="L23362" s="711"/>
      <c r="Q23362" s="11"/>
      <c r="R23362" s="11"/>
      <c r="S23362" s="11"/>
      <c r="T23362" s="11"/>
    </row>
    <row r="23363" spans="8:20" x14ac:dyDescent="0.35">
      <c r="H23363" s="711"/>
      <c r="I23363" s="711"/>
      <c r="J23363" s="711"/>
      <c r="K23363" s="711"/>
      <c r="L23363" s="711"/>
      <c r="Q23363" s="11"/>
      <c r="R23363" s="11"/>
      <c r="S23363" s="11"/>
      <c r="T23363" s="11"/>
    </row>
    <row r="23364" spans="8:20" x14ac:dyDescent="0.35">
      <c r="H23364" s="711"/>
      <c r="I23364" s="711"/>
      <c r="J23364" s="711"/>
      <c r="K23364" s="711"/>
      <c r="L23364" s="711"/>
      <c r="Q23364" s="11"/>
      <c r="R23364" s="11"/>
      <c r="S23364" s="11"/>
      <c r="T23364" s="11"/>
    </row>
    <row r="23365" spans="8:20" x14ac:dyDescent="0.35">
      <c r="H23365" s="711"/>
      <c r="I23365" s="711"/>
      <c r="J23365" s="711"/>
      <c r="K23365" s="711"/>
      <c r="L23365" s="711"/>
      <c r="Q23365" s="11"/>
      <c r="R23365" s="11"/>
      <c r="S23365" s="11"/>
      <c r="T23365" s="11"/>
    </row>
    <row r="23366" spans="8:20" x14ac:dyDescent="0.35">
      <c r="H23366" s="711"/>
      <c r="I23366" s="711"/>
      <c r="J23366" s="711"/>
      <c r="K23366" s="711"/>
      <c r="L23366" s="711"/>
      <c r="Q23366" s="11"/>
      <c r="R23366" s="11"/>
      <c r="S23366" s="11"/>
      <c r="T23366" s="11"/>
    </row>
    <row r="23367" spans="8:20" x14ac:dyDescent="0.35">
      <c r="H23367" s="711"/>
      <c r="I23367" s="711"/>
      <c r="J23367" s="711"/>
      <c r="K23367" s="711"/>
      <c r="L23367" s="711"/>
      <c r="Q23367" s="11"/>
      <c r="R23367" s="11"/>
      <c r="S23367" s="11"/>
      <c r="T23367" s="11"/>
    </row>
    <row r="23368" spans="8:20" x14ac:dyDescent="0.35">
      <c r="H23368" s="711"/>
      <c r="I23368" s="711"/>
      <c r="J23368" s="711"/>
      <c r="K23368" s="711"/>
      <c r="L23368" s="711"/>
      <c r="Q23368" s="11"/>
      <c r="R23368" s="11"/>
      <c r="S23368" s="11"/>
      <c r="T23368" s="11"/>
    </row>
    <row r="23369" spans="8:20" x14ac:dyDescent="0.35">
      <c r="H23369" s="711"/>
      <c r="I23369" s="711"/>
      <c r="J23369" s="711"/>
      <c r="K23369" s="711"/>
      <c r="L23369" s="711"/>
      <c r="Q23369" s="11"/>
      <c r="R23369" s="11"/>
      <c r="S23369" s="11"/>
      <c r="T23369" s="11"/>
    </row>
    <row r="23370" spans="8:20" x14ac:dyDescent="0.35">
      <c r="H23370" s="711"/>
      <c r="I23370" s="711"/>
      <c r="J23370" s="711"/>
      <c r="K23370" s="711"/>
      <c r="L23370" s="711"/>
      <c r="Q23370" s="11"/>
      <c r="R23370" s="11"/>
      <c r="S23370" s="11"/>
      <c r="T23370" s="11"/>
    </row>
    <row r="23371" spans="8:20" x14ac:dyDescent="0.35">
      <c r="H23371" s="711"/>
      <c r="I23371" s="711"/>
      <c r="J23371" s="711"/>
      <c r="K23371" s="711"/>
      <c r="L23371" s="711"/>
      <c r="Q23371" s="11"/>
      <c r="R23371" s="11"/>
      <c r="S23371" s="11"/>
      <c r="T23371" s="11"/>
    </row>
    <row r="23372" spans="8:20" x14ac:dyDescent="0.35">
      <c r="H23372" s="711"/>
      <c r="I23372" s="711"/>
      <c r="J23372" s="711"/>
      <c r="K23372" s="711"/>
      <c r="L23372" s="711"/>
      <c r="Q23372" s="11"/>
      <c r="R23372" s="11"/>
      <c r="S23372" s="11"/>
      <c r="T23372" s="11"/>
    </row>
    <row r="23373" spans="8:20" x14ac:dyDescent="0.35">
      <c r="H23373" s="711"/>
      <c r="I23373" s="711"/>
      <c r="J23373" s="711"/>
      <c r="K23373" s="711"/>
      <c r="L23373" s="711"/>
      <c r="Q23373" s="11"/>
      <c r="R23373" s="11"/>
      <c r="S23373" s="11"/>
      <c r="T23373" s="11"/>
    </row>
    <row r="23374" spans="8:20" x14ac:dyDescent="0.35">
      <c r="H23374" s="711"/>
      <c r="I23374" s="711"/>
      <c r="J23374" s="711"/>
      <c r="K23374" s="711"/>
      <c r="L23374" s="711"/>
      <c r="Q23374" s="11"/>
      <c r="R23374" s="11"/>
      <c r="S23374" s="11"/>
      <c r="T23374" s="11"/>
    </row>
    <row r="23375" spans="8:20" x14ac:dyDescent="0.35">
      <c r="H23375" s="711"/>
      <c r="I23375" s="711"/>
      <c r="J23375" s="711"/>
      <c r="K23375" s="711"/>
      <c r="L23375" s="711"/>
      <c r="Q23375" s="11"/>
      <c r="R23375" s="11"/>
      <c r="S23375" s="11"/>
      <c r="T23375" s="11"/>
    </row>
    <row r="23376" spans="8:20" x14ac:dyDescent="0.35">
      <c r="H23376" s="711"/>
      <c r="I23376" s="711"/>
      <c r="J23376" s="711"/>
      <c r="K23376" s="711"/>
      <c r="L23376" s="711"/>
      <c r="Q23376" s="11"/>
      <c r="R23376" s="11"/>
      <c r="S23376" s="11"/>
      <c r="T23376" s="11"/>
    </row>
    <row r="23377" spans="8:20" x14ac:dyDescent="0.35">
      <c r="H23377" s="711"/>
      <c r="I23377" s="711"/>
      <c r="J23377" s="711"/>
      <c r="K23377" s="711"/>
      <c r="L23377" s="711"/>
      <c r="Q23377" s="11"/>
      <c r="R23377" s="11"/>
      <c r="S23377" s="11"/>
      <c r="T23377" s="11"/>
    </row>
    <row r="23378" spans="8:20" x14ac:dyDescent="0.35">
      <c r="H23378" s="711"/>
      <c r="I23378" s="711"/>
      <c r="J23378" s="711"/>
      <c r="K23378" s="711"/>
      <c r="L23378" s="711"/>
      <c r="Q23378" s="11"/>
      <c r="R23378" s="11"/>
      <c r="S23378" s="11"/>
      <c r="T23378" s="11"/>
    </row>
    <row r="23379" spans="8:20" x14ac:dyDescent="0.35">
      <c r="H23379" s="711"/>
      <c r="I23379" s="711"/>
      <c r="J23379" s="711"/>
      <c r="K23379" s="711"/>
      <c r="L23379" s="711"/>
      <c r="Q23379" s="11"/>
      <c r="R23379" s="11"/>
      <c r="S23379" s="11"/>
      <c r="T23379" s="11"/>
    </row>
    <row r="23380" spans="8:20" x14ac:dyDescent="0.35">
      <c r="H23380" s="711"/>
      <c r="I23380" s="711"/>
      <c r="J23380" s="711"/>
      <c r="K23380" s="711"/>
      <c r="L23380" s="711"/>
      <c r="Q23380" s="11"/>
      <c r="R23380" s="11"/>
      <c r="S23380" s="11"/>
      <c r="T23380" s="11"/>
    </row>
    <row r="23381" spans="8:20" x14ac:dyDescent="0.35">
      <c r="H23381" s="711"/>
      <c r="I23381" s="711"/>
      <c r="J23381" s="711"/>
      <c r="K23381" s="711"/>
      <c r="L23381" s="711"/>
      <c r="Q23381" s="11"/>
      <c r="R23381" s="11"/>
      <c r="S23381" s="11"/>
      <c r="T23381" s="11"/>
    </row>
    <row r="23382" spans="8:20" x14ac:dyDescent="0.35">
      <c r="H23382" s="711"/>
      <c r="I23382" s="711"/>
      <c r="J23382" s="711"/>
      <c r="K23382" s="711"/>
      <c r="L23382" s="711"/>
      <c r="Q23382" s="11"/>
      <c r="R23382" s="11"/>
      <c r="S23382" s="11"/>
      <c r="T23382" s="11"/>
    </row>
    <row r="23383" spans="8:20" x14ac:dyDescent="0.35">
      <c r="H23383" s="711"/>
      <c r="I23383" s="711"/>
      <c r="J23383" s="711"/>
      <c r="K23383" s="711"/>
      <c r="L23383" s="711"/>
      <c r="Q23383" s="11"/>
      <c r="R23383" s="11"/>
      <c r="S23383" s="11"/>
      <c r="T23383" s="11"/>
    </row>
    <row r="23384" spans="8:20" x14ac:dyDescent="0.35">
      <c r="H23384" s="711"/>
      <c r="I23384" s="711"/>
      <c r="J23384" s="711"/>
      <c r="K23384" s="711"/>
      <c r="L23384" s="711"/>
      <c r="Q23384" s="11"/>
      <c r="R23384" s="11"/>
      <c r="S23384" s="11"/>
      <c r="T23384" s="11"/>
    </row>
    <row r="23385" spans="8:20" x14ac:dyDescent="0.35">
      <c r="H23385" s="711"/>
      <c r="I23385" s="711"/>
      <c r="J23385" s="711"/>
      <c r="K23385" s="711"/>
      <c r="L23385" s="711"/>
      <c r="Q23385" s="11"/>
      <c r="R23385" s="11"/>
      <c r="S23385" s="11"/>
      <c r="T23385" s="11"/>
    </row>
    <row r="23386" spans="8:20" x14ac:dyDescent="0.35">
      <c r="H23386" s="711"/>
      <c r="I23386" s="711"/>
      <c r="J23386" s="711"/>
      <c r="K23386" s="711"/>
      <c r="L23386" s="711"/>
      <c r="Q23386" s="11"/>
      <c r="R23386" s="11"/>
      <c r="S23386" s="11"/>
      <c r="T23386" s="11"/>
    </row>
    <row r="23387" spans="8:20" x14ac:dyDescent="0.35">
      <c r="H23387" s="711"/>
      <c r="I23387" s="711"/>
      <c r="J23387" s="711"/>
      <c r="K23387" s="711"/>
      <c r="L23387" s="711"/>
      <c r="Q23387" s="11"/>
      <c r="R23387" s="11"/>
      <c r="S23387" s="11"/>
      <c r="T23387" s="11"/>
    </row>
    <row r="23388" spans="8:20" x14ac:dyDescent="0.35">
      <c r="H23388" s="711"/>
      <c r="I23388" s="711"/>
      <c r="J23388" s="711"/>
      <c r="K23388" s="711"/>
      <c r="L23388" s="711"/>
      <c r="Q23388" s="11"/>
      <c r="R23388" s="11"/>
      <c r="S23388" s="11"/>
      <c r="T23388" s="11"/>
    </row>
    <row r="23389" spans="8:20" x14ac:dyDescent="0.35">
      <c r="H23389" s="711"/>
      <c r="I23389" s="711"/>
      <c r="J23389" s="711"/>
      <c r="K23389" s="711"/>
      <c r="L23389" s="711"/>
      <c r="Q23389" s="11"/>
      <c r="R23389" s="11"/>
      <c r="S23389" s="11"/>
      <c r="T23389" s="11"/>
    </row>
    <row r="23390" spans="8:20" x14ac:dyDescent="0.35">
      <c r="H23390" s="711"/>
      <c r="I23390" s="711"/>
      <c r="J23390" s="711"/>
      <c r="K23390" s="711"/>
      <c r="L23390" s="711"/>
      <c r="Q23390" s="11"/>
      <c r="R23390" s="11"/>
      <c r="S23390" s="11"/>
      <c r="T23390" s="11"/>
    </row>
    <row r="23391" spans="8:20" x14ac:dyDescent="0.35">
      <c r="H23391" s="711"/>
      <c r="I23391" s="711"/>
      <c r="J23391" s="711"/>
      <c r="K23391" s="711"/>
      <c r="L23391" s="711"/>
      <c r="Q23391" s="11"/>
      <c r="R23391" s="11"/>
      <c r="S23391" s="11"/>
      <c r="T23391" s="11"/>
    </row>
    <row r="23392" spans="8:20" x14ac:dyDescent="0.35">
      <c r="H23392" s="711"/>
      <c r="I23392" s="711"/>
      <c r="J23392" s="711"/>
      <c r="K23392" s="711"/>
      <c r="L23392" s="711"/>
      <c r="Q23392" s="11"/>
      <c r="R23392" s="11"/>
      <c r="S23392" s="11"/>
      <c r="T23392" s="11"/>
    </row>
    <row r="23393" spans="8:20" x14ac:dyDescent="0.35">
      <c r="H23393" s="711"/>
      <c r="I23393" s="711"/>
      <c r="J23393" s="711"/>
      <c r="K23393" s="711"/>
      <c r="L23393" s="711"/>
      <c r="Q23393" s="11"/>
      <c r="R23393" s="11"/>
      <c r="S23393" s="11"/>
      <c r="T23393" s="11"/>
    </row>
    <row r="23394" spans="8:20" x14ac:dyDescent="0.35">
      <c r="H23394" s="711"/>
      <c r="I23394" s="711"/>
      <c r="J23394" s="711"/>
      <c r="K23394" s="711"/>
      <c r="L23394" s="711"/>
      <c r="Q23394" s="11"/>
      <c r="R23394" s="11"/>
      <c r="S23394" s="11"/>
      <c r="T23394" s="11"/>
    </row>
    <row r="23395" spans="8:20" x14ac:dyDescent="0.35">
      <c r="H23395" s="711"/>
      <c r="I23395" s="711"/>
      <c r="J23395" s="711"/>
      <c r="K23395" s="711"/>
      <c r="L23395" s="711"/>
      <c r="Q23395" s="11"/>
      <c r="R23395" s="11"/>
      <c r="S23395" s="11"/>
      <c r="T23395" s="11"/>
    </row>
    <row r="23396" spans="8:20" x14ac:dyDescent="0.35">
      <c r="H23396" s="711"/>
      <c r="I23396" s="711"/>
      <c r="J23396" s="711"/>
      <c r="K23396" s="711"/>
      <c r="L23396" s="711"/>
      <c r="Q23396" s="11"/>
      <c r="R23396" s="11"/>
      <c r="S23396" s="11"/>
      <c r="T23396" s="11"/>
    </row>
    <row r="23397" spans="8:20" x14ac:dyDescent="0.35">
      <c r="H23397" s="711"/>
      <c r="I23397" s="711"/>
      <c r="J23397" s="711"/>
      <c r="K23397" s="711"/>
      <c r="L23397" s="711"/>
      <c r="Q23397" s="11"/>
      <c r="R23397" s="11"/>
      <c r="S23397" s="11"/>
      <c r="T23397" s="11"/>
    </row>
    <row r="23398" spans="8:20" x14ac:dyDescent="0.35">
      <c r="H23398" s="711"/>
      <c r="I23398" s="711"/>
      <c r="J23398" s="711"/>
      <c r="K23398" s="711"/>
      <c r="L23398" s="711"/>
      <c r="Q23398" s="11"/>
      <c r="R23398" s="11"/>
      <c r="S23398" s="11"/>
      <c r="T23398" s="11"/>
    </row>
    <row r="23399" spans="8:20" x14ac:dyDescent="0.35">
      <c r="H23399" s="711"/>
      <c r="I23399" s="711"/>
      <c r="J23399" s="711"/>
      <c r="K23399" s="711"/>
      <c r="L23399" s="711"/>
      <c r="Q23399" s="11"/>
      <c r="R23399" s="11"/>
      <c r="S23399" s="11"/>
      <c r="T23399" s="11"/>
    </row>
    <row r="23400" spans="8:20" x14ac:dyDescent="0.35">
      <c r="H23400" s="711"/>
      <c r="I23400" s="711"/>
      <c r="J23400" s="711"/>
      <c r="K23400" s="711"/>
      <c r="L23400" s="711"/>
      <c r="Q23400" s="11"/>
      <c r="R23400" s="11"/>
      <c r="S23400" s="11"/>
      <c r="T23400" s="11"/>
    </row>
    <row r="23401" spans="8:20" x14ac:dyDescent="0.35">
      <c r="H23401" s="711"/>
      <c r="I23401" s="711"/>
      <c r="J23401" s="711"/>
      <c r="K23401" s="711"/>
      <c r="L23401" s="711"/>
      <c r="Q23401" s="11"/>
      <c r="R23401" s="11"/>
      <c r="S23401" s="11"/>
      <c r="T23401" s="11"/>
    </row>
    <row r="23402" spans="8:20" x14ac:dyDescent="0.35">
      <c r="H23402" s="711"/>
      <c r="I23402" s="711"/>
      <c r="J23402" s="711"/>
      <c r="K23402" s="711"/>
      <c r="L23402" s="711"/>
      <c r="Q23402" s="11"/>
      <c r="R23402" s="11"/>
      <c r="S23402" s="11"/>
      <c r="T23402" s="11"/>
    </row>
    <row r="23403" spans="8:20" x14ac:dyDescent="0.35">
      <c r="H23403" s="711"/>
      <c r="I23403" s="711"/>
      <c r="J23403" s="711"/>
      <c r="K23403" s="711"/>
      <c r="L23403" s="711"/>
      <c r="Q23403" s="11"/>
      <c r="R23403" s="11"/>
      <c r="S23403" s="11"/>
      <c r="T23403" s="11"/>
    </row>
    <row r="23404" spans="8:20" x14ac:dyDescent="0.35">
      <c r="H23404" s="711"/>
      <c r="I23404" s="711"/>
      <c r="J23404" s="711"/>
      <c r="K23404" s="711"/>
      <c r="L23404" s="711"/>
      <c r="Q23404" s="11"/>
      <c r="R23404" s="11"/>
      <c r="S23404" s="11"/>
      <c r="T23404" s="11"/>
    </row>
    <row r="23405" spans="8:20" x14ac:dyDescent="0.35">
      <c r="H23405" s="711"/>
      <c r="I23405" s="711"/>
      <c r="J23405" s="711"/>
      <c r="K23405" s="711"/>
      <c r="L23405" s="711"/>
      <c r="Q23405" s="11"/>
      <c r="R23405" s="11"/>
      <c r="S23405" s="11"/>
      <c r="T23405" s="11"/>
    </row>
    <row r="23406" spans="8:20" x14ac:dyDescent="0.35">
      <c r="H23406" s="711"/>
      <c r="I23406" s="711"/>
      <c r="J23406" s="711"/>
      <c r="K23406" s="711"/>
      <c r="L23406" s="711"/>
      <c r="Q23406" s="11"/>
      <c r="R23406" s="11"/>
      <c r="S23406" s="11"/>
      <c r="T23406" s="11"/>
    </row>
    <row r="23407" spans="8:20" x14ac:dyDescent="0.35">
      <c r="H23407" s="711"/>
      <c r="I23407" s="711"/>
      <c r="J23407" s="711"/>
      <c r="K23407" s="711"/>
      <c r="L23407" s="711"/>
      <c r="Q23407" s="11"/>
      <c r="R23407" s="11"/>
      <c r="S23407" s="11"/>
      <c r="T23407" s="11"/>
    </row>
    <row r="23408" spans="8:20" x14ac:dyDescent="0.35">
      <c r="H23408" s="711"/>
      <c r="I23408" s="711"/>
      <c r="J23408" s="711"/>
      <c r="K23408" s="711"/>
      <c r="L23408" s="711"/>
      <c r="Q23408" s="11"/>
      <c r="R23408" s="11"/>
      <c r="S23408" s="11"/>
      <c r="T23408" s="11"/>
    </row>
    <row r="23409" spans="8:20" x14ac:dyDescent="0.35">
      <c r="H23409" s="711"/>
      <c r="I23409" s="711"/>
      <c r="J23409" s="711"/>
      <c r="K23409" s="711"/>
      <c r="L23409" s="711"/>
      <c r="Q23409" s="11"/>
      <c r="R23409" s="11"/>
      <c r="S23409" s="11"/>
      <c r="T23409" s="11"/>
    </row>
    <row r="23410" spans="8:20" x14ac:dyDescent="0.35">
      <c r="H23410" s="711"/>
      <c r="I23410" s="711"/>
      <c r="J23410" s="711"/>
      <c r="K23410" s="711"/>
      <c r="L23410" s="711"/>
      <c r="Q23410" s="11"/>
      <c r="R23410" s="11"/>
      <c r="S23410" s="11"/>
      <c r="T23410" s="11"/>
    </row>
    <row r="23411" spans="8:20" x14ac:dyDescent="0.35">
      <c r="H23411" s="711"/>
      <c r="I23411" s="711"/>
      <c r="J23411" s="711"/>
      <c r="K23411" s="711"/>
      <c r="L23411" s="711"/>
      <c r="Q23411" s="11"/>
      <c r="R23411" s="11"/>
      <c r="S23411" s="11"/>
      <c r="T23411" s="11"/>
    </row>
    <row r="23412" spans="8:20" x14ac:dyDescent="0.35">
      <c r="H23412" s="711"/>
      <c r="I23412" s="711"/>
      <c r="J23412" s="711"/>
      <c r="K23412" s="711"/>
      <c r="L23412" s="711"/>
      <c r="Q23412" s="11"/>
      <c r="R23412" s="11"/>
      <c r="S23412" s="11"/>
      <c r="T23412" s="11"/>
    </row>
    <row r="23413" spans="8:20" x14ac:dyDescent="0.35">
      <c r="H23413" s="711"/>
      <c r="I23413" s="711"/>
      <c r="J23413" s="711"/>
      <c r="K23413" s="711"/>
      <c r="L23413" s="711"/>
      <c r="Q23413" s="11"/>
      <c r="R23413" s="11"/>
      <c r="S23413" s="11"/>
      <c r="T23413" s="11"/>
    </row>
    <row r="23414" spans="8:20" x14ac:dyDescent="0.35">
      <c r="H23414" s="711"/>
      <c r="I23414" s="711"/>
      <c r="J23414" s="711"/>
      <c r="K23414" s="711"/>
      <c r="L23414" s="711"/>
      <c r="Q23414" s="11"/>
      <c r="R23414" s="11"/>
      <c r="S23414" s="11"/>
      <c r="T23414" s="11"/>
    </row>
    <row r="23415" spans="8:20" x14ac:dyDescent="0.35">
      <c r="H23415" s="711"/>
      <c r="I23415" s="711"/>
      <c r="J23415" s="711"/>
      <c r="K23415" s="711"/>
      <c r="L23415" s="711"/>
      <c r="Q23415" s="11"/>
      <c r="R23415" s="11"/>
      <c r="S23415" s="11"/>
      <c r="T23415" s="11"/>
    </row>
    <row r="23416" spans="8:20" x14ac:dyDescent="0.35">
      <c r="H23416" s="711"/>
      <c r="I23416" s="711"/>
      <c r="J23416" s="711"/>
      <c r="K23416" s="711"/>
      <c r="L23416" s="711"/>
      <c r="Q23416" s="11"/>
      <c r="R23416" s="11"/>
      <c r="S23416" s="11"/>
      <c r="T23416" s="11"/>
    </row>
    <row r="23417" spans="8:20" x14ac:dyDescent="0.35">
      <c r="H23417" s="711"/>
      <c r="I23417" s="711"/>
      <c r="J23417" s="711"/>
      <c r="K23417" s="711"/>
      <c r="L23417" s="711"/>
      <c r="Q23417" s="11"/>
      <c r="R23417" s="11"/>
      <c r="S23417" s="11"/>
      <c r="T23417" s="11"/>
    </row>
    <row r="23418" spans="8:20" x14ac:dyDescent="0.35">
      <c r="H23418" s="711"/>
      <c r="I23418" s="711"/>
      <c r="J23418" s="711"/>
      <c r="K23418" s="711"/>
      <c r="L23418" s="711"/>
      <c r="Q23418" s="11"/>
      <c r="R23418" s="11"/>
      <c r="S23418" s="11"/>
      <c r="T23418" s="11"/>
    </row>
    <row r="23419" spans="8:20" x14ac:dyDescent="0.35">
      <c r="H23419" s="711"/>
      <c r="I23419" s="711"/>
      <c r="J23419" s="711"/>
      <c r="K23419" s="711"/>
      <c r="L23419" s="711"/>
      <c r="Q23419" s="11"/>
      <c r="R23419" s="11"/>
      <c r="S23419" s="11"/>
      <c r="T23419" s="11"/>
    </row>
    <row r="23420" spans="8:20" x14ac:dyDescent="0.35">
      <c r="H23420" s="711"/>
      <c r="I23420" s="711"/>
      <c r="J23420" s="711"/>
      <c r="K23420" s="711"/>
      <c r="L23420" s="711"/>
      <c r="Q23420" s="11"/>
      <c r="R23420" s="11"/>
      <c r="S23420" s="11"/>
      <c r="T23420" s="11"/>
    </row>
    <row r="23421" spans="8:20" x14ac:dyDescent="0.35">
      <c r="H23421" s="711"/>
      <c r="I23421" s="711"/>
      <c r="J23421" s="711"/>
      <c r="K23421" s="711"/>
      <c r="L23421" s="711"/>
      <c r="Q23421" s="11"/>
      <c r="R23421" s="11"/>
      <c r="S23421" s="11"/>
      <c r="T23421" s="11"/>
    </row>
    <row r="23422" spans="8:20" x14ac:dyDescent="0.35">
      <c r="H23422" s="711"/>
      <c r="I23422" s="711"/>
      <c r="J23422" s="711"/>
      <c r="K23422" s="711"/>
      <c r="L23422" s="711"/>
      <c r="Q23422" s="11"/>
      <c r="R23422" s="11"/>
      <c r="S23422" s="11"/>
      <c r="T23422" s="11"/>
    </row>
    <row r="23423" spans="8:20" x14ac:dyDescent="0.35">
      <c r="H23423" s="711"/>
      <c r="I23423" s="711"/>
      <c r="J23423" s="711"/>
      <c r="K23423" s="711"/>
      <c r="L23423" s="711"/>
      <c r="Q23423" s="11"/>
      <c r="R23423" s="11"/>
      <c r="S23423" s="11"/>
      <c r="T23423" s="11"/>
    </row>
    <row r="23424" spans="8:20" x14ac:dyDescent="0.35">
      <c r="H23424" s="711"/>
      <c r="I23424" s="711"/>
      <c r="J23424" s="711"/>
      <c r="K23424" s="711"/>
      <c r="L23424" s="711"/>
      <c r="Q23424" s="11"/>
      <c r="R23424" s="11"/>
      <c r="S23424" s="11"/>
      <c r="T23424" s="11"/>
    </row>
    <row r="23425" spans="8:20" x14ac:dyDescent="0.35">
      <c r="H23425" s="711"/>
      <c r="I23425" s="711"/>
      <c r="J23425" s="711"/>
      <c r="K23425" s="711"/>
      <c r="L23425" s="711"/>
      <c r="Q23425" s="11"/>
      <c r="R23425" s="11"/>
      <c r="S23425" s="11"/>
      <c r="T23425" s="11"/>
    </row>
    <row r="23426" spans="8:20" x14ac:dyDescent="0.35">
      <c r="H23426" s="711"/>
      <c r="I23426" s="711"/>
      <c r="J23426" s="711"/>
      <c r="K23426" s="711"/>
      <c r="L23426" s="711"/>
      <c r="Q23426" s="11"/>
      <c r="R23426" s="11"/>
      <c r="S23426" s="11"/>
      <c r="T23426" s="11"/>
    </row>
    <row r="23427" spans="8:20" x14ac:dyDescent="0.35">
      <c r="H23427" s="711"/>
      <c r="I23427" s="711"/>
      <c r="J23427" s="711"/>
      <c r="K23427" s="711"/>
      <c r="L23427" s="711"/>
      <c r="Q23427" s="11"/>
      <c r="R23427" s="11"/>
      <c r="S23427" s="11"/>
      <c r="T23427" s="11"/>
    </row>
    <row r="23428" spans="8:20" x14ac:dyDescent="0.35">
      <c r="H23428" s="711"/>
      <c r="I23428" s="711"/>
      <c r="J23428" s="711"/>
      <c r="K23428" s="711"/>
      <c r="L23428" s="711"/>
      <c r="Q23428" s="11"/>
      <c r="R23428" s="11"/>
      <c r="S23428" s="11"/>
      <c r="T23428" s="11"/>
    </row>
    <row r="23429" spans="8:20" x14ac:dyDescent="0.35">
      <c r="H23429" s="711"/>
      <c r="I23429" s="711"/>
      <c r="J23429" s="711"/>
      <c r="K23429" s="711"/>
      <c r="L23429" s="711"/>
      <c r="Q23429" s="11"/>
      <c r="R23429" s="11"/>
      <c r="S23429" s="11"/>
      <c r="T23429" s="11"/>
    </row>
    <row r="23430" spans="8:20" x14ac:dyDescent="0.35">
      <c r="H23430" s="711"/>
      <c r="I23430" s="711"/>
      <c r="J23430" s="711"/>
      <c r="K23430" s="711"/>
      <c r="L23430" s="711"/>
      <c r="Q23430" s="11"/>
      <c r="R23430" s="11"/>
      <c r="S23430" s="11"/>
      <c r="T23430" s="11"/>
    </row>
    <row r="23431" spans="8:20" x14ac:dyDescent="0.35">
      <c r="H23431" s="711"/>
      <c r="I23431" s="711"/>
      <c r="J23431" s="711"/>
      <c r="K23431" s="711"/>
      <c r="L23431" s="711"/>
      <c r="Q23431" s="11"/>
      <c r="R23431" s="11"/>
      <c r="S23431" s="11"/>
      <c r="T23431" s="11"/>
    </row>
    <row r="23432" spans="8:20" x14ac:dyDescent="0.35">
      <c r="H23432" s="711"/>
      <c r="I23432" s="711"/>
      <c r="J23432" s="711"/>
      <c r="K23432" s="711"/>
      <c r="L23432" s="711"/>
      <c r="Q23432" s="11"/>
      <c r="R23432" s="11"/>
      <c r="S23432" s="11"/>
      <c r="T23432" s="11"/>
    </row>
    <row r="23433" spans="8:20" x14ac:dyDescent="0.35">
      <c r="H23433" s="711"/>
      <c r="I23433" s="711"/>
      <c r="J23433" s="711"/>
      <c r="K23433" s="711"/>
      <c r="L23433" s="711"/>
      <c r="Q23433" s="11"/>
      <c r="R23433" s="11"/>
      <c r="S23433" s="11"/>
      <c r="T23433" s="11"/>
    </row>
    <row r="23434" spans="8:20" x14ac:dyDescent="0.35">
      <c r="H23434" s="711"/>
      <c r="I23434" s="711"/>
      <c r="J23434" s="711"/>
      <c r="K23434" s="711"/>
      <c r="L23434" s="711"/>
      <c r="Q23434" s="11"/>
      <c r="R23434" s="11"/>
      <c r="S23434" s="11"/>
      <c r="T23434" s="11"/>
    </row>
    <row r="23435" spans="8:20" x14ac:dyDescent="0.35">
      <c r="H23435" s="711"/>
      <c r="I23435" s="711"/>
      <c r="J23435" s="711"/>
      <c r="K23435" s="711"/>
      <c r="L23435" s="711"/>
      <c r="Q23435" s="11"/>
      <c r="R23435" s="11"/>
      <c r="S23435" s="11"/>
      <c r="T23435" s="11"/>
    </row>
    <row r="23436" spans="8:20" x14ac:dyDescent="0.35">
      <c r="H23436" s="711"/>
      <c r="I23436" s="711"/>
      <c r="J23436" s="711"/>
      <c r="K23436" s="711"/>
      <c r="L23436" s="711"/>
      <c r="Q23436" s="11"/>
      <c r="R23436" s="11"/>
      <c r="S23436" s="11"/>
      <c r="T23436" s="11"/>
    </row>
    <row r="23437" spans="8:20" x14ac:dyDescent="0.35">
      <c r="H23437" s="711"/>
      <c r="I23437" s="711"/>
      <c r="J23437" s="711"/>
      <c r="K23437" s="711"/>
      <c r="L23437" s="711"/>
      <c r="Q23437" s="11"/>
      <c r="R23437" s="11"/>
      <c r="S23437" s="11"/>
      <c r="T23437" s="11"/>
    </row>
    <row r="23438" spans="8:20" x14ac:dyDescent="0.35">
      <c r="H23438" s="711"/>
      <c r="I23438" s="711"/>
      <c r="J23438" s="711"/>
      <c r="K23438" s="711"/>
      <c r="L23438" s="711"/>
      <c r="Q23438" s="11"/>
      <c r="R23438" s="11"/>
      <c r="S23438" s="11"/>
      <c r="T23438" s="11"/>
    </row>
    <row r="23439" spans="8:20" x14ac:dyDescent="0.35">
      <c r="H23439" s="711"/>
      <c r="I23439" s="711"/>
      <c r="J23439" s="711"/>
      <c r="K23439" s="711"/>
      <c r="L23439" s="711"/>
      <c r="Q23439" s="11"/>
      <c r="R23439" s="11"/>
      <c r="S23439" s="11"/>
      <c r="T23439" s="11"/>
    </row>
    <row r="23440" spans="8:20" x14ac:dyDescent="0.35">
      <c r="H23440" s="711"/>
      <c r="I23440" s="711"/>
      <c r="J23440" s="711"/>
      <c r="K23440" s="711"/>
      <c r="L23440" s="711"/>
      <c r="Q23440" s="11"/>
      <c r="R23440" s="11"/>
      <c r="S23440" s="11"/>
      <c r="T23440" s="11"/>
    </row>
    <row r="23441" spans="8:20" x14ac:dyDescent="0.35">
      <c r="H23441" s="711"/>
      <c r="I23441" s="711"/>
      <c r="J23441" s="711"/>
      <c r="K23441" s="711"/>
      <c r="L23441" s="711"/>
      <c r="Q23441" s="11"/>
      <c r="R23441" s="11"/>
      <c r="S23441" s="11"/>
      <c r="T23441" s="11"/>
    </row>
    <row r="23442" spans="8:20" x14ac:dyDescent="0.35">
      <c r="H23442" s="711"/>
      <c r="I23442" s="711"/>
      <c r="J23442" s="711"/>
      <c r="K23442" s="711"/>
      <c r="L23442" s="711"/>
      <c r="Q23442" s="11"/>
      <c r="R23442" s="11"/>
      <c r="S23442" s="11"/>
      <c r="T23442" s="11"/>
    </row>
    <row r="23443" spans="8:20" x14ac:dyDescent="0.35">
      <c r="H23443" s="711"/>
      <c r="I23443" s="711"/>
      <c r="J23443" s="711"/>
      <c r="K23443" s="711"/>
      <c r="L23443" s="711"/>
      <c r="Q23443" s="11"/>
      <c r="R23443" s="11"/>
      <c r="S23443" s="11"/>
      <c r="T23443" s="11"/>
    </row>
    <row r="23444" spans="8:20" x14ac:dyDescent="0.35">
      <c r="H23444" s="711"/>
      <c r="I23444" s="711"/>
      <c r="J23444" s="711"/>
      <c r="K23444" s="711"/>
      <c r="L23444" s="711"/>
      <c r="Q23444" s="11"/>
      <c r="R23444" s="11"/>
      <c r="S23444" s="11"/>
      <c r="T23444" s="11"/>
    </row>
    <row r="23445" spans="8:20" x14ac:dyDescent="0.35">
      <c r="H23445" s="711"/>
      <c r="I23445" s="711"/>
      <c r="J23445" s="711"/>
      <c r="K23445" s="711"/>
      <c r="L23445" s="711"/>
      <c r="Q23445" s="11"/>
      <c r="R23445" s="11"/>
      <c r="S23445" s="11"/>
      <c r="T23445" s="11"/>
    </row>
    <row r="23446" spans="8:20" x14ac:dyDescent="0.35">
      <c r="H23446" s="711"/>
      <c r="I23446" s="711"/>
      <c r="J23446" s="711"/>
      <c r="K23446" s="711"/>
      <c r="L23446" s="711"/>
      <c r="Q23446" s="11"/>
      <c r="R23446" s="11"/>
      <c r="S23446" s="11"/>
      <c r="T23446" s="11"/>
    </row>
    <row r="23447" spans="8:20" x14ac:dyDescent="0.35">
      <c r="H23447" s="711"/>
      <c r="I23447" s="711"/>
      <c r="J23447" s="711"/>
      <c r="K23447" s="711"/>
      <c r="L23447" s="711"/>
      <c r="Q23447" s="11"/>
      <c r="R23447" s="11"/>
      <c r="S23447" s="11"/>
      <c r="T23447" s="11"/>
    </row>
    <row r="23448" spans="8:20" x14ac:dyDescent="0.35">
      <c r="H23448" s="711"/>
      <c r="I23448" s="711"/>
      <c r="J23448" s="711"/>
      <c r="K23448" s="711"/>
      <c r="L23448" s="711"/>
      <c r="Q23448" s="11"/>
      <c r="R23448" s="11"/>
      <c r="S23448" s="11"/>
      <c r="T23448" s="11"/>
    </row>
    <row r="23449" spans="8:20" x14ac:dyDescent="0.35">
      <c r="H23449" s="711"/>
      <c r="I23449" s="711"/>
      <c r="J23449" s="711"/>
      <c r="K23449" s="711"/>
      <c r="L23449" s="711"/>
      <c r="Q23449" s="11"/>
      <c r="R23449" s="11"/>
      <c r="S23449" s="11"/>
      <c r="T23449" s="11"/>
    </row>
    <row r="23450" spans="8:20" x14ac:dyDescent="0.35">
      <c r="H23450" s="711"/>
      <c r="I23450" s="711"/>
      <c r="J23450" s="711"/>
      <c r="K23450" s="711"/>
      <c r="L23450" s="711"/>
      <c r="Q23450" s="11"/>
      <c r="R23450" s="11"/>
      <c r="S23450" s="11"/>
      <c r="T23450" s="11"/>
    </row>
    <row r="23451" spans="8:20" x14ac:dyDescent="0.35">
      <c r="H23451" s="711"/>
      <c r="I23451" s="711"/>
      <c r="J23451" s="711"/>
      <c r="K23451" s="711"/>
      <c r="L23451" s="711"/>
      <c r="Q23451" s="11"/>
      <c r="R23451" s="11"/>
      <c r="S23451" s="11"/>
      <c r="T23451" s="11"/>
    </row>
    <row r="23452" spans="8:20" x14ac:dyDescent="0.35">
      <c r="H23452" s="711"/>
      <c r="I23452" s="711"/>
      <c r="J23452" s="711"/>
      <c r="K23452" s="711"/>
      <c r="L23452" s="711"/>
      <c r="Q23452" s="11"/>
      <c r="R23452" s="11"/>
      <c r="S23452" s="11"/>
      <c r="T23452" s="11"/>
    </row>
    <row r="23453" spans="8:20" x14ac:dyDescent="0.35">
      <c r="H23453" s="711"/>
      <c r="I23453" s="711"/>
      <c r="J23453" s="711"/>
      <c r="K23453" s="711"/>
      <c r="L23453" s="711"/>
      <c r="Q23453" s="11"/>
      <c r="R23453" s="11"/>
      <c r="S23453" s="11"/>
      <c r="T23453" s="11"/>
    </row>
    <row r="23454" spans="8:20" x14ac:dyDescent="0.35">
      <c r="H23454" s="711"/>
      <c r="I23454" s="711"/>
      <c r="J23454" s="711"/>
      <c r="K23454" s="711"/>
      <c r="L23454" s="711"/>
      <c r="Q23454" s="11"/>
      <c r="R23454" s="11"/>
      <c r="S23454" s="11"/>
      <c r="T23454" s="11"/>
    </row>
    <row r="23455" spans="8:20" x14ac:dyDescent="0.35">
      <c r="H23455" s="711"/>
      <c r="I23455" s="711"/>
      <c r="J23455" s="711"/>
      <c r="K23455" s="711"/>
      <c r="L23455" s="711"/>
      <c r="Q23455" s="11"/>
      <c r="R23455" s="11"/>
      <c r="S23455" s="11"/>
      <c r="T23455" s="11"/>
    </row>
    <row r="23456" spans="8:20" x14ac:dyDescent="0.35">
      <c r="H23456" s="711"/>
      <c r="I23456" s="711"/>
      <c r="J23456" s="711"/>
      <c r="K23456" s="711"/>
      <c r="L23456" s="711"/>
      <c r="Q23456" s="11"/>
      <c r="R23456" s="11"/>
      <c r="S23456" s="11"/>
      <c r="T23456" s="11"/>
    </row>
    <row r="23457" spans="8:20" x14ac:dyDescent="0.35">
      <c r="H23457" s="711"/>
      <c r="I23457" s="711"/>
      <c r="J23457" s="711"/>
      <c r="K23457" s="711"/>
      <c r="L23457" s="711"/>
      <c r="Q23457" s="11"/>
      <c r="R23457" s="11"/>
      <c r="S23457" s="11"/>
      <c r="T23457" s="11"/>
    </row>
    <row r="23458" spans="8:20" x14ac:dyDescent="0.35">
      <c r="H23458" s="711"/>
      <c r="I23458" s="711"/>
      <c r="J23458" s="711"/>
      <c r="K23458" s="711"/>
      <c r="L23458" s="711"/>
      <c r="Q23458" s="11"/>
      <c r="R23458" s="11"/>
      <c r="S23458" s="11"/>
      <c r="T23458" s="11"/>
    </row>
    <row r="23459" spans="8:20" x14ac:dyDescent="0.35">
      <c r="H23459" s="711"/>
      <c r="I23459" s="711"/>
      <c r="J23459" s="711"/>
      <c r="K23459" s="711"/>
      <c r="L23459" s="711"/>
      <c r="Q23459" s="11"/>
      <c r="R23459" s="11"/>
      <c r="S23459" s="11"/>
      <c r="T23459" s="11"/>
    </row>
    <row r="23460" spans="8:20" x14ac:dyDescent="0.35">
      <c r="H23460" s="711"/>
      <c r="I23460" s="711"/>
      <c r="J23460" s="711"/>
      <c r="K23460" s="711"/>
      <c r="L23460" s="711"/>
      <c r="Q23460" s="11"/>
      <c r="R23460" s="11"/>
      <c r="S23460" s="11"/>
      <c r="T23460" s="11"/>
    </row>
    <row r="23461" spans="8:20" x14ac:dyDescent="0.35">
      <c r="H23461" s="711"/>
      <c r="I23461" s="711"/>
      <c r="J23461" s="711"/>
      <c r="K23461" s="711"/>
      <c r="L23461" s="711"/>
      <c r="Q23461" s="11"/>
      <c r="R23461" s="11"/>
      <c r="S23461" s="11"/>
      <c r="T23461" s="11"/>
    </row>
    <row r="23462" spans="8:20" x14ac:dyDescent="0.35">
      <c r="H23462" s="711"/>
      <c r="I23462" s="711"/>
      <c r="J23462" s="711"/>
      <c r="K23462" s="711"/>
      <c r="L23462" s="711"/>
      <c r="Q23462" s="11"/>
      <c r="R23462" s="11"/>
      <c r="S23462" s="11"/>
      <c r="T23462" s="11"/>
    </row>
    <row r="23463" spans="8:20" x14ac:dyDescent="0.35">
      <c r="H23463" s="711"/>
      <c r="I23463" s="711"/>
      <c r="J23463" s="711"/>
      <c r="K23463" s="711"/>
      <c r="L23463" s="711"/>
      <c r="Q23463" s="11"/>
      <c r="R23463" s="11"/>
      <c r="S23463" s="11"/>
      <c r="T23463" s="11"/>
    </row>
    <row r="23464" spans="8:20" x14ac:dyDescent="0.35">
      <c r="H23464" s="711"/>
      <c r="I23464" s="711"/>
      <c r="J23464" s="711"/>
      <c r="K23464" s="711"/>
      <c r="L23464" s="711"/>
      <c r="Q23464" s="11"/>
      <c r="R23464" s="11"/>
      <c r="S23464" s="11"/>
      <c r="T23464" s="11"/>
    </row>
    <row r="23465" spans="8:20" x14ac:dyDescent="0.35">
      <c r="H23465" s="711"/>
      <c r="I23465" s="711"/>
      <c r="J23465" s="711"/>
      <c r="K23465" s="711"/>
      <c r="L23465" s="711"/>
      <c r="Q23465" s="11"/>
      <c r="R23465" s="11"/>
      <c r="S23465" s="11"/>
      <c r="T23465" s="11"/>
    </row>
    <row r="23466" spans="8:20" x14ac:dyDescent="0.35">
      <c r="H23466" s="711"/>
      <c r="I23466" s="711"/>
      <c r="J23466" s="711"/>
      <c r="K23466" s="711"/>
      <c r="L23466" s="711"/>
      <c r="Q23466" s="11"/>
      <c r="R23466" s="11"/>
      <c r="S23466" s="11"/>
      <c r="T23466" s="11"/>
    </row>
    <row r="23467" spans="8:20" x14ac:dyDescent="0.35">
      <c r="H23467" s="711"/>
      <c r="I23467" s="711"/>
      <c r="J23467" s="711"/>
      <c r="K23467" s="711"/>
      <c r="L23467" s="711"/>
      <c r="Q23467" s="11"/>
      <c r="R23467" s="11"/>
      <c r="S23467" s="11"/>
      <c r="T23467" s="11"/>
    </row>
    <row r="23468" spans="8:20" x14ac:dyDescent="0.35">
      <c r="H23468" s="711"/>
      <c r="I23468" s="711"/>
      <c r="J23468" s="711"/>
      <c r="K23468" s="711"/>
      <c r="L23468" s="711"/>
      <c r="Q23468" s="11"/>
      <c r="R23468" s="11"/>
      <c r="S23468" s="11"/>
      <c r="T23468" s="11"/>
    </row>
    <row r="23469" spans="8:20" x14ac:dyDescent="0.35">
      <c r="H23469" s="711"/>
      <c r="I23469" s="711"/>
      <c r="J23469" s="711"/>
      <c r="K23469" s="711"/>
      <c r="L23469" s="711"/>
      <c r="Q23469" s="11"/>
      <c r="R23469" s="11"/>
      <c r="S23469" s="11"/>
      <c r="T23469" s="11"/>
    </row>
    <row r="23470" spans="8:20" x14ac:dyDescent="0.35">
      <c r="H23470" s="711"/>
      <c r="I23470" s="711"/>
      <c r="J23470" s="711"/>
      <c r="K23470" s="711"/>
      <c r="L23470" s="711"/>
      <c r="Q23470" s="11"/>
      <c r="R23470" s="11"/>
      <c r="S23470" s="11"/>
      <c r="T23470" s="11"/>
    </row>
    <row r="23471" spans="8:20" x14ac:dyDescent="0.35">
      <c r="H23471" s="711"/>
      <c r="I23471" s="711"/>
      <c r="J23471" s="711"/>
      <c r="K23471" s="711"/>
      <c r="L23471" s="711"/>
      <c r="Q23471" s="11"/>
      <c r="R23471" s="11"/>
      <c r="S23471" s="11"/>
      <c r="T23471" s="11"/>
    </row>
    <row r="23472" spans="8:20" x14ac:dyDescent="0.35">
      <c r="H23472" s="711"/>
      <c r="I23472" s="711"/>
      <c r="J23472" s="711"/>
      <c r="K23472" s="711"/>
      <c r="L23472" s="711"/>
      <c r="Q23472" s="11"/>
      <c r="R23472" s="11"/>
      <c r="S23472" s="11"/>
      <c r="T23472" s="11"/>
    </row>
    <row r="23473" spans="8:20" x14ac:dyDescent="0.35">
      <c r="H23473" s="711"/>
      <c r="I23473" s="711"/>
      <c r="J23473" s="711"/>
      <c r="K23473" s="711"/>
      <c r="L23473" s="711"/>
      <c r="Q23473" s="11"/>
      <c r="R23473" s="11"/>
      <c r="S23473" s="11"/>
      <c r="T23473" s="11"/>
    </row>
    <row r="23474" spans="8:20" x14ac:dyDescent="0.35">
      <c r="H23474" s="711"/>
      <c r="I23474" s="711"/>
      <c r="J23474" s="711"/>
      <c r="K23474" s="711"/>
      <c r="L23474" s="711"/>
      <c r="Q23474" s="11"/>
      <c r="R23474" s="11"/>
      <c r="S23474" s="11"/>
      <c r="T23474" s="11"/>
    </row>
    <row r="23475" spans="8:20" x14ac:dyDescent="0.35">
      <c r="H23475" s="711"/>
      <c r="I23475" s="711"/>
      <c r="J23475" s="711"/>
      <c r="K23475" s="711"/>
      <c r="L23475" s="711"/>
      <c r="Q23475" s="11"/>
      <c r="R23475" s="11"/>
      <c r="S23475" s="11"/>
      <c r="T23475" s="11"/>
    </row>
    <row r="23476" spans="8:20" x14ac:dyDescent="0.35">
      <c r="H23476" s="711"/>
      <c r="I23476" s="711"/>
      <c r="J23476" s="711"/>
      <c r="K23476" s="711"/>
      <c r="L23476" s="711"/>
      <c r="Q23476" s="11"/>
      <c r="R23476" s="11"/>
      <c r="S23476" s="11"/>
      <c r="T23476" s="11"/>
    </row>
    <row r="23477" spans="8:20" x14ac:dyDescent="0.35">
      <c r="H23477" s="711"/>
      <c r="I23477" s="711"/>
      <c r="J23477" s="711"/>
      <c r="K23477" s="711"/>
      <c r="L23477" s="711"/>
      <c r="Q23477" s="11"/>
      <c r="R23477" s="11"/>
      <c r="S23477" s="11"/>
      <c r="T23477" s="11"/>
    </row>
    <row r="23478" spans="8:20" x14ac:dyDescent="0.35">
      <c r="H23478" s="711"/>
      <c r="I23478" s="711"/>
      <c r="J23478" s="711"/>
      <c r="K23478" s="711"/>
      <c r="L23478" s="711"/>
      <c r="Q23478" s="11"/>
      <c r="R23478" s="11"/>
      <c r="S23478" s="11"/>
      <c r="T23478" s="11"/>
    </row>
    <row r="23479" spans="8:20" x14ac:dyDescent="0.35">
      <c r="H23479" s="711"/>
      <c r="I23479" s="711"/>
      <c r="J23479" s="711"/>
      <c r="K23479" s="711"/>
      <c r="L23479" s="711"/>
      <c r="Q23479" s="11"/>
      <c r="R23479" s="11"/>
      <c r="S23479" s="11"/>
      <c r="T23479" s="11"/>
    </row>
    <row r="23480" spans="8:20" x14ac:dyDescent="0.35">
      <c r="H23480" s="711"/>
      <c r="I23480" s="711"/>
      <c r="J23480" s="711"/>
      <c r="K23480" s="711"/>
      <c r="L23480" s="711"/>
      <c r="Q23480" s="11"/>
      <c r="R23480" s="11"/>
      <c r="S23480" s="11"/>
      <c r="T23480" s="11"/>
    </row>
    <row r="23481" spans="8:20" x14ac:dyDescent="0.35">
      <c r="H23481" s="711"/>
      <c r="I23481" s="711"/>
      <c r="J23481" s="711"/>
      <c r="K23481" s="711"/>
      <c r="L23481" s="711"/>
      <c r="Q23481" s="11"/>
      <c r="R23481" s="11"/>
      <c r="S23481" s="11"/>
      <c r="T23481" s="11"/>
    </row>
    <row r="23482" spans="8:20" x14ac:dyDescent="0.35">
      <c r="H23482" s="711"/>
      <c r="I23482" s="711"/>
      <c r="J23482" s="711"/>
      <c r="K23482" s="711"/>
      <c r="L23482" s="711"/>
      <c r="Q23482" s="11"/>
      <c r="R23482" s="11"/>
      <c r="S23482" s="11"/>
      <c r="T23482" s="11"/>
    </row>
    <row r="23483" spans="8:20" x14ac:dyDescent="0.35">
      <c r="H23483" s="711"/>
      <c r="I23483" s="711"/>
      <c r="J23483" s="711"/>
      <c r="K23483" s="711"/>
      <c r="L23483" s="711"/>
      <c r="Q23483" s="11"/>
      <c r="R23483" s="11"/>
      <c r="S23483" s="11"/>
      <c r="T23483" s="11"/>
    </row>
    <row r="23484" spans="8:20" x14ac:dyDescent="0.35">
      <c r="H23484" s="711"/>
      <c r="I23484" s="711"/>
      <c r="J23484" s="711"/>
      <c r="K23484" s="711"/>
      <c r="L23484" s="711"/>
      <c r="Q23484" s="11"/>
      <c r="R23484" s="11"/>
      <c r="S23484" s="11"/>
      <c r="T23484" s="11"/>
    </row>
    <row r="23485" spans="8:20" x14ac:dyDescent="0.35">
      <c r="H23485" s="711"/>
      <c r="I23485" s="711"/>
      <c r="J23485" s="711"/>
      <c r="K23485" s="711"/>
      <c r="L23485" s="711"/>
      <c r="Q23485" s="11"/>
      <c r="R23485" s="11"/>
      <c r="S23485" s="11"/>
      <c r="T23485" s="11"/>
    </row>
    <row r="23486" spans="8:20" x14ac:dyDescent="0.35">
      <c r="H23486" s="711"/>
      <c r="I23486" s="711"/>
      <c r="J23486" s="711"/>
      <c r="K23486" s="711"/>
      <c r="L23486" s="711"/>
      <c r="Q23486" s="11"/>
      <c r="R23486" s="11"/>
      <c r="S23486" s="11"/>
      <c r="T23486" s="11"/>
    </row>
    <row r="23487" spans="8:20" x14ac:dyDescent="0.35">
      <c r="H23487" s="711"/>
      <c r="I23487" s="711"/>
      <c r="J23487" s="711"/>
      <c r="K23487" s="711"/>
      <c r="L23487" s="711"/>
      <c r="Q23487" s="11"/>
      <c r="R23487" s="11"/>
      <c r="S23487" s="11"/>
      <c r="T23487" s="11"/>
    </row>
    <row r="23488" spans="8:20" x14ac:dyDescent="0.35">
      <c r="H23488" s="711"/>
      <c r="I23488" s="711"/>
      <c r="J23488" s="711"/>
      <c r="K23488" s="711"/>
      <c r="L23488" s="711"/>
      <c r="Q23488" s="11"/>
      <c r="R23488" s="11"/>
      <c r="S23488" s="11"/>
      <c r="T23488" s="11"/>
    </row>
    <row r="23489" spans="8:20" x14ac:dyDescent="0.35">
      <c r="H23489" s="711"/>
      <c r="I23489" s="711"/>
      <c r="J23489" s="711"/>
      <c r="K23489" s="711"/>
      <c r="L23489" s="711"/>
      <c r="Q23489" s="11"/>
      <c r="R23489" s="11"/>
      <c r="S23489" s="11"/>
      <c r="T23489" s="11"/>
    </row>
    <row r="23490" spans="8:20" x14ac:dyDescent="0.35">
      <c r="H23490" s="711"/>
      <c r="I23490" s="711"/>
      <c r="J23490" s="711"/>
      <c r="K23490" s="711"/>
      <c r="L23490" s="711"/>
      <c r="Q23490" s="11"/>
      <c r="R23490" s="11"/>
      <c r="S23490" s="11"/>
      <c r="T23490" s="11"/>
    </row>
    <row r="23491" spans="8:20" x14ac:dyDescent="0.35">
      <c r="H23491" s="711"/>
      <c r="I23491" s="711"/>
      <c r="J23491" s="711"/>
      <c r="K23491" s="711"/>
      <c r="L23491" s="711"/>
      <c r="Q23491" s="11"/>
      <c r="R23491" s="11"/>
      <c r="S23491" s="11"/>
      <c r="T23491" s="11"/>
    </row>
    <row r="23492" spans="8:20" x14ac:dyDescent="0.35">
      <c r="H23492" s="711"/>
      <c r="I23492" s="711"/>
      <c r="J23492" s="711"/>
      <c r="K23492" s="711"/>
      <c r="L23492" s="711"/>
      <c r="Q23492" s="11"/>
      <c r="R23492" s="11"/>
      <c r="S23492" s="11"/>
      <c r="T23492" s="11"/>
    </row>
    <row r="23493" spans="8:20" x14ac:dyDescent="0.35">
      <c r="H23493" s="711"/>
      <c r="I23493" s="711"/>
      <c r="J23493" s="711"/>
      <c r="K23493" s="711"/>
      <c r="L23493" s="711"/>
      <c r="Q23493" s="11"/>
      <c r="R23493" s="11"/>
      <c r="S23493" s="11"/>
      <c r="T23493" s="11"/>
    </row>
    <row r="23494" spans="8:20" x14ac:dyDescent="0.35">
      <c r="H23494" s="711"/>
      <c r="I23494" s="711"/>
      <c r="J23494" s="711"/>
      <c r="K23494" s="711"/>
      <c r="L23494" s="711"/>
      <c r="Q23494" s="11"/>
      <c r="R23494" s="11"/>
      <c r="S23494" s="11"/>
      <c r="T23494" s="11"/>
    </row>
    <row r="23495" spans="8:20" x14ac:dyDescent="0.35">
      <c r="H23495" s="711"/>
      <c r="I23495" s="711"/>
      <c r="J23495" s="711"/>
      <c r="K23495" s="711"/>
      <c r="L23495" s="711"/>
      <c r="Q23495" s="11"/>
      <c r="R23495" s="11"/>
      <c r="S23495" s="11"/>
      <c r="T23495" s="11"/>
    </row>
    <row r="23496" spans="8:20" x14ac:dyDescent="0.35">
      <c r="H23496" s="711"/>
      <c r="I23496" s="711"/>
      <c r="J23496" s="711"/>
      <c r="K23496" s="711"/>
      <c r="L23496" s="711"/>
      <c r="Q23496" s="11"/>
      <c r="R23496" s="11"/>
      <c r="S23496" s="11"/>
      <c r="T23496" s="11"/>
    </row>
    <row r="23497" spans="8:20" x14ac:dyDescent="0.35">
      <c r="H23497" s="711"/>
      <c r="I23497" s="711"/>
      <c r="J23497" s="711"/>
      <c r="K23497" s="711"/>
      <c r="L23497" s="711"/>
      <c r="Q23497" s="11"/>
      <c r="R23497" s="11"/>
      <c r="S23497" s="11"/>
      <c r="T23497" s="11"/>
    </row>
    <row r="23498" spans="8:20" x14ac:dyDescent="0.35">
      <c r="H23498" s="711"/>
      <c r="I23498" s="711"/>
      <c r="J23498" s="711"/>
      <c r="K23498" s="711"/>
      <c r="L23498" s="711"/>
      <c r="Q23498" s="11"/>
      <c r="R23498" s="11"/>
      <c r="S23498" s="11"/>
      <c r="T23498" s="11"/>
    </row>
    <row r="23499" spans="8:20" x14ac:dyDescent="0.35">
      <c r="H23499" s="711"/>
      <c r="I23499" s="711"/>
      <c r="J23499" s="711"/>
      <c r="K23499" s="711"/>
      <c r="L23499" s="711"/>
      <c r="Q23499" s="11"/>
      <c r="R23499" s="11"/>
      <c r="S23499" s="11"/>
      <c r="T23499" s="11"/>
    </row>
    <row r="23500" spans="8:20" x14ac:dyDescent="0.35">
      <c r="H23500" s="711"/>
      <c r="I23500" s="711"/>
      <c r="J23500" s="711"/>
      <c r="K23500" s="711"/>
      <c r="L23500" s="711"/>
      <c r="Q23500" s="11"/>
      <c r="R23500" s="11"/>
      <c r="S23500" s="11"/>
      <c r="T23500" s="11"/>
    </row>
    <row r="23501" spans="8:20" x14ac:dyDescent="0.35">
      <c r="H23501" s="711"/>
      <c r="I23501" s="711"/>
      <c r="J23501" s="711"/>
      <c r="K23501" s="711"/>
      <c r="L23501" s="711"/>
      <c r="Q23501" s="11"/>
      <c r="R23501" s="11"/>
      <c r="S23501" s="11"/>
      <c r="T23501" s="11"/>
    </row>
    <row r="23502" spans="8:20" x14ac:dyDescent="0.35">
      <c r="H23502" s="711"/>
      <c r="I23502" s="711"/>
      <c r="J23502" s="711"/>
      <c r="K23502" s="711"/>
      <c r="L23502" s="711"/>
      <c r="Q23502" s="11"/>
      <c r="R23502" s="11"/>
      <c r="S23502" s="11"/>
      <c r="T23502" s="11"/>
    </row>
    <row r="23503" spans="8:20" x14ac:dyDescent="0.35">
      <c r="H23503" s="711"/>
      <c r="I23503" s="711"/>
      <c r="J23503" s="711"/>
      <c r="K23503" s="711"/>
      <c r="L23503" s="711"/>
      <c r="Q23503" s="11"/>
      <c r="R23503" s="11"/>
      <c r="S23503" s="11"/>
      <c r="T23503" s="11"/>
    </row>
    <row r="23504" spans="8:20" x14ac:dyDescent="0.35">
      <c r="H23504" s="711"/>
      <c r="I23504" s="711"/>
      <c r="J23504" s="711"/>
      <c r="K23504" s="711"/>
      <c r="L23504" s="711"/>
      <c r="Q23504" s="11"/>
      <c r="R23504" s="11"/>
      <c r="S23504" s="11"/>
      <c r="T23504" s="11"/>
    </row>
    <row r="23505" spans="8:20" x14ac:dyDescent="0.35">
      <c r="H23505" s="711"/>
      <c r="I23505" s="711"/>
      <c r="J23505" s="711"/>
      <c r="K23505" s="711"/>
      <c r="L23505" s="711"/>
      <c r="Q23505" s="11"/>
      <c r="R23505" s="11"/>
      <c r="S23505" s="11"/>
      <c r="T23505" s="11"/>
    </row>
    <row r="23506" spans="8:20" x14ac:dyDescent="0.35">
      <c r="H23506" s="711"/>
      <c r="I23506" s="711"/>
      <c r="J23506" s="711"/>
      <c r="K23506" s="711"/>
      <c r="L23506" s="711"/>
      <c r="Q23506" s="11"/>
      <c r="R23506" s="11"/>
      <c r="S23506" s="11"/>
      <c r="T23506" s="11"/>
    </row>
    <row r="23507" spans="8:20" x14ac:dyDescent="0.35">
      <c r="H23507" s="711"/>
      <c r="I23507" s="711"/>
      <c r="J23507" s="711"/>
      <c r="K23507" s="711"/>
      <c r="L23507" s="711"/>
      <c r="Q23507" s="11"/>
      <c r="R23507" s="11"/>
      <c r="S23507" s="11"/>
      <c r="T23507" s="11"/>
    </row>
    <row r="23508" spans="8:20" x14ac:dyDescent="0.35">
      <c r="H23508" s="711"/>
      <c r="I23508" s="711"/>
      <c r="J23508" s="711"/>
      <c r="K23508" s="711"/>
      <c r="L23508" s="711"/>
      <c r="Q23508" s="11"/>
      <c r="R23508" s="11"/>
      <c r="S23508" s="11"/>
      <c r="T23508" s="11"/>
    </row>
    <row r="23509" spans="8:20" x14ac:dyDescent="0.35">
      <c r="H23509" s="711"/>
      <c r="I23509" s="711"/>
      <c r="J23509" s="711"/>
      <c r="K23509" s="711"/>
      <c r="L23509" s="711"/>
      <c r="Q23509" s="11"/>
      <c r="R23509" s="11"/>
      <c r="S23509" s="11"/>
      <c r="T23509" s="11"/>
    </row>
    <row r="23510" spans="8:20" x14ac:dyDescent="0.35">
      <c r="H23510" s="711"/>
      <c r="I23510" s="711"/>
      <c r="J23510" s="711"/>
      <c r="K23510" s="711"/>
      <c r="L23510" s="711"/>
      <c r="Q23510" s="11"/>
      <c r="R23510" s="11"/>
      <c r="S23510" s="11"/>
      <c r="T23510" s="11"/>
    </row>
    <row r="23511" spans="8:20" x14ac:dyDescent="0.35">
      <c r="H23511" s="711"/>
      <c r="I23511" s="711"/>
      <c r="J23511" s="711"/>
      <c r="K23511" s="711"/>
      <c r="L23511" s="711"/>
      <c r="Q23511" s="11"/>
      <c r="R23511" s="11"/>
      <c r="S23511" s="11"/>
      <c r="T23511" s="11"/>
    </row>
    <row r="23512" spans="8:20" x14ac:dyDescent="0.35">
      <c r="H23512" s="711"/>
      <c r="I23512" s="711"/>
      <c r="J23512" s="711"/>
      <c r="K23512" s="711"/>
      <c r="L23512" s="711"/>
      <c r="Q23512" s="11"/>
      <c r="R23512" s="11"/>
      <c r="S23512" s="11"/>
      <c r="T23512" s="11"/>
    </row>
    <row r="23513" spans="8:20" x14ac:dyDescent="0.35">
      <c r="H23513" s="711"/>
      <c r="I23513" s="711"/>
      <c r="J23513" s="711"/>
      <c r="K23513" s="711"/>
      <c r="L23513" s="711"/>
      <c r="Q23513" s="11"/>
      <c r="R23513" s="11"/>
      <c r="S23513" s="11"/>
      <c r="T23513" s="11"/>
    </row>
    <row r="23514" spans="8:20" x14ac:dyDescent="0.35">
      <c r="H23514" s="711"/>
      <c r="I23514" s="711"/>
      <c r="J23514" s="711"/>
      <c r="K23514" s="711"/>
      <c r="L23514" s="711"/>
      <c r="Q23514" s="11"/>
      <c r="R23514" s="11"/>
      <c r="S23514" s="11"/>
      <c r="T23514" s="11"/>
    </row>
    <row r="23515" spans="8:20" x14ac:dyDescent="0.35">
      <c r="H23515" s="711"/>
      <c r="I23515" s="711"/>
      <c r="J23515" s="711"/>
      <c r="K23515" s="711"/>
      <c r="L23515" s="711"/>
      <c r="Q23515" s="11"/>
      <c r="R23515" s="11"/>
      <c r="S23515" s="11"/>
      <c r="T23515" s="11"/>
    </row>
    <row r="23516" spans="8:20" x14ac:dyDescent="0.35">
      <c r="H23516" s="711"/>
      <c r="I23516" s="711"/>
      <c r="J23516" s="711"/>
      <c r="K23516" s="711"/>
      <c r="L23516" s="711"/>
      <c r="Q23516" s="11"/>
      <c r="R23516" s="11"/>
      <c r="S23516" s="11"/>
      <c r="T23516" s="11"/>
    </row>
    <row r="23517" spans="8:20" x14ac:dyDescent="0.35">
      <c r="H23517" s="711"/>
      <c r="I23517" s="711"/>
      <c r="J23517" s="711"/>
      <c r="K23517" s="711"/>
      <c r="L23517" s="711"/>
      <c r="Q23517" s="11"/>
      <c r="R23517" s="11"/>
      <c r="S23517" s="11"/>
      <c r="T23517" s="11"/>
    </row>
    <row r="23518" spans="8:20" x14ac:dyDescent="0.35">
      <c r="H23518" s="711"/>
      <c r="I23518" s="711"/>
      <c r="J23518" s="711"/>
      <c r="K23518" s="711"/>
      <c r="L23518" s="711"/>
      <c r="Q23518" s="11"/>
      <c r="R23518" s="11"/>
      <c r="S23518" s="11"/>
      <c r="T23518" s="11"/>
    </row>
    <row r="23519" spans="8:20" x14ac:dyDescent="0.35">
      <c r="H23519" s="711"/>
      <c r="I23519" s="711"/>
      <c r="J23519" s="711"/>
      <c r="K23519" s="711"/>
      <c r="L23519" s="711"/>
      <c r="Q23519" s="11"/>
      <c r="R23519" s="11"/>
      <c r="S23519" s="11"/>
      <c r="T23519" s="11"/>
    </row>
    <row r="23520" spans="8:20" x14ac:dyDescent="0.35">
      <c r="H23520" s="711"/>
      <c r="I23520" s="711"/>
      <c r="J23520" s="711"/>
      <c r="K23520" s="711"/>
      <c r="L23520" s="711"/>
      <c r="Q23520" s="11"/>
      <c r="R23520" s="11"/>
      <c r="S23520" s="11"/>
      <c r="T23520" s="11"/>
    </row>
    <row r="23521" spans="8:20" x14ac:dyDescent="0.35">
      <c r="H23521" s="711"/>
      <c r="I23521" s="711"/>
      <c r="J23521" s="711"/>
      <c r="K23521" s="711"/>
      <c r="L23521" s="711"/>
      <c r="Q23521" s="11"/>
      <c r="R23521" s="11"/>
      <c r="S23521" s="11"/>
      <c r="T23521" s="11"/>
    </row>
    <row r="23522" spans="8:20" x14ac:dyDescent="0.35">
      <c r="H23522" s="711"/>
      <c r="I23522" s="711"/>
      <c r="J23522" s="711"/>
      <c r="K23522" s="711"/>
      <c r="L23522" s="711"/>
      <c r="Q23522" s="11"/>
      <c r="R23522" s="11"/>
      <c r="S23522" s="11"/>
      <c r="T23522" s="11"/>
    </row>
    <row r="23523" spans="8:20" x14ac:dyDescent="0.35">
      <c r="H23523" s="711"/>
      <c r="I23523" s="711"/>
      <c r="J23523" s="711"/>
      <c r="K23523" s="711"/>
      <c r="L23523" s="711"/>
      <c r="Q23523" s="11"/>
      <c r="R23523" s="11"/>
      <c r="S23523" s="11"/>
      <c r="T23523" s="11"/>
    </row>
    <row r="23524" spans="8:20" x14ac:dyDescent="0.35">
      <c r="H23524" s="711"/>
      <c r="I23524" s="711"/>
      <c r="J23524" s="711"/>
      <c r="K23524" s="711"/>
      <c r="L23524" s="711"/>
      <c r="Q23524" s="11"/>
      <c r="R23524" s="11"/>
      <c r="S23524" s="11"/>
      <c r="T23524" s="11"/>
    </row>
    <row r="23525" spans="8:20" x14ac:dyDescent="0.35">
      <c r="H23525" s="711"/>
      <c r="I23525" s="711"/>
      <c r="J23525" s="711"/>
      <c r="K23525" s="711"/>
      <c r="L23525" s="711"/>
      <c r="Q23525" s="11"/>
      <c r="R23525" s="11"/>
      <c r="S23525" s="11"/>
      <c r="T23525" s="11"/>
    </row>
    <row r="23526" spans="8:20" x14ac:dyDescent="0.35">
      <c r="H23526" s="711"/>
      <c r="I23526" s="711"/>
      <c r="J23526" s="711"/>
      <c r="K23526" s="711"/>
      <c r="L23526" s="711"/>
      <c r="Q23526" s="11"/>
      <c r="R23526" s="11"/>
      <c r="S23526" s="11"/>
      <c r="T23526" s="11"/>
    </row>
    <row r="23527" spans="8:20" x14ac:dyDescent="0.35">
      <c r="H23527" s="711"/>
      <c r="I23527" s="711"/>
      <c r="J23527" s="711"/>
      <c r="K23527" s="711"/>
      <c r="L23527" s="711"/>
      <c r="Q23527" s="11"/>
      <c r="R23527" s="11"/>
      <c r="S23527" s="11"/>
      <c r="T23527" s="11"/>
    </row>
    <row r="23528" spans="8:20" x14ac:dyDescent="0.35">
      <c r="H23528" s="711"/>
      <c r="I23528" s="711"/>
      <c r="J23528" s="711"/>
      <c r="K23528" s="711"/>
      <c r="L23528" s="711"/>
      <c r="Q23528" s="11"/>
      <c r="R23528" s="11"/>
      <c r="S23528" s="11"/>
      <c r="T23528" s="11"/>
    </row>
    <row r="23529" spans="8:20" x14ac:dyDescent="0.35">
      <c r="H23529" s="711"/>
      <c r="I23529" s="711"/>
      <c r="J23529" s="711"/>
      <c r="K23529" s="711"/>
      <c r="L23529" s="711"/>
      <c r="Q23529" s="11"/>
      <c r="R23529" s="11"/>
      <c r="S23529" s="11"/>
      <c r="T23529" s="11"/>
    </row>
    <row r="23530" spans="8:20" x14ac:dyDescent="0.35">
      <c r="H23530" s="711"/>
      <c r="I23530" s="711"/>
      <c r="J23530" s="711"/>
      <c r="K23530" s="711"/>
      <c r="L23530" s="711"/>
      <c r="Q23530" s="11"/>
      <c r="R23530" s="11"/>
      <c r="S23530" s="11"/>
      <c r="T23530" s="11"/>
    </row>
    <row r="23531" spans="8:20" x14ac:dyDescent="0.35">
      <c r="H23531" s="711"/>
      <c r="I23531" s="711"/>
      <c r="J23531" s="711"/>
      <c r="K23531" s="711"/>
      <c r="L23531" s="711"/>
      <c r="Q23531" s="11"/>
      <c r="R23531" s="11"/>
      <c r="S23531" s="11"/>
      <c r="T23531" s="11"/>
    </row>
    <row r="23532" spans="8:20" x14ac:dyDescent="0.35">
      <c r="H23532" s="711"/>
      <c r="I23532" s="711"/>
      <c r="J23532" s="711"/>
      <c r="K23532" s="711"/>
      <c r="L23532" s="711"/>
      <c r="Q23532" s="11"/>
      <c r="R23532" s="11"/>
      <c r="S23532" s="11"/>
      <c r="T23532" s="11"/>
    </row>
    <row r="23533" spans="8:20" x14ac:dyDescent="0.35">
      <c r="H23533" s="711"/>
      <c r="I23533" s="711"/>
      <c r="J23533" s="711"/>
      <c r="K23533" s="711"/>
      <c r="L23533" s="711"/>
      <c r="Q23533" s="11"/>
      <c r="R23533" s="11"/>
      <c r="S23533" s="11"/>
      <c r="T23533" s="11"/>
    </row>
    <row r="23534" spans="8:20" x14ac:dyDescent="0.35">
      <c r="H23534" s="711"/>
      <c r="I23534" s="711"/>
      <c r="J23534" s="711"/>
      <c r="K23534" s="711"/>
      <c r="L23534" s="711"/>
      <c r="Q23534" s="11"/>
      <c r="R23534" s="11"/>
      <c r="S23534" s="11"/>
      <c r="T23534" s="11"/>
    </row>
    <row r="23535" spans="8:20" x14ac:dyDescent="0.35">
      <c r="H23535" s="711"/>
      <c r="I23535" s="711"/>
      <c r="J23535" s="711"/>
      <c r="K23535" s="711"/>
      <c r="L23535" s="711"/>
      <c r="Q23535" s="11"/>
      <c r="R23535" s="11"/>
      <c r="S23535" s="11"/>
      <c r="T23535" s="11"/>
    </row>
    <row r="23536" spans="8:20" x14ac:dyDescent="0.35">
      <c r="H23536" s="711"/>
      <c r="I23536" s="711"/>
      <c r="J23536" s="711"/>
      <c r="K23536" s="711"/>
      <c r="L23536" s="711"/>
      <c r="Q23536" s="11"/>
      <c r="R23536" s="11"/>
      <c r="S23536" s="11"/>
      <c r="T23536" s="11"/>
    </row>
    <row r="23537" spans="8:20" x14ac:dyDescent="0.35">
      <c r="H23537" s="711"/>
      <c r="I23537" s="711"/>
      <c r="J23537" s="711"/>
      <c r="K23537" s="711"/>
      <c r="L23537" s="711"/>
      <c r="Q23537" s="11"/>
      <c r="R23537" s="11"/>
      <c r="S23537" s="11"/>
      <c r="T23537" s="11"/>
    </row>
    <row r="23538" spans="8:20" x14ac:dyDescent="0.35">
      <c r="H23538" s="711"/>
      <c r="I23538" s="711"/>
      <c r="J23538" s="711"/>
      <c r="K23538" s="711"/>
      <c r="L23538" s="711"/>
      <c r="Q23538" s="11"/>
      <c r="R23538" s="11"/>
      <c r="S23538" s="11"/>
      <c r="T23538" s="11"/>
    </row>
    <row r="23539" spans="8:20" x14ac:dyDescent="0.35">
      <c r="H23539" s="711"/>
      <c r="I23539" s="711"/>
      <c r="J23539" s="711"/>
      <c r="K23539" s="711"/>
      <c r="L23539" s="711"/>
      <c r="Q23539" s="11"/>
      <c r="R23539" s="11"/>
      <c r="S23539" s="11"/>
      <c r="T23539" s="11"/>
    </row>
    <row r="23540" spans="8:20" x14ac:dyDescent="0.35">
      <c r="H23540" s="711"/>
      <c r="I23540" s="711"/>
      <c r="J23540" s="711"/>
      <c r="K23540" s="711"/>
      <c r="L23540" s="711"/>
      <c r="Q23540" s="11"/>
      <c r="R23540" s="11"/>
      <c r="S23540" s="11"/>
      <c r="T23540" s="11"/>
    </row>
    <row r="23541" spans="8:20" x14ac:dyDescent="0.35">
      <c r="H23541" s="711"/>
      <c r="I23541" s="711"/>
      <c r="J23541" s="711"/>
      <c r="K23541" s="711"/>
      <c r="L23541" s="711"/>
      <c r="Q23541" s="11"/>
      <c r="R23541" s="11"/>
      <c r="S23541" s="11"/>
      <c r="T23541" s="11"/>
    </row>
    <row r="23542" spans="8:20" x14ac:dyDescent="0.35">
      <c r="H23542" s="711"/>
      <c r="I23542" s="711"/>
      <c r="J23542" s="711"/>
      <c r="K23542" s="711"/>
      <c r="L23542" s="711"/>
      <c r="Q23542" s="11"/>
      <c r="R23542" s="11"/>
      <c r="S23542" s="11"/>
      <c r="T23542" s="11"/>
    </row>
    <row r="23543" spans="8:20" x14ac:dyDescent="0.35">
      <c r="H23543" s="711"/>
      <c r="I23543" s="711"/>
      <c r="J23543" s="711"/>
      <c r="K23543" s="711"/>
      <c r="L23543" s="711"/>
      <c r="Q23543" s="11"/>
      <c r="R23543" s="11"/>
      <c r="S23543" s="11"/>
      <c r="T23543" s="11"/>
    </row>
    <row r="23544" spans="8:20" x14ac:dyDescent="0.35">
      <c r="H23544" s="711"/>
      <c r="I23544" s="711"/>
      <c r="J23544" s="711"/>
      <c r="K23544" s="711"/>
      <c r="L23544" s="711"/>
      <c r="Q23544" s="11"/>
      <c r="R23544" s="11"/>
      <c r="S23544" s="11"/>
      <c r="T23544" s="11"/>
    </row>
    <row r="23545" spans="8:20" x14ac:dyDescent="0.35">
      <c r="H23545" s="711"/>
      <c r="I23545" s="711"/>
      <c r="J23545" s="711"/>
      <c r="K23545" s="711"/>
      <c r="L23545" s="711"/>
      <c r="Q23545" s="11"/>
      <c r="R23545" s="11"/>
      <c r="S23545" s="11"/>
      <c r="T23545" s="11"/>
    </row>
    <row r="23546" spans="8:20" x14ac:dyDescent="0.35">
      <c r="H23546" s="711"/>
      <c r="I23546" s="711"/>
      <c r="J23546" s="711"/>
      <c r="K23546" s="711"/>
      <c r="L23546" s="711"/>
      <c r="Q23546" s="11"/>
      <c r="R23546" s="11"/>
      <c r="S23546" s="11"/>
      <c r="T23546" s="11"/>
    </row>
    <row r="23547" spans="8:20" x14ac:dyDescent="0.35">
      <c r="H23547" s="711"/>
      <c r="I23547" s="711"/>
      <c r="J23547" s="711"/>
      <c r="K23547" s="711"/>
      <c r="L23547" s="711"/>
      <c r="Q23547" s="11"/>
      <c r="R23547" s="11"/>
      <c r="S23547" s="11"/>
      <c r="T23547" s="11"/>
    </row>
    <row r="23548" spans="8:20" x14ac:dyDescent="0.35">
      <c r="H23548" s="711"/>
      <c r="I23548" s="711"/>
      <c r="J23548" s="711"/>
      <c r="K23548" s="711"/>
      <c r="L23548" s="711"/>
      <c r="Q23548" s="11"/>
      <c r="R23548" s="11"/>
      <c r="S23548" s="11"/>
      <c r="T23548" s="11"/>
    </row>
    <row r="23549" spans="8:20" x14ac:dyDescent="0.35">
      <c r="H23549" s="711"/>
      <c r="I23549" s="711"/>
      <c r="J23549" s="711"/>
      <c r="K23549" s="711"/>
      <c r="L23549" s="711"/>
      <c r="Q23549" s="11"/>
      <c r="R23549" s="11"/>
      <c r="S23549" s="11"/>
      <c r="T23549" s="11"/>
    </row>
    <row r="23550" spans="8:20" x14ac:dyDescent="0.35">
      <c r="H23550" s="711"/>
      <c r="I23550" s="711"/>
      <c r="J23550" s="711"/>
      <c r="K23550" s="711"/>
      <c r="L23550" s="711"/>
      <c r="Q23550" s="11"/>
      <c r="R23550" s="11"/>
      <c r="S23550" s="11"/>
      <c r="T23550" s="11"/>
    </row>
    <row r="23551" spans="8:20" x14ac:dyDescent="0.35">
      <c r="H23551" s="711"/>
      <c r="I23551" s="711"/>
      <c r="J23551" s="711"/>
      <c r="K23551" s="711"/>
      <c r="L23551" s="711"/>
      <c r="Q23551" s="11"/>
      <c r="R23551" s="11"/>
      <c r="S23551" s="11"/>
      <c r="T23551" s="11"/>
    </row>
    <row r="23552" spans="8:20" x14ac:dyDescent="0.35">
      <c r="H23552" s="711"/>
      <c r="I23552" s="711"/>
      <c r="J23552" s="711"/>
      <c r="K23552" s="711"/>
      <c r="L23552" s="711"/>
      <c r="Q23552" s="11"/>
      <c r="R23552" s="11"/>
      <c r="S23552" s="11"/>
      <c r="T23552" s="11"/>
    </row>
    <row r="23553" spans="8:20" x14ac:dyDescent="0.35">
      <c r="H23553" s="711"/>
      <c r="I23553" s="711"/>
      <c r="J23553" s="711"/>
      <c r="K23553" s="711"/>
      <c r="L23553" s="711"/>
      <c r="Q23553" s="11"/>
      <c r="R23553" s="11"/>
      <c r="S23553" s="11"/>
      <c r="T23553" s="11"/>
    </row>
    <row r="23554" spans="8:20" x14ac:dyDescent="0.35">
      <c r="H23554" s="711"/>
      <c r="I23554" s="711"/>
      <c r="J23554" s="711"/>
      <c r="K23554" s="711"/>
      <c r="L23554" s="711"/>
      <c r="Q23554" s="11"/>
      <c r="R23554" s="11"/>
      <c r="S23554" s="11"/>
      <c r="T23554" s="11"/>
    </row>
    <row r="23555" spans="8:20" x14ac:dyDescent="0.35">
      <c r="H23555" s="711"/>
      <c r="I23555" s="711"/>
      <c r="J23555" s="711"/>
      <c r="K23555" s="711"/>
      <c r="L23555" s="711"/>
      <c r="Q23555" s="11"/>
      <c r="R23555" s="11"/>
      <c r="S23555" s="11"/>
      <c r="T23555" s="11"/>
    </row>
    <row r="23556" spans="8:20" x14ac:dyDescent="0.35">
      <c r="H23556" s="711"/>
      <c r="I23556" s="711"/>
      <c r="J23556" s="711"/>
      <c r="K23556" s="711"/>
      <c r="L23556" s="711"/>
      <c r="Q23556" s="11"/>
      <c r="R23556" s="11"/>
      <c r="S23556" s="11"/>
      <c r="T23556" s="11"/>
    </row>
    <row r="23557" spans="8:20" x14ac:dyDescent="0.35">
      <c r="H23557" s="711"/>
      <c r="I23557" s="711"/>
      <c r="J23557" s="711"/>
      <c r="K23557" s="711"/>
      <c r="L23557" s="711"/>
      <c r="Q23557" s="11"/>
      <c r="R23557" s="11"/>
      <c r="S23557" s="11"/>
      <c r="T23557" s="11"/>
    </row>
    <row r="23558" spans="8:20" x14ac:dyDescent="0.35">
      <c r="H23558" s="711"/>
      <c r="I23558" s="711"/>
      <c r="J23558" s="711"/>
      <c r="K23558" s="711"/>
      <c r="L23558" s="711"/>
      <c r="Q23558" s="11"/>
      <c r="R23558" s="11"/>
      <c r="S23558" s="11"/>
      <c r="T23558" s="11"/>
    </row>
    <row r="23559" spans="8:20" x14ac:dyDescent="0.35">
      <c r="H23559" s="711"/>
      <c r="I23559" s="711"/>
      <c r="J23559" s="711"/>
      <c r="K23559" s="711"/>
      <c r="L23559" s="711"/>
      <c r="Q23559" s="11"/>
      <c r="R23559" s="11"/>
      <c r="S23559" s="11"/>
      <c r="T23559" s="11"/>
    </row>
    <row r="23560" spans="8:20" x14ac:dyDescent="0.35">
      <c r="H23560" s="711"/>
      <c r="I23560" s="711"/>
      <c r="J23560" s="711"/>
      <c r="K23560" s="711"/>
      <c r="L23560" s="711"/>
      <c r="Q23560" s="11"/>
      <c r="R23560" s="11"/>
      <c r="S23560" s="11"/>
      <c r="T23560" s="11"/>
    </row>
    <row r="23561" spans="8:20" x14ac:dyDescent="0.35">
      <c r="H23561" s="711"/>
      <c r="I23561" s="711"/>
      <c r="J23561" s="711"/>
      <c r="K23561" s="711"/>
      <c r="L23561" s="711"/>
      <c r="Q23561" s="11"/>
      <c r="R23561" s="11"/>
      <c r="S23561" s="11"/>
      <c r="T23561" s="11"/>
    </row>
    <row r="23562" spans="8:20" x14ac:dyDescent="0.35">
      <c r="H23562" s="711"/>
      <c r="I23562" s="711"/>
      <c r="J23562" s="711"/>
      <c r="K23562" s="711"/>
      <c r="L23562" s="711"/>
      <c r="Q23562" s="11"/>
      <c r="R23562" s="11"/>
      <c r="S23562" s="11"/>
      <c r="T23562" s="11"/>
    </row>
    <row r="23563" spans="8:20" x14ac:dyDescent="0.35">
      <c r="H23563" s="711"/>
      <c r="I23563" s="711"/>
      <c r="J23563" s="711"/>
      <c r="K23563" s="711"/>
      <c r="L23563" s="711"/>
      <c r="Q23563" s="11"/>
      <c r="R23563" s="11"/>
      <c r="S23563" s="11"/>
      <c r="T23563" s="11"/>
    </row>
    <row r="23564" spans="8:20" x14ac:dyDescent="0.35">
      <c r="H23564" s="711"/>
      <c r="I23564" s="711"/>
      <c r="J23564" s="711"/>
      <c r="K23564" s="711"/>
      <c r="L23564" s="711"/>
      <c r="Q23564" s="11"/>
      <c r="R23564" s="11"/>
      <c r="S23564" s="11"/>
      <c r="T23564" s="11"/>
    </row>
    <row r="23565" spans="8:20" x14ac:dyDescent="0.35">
      <c r="H23565" s="711"/>
      <c r="I23565" s="711"/>
      <c r="J23565" s="711"/>
      <c r="K23565" s="711"/>
      <c r="L23565" s="711"/>
      <c r="Q23565" s="11"/>
      <c r="R23565" s="11"/>
      <c r="S23565" s="11"/>
      <c r="T23565" s="11"/>
    </row>
    <row r="23566" spans="8:20" x14ac:dyDescent="0.35">
      <c r="H23566" s="711"/>
      <c r="I23566" s="711"/>
      <c r="J23566" s="711"/>
      <c r="K23566" s="711"/>
      <c r="L23566" s="711"/>
      <c r="Q23566" s="11"/>
      <c r="R23566" s="11"/>
      <c r="S23566" s="11"/>
      <c r="T23566" s="11"/>
    </row>
    <row r="23567" spans="8:20" x14ac:dyDescent="0.35">
      <c r="H23567" s="711"/>
      <c r="I23567" s="711"/>
      <c r="J23567" s="711"/>
      <c r="K23567" s="711"/>
      <c r="L23567" s="711"/>
      <c r="Q23567" s="11"/>
      <c r="R23567" s="11"/>
      <c r="S23567" s="11"/>
      <c r="T23567" s="11"/>
    </row>
    <row r="23568" spans="8:20" x14ac:dyDescent="0.35">
      <c r="H23568" s="711"/>
      <c r="I23568" s="711"/>
      <c r="J23568" s="711"/>
      <c r="K23568" s="711"/>
      <c r="L23568" s="711"/>
      <c r="Q23568" s="11"/>
      <c r="R23568" s="11"/>
      <c r="S23568" s="11"/>
      <c r="T23568" s="11"/>
    </row>
    <row r="23569" spans="8:20" x14ac:dyDescent="0.35">
      <c r="H23569" s="711"/>
      <c r="I23569" s="711"/>
      <c r="J23569" s="711"/>
      <c r="K23569" s="711"/>
      <c r="L23569" s="711"/>
      <c r="Q23569" s="11"/>
      <c r="R23569" s="11"/>
      <c r="S23569" s="11"/>
      <c r="T23569" s="11"/>
    </row>
    <row r="23570" spans="8:20" x14ac:dyDescent="0.35">
      <c r="H23570" s="711"/>
      <c r="I23570" s="711"/>
      <c r="J23570" s="711"/>
      <c r="K23570" s="711"/>
      <c r="L23570" s="711"/>
      <c r="Q23570" s="11"/>
      <c r="R23570" s="11"/>
      <c r="S23570" s="11"/>
      <c r="T23570" s="11"/>
    </row>
    <row r="23571" spans="8:20" x14ac:dyDescent="0.35">
      <c r="H23571" s="711"/>
      <c r="I23571" s="711"/>
      <c r="J23571" s="711"/>
      <c r="K23571" s="711"/>
      <c r="L23571" s="711"/>
      <c r="Q23571" s="11"/>
      <c r="R23571" s="11"/>
      <c r="S23571" s="11"/>
      <c r="T23571" s="11"/>
    </row>
    <row r="23572" spans="8:20" x14ac:dyDescent="0.35">
      <c r="H23572" s="711"/>
      <c r="I23572" s="711"/>
      <c r="J23572" s="711"/>
      <c r="K23572" s="711"/>
      <c r="L23572" s="711"/>
      <c r="Q23572" s="11"/>
      <c r="R23572" s="11"/>
      <c r="S23572" s="11"/>
      <c r="T23572" s="11"/>
    </row>
    <row r="23573" spans="8:20" x14ac:dyDescent="0.35">
      <c r="H23573" s="711"/>
      <c r="I23573" s="711"/>
      <c r="J23573" s="711"/>
      <c r="K23573" s="711"/>
      <c r="L23573" s="711"/>
      <c r="Q23573" s="11"/>
      <c r="R23573" s="11"/>
      <c r="S23573" s="11"/>
      <c r="T23573" s="11"/>
    </row>
    <row r="23574" spans="8:20" x14ac:dyDescent="0.35">
      <c r="H23574" s="711"/>
      <c r="I23574" s="711"/>
      <c r="J23574" s="711"/>
      <c r="K23574" s="711"/>
      <c r="L23574" s="711"/>
      <c r="Q23574" s="11"/>
      <c r="R23574" s="11"/>
      <c r="S23574" s="11"/>
      <c r="T23574" s="11"/>
    </row>
    <row r="23575" spans="8:20" x14ac:dyDescent="0.35">
      <c r="H23575" s="711"/>
      <c r="I23575" s="711"/>
      <c r="J23575" s="711"/>
      <c r="K23575" s="711"/>
      <c r="L23575" s="711"/>
      <c r="Q23575" s="11"/>
      <c r="R23575" s="11"/>
      <c r="S23575" s="11"/>
      <c r="T23575" s="11"/>
    </row>
    <row r="23576" spans="8:20" x14ac:dyDescent="0.35">
      <c r="H23576" s="711"/>
      <c r="I23576" s="711"/>
      <c r="J23576" s="711"/>
      <c r="K23576" s="711"/>
      <c r="L23576" s="711"/>
      <c r="Q23576" s="11"/>
      <c r="R23576" s="11"/>
      <c r="S23576" s="11"/>
      <c r="T23576" s="11"/>
    </row>
    <row r="23577" spans="8:20" x14ac:dyDescent="0.35">
      <c r="H23577" s="711"/>
      <c r="I23577" s="711"/>
      <c r="J23577" s="711"/>
      <c r="K23577" s="711"/>
      <c r="L23577" s="711"/>
      <c r="Q23577" s="11"/>
      <c r="R23577" s="11"/>
      <c r="S23577" s="11"/>
      <c r="T23577" s="11"/>
    </row>
    <row r="23578" spans="8:20" x14ac:dyDescent="0.35">
      <c r="H23578" s="711"/>
      <c r="I23578" s="711"/>
      <c r="J23578" s="711"/>
      <c r="K23578" s="711"/>
      <c r="L23578" s="711"/>
      <c r="Q23578" s="11"/>
      <c r="R23578" s="11"/>
      <c r="S23578" s="11"/>
      <c r="T23578" s="11"/>
    </row>
    <row r="23579" spans="8:20" x14ac:dyDescent="0.35">
      <c r="H23579" s="711"/>
      <c r="I23579" s="711"/>
      <c r="J23579" s="711"/>
      <c r="K23579" s="711"/>
      <c r="L23579" s="711"/>
      <c r="Q23579" s="11"/>
      <c r="R23579" s="11"/>
      <c r="S23579" s="11"/>
      <c r="T23579" s="11"/>
    </row>
    <row r="23580" spans="8:20" x14ac:dyDescent="0.35">
      <c r="H23580" s="711"/>
      <c r="I23580" s="711"/>
      <c r="J23580" s="711"/>
      <c r="K23580" s="711"/>
      <c r="L23580" s="711"/>
      <c r="Q23580" s="11"/>
      <c r="R23580" s="11"/>
      <c r="S23580" s="11"/>
      <c r="T23580" s="11"/>
    </row>
    <row r="23581" spans="8:20" x14ac:dyDescent="0.35">
      <c r="H23581" s="711"/>
      <c r="I23581" s="711"/>
      <c r="J23581" s="711"/>
      <c r="K23581" s="711"/>
      <c r="L23581" s="711"/>
      <c r="Q23581" s="11"/>
      <c r="R23581" s="11"/>
      <c r="S23581" s="11"/>
      <c r="T23581" s="11"/>
    </row>
    <row r="23582" spans="8:20" x14ac:dyDescent="0.35">
      <c r="H23582" s="711"/>
      <c r="I23582" s="711"/>
      <c r="J23582" s="711"/>
      <c r="K23582" s="711"/>
      <c r="L23582" s="711"/>
      <c r="Q23582" s="11"/>
      <c r="R23582" s="11"/>
      <c r="S23582" s="11"/>
      <c r="T23582" s="11"/>
    </row>
    <row r="23583" spans="8:20" x14ac:dyDescent="0.35">
      <c r="H23583" s="711"/>
      <c r="I23583" s="711"/>
      <c r="J23583" s="711"/>
      <c r="K23583" s="711"/>
      <c r="L23583" s="711"/>
      <c r="Q23583" s="11"/>
      <c r="R23583" s="11"/>
      <c r="S23583" s="11"/>
      <c r="T23583" s="11"/>
    </row>
    <row r="23584" spans="8:20" x14ac:dyDescent="0.35">
      <c r="H23584" s="711"/>
      <c r="I23584" s="711"/>
      <c r="J23584" s="711"/>
      <c r="K23584" s="711"/>
      <c r="L23584" s="711"/>
      <c r="Q23584" s="11"/>
      <c r="R23584" s="11"/>
      <c r="S23584" s="11"/>
      <c r="T23584" s="11"/>
    </row>
    <row r="23585" spans="8:20" x14ac:dyDescent="0.35">
      <c r="H23585" s="711"/>
      <c r="I23585" s="711"/>
      <c r="J23585" s="711"/>
      <c r="K23585" s="711"/>
      <c r="L23585" s="711"/>
      <c r="Q23585" s="11"/>
      <c r="R23585" s="11"/>
      <c r="S23585" s="11"/>
      <c r="T23585" s="11"/>
    </row>
    <row r="23586" spans="8:20" x14ac:dyDescent="0.35">
      <c r="H23586" s="711"/>
      <c r="I23586" s="711"/>
      <c r="J23586" s="711"/>
      <c r="K23586" s="711"/>
      <c r="L23586" s="711"/>
      <c r="Q23586" s="11"/>
      <c r="R23586" s="11"/>
      <c r="S23586" s="11"/>
      <c r="T23586" s="11"/>
    </row>
    <row r="23587" spans="8:20" x14ac:dyDescent="0.35">
      <c r="H23587" s="711"/>
      <c r="I23587" s="711"/>
      <c r="J23587" s="711"/>
      <c r="K23587" s="711"/>
      <c r="L23587" s="711"/>
      <c r="Q23587" s="11"/>
      <c r="R23587" s="11"/>
      <c r="S23587" s="11"/>
      <c r="T23587" s="11"/>
    </row>
    <row r="23588" spans="8:20" x14ac:dyDescent="0.35">
      <c r="H23588" s="711"/>
      <c r="I23588" s="711"/>
      <c r="J23588" s="711"/>
      <c r="K23588" s="711"/>
      <c r="L23588" s="711"/>
      <c r="Q23588" s="11"/>
      <c r="R23588" s="11"/>
      <c r="S23588" s="11"/>
      <c r="T23588" s="11"/>
    </row>
    <row r="23589" spans="8:20" x14ac:dyDescent="0.35">
      <c r="H23589" s="711"/>
      <c r="I23589" s="711"/>
      <c r="J23589" s="711"/>
      <c r="K23589" s="711"/>
      <c r="L23589" s="711"/>
      <c r="Q23589" s="11"/>
      <c r="R23589" s="11"/>
      <c r="S23589" s="11"/>
      <c r="T23589" s="11"/>
    </row>
    <row r="23590" spans="8:20" x14ac:dyDescent="0.35">
      <c r="H23590" s="711"/>
      <c r="I23590" s="711"/>
      <c r="J23590" s="711"/>
      <c r="K23590" s="711"/>
      <c r="L23590" s="711"/>
      <c r="Q23590" s="11"/>
      <c r="R23590" s="11"/>
      <c r="S23590" s="11"/>
      <c r="T23590" s="11"/>
    </row>
    <row r="23591" spans="8:20" x14ac:dyDescent="0.35">
      <c r="H23591" s="711"/>
      <c r="I23591" s="711"/>
      <c r="J23591" s="711"/>
      <c r="K23591" s="711"/>
      <c r="L23591" s="711"/>
      <c r="Q23591" s="11"/>
      <c r="R23591" s="11"/>
      <c r="S23591" s="11"/>
      <c r="T23591" s="11"/>
    </row>
    <row r="23592" spans="8:20" x14ac:dyDescent="0.35">
      <c r="H23592" s="711"/>
      <c r="I23592" s="711"/>
      <c r="J23592" s="711"/>
      <c r="K23592" s="711"/>
      <c r="L23592" s="711"/>
      <c r="Q23592" s="11"/>
      <c r="R23592" s="11"/>
      <c r="S23592" s="11"/>
      <c r="T23592" s="11"/>
    </row>
    <row r="23593" spans="8:20" x14ac:dyDescent="0.35">
      <c r="H23593" s="711"/>
      <c r="I23593" s="711"/>
      <c r="J23593" s="711"/>
      <c r="K23593" s="711"/>
      <c r="L23593" s="711"/>
      <c r="Q23593" s="11"/>
      <c r="R23593" s="11"/>
      <c r="S23593" s="11"/>
      <c r="T23593" s="11"/>
    </row>
    <row r="23594" spans="8:20" x14ac:dyDescent="0.35">
      <c r="H23594" s="711"/>
      <c r="I23594" s="711"/>
      <c r="J23594" s="711"/>
      <c r="K23594" s="711"/>
      <c r="L23594" s="711"/>
      <c r="Q23594" s="11"/>
      <c r="R23594" s="11"/>
      <c r="S23594" s="11"/>
      <c r="T23594" s="11"/>
    </row>
    <row r="23595" spans="8:20" x14ac:dyDescent="0.35">
      <c r="H23595" s="711"/>
      <c r="I23595" s="711"/>
      <c r="J23595" s="711"/>
      <c r="K23595" s="711"/>
      <c r="L23595" s="711"/>
      <c r="Q23595" s="11"/>
      <c r="R23595" s="11"/>
      <c r="S23595" s="11"/>
      <c r="T23595" s="11"/>
    </row>
    <row r="23596" spans="8:20" x14ac:dyDescent="0.35">
      <c r="H23596" s="711"/>
      <c r="I23596" s="711"/>
      <c r="J23596" s="711"/>
      <c r="K23596" s="711"/>
      <c r="L23596" s="711"/>
      <c r="Q23596" s="11"/>
      <c r="R23596" s="11"/>
      <c r="S23596" s="11"/>
      <c r="T23596" s="11"/>
    </row>
    <row r="23597" spans="8:20" x14ac:dyDescent="0.35">
      <c r="H23597" s="711"/>
      <c r="I23597" s="711"/>
      <c r="J23597" s="711"/>
      <c r="K23597" s="711"/>
      <c r="L23597" s="711"/>
      <c r="Q23597" s="11"/>
      <c r="R23597" s="11"/>
      <c r="S23597" s="11"/>
      <c r="T23597" s="11"/>
    </row>
    <row r="23598" spans="8:20" x14ac:dyDescent="0.35">
      <c r="H23598" s="711"/>
      <c r="I23598" s="711"/>
      <c r="J23598" s="711"/>
      <c r="K23598" s="711"/>
      <c r="L23598" s="711"/>
      <c r="Q23598" s="11"/>
      <c r="R23598" s="11"/>
      <c r="S23598" s="11"/>
      <c r="T23598" s="11"/>
    </row>
    <row r="23599" spans="8:20" x14ac:dyDescent="0.35">
      <c r="H23599" s="711"/>
      <c r="I23599" s="711"/>
      <c r="J23599" s="711"/>
      <c r="K23599" s="711"/>
      <c r="L23599" s="711"/>
      <c r="Q23599" s="11"/>
      <c r="R23599" s="11"/>
      <c r="S23599" s="11"/>
      <c r="T23599" s="11"/>
    </row>
    <row r="23600" spans="8:20" x14ac:dyDescent="0.35">
      <c r="H23600" s="711"/>
      <c r="I23600" s="711"/>
      <c r="J23600" s="711"/>
      <c r="K23600" s="711"/>
      <c r="L23600" s="711"/>
      <c r="Q23600" s="11"/>
      <c r="R23600" s="11"/>
      <c r="S23600" s="11"/>
      <c r="T23600" s="11"/>
    </row>
    <row r="23601" spans="8:20" x14ac:dyDescent="0.35">
      <c r="H23601" s="711"/>
      <c r="I23601" s="711"/>
      <c r="J23601" s="711"/>
      <c r="K23601" s="711"/>
      <c r="L23601" s="711"/>
      <c r="Q23601" s="11"/>
      <c r="R23601" s="11"/>
      <c r="S23601" s="11"/>
      <c r="T23601" s="11"/>
    </row>
    <row r="23602" spans="8:20" x14ac:dyDescent="0.35">
      <c r="H23602" s="711"/>
      <c r="I23602" s="711"/>
      <c r="J23602" s="711"/>
      <c r="K23602" s="711"/>
      <c r="L23602" s="711"/>
      <c r="Q23602" s="11"/>
      <c r="R23602" s="11"/>
      <c r="S23602" s="11"/>
      <c r="T23602" s="11"/>
    </row>
    <row r="23603" spans="8:20" x14ac:dyDescent="0.35">
      <c r="H23603" s="711"/>
      <c r="I23603" s="711"/>
      <c r="J23603" s="711"/>
      <c r="K23603" s="711"/>
      <c r="L23603" s="711"/>
      <c r="Q23603" s="11"/>
      <c r="R23603" s="11"/>
      <c r="S23603" s="11"/>
      <c r="T23603" s="11"/>
    </row>
    <row r="23604" spans="8:20" x14ac:dyDescent="0.35">
      <c r="H23604" s="711"/>
      <c r="I23604" s="711"/>
      <c r="J23604" s="711"/>
      <c r="K23604" s="711"/>
      <c r="L23604" s="711"/>
      <c r="Q23604" s="11"/>
      <c r="R23604" s="11"/>
      <c r="S23604" s="11"/>
      <c r="T23604" s="11"/>
    </row>
    <row r="23605" spans="8:20" x14ac:dyDescent="0.35">
      <c r="H23605" s="711"/>
      <c r="I23605" s="711"/>
      <c r="J23605" s="711"/>
      <c r="K23605" s="711"/>
      <c r="L23605" s="711"/>
      <c r="Q23605" s="11"/>
      <c r="R23605" s="11"/>
      <c r="S23605" s="11"/>
      <c r="T23605" s="11"/>
    </row>
    <row r="23606" spans="8:20" x14ac:dyDescent="0.35">
      <c r="H23606" s="711"/>
      <c r="I23606" s="711"/>
      <c r="J23606" s="711"/>
      <c r="K23606" s="711"/>
      <c r="L23606" s="711"/>
      <c r="Q23606" s="11"/>
      <c r="R23606" s="11"/>
      <c r="S23606" s="11"/>
      <c r="T23606" s="11"/>
    </row>
    <row r="23607" spans="8:20" x14ac:dyDescent="0.35">
      <c r="H23607" s="711"/>
      <c r="I23607" s="711"/>
      <c r="J23607" s="711"/>
      <c r="K23607" s="711"/>
      <c r="L23607" s="711"/>
      <c r="Q23607" s="11"/>
      <c r="R23607" s="11"/>
      <c r="S23607" s="11"/>
      <c r="T23607" s="11"/>
    </row>
    <row r="23608" spans="8:20" x14ac:dyDescent="0.35">
      <c r="H23608" s="711"/>
      <c r="I23608" s="711"/>
      <c r="J23608" s="711"/>
      <c r="K23608" s="711"/>
      <c r="L23608" s="711"/>
      <c r="Q23608" s="11"/>
      <c r="R23608" s="11"/>
      <c r="S23608" s="11"/>
      <c r="T23608" s="11"/>
    </row>
    <row r="23609" spans="8:20" x14ac:dyDescent="0.35">
      <c r="H23609" s="711"/>
      <c r="I23609" s="711"/>
      <c r="J23609" s="711"/>
      <c r="K23609" s="711"/>
      <c r="L23609" s="711"/>
      <c r="Q23609" s="11"/>
      <c r="R23609" s="11"/>
      <c r="S23609" s="11"/>
      <c r="T23609" s="11"/>
    </row>
    <row r="23610" spans="8:20" x14ac:dyDescent="0.35">
      <c r="H23610" s="711"/>
      <c r="I23610" s="711"/>
      <c r="J23610" s="711"/>
      <c r="K23610" s="711"/>
      <c r="L23610" s="711"/>
      <c r="Q23610" s="11"/>
      <c r="R23610" s="11"/>
      <c r="S23610" s="11"/>
      <c r="T23610" s="11"/>
    </row>
    <row r="23611" spans="8:20" x14ac:dyDescent="0.35">
      <c r="H23611" s="711"/>
      <c r="I23611" s="711"/>
      <c r="J23611" s="711"/>
      <c r="K23611" s="711"/>
      <c r="L23611" s="711"/>
      <c r="Q23611" s="11"/>
      <c r="R23611" s="11"/>
      <c r="S23611" s="11"/>
      <c r="T23611" s="11"/>
    </row>
    <row r="23612" spans="8:20" x14ac:dyDescent="0.35">
      <c r="H23612" s="711"/>
      <c r="I23612" s="711"/>
      <c r="J23612" s="711"/>
      <c r="K23612" s="711"/>
      <c r="L23612" s="711"/>
      <c r="Q23612" s="11"/>
      <c r="R23612" s="11"/>
      <c r="S23612" s="11"/>
      <c r="T23612" s="11"/>
    </row>
    <row r="23613" spans="8:20" x14ac:dyDescent="0.35">
      <c r="H23613" s="711"/>
      <c r="I23613" s="711"/>
      <c r="J23613" s="711"/>
      <c r="K23613" s="711"/>
      <c r="L23613" s="711"/>
      <c r="Q23613" s="11"/>
      <c r="R23613" s="11"/>
      <c r="S23613" s="11"/>
      <c r="T23613" s="11"/>
    </row>
    <row r="23614" spans="8:20" x14ac:dyDescent="0.35">
      <c r="H23614" s="711"/>
      <c r="I23614" s="711"/>
      <c r="J23614" s="711"/>
      <c r="K23614" s="711"/>
      <c r="L23614" s="711"/>
      <c r="Q23614" s="11"/>
      <c r="R23614" s="11"/>
      <c r="S23614" s="11"/>
      <c r="T23614" s="11"/>
    </row>
    <row r="23615" spans="8:20" x14ac:dyDescent="0.35">
      <c r="H23615" s="711"/>
      <c r="I23615" s="711"/>
      <c r="J23615" s="711"/>
      <c r="K23615" s="711"/>
      <c r="L23615" s="711"/>
      <c r="Q23615" s="11"/>
      <c r="R23615" s="11"/>
      <c r="S23615" s="11"/>
      <c r="T23615" s="11"/>
    </row>
    <row r="23616" spans="8:20" x14ac:dyDescent="0.35">
      <c r="H23616" s="711"/>
      <c r="I23616" s="711"/>
      <c r="J23616" s="711"/>
      <c r="K23616" s="711"/>
      <c r="L23616" s="711"/>
      <c r="Q23616" s="11"/>
      <c r="R23616" s="11"/>
      <c r="S23616" s="11"/>
      <c r="T23616" s="11"/>
    </row>
    <row r="23617" spans="8:20" x14ac:dyDescent="0.35">
      <c r="H23617" s="711"/>
      <c r="I23617" s="711"/>
      <c r="J23617" s="711"/>
      <c r="K23617" s="711"/>
      <c r="L23617" s="711"/>
      <c r="Q23617" s="11"/>
      <c r="R23617" s="11"/>
      <c r="S23617" s="11"/>
      <c r="T23617" s="11"/>
    </row>
    <row r="23618" spans="8:20" x14ac:dyDescent="0.35">
      <c r="H23618" s="711"/>
      <c r="I23618" s="711"/>
      <c r="J23618" s="711"/>
      <c r="K23618" s="711"/>
      <c r="L23618" s="711"/>
      <c r="Q23618" s="11"/>
      <c r="R23618" s="11"/>
      <c r="S23618" s="11"/>
      <c r="T23618" s="11"/>
    </row>
    <row r="23619" spans="8:20" x14ac:dyDescent="0.35">
      <c r="H23619" s="711"/>
      <c r="I23619" s="711"/>
      <c r="J23619" s="711"/>
      <c r="K23619" s="711"/>
      <c r="L23619" s="711"/>
      <c r="Q23619" s="11"/>
      <c r="R23619" s="11"/>
      <c r="S23619" s="11"/>
      <c r="T23619" s="11"/>
    </row>
    <row r="23620" spans="8:20" x14ac:dyDescent="0.35">
      <c r="H23620" s="711"/>
      <c r="I23620" s="711"/>
      <c r="J23620" s="711"/>
      <c r="K23620" s="711"/>
      <c r="L23620" s="711"/>
      <c r="Q23620" s="11"/>
      <c r="R23620" s="11"/>
      <c r="S23620" s="11"/>
      <c r="T23620" s="11"/>
    </row>
    <row r="23621" spans="8:20" x14ac:dyDescent="0.35">
      <c r="H23621" s="711"/>
      <c r="I23621" s="711"/>
      <c r="J23621" s="711"/>
      <c r="K23621" s="711"/>
      <c r="L23621" s="711"/>
      <c r="Q23621" s="11"/>
      <c r="R23621" s="11"/>
      <c r="S23621" s="11"/>
      <c r="T23621" s="11"/>
    </row>
    <row r="23622" spans="8:20" x14ac:dyDescent="0.35">
      <c r="H23622" s="711"/>
      <c r="I23622" s="711"/>
      <c r="J23622" s="711"/>
      <c r="K23622" s="711"/>
      <c r="L23622" s="711"/>
      <c r="Q23622" s="11"/>
      <c r="R23622" s="11"/>
      <c r="S23622" s="11"/>
      <c r="T23622" s="11"/>
    </row>
    <row r="23623" spans="8:20" x14ac:dyDescent="0.35">
      <c r="H23623" s="711"/>
      <c r="I23623" s="711"/>
      <c r="J23623" s="711"/>
      <c r="K23623" s="711"/>
      <c r="L23623" s="711"/>
      <c r="Q23623" s="11"/>
      <c r="R23623" s="11"/>
      <c r="S23623" s="11"/>
      <c r="T23623" s="11"/>
    </row>
    <row r="23624" spans="8:20" x14ac:dyDescent="0.35">
      <c r="H23624" s="711"/>
      <c r="I23624" s="711"/>
      <c r="J23624" s="711"/>
      <c r="K23624" s="711"/>
      <c r="L23624" s="711"/>
      <c r="Q23624" s="11"/>
      <c r="R23624" s="11"/>
      <c r="S23624" s="11"/>
      <c r="T23624" s="11"/>
    </row>
    <row r="23625" spans="8:20" x14ac:dyDescent="0.35">
      <c r="H23625" s="711"/>
      <c r="I23625" s="711"/>
      <c r="J23625" s="711"/>
      <c r="K23625" s="711"/>
      <c r="L23625" s="711"/>
      <c r="Q23625" s="11"/>
      <c r="R23625" s="11"/>
      <c r="S23625" s="11"/>
      <c r="T23625" s="11"/>
    </row>
    <row r="23626" spans="8:20" x14ac:dyDescent="0.35">
      <c r="H23626" s="711"/>
      <c r="I23626" s="711"/>
      <c r="J23626" s="711"/>
      <c r="K23626" s="711"/>
      <c r="L23626" s="711"/>
      <c r="Q23626" s="11"/>
      <c r="R23626" s="11"/>
      <c r="S23626" s="11"/>
      <c r="T23626" s="11"/>
    </row>
    <row r="23627" spans="8:20" x14ac:dyDescent="0.35">
      <c r="H23627" s="711"/>
      <c r="I23627" s="711"/>
      <c r="J23627" s="711"/>
      <c r="K23627" s="711"/>
      <c r="L23627" s="711"/>
      <c r="Q23627" s="11"/>
      <c r="R23627" s="11"/>
      <c r="S23627" s="11"/>
      <c r="T23627" s="11"/>
    </row>
    <row r="23628" spans="8:20" x14ac:dyDescent="0.35">
      <c r="H23628" s="711"/>
      <c r="I23628" s="711"/>
      <c r="J23628" s="711"/>
      <c r="K23628" s="711"/>
      <c r="L23628" s="711"/>
      <c r="Q23628" s="11"/>
      <c r="R23628" s="11"/>
      <c r="S23628" s="11"/>
      <c r="T23628" s="11"/>
    </row>
    <row r="23629" spans="8:20" x14ac:dyDescent="0.35">
      <c r="H23629" s="711"/>
      <c r="I23629" s="711"/>
      <c r="J23629" s="711"/>
      <c r="K23629" s="711"/>
      <c r="L23629" s="711"/>
      <c r="Q23629" s="11"/>
      <c r="R23629" s="11"/>
      <c r="S23629" s="11"/>
      <c r="T23629" s="11"/>
    </row>
    <row r="23630" spans="8:20" x14ac:dyDescent="0.35">
      <c r="H23630" s="711"/>
      <c r="I23630" s="711"/>
      <c r="J23630" s="711"/>
      <c r="K23630" s="711"/>
      <c r="L23630" s="711"/>
      <c r="Q23630" s="11"/>
      <c r="R23630" s="11"/>
      <c r="S23630" s="11"/>
      <c r="T23630" s="11"/>
    </row>
    <row r="23631" spans="8:20" x14ac:dyDescent="0.35">
      <c r="H23631" s="711"/>
      <c r="I23631" s="711"/>
      <c r="J23631" s="711"/>
      <c r="K23631" s="711"/>
      <c r="L23631" s="711"/>
      <c r="Q23631" s="11"/>
      <c r="R23631" s="11"/>
      <c r="S23631" s="11"/>
      <c r="T23631" s="11"/>
    </row>
    <row r="23632" spans="8:20" x14ac:dyDescent="0.35">
      <c r="H23632" s="711"/>
      <c r="I23632" s="711"/>
      <c r="J23632" s="711"/>
      <c r="K23632" s="711"/>
      <c r="L23632" s="711"/>
      <c r="Q23632" s="11"/>
      <c r="R23632" s="11"/>
      <c r="S23632" s="11"/>
      <c r="T23632" s="11"/>
    </row>
    <row r="23633" spans="8:20" x14ac:dyDescent="0.35">
      <c r="H23633" s="711"/>
      <c r="I23633" s="711"/>
      <c r="J23633" s="711"/>
      <c r="K23633" s="711"/>
      <c r="L23633" s="711"/>
      <c r="Q23633" s="11"/>
      <c r="R23633" s="11"/>
      <c r="S23633" s="11"/>
      <c r="T23633" s="11"/>
    </row>
    <row r="23634" spans="8:20" x14ac:dyDescent="0.35">
      <c r="H23634" s="711"/>
      <c r="I23634" s="711"/>
      <c r="J23634" s="711"/>
      <c r="K23634" s="711"/>
      <c r="L23634" s="711"/>
      <c r="Q23634" s="11"/>
      <c r="R23634" s="11"/>
      <c r="S23634" s="11"/>
      <c r="T23634" s="11"/>
    </row>
    <row r="23635" spans="8:20" x14ac:dyDescent="0.35">
      <c r="H23635" s="711"/>
      <c r="I23635" s="711"/>
      <c r="J23635" s="711"/>
      <c r="K23635" s="711"/>
      <c r="L23635" s="711"/>
      <c r="Q23635" s="11"/>
      <c r="R23635" s="11"/>
      <c r="S23635" s="11"/>
      <c r="T23635" s="11"/>
    </row>
    <row r="23636" spans="8:20" x14ac:dyDescent="0.35">
      <c r="H23636" s="711"/>
      <c r="I23636" s="711"/>
      <c r="J23636" s="711"/>
      <c r="K23636" s="711"/>
      <c r="L23636" s="711"/>
      <c r="Q23636" s="11"/>
      <c r="R23636" s="11"/>
      <c r="S23636" s="11"/>
      <c r="T23636" s="11"/>
    </row>
    <row r="23637" spans="8:20" x14ac:dyDescent="0.35">
      <c r="H23637" s="711"/>
      <c r="I23637" s="711"/>
      <c r="J23637" s="711"/>
      <c r="K23637" s="711"/>
      <c r="L23637" s="711"/>
      <c r="Q23637" s="11"/>
      <c r="R23637" s="11"/>
      <c r="S23637" s="11"/>
      <c r="T23637" s="11"/>
    </row>
    <row r="23638" spans="8:20" x14ac:dyDescent="0.35">
      <c r="H23638" s="711"/>
      <c r="I23638" s="711"/>
      <c r="J23638" s="711"/>
      <c r="K23638" s="711"/>
      <c r="L23638" s="711"/>
      <c r="Q23638" s="11"/>
      <c r="R23638" s="11"/>
      <c r="S23638" s="11"/>
      <c r="T23638" s="11"/>
    </row>
    <row r="23639" spans="8:20" x14ac:dyDescent="0.35">
      <c r="H23639" s="711"/>
      <c r="I23639" s="711"/>
      <c r="J23639" s="711"/>
      <c r="K23639" s="711"/>
      <c r="L23639" s="711"/>
      <c r="Q23639" s="11"/>
      <c r="R23639" s="11"/>
      <c r="S23639" s="11"/>
      <c r="T23639" s="11"/>
    </row>
    <row r="23640" spans="8:20" x14ac:dyDescent="0.35">
      <c r="H23640" s="711"/>
      <c r="I23640" s="711"/>
      <c r="J23640" s="711"/>
      <c r="K23640" s="711"/>
      <c r="L23640" s="711"/>
      <c r="Q23640" s="11"/>
      <c r="R23640" s="11"/>
      <c r="S23640" s="11"/>
      <c r="T23640" s="11"/>
    </row>
    <row r="23641" spans="8:20" x14ac:dyDescent="0.35">
      <c r="H23641" s="711"/>
      <c r="I23641" s="711"/>
      <c r="J23641" s="711"/>
      <c r="K23641" s="711"/>
      <c r="L23641" s="711"/>
      <c r="Q23641" s="11"/>
      <c r="R23641" s="11"/>
      <c r="S23641" s="11"/>
      <c r="T23641" s="11"/>
    </row>
    <row r="23642" spans="8:20" x14ac:dyDescent="0.35">
      <c r="H23642" s="711"/>
      <c r="I23642" s="711"/>
      <c r="J23642" s="711"/>
      <c r="K23642" s="711"/>
      <c r="L23642" s="711"/>
      <c r="Q23642" s="11"/>
      <c r="R23642" s="11"/>
      <c r="S23642" s="11"/>
      <c r="T23642" s="11"/>
    </row>
    <row r="23643" spans="8:20" x14ac:dyDescent="0.35">
      <c r="H23643" s="711"/>
      <c r="I23643" s="711"/>
      <c r="J23643" s="711"/>
      <c r="K23643" s="711"/>
      <c r="L23643" s="711"/>
      <c r="Q23643" s="11"/>
      <c r="R23643" s="11"/>
      <c r="S23643" s="11"/>
      <c r="T23643" s="11"/>
    </row>
    <row r="23644" spans="8:20" x14ac:dyDescent="0.35">
      <c r="H23644" s="711"/>
      <c r="I23644" s="711"/>
      <c r="J23644" s="711"/>
      <c r="K23644" s="711"/>
      <c r="L23644" s="711"/>
      <c r="Q23644" s="11"/>
      <c r="R23644" s="11"/>
      <c r="S23644" s="11"/>
      <c r="T23644" s="11"/>
    </row>
    <row r="23645" spans="8:20" x14ac:dyDescent="0.35">
      <c r="H23645" s="711"/>
      <c r="I23645" s="711"/>
      <c r="J23645" s="711"/>
      <c r="K23645" s="711"/>
      <c r="L23645" s="711"/>
      <c r="Q23645" s="11"/>
      <c r="R23645" s="11"/>
      <c r="S23645" s="11"/>
      <c r="T23645" s="11"/>
    </row>
    <row r="23646" spans="8:20" x14ac:dyDescent="0.35">
      <c r="H23646" s="711"/>
      <c r="I23646" s="711"/>
      <c r="J23646" s="711"/>
      <c r="K23646" s="711"/>
      <c r="L23646" s="711"/>
      <c r="Q23646" s="11"/>
      <c r="R23646" s="11"/>
      <c r="S23646" s="11"/>
      <c r="T23646" s="11"/>
    </row>
    <row r="23647" spans="8:20" x14ac:dyDescent="0.35">
      <c r="H23647" s="711"/>
      <c r="I23647" s="711"/>
      <c r="J23647" s="711"/>
      <c r="K23647" s="711"/>
      <c r="L23647" s="711"/>
      <c r="Q23647" s="11"/>
      <c r="R23647" s="11"/>
      <c r="S23647" s="11"/>
      <c r="T23647" s="11"/>
    </row>
    <row r="23648" spans="8:20" x14ac:dyDescent="0.35">
      <c r="H23648" s="711"/>
      <c r="I23648" s="711"/>
      <c r="J23648" s="711"/>
      <c r="K23648" s="711"/>
      <c r="L23648" s="711"/>
      <c r="Q23648" s="11"/>
      <c r="R23648" s="11"/>
      <c r="S23648" s="11"/>
      <c r="T23648" s="11"/>
    </row>
    <row r="23649" spans="8:20" x14ac:dyDescent="0.35">
      <c r="H23649" s="711"/>
      <c r="I23649" s="711"/>
      <c r="J23649" s="711"/>
      <c r="K23649" s="711"/>
      <c r="L23649" s="711"/>
      <c r="Q23649" s="11"/>
      <c r="R23649" s="11"/>
      <c r="S23649" s="11"/>
      <c r="T23649" s="11"/>
    </row>
    <row r="23650" spans="8:20" x14ac:dyDescent="0.35">
      <c r="H23650" s="711"/>
      <c r="I23650" s="711"/>
      <c r="J23650" s="711"/>
      <c r="K23650" s="711"/>
      <c r="L23650" s="711"/>
      <c r="Q23650" s="11"/>
      <c r="R23650" s="11"/>
      <c r="S23650" s="11"/>
      <c r="T23650" s="11"/>
    </row>
    <row r="23651" spans="8:20" x14ac:dyDescent="0.35">
      <c r="H23651" s="711"/>
      <c r="I23651" s="711"/>
      <c r="J23651" s="711"/>
      <c r="K23651" s="711"/>
      <c r="L23651" s="711"/>
      <c r="Q23651" s="11"/>
      <c r="R23651" s="11"/>
      <c r="S23651" s="11"/>
      <c r="T23651" s="11"/>
    </row>
    <row r="23652" spans="8:20" x14ac:dyDescent="0.35">
      <c r="H23652" s="711"/>
      <c r="I23652" s="711"/>
      <c r="J23652" s="711"/>
      <c r="K23652" s="711"/>
      <c r="L23652" s="711"/>
      <c r="Q23652" s="11"/>
      <c r="R23652" s="11"/>
      <c r="S23652" s="11"/>
      <c r="T23652" s="11"/>
    </row>
    <row r="23653" spans="8:20" x14ac:dyDescent="0.35">
      <c r="H23653" s="711"/>
      <c r="I23653" s="711"/>
      <c r="J23653" s="711"/>
      <c r="K23653" s="711"/>
      <c r="L23653" s="711"/>
      <c r="Q23653" s="11"/>
      <c r="R23653" s="11"/>
      <c r="S23653" s="11"/>
      <c r="T23653" s="11"/>
    </row>
    <row r="23654" spans="8:20" x14ac:dyDescent="0.35">
      <c r="H23654" s="711"/>
      <c r="I23654" s="711"/>
      <c r="J23654" s="711"/>
      <c r="K23654" s="711"/>
      <c r="L23654" s="711"/>
      <c r="Q23654" s="11"/>
      <c r="R23654" s="11"/>
      <c r="S23654" s="11"/>
      <c r="T23654" s="11"/>
    </row>
    <row r="23655" spans="8:20" x14ac:dyDescent="0.35">
      <c r="H23655" s="711"/>
      <c r="I23655" s="711"/>
      <c r="J23655" s="711"/>
      <c r="K23655" s="711"/>
      <c r="L23655" s="711"/>
      <c r="Q23655" s="11"/>
      <c r="R23655" s="11"/>
      <c r="S23655" s="11"/>
      <c r="T23655" s="11"/>
    </row>
    <row r="23656" spans="8:20" x14ac:dyDescent="0.35">
      <c r="H23656" s="711"/>
      <c r="I23656" s="711"/>
      <c r="J23656" s="711"/>
      <c r="K23656" s="711"/>
      <c r="L23656" s="711"/>
      <c r="Q23656" s="11"/>
      <c r="R23656" s="11"/>
      <c r="S23656" s="11"/>
      <c r="T23656" s="11"/>
    </row>
    <row r="23657" spans="8:20" x14ac:dyDescent="0.35">
      <c r="H23657" s="711"/>
      <c r="I23657" s="711"/>
      <c r="J23657" s="711"/>
      <c r="K23657" s="711"/>
      <c r="L23657" s="711"/>
      <c r="Q23657" s="11"/>
      <c r="R23657" s="11"/>
      <c r="S23657" s="11"/>
      <c r="T23657" s="11"/>
    </row>
    <row r="23658" spans="8:20" x14ac:dyDescent="0.35">
      <c r="H23658" s="711"/>
      <c r="I23658" s="711"/>
      <c r="J23658" s="711"/>
      <c r="K23658" s="711"/>
      <c r="L23658" s="711"/>
      <c r="Q23658" s="11"/>
      <c r="R23658" s="11"/>
      <c r="S23658" s="11"/>
      <c r="T23658" s="11"/>
    </row>
    <row r="23659" spans="8:20" x14ac:dyDescent="0.35">
      <c r="H23659" s="711"/>
      <c r="I23659" s="711"/>
      <c r="J23659" s="711"/>
      <c r="K23659" s="711"/>
      <c r="L23659" s="711"/>
      <c r="Q23659" s="11"/>
      <c r="R23659" s="11"/>
      <c r="S23659" s="11"/>
      <c r="T23659" s="11"/>
    </row>
    <row r="23660" spans="8:20" x14ac:dyDescent="0.35">
      <c r="H23660" s="711"/>
      <c r="I23660" s="711"/>
      <c r="J23660" s="711"/>
      <c r="K23660" s="711"/>
      <c r="L23660" s="711"/>
      <c r="Q23660" s="11"/>
      <c r="R23660" s="11"/>
      <c r="S23660" s="11"/>
      <c r="T23660" s="11"/>
    </row>
    <row r="23661" spans="8:20" x14ac:dyDescent="0.35">
      <c r="H23661" s="711"/>
      <c r="I23661" s="711"/>
      <c r="J23661" s="711"/>
      <c r="K23661" s="711"/>
      <c r="L23661" s="711"/>
      <c r="Q23661" s="11"/>
      <c r="R23661" s="11"/>
      <c r="S23661" s="11"/>
      <c r="T23661" s="11"/>
    </row>
    <row r="23662" spans="8:20" x14ac:dyDescent="0.35">
      <c r="H23662" s="711"/>
      <c r="I23662" s="711"/>
      <c r="J23662" s="711"/>
      <c r="K23662" s="711"/>
      <c r="L23662" s="711"/>
      <c r="Q23662" s="11"/>
      <c r="R23662" s="11"/>
      <c r="S23662" s="11"/>
      <c r="T23662" s="11"/>
    </row>
    <row r="23663" spans="8:20" x14ac:dyDescent="0.35">
      <c r="H23663" s="711"/>
      <c r="I23663" s="711"/>
      <c r="J23663" s="711"/>
      <c r="K23663" s="711"/>
      <c r="L23663" s="711"/>
      <c r="Q23663" s="11"/>
      <c r="R23663" s="11"/>
      <c r="S23663" s="11"/>
      <c r="T23663" s="11"/>
    </row>
    <row r="23664" spans="8:20" x14ac:dyDescent="0.35">
      <c r="H23664" s="711"/>
      <c r="I23664" s="711"/>
      <c r="J23664" s="711"/>
      <c r="K23664" s="711"/>
      <c r="L23664" s="711"/>
      <c r="Q23664" s="11"/>
      <c r="R23664" s="11"/>
      <c r="S23664" s="11"/>
      <c r="T23664" s="11"/>
    </row>
    <row r="23665" spans="8:20" x14ac:dyDescent="0.35">
      <c r="H23665" s="711"/>
      <c r="I23665" s="711"/>
      <c r="J23665" s="711"/>
      <c r="K23665" s="711"/>
      <c r="L23665" s="711"/>
      <c r="Q23665" s="11"/>
      <c r="R23665" s="11"/>
      <c r="S23665" s="11"/>
      <c r="T23665" s="11"/>
    </row>
    <row r="23666" spans="8:20" x14ac:dyDescent="0.35">
      <c r="H23666" s="711"/>
      <c r="I23666" s="711"/>
      <c r="J23666" s="711"/>
      <c r="K23666" s="711"/>
      <c r="L23666" s="711"/>
      <c r="Q23666" s="11"/>
      <c r="R23666" s="11"/>
      <c r="S23666" s="11"/>
      <c r="T23666" s="11"/>
    </row>
    <row r="23667" spans="8:20" x14ac:dyDescent="0.35">
      <c r="H23667" s="711"/>
      <c r="I23667" s="711"/>
      <c r="J23667" s="711"/>
      <c r="K23667" s="711"/>
      <c r="L23667" s="711"/>
      <c r="Q23667" s="11"/>
      <c r="R23667" s="11"/>
      <c r="S23667" s="11"/>
      <c r="T23667" s="11"/>
    </row>
    <row r="23668" spans="8:20" x14ac:dyDescent="0.35">
      <c r="H23668" s="711"/>
      <c r="I23668" s="711"/>
      <c r="J23668" s="711"/>
      <c r="K23668" s="711"/>
      <c r="L23668" s="711"/>
      <c r="Q23668" s="11"/>
      <c r="R23668" s="11"/>
      <c r="S23668" s="11"/>
      <c r="T23668" s="11"/>
    </row>
    <row r="23669" spans="8:20" x14ac:dyDescent="0.35">
      <c r="H23669" s="711"/>
      <c r="I23669" s="711"/>
      <c r="J23669" s="711"/>
      <c r="K23669" s="711"/>
      <c r="L23669" s="711"/>
      <c r="Q23669" s="11"/>
      <c r="R23669" s="11"/>
      <c r="S23669" s="11"/>
      <c r="T23669" s="11"/>
    </row>
    <row r="23670" spans="8:20" x14ac:dyDescent="0.35">
      <c r="H23670" s="711"/>
      <c r="I23670" s="711"/>
      <c r="J23670" s="711"/>
      <c r="K23670" s="711"/>
      <c r="L23670" s="711"/>
      <c r="Q23670" s="11"/>
      <c r="R23670" s="11"/>
      <c r="S23670" s="11"/>
      <c r="T23670" s="11"/>
    </row>
    <row r="23671" spans="8:20" x14ac:dyDescent="0.35">
      <c r="H23671" s="711"/>
      <c r="I23671" s="711"/>
      <c r="J23671" s="711"/>
      <c r="K23671" s="711"/>
      <c r="L23671" s="711"/>
      <c r="Q23671" s="11"/>
      <c r="R23671" s="11"/>
      <c r="S23671" s="11"/>
      <c r="T23671" s="11"/>
    </row>
    <row r="23672" spans="8:20" x14ac:dyDescent="0.35">
      <c r="H23672" s="711"/>
      <c r="I23672" s="711"/>
      <c r="J23672" s="711"/>
      <c r="K23672" s="711"/>
      <c r="L23672" s="711"/>
      <c r="Q23672" s="11"/>
      <c r="R23672" s="11"/>
      <c r="S23672" s="11"/>
      <c r="T23672" s="11"/>
    </row>
    <row r="23673" spans="8:20" x14ac:dyDescent="0.35">
      <c r="H23673" s="711"/>
      <c r="I23673" s="711"/>
      <c r="J23673" s="711"/>
      <c r="K23673" s="711"/>
      <c r="L23673" s="711"/>
      <c r="Q23673" s="11"/>
      <c r="R23673" s="11"/>
      <c r="S23673" s="11"/>
      <c r="T23673" s="11"/>
    </row>
    <row r="23674" spans="8:20" x14ac:dyDescent="0.35">
      <c r="H23674" s="711"/>
      <c r="I23674" s="711"/>
      <c r="J23674" s="711"/>
      <c r="K23674" s="711"/>
      <c r="L23674" s="711"/>
      <c r="Q23674" s="11"/>
      <c r="R23674" s="11"/>
      <c r="S23674" s="11"/>
      <c r="T23674" s="11"/>
    </row>
    <row r="23675" spans="8:20" x14ac:dyDescent="0.35">
      <c r="H23675" s="711"/>
      <c r="I23675" s="711"/>
      <c r="J23675" s="711"/>
      <c r="K23675" s="711"/>
      <c r="L23675" s="711"/>
      <c r="Q23675" s="11"/>
      <c r="R23675" s="11"/>
      <c r="S23675" s="11"/>
      <c r="T23675" s="11"/>
    </row>
    <row r="23676" spans="8:20" x14ac:dyDescent="0.35">
      <c r="H23676" s="711"/>
      <c r="I23676" s="711"/>
      <c r="J23676" s="711"/>
      <c r="K23676" s="711"/>
      <c r="L23676" s="711"/>
      <c r="Q23676" s="11"/>
      <c r="R23676" s="11"/>
      <c r="S23676" s="11"/>
      <c r="T23676" s="11"/>
    </row>
    <row r="23677" spans="8:20" x14ac:dyDescent="0.35">
      <c r="H23677" s="711"/>
      <c r="I23677" s="711"/>
      <c r="J23677" s="711"/>
      <c r="K23677" s="711"/>
      <c r="L23677" s="711"/>
      <c r="Q23677" s="11"/>
      <c r="R23677" s="11"/>
      <c r="S23677" s="11"/>
      <c r="T23677" s="11"/>
    </row>
    <row r="23678" spans="8:20" x14ac:dyDescent="0.35">
      <c r="H23678" s="711"/>
      <c r="I23678" s="711"/>
      <c r="J23678" s="711"/>
      <c r="K23678" s="711"/>
      <c r="L23678" s="711"/>
      <c r="Q23678" s="11"/>
      <c r="R23678" s="11"/>
      <c r="S23678" s="11"/>
      <c r="T23678" s="11"/>
    </row>
    <row r="23679" spans="8:20" x14ac:dyDescent="0.35">
      <c r="H23679" s="711"/>
      <c r="I23679" s="711"/>
      <c r="J23679" s="711"/>
      <c r="K23679" s="711"/>
      <c r="L23679" s="711"/>
      <c r="Q23679" s="11"/>
      <c r="R23679" s="11"/>
      <c r="S23679" s="11"/>
      <c r="T23679" s="11"/>
    </row>
    <row r="23680" spans="8:20" x14ac:dyDescent="0.35">
      <c r="H23680" s="711"/>
      <c r="I23680" s="711"/>
      <c r="J23680" s="711"/>
      <c r="K23680" s="711"/>
      <c r="L23680" s="711"/>
      <c r="Q23680" s="11"/>
      <c r="R23680" s="11"/>
      <c r="S23680" s="11"/>
      <c r="T23680" s="11"/>
    </row>
    <row r="23681" spans="8:20" x14ac:dyDescent="0.35">
      <c r="H23681" s="711"/>
      <c r="I23681" s="711"/>
      <c r="J23681" s="711"/>
      <c r="K23681" s="711"/>
      <c r="L23681" s="711"/>
      <c r="Q23681" s="11"/>
      <c r="R23681" s="11"/>
      <c r="S23681" s="11"/>
      <c r="T23681" s="11"/>
    </row>
    <row r="23682" spans="8:20" x14ac:dyDescent="0.35">
      <c r="H23682" s="711"/>
      <c r="I23682" s="711"/>
      <c r="J23682" s="711"/>
      <c r="K23682" s="711"/>
      <c r="L23682" s="711"/>
      <c r="Q23682" s="11"/>
      <c r="R23682" s="11"/>
      <c r="S23682" s="11"/>
      <c r="T23682" s="11"/>
    </row>
    <row r="23683" spans="8:20" x14ac:dyDescent="0.35">
      <c r="H23683" s="711"/>
      <c r="I23683" s="711"/>
      <c r="J23683" s="711"/>
      <c r="K23683" s="711"/>
      <c r="L23683" s="711"/>
      <c r="Q23683" s="11"/>
      <c r="R23683" s="11"/>
      <c r="S23683" s="11"/>
      <c r="T23683" s="11"/>
    </row>
    <row r="23684" spans="8:20" x14ac:dyDescent="0.35">
      <c r="H23684" s="711"/>
      <c r="I23684" s="711"/>
      <c r="J23684" s="711"/>
      <c r="K23684" s="711"/>
      <c r="L23684" s="711"/>
      <c r="Q23684" s="11"/>
      <c r="R23684" s="11"/>
      <c r="S23684" s="11"/>
      <c r="T23684" s="11"/>
    </row>
    <row r="23685" spans="8:20" x14ac:dyDescent="0.35">
      <c r="H23685" s="711"/>
      <c r="I23685" s="711"/>
      <c r="J23685" s="711"/>
      <c r="K23685" s="711"/>
      <c r="L23685" s="711"/>
      <c r="Q23685" s="11"/>
      <c r="R23685" s="11"/>
      <c r="S23685" s="11"/>
      <c r="T23685" s="11"/>
    </row>
    <row r="23686" spans="8:20" x14ac:dyDescent="0.35">
      <c r="H23686" s="711"/>
      <c r="I23686" s="711"/>
      <c r="J23686" s="711"/>
      <c r="K23686" s="711"/>
      <c r="L23686" s="711"/>
      <c r="Q23686" s="11"/>
      <c r="R23686" s="11"/>
      <c r="S23686" s="11"/>
      <c r="T23686" s="11"/>
    </row>
    <row r="23687" spans="8:20" x14ac:dyDescent="0.35">
      <c r="H23687" s="711"/>
      <c r="I23687" s="711"/>
      <c r="J23687" s="711"/>
      <c r="K23687" s="711"/>
      <c r="L23687" s="711"/>
      <c r="Q23687" s="11"/>
      <c r="R23687" s="11"/>
      <c r="S23687" s="11"/>
      <c r="T23687" s="11"/>
    </row>
    <row r="23688" spans="8:20" x14ac:dyDescent="0.35">
      <c r="H23688" s="711"/>
      <c r="I23688" s="711"/>
      <c r="J23688" s="711"/>
      <c r="K23688" s="711"/>
      <c r="L23688" s="711"/>
      <c r="Q23688" s="11"/>
      <c r="R23688" s="11"/>
      <c r="S23688" s="11"/>
      <c r="T23688" s="11"/>
    </row>
    <row r="23689" spans="8:20" x14ac:dyDescent="0.35">
      <c r="H23689" s="711"/>
      <c r="I23689" s="711"/>
      <c r="J23689" s="711"/>
      <c r="K23689" s="711"/>
      <c r="L23689" s="711"/>
      <c r="Q23689" s="11"/>
      <c r="R23689" s="11"/>
      <c r="S23689" s="11"/>
      <c r="T23689" s="11"/>
    </row>
    <row r="23690" spans="8:20" x14ac:dyDescent="0.35">
      <c r="H23690" s="711"/>
      <c r="I23690" s="711"/>
      <c r="J23690" s="711"/>
      <c r="K23690" s="711"/>
      <c r="L23690" s="711"/>
      <c r="Q23690" s="11"/>
      <c r="R23690" s="11"/>
      <c r="S23690" s="11"/>
      <c r="T23690" s="11"/>
    </row>
    <row r="23691" spans="8:20" x14ac:dyDescent="0.35">
      <c r="H23691" s="711"/>
      <c r="I23691" s="711"/>
      <c r="J23691" s="711"/>
      <c r="K23691" s="711"/>
      <c r="L23691" s="711"/>
      <c r="Q23691" s="11"/>
      <c r="R23691" s="11"/>
      <c r="S23691" s="11"/>
      <c r="T23691" s="11"/>
    </row>
    <row r="23692" spans="8:20" x14ac:dyDescent="0.35">
      <c r="H23692" s="711"/>
      <c r="I23692" s="711"/>
      <c r="J23692" s="711"/>
      <c r="K23692" s="711"/>
      <c r="L23692" s="711"/>
      <c r="Q23692" s="11"/>
      <c r="R23692" s="11"/>
      <c r="S23692" s="11"/>
      <c r="T23692" s="11"/>
    </row>
    <row r="23693" spans="8:20" x14ac:dyDescent="0.35">
      <c r="H23693" s="711"/>
      <c r="I23693" s="711"/>
      <c r="J23693" s="711"/>
      <c r="K23693" s="711"/>
      <c r="L23693" s="711"/>
      <c r="Q23693" s="11"/>
      <c r="R23693" s="11"/>
      <c r="S23693" s="11"/>
      <c r="T23693" s="11"/>
    </row>
    <row r="23694" spans="8:20" x14ac:dyDescent="0.35">
      <c r="H23694" s="711"/>
      <c r="I23694" s="711"/>
      <c r="J23694" s="711"/>
      <c r="K23694" s="711"/>
      <c r="L23694" s="711"/>
      <c r="Q23694" s="11"/>
      <c r="R23694" s="11"/>
      <c r="S23694" s="11"/>
      <c r="T23694" s="11"/>
    </row>
    <row r="23695" spans="8:20" x14ac:dyDescent="0.35">
      <c r="H23695" s="711"/>
      <c r="I23695" s="711"/>
      <c r="J23695" s="711"/>
      <c r="K23695" s="711"/>
      <c r="L23695" s="711"/>
      <c r="Q23695" s="11"/>
      <c r="R23695" s="11"/>
      <c r="S23695" s="11"/>
      <c r="T23695" s="11"/>
    </row>
    <row r="23696" spans="8:20" x14ac:dyDescent="0.35">
      <c r="H23696" s="711"/>
      <c r="I23696" s="711"/>
      <c r="J23696" s="711"/>
      <c r="K23696" s="711"/>
      <c r="L23696" s="711"/>
      <c r="Q23696" s="11"/>
      <c r="R23696" s="11"/>
      <c r="S23696" s="11"/>
      <c r="T23696" s="11"/>
    </row>
    <row r="23697" spans="8:20" x14ac:dyDescent="0.35">
      <c r="H23697" s="711"/>
      <c r="I23697" s="711"/>
      <c r="J23697" s="711"/>
      <c r="K23697" s="711"/>
      <c r="L23697" s="711"/>
      <c r="Q23697" s="11"/>
      <c r="R23697" s="11"/>
      <c r="S23697" s="11"/>
      <c r="T23697" s="11"/>
    </row>
    <row r="23698" spans="8:20" x14ac:dyDescent="0.35">
      <c r="H23698" s="711"/>
      <c r="I23698" s="711"/>
      <c r="J23698" s="711"/>
      <c r="K23698" s="711"/>
      <c r="L23698" s="711"/>
      <c r="Q23698" s="11"/>
      <c r="R23698" s="11"/>
      <c r="S23698" s="11"/>
      <c r="T23698" s="11"/>
    </row>
    <row r="23699" spans="8:20" x14ac:dyDescent="0.35">
      <c r="H23699" s="711"/>
      <c r="I23699" s="711"/>
      <c r="J23699" s="711"/>
      <c r="K23699" s="711"/>
      <c r="L23699" s="711"/>
      <c r="Q23699" s="11"/>
      <c r="R23699" s="11"/>
      <c r="S23699" s="11"/>
      <c r="T23699" s="11"/>
    </row>
    <row r="23700" spans="8:20" x14ac:dyDescent="0.35">
      <c r="H23700" s="711"/>
      <c r="I23700" s="711"/>
      <c r="J23700" s="711"/>
      <c r="K23700" s="711"/>
      <c r="L23700" s="711"/>
      <c r="Q23700" s="11"/>
      <c r="R23700" s="11"/>
      <c r="S23700" s="11"/>
      <c r="T23700" s="11"/>
    </row>
    <row r="23701" spans="8:20" x14ac:dyDescent="0.35">
      <c r="H23701" s="711"/>
      <c r="I23701" s="711"/>
      <c r="J23701" s="711"/>
      <c r="K23701" s="711"/>
      <c r="L23701" s="711"/>
      <c r="Q23701" s="11"/>
      <c r="R23701" s="11"/>
      <c r="S23701" s="11"/>
      <c r="T23701" s="11"/>
    </row>
    <row r="23702" spans="8:20" x14ac:dyDescent="0.35">
      <c r="H23702" s="711"/>
      <c r="I23702" s="711"/>
      <c r="J23702" s="711"/>
      <c r="K23702" s="711"/>
      <c r="L23702" s="711"/>
      <c r="Q23702" s="11"/>
      <c r="R23702" s="11"/>
      <c r="S23702" s="11"/>
      <c r="T23702" s="11"/>
    </row>
    <row r="23703" spans="8:20" x14ac:dyDescent="0.35">
      <c r="H23703" s="711"/>
      <c r="I23703" s="711"/>
      <c r="J23703" s="711"/>
      <c r="K23703" s="711"/>
      <c r="L23703" s="711"/>
      <c r="Q23703" s="11"/>
      <c r="R23703" s="11"/>
      <c r="S23703" s="11"/>
      <c r="T23703" s="11"/>
    </row>
    <row r="23704" spans="8:20" x14ac:dyDescent="0.35">
      <c r="H23704" s="711"/>
      <c r="I23704" s="711"/>
      <c r="J23704" s="711"/>
      <c r="K23704" s="711"/>
      <c r="L23704" s="711"/>
      <c r="Q23704" s="11"/>
      <c r="R23704" s="11"/>
      <c r="S23704" s="11"/>
      <c r="T23704" s="11"/>
    </row>
    <row r="23705" spans="8:20" x14ac:dyDescent="0.35">
      <c r="H23705" s="711"/>
      <c r="I23705" s="711"/>
      <c r="J23705" s="711"/>
      <c r="K23705" s="711"/>
      <c r="L23705" s="711"/>
      <c r="Q23705" s="11"/>
      <c r="R23705" s="11"/>
      <c r="S23705" s="11"/>
      <c r="T23705" s="11"/>
    </row>
    <row r="23706" spans="8:20" x14ac:dyDescent="0.35">
      <c r="H23706" s="711"/>
      <c r="I23706" s="711"/>
      <c r="J23706" s="711"/>
      <c r="K23706" s="711"/>
      <c r="L23706" s="711"/>
      <c r="Q23706" s="11"/>
      <c r="R23706" s="11"/>
      <c r="S23706" s="11"/>
      <c r="T23706" s="11"/>
    </row>
    <row r="23707" spans="8:20" x14ac:dyDescent="0.35">
      <c r="H23707" s="711"/>
      <c r="I23707" s="711"/>
      <c r="J23707" s="711"/>
      <c r="K23707" s="711"/>
      <c r="L23707" s="711"/>
      <c r="Q23707" s="11"/>
      <c r="R23707" s="11"/>
      <c r="S23707" s="11"/>
      <c r="T23707" s="11"/>
    </row>
    <row r="23708" spans="8:20" x14ac:dyDescent="0.35">
      <c r="H23708" s="711"/>
      <c r="I23708" s="711"/>
      <c r="J23708" s="711"/>
      <c r="K23708" s="711"/>
      <c r="L23708" s="711"/>
      <c r="Q23708" s="11"/>
      <c r="R23708" s="11"/>
      <c r="S23708" s="11"/>
      <c r="T23708" s="11"/>
    </row>
    <row r="23709" spans="8:20" x14ac:dyDescent="0.35">
      <c r="H23709" s="711"/>
      <c r="I23709" s="711"/>
      <c r="J23709" s="711"/>
      <c r="K23709" s="711"/>
      <c r="L23709" s="711"/>
      <c r="Q23709" s="11"/>
      <c r="R23709" s="11"/>
      <c r="S23709" s="11"/>
      <c r="T23709" s="11"/>
    </row>
    <row r="23710" spans="8:20" x14ac:dyDescent="0.35">
      <c r="H23710" s="711"/>
      <c r="I23710" s="711"/>
      <c r="J23710" s="711"/>
      <c r="K23710" s="711"/>
      <c r="L23710" s="711"/>
      <c r="Q23710" s="11"/>
      <c r="R23710" s="11"/>
      <c r="S23710" s="11"/>
      <c r="T23710" s="11"/>
    </row>
    <row r="23711" spans="8:20" x14ac:dyDescent="0.35">
      <c r="H23711" s="711"/>
      <c r="I23711" s="711"/>
      <c r="J23711" s="711"/>
      <c r="K23711" s="711"/>
      <c r="L23711" s="711"/>
      <c r="Q23711" s="11"/>
      <c r="R23711" s="11"/>
      <c r="S23711" s="11"/>
      <c r="T23711" s="11"/>
    </row>
    <row r="23712" spans="8:20" x14ac:dyDescent="0.35">
      <c r="H23712" s="711"/>
      <c r="I23712" s="711"/>
      <c r="J23712" s="711"/>
      <c r="K23712" s="711"/>
      <c r="L23712" s="711"/>
      <c r="Q23712" s="11"/>
      <c r="R23712" s="11"/>
      <c r="S23712" s="11"/>
      <c r="T23712" s="11"/>
    </row>
    <row r="23713" spans="8:20" x14ac:dyDescent="0.35">
      <c r="H23713" s="711"/>
      <c r="I23713" s="711"/>
      <c r="J23713" s="711"/>
      <c r="K23713" s="711"/>
      <c r="L23713" s="711"/>
      <c r="Q23713" s="11"/>
      <c r="R23713" s="11"/>
      <c r="S23713" s="11"/>
      <c r="T23713" s="11"/>
    </row>
    <row r="23714" spans="8:20" x14ac:dyDescent="0.35">
      <c r="H23714" s="711"/>
      <c r="I23714" s="711"/>
      <c r="J23714" s="711"/>
      <c r="K23714" s="711"/>
      <c r="L23714" s="711"/>
      <c r="Q23714" s="11"/>
      <c r="R23714" s="11"/>
      <c r="S23714" s="11"/>
      <c r="T23714" s="11"/>
    </row>
    <row r="23715" spans="8:20" x14ac:dyDescent="0.35">
      <c r="H23715" s="711"/>
      <c r="I23715" s="711"/>
      <c r="J23715" s="711"/>
      <c r="K23715" s="711"/>
      <c r="L23715" s="711"/>
      <c r="Q23715" s="11"/>
      <c r="R23715" s="11"/>
      <c r="S23715" s="11"/>
      <c r="T23715" s="11"/>
    </row>
    <row r="23716" spans="8:20" x14ac:dyDescent="0.35">
      <c r="H23716" s="711"/>
      <c r="I23716" s="711"/>
      <c r="J23716" s="711"/>
      <c r="K23716" s="711"/>
      <c r="L23716" s="711"/>
      <c r="Q23716" s="11"/>
      <c r="R23716" s="11"/>
      <c r="S23716" s="11"/>
      <c r="T23716" s="11"/>
    </row>
    <row r="23717" spans="8:20" x14ac:dyDescent="0.35">
      <c r="H23717" s="711"/>
      <c r="I23717" s="711"/>
      <c r="J23717" s="711"/>
      <c r="K23717" s="711"/>
      <c r="L23717" s="711"/>
      <c r="Q23717" s="11"/>
      <c r="R23717" s="11"/>
      <c r="S23717" s="11"/>
      <c r="T23717" s="11"/>
    </row>
    <row r="23718" spans="8:20" x14ac:dyDescent="0.35">
      <c r="H23718" s="711"/>
      <c r="I23718" s="711"/>
      <c r="J23718" s="711"/>
      <c r="K23718" s="711"/>
      <c r="L23718" s="711"/>
      <c r="Q23718" s="11"/>
      <c r="R23718" s="11"/>
      <c r="S23718" s="11"/>
      <c r="T23718" s="11"/>
    </row>
    <row r="23719" spans="8:20" x14ac:dyDescent="0.35">
      <c r="H23719" s="711"/>
      <c r="I23719" s="711"/>
      <c r="J23719" s="711"/>
      <c r="K23719" s="711"/>
      <c r="L23719" s="711"/>
      <c r="Q23719" s="11"/>
      <c r="R23719" s="11"/>
      <c r="S23719" s="11"/>
      <c r="T23719" s="11"/>
    </row>
    <row r="23720" spans="8:20" x14ac:dyDescent="0.35">
      <c r="H23720" s="711"/>
      <c r="I23720" s="711"/>
      <c r="J23720" s="711"/>
      <c r="K23720" s="711"/>
      <c r="L23720" s="711"/>
      <c r="Q23720" s="11"/>
      <c r="R23720" s="11"/>
      <c r="S23720" s="11"/>
      <c r="T23720" s="11"/>
    </row>
    <row r="23721" spans="8:20" x14ac:dyDescent="0.35">
      <c r="H23721" s="711"/>
      <c r="I23721" s="711"/>
      <c r="J23721" s="711"/>
      <c r="K23721" s="711"/>
      <c r="L23721" s="711"/>
      <c r="Q23721" s="11"/>
      <c r="R23721" s="11"/>
      <c r="S23721" s="11"/>
      <c r="T23721" s="11"/>
    </row>
    <row r="23722" spans="8:20" x14ac:dyDescent="0.35">
      <c r="H23722" s="711"/>
      <c r="I23722" s="711"/>
      <c r="J23722" s="711"/>
      <c r="K23722" s="711"/>
      <c r="L23722" s="711"/>
      <c r="Q23722" s="11"/>
      <c r="R23722" s="11"/>
      <c r="S23722" s="11"/>
      <c r="T23722" s="11"/>
    </row>
    <row r="23723" spans="8:20" x14ac:dyDescent="0.35">
      <c r="H23723" s="711"/>
      <c r="I23723" s="711"/>
      <c r="J23723" s="711"/>
      <c r="K23723" s="711"/>
      <c r="L23723" s="711"/>
      <c r="Q23723" s="11"/>
      <c r="R23723" s="11"/>
      <c r="S23723" s="11"/>
      <c r="T23723" s="11"/>
    </row>
    <row r="23724" spans="8:20" x14ac:dyDescent="0.35">
      <c r="H23724" s="711"/>
      <c r="I23724" s="711"/>
      <c r="J23724" s="711"/>
      <c r="K23724" s="711"/>
      <c r="L23724" s="711"/>
      <c r="Q23724" s="11"/>
      <c r="R23724" s="11"/>
      <c r="S23724" s="11"/>
      <c r="T23724" s="11"/>
    </row>
    <row r="23725" spans="8:20" x14ac:dyDescent="0.35">
      <c r="H23725" s="711"/>
      <c r="I23725" s="711"/>
      <c r="J23725" s="711"/>
      <c r="K23725" s="711"/>
      <c r="L23725" s="711"/>
      <c r="Q23725" s="11"/>
      <c r="R23725" s="11"/>
      <c r="S23725" s="11"/>
      <c r="T23725" s="11"/>
    </row>
    <row r="23726" spans="8:20" x14ac:dyDescent="0.35">
      <c r="H23726" s="711"/>
      <c r="I23726" s="711"/>
      <c r="J23726" s="711"/>
      <c r="K23726" s="711"/>
      <c r="L23726" s="711"/>
      <c r="Q23726" s="11"/>
      <c r="R23726" s="11"/>
      <c r="S23726" s="11"/>
      <c r="T23726" s="11"/>
    </row>
    <row r="23727" spans="8:20" x14ac:dyDescent="0.35">
      <c r="H23727" s="711"/>
      <c r="I23727" s="711"/>
      <c r="J23727" s="711"/>
      <c r="K23727" s="711"/>
      <c r="L23727" s="711"/>
      <c r="Q23727" s="11"/>
      <c r="R23727" s="11"/>
      <c r="S23727" s="11"/>
      <c r="T23727" s="11"/>
    </row>
    <row r="23728" spans="8:20" x14ac:dyDescent="0.35">
      <c r="H23728" s="711"/>
      <c r="I23728" s="711"/>
      <c r="J23728" s="711"/>
      <c r="K23728" s="711"/>
      <c r="L23728" s="711"/>
      <c r="Q23728" s="11"/>
      <c r="R23728" s="11"/>
      <c r="S23728" s="11"/>
      <c r="T23728" s="11"/>
    </row>
    <row r="23729" spans="8:20" x14ac:dyDescent="0.35">
      <c r="H23729" s="711"/>
      <c r="I23729" s="711"/>
      <c r="J23729" s="711"/>
      <c r="K23729" s="711"/>
      <c r="L23729" s="711"/>
      <c r="Q23729" s="11"/>
      <c r="R23729" s="11"/>
      <c r="S23729" s="11"/>
      <c r="T23729" s="11"/>
    </row>
    <row r="23730" spans="8:20" x14ac:dyDescent="0.35">
      <c r="H23730" s="711"/>
      <c r="I23730" s="711"/>
      <c r="J23730" s="711"/>
      <c r="K23730" s="711"/>
      <c r="L23730" s="711"/>
      <c r="Q23730" s="11"/>
      <c r="R23730" s="11"/>
      <c r="S23730" s="11"/>
      <c r="T23730" s="11"/>
    </row>
    <row r="23731" spans="8:20" x14ac:dyDescent="0.35">
      <c r="H23731" s="711"/>
      <c r="I23731" s="711"/>
      <c r="J23731" s="711"/>
      <c r="K23731" s="711"/>
      <c r="L23731" s="711"/>
      <c r="Q23731" s="11"/>
      <c r="R23731" s="11"/>
      <c r="S23731" s="11"/>
      <c r="T23731" s="11"/>
    </row>
    <row r="23732" spans="8:20" x14ac:dyDescent="0.35">
      <c r="H23732" s="711"/>
      <c r="I23732" s="711"/>
      <c r="J23732" s="711"/>
      <c r="K23732" s="711"/>
      <c r="L23732" s="711"/>
      <c r="Q23732" s="11"/>
      <c r="R23732" s="11"/>
      <c r="S23732" s="11"/>
      <c r="T23732" s="11"/>
    </row>
    <row r="23733" spans="8:20" x14ac:dyDescent="0.35">
      <c r="H23733" s="711"/>
      <c r="I23733" s="711"/>
      <c r="J23733" s="711"/>
      <c r="K23733" s="711"/>
      <c r="L23733" s="711"/>
      <c r="Q23733" s="11"/>
      <c r="R23733" s="11"/>
      <c r="S23733" s="11"/>
      <c r="T23733" s="11"/>
    </row>
    <row r="23734" spans="8:20" x14ac:dyDescent="0.35">
      <c r="H23734" s="711"/>
      <c r="I23734" s="711"/>
      <c r="J23734" s="711"/>
      <c r="K23734" s="711"/>
      <c r="L23734" s="711"/>
      <c r="Q23734" s="11"/>
      <c r="R23734" s="11"/>
      <c r="S23734" s="11"/>
      <c r="T23734" s="11"/>
    </row>
    <row r="23735" spans="8:20" x14ac:dyDescent="0.35">
      <c r="H23735" s="711"/>
      <c r="I23735" s="711"/>
      <c r="J23735" s="711"/>
      <c r="K23735" s="711"/>
      <c r="L23735" s="711"/>
      <c r="Q23735" s="11"/>
      <c r="R23735" s="11"/>
      <c r="S23735" s="11"/>
      <c r="T23735" s="11"/>
    </row>
    <row r="23736" spans="8:20" x14ac:dyDescent="0.35">
      <c r="H23736" s="711"/>
      <c r="I23736" s="711"/>
      <c r="J23736" s="711"/>
      <c r="K23736" s="711"/>
      <c r="L23736" s="711"/>
      <c r="Q23736" s="11"/>
      <c r="R23736" s="11"/>
      <c r="S23736" s="11"/>
      <c r="T23736" s="11"/>
    </row>
    <row r="23737" spans="8:20" x14ac:dyDescent="0.35">
      <c r="H23737" s="711"/>
      <c r="I23737" s="711"/>
      <c r="J23737" s="711"/>
      <c r="K23737" s="711"/>
      <c r="L23737" s="711"/>
      <c r="Q23737" s="11"/>
      <c r="R23737" s="11"/>
      <c r="S23737" s="11"/>
      <c r="T23737" s="11"/>
    </row>
    <row r="23738" spans="8:20" x14ac:dyDescent="0.35">
      <c r="H23738" s="711"/>
      <c r="I23738" s="711"/>
      <c r="J23738" s="711"/>
      <c r="K23738" s="711"/>
      <c r="L23738" s="711"/>
      <c r="Q23738" s="11"/>
      <c r="R23738" s="11"/>
      <c r="S23738" s="11"/>
      <c r="T23738" s="11"/>
    </row>
    <row r="23739" spans="8:20" x14ac:dyDescent="0.35">
      <c r="H23739" s="711"/>
      <c r="I23739" s="711"/>
      <c r="J23739" s="711"/>
      <c r="K23739" s="711"/>
      <c r="L23739" s="711"/>
      <c r="Q23739" s="11"/>
      <c r="R23739" s="11"/>
      <c r="S23739" s="11"/>
      <c r="T23739" s="11"/>
    </row>
    <row r="23740" spans="8:20" x14ac:dyDescent="0.35">
      <c r="H23740" s="711"/>
      <c r="I23740" s="711"/>
      <c r="J23740" s="711"/>
      <c r="K23740" s="711"/>
      <c r="L23740" s="711"/>
      <c r="Q23740" s="11"/>
      <c r="R23740" s="11"/>
      <c r="S23740" s="11"/>
      <c r="T23740" s="11"/>
    </row>
    <row r="23741" spans="8:20" x14ac:dyDescent="0.35">
      <c r="H23741" s="711"/>
      <c r="I23741" s="711"/>
      <c r="J23741" s="711"/>
      <c r="K23741" s="711"/>
      <c r="L23741" s="711"/>
      <c r="Q23741" s="11"/>
      <c r="R23741" s="11"/>
      <c r="S23741" s="11"/>
      <c r="T23741" s="11"/>
    </row>
    <row r="23742" spans="8:20" x14ac:dyDescent="0.35">
      <c r="H23742" s="711"/>
      <c r="I23742" s="711"/>
      <c r="J23742" s="711"/>
      <c r="K23742" s="711"/>
      <c r="L23742" s="711"/>
      <c r="Q23742" s="11"/>
      <c r="R23742" s="11"/>
      <c r="S23742" s="11"/>
      <c r="T23742" s="11"/>
    </row>
    <row r="23743" spans="8:20" x14ac:dyDescent="0.35">
      <c r="H23743" s="711"/>
      <c r="I23743" s="711"/>
      <c r="J23743" s="711"/>
      <c r="K23743" s="711"/>
      <c r="L23743" s="711"/>
      <c r="Q23743" s="11"/>
      <c r="R23743" s="11"/>
      <c r="S23743" s="11"/>
      <c r="T23743" s="11"/>
    </row>
    <row r="23744" spans="8:20" x14ac:dyDescent="0.35">
      <c r="H23744" s="711"/>
      <c r="I23744" s="711"/>
      <c r="J23744" s="711"/>
      <c r="K23744" s="711"/>
      <c r="L23744" s="711"/>
      <c r="Q23744" s="11"/>
      <c r="R23744" s="11"/>
      <c r="S23744" s="11"/>
      <c r="T23744" s="11"/>
    </row>
    <row r="23745" spans="8:20" x14ac:dyDescent="0.35">
      <c r="H23745" s="711"/>
      <c r="I23745" s="711"/>
      <c r="J23745" s="711"/>
      <c r="K23745" s="711"/>
      <c r="L23745" s="711"/>
      <c r="Q23745" s="11"/>
      <c r="R23745" s="11"/>
      <c r="S23745" s="11"/>
      <c r="T23745" s="11"/>
    </row>
    <row r="23746" spans="8:20" x14ac:dyDescent="0.35">
      <c r="H23746" s="711"/>
      <c r="I23746" s="711"/>
      <c r="J23746" s="711"/>
      <c r="K23746" s="711"/>
      <c r="L23746" s="711"/>
      <c r="Q23746" s="11"/>
      <c r="R23746" s="11"/>
      <c r="S23746" s="11"/>
      <c r="T23746" s="11"/>
    </row>
    <row r="23747" spans="8:20" x14ac:dyDescent="0.35">
      <c r="H23747" s="711"/>
      <c r="I23747" s="711"/>
      <c r="J23747" s="711"/>
      <c r="K23747" s="711"/>
      <c r="L23747" s="711"/>
      <c r="Q23747" s="11"/>
      <c r="R23747" s="11"/>
      <c r="S23747" s="11"/>
      <c r="T23747" s="11"/>
    </row>
    <row r="23748" spans="8:20" x14ac:dyDescent="0.35">
      <c r="H23748" s="711"/>
      <c r="I23748" s="711"/>
      <c r="J23748" s="711"/>
      <c r="K23748" s="711"/>
      <c r="L23748" s="711"/>
      <c r="Q23748" s="11"/>
      <c r="R23748" s="11"/>
      <c r="S23748" s="11"/>
      <c r="T23748" s="11"/>
    </row>
    <row r="23749" spans="8:20" x14ac:dyDescent="0.35">
      <c r="H23749" s="711"/>
      <c r="I23749" s="711"/>
      <c r="J23749" s="711"/>
      <c r="K23749" s="711"/>
      <c r="L23749" s="711"/>
      <c r="Q23749" s="11"/>
      <c r="R23749" s="11"/>
      <c r="S23749" s="11"/>
      <c r="T23749" s="11"/>
    </row>
    <row r="23750" spans="8:20" x14ac:dyDescent="0.35">
      <c r="H23750" s="711"/>
      <c r="I23750" s="711"/>
      <c r="J23750" s="711"/>
      <c r="K23750" s="711"/>
      <c r="L23750" s="711"/>
      <c r="Q23750" s="11"/>
      <c r="R23750" s="11"/>
      <c r="S23750" s="11"/>
      <c r="T23750" s="11"/>
    </row>
    <row r="23751" spans="8:20" x14ac:dyDescent="0.35">
      <c r="H23751" s="711"/>
      <c r="I23751" s="711"/>
      <c r="J23751" s="711"/>
      <c r="K23751" s="711"/>
      <c r="L23751" s="711"/>
      <c r="Q23751" s="11"/>
      <c r="R23751" s="11"/>
      <c r="S23751" s="11"/>
      <c r="T23751" s="11"/>
    </row>
    <row r="23752" spans="8:20" x14ac:dyDescent="0.35">
      <c r="H23752" s="711"/>
      <c r="I23752" s="711"/>
      <c r="J23752" s="711"/>
      <c r="K23752" s="711"/>
      <c r="L23752" s="711"/>
      <c r="Q23752" s="11"/>
      <c r="R23752" s="11"/>
      <c r="S23752" s="11"/>
      <c r="T23752" s="11"/>
    </row>
    <row r="23753" spans="8:20" x14ac:dyDescent="0.35">
      <c r="H23753" s="711"/>
      <c r="I23753" s="711"/>
      <c r="J23753" s="711"/>
      <c r="K23753" s="711"/>
      <c r="L23753" s="711"/>
      <c r="Q23753" s="11"/>
      <c r="R23753" s="11"/>
      <c r="S23753" s="11"/>
      <c r="T23753" s="11"/>
    </row>
    <row r="23754" spans="8:20" x14ac:dyDescent="0.35">
      <c r="H23754" s="711"/>
      <c r="I23754" s="711"/>
      <c r="J23754" s="711"/>
      <c r="K23754" s="711"/>
      <c r="L23754" s="711"/>
      <c r="Q23754" s="11"/>
      <c r="R23754" s="11"/>
      <c r="S23754" s="11"/>
      <c r="T23754" s="11"/>
    </row>
    <row r="23755" spans="8:20" x14ac:dyDescent="0.35">
      <c r="H23755" s="711"/>
      <c r="I23755" s="711"/>
      <c r="J23755" s="711"/>
      <c r="K23755" s="711"/>
      <c r="L23755" s="711"/>
      <c r="Q23755" s="11"/>
      <c r="R23755" s="11"/>
      <c r="S23755" s="11"/>
      <c r="T23755" s="11"/>
    </row>
    <row r="23756" spans="8:20" x14ac:dyDescent="0.35">
      <c r="H23756" s="711"/>
      <c r="I23756" s="711"/>
      <c r="J23756" s="711"/>
      <c r="K23756" s="711"/>
      <c r="L23756" s="711"/>
      <c r="Q23756" s="11"/>
      <c r="R23756" s="11"/>
      <c r="S23756" s="11"/>
      <c r="T23756" s="11"/>
    </row>
    <row r="23757" spans="8:20" x14ac:dyDescent="0.35">
      <c r="H23757" s="711"/>
      <c r="I23757" s="711"/>
      <c r="J23757" s="711"/>
      <c r="K23757" s="711"/>
      <c r="L23757" s="711"/>
      <c r="Q23757" s="11"/>
      <c r="R23757" s="11"/>
      <c r="S23757" s="11"/>
      <c r="T23757" s="11"/>
    </row>
    <row r="23758" spans="8:20" x14ac:dyDescent="0.35">
      <c r="H23758" s="711"/>
      <c r="I23758" s="711"/>
      <c r="J23758" s="711"/>
      <c r="K23758" s="711"/>
      <c r="L23758" s="711"/>
      <c r="Q23758" s="11"/>
      <c r="R23758" s="11"/>
      <c r="S23758" s="11"/>
      <c r="T23758" s="11"/>
    </row>
    <row r="23759" spans="8:20" x14ac:dyDescent="0.35">
      <c r="H23759" s="711"/>
      <c r="I23759" s="711"/>
      <c r="J23759" s="711"/>
      <c r="K23759" s="711"/>
      <c r="L23759" s="711"/>
      <c r="Q23759" s="11"/>
      <c r="R23759" s="11"/>
      <c r="S23759" s="11"/>
      <c r="T23759" s="11"/>
    </row>
    <row r="23760" spans="8:20" x14ac:dyDescent="0.35">
      <c r="H23760" s="711"/>
      <c r="I23760" s="711"/>
      <c r="J23760" s="711"/>
      <c r="K23760" s="711"/>
      <c r="L23760" s="711"/>
      <c r="Q23760" s="11"/>
      <c r="R23760" s="11"/>
      <c r="S23760" s="11"/>
      <c r="T23760" s="11"/>
    </row>
    <row r="23761" spans="8:20" x14ac:dyDescent="0.35">
      <c r="H23761" s="711"/>
      <c r="I23761" s="711"/>
      <c r="J23761" s="711"/>
      <c r="K23761" s="711"/>
      <c r="L23761" s="711"/>
      <c r="Q23761" s="11"/>
      <c r="R23761" s="11"/>
      <c r="S23761" s="11"/>
      <c r="T23761" s="11"/>
    </row>
    <row r="23762" spans="8:20" x14ac:dyDescent="0.35">
      <c r="H23762" s="711"/>
      <c r="I23762" s="711"/>
      <c r="J23762" s="711"/>
      <c r="K23762" s="711"/>
      <c r="L23762" s="711"/>
      <c r="Q23762" s="11"/>
      <c r="R23762" s="11"/>
      <c r="S23762" s="11"/>
      <c r="T23762" s="11"/>
    </row>
    <row r="23763" spans="8:20" x14ac:dyDescent="0.35">
      <c r="H23763" s="711"/>
      <c r="I23763" s="711"/>
      <c r="J23763" s="711"/>
      <c r="K23763" s="711"/>
      <c r="L23763" s="711"/>
      <c r="Q23763" s="11"/>
      <c r="R23763" s="11"/>
      <c r="S23763" s="11"/>
      <c r="T23763" s="11"/>
    </row>
    <row r="23764" spans="8:20" x14ac:dyDescent="0.35">
      <c r="H23764" s="711"/>
      <c r="I23764" s="711"/>
      <c r="J23764" s="711"/>
      <c r="K23764" s="711"/>
      <c r="L23764" s="711"/>
      <c r="Q23764" s="11"/>
      <c r="R23764" s="11"/>
      <c r="S23764" s="11"/>
      <c r="T23764" s="11"/>
    </row>
    <row r="23765" spans="8:20" x14ac:dyDescent="0.35">
      <c r="H23765" s="711"/>
      <c r="I23765" s="711"/>
      <c r="J23765" s="711"/>
      <c r="K23765" s="711"/>
      <c r="L23765" s="711"/>
      <c r="Q23765" s="11"/>
      <c r="R23765" s="11"/>
      <c r="S23765" s="11"/>
      <c r="T23765" s="11"/>
    </row>
    <row r="23766" spans="8:20" x14ac:dyDescent="0.35">
      <c r="H23766" s="711"/>
      <c r="I23766" s="711"/>
      <c r="J23766" s="711"/>
      <c r="K23766" s="711"/>
      <c r="L23766" s="711"/>
      <c r="Q23766" s="11"/>
      <c r="R23766" s="11"/>
      <c r="S23766" s="11"/>
      <c r="T23766" s="11"/>
    </row>
    <row r="23767" spans="8:20" x14ac:dyDescent="0.35">
      <c r="H23767" s="711"/>
      <c r="I23767" s="711"/>
      <c r="J23767" s="711"/>
      <c r="K23767" s="711"/>
      <c r="L23767" s="711"/>
      <c r="Q23767" s="11"/>
      <c r="R23767" s="11"/>
      <c r="S23767" s="11"/>
      <c r="T23767" s="11"/>
    </row>
    <row r="23768" spans="8:20" x14ac:dyDescent="0.35">
      <c r="H23768" s="711"/>
      <c r="I23768" s="711"/>
      <c r="J23768" s="711"/>
      <c r="K23768" s="711"/>
      <c r="L23768" s="711"/>
      <c r="Q23768" s="11"/>
      <c r="R23768" s="11"/>
      <c r="S23768" s="11"/>
      <c r="T23768" s="11"/>
    </row>
    <row r="23769" spans="8:20" x14ac:dyDescent="0.35">
      <c r="H23769" s="711"/>
      <c r="I23769" s="711"/>
      <c r="J23769" s="711"/>
      <c r="K23769" s="711"/>
      <c r="L23769" s="711"/>
      <c r="Q23769" s="11"/>
      <c r="R23769" s="11"/>
      <c r="S23769" s="11"/>
      <c r="T23769" s="11"/>
    </row>
    <row r="23770" spans="8:20" x14ac:dyDescent="0.35">
      <c r="H23770" s="711"/>
      <c r="I23770" s="711"/>
      <c r="J23770" s="711"/>
      <c r="K23770" s="711"/>
      <c r="L23770" s="711"/>
      <c r="Q23770" s="11"/>
      <c r="R23770" s="11"/>
      <c r="S23770" s="11"/>
      <c r="T23770" s="11"/>
    </row>
    <row r="23771" spans="8:20" x14ac:dyDescent="0.35">
      <c r="H23771" s="711"/>
      <c r="I23771" s="711"/>
      <c r="J23771" s="711"/>
      <c r="K23771" s="711"/>
      <c r="L23771" s="711"/>
      <c r="Q23771" s="11"/>
      <c r="R23771" s="11"/>
      <c r="S23771" s="11"/>
      <c r="T23771" s="11"/>
    </row>
    <row r="23772" spans="8:20" x14ac:dyDescent="0.35">
      <c r="H23772" s="711"/>
      <c r="I23772" s="711"/>
      <c r="J23772" s="711"/>
      <c r="K23772" s="711"/>
      <c r="L23772" s="711"/>
      <c r="Q23772" s="11"/>
      <c r="R23772" s="11"/>
      <c r="S23772" s="11"/>
      <c r="T23772" s="11"/>
    </row>
    <row r="23773" spans="8:20" x14ac:dyDescent="0.35">
      <c r="H23773" s="711"/>
      <c r="I23773" s="711"/>
      <c r="J23773" s="711"/>
      <c r="K23773" s="711"/>
      <c r="L23773" s="711"/>
      <c r="Q23773" s="11"/>
      <c r="R23773" s="11"/>
      <c r="S23773" s="11"/>
      <c r="T23773" s="11"/>
    </row>
    <row r="23774" spans="8:20" x14ac:dyDescent="0.35">
      <c r="H23774" s="711"/>
      <c r="I23774" s="711"/>
      <c r="J23774" s="711"/>
      <c r="K23774" s="711"/>
      <c r="L23774" s="711"/>
      <c r="Q23774" s="11"/>
      <c r="R23774" s="11"/>
      <c r="S23774" s="11"/>
      <c r="T23774" s="11"/>
    </row>
    <row r="23775" spans="8:20" x14ac:dyDescent="0.35">
      <c r="H23775" s="711"/>
      <c r="I23775" s="711"/>
      <c r="J23775" s="711"/>
      <c r="K23775" s="711"/>
      <c r="L23775" s="711"/>
      <c r="Q23775" s="11"/>
      <c r="R23775" s="11"/>
      <c r="S23775" s="11"/>
      <c r="T23775" s="11"/>
    </row>
    <row r="23776" spans="8:20" x14ac:dyDescent="0.35">
      <c r="H23776" s="711"/>
      <c r="I23776" s="711"/>
      <c r="J23776" s="711"/>
      <c r="K23776" s="711"/>
      <c r="L23776" s="711"/>
      <c r="Q23776" s="11"/>
      <c r="R23776" s="11"/>
      <c r="S23776" s="11"/>
      <c r="T23776" s="11"/>
    </row>
    <row r="23777" spans="8:20" x14ac:dyDescent="0.35">
      <c r="H23777" s="711"/>
      <c r="I23777" s="711"/>
      <c r="J23777" s="711"/>
      <c r="K23777" s="711"/>
      <c r="L23777" s="711"/>
      <c r="Q23777" s="11"/>
      <c r="R23777" s="11"/>
      <c r="S23777" s="11"/>
      <c r="T23777" s="11"/>
    </row>
    <row r="23778" spans="8:20" x14ac:dyDescent="0.35">
      <c r="H23778" s="711"/>
      <c r="I23778" s="711"/>
      <c r="J23778" s="711"/>
      <c r="K23778" s="711"/>
      <c r="L23778" s="711"/>
      <c r="Q23778" s="11"/>
      <c r="R23778" s="11"/>
      <c r="S23778" s="11"/>
      <c r="T23778" s="11"/>
    </row>
    <row r="23779" spans="8:20" x14ac:dyDescent="0.35">
      <c r="H23779" s="711"/>
      <c r="I23779" s="711"/>
      <c r="J23779" s="711"/>
      <c r="K23779" s="711"/>
      <c r="L23779" s="711"/>
      <c r="Q23779" s="11"/>
      <c r="R23779" s="11"/>
      <c r="S23779" s="11"/>
      <c r="T23779" s="11"/>
    </row>
    <row r="23780" spans="8:20" x14ac:dyDescent="0.35">
      <c r="H23780" s="711"/>
      <c r="I23780" s="711"/>
      <c r="J23780" s="711"/>
      <c r="K23780" s="711"/>
      <c r="L23780" s="711"/>
      <c r="Q23780" s="11"/>
      <c r="R23780" s="11"/>
      <c r="S23780" s="11"/>
      <c r="T23780" s="11"/>
    </row>
    <row r="23781" spans="8:20" x14ac:dyDescent="0.35">
      <c r="H23781" s="711"/>
      <c r="I23781" s="711"/>
      <c r="J23781" s="711"/>
      <c r="K23781" s="711"/>
      <c r="L23781" s="711"/>
      <c r="Q23781" s="11"/>
      <c r="R23781" s="11"/>
      <c r="S23781" s="11"/>
      <c r="T23781" s="11"/>
    </row>
    <row r="23782" spans="8:20" x14ac:dyDescent="0.35">
      <c r="H23782" s="711"/>
      <c r="I23782" s="711"/>
      <c r="J23782" s="711"/>
      <c r="K23782" s="711"/>
      <c r="L23782" s="711"/>
      <c r="Q23782" s="11"/>
      <c r="R23782" s="11"/>
      <c r="S23782" s="11"/>
      <c r="T23782" s="11"/>
    </row>
    <row r="23783" spans="8:20" x14ac:dyDescent="0.35">
      <c r="H23783" s="711"/>
      <c r="I23783" s="711"/>
      <c r="J23783" s="711"/>
      <c r="K23783" s="711"/>
      <c r="L23783" s="711"/>
      <c r="Q23783" s="11"/>
      <c r="R23783" s="11"/>
      <c r="S23783" s="11"/>
      <c r="T23783" s="11"/>
    </row>
    <row r="23784" spans="8:20" x14ac:dyDescent="0.35">
      <c r="H23784" s="711"/>
      <c r="I23784" s="711"/>
      <c r="J23784" s="711"/>
      <c r="K23784" s="711"/>
      <c r="L23784" s="711"/>
      <c r="Q23784" s="11"/>
      <c r="R23784" s="11"/>
      <c r="S23784" s="11"/>
      <c r="T23784" s="11"/>
    </row>
    <row r="23785" spans="8:20" x14ac:dyDescent="0.35">
      <c r="H23785" s="711"/>
      <c r="I23785" s="711"/>
      <c r="J23785" s="711"/>
      <c r="K23785" s="711"/>
      <c r="L23785" s="711"/>
      <c r="Q23785" s="11"/>
      <c r="R23785" s="11"/>
      <c r="S23785" s="11"/>
      <c r="T23785" s="11"/>
    </row>
    <row r="23786" spans="8:20" x14ac:dyDescent="0.35">
      <c r="H23786" s="711"/>
      <c r="I23786" s="711"/>
      <c r="J23786" s="711"/>
      <c r="K23786" s="711"/>
      <c r="L23786" s="711"/>
      <c r="Q23786" s="11"/>
      <c r="R23786" s="11"/>
      <c r="S23786" s="11"/>
      <c r="T23786" s="11"/>
    </row>
    <row r="23787" spans="8:20" x14ac:dyDescent="0.35">
      <c r="H23787" s="711"/>
      <c r="I23787" s="711"/>
      <c r="J23787" s="711"/>
      <c r="K23787" s="711"/>
      <c r="L23787" s="711"/>
      <c r="Q23787" s="11"/>
      <c r="R23787" s="11"/>
      <c r="S23787" s="11"/>
      <c r="T23787" s="11"/>
    </row>
    <row r="23788" spans="8:20" x14ac:dyDescent="0.35">
      <c r="H23788" s="711"/>
      <c r="I23788" s="711"/>
      <c r="J23788" s="711"/>
      <c r="K23788" s="711"/>
      <c r="L23788" s="711"/>
      <c r="Q23788" s="11"/>
      <c r="R23788" s="11"/>
      <c r="S23788" s="11"/>
      <c r="T23788" s="11"/>
    </row>
    <row r="23789" spans="8:20" x14ac:dyDescent="0.35">
      <c r="H23789" s="711"/>
      <c r="I23789" s="711"/>
      <c r="J23789" s="711"/>
      <c r="K23789" s="711"/>
      <c r="L23789" s="711"/>
      <c r="Q23789" s="11"/>
      <c r="R23789" s="11"/>
      <c r="S23789" s="11"/>
      <c r="T23789" s="11"/>
    </row>
    <row r="23790" spans="8:20" x14ac:dyDescent="0.35">
      <c r="H23790" s="711"/>
      <c r="I23790" s="711"/>
      <c r="J23790" s="711"/>
      <c r="K23790" s="711"/>
      <c r="L23790" s="711"/>
      <c r="Q23790" s="11"/>
      <c r="R23790" s="11"/>
      <c r="S23790" s="11"/>
      <c r="T23790" s="11"/>
    </row>
    <row r="23791" spans="8:20" x14ac:dyDescent="0.35">
      <c r="H23791" s="711"/>
      <c r="I23791" s="711"/>
      <c r="J23791" s="711"/>
      <c r="K23791" s="711"/>
      <c r="L23791" s="711"/>
      <c r="Q23791" s="11"/>
      <c r="R23791" s="11"/>
      <c r="S23791" s="11"/>
      <c r="T23791" s="11"/>
    </row>
    <row r="23792" spans="8:20" x14ac:dyDescent="0.35">
      <c r="H23792" s="711"/>
      <c r="I23792" s="711"/>
      <c r="J23792" s="711"/>
      <c r="K23792" s="711"/>
      <c r="L23792" s="711"/>
      <c r="Q23792" s="11"/>
      <c r="R23792" s="11"/>
      <c r="S23792" s="11"/>
      <c r="T23792" s="11"/>
    </row>
    <row r="23793" spans="8:20" x14ac:dyDescent="0.35">
      <c r="H23793" s="711"/>
      <c r="I23793" s="711"/>
      <c r="J23793" s="711"/>
      <c r="K23793" s="711"/>
      <c r="L23793" s="711"/>
      <c r="Q23793" s="11"/>
      <c r="R23793" s="11"/>
      <c r="S23793" s="11"/>
      <c r="T23793" s="11"/>
    </row>
    <row r="23794" spans="8:20" x14ac:dyDescent="0.35">
      <c r="H23794" s="711"/>
      <c r="I23794" s="711"/>
      <c r="J23794" s="711"/>
      <c r="K23794" s="711"/>
      <c r="L23794" s="711"/>
      <c r="Q23794" s="11"/>
      <c r="R23794" s="11"/>
      <c r="S23794" s="11"/>
      <c r="T23794" s="11"/>
    </row>
    <row r="23795" spans="8:20" x14ac:dyDescent="0.35">
      <c r="H23795" s="711"/>
      <c r="I23795" s="711"/>
      <c r="J23795" s="711"/>
      <c r="K23795" s="711"/>
      <c r="L23795" s="711"/>
      <c r="Q23795" s="11"/>
      <c r="R23795" s="11"/>
      <c r="S23795" s="11"/>
      <c r="T23795" s="11"/>
    </row>
    <row r="23796" spans="8:20" x14ac:dyDescent="0.35">
      <c r="H23796" s="711"/>
      <c r="I23796" s="711"/>
      <c r="J23796" s="711"/>
      <c r="K23796" s="711"/>
      <c r="L23796" s="711"/>
      <c r="Q23796" s="11"/>
      <c r="R23796" s="11"/>
      <c r="S23796" s="11"/>
      <c r="T23796" s="11"/>
    </row>
    <row r="23797" spans="8:20" x14ac:dyDescent="0.35">
      <c r="H23797" s="711"/>
      <c r="I23797" s="711"/>
      <c r="J23797" s="711"/>
      <c r="K23797" s="711"/>
      <c r="L23797" s="711"/>
      <c r="Q23797" s="11"/>
      <c r="R23797" s="11"/>
      <c r="S23797" s="11"/>
      <c r="T23797" s="11"/>
    </row>
    <row r="23798" spans="8:20" x14ac:dyDescent="0.35">
      <c r="H23798" s="711"/>
      <c r="I23798" s="711"/>
      <c r="J23798" s="711"/>
      <c r="K23798" s="711"/>
      <c r="L23798" s="711"/>
      <c r="Q23798" s="11"/>
      <c r="R23798" s="11"/>
      <c r="S23798" s="11"/>
      <c r="T23798" s="11"/>
    </row>
    <row r="23799" spans="8:20" x14ac:dyDescent="0.35">
      <c r="H23799" s="711"/>
      <c r="I23799" s="711"/>
      <c r="J23799" s="711"/>
      <c r="K23799" s="711"/>
      <c r="L23799" s="711"/>
      <c r="Q23799" s="11"/>
      <c r="R23799" s="11"/>
      <c r="S23799" s="11"/>
      <c r="T23799" s="11"/>
    </row>
    <row r="23800" spans="8:20" x14ac:dyDescent="0.35">
      <c r="H23800" s="711"/>
      <c r="I23800" s="711"/>
      <c r="J23800" s="711"/>
      <c r="K23800" s="711"/>
      <c r="L23800" s="711"/>
      <c r="Q23800" s="11"/>
      <c r="R23800" s="11"/>
      <c r="S23800" s="11"/>
      <c r="T23800" s="11"/>
    </row>
    <row r="23801" spans="8:20" x14ac:dyDescent="0.35">
      <c r="H23801" s="711"/>
      <c r="I23801" s="711"/>
      <c r="J23801" s="711"/>
      <c r="K23801" s="711"/>
      <c r="L23801" s="711"/>
      <c r="Q23801" s="11"/>
      <c r="R23801" s="11"/>
      <c r="S23801" s="11"/>
      <c r="T23801" s="11"/>
    </row>
    <row r="23802" spans="8:20" x14ac:dyDescent="0.35">
      <c r="H23802" s="711"/>
      <c r="I23802" s="711"/>
      <c r="J23802" s="711"/>
      <c r="K23802" s="711"/>
      <c r="L23802" s="711"/>
      <c r="Q23802" s="11"/>
      <c r="R23802" s="11"/>
      <c r="S23802" s="11"/>
      <c r="T23802" s="11"/>
    </row>
    <row r="23803" spans="8:20" x14ac:dyDescent="0.35">
      <c r="H23803" s="711"/>
      <c r="I23803" s="711"/>
      <c r="J23803" s="711"/>
      <c r="K23803" s="711"/>
      <c r="L23803" s="711"/>
      <c r="Q23803" s="11"/>
      <c r="R23803" s="11"/>
      <c r="S23803" s="11"/>
      <c r="T23803" s="11"/>
    </row>
    <row r="23804" spans="8:20" x14ac:dyDescent="0.35">
      <c r="H23804" s="711"/>
      <c r="I23804" s="711"/>
      <c r="J23804" s="711"/>
      <c r="K23804" s="711"/>
      <c r="L23804" s="711"/>
      <c r="Q23804" s="11"/>
      <c r="R23804" s="11"/>
      <c r="S23804" s="11"/>
      <c r="T23804" s="11"/>
    </row>
    <row r="23805" spans="8:20" x14ac:dyDescent="0.35">
      <c r="H23805" s="711"/>
      <c r="I23805" s="711"/>
      <c r="J23805" s="711"/>
      <c r="K23805" s="711"/>
      <c r="L23805" s="711"/>
      <c r="Q23805" s="11"/>
      <c r="R23805" s="11"/>
      <c r="S23805" s="11"/>
      <c r="T23805" s="11"/>
    </row>
    <row r="23806" spans="8:20" x14ac:dyDescent="0.35">
      <c r="H23806" s="711"/>
      <c r="I23806" s="711"/>
      <c r="J23806" s="711"/>
      <c r="K23806" s="711"/>
      <c r="L23806" s="711"/>
      <c r="Q23806" s="11"/>
      <c r="R23806" s="11"/>
      <c r="S23806" s="11"/>
      <c r="T23806" s="11"/>
    </row>
    <row r="23807" spans="8:20" x14ac:dyDescent="0.35">
      <c r="H23807" s="711"/>
      <c r="I23807" s="711"/>
      <c r="J23807" s="711"/>
      <c r="K23807" s="711"/>
      <c r="L23807" s="711"/>
      <c r="Q23807" s="11"/>
      <c r="R23807" s="11"/>
      <c r="S23807" s="11"/>
      <c r="T23807" s="11"/>
    </row>
    <row r="23808" spans="8:20" x14ac:dyDescent="0.35">
      <c r="H23808" s="711"/>
      <c r="I23808" s="711"/>
      <c r="J23808" s="711"/>
      <c r="K23808" s="711"/>
      <c r="L23808" s="711"/>
      <c r="Q23808" s="11"/>
      <c r="R23808" s="11"/>
      <c r="S23808" s="11"/>
      <c r="T23808" s="11"/>
    </row>
    <row r="23809" spans="8:20" x14ac:dyDescent="0.35">
      <c r="H23809" s="711"/>
      <c r="I23809" s="711"/>
      <c r="J23809" s="711"/>
      <c r="K23809" s="711"/>
      <c r="L23809" s="711"/>
      <c r="Q23809" s="11"/>
      <c r="R23809" s="11"/>
      <c r="S23809" s="11"/>
      <c r="T23809" s="11"/>
    </row>
    <row r="23810" spans="8:20" x14ac:dyDescent="0.35">
      <c r="H23810" s="711"/>
      <c r="I23810" s="711"/>
      <c r="J23810" s="711"/>
      <c r="K23810" s="711"/>
      <c r="L23810" s="711"/>
      <c r="Q23810" s="11"/>
      <c r="R23810" s="11"/>
      <c r="S23810" s="11"/>
      <c r="T23810" s="11"/>
    </row>
    <row r="23811" spans="8:20" x14ac:dyDescent="0.35">
      <c r="H23811" s="711"/>
      <c r="I23811" s="711"/>
      <c r="J23811" s="711"/>
      <c r="K23811" s="711"/>
      <c r="L23811" s="711"/>
      <c r="Q23811" s="11"/>
      <c r="R23811" s="11"/>
      <c r="S23811" s="11"/>
      <c r="T23811" s="11"/>
    </row>
    <row r="23812" spans="8:20" x14ac:dyDescent="0.35">
      <c r="H23812" s="711"/>
      <c r="I23812" s="711"/>
      <c r="J23812" s="711"/>
      <c r="K23812" s="711"/>
      <c r="L23812" s="711"/>
      <c r="Q23812" s="11"/>
      <c r="R23812" s="11"/>
      <c r="S23812" s="11"/>
      <c r="T23812" s="11"/>
    </row>
    <row r="23813" spans="8:20" x14ac:dyDescent="0.35">
      <c r="H23813" s="711"/>
      <c r="I23813" s="711"/>
      <c r="J23813" s="711"/>
      <c r="K23813" s="711"/>
      <c r="L23813" s="711"/>
      <c r="Q23813" s="11"/>
      <c r="R23813" s="11"/>
      <c r="S23813" s="11"/>
      <c r="T23813" s="11"/>
    </row>
    <row r="23814" spans="8:20" x14ac:dyDescent="0.35">
      <c r="H23814" s="711"/>
      <c r="I23814" s="711"/>
      <c r="J23814" s="711"/>
      <c r="K23814" s="711"/>
      <c r="L23814" s="711"/>
      <c r="Q23814" s="11"/>
      <c r="R23814" s="11"/>
      <c r="S23814" s="11"/>
      <c r="T23814" s="11"/>
    </row>
    <row r="23815" spans="8:20" x14ac:dyDescent="0.35">
      <c r="H23815" s="711"/>
      <c r="I23815" s="711"/>
      <c r="J23815" s="711"/>
      <c r="K23815" s="711"/>
      <c r="L23815" s="711"/>
      <c r="Q23815" s="11"/>
      <c r="R23815" s="11"/>
      <c r="S23815" s="11"/>
      <c r="T23815" s="11"/>
    </row>
    <row r="23816" spans="8:20" x14ac:dyDescent="0.35">
      <c r="H23816" s="711"/>
      <c r="I23816" s="711"/>
      <c r="J23816" s="711"/>
      <c r="K23816" s="711"/>
      <c r="L23816" s="711"/>
      <c r="Q23816" s="11"/>
      <c r="R23816" s="11"/>
      <c r="S23816" s="11"/>
      <c r="T23816" s="11"/>
    </row>
    <row r="23817" spans="8:20" x14ac:dyDescent="0.35">
      <c r="H23817" s="711"/>
      <c r="I23817" s="711"/>
      <c r="J23817" s="711"/>
      <c r="K23817" s="711"/>
      <c r="L23817" s="711"/>
      <c r="Q23817" s="11"/>
      <c r="R23817" s="11"/>
      <c r="S23817" s="11"/>
      <c r="T23817" s="11"/>
    </row>
    <row r="23818" spans="8:20" x14ac:dyDescent="0.35">
      <c r="H23818" s="711"/>
      <c r="I23818" s="711"/>
      <c r="J23818" s="711"/>
      <c r="K23818" s="711"/>
      <c r="L23818" s="711"/>
      <c r="Q23818" s="11"/>
      <c r="R23818" s="11"/>
      <c r="S23818" s="11"/>
      <c r="T23818" s="11"/>
    </row>
    <row r="23819" spans="8:20" x14ac:dyDescent="0.35">
      <c r="H23819" s="711"/>
      <c r="I23819" s="711"/>
      <c r="J23819" s="711"/>
      <c r="K23819" s="711"/>
      <c r="L23819" s="711"/>
      <c r="Q23819" s="11"/>
      <c r="R23819" s="11"/>
      <c r="S23819" s="11"/>
      <c r="T23819" s="11"/>
    </row>
    <row r="23820" spans="8:20" x14ac:dyDescent="0.35">
      <c r="H23820" s="711"/>
      <c r="I23820" s="711"/>
      <c r="J23820" s="711"/>
      <c r="K23820" s="711"/>
      <c r="L23820" s="711"/>
      <c r="Q23820" s="11"/>
      <c r="R23820" s="11"/>
      <c r="S23820" s="11"/>
      <c r="T23820" s="11"/>
    </row>
    <row r="23821" spans="8:20" x14ac:dyDescent="0.35">
      <c r="H23821" s="711"/>
      <c r="I23821" s="711"/>
      <c r="J23821" s="711"/>
      <c r="K23821" s="711"/>
      <c r="L23821" s="711"/>
      <c r="Q23821" s="11"/>
      <c r="R23821" s="11"/>
      <c r="S23821" s="11"/>
      <c r="T23821" s="11"/>
    </row>
    <row r="23822" spans="8:20" x14ac:dyDescent="0.35">
      <c r="H23822" s="711"/>
      <c r="I23822" s="711"/>
      <c r="J23822" s="711"/>
      <c r="K23822" s="711"/>
      <c r="L23822" s="711"/>
      <c r="Q23822" s="11"/>
      <c r="R23822" s="11"/>
      <c r="S23822" s="11"/>
      <c r="T23822" s="11"/>
    </row>
    <row r="23823" spans="8:20" x14ac:dyDescent="0.35">
      <c r="H23823" s="711"/>
      <c r="I23823" s="711"/>
      <c r="J23823" s="711"/>
      <c r="K23823" s="711"/>
      <c r="L23823" s="711"/>
      <c r="Q23823" s="11"/>
      <c r="R23823" s="11"/>
      <c r="S23823" s="11"/>
      <c r="T23823" s="11"/>
    </row>
    <row r="23824" spans="8:20" x14ac:dyDescent="0.35">
      <c r="H23824" s="711"/>
      <c r="I23824" s="711"/>
      <c r="J23824" s="711"/>
      <c r="K23824" s="711"/>
      <c r="L23824" s="711"/>
      <c r="Q23824" s="11"/>
      <c r="R23824" s="11"/>
      <c r="S23824" s="11"/>
      <c r="T23824" s="11"/>
    </row>
    <row r="23825" spans="8:20" x14ac:dyDescent="0.35">
      <c r="H23825" s="711"/>
      <c r="I23825" s="711"/>
      <c r="J23825" s="711"/>
      <c r="K23825" s="711"/>
      <c r="L23825" s="711"/>
      <c r="Q23825" s="11"/>
      <c r="R23825" s="11"/>
      <c r="S23825" s="11"/>
      <c r="T23825" s="11"/>
    </row>
    <row r="23826" spans="8:20" x14ac:dyDescent="0.35">
      <c r="H23826" s="711"/>
      <c r="I23826" s="711"/>
      <c r="J23826" s="711"/>
      <c r="K23826" s="711"/>
      <c r="L23826" s="711"/>
      <c r="Q23826" s="11"/>
      <c r="R23826" s="11"/>
      <c r="S23826" s="11"/>
      <c r="T23826" s="11"/>
    </row>
    <row r="23827" spans="8:20" x14ac:dyDescent="0.35">
      <c r="H23827" s="711"/>
      <c r="I23827" s="711"/>
      <c r="J23827" s="711"/>
      <c r="K23827" s="711"/>
      <c r="L23827" s="711"/>
      <c r="Q23827" s="11"/>
      <c r="R23827" s="11"/>
      <c r="S23827" s="11"/>
      <c r="T23827" s="11"/>
    </row>
    <row r="23828" spans="8:20" x14ac:dyDescent="0.35">
      <c r="H23828" s="711"/>
      <c r="I23828" s="711"/>
      <c r="J23828" s="711"/>
      <c r="K23828" s="711"/>
      <c r="L23828" s="711"/>
      <c r="Q23828" s="11"/>
      <c r="R23828" s="11"/>
      <c r="S23828" s="11"/>
      <c r="T23828" s="11"/>
    </row>
    <row r="23829" spans="8:20" x14ac:dyDescent="0.35">
      <c r="H23829" s="711"/>
      <c r="I23829" s="711"/>
      <c r="J23829" s="711"/>
      <c r="K23829" s="711"/>
      <c r="L23829" s="711"/>
      <c r="Q23829" s="11"/>
      <c r="R23829" s="11"/>
      <c r="S23829" s="11"/>
      <c r="T23829" s="11"/>
    </row>
    <row r="23830" spans="8:20" x14ac:dyDescent="0.35">
      <c r="H23830" s="711"/>
      <c r="I23830" s="711"/>
      <c r="J23830" s="711"/>
      <c r="K23830" s="711"/>
      <c r="L23830" s="711"/>
      <c r="Q23830" s="11"/>
      <c r="R23830" s="11"/>
      <c r="S23830" s="11"/>
      <c r="T23830" s="11"/>
    </row>
    <row r="23831" spans="8:20" x14ac:dyDescent="0.35">
      <c r="H23831" s="711"/>
      <c r="I23831" s="711"/>
      <c r="J23831" s="711"/>
      <c r="K23831" s="711"/>
      <c r="L23831" s="711"/>
      <c r="Q23831" s="11"/>
      <c r="R23831" s="11"/>
      <c r="S23831" s="11"/>
      <c r="T23831" s="11"/>
    </row>
    <row r="23832" spans="8:20" x14ac:dyDescent="0.35">
      <c r="H23832" s="711"/>
      <c r="I23832" s="711"/>
      <c r="J23832" s="711"/>
      <c r="K23832" s="711"/>
      <c r="L23832" s="711"/>
      <c r="Q23832" s="11"/>
      <c r="R23832" s="11"/>
      <c r="S23832" s="11"/>
      <c r="T23832" s="11"/>
    </row>
    <row r="23833" spans="8:20" x14ac:dyDescent="0.35">
      <c r="H23833" s="711"/>
      <c r="I23833" s="711"/>
      <c r="J23833" s="711"/>
      <c r="K23833" s="711"/>
      <c r="L23833" s="711"/>
      <c r="Q23833" s="11"/>
      <c r="R23833" s="11"/>
      <c r="S23833" s="11"/>
      <c r="T23833" s="11"/>
    </row>
    <row r="23834" spans="8:20" x14ac:dyDescent="0.35">
      <c r="H23834" s="711"/>
      <c r="I23834" s="711"/>
      <c r="J23834" s="711"/>
      <c r="K23834" s="711"/>
      <c r="L23834" s="711"/>
      <c r="Q23834" s="11"/>
      <c r="R23834" s="11"/>
      <c r="S23834" s="11"/>
      <c r="T23834" s="11"/>
    </row>
    <row r="23835" spans="8:20" x14ac:dyDescent="0.35">
      <c r="H23835" s="711"/>
      <c r="I23835" s="711"/>
      <c r="J23835" s="711"/>
      <c r="K23835" s="711"/>
      <c r="L23835" s="711"/>
      <c r="Q23835" s="11"/>
      <c r="R23835" s="11"/>
      <c r="S23835" s="11"/>
      <c r="T23835" s="11"/>
    </row>
    <row r="23836" spans="8:20" x14ac:dyDescent="0.35">
      <c r="H23836" s="711"/>
      <c r="I23836" s="711"/>
      <c r="J23836" s="711"/>
      <c r="K23836" s="711"/>
      <c r="L23836" s="711"/>
      <c r="Q23836" s="11"/>
      <c r="R23836" s="11"/>
      <c r="S23836" s="11"/>
      <c r="T23836" s="11"/>
    </row>
    <row r="23837" spans="8:20" x14ac:dyDescent="0.35">
      <c r="H23837" s="711"/>
      <c r="I23837" s="711"/>
      <c r="J23837" s="711"/>
      <c r="K23837" s="711"/>
      <c r="L23837" s="711"/>
      <c r="Q23837" s="11"/>
      <c r="R23837" s="11"/>
      <c r="S23837" s="11"/>
      <c r="T23837" s="11"/>
    </row>
    <row r="23838" spans="8:20" x14ac:dyDescent="0.35">
      <c r="H23838" s="711"/>
      <c r="I23838" s="711"/>
      <c r="J23838" s="711"/>
      <c r="K23838" s="711"/>
      <c r="L23838" s="711"/>
      <c r="Q23838" s="11"/>
      <c r="R23838" s="11"/>
      <c r="S23838" s="11"/>
      <c r="T23838" s="11"/>
    </row>
    <row r="23839" spans="8:20" x14ac:dyDescent="0.35">
      <c r="H23839" s="711"/>
      <c r="I23839" s="711"/>
      <c r="J23839" s="711"/>
      <c r="K23839" s="711"/>
      <c r="L23839" s="711"/>
      <c r="Q23839" s="11"/>
      <c r="R23839" s="11"/>
      <c r="S23839" s="11"/>
      <c r="T23839" s="11"/>
    </row>
    <row r="23840" spans="8:20" x14ac:dyDescent="0.35">
      <c r="H23840" s="711"/>
      <c r="I23840" s="711"/>
      <c r="J23840" s="711"/>
      <c r="K23840" s="711"/>
      <c r="L23840" s="711"/>
      <c r="Q23840" s="11"/>
      <c r="R23840" s="11"/>
      <c r="S23840" s="11"/>
      <c r="T23840" s="11"/>
    </row>
    <row r="23841" spans="8:20" x14ac:dyDescent="0.35">
      <c r="H23841" s="711"/>
      <c r="I23841" s="711"/>
      <c r="J23841" s="711"/>
      <c r="K23841" s="711"/>
      <c r="L23841" s="711"/>
      <c r="Q23841" s="11"/>
      <c r="R23841" s="11"/>
      <c r="S23841" s="11"/>
      <c r="T23841" s="11"/>
    </row>
    <row r="23842" spans="8:20" x14ac:dyDescent="0.35">
      <c r="H23842" s="711"/>
      <c r="I23842" s="711"/>
      <c r="J23842" s="711"/>
      <c r="K23842" s="711"/>
      <c r="L23842" s="711"/>
      <c r="Q23842" s="11"/>
      <c r="R23842" s="11"/>
      <c r="S23842" s="11"/>
      <c r="T23842" s="11"/>
    </row>
    <row r="23843" spans="8:20" x14ac:dyDescent="0.35">
      <c r="H23843" s="711"/>
      <c r="I23843" s="711"/>
      <c r="J23843" s="711"/>
      <c r="K23843" s="711"/>
      <c r="L23843" s="711"/>
      <c r="Q23843" s="11"/>
      <c r="R23843" s="11"/>
      <c r="S23843" s="11"/>
      <c r="T23843" s="11"/>
    </row>
    <row r="23844" spans="8:20" x14ac:dyDescent="0.35">
      <c r="H23844" s="711"/>
      <c r="I23844" s="711"/>
      <c r="J23844" s="711"/>
      <c r="K23844" s="711"/>
      <c r="L23844" s="711"/>
      <c r="Q23844" s="11"/>
      <c r="R23844" s="11"/>
      <c r="S23844" s="11"/>
      <c r="T23844" s="11"/>
    </row>
    <row r="23845" spans="8:20" x14ac:dyDescent="0.35">
      <c r="H23845" s="711"/>
      <c r="I23845" s="711"/>
      <c r="J23845" s="711"/>
      <c r="K23845" s="711"/>
      <c r="L23845" s="711"/>
      <c r="Q23845" s="11"/>
      <c r="R23845" s="11"/>
      <c r="S23845" s="11"/>
      <c r="T23845" s="11"/>
    </row>
    <row r="23846" spans="8:20" x14ac:dyDescent="0.35">
      <c r="H23846" s="711"/>
      <c r="I23846" s="711"/>
      <c r="J23846" s="711"/>
      <c r="K23846" s="711"/>
      <c r="L23846" s="711"/>
      <c r="Q23846" s="11"/>
      <c r="R23846" s="11"/>
      <c r="S23846" s="11"/>
      <c r="T23846" s="11"/>
    </row>
    <row r="23847" spans="8:20" x14ac:dyDescent="0.35">
      <c r="H23847" s="711"/>
      <c r="I23847" s="711"/>
      <c r="J23847" s="711"/>
      <c r="K23847" s="711"/>
      <c r="L23847" s="711"/>
      <c r="Q23847" s="11"/>
      <c r="R23847" s="11"/>
      <c r="S23847" s="11"/>
      <c r="T23847" s="11"/>
    </row>
    <row r="23848" spans="8:20" x14ac:dyDescent="0.35">
      <c r="H23848" s="711"/>
      <c r="I23848" s="711"/>
      <c r="J23848" s="711"/>
      <c r="K23848" s="711"/>
      <c r="L23848" s="711"/>
      <c r="Q23848" s="11"/>
      <c r="R23848" s="11"/>
      <c r="S23848" s="11"/>
      <c r="T23848" s="11"/>
    </row>
    <row r="23849" spans="8:20" x14ac:dyDescent="0.35">
      <c r="H23849" s="711"/>
      <c r="I23849" s="711"/>
      <c r="J23849" s="711"/>
      <c r="K23849" s="711"/>
      <c r="L23849" s="711"/>
      <c r="Q23849" s="11"/>
      <c r="R23849" s="11"/>
      <c r="S23849" s="11"/>
      <c r="T23849" s="11"/>
    </row>
    <row r="23850" spans="8:20" x14ac:dyDescent="0.35">
      <c r="H23850" s="711"/>
      <c r="I23850" s="711"/>
      <c r="J23850" s="711"/>
      <c r="K23850" s="711"/>
      <c r="L23850" s="711"/>
      <c r="Q23850" s="11"/>
      <c r="R23850" s="11"/>
      <c r="S23850" s="11"/>
      <c r="T23850" s="11"/>
    </row>
    <row r="23851" spans="8:20" x14ac:dyDescent="0.35">
      <c r="H23851" s="711"/>
      <c r="I23851" s="711"/>
      <c r="J23851" s="711"/>
      <c r="K23851" s="711"/>
      <c r="L23851" s="711"/>
      <c r="Q23851" s="11"/>
      <c r="R23851" s="11"/>
      <c r="S23851" s="11"/>
      <c r="T23851" s="11"/>
    </row>
    <row r="23852" spans="8:20" x14ac:dyDescent="0.35">
      <c r="H23852" s="711"/>
      <c r="I23852" s="711"/>
      <c r="J23852" s="711"/>
      <c r="K23852" s="711"/>
      <c r="L23852" s="711"/>
      <c r="Q23852" s="11"/>
      <c r="R23852" s="11"/>
      <c r="S23852" s="11"/>
      <c r="T23852" s="11"/>
    </row>
    <row r="23853" spans="8:20" x14ac:dyDescent="0.35">
      <c r="H23853" s="711"/>
      <c r="I23853" s="711"/>
      <c r="J23853" s="711"/>
      <c r="K23853" s="711"/>
      <c r="L23853" s="711"/>
      <c r="Q23853" s="11"/>
      <c r="R23853" s="11"/>
      <c r="S23853" s="11"/>
      <c r="T23853" s="11"/>
    </row>
    <row r="23854" spans="8:20" x14ac:dyDescent="0.35">
      <c r="H23854" s="711"/>
      <c r="I23854" s="711"/>
      <c r="J23854" s="711"/>
      <c r="K23854" s="711"/>
      <c r="L23854" s="711"/>
      <c r="Q23854" s="11"/>
      <c r="R23854" s="11"/>
      <c r="S23854" s="11"/>
      <c r="T23854" s="11"/>
    </row>
    <row r="23855" spans="8:20" x14ac:dyDescent="0.35">
      <c r="H23855" s="711"/>
      <c r="I23855" s="711"/>
      <c r="J23855" s="711"/>
      <c r="K23855" s="711"/>
      <c r="L23855" s="711"/>
      <c r="Q23855" s="11"/>
      <c r="R23855" s="11"/>
      <c r="S23855" s="11"/>
      <c r="T23855" s="11"/>
    </row>
    <row r="23856" spans="8:20" x14ac:dyDescent="0.35">
      <c r="H23856" s="711"/>
      <c r="I23856" s="711"/>
      <c r="J23856" s="711"/>
      <c r="K23856" s="711"/>
      <c r="L23856" s="711"/>
      <c r="Q23856" s="11"/>
      <c r="R23856" s="11"/>
      <c r="S23856" s="11"/>
      <c r="T23856" s="11"/>
    </row>
    <row r="23857" spans="8:20" x14ac:dyDescent="0.35">
      <c r="H23857" s="711"/>
      <c r="I23857" s="711"/>
      <c r="J23857" s="711"/>
      <c r="K23857" s="711"/>
      <c r="L23857" s="711"/>
      <c r="Q23857" s="11"/>
      <c r="R23857" s="11"/>
      <c r="S23857" s="11"/>
      <c r="T23857" s="11"/>
    </row>
    <row r="23858" spans="8:20" x14ac:dyDescent="0.35">
      <c r="H23858" s="711"/>
      <c r="I23858" s="711"/>
      <c r="J23858" s="711"/>
      <c r="K23858" s="711"/>
      <c r="L23858" s="711"/>
      <c r="Q23858" s="11"/>
      <c r="R23858" s="11"/>
      <c r="S23858" s="11"/>
      <c r="T23858" s="11"/>
    </row>
    <row r="23859" spans="8:20" x14ac:dyDescent="0.35">
      <c r="H23859" s="711"/>
      <c r="I23859" s="711"/>
      <c r="J23859" s="711"/>
      <c r="K23859" s="711"/>
      <c r="L23859" s="711"/>
      <c r="Q23859" s="11"/>
      <c r="R23859" s="11"/>
      <c r="S23859" s="11"/>
      <c r="T23859" s="11"/>
    </row>
    <row r="23860" spans="8:20" x14ac:dyDescent="0.35">
      <c r="H23860" s="711"/>
      <c r="I23860" s="711"/>
      <c r="J23860" s="711"/>
      <c r="K23860" s="711"/>
      <c r="L23860" s="711"/>
      <c r="Q23860" s="11"/>
      <c r="R23860" s="11"/>
      <c r="S23860" s="11"/>
      <c r="T23860" s="11"/>
    </row>
    <row r="23861" spans="8:20" x14ac:dyDescent="0.35">
      <c r="H23861" s="711"/>
      <c r="I23861" s="711"/>
      <c r="J23861" s="711"/>
      <c r="K23861" s="711"/>
      <c r="L23861" s="711"/>
      <c r="Q23861" s="11"/>
      <c r="R23861" s="11"/>
      <c r="S23861" s="11"/>
      <c r="T23861" s="11"/>
    </row>
    <row r="23862" spans="8:20" x14ac:dyDescent="0.35">
      <c r="H23862" s="711"/>
      <c r="I23862" s="711"/>
      <c r="J23862" s="711"/>
      <c r="K23862" s="711"/>
      <c r="L23862" s="711"/>
      <c r="Q23862" s="11"/>
      <c r="R23862" s="11"/>
      <c r="S23862" s="11"/>
      <c r="T23862" s="11"/>
    </row>
    <row r="23863" spans="8:20" x14ac:dyDescent="0.35">
      <c r="H23863" s="711"/>
      <c r="I23863" s="711"/>
      <c r="J23863" s="711"/>
      <c r="K23863" s="711"/>
      <c r="L23863" s="711"/>
      <c r="Q23863" s="11"/>
      <c r="R23863" s="11"/>
      <c r="S23863" s="11"/>
      <c r="T23863" s="11"/>
    </row>
    <row r="23864" spans="8:20" x14ac:dyDescent="0.35">
      <c r="H23864" s="711"/>
      <c r="I23864" s="711"/>
      <c r="J23864" s="711"/>
      <c r="K23864" s="711"/>
      <c r="L23864" s="711"/>
      <c r="Q23864" s="11"/>
      <c r="R23864" s="11"/>
      <c r="S23864" s="11"/>
      <c r="T23864" s="11"/>
    </row>
    <row r="23865" spans="8:20" x14ac:dyDescent="0.35">
      <c r="H23865" s="711"/>
      <c r="I23865" s="711"/>
      <c r="J23865" s="711"/>
      <c r="K23865" s="711"/>
      <c r="L23865" s="711"/>
      <c r="Q23865" s="11"/>
      <c r="R23865" s="11"/>
      <c r="S23865" s="11"/>
      <c r="T23865" s="11"/>
    </row>
    <row r="23866" spans="8:20" x14ac:dyDescent="0.35">
      <c r="H23866" s="711"/>
      <c r="I23866" s="711"/>
      <c r="J23866" s="711"/>
      <c r="K23866" s="711"/>
      <c r="L23866" s="711"/>
      <c r="Q23866" s="11"/>
      <c r="R23866" s="11"/>
      <c r="S23866" s="11"/>
      <c r="T23866" s="11"/>
    </row>
    <row r="23867" spans="8:20" x14ac:dyDescent="0.35">
      <c r="H23867" s="711"/>
      <c r="I23867" s="711"/>
      <c r="J23867" s="711"/>
      <c r="K23867" s="711"/>
      <c r="L23867" s="711"/>
      <c r="Q23867" s="11"/>
      <c r="R23867" s="11"/>
      <c r="S23867" s="11"/>
      <c r="T23867" s="11"/>
    </row>
    <row r="23868" spans="8:20" x14ac:dyDescent="0.35">
      <c r="H23868" s="711"/>
      <c r="I23868" s="711"/>
      <c r="J23868" s="711"/>
      <c r="K23868" s="711"/>
      <c r="L23868" s="711"/>
      <c r="Q23868" s="11"/>
      <c r="R23868" s="11"/>
      <c r="S23868" s="11"/>
      <c r="T23868" s="11"/>
    </row>
    <row r="23869" spans="8:20" x14ac:dyDescent="0.35">
      <c r="H23869" s="711"/>
      <c r="I23869" s="711"/>
      <c r="J23869" s="711"/>
      <c r="K23869" s="711"/>
      <c r="L23869" s="711"/>
      <c r="Q23869" s="11"/>
      <c r="R23869" s="11"/>
      <c r="S23869" s="11"/>
      <c r="T23869" s="11"/>
    </row>
    <row r="23870" spans="8:20" x14ac:dyDescent="0.35">
      <c r="H23870" s="711"/>
      <c r="I23870" s="711"/>
      <c r="J23870" s="711"/>
      <c r="K23870" s="711"/>
      <c r="L23870" s="711"/>
      <c r="Q23870" s="11"/>
      <c r="R23870" s="11"/>
      <c r="S23870" s="11"/>
      <c r="T23870" s="11"/>
    </row>
    <row r="23871" spans="8:20" x14ac:dyDescent="0.35">
      <c r="H23871" s="711"/>
      <c r="I23871" s="711"/>
      <c r="J23871" s="711"/>
      <c r="K23871" s="711"/>
      <c r="L23871" s="711"/>
      <c r="Q23871" s="11"/>
      <c r="R23871" s="11"/>
      <c r="S23871" s="11"/>
      <c r="T23871" s="11"/>
    </row>
    <row r="23872" spans="8:20" x14ac:dyDescent="0.35">
      <c r="H23872" s="711"/>
      <c r="I23872" s="711"/>
      <c r="J23872" s="711"/>
      <c r="K23872" s="711"/>
      <c r="L23872" s="711"/>
      <c r="Q23872" s="11"/>
      <c r="R23872" s="11"/>
      <c r="S23872" s="11"/>
      <c r="T23872" s="11"/>
    </row>
    <row r="23873" spans="8:20" x14ac:dyDescent="0.35">
      <c r="H23873" s="711"/>
      <c r="I23873" s="711"/>
      <c r="J23873" s="711"/>
      <c r="K23873" s="711"/>
      <c r="L23873" s="711"/>
      <c r="Q23873" s="11"/>
      <c r="R23873" s="11"/>
      <c r="S23873" s="11"/>
      <c r="T23873" s="11"/>
    </row>
    <row r="23874" spans="8:20" x14ac:dyDescent="0.35">
      <c r="H23874" s="711"/>
      <c r="I23874" s="711"/>
      <c r="J23874" s="711"/>
      <c r="K23874" s="711"/>
      <c r="L23874" s="711"/>
      <c r="Q23874" s="11"/>
      <c r="R23874" s="11"/>
      <c r="S23874" s="11"/>
      <c r="T23874" s="11"/>
    </row>
    <row r="23875" spans="8:20" x14ac:dyDescent="0.35">
      <c r="H23875" s="711"/>
      <c r="I23875" s="711"/>
      <c r="J23875" s="711"/>
      <c r="K23875" s="711"/>
      <c r="L23875" s="711"/>
      <c r="Q23875" s="11"/>
      <c r="R23875" s="11"/>
      <c r="S23875" s="11"/>
      <c r="T23875" s="11"/>
    </row>
    <row r="23876" spans="8:20" x14ac:dyDescent="0.35">
      <c r="H23876" s="711"/>
      <c r="I23876" s="711"/>
      <c r="J23876" s="711"/>
      <c r="K23876" s="711"/>
      <c r="L23876" s="711"/>
      <c r="Q23876" s="11"/>
      <c r="R23876" s="11"/>
      <c r="S23876" s="11"/>
      <c r="T23876" s="11"/>
    </row>
    <row r="23877" spans="8:20" x14ac:dyDescent="0.35">
      <c r="H23877" s="711"/>
      <c r="I23877" s="711"/>
      <c r="J23877" s="711"/>
      <c r="K23877" s="711"/>
      <c r="L23877" s="711"/>
      <c r="Q23877" s="11"/>
      <c r="R23877" s="11"/>
      <c r="S23877" s="11"/>
      <c r="T23877" s="11"/>
    </row>
    <row r="23878" spans="8:20" x14ac:dyDescent="0.35">
      <c r="H23878" s="711"/>
      <c r="I23878" s="711"/>
      <c r="J23878" s="711"/>
      <c r="K23878" s="711"/>
      <c r="L23878" s="711"/>
      <c r="Q23878" s="11"/>
      <c r="R23878" s="11"/>
      <c r="S23878" s="11"/>
      <c r="T23878" s="11"/>
    </row>
    <row r="23879" spans="8:20" x14ac:dyDescent="0.35">
      <c r="H23879" s="711"/>
      <c r="I23879" s="711"/>
      <c r="J23879" s="711"/>
      <c r="K23879" s="711"/>
      <c r="L23879" s="711"/>
      <c r="Q23879" s="11"/>
      <c r="R23879" s="11"/>
      <c r="S23879" s="11"/>
      <c r="T23879" s="11"/>
    </row>
    <row r="23880" spans="8:20" x14ac:dyDescent="0.35">
      <c r="H23880" s="711"/>
      <c r="I23880" s="711"/>
      <c r="J23880" s="711"/>
      <c r="K23880" s="711"/>
      <c r="L23880" s="711"/>
      <c r="Q23880" s="11"/>
      <c r="R23880" s="11"/>
      <c r="S23880" s="11"/>
      <c r="T23880" s="11"/>
    </row>
    <row r="23881" spans="8:20" x14ac:dyDescent="0.35">
      <c r="H23881" s="711"/>
      <c r="I23881" s="711"/>
      <c r="J23881" s="711"/>
      <c r="K23881" s="711"/>
      <c r="L23881" s="711"/>
      <c r="Q23881" s="11"/>
      <c r="R23881" s="11"/>
      <c r="S23881" s="11"/>
      <c r="T23881" s="11"/>
    </row>
    <row r="23882" spans="8:20" x14ac:dyDescent="0.35">
      <c r="H23882" s="711"/>
      <c r="I23882" s="711"/>
      <c r="J23882" s="711"/>
      <c r="K23882" s="711"/>
      <c r="L23882" s="711"/>
      <c r="Q23882" s="11"/>
      <c r="R23882" s="11"/>
      <c r="S23882" s="11"/>
      <c r="T23882" s="11"/>
    </row>
    <row r="23883" spans="8:20" x14ac:dyDescent="0.35">
      <c r="H23883" s="711"/>
      <c r="I23883" s="711"/>
      <c r="J23883" s="711"/>
      <c r="K23883" s="711"/>
      <c r="L23883" s="711"/>
      <c r="Q23883" s="11"/>
      <c r="R23883" s="11"/>
      <c r="S23883" s="11"/>
      <c r="T23883" s="11"/>
    </row>
    <row r="23884" spans="8:20" x14ac:dyDescent="0.35">
      <c r="H23884" s="711"/>
      <c r="I23884" s="711"/>
      <c r="J23884" s="711"/>
      <c r="K23884" s="711"/>
      <c r="L23884" s="711"/>
      <c r="Q23884" s="11"/>
      <c r="R23884" s="11"/>
      <c r="S23884" s="11"/>
      <c r="T23884" s="11"/>
    </row>
    <row r="23885" spans="8:20" x14ac:dyDescent="0.35">
      <c r="H23885" s="711"/>
      <c r="I23885" s="711"/>
      <c r="J23885" s="711"/>
      <c r="K23885" s="711"/>
      <c r="L23885" s="711"/>
      <c r="Q23885" s="11"/>
      <c r="R23885" s="11"/>
      <c r="S23885" s="11"/>
      <c r="T23885" s="11"/>
    </row>
    <row r="23886" spans="8:20" x14ac:dyDescent="0.35">
      <c r="H23886" s="711"/>
      <c r="I23886" s="711"/>
      <c r="J23886" s="711"/>
      <c r="K23886" s="711"/>
      <c r="L23886" s="711"/>
      <c r="Q23886" s="11"/>
      <c r="R23886" s="11"/>
      <c r="S23886" s="11"/>
      <c r="T23886" s="11"/>
    </row>
    <row r="23887" spans="8:20" x14ac:dyDescent="0.35">
      <c r="H23887" s="711"/>
      <c r="I23887" s="711"/>
      <c r="J23887" s="711"/>
      <c r="K23887" s="711"/>
      <c r="L23887" s="711"/>
      <c r="Q23887" s="11"/>
      <c r="R23887" s="11"/>
      <c r="S23887" s="11"/>
      <c r="T23887" s="11"/>
    </row>
    <row r="23888" spans="8:20" x14ac:dyDescent="0.35">
      <c r="H23888" s="711"/>
      <c r="I23888" s="711"/>
      <c r="J23888" s="711"/>
      <c r="K23888" s="711"/>
      <c r="L23888" s="711"/>
      <c r="Q23888" s="11"/>
      <c r="R23888" s="11"/>
      <c r="S23888" s="11"/>
      <c r="T23888" s="11"/>
    </row>
    <row r="23889" spans="8:20" x14ac:dyDescent="0.35">
      <c r="H23889" s="711"/>
      <c r="I23889" s="711"/>
      <c r="J23889" s="711"/>
      <c r="K23889" s="711"/>
      <c r="L23889" s="711"/>
      <c r="Q23889" s="11"/>
      <c r="R23889" s="11"/>
      <c r="S23889" s="11"/>
      <c r="T23889" s="11"/>
    </row>
    <row r="23890" spans="8:20" x14ac:dyDescent="0.35">
      <c r="H23890" s="711"/>
      <c r="I23890" s="711"/>
      <c r="J23890" s="711"/>
      <c r="K23890" s="711"/>
      <c r="L23890" s="711"/>
      <c r="Q23890" s="11"/>
      <c r="R23890" s="11"/>
      <c r="S23890" s="11"/>
      <c r="T23890" s="11"/>
    </row>
    <row r="23891" spans="8:20" x14ac:dyDescent="0.35">
      <c r="H23891" s="711"/>
      <c r="I23891" s="711"/>
      <c r="J23891" s="711"/>
      <c r="K23891" s="711"/>
      <c r="L23891" s="711"/>
      <c r="Q23891" s="11"/>
      <c r="R23891" s="11"/>
      <c r="S23891" s="11"/>
      <c r="T23891" s="11"/>
    </row>
    <row r="23892" spans="8:20" x14ac:dyDescent="0.35">
      <c r="H23892" s="711"/>
      <c r="I23892" s="711"/>
      <c r="J23892" s="711"/>
      <c r="K23892" s="711"/>
      <c r="L23892" s="711"/>
      <c r="Q23892" s="11"/>
      <c r="R23892" s="11"/>
      <c r="S23892" s="11"/>
      <c r="T23892" s="11"/>
    </row>
    <row r="23893" spans="8:20" x14ac:dyDescent="0.35">
      <c r="H23893" s="711"/>
      <c r="I23893" s="711"/>
      <c r="J23893" s="711"/>
      <c r="K23893" s="711"/>
      <c r="L23893" s="711"/>
      <c r="Q23893" s="11"/>
      <c r="R23893" s="11"/>
      <c r="S23893" s="11"/>
      <c r="T23893" s="11"/>
    </row>
    <row r="23894" spans="8:20" x14ac:dyDescent="0.35">
      <c r="H23894" s="711"/>
      <c r="I23894" s="711"/>
      <c r="J23894" s="711"/>
      <c r="K23894" s="711"/>
      <c r="L23894" s="711"/>
      <c r="Q23894" s="11"/>
      <c r="R23894" s="11"/>
      <c r="S23894" s="11"/>
      <c r="T23894" s="11"/>
    </row>
    <row r="23895" spans="8:20" x14ac:dyDescent="0.35">
      <c r="H23895" s="711"/>
      <c r="I23895" s="711"/>
      <c r="J23895" s="711"/>
      <c r="K23895" s="711"/>
      <c r="L23895" s="711"/>
      <c r="Q23895" s="11"/>
      <c r="R23895" s="11"/>
      <c r="S23895" s="11"/>
      <c r="T23895" s="11"/>
    </row>
    <row r="23896" spans="8:20" x14ac:dyDescent="0.35">
      <c r="H23896" s="711"/>
      <c r="I23896" s="711"/>
      <c r="J23896" s="711"/>
      <c r="K23896" s="711"/>
      <c r="L23896" s="711"/>
      <c r="Q23896" s="11"/>
      <c r="R23896" s="11"/>
      <c r="S23896" s="11"/>
      <c r="T23896" s="11"/>
    </row>
    <row r="23897" spans="8:20" x14ac:dyDescent="0.35">
      <c r="H23897" s="711"/>
      <c r="I23897" s="711"/>
      <c r="J23897" s="711"/>
      <c r="K23897" s="711"/>
      <c r="L23897" s="711"/>
      <c r="Q23897" s="11"/>
      <c r="R23897" s="11"/>
      <c r="S23897" s="11"/>
      <c r="T23897" s="11"/>
    </row>
    <row r="23898" spans="8:20" x14ac:dyDescent="0.35">
      <c r="H23898" s="711"/>
      <c r="I23898" s="711"/>
      <c r="J23898" s="711"/>
      <c r="K23898" s="711"/>
      <c r="L23898" s="711"/>
      <c r="Q23898" s="11"/>
      <c r="R23898" s="11"/>
      <c r="S23898" s="11"/>
      <c r="T23898" s="11"/>
    </row>
    <row r="23899" spans="8:20" x14ac:dyDescent="0.35">
      <c r="H23899" s="711"/>
      <c r="I23899" s="711"/>
      <c r="J23899" s="711"/>
      <c r="K23899" s="711"/>
      <c r="L23899" s="711"/>
      <c r="Q23899" s="11"/>
      <c r="R23899" s="11"/>
      <c r="S23899" s="11"/>
      <c r="T23899" s="11"/>
    </row>
    <row r="23900" spans="8:20" x14ac:dyDescent="0.35">
      <c r="H23900" s="711"/>
      <c r="I23900" s="711"/>
      <c r="J23900" s="711"/>
      <c r="K23900" s="711"/>
      <c r="L23900" s="711"/>
      <c r="Q23900" s="11"/>
      <c r="R23900" s="11"/>
      <c r="S23900" s="11"/>
      <c r="T23900" s="11"/>
    </row>
    <row r="23901" spans="8:20" x14ac:dyDescent="0.35">
      <c r="H23901" s="711"/>
      <c r="I23901" s="711"/>
      <c r="J23901" s="711"/>
      <c r="K23901" s="711"/>
      <c r="L23901" s="711"/>
      <c r="Q23901" s="11"/>
      <c r="R23901" s="11"/>
      <c r="S23901" s="11"/>
      <c r="T23901" s="11"/>
    </row>
    <row r="23902" spans="8:20" x14ac:dyDescent="0.35">
      <c r="H23902" s="711"/>
      <c r="I23902" s="711"/>
      <c r="J23902" s="711"/>
      <c r="K23902" s="711"/>
      <c r="L23902" s="711"/>
      <c r="Q23902" s="11"/>
      <c r="R23902" s="11"/>
      <c r="S23902" s="11"/>
      <c r="T23902" s="11"/>
    </row>
    <row r="23903" spans="8:20" x14ac:dyDescent="0.35">
      <c r="H23903" s="711"/>
      <c r="I23903" s="711"/>
      <c r="J23903" s="711"/>
      <c r="K23903" s="711"/>
      <c r="L23903" s="711"/>
      <c r="Q23903" s="11"/>
      <c r="R23903" s="11"/>
      <c r="S23903" s="11"/>
      <c r="T23903" s="11"/>
    </row>
    <row r="23904" spans="8:20" x14ac:dyDescent="0.35">
      <c r="H23904" s="711"/>
      <c r="I23904" s="711"/>
      <c r="J23904" s="711"/>
      <c r="K23904" s="711"/>
      <c r="L23904" s="711"/>
      <c r="Q23904" s="11"/>
      <c r="R23904" s="11"/>
      <c r="S23904" s="11"/>
      <c r="T23904" s="11"/>
    </row>
    <row r="23905" spans="8:20" x14ac:dyDescent="0.35">
      <c r="H23905" s="711"/>
      <c r="I23905" s="711"/>
      <c r="J23905" s="711"/>
      <c r="K23905" s="711"/>
      <c r="L23905" s="711"/>
      <c r="Q23905" s="11"/>
      <c r="R23905" s="11"/>
      <c r="S23905" s="11"/>
      <c r="T23905" s="11"/>
    </row>
    <row r="23906" spans="8:20" x14ac:dyDescent="0.35">
      <c r="H23906" s="711"/>
      <c r="I23906" s="711"/>
      <c r="J23906" s="711"/>
      <c r="K23906" s="711"/>
      <c r="L23906" s="711"/>
      <c r="Q23906" s="11"/>
      <c r="R23906" s="11"/>
      <c r="S23906" s="11"/>
      <c r="T23906" s="11"/>
    </row>
    <row r="23907" spans="8:20" x14ac:dyDescent="0.35">
      <c r="H23907" s="711"/>
      <c r="I23907" s="711"/>
      <c r="J23907" s="711"/>
      <c r="K23907" s="711"/>
      <c r="L23907" s="711"/>
      <c r="Q23907" s="11"/>
      <c r="R23907" s="11"/>
      <c r="S23907" s="11"/>
      <c r="T23907" s="11"/>
    </row>
    <row r="23908" spans="8:20" x14ac:dyDescent="0.35">
      <c r="H23908" s="711"/>
      <c r="I23908" s="711"/>
      <c r="J23908" s="711"/>
      <c r="K23908" s="711"/>
      <c r="L23908" s="711"/>
      <c r="Q23908" s="11"/>
      <c r="R23908" s="11"/>
      <c r="S23908" s="11"/>
      <c r="T23908" s="11"/>
    </row>
    <row r="23909" spans="8:20" x14ac:dyDescent="0.35">
      <c r="H23909" s="711"/>
      <c r="I23909" s="711"/>
      <c r="J23909" s="711"/>
      <c r="K23909" s="711"/>
      <c r="L23909" s="711"/>
      <c r="Q23909" s="11"/>
      <c r="R23909" s="11"/>
      <c r="S23909" s="11"/>
      <c r="T23909" s="11"/>
    </row>
    <row r="23910" spans="8:20" x14ac:dyDescent="0.35">
      <c r="H23910" s="711"/>
      <c r="I23910" s="711"/>
      <c r="J23910" s="711"/>
      <c r="K23910" s="711"/>
      <c r="L23910" s="711"/>
      <c r="Q23910" s="11"/>
      <c r="R23910" s="11"/>
      <c r="S23910" s="11"/>
      <c r="T23910" s="11"/>
    </row>
    <row r="23911" spans="8:20" x14ac:dyDescent="0.35">
      <c r="H23911" s="711"/>
      <c r="I23911" s="711"/>
      <c r="J23911" s="711"/>
      <c r="K23911" s="711"/>
      <c r="L23911" s="711"/>
      <c r="Q23911" s="11"/>
      <c r="R23911" s="11"/>
      <c r="S23911" s="11"/>
      <c r="T23911" s="11"/>
    </row>
    <row r="23912" spans="8:20" x14ac:dyDescent="0.35">
      <c r="H23912" s="711"/>
      <c r="I23912" s="711"/>
      <c r="J23912" s="711"/>
      <c r="K23912" s="711"/>
      <c r="L23912" s="711"/>
      <c r="Q23912" s="11"/>
      <c r="R23912" s="11"/>
      <c r="S23912" s="11"/>
      <c r="T23912" s="11"/>
    </row>
    <row r="23913" spans="8:20" x14ac:dyDescent="0.35">
      <c r="H23913" s="711"/>
      <c r="I23913" s="711"/>
      <c r="J23913" s="711"/>
      <c r="K23913" s="711"/>
      <c r="L23913" s="711"/>
      <c r="Q23913" s="11"/>
      <c r="R23913" s="11"/>
      <c r="S23913" s="11"/>
      <c r="T23913" s="11"/>
    </row>
    <row r="23914" spans="8:20" x14ac:dyDescent="0.35">
      <c r="H23914" s="711"/>
      <c r="I23914" s="711"/>
      <c r="J23914" s="711"/>
      <c r="K23914" s="711"/>
      <c r="L23914" s="711"/>
      <c r="Q23914" s="11"/>
      <c r="R23914" s="11"/>
      <c r="S23914" s="11"/>
      <c r="T23914" s="11"/>
    </row>
    <row r="23915" spans="8:20" x14ac:dyDescent="0.35">
      <c r="H23915" s="711"/>
      <c r="I23915" s="711"/>
      <c r="J23915" s="711"/>
      <c r="K23915" s="711"/>
      <c r="L23915" s="711"/>
      <c r="Q23915" s="11"/>
      <c r="R23915" s="11"/>
      <c r="S23915" s="11"/>
      <c r="T23915" s="11"/>
    </row>
    <row r="23916" spans="8:20" x14ac:dyDescent="0.35">
      <c r="H23916" s="711"/>
      <c r="I23916" s="711"/>
      <c r="J23916" s="711"/>
      <c r="K23916" s="711"/>
      <c r="L23916" s="711"/>
      <c r="Q23916" s="11"/>
      <c r="R23916" s="11"/>
      <c r="S23916" s="11"/>
      <c r="T23916" s="11"/>
    </row>
    <row r="23917" spans="8:20" x14ac:dyDescent="0.35">
      <c r="H23917" s="711"/>
      <c r="I23917" s="711"/>
      <c r="J23917" s="711"/>
      <c r="K23917" s="711"/>
      <c r="L23917" s="711"/>
      <c r="Q23917" s="11"/>
      <c r="R23917" s="11"/>
      <c r="S23917" s="11"/>
      <c r="T23917" s="11"/>
    </row>
    <row r="23918" spans="8:20" x14ac:dyDescent="0.35">
      <c r="H23918" s="711"/>
      <c r="I23918" s="711"/>
      <c r="J23918" s="711"/>
      <c r="K23918" s="711"/>
      <c r="L23918" s="711"/>
      <c r="Q23918" s="11"/>
      <c r="R23918" s="11"/>
      <c r="S23918" s="11"/>
      <c r="T23918" s="11"/>
    </row>
    <row r="23919" spans="8:20" x14ac:dyDescent="0.35">
      <c r="H23919" s="711"/>
      <c r="I23919" s="711"/>
      <c r="J23919" s="711"/>
      <c r="K23919" s="711"/>
      <c r="L23919" s="711"/>
      <c r="Q23919" s="11"/>
      <c r="R23919" s="11"/>
      <c r="S23919" s="11"/>
      <c r="T23919" s="11"/>
    </row>
    <row r="23920" spans="8:20" x14ac:dyDescent="0.35">
      <c r="H23920" s="711"/>
      <c r="I23920" s="711"/>
      <c r="J23920" s="711"/>
      <c r="K23920" s="711"/>
      <c r="L23920" s="711"/>
      <c r="Q23920" s="11"/>
      <c r="R23920" s="11"/>
      <c r="S23920" s="11"/>
      <c r="T23920" s="11"/>
    </row>
    <row r="23921" spans="8:20" x14ac:dyDescent="0.35">
      <c r="H23921" s="711"/>
      <c r="I23921" s="711"/>
      <c r="J23921" s="711"/>
      <c r="K23921" s="711"/>
      <c r="L23921" s="711"/>
      <c r="Q23921" s="11"/>
      <c r="R23921" s="11"/>
      <c r="S23921" s="11"/>
      <c r="T23921" s="11"/>
    </row>
    <row r="23922" spans="8:20" x14ac:dyDescent="0.35">
      <c r="H23922" s="711"/>
      <c r="I23922" s="711"/>
      <c r="J23922" s="711"/>
      <c r="K23922" s="711"/>
      <c r="L23922" s="711"/>
      <c r="Q23922" s="11"/>
      <c r="R23922" s="11"/>
      <c r="S23922" s="11"/>
      <c r="T23922" s="11"/>
    </row>
    <row r="23923" spans="8:20" x14ac:dyDescent="0.35">
      <c r="H23923" s="711"/>
      <c r="I23923" s="711"/>
      <c r="J23923" s="711"/>
      <c r="K23923" s="711"/>
      <c r="L23923" s="711"/>
      <c r="Q23923" s="11"/>
      <c r="R23923" s="11"/>
      <c r="S23923" s="11"/>
      <c r="T23923" s="11"/>
    </row>
    <row r="23924" spans="8:20" x14ac:dyDescent="0.35">
      <c r="H23924" s="711"/>
      <c r="I23924" s="711"/>
      <c r="J23924" s="711"/>
      <c r="K23924" s="711"/>
      <c r="L23924" s="711"/>
      <c r="Q23924" s="11"/>
      <c r="R23924" s="11"/>
      <c r="S23924" s="11"/>
      <c r="T23924" s="11"/>
    </row>
    <row r="23925" spans="8:20" x14ac:dyDescent="0.35">
      <c r="H23925" s="711"/>
      <c r="I23925" s="711"/>
      <c r="J23925" s="711"/>
      <c r="K23925" s="711"/>
      <c r="L23925" s="711"/>
      <c r="Q23925" s="11"/>
      <c r="R23925" s="11"/>
      <c r="S23925" s="11"/>
      <c r="T23925" s="11"/>
    </row>
    <row r="23926" spans="8:20" x14ac:dyDescent="0.35">
      <c r="H23926" s="711"/>
      <c r="I23926" s="711"/>
      <c r="J23926" s="711"/>
      <c r="K23926" s="711"/>
      <c r="L23926" s="711"/>
      <c r="Q23926" s="11"/>
      <c r="R23926" s="11"/>
      <c r="S23926" s="11"/>
      <c r="T23926" s="11"/>
    </row>
    <row r="23927" spans="8:20" x14ac:dyDescent="0.35">
      <c r="H23927" s="711"/>
      <c r="I23927" s="711"/>
      <c r="J23927" s="711"/>
      <c r="K23927" s="711"/>
      <c r="L23927" s="711"/>
      <c r="Q23927" s="11"/>
      <c r="R23927" s="11"/>
      <c r="S23927" s="11"/>
      <c r="T23927" s="11"/>
    </row>
    <row r="23928" spans="8:20" x14ac:dyDescent="0.35">
      <c r="H23928" s="711"/>
      <c r="I23928" s="711"/>
      <c r="J23928" s="711"/>
      <c r="K23928" s="711"/>
      <c r="L23928" s="711"/>
      <c r="Q23928" s="11"/>
      <c r="R23928" s="11"/>
      <c r="S23928" s="11"/>
      <c r="T23928" s="11"/>
    </row>
    <row r="23929" spans="8:20" x14ac:dyDescent="0.35">
      <c r="H23929" s="711"/>
      <c r="I23929" s="711"/>
      <c r="J23929" s="711"/>
      <c r="K23929" s="711"/>
      <c r="L23929" s="711"/>
      <c r="Q23929" s="11"/>
      <c r="R23929" s="11"/>
      <c r="S23929" s="11"/>
      <c r="T23929" s="11"/>
    </row>
    <row r="23930" spans="8:20" x14ac:dyDescent="0.35">
      <c r="H23930" s="711"/>
      <c r="I23930" s="711"/>
      <c r="J23930" s="711"/>
      <c r="K23930" s="711"/>
      <c r="L23930" s="711"/>
      <c r="Q23930" s="11"/>
      <c r="R23930" s="11"/>
      <c r="S23930" s="11"/>
      <c r="T23930" s="11"/>
    </row>
    <row r="23931" spans="8:20" x14ac:dyDescent="0.35">
      <c r="H23931" s="711"/>
      <c r="I23931" s="711"/>
      <c r="J23931" s="711"/>
      <c r="K23931" s="711"/>
      <c r="L23931" s="711"/>
      <c r="Q23931" s="11"/>
      <c r="R23931" s="11"/>
      <c r="S23931" s="11"/>
      <c r="T23931" s="11"/>
    </row>
    <row r="23932" spans="8:20" x14ac:dyDescent="0.35">
      <c r="H23932" s="711"/>
      <c r="I23932" s="711"/>
      <c r="J23932" s="711"/>
      <c r="K23932" s="711"/>
      <c r="L23932" s="711"/>
      <c r="Q23932" s="11"/>
      <c r="R23932" s="11"/>
      <c r="S23932" s="11"/>
      <c r="T23932" s="11"/>
    </row>
    <row r="23933" spans="8:20" x14ac:dyDescent="0.35">
      <c r="H23933" s="711"/>
      <c r="I23933" s="711"/>
      <c r="J23933" s="711"/>
      <c r="K23933" s="711"/>
      <c r="L23933" s="711"/>
      <c r="Q23933" s="11"/>
      <c r="R23933" s="11"/>
      <c r="S23933" s="11"/>
      <c r="T23933" s="11"/>
    </row>
    <row r="23934" spans="8:20" x14ac:dyDescent="0.35">
      <c r="H23934" s="711"/>
      <c r="I23934" s="711"/>
      <c r="J23934" s="711"/>
      <c r="K23934" s="711"/>
      <c r="L23934" s="711"/>
      <c r="Q23934" s="11"/>
      <c r="R23934" s="11"/>
      <c r="S23934" s="11"/>
      <c r="T23934" s="11"/>
    </row>
    <row r="23935" spans="8:20" x14ac:dyDescent="0.35">
      <c r="H23935" s="711"/>
      <c r="I23935" s="711"/>
      <c r="J23935" s="711"/>
      <c r="K23935" s="711"/>
      <c r="L23935" s="711"/>
      <c r="Q23935" s="11"/>
      <c r="R23935" s="11"/>
      <c r="S23935" s="11"/>
      <c r="T23935" s="11"/>
    </row>
    <row r="23936" spans="8:20" x14ac:dyDescent="0.35">
      <c r="H23936" s="711"/>
      <c r="I23936" s="711"/>
      <c r="J23936" s="711"/>
      <c r="K23936" s="711"/>
      <c r="L23936" s="711"/>
      <c r="Q23936" s="11"/>
      <c r="R23936" s="11"/>
      <c r="S23936" s="11"/>
      <c r="T23936" s="11"/>
    </row>
    <row r="23937" spans="8:20" x14ac:dyDescent="0.35">
      <c r="H23937" s="711"/>
      <c r="I23937" s="711"/>
      <c r="J23937" s="711"/>
      <c r="K23937" s="711"/>
      <c r="L23937" s="711"/>
      <c r="Q23937" s="11"/>
      <c r="R23937" s="11"/>
      <c r="S23937" s="11"/>
      <c r="T23937" s="11"/>
    </row>
    <row r="23938" spans="8:20" x14ac:dyDescent="0.35">
      <c r="H23938" s="711"/>
      <c r="I23938" s="711"/>
      <c r="J23938" s="711"/>
      <c r="K23938" s="711"/>
      <c r="L23938" s="711"/>
      <c r="Q23938" s="11"/>
      <c r="R23938" s="11"/>
      <c r="S23938" s="11"/>
      <c r="T23938" s="11"/>
    </row>
    <row r="23939" spans="8:20" x14ac:dyDescent="0.35">
      <c r="H23939" s="711"/>
      <c r="I23939" s="711"/>
      <c r="J23939" s="711"/>
      <c r="K23939" s="711"/>
      <c r="L23939" s="711"/>
      <c r="Q23939" s="11"/>
      <c r="R23939" s="11"/>
      <c r="S23939" s="11"/>
      <c r="T23939" s="11"/>
    </row>
    <row r="23940" spans="8:20" x14ac:dyDescent="0.35">
      <c r="H23940" s="711"/>
      <c r="I23940" s="711"/>
      <c r="J23940" s="711"/>
      <c r="K23940" s="711"/>
      <c r="L23940" s="711"/>
      <c r="Q23940" s="11"/>
      <c r="R23940" s="11"/>
      <c r="S23940" s="11"/>
      <c r="T23940" s="11"/>
    </row>
    <row r="23941" spans="8:20" x14ac:dyDescent="0.35">
      <c r="H23941" s="711"/>
      <c r="I23941" s="711"/>
      <c r="J23941" s="711"/>
      <c r="K23941" s="711"/>
      <c r="L23941" s="711"/>
      <c r="Q23941" s="11"/>
      <c r="R23941" s="11"/>
      <c r="S23941" s="11"/>
      <c r="T23941" s="11"/>
    </row>
    <row r="23942" spans="8:20" x14ac:dyDescent="0.35">
      <c r="H23942" s="711"/>
      <c r="I23942" s="711"/>
      <c r="J23942" s="711"/>
      <c r="K23942" s="711"/>
      <c r="L23942" s="711"/>
      <c r="Q23942" s="11"/>
      <c r="R23942" s="11"/>
      <c r="S23942" s="11"/>
      <c r="T23942" s="11"/>
    </row>
    <row r="23943" spans="8:20" x14ac:dyDescent="0.35">
      <c r="H23943" s="711"/>
      <c r="I23943" s="711"/>
      <c r="J23943" s="711"/>
      <c r="K23943" s="711"/>
      <c r="L23943" s="711"/>
      <c r="Q23943" s="11"/>
      <c r="R23943" s="11"/>
      <c r="S23943" s="11"/>
      <c r="T23943" s="11"/>
    </row>
    <row r="23944" spans="8:20" x14ac:dyDescent="0.35">
      <c r="H23944" s="711"/>
      <c r="I23944" s="711"/>
      <c r="J23944" s="711"/>
      <c r="K23944" s="711"/>
      <c r="L23944" s="711"/>
      <c r="Q23944" s="11"/>
      <c r="R23944" s="11"/>
      <c r="S23944" s="11"/>
      <c r="T23944" s="11"/>
    </row>
    <row r="23945" spans="8:20" x14ac:dyDescent="0.35">
      <c r="H23945" s="711"/>
      <c r="I23945" s="711"/>
      <c r="J23945" s="711"/>
      <c r="K23945" s="711"/>
      <c r="L23945" s="711"/>
      <c r="Q23945" s="11"/>
      <c r="R23945" s="11"/>
      <c r="S23945" s="11"/>
      <c r="T23945" s="11"/>
    </row>
    <row r="23946" spans="8:20" x14ac:dyDescent="0.35">
      <c r="H23946" s="711"/>
      <c r="I23946" s="711"/>
      <c r="J23946" s="711"/>
      <c r="K23946" s="711"/>
      <c r="L23946" s="711"/>
      <c r="Q23946" s="11"/>
      <c r="R23946" s="11"/>
      <c r="S23946" s="11"/>
      <c r="T23946" s="11"/>
    </row>
    <row r="23947" spans="8:20" x14ac:dyDescent="0.35">
      <c r="H23947" s="711"/>
      <c r="I23947" s="711"/>
      <c r="J23947" s="711"/>
      <c r="K23947" s="711"/>
      <c r="L23947" s="711"/>
      <c r="Q23947" s="11"/>
      <c r="R23947" s="11"/>
      <c r="S23947" s="11"/>
      <c r="T23947" s="11"/>
    </row>
    <row r="23948" spans="8:20" x14ac:dyDescent="0.35">
      <c r="H23948" s="711"/>
      <c r="I23948" s="711"/>
      <c r="J23948" s="711"/>
      <c r="K23948" s="711"/>
      <c r="L23948" s="711"/>
      <c r="Q23948" s="11"/>
      <c r="R23948" s="11"/>
      <c r="S23948" s="11"/>
      <c r="T23948" s="11"/>
    </row>
    <row r="23949" spans="8:20" x14ac:dyDescent="0.35">
      <c r="H23949" s="711"/>
      <c r="I23949" s="711"/>
      <c r="J23949" s="711"/>
      <c r="K23949" s="711"/>
      <c r="L23949" s="711"/>
      <c r="Q23949" s="11"/>
      <c r="R23949" s="11"/>
      <c r="S23949" s="11"/>
      <c r="T23949" s="11"/>
    </row>
    <row r="23950" spans="8:20" x14ac:dyDescent="0.35">
      <c r="H23950" s="711"/>
      <c r="I23950" s="711"/>
      <c r="J23950" s="711"/>
      <c r="K23950" s="711"/>
      <c r="L23950" s="711"/>
      <c r="Q23950" s="11"/>
      <c r="R23950" s="11"/>
      <c r="S23950" s="11"/>
      <c r="T23950" s="11"/>
    </row>
    <row r="23951" spans="8:20" x14ac:dyDescent="0.35">
      <c r="H23951" s="711"/>
      <c r="I23951" s="711"/>
      <c r="J23951" s="711"/>
      <c r="K23951" s="711"/>
      <c r="L23951" s="711"/>
      <c r="Q23951" s="11"/>
      <c r="R23951" s="11"/>
      <c r="S23951" s="11"/>
      <c r="T23951" s="11"/>
    </row>
    <row r="23952" spans="8:20" x14ac:dyDescent="0.35">
      <c r="H23952" s="711"/>
      <c r="I23952" s="711"/>
      <c r="J23952" s="711"/>
      <c r="K23952" s="711"/>
      <c r="L23952" s="711"/>
      <c r="Q23952" s="11"/>
      <c r="R23952" s="11"/>
      <c r="S23952" s="11"/>
      <c r="T23952" s="11"/>
    </row>
    <row r="23953" spans="8:20" x14ac:dyDescent="0.35">
      <c r="H23953" s="711"/>
      <c r="I23953" s="711"/>
      <c r="J23953" s="711"/>
      <c r="K23953" s="711"/>
      <c r="L23953" s="711"/>
      <c r="Q23953" s="11"/>
      <c r="R23953" s="11"/>
      <c r="S23953" s="11"/>
      <c r="T23953" s="11"/>
    </row>
    <row r="23954" spans="8:20" x14ac:dyDescent="0.35">
      <c r="H23954" s="711"/>
      <c r="I23954" s="711"/>
      <c r="J23954" s="711"/>
      <c r="K23954" s="711"/>
      <c r="L23954" s="711"/>
      <c r="Q23954" s="11"/>
      <c r="R23954" s="11"/>
      <c r="S23954" s="11"/>
      <c r="T23954" s="11"/>
    </row>
    <row r="23955" spans="8:20" x14ac:dyDescent="0.35">
      <c r="H23955" s="711"/>
      <c r="I23955" s="711"/>
      <c r="J23955" s="711"/>
      <c r="K23955" s="711"/>
      <c r="L23955" s="711"/>
      <c r="Q23955" s="11"/>
      <c r="R23955" s="11"/>
      <c r="S23955" s="11"/>
      <c r="T23955" s="11"/>
    </row>
    <row r="23956" spans="8:20" x14ac:dyDescent="0.35">
      <c r="H23956" s="711"/>
      <c r="I23956" s="711"/>
      <c r="J23956" s="711"/>
      <c r="K23956" s="711"/>
      <c r="L23956" s="711"/>
      <c r="Q23956" s="11"/>
      <c r="R23956" s="11"/>
      <c r="S23956" s="11"/>
      <c r="T23956" s="11"/>
    </row>
    <row r="23957" spans="8:20" x14ac:dyDescent="0.35">
      <c r="H23957" s="711"/>
      <c r="I23957" s="711"/>
      <c r="J23957" s="711"/>
      <c r="K23957" s="711"/>
      <c r="L23957" s="711"/>
      <c r="Q23957" s="11"/>
      <c r="R23957" s="11"/>
      <c r="S23957" s="11"/>
      <c r="T23957" s="11"/>
    </row>
    <row r="23958" spans="8:20" x14ac:dyDescent="0.35">
      <c r="H23958" s="711"/>
      <c r="I23958" s="711"/>
      <c r="J23958" s="711"/>
      <c r="K23958" s="711"/>
      <c r="L23958" s="711"/>
      <c r="Q23958" s="11"/>
      <c r="R23958" s="11"/>
      <c r="S23958" s="11"/>
      <c r="T23958" s="11"/>
    </row>
    <row r="23959" spans="8:20" x14ac:dyDescent="0.35">
      <c r="H23959" s="711"/>
      <c r="I23959" s="711"/>
      <c r="J23959" s="711"/>
      <c r="K23959" s="711"/>
      <c r="L23959" s="711"/>
      <c r="Q23959" s="11"/>
      <c r="R23959" s="11"/>
      <c r="S23959" s="11"/>
      <c r="T23959" s="11"/>
    </row>
    <row r="23960" spans="8:20" x14ac:dyDescent="0.35">
      <c r="H23960" s="711"/>
      <c r="I23960" s="711"/>
      <c r="J23960" s="711"/>
      <c r="K23960" s="711"/>
      <c r="L23960" s="711"/>
      <c r="Q23960" s="11"/>
      <c r="R23960" s="11"/>
      <c r="S23960" s="11"/>
      <c r="T23960" s="11"/>
    </row>
    <row r="23961" spans="8:20" x14ac:dyDescent="0.35">
      <c r="H23961" s="711"/>
      <c r="I23961" s="711"/>
      <c r="J23961" s="711"/>
      <c r="K23961" s="711"/>
      <c r="L23961" s="711"/>
      <c r="Q23961" s="11"/>
      <c r="R23961" s="11"/>
      <c r="S23961" s="11"/>
      <c r="T23961" s="11"/>
    </row>
    <row r="23962" spans="8:20" x14ac:dyDescent="0.35">
      <c r="H23962" s="711"/>
      <c r="I23962" s="711"/>
      <c r="J23962" s="711"/>
      <c r="K23962" s="711"/>
      <c r="L23962" s="711"/>
      <c r="Q23962" s="11"/>
      <c r="R23962" s="11"/>
      <c r="S23962" s="11"/>
      <c r="T23962" s="11"/>
    </row>
    <row r="23963" spans="8:20" x14ac:dyDescent="0.35">
      <c r="H23963" s="711"/>
      <c r="I23963" s="711"/>
      <c r="J23963" s="711"/>
      <c r="K23963" s="711"/>
      <c r="L23963" s="711"/>
      <c r="Q23963" s="11"/>
      <c r="R23963" s="11"/>
      <c r="S23963" s="11"/>
      <c r="T23963" s="11"/>
    </row>
    <row r="23964" spans="8:20" x14ac:dyDescent="0.35">
      <c r="H23964" s="711"/>
      <c r="I23964" s="711"/>
      <c r="J23964" s="711"/>
      <c r="K23964" s="711"/>
      <c r="L23964" s="711"/>
      <c r="Q23964" s="11"/>
      <c r="R23964" s="11"/>
      <c r="S23964" s="11"/>
      <c r="T23964" s="11"/>
    </row>
    <row r="23965" spans="8:20" x14ac:dyDescent="0.35">
      <c r="H23965" s="711"/>
      <c r="I23965" s="711"/>
      <c r="J23965" s="711"/>
      <c r="K23965" s="711"/>
      <c r="L23965" s="711"/>
      <c r="Q23965" s="11"/>
      <c r="R23965" s="11"/>
      <c r="S23965" s="11"/>
      <c r="T23965" s="11"/>
    </row>
    <row r="23966" spans="8:20" x14ac:dyDescent="0.35">
      <c r="H23966" s="711"/>
      <c r="I23966" s="711"/>
      <c r="J23966" s="711"/>
      <c r="K23966" s="711"/>
      <c r="L23966" s="711"/>
      <c r="Q23966" s="11"/>
      <c r="R23966" s="11"/>
      <c r="S23966" s="11"/>
      <c r="T23966" s="11"/>
    </row>
    <row r="23967" spans="8:20" x14ac:dyDescent="0.35">
      <c r="H23967" s="711"/>
      <c r="I23967" s="711"/>
      <c r="J23967" s="711"/>
      <c r="K23967" s="711"/>
      <c r="L23967" s="711"/>
      <c r="Q23967" s="11"/>
      <c r="R23967" s="11"/>
      <c r="S23967" s="11"/>
      <c r="T23967" s="11"/>
    </row>
    <row r="23968" spans="8:20" x14ac:dyDescent="0.35">
      <c r="H23968" s="711"/>
      <c r="I23968" s="711"/>
      <c r="J23968" s="711"/>
      <c r="K23968" s="711"/>
      <c r="L23968" s="711"/>
      <c r="Q23968" s="11"/>
      <c r="R23968" s="11"/>
      <c r="S23968" s="11"/>
      <c r="T23968" s="11"/>
    </row>
    <row r="23969" spans="8:20" x14ac:dyDescent="0.35">
      <c r="H23969" s="711"/>
      <c r="I23969" s="711"/>
      <c r="J23969" s="711"/>
      <c r="K23969" s="711"/>
      <c r="L23969" s="711"/>
      <c r="Q23969" s="11"/>
      <c r="R23969" s="11"/>
      <c r="S23969" s="11"/>
      <c r="T23969" s="11"/>
    </row>
    <row r="23970" spans="8:20" x14ac:dyDescent="0.35">
      <c r="H23970" s="711"/>
      <c r="I23970" s="711"/>
      <c r="J23970" s="711"/>
      <c r="K23970" s="711"/>
      <c r="L23970" s="711"/>
      <c r="Q23970" s="11"/>
      <c r="R23970" s="11"/>
      <c r="S23970" s="11"/>
      <c r="T23970" s="11"/>
    </row>
    <row r="23971" spans="8:20" x14ac:dyDescent="0.35">
      <c r="H23971" s="711"/>
      <c r="I23971" s="711"/>
      <c r="J23971" s="711"/>
      <c r="K23971" s="711"/>
      <c r="L23971" s="711"/>
      <c r="Q23971" s="11"/>
      <c r="R23971" s="11"/>
      <c r="S23971" s="11"/>
      <c r="T23971" s="11"/>
    </row>
    <row r="23972" spans="8:20" x14ac:dyDescent="0.35">
      <c r="H23972" s="711"/>
      <c r="I23972" s="711"/>
      <c r="J23972" s="711"/>
      <c r="K23972" s="711"/>
      <c r="L23972" s="711"/>
      <c r="Q23972" s="11"/>
      <c r="R23972" s="11"/>
      <c r="S23972" s="11"/>
      <c r="T23972" s="11"/>
    </row>
    <row r="23973" spans="8:20" x14ac:dyDescent="0.35">
      <c r="H23973" s="711"/>
      <c r="I23973" s="711"/>
      <c r="J23973" s="711"/>
      <c r="K23973" s="711"/>
      <c r="L23973" s="711"/>
      <c r="Q23973" s="11"/>
      <c r="R23973" s="11"/>
      <c r="S23973" s="11"/>
      <c r="T23973" s="11"/>
    </row>
    <row r="23974" spans="8:20" x14ac:dyDescent="0.35">
      <c r="H23974" s="711"/>
      <c r="I23974" s="711"/>
      <c r="J23974" s="711"/>
      <c r="K23974" s="711"/>
      <c r="L23974" s="711"/>
      <c r="Q23974" s="11"/>
      <c r="R23974" s="11"/>
      <c r="S23974" s="11"/>
      <c r="T23974" s="11"/>
    </row>
    <row r="23975" spans="8:20" x14ac:dyDescent="0.35">
      <c r="H23975" s="711"/>
      <c r="I23975" s="711"/>
      <c r="J23975" s="711"/>
      <c r="K23975" s="711"/>
      <c r="L23975" s="711"/>
      <c r="Q23975" s="11"/>
      <c r="R23975" s="11"/>
      <c r="S23975" s="11"/>
      <c r="T23975" s="11"/>
    </row>
    <row r="23976" spans="8:20" x14ac:dyDescent="0.35">
      <c r="H23976" s="711"/>
      <c r="I23976" s="711"/>
      <c r="J23976" s="711"/>
      <c r="K23976" s="711"/>
      <c r="L23976" s="711"/>
      <c r="Q23976" s="11"/>
      <c r="R23976" s="11"/>
      <c r="S23976" s="11"/>
      <c r="T23976" s="11"/>
    </row>
    <row r="23977" spans="8:20" x14ac:dyDescent="0.35">
      <c r="H23977" s="711"/>
      <c r="I23977" s="711"/>
      <c r="J23977" s="711"/>
      <c r="K23977" s="711"/>
      <c r="L23977" s="711"/>
      <c r="Q23977" s="11"/>
      <c r="R23977" s="11"/>
      <c r="S23977" s="11"/>
      <c r="T23977" s="11"/>
    </row>
    <row r="23978" spans="8:20" x14ac:dyDescent="0.35">
      <c r="H23978" s="711"/>
      <c r="I23978" s="711"/>
      <c r="J23978" s="711"/>
      <c r="K23978" s="711"/>
      <c r="L23978" s="711"/>
      <c r="Q23978" s="11"/>
      <c r="R23978" s="11"/>
      <c r="S23978" s="11"/>
      <c r="T23978" s="11"/>
    </row>
    <row r="23979" spans="8:20" x14ac:dyDescent="0.35">
      <c r="H23979" s="711"/>
      <c r="I23979" s="711"/>
      <c r="J23979" s="711"/>
      <c r="K23979" s="711"/>
      <c r="L23979" s="711"/>
      <c r="Q23979" s="11"/>
      <c r="R23979" s="11"/>
      <c r="S23979" s="11"/>
      <c r="T23979" s="11"/>
    </row>
    <row r="23980" spans="8:20" x14ac:dyDescent="0.35">
      <c r="H23980" s="711"/>
      <c r="I23980" s="711"/>
      <c r="J23980" s="711"/>
      <c r="K23980" s="711"/>
      <c r="L23980" s="711"/>
      <c r="Q23980" s="11"/>
      <c r="R23980" s="11"/>
      <c r="S23980" s="11"/>
      <c r="T23980" s="11"/>
    </row>
    <row r="23981" spans="8:20" x14ac:dyDescent="0.35">
      <c r="H23981" s="711"/>
      <c r="I23981" s="711"/>
      <c r="J23981" s="711"/>
      <c r="K23981" s="711"/>
      <c r="L23981" s="711"/>
      <c r="Q23981" s="11"/>
      <c r="R23981" s="11"/>
      <c r="S23981" s="11"/>
      <c r="T23981" s="11"/>
    </row>
    <row r="23982" spans="8:20" x14ac:dyDescent="0.35">
      <c r="H23982" s="711"/>
      <c r="I23982" s="711"/>
      <c r="J23982" s="711"/>
      <c r="K23982" s="711"/>
      <c r="L23982" s="711"/>
      <c r="Q23982" s="11"/>
      <c r="R23982" s="11"/>
      <c r="S23982" s="11"/>
      <c r="T23982" s="11"/>
    </row>
    <row r="23983" spans="8:20" x14ac:dyDescent="0.35">
      <c r="H23983" s="711"/>
      <c r="I23983" s="711"/>
      <c r="J23983" s="711"/>
      <c r="K23983" s="711"/>
      <c r="L23983" s="711"/>
      <c r="Q23983" s="11"/>
      <c r="R23983" s="11"/>
      <c r="S23983" s="11"/>
      <c r="T23983" s="11"/>
    </row>
    <row r="23984" spans="8:20" x14ac:dyDescent="0.35">
      <c r="H23984" s="711"/>
      <c r="I23984" s="711"/>
      <c r="J23984" s="711"/>
      <c r="K23984" s="711"/>
      <c r="L23984" s="711"/>
      <c r="Q23984" s="11"/>
      <c r="R23984" s="11"/>
      <c r="S23984" s="11"/>
      <c r="T23984" s="11"/>
    </row>
    <row r="23985" spans="8:20" x14ac:dyDescent="0.35">
      <c r="H23985" s="711"/>
      <c r="I23985" s="711"/>
      <c r="J23985" s="711"/>
      <c r="K23985" s="711"/>
      <c r="L23985" s="711"/>
      <c r="Q23985" s="11"/>
      <c r="R23985" s="11"/>
      <c r="S23985" s="11"/>
      <c r="T23985" s="11"/>
    </row>
    <row r="23986" spans="8:20" x14ac:dyDescent="0.35">
      <c r="H23986" s="711"/>
      <c r="I23986" s="711"/>
      <c r="J23986" s="711"/>
      <c r="K23986" s="711"/>
      <c r="L23986" s="711"/>
      <c r="Q23986" s="11"/>
      <c r="R23986" s="11"/>
      <c r="S23986" s="11"/>
      <c r="T23986" s="11"/>
    </row>
    <row r="23987" spans="8:20" x14ac:dyDescent="0.35">
      <c r="H23987" s="711"/>
      <c r="I23987" s="711"/>
      <c r="J23987" s="711"/>
      <c r="K23987" s="711"/>
      <c r="L23987" s="711"/>
      <c r="Q23987" s="11"/>
      <c r="R23987" s="11"/>
      <c r="S23987" s="11"/>
      <c r="T23987" s="11"/>
    </row>
    <row r="23988" spans="8:20" x14ac:dyDescent="0.35">
      <c r="H23988" s="711"/>
      <c r="I23988" s="711"/>
      <c r="J23988" s="711"/>
      <c r="K23988" s="711"/>
      <c r="L23988" s="711"/>
      <c r="Q23988" s="11"/>
      <c r="R23988" s="11"/>
      <c r="S23988" s="11"/>
      <c r="T23988" s="11"/>
    </row>
    <row r="23989" spans="8:20" x14ac:dyDescent="0.35">
      <c r="H23989" s="711"/>
      <c r="I23989" s="711"/>
      <c r="J23989" s="711"/>
      <c r="K23989" s="711"/>
      <c r="L23989" s="711"/>
      <c r="Q23989" s="11"/>
      <c r="R23989" s="11"/>
      <c r="S23989" s="11"/>
      <c r="T23989" s="11"/>
    </row>
    <row r="23990" spans="8:20" x14ac:dyDescent="0.35">
      <c r="H23990" s="711"/>
      <c r="I23990" s="711"/>
      <c r="J23990" s="711"/>
      <c r="K23990" s="711"/>
      <c r="L23990" s="711"/>
      <c r="Q23990" s="11"/>
      <c r="R23990" s="11"/>
      <c r="S23990" s="11"/>
      <c r="T23990" s="11"/>
    </row>
    <row r="23991" spans="8:20" x14ac:dyDescent="0.35">
      <c r="H23991" s="711"/>
      <c r="I23991" s="711"/>
      <c r="J23991" s="711"/>
      <c r="K23991" s="711"/>
      <c r="L23991" s="711"/>
      <c r="Q23991" s="11"/>
      <c r="R23991" s="11"/>
      <c r="S23991" s="11"/>
      <c r="T23991" s="11"/>
    </row>
    <row r="23992" spans="8:20" x14ac:dyDescent="0.35">
      <c r="H23992" s="711"/>
      <c r="I23992" s="711"/>
      <c r="J23992" s="711"/>
      <c r="K23992" s="711"/>
      <c r="L23992" s="711"/>
      <c r="Q23992" s="11"/>
      <c r="R23992" s="11"/>
      <c r="S23992" s="11"/>
      <c r="T23992" s="11"/>
    </row>
    <row r="23993" spans="8:20" x14ac:dyDescent="0.35">
      <c r="H23993" s="711"/>
      <c r="I23993" s="711"/>
      <c r="J23993" s="711"/>
      <c r="K23993" s="711"/>
      <c r="L23993" s="711"/>
      <c r="Q23993" s="11"/>
      <c r="R23993" s="11"/>
      <c r="S23993" s="11"/>
      <c r="T23993" s="11"/>
    </row>
    <row r="23994" spans="8:20" x14ac:dyDescent="0.35">
      <c r="H23994" s="711"/>
      <c r="I23994" s="711"/>
      <c r="J23994" s="711"/>
      <c r="K23994" s="711"/>
      <c r="L23994" s="711"/>
      <c r="Q23994" s="11"/>
      <c r="R23994" s="11"/>
      <c r="S23994" s="11"/>
      <c r="T23994" s="11"/>
    </row>
    <row r="23995" spans="8:20" x14ac:dyDescent="0.35">
      <c r="H23995" s="711"/>
      <c r="I23995" s="711"/>
      <c r="J23995" s="711"/>
      <c r="K23995" s="711"/>
      <c r="L23995" s="711"/>
      <c r="Q23995" s="11"/>
      <c r="R23995" s="11"/>
      <c r="S23995" s="11"/>
      <c r="T23995" s="11"/>
    </row>
    <row r="23996" spans="8:20" x14ac:dyDescent="0.35">
      <c r="H23996" s="711"/>
      <c r="I23996" s="711"/>
      <c r="J23996" s="711"/>
      <c r="K23996" s="711"/>
      <c r="L23996" s="711"/>
      <c r="Q23996" s="11"/>
      <c r="R23996" s="11"/>
      <c r="S23996" s="11"/>
      <c r="T23996" s="11"/>
    </row>
    <row r="23997" spans="8:20" x14ac:dyDescent="0.35">
      <c r="H23997" s="711"/>
      <c r="I23997" s="711"/>
      <c r="J23997" s="711"/>
      <c r="K23997" s="711"/>
      <c r="L23997" s="711"/>
      <c r="Q23997" s="11"/>
      <c r="R23997" s="11"/>
      <c r="S23997" s="11"/>
      <c r="T23997" s="11"/>
    </row>
    <row r="23998" spans="8:20" x14ac:dyDescent="0.35">
      <c r="H23998" s="711"/>
      <c r="I23998" s="711"/>
      <c r="J23998" s="711"/>
      <c r="K23998" s="711"/>
      <c r="L23998" s="711"/>
      <c r="Q23998" s="11"/>
      <c r="R23998" s="11"/>
      <c r="S23998" s="11"/>
      <c r="T23998" s="11"/>
    </row>
    <row r="23999" spans="8:20" x14ac:dyDescent="0.35">
      <c r="H23999" s="711"/>
      <c r="I23999" s="711"/>
      <c r="J23999" s="711"/>
      <c r="K23999" s="711"/>
      <c r="L23999" s="711"/>
      <c r="Q23999" s="11"/>
      <c r="R23999" s="11"/>
      <c r="S23999" s="11"/>
      <c r="T23999" s="11"/>
    </row>
    <row r="24000" spans="8:20" x14ac:dyDescent="0.35">
      <c r="H24000" s="711"/>
      <c r="I24000" s="711"/>
      <c r="J24000" s="711"/>
      <c r="K24000" s="711"/>
      <c r="L24000" s="711"/>
      <c r="Q24000" s="11"/>
      <c r="R24000" s="11"/>
      <c r="S24000" s="11"/>
      <c r="T24000" s="11"/>
    </row>
    <row r="24001" spans="8:20" x14ac:dyDescent="0.35">
      <c r="H24001" s="711"/>
      <c r="I24001" s="711"/>
      <c r="J24001" s="711"/>
      <c r="K24001" s="711"/>
      <c r="L24001" s="711"/>
      <c r="Q24001" s="11"/>
      <c r="R24001" s="11"/>
      <c r="S24001" s="11"/>
      <c r="T24001" s="11"/>
    </row>
    <row r="24002" spans="8:20" x14ac:dyDescent="0.35">
      <c r="H24002" s="711"/>
      <c r="I24002" s="711"/>
      <c r="J24002" s="711"/>
      <c r="K24002" s="711"/>
      <c r="L24002" s="711"/>
      <c r="Q24002" s="11"/>
      <c r="R24002" s="11"/>
      <c r="S24002" s="11"/>
      <c r="T24002" s="11"/>
    </row>
    <row r="24003" spans="8:20" x14ac:dyDescent="0.35">
      <c r="H24003" s="711"/>
      <c r="I24003" s="711"/>
      <c r="J24003" s="711"/>
      <c r="K24003" s="711"/>
      <c r="L24003" s="711"/>
      <c r="Q24003" s="11"/>
      <c r="R24003" s="11"/>
      <c r="S24003" s="11"/>
      <c r="T24003" s="11"/>
    </row>
    <row r="24004" spans="8:20" x14ac:dyDescent="0.35">
      <c r="H24004" s="711"/>
      <c r="I24004" s="711"/>
      <c r="J24004" s="711"/>
      <c r="K24004" s="711"/>
      <c r="L24004" s="711"/>
      <c r="Q24004" s="11"/>
      <c r="R24004" s="11"/>
      <c r="S24004" s="11"/>
      <c r="T24004" s="11"/>
    </row>
    <row r="24005" spans="8:20" x14ac:dyDescent="0.35">
      <c r="H24005" s="711"/>
      <c r="I24005" s="711"/>
      <c r="J24005" s="711"/>
      <c r="K24005" s="711"/>
      <c r="L24005" s="711"/>
      <c r="Q24005" s="11"/>
      <c r="R24005" s="11"/>
      <c r="S24005" s="11"/>
      <c r="T24005" s="11"/>
    </row>
    <row r="24006" spans="8:20" x14ac:dyDescent="0.35">
      <c r="H24006" s="711"/>
      <c r="I24006" s="711"/>
      <c r="J24006" s="711"/>
      <c r="K24006" s="711"/>
      <c r="L24006" s="711"/>
      <c r="Q24006" s="11"/>
      <c r="R24006" s="11"/>
      <c r="S24006" s="11"/>
      <c r="T24006" s="11"/>
    </row>
    <row r="24007" spans="8:20" x14ac:dyDescent="0.35">
      <c r="H24007" s="711"/>
      <c r="I24007" s="711"/>
      <c r="J24007" s="711"/>
      <c r="K24007" s="711"/>
      <c r="L24007" s="711"/>
      <c r="Q24007" s="11"/>
      <c r="R24007" s="11"/>
      <c r="S24007" s="11"/>
      <c r="T24007" s="11"/>
    </row>
    <row r="24008" spans="8:20" x14ac:dyDescent="0.35">
      <c r="H24008" s="711"/>
      <c r="I24008" s="711"/>
      <c r="J24008" s="711"/>
      <c r="K24008" s="711"/>
      <c r="L24008" s="711"/>
      <c r="Q24008" s="11"/>
      <c r="R24008" s="11"/>
      <c r="S24008" s="11"/>
      <c r="T24008" s="11"/>
    </row>
    <row r="24009" spans="8:20" x14ac:dyDescent="0.35">
      <c r="H24009" s="711"/>
      <c r="I24009" s="711"/>
      <c r="J24009" s="711"/>
      <c r="K24009" s="711"/>
      <c r="L24009" s="711"/>
      <c r="Q24009" s="11"/>
      <c r="R24009" s="11"/>
      <c r="S24009" s="11"/>
      <c r="T24009" s="11"/>
    </row>
    <row r="24010" spans="8:20" x14ac:dyDescent="0.35">
      <c r="H24010" s="711"/>
      <c r="I24010" s="711"/>
      <c r="J24010" s="711"/>
      <c r="K24010" s="711"/>
      <c r="L24010" s="711"/>
      <c r="Q24010" s="11"/>
      <c r="R24010" s="11"/>
      <c r="S24010" s="11"/>
      <c r="T24010" s="11"/>
    </row>
    <row r="24011" spans="8:20" x14ac:dyDescent="0.35">
      <c r="H24011" s="711"/>
      <c r="I24011" s="711"/>
      <c r="J24011" s="711"/>
      <c r="K24011" s="711"/>
      <c r="L24011" s="711"/>
      <c r="Q24011" s="11"/>
      <c r="R24011" s="11"/>
      <c r="S24011" s="11"/>
      <c r="T24011" s="11"/>
    </row>
    <row r="24012" spans="8:20" x14ac:dyDescent="0.35">
      <c r="H24012" s="711"/>
      <c r="I24012" s="711"/>
      <c r="J24012" s="711"/>
      <c r="K24012" s="711"/>
      <c r="L24012" s="711"/>
      <c r="Q24012" s="11"/>
      <c r="R24012" s="11"/>
      <c r="S24012" s="11"/>
      <c r="T24012" s="11"/>
    </row>
    <row r="24013" spans="8:20" x14ac:dyDescent="0.35">
      <c r="H24013" s="711"/>
      <c r="I24013" s="711"/>
      <c r="J24013" s="711"/>
      <c r="K24013" s="711"/>
      <c r="L24013" s="711"/>
      <c r="Q24013" s="11"/>
      <c r="R24013" s="11"/>
      <c r="S24013" s="11"/>
      <c r="T24013" s="11"/>
    </row>
    <row r="24014" spans="8:20" x14ac:dyDescent="0.35">
      <c r="H24014" s="711"/>
      <c r="I24014" s="711"/>
      <c r="J24014" s="711"/>
      <c r="K24014" s="711"/>
      <c r="L24014" s="711"/>
      <c r="Q24014" s="11"/>
      <c r="R24014" s="11"/>
      <c r="S24014" s="11"/>
      <c r="T24014" s="11"/>
    </row>
    <row r="24015" spans="8:20" x14ac:dyDescent="0.35">
      <c r="H24015" s="711"/>
      <c r="I24015" s="711"/>
      <c r="J24015" s="711"/>
      <c r="K24015" s="711"/>
      <c r="L24015" s="711"/>
      <c r="Q24015" s="11"/>
      <c r="R24015" s="11"/>
      <c r="S24015" s="11"/>
      <c r="T24015" s="11"/>
    </row>
    <row r="24016" spans="8:20" x14ac:dyDescent="0.35">
      <c r="H24016" s="711"/>
      <c r="I24016" s="711"/>
      <c r="J24016" s="711"/>
      <c r="K24016" s="711"/>
      <c r="L24016" s="711"/>
      <c r="Q24016" s="11"/>
      <c r="R24016" s="11"/>
      <c r="S24016" s="11"/>
      <c r="T24016" s="11"/>
    </row>
    <row r="24017" spans="8:20" x14ac:dyDescent="0.35">
      <c r="H24017" s="711"/>
      <c r="I24017" s="711"/>
      <c r="J24017" s="711"/>
      <c r="K24017" s="711"/>
      <c r="L24017" s="711"/>
      <c r="Q24017" s="11"/>
      <c r="R24017" s="11"/>
      <c r="S24017" s="11"/>
      <c r="T24017" s="11"/>
    </row>
    <row r="24018" spans="8:20" x14ac:dyDescent="0.35">
      <c r="H24018" s="711"/>
      <c r="I24018" s="711"/>
      <c r="J24018" s="711"/>
      <c r="K24018" s="711"/>
      <c r="L24018" s="711"/>
      <c r="Q24018" s="11"/>
      <c r="R24018" s="11"/>
      <c r="S24018" s="11"/>
      <c r="T24018" s="11"/>
    </row>
    <row r="24019" spans="8:20" x14ac:dyDescent="0.35">
      <c r="H24019" s="711"/>
      <c r="I24019" s="711"/>
      <c r="J24019" s="711"/>
      <c r="K24019" s="711"/>
      <c r="L24019" s="711"/>
      <c r="Q24019" s="11"/>
      <c r="R24019" s="11"/>
      <c r="S24019" s="11"/>
      <c r="T24019" s="11"/>
    </row>
    <row r="24020" spans="8:20" x14ac:dyDescent="0.35">
      <c r="H24020" s="711"/>
      <c r="I24020" s="711"/>
      <c r="J24020" s="711"/>
      <c r="K24020" s="711"/>
      <c r="L24020" s="711"/>
      <c r="Q24020" s="11"/>
      <c r="R24020" s="11"/>
      <c r="S24020" s="11"/>
      <c r="T24020" s="11"/>
    </row>
    <row r="24021" spans="8:20" x14ac:dyDescent="0.35">
      <c r="H24021" s="711"/>
      <c r="I24021" s="711"/>
      <c r="J24021" s="711"/>
      <c r="K24021" s="711"/>
      <c r="L24021" s="711"/>
      <c r="Q24021" s="11"/>
      <c r="R24021" s="11"/>
      <c r="S24021" s="11"/>
      <c r="T24021" s="11"/>
    </row>
    <row r="24022" spans="8:20" x14ac:dyDescent="0.35">
      <c r="H24022" s="711"/>
      <c r="I24022" s="711"/>
      <c r="J24022" s="711"/>
      <c r="K24022" s="711"/>
      <c r="L24022" s="711"/>
      <c r="Q24022" s="11"/>
      <c r="R24022" s="11"/>
      <c r="S24022" s="11"/>
      <c r="T24022" s="11"/>
    </row>
    <row r="24023" spans="8:20" x14ac:dyDescent="0.35">
      <c r="H24023" s="711"/>
      <c r="I24023" s="711"/>
      <c r="J24023" s="711"/>
      <c r="K24023" s="711"/>
      <c r="L24023" s="711"/>
      <c r="Q24023" s="11"/>
      <c r="R24023" s="11"/>
      <c r="S24023" s="11"/>
      <c r="T24023" s="11"/>
    </row>
    <row r="24024" spans="8:20" x14ac:dyDescent="0.35">
      <c r="H24024" s="711"/>
      <c r="I24024" s="711"/>
      <c r="J24024" s="711"/>
      <c r="K24024" s="711"/>
      <c r="L24024" s="711"/>
      <c r="Q24024" s="11"/>
      <c r="R24024" s="11"/>
      <c r="S24024" s="11"/>
      <c r="T24024" s="11"/>
    </row>
    <row r="24025" spans="8:20" x14ac:dyDescent="0.35">
      <c r="H24025" s="711"/>
      <c r="I24025" s="711"/>
      <c r="J24025" s="711"/>
      <c r="K24025" s="711"/>
      <c r="L24025" s="711"/>
      <c r="Q24025" s="11"/>
      <c r="R24025" s="11"/>
      <c r="S24025" s="11"/>
      <c r="T24025" s="11"/>
    </row>
    <row r="24026" spans="8:20" x14ac:dyDescent="0.35">
      <c r="H24026" s="711"/>
      <c r="I24026" s="711"/>
      <c r="J24026" s="711"/>
      <c r="K24026" s="711"/>
      <c r="L24026" s="711"/>
      <c r="Q24026" s="11"/>
      <c r="R24026" s="11"/>
      <c r="S24026" s="11"/>
      <c r="T24026" s="11"/>
    </row>
    <row r="24027" spans="8:20" x14ac:dyDescent="0.35">
      <c r="H24027" s="711"/>
      <c r="I24027" s="711"/>
      <c r="J24027" s="711"/>
      <c r="K24027" s="711"/>
      <c r="L24027" s="711"/>
      <c r="Q24027" s="11"/>
      <c r="R24027" s="11"/>
      <c r="S24027" s="11"/>
      <c r="T24027" s="11"/>
    </row>
    <row r="24028" spans="8:20" x14ac:dyDescent="0.35">
      <c r="H24028" s="711"/>
      <c r="I24028" s="711"/>
      <c r="J24028" s="711"/>
      <c r="K24028" s="711"/>
      <c r="L24028" s="711"/>
      <c r="Q24028" s="11"/>
      <c r="R24028" s="11"/>
      <c r="S24028" s="11"/>
      <c r="T24028" s="11"/>
    </row>
    <row r="24029" spans="8:20" x14ac:dyDescent="0.35">
      <c r="H24029" s="711"/>
      <c r="I24029" s="711"/>
      <c r="J24029" s="711"/>
      <c r="K24029" s="711"/>
      <c r="L24029" s="711"/>
      <c r="Q24029" s="11"/>
      <c r="R24029" s="11"/>
      <c r="S24029" s="11"/>
      <c r="T24029" s="11"/>
    </row>
    <row r="24030" spans="8:20" x14ac:dyDescent="0.35">
      <c r="H24030" s="711"/>
      <c r="I24030" s="711"/>
      <c r="J24030" s="711"/>
      <c r="K24030" s="711"/>
      <c r="L24030" s="711"/>
      <c r="Q24030" s="11"/>
      <c r="R24030" s="11"/>
      <c r="S24030" s="11"/>
      <c r="T24030" s="11"/>
    </row>
    <row r="24031" spans="8:20" x14ac:dyDescent="0.35">
      <c r="H24031" s="711"/>
      <c r="I24031" s="711"/>
      <c r="J24031" s="711"/>
      <c r="K24031" s="711"/>
      <c r="L24031" s="711"/>
      <c r="Q24031" s="11"/>
      <c r="R24031" s="11"/>
      <c r="S24031" s="11"/>
      <c r="T24031" s="11"/>
    </row>
    <row r="24032" spans="8:20" x14ac:dyDescent="0.35">
      <c r="H24032" s="711"/>
      <c r="I24032" s="711"/>
      <c r="J24032" s="711"/>
      <c r="K24032" s="711"/>
      <c r="L24032" s="711"/>
      <c r="Q24032" s="11"/>
      <c r="R24032" s="11"/>
      <c r="S24032" s="11"/>
      <c r="T24032" s="11"/>
    </row>
    <row r="24033" spans="8:20" x14ac:dyDescent="0.35">
      <c r="H24033" s="711"/>
      <c r="I24033" s="711"/>
      <c r="J24033" s="711"/>
      <c r="K24033" s="711"/>
      <c r="L24033" s="711"/>
      <c r="Q24033" s="11"/>
      <c r="R24033" s="11"/>
      <c r="S24033" s="11"/>
      <c r="T24033" s="11"/>
    </row>
    <row r="24034" spans="8:20" x14ac:dyDescent="0.35">
      <c r="H24034" s="711"/>
      <c r="I24034" s="711"/>
      <c r="J24034" s="711"/>
      <c r="K24034" s="711"/>
      <c r="L24034" s="711"/>
      <c r="Q24034" s="11"/>
      <c r="R24034" s="11"/>
      <c r="S24034" s="11"/>
      <c r="T24034" s="11"/>
    </row>
    <row r="24035" spans="8:20" x14ac:dyDescent="0.35">
      <c r="H24035" s="711"/>
      <c r="I24035" s="711"/>
      <c r="J24035" s="711"/>
      <c r="K24035" s="711"/>
      <c r="L24035" s="711"/>
      <c r="Q24035" s="11"/>
      <c r="R24035" s="11"/>
      <c r="S24035" s="11"/>
      <c r="T24035" s="11"/>
    </row>
    <row r="24036" spans="8:20" x14ac:dyDescent="0.35">
      <c r="H24036" s="711"/>
      <c r="I24036" s="711"/>
      <c r="J24036" s="711"/>
      <c r="K24036" s="711"/>
      <c r="L24036" s="711"/>
      <c r="Q24036" s="11"/>
      <c r="R24036" s="11"/>
      <c r="S24036" s="11"/>
      <c r="T24036" s="11"/>
    </row>
    <row r="24037" spans="8:20" x14ac:dyDescent="0.35">
      <c r="H24037" s="711"/>
      <c r="I24037" s="711"/>
      <c r="J24037" s="711"/>
      <c r="K24037" s="711"/>
      <c r="L24037" s="711"/>
      <c r="Q24037" s="11"/>
      <c r="R24037" s="11"/>
      <c r="S24037" s="11"/>
      <c r="T24037" s="11"/>
    </row>
    <row r="24038" spans="8:20" x14ac:dyDescent="0.35">
      <c r="H24038" s="711"/>
      <c r="I24038" s="711"/>
      <c r="J24038" s="711"/>
      <c r="K24038" s="711"/>
      <c r="L24038" s="711"/>
      <c r="Q24038" s="11"/>
      <c r="R24038" s="11"/>
      <c r="S24038" s="11"/>
      <c r="T24038" s="11"/>
    </row>
    <row r="24039" spans="8:20" x14ac:dyDescent="0.35">
      <c r="H24039" s="711"/>
      <c r="I24039" s="711"/>
      <c r="J24039" s="711"/>
      <c r="K24039" s="711"/>
      <c r="L24039" s="711"/>
      <c r="Q24039" s="11"/>
      <c r="R24039" s="11"/>
      <c r="S24039" s="11"/>
      <c r="T24039" s="11"/>
    </row>
    <row r="24040" spans="8:20" x14ac:dyDescent="0.35">
      <c r="H24040" s="711"/>
      <c r="I24040" s="711"/>
      <c r="J24040" s="711"/>
      <c r="K24040" s="711"/>
      <c r="L24040" s="711"/>
      <c r="Q24040" s="11"/>
      <c r="R24040" s="11"/>
      <c r="S24040" s="11"/>
      <c r="T24040" s="11"/>
    </row>
    <row r="24041" spans="8:20" x14ac:dyDescent="0.35">
      <c r="H24041" s="711"/>
      <c r="I24041" s="711"/>
      <c r="J24041" s="711"/>
      <c r="K24041" s="711"/>
      <c r="L24041" s="711"/>
      <c r="Q24041" s="11"/>
      <c r="R24041" s="11"/>
      <c r="S24041" s="11"/>
      <c r="T24041" s="11"/>
    </row>
    <row r="24042" spans="8:20" x14ac:dyDescent="0.35">
      <c r="H24042" s="711"/>
      <c r="I24042" s="711"/>
      <c r="J24042" s="711"/>
      <c r="K24042" s="711"/>
      <c r="L24042" s="711"/>
      <c r="Q24042" s="11"/>
      <c r="R24042" s="11"/>
      <c r="S24042" s="11"/>
      <c r="T24042" s="11"/>
    </row>
    <row r="24043" spans="8:20" x14ac:dyDescent="0.35">
      <c r="H24043" s="711"/>
      <c r="I24043" s="711"/>
      <c r="J24043" s="711"/>
      <c r="K24043" s="711"/>
      <c r="L24043" s="711"/>
      <c r="Q24043" s="11"/>
      <c r="R24043" s="11"/>
      <c r="S24043" s="11"/>
      <c r="T24043" s="11"/>
    </row>
    <row r="24044" spans="8:20" x14ac:dyDescent="0.35">
      <c r="H24044" s="711"/>
      <c r="I24044" s="711"/>
      <c r="J24044" s="711"/>
      <c r="K24044" s="711"/>
      <c r="L24044" s="711"/>
      <c r="Q24044" s="11"/>
      <c r="R24044" s="11"/>
      <c r="S24044" s="11"/>
      <c r="T24044" s="11"/>
    </row>
    <row r="24045" spans="8:20" x14ac:dyDescent="0.35">
      <c r="H24045" s="711"/>
      <c r="I24045" s="711"/>
      <c r="J24045" s="711"/>
      <c r="K24045" s="711"/>
      <c r="L24045" s="711"/>
      <c r="Q24045" s="11"/>
      <c r="R24045" s="11"/>
      <c r="S24045" s="11"/>
      <c r="T24045" s="11"/>
    </row>
    <row r="24046" spans="8:20" x14ac:dyDescent="0.35">
      <c r="H24046" s="711"/>
      <c r="I24046" s="711"/>
      <c r="J24046" s="711"/>
      <c r="K24046" s="711"/>
      <c r="L24046" s="711"/>
      <c r="Q24046" s="11"/>
      <c r="R24046" s="11"/>
      <c r="S24046" s="11"/>
      <c r="T24046" s="11"/>
    </row>
    <row r="24047" spans="8:20" x14ac:dyDescent="0.35">
      <c r="H24047" s="711"/>
      <c r="I24047" s="711"/>
      <c r="J24047" s="711"/>
      <c r="K24047" s="711"/>
      <c r="L24047" s="711"/>
      <c r="Q24047" s="11"/>
      <c r="R24047" s="11"/>
      <c r="S24047" s="11"/>
      <c r="T24047" s="11"/>
    </row>
    <row r="24048" spans="8:20" x14ac:dyDescent="0.35">
      <c r="H24048" s="711"/>
      <c r="I24048" s="711"/>
      <c r="J24048" s="711"/>
      <c r="K24048" s="711"/>
      <c r="L24048" s="711"/>
      <c r="Q24048" s="11"/>
      <c r="R24048" s="11"/>
      <c r="S24048" s="11"/>
      <c r="T24048" s="11"/>
    </row>
    <row r="24049" spans="8:20" x14ac:dyDescent="0.35">
      <c r="H24049" s="711"/>
      <c r="I24049" s="711"/>
      <c r="J24049" s="711"/>
      <c r="K24049" s="711"/>
      <c r="L24049" s="711"/>
      <c r="Q24049" s="11"/>
      <c r="R24049" s="11"/>
      <c r="S24049" s="11"/>
      <c r="T24049" s="11"/>
    </row>
    <row r="24050" spans="8:20" x14ac:dyDescent="0.35">
      <c r="H24050" s="711"/>
      <c r="I24050" s="711"/>
      <c r="J24050" s="711"/>
      <c r="K24050" s="711"/>
      <c r="L24050" s="711"/>
      <c r="Q24050" s="11"/>
      <c r="R24050" s="11"/>
      <c r="S24050" s="11"/>
      <c r="T24050" s="11"/>
    </row>
    <row r="24051" spans="8:20" x14ac:dyDescent="0.35">
      <c r="H24051" s="711"/>
      <c r="I24051" s="711"/>
      <c r="J24051" s="711"/>
      <c r="K24051" s="711"/>
      <c r="L24051" s="711"/>
      <c r="Q24051" s="11"/>
      <c r="R24051" s="11"/>
      <c r="S24051" s="11"/>
      <c r="T24051" s="11"/>
    </row>
    <row r="24052" spans="8:20" x14ac:dyDescent="0.35">
      <c r="H24052" s="711"/>
      <c r="I24052" s="711"/>
      <c r="J24052" s="711"/>
      <c r="K24052" s="711"/>
      <c r="L24052" s="711"/>
      <c r="Q24052" s="11"/>
      <c r="R24052" s="11"/>
      <c r="S24052" s="11"/>
      <c r="T24052" s="11"/>
    </row>
    <row r="24053" spans="8:20" x14ac:dyDescent="0.35">
      <c r="H24053" s="711"/>
      <c r="I24053" s="711"/>
      <c r="J24053" s="711"/>
      <c r="K24053" s="711"/>
      <c r="L24053" s="711"/>
      <c r="Q24053" s="11"/>
      <c r="R24053" s="11"/>
      <c r="S24053" s="11"/>
      <c r="T24053" s="11"/>
    </row>
    <row r="24054" spans="8:20" x14ac:dyDescent="0.35">
      <c r="H24054" s="711"/>
      <c r="I24054" s="711"/>
      <c r="J24054" s="711"/>
      <c r="K24054" s="711"/>
      <c r="L24054" s="711"/>
      <c r="Q24054" s="11"/>
      <c r="R24054" s="11"/>
      <c r="S24054" s="11"/>
      <c r="T24054" s="11"/>
    </row>
    <row r="24055" spans="8:20" x14ac:dyDescent="0.35">
      <c r="H24055" s="711"/>
      <c r="I24055" s="711"/>
      <c r="J24055" s="711"/>
      <c r="K24055" s="711"/>
      <c r="L24055" s="711"/>
      <c r="Q24055" s="11"/>
      <c r="R24055" s="11"/>
      <c r="S24055" s="11"/>
      <c r="T24055" s="11"/>
    </row>
    <row r="24056" spans="8:20" x14ac:dyDescent="0.35">
      <c r="H24056" s="711"/>
      <c r="I24056" s="711"/>
      <c r="J24056" s="711"/>
      <c r="K24056" s="711"/>
      <c r="L24056" s="711"/>
      <c r="Q24056" s="11"/>
      <c r="R24056" s="11"/>
      <c r="S24056" s="11"/>
      <c r="T24056" s="11"/>
    </row>
    <row r="24057" spans="8:20" x14ac:dyDescent="0.35">
      <c r="H24057" s="711"/>
      <c r="I24057" s="711"/>
      <c r="J24057" s="711"/>
      <c r="K24057" s="711"/>
      <c r="L24057" s="711"/>
      <c r="Q24057" s="11"/>
      <c r="R24057" s="11"/>
      <c r="S24057" s="11"/>
      <c r="T24057" s="11"/>
    </row>
    <row r="24058" spans="8:20" x14ac:dyDescent="0.35">
      <c r="H24058" s="711"/>
      <c r="I24058" s="711"/>
      <c r="J24058" s="711"/>
      <c r="K24058" s="711"/>
      <c r="L24058" s="711"/>
      <c r="Q24058" s="11"/>
      <c r="R24058" s="11"/>
      <c r="S24058" s="11"/>
      <c r="T24058" s="11"/>
    </row>
    <row r="24059" spans="8:20" x14ac:dyDescent="0.35">
      <c r="H24059" s="711"/>
      <c r="I24059" s="711"/>
      <c r="J24059" s="711"/>
      <c r="K24059" s="711"/>
      <c r="L24059" s="711"/>
      <c r="Q24059" s="11"/>
      <c r="R24059" s="11"/>
      <c r="S24059" s="11"/>
      <c r="T24059" s="11"/>
    </row>
    <row r="24060" spans="8:20" x14ac:dyDescent="0.35">
      <c r="H24060" s="711"/>
      <c r="I24060" s="711"/>
      <c r="J24060" s="711"/>
      <c r="K24060" s="711"/>
      <c r="L24060" s="711"/>
      <c r="Q24060" s="11"/>
      <c r="R24060" s="11"/>
      <c r="S24060" s="11"/>
      <c r="T24060" s="11"/>
    </row>
    <row r="24061" spans="8:20" x14ac:dyDescent="0.35">
      <c r="H24061" s="711"/>
      <c r="I24061" s="711"/>
      <c r="J24061" s="711"/>
      <c r="K24061" s="711"/>
      <c r="L24061" s="711"/>
      <c r="Q24061" s="11"/>
      <c r="R24061" s="11"/>
      <c r="S24061" s="11"/>
      <c r="T24061" s="11"/>
    </row>
    <row r="24062" spans="8:20" x14ac:dyDescent="0.35">
      <c r="H24062" s="711"/>
      <c r="I24062" s="711"/>
      <c r="J24062" s="711"/>
      <c r="K24062" s="711"/>
      <c r="L24062" s="711"/>
      <c r="Q24062" s="11"/>
      <c r="R24062" s="11"/>
      <c r="S24062" s="11"/>
      <c r="T24062" s="11"/>
    </row>
    <row r="24063" spans="8:20" x14ac:dyDescent="0.35">
      <c r="H24063" s="711"/>
      <c r="I24063" s="711"/>
      <c r="J24063" s="711"/>
      <c r="K24063" s="711"/>
      <c r="L24063" s="711"/>
      <c r="Q24063" s="11"/>
      <c r="R24063" s="11"/>
      <c r="S24063" s="11"/>
      <c r="T24063" s="11"/>
    </row>
    <row r="24064" spans="8:20" x14ac:dyDescent="0.35">
      <c r="H24064" s="711"/>
      <c r="I24064" s="711"/>
      <c r="J24064" s="711"/>
      <c r="K24064" s="711"/>
      <c r="L24064" s="711"/>
      <c r="Q24064" s="11"/>
      <c r="R24064" s="11"/>
      <c r="S24064" s="11"/>
      <c r="T24064" s="11"/>
    </row>
    <row r="24065" spans="8:20" x14ac:dyDescent="0.35">
      <c r="H24065" s="711"/>
      <c r="I24065" s="711"/>
      <c r="J24065" s="711"/>
      <c r="K24065" s="711"/>
      <c r="L24065" s="711"/>
      <c r="Q24065" s="11"/>
      <c r="R24065" s="11"/>
      <c r="S24065" s="11"/>
      <c r="T24065" s="11"/>
    </row>
    <row r="24066" spans="8:20" x14ac:dyDescent="0.35">
      <c r="H24066" s="711"/>
      <c r="I24066" s="711"/>
      <c r="J24066" s="711"/>
      <c r="K24066" s="711"/>
      <c r="L24066" s="711"/>
      <c r="Q24066" s="11"/>
      <c r="R24066" s="11"/>
      <c r="S24066" s="11"/>
      <c r="T24066" s="11"/>
    </row>
    <row r="24067" spans="8:20" x14ac:dyDescent="0.35">
      <c r="H24067" s="711"/>
      <c r="I24067" s="711"/>
      <c r="J24067" s="711"/>
      <c r="K24067" s="711"/>
      <c r="L24067" s="711"/>
      <c r="Q24067" s="11"/>
      <c r="R24067" s="11"/>
      <c r="S24067" s="11"/>
      <c r="T24067" s="11"/>
    </row>
    <row r="24068" spans="8:20" x14ac:dyDescent="0.35">
      <c r="H24068" s="711"/>
      <c r="I24068" s="711"/>
      <c r="J24068" s="711"/>
      <c r="K24068" s="711"/>
      <c r="L24068" s="711"/>
      <c r="Q24068" s="11"/>
      <c r="R24068" s="11"/>
      <c r="S24068" s="11"/>
      <c r="T24068" s="11"/>
    </row>
    <row r="24069" spans="8:20" x14ac:dyDescent="0.35">
      <c r="H24069" s="711"/>
      <c r="I24069" s="711"/>
      <c r="J24069" s="711"/>
      <c r="K24069" s="711"/>
      <c r="L24069" s="711"/>
      <c r="Q24069" s="11"/>
      <c r="R24069" s="11"/>
      <c r="S24069" s="11"/>
      <c r="T24069" s="11"/>
    </row>
    <row r="24070" spans="8:20" x14ac:dyDescent="0.35">
      <c r="H24070" s="711"/>
      <c r="I24070" s="711"/>
      <c r="J24070" s="711"/>
      <c r="K24070" s="711"/>
      <c r="L24070" s="711"/>
      <c r="Q24070" s="11"/>
      <c r="R24070" s="11"/>
      <c r="S24070" s="11"/>
      <c r="T24070" s="11"/>
    </row>
    <row r="24071" spans="8:20" x14ac:dyDescent="0.35">
      <c r="H24071" s="711"/>
      <c r="I24071" s="711"/>
      <c r="J24071" s="711"/>
      <c r="K24071" s="711"/>
      <c r="L24071" s="711"/>
      <c r="Q24071" s="11"/>
      <c r="R24071" s="11"/>
      <c r="S24071" s="11"/>
      <c r="T24071" s="11"/>
    </row>
    <row r="24072" spans="8:20" x14ac:dyDescent="0.35">
      <c r="H24072" s="711"/>
      <c r="I24072" s="711"/>
      <c r="J24072" s="711"/>
      <c r="K24072" s="711"/>
      <c r="L24072" s="711"/>
      <c r="Q24072" s="11"/>
      <c r="R24072" s="11"/>
      <c r="S24072" s="11"/>
      <c r="T24072" s="11"/>
    </row>
    <row r="24073" spans="8:20" x14ac:dyDescent="0.35">
      <c r="H24073" s="711"/>
      <c r="I24073" s="711"/>
      <c r="J24073" s="711"/>
      <c r="K24073" s="711"/>
      <c r="L24073" s="711"/>
      <c r="Q24073" s="11"/>
      <c r="R24073" s="11"/>
      <c r="S24073" s="11"/>
      <c r="T24073" s="11"/>
    </row>
    <row r="24074" spans="8:20" x14ac:dyDescent="0.35">
      <c r="H24074" s="711"/>
      <c r="I24074" s="711"/>
      <c r="J24074" s="711"/>
      <c r="K24074" s="711"/>
      <c r="L24074" s="711"/>
      <c r="Q24074" s="11"/>
      <c r="R24074" s="11"/>
      <c r="S24074" s="11"/>
      <c r="T24074" s="11"/>
    </row>
    <row r="24075" spans="8:20" x14ac:dyDescent="0.35">
      <c r="H24075" s="711"/>
      <c r="I24075" s="711"/>
      <c r="J24075" s="711"/>
      <c r="K24075" s="711"/>
      <c r="L24075" s="711"/>
      <c r="Q24075" s="11"/>
      <c r="R24075" s="11"/>
      <c r="S24075" s="11"/>
      <c r="T24075" s="11"/>
    </row>
    <row r="24076" spans="8:20" x14ac:dyDescent="0.35">
      <c r="H24076" s="711"/>
      <c r="I24076" s="711"/>
      <c r="J24076" s="711"/>
      <c r="K24076" s="711"/>
      <c r="L24076" s="711"/>
      <c r="Q24076" s="11"/>
      <c r="R24076" s="11"/>
      <c r="S24076" s="11"/>
      <c r="T24076" s="11"/>
    </row>
    <row r="24077" spans="8:20" x14ac:dyDescent="0.35">
      <c r="H24077" s="711"/>
      <c r="I24077" s="711"/>
      <c r="J24077" s="711"/>
      <c r="K24077" s="711"/>
      <c r="L24077" s="711"/>
      <c r="Q24077" s="11"/>
      <c r="R24077" s="11"/>
      <c r="S24077" s="11"/>
      <c r="T24077" s="11"/>
    </row>
    <row r="24078" spans="8:20" x14ac:dyDescent="0.35">
      <c r="H24078" s="711"/>
      <c r="I24078" s="711"/>
      <c r="J24078" s="711"/>
      <c r="K24078" s="711"/>
      <c r="L24078" s="711"/>
      <c r="Q24078" s="11"/>
      <c r="R24078" s="11"/>
      <c r="S24078" s="11"/>
      <c r="T24078" s="11"/>
    </row>
    <row r="24079" spans="8:20" x14ac:dyDescent="0.35">
      <c r="H24079" s="711"/>
      <c r="I24079" s="711"/>
      <c r="J24079" s="711"/>
      <c r="K24079" s="711"/>
      <c r="L24079" s="711"/>
      <c r="Q24079" s="11"/>
      <c r="R24079" s="11"/>
      <c r="S24079" s="11"/>
      <c r="T24079" s="11"/>
    </row>
    <row r="24080" spans="8:20" x14ac:dyDescent="0.35">
      <c r="H24080" s="711"/>
      <c r="I24080" s="711"/>
      <c r="J24080" s="711"/>
      <c r="K24080" s="711"/>
      <c r="L24080" s="711"/>
      <c r="Q24080" s="11"/>
      <c r="R24080" s="11"/>
      <c r="S24080" s="11"/>
      <c r="T24080" s="11"/>
    </row>
    <row r="24081" spans="8:20" x14ac:dyDescent="0.35">
      <c r="H24081" s="711"/>
      <c r="I24081" s="711"/>
      <c r="J24081" s="711"/>
      <c r="K24081" s="711"/>
      <c r="L24081" s="711"/>
      <c r="Q24081" s="11"/>
      <c r="R24081" s="11"/>
      <c r="S24081" s="11"/>
      <c r="T24081" s="11"/>
    </row>
    <row r="24082" spans="8:20" x14ac:dyDescent="0.35">
      <c r="H24082" s="711"/>
      <c r="I24082" s="711"/>
      <c r="J24082" s="711"/>
      <c r="K24082" s="711"/>
      <c r="L24082" s="711"/>
      <c r="Q24082" s="11"/>
      <c r="R24082" s="11"/>
      <c r="S24082" s="11"/>
      <c r="T24082" s="11"/>
    </row>
    <row r="24083" spans="8:20" x14ac:dyDescent="0.35">
      <c r="H24083" s="711"/>
      <c r="I24083" s="711"/>
      <c r="J24083" s="711"/>
      <c r="K24083" s="711"/>
      <c r="L24083" s="711"/>
      <c r="Q24083" s="11"/>
      <c r="R24083" s="11"/>
      <c r="S24083" s="11"/>
      <c r="T24083" s="11"/>
    </row>
    <row r="24084" spans="8:20" x14ac:dyDescent="0.35">
      <c r="H24084" s="711"/>
      <c r="I24084" s="711"/>
      <c r="J24084" s="711"/>
      <c r="K24084" s="711"/>
      <c r="L24084" s="711"/>
      <c r="Q24084" s="11"/>
      <c r="R24084" s="11"/>
      <c r="S24084" s="11"/>
      <c r="T24084" s="11"/>
    </row>
    <row r="24085" spans="8:20" x14ac:dyDescent="0.35">
      <c r="H24085" s="711"/>
      <c r="I24085" s="711"/>
      <c r="J24085" s="711"/>
      <c r="K24085" s="711"/>
      <c r="L24085" s="711"/>
      <c r="Q24085" s="11"/>
      <c r="R24085" s="11"/>
      <c r="S24085" s="11"/>
      <c r="T24085" s="11"/>
    </row>
    <row r="24086" spans="8:20" x14ac:dyDescent="0.35">
      <c r="H24086" s="711"/>
      <c r="I24086" s="711"/>
      <c r="J24086" s="711"/>
      <c r="K24086" s="711"/>
      <c r="L24086" s="711"/>
      <c r="Q24086" s="11"/>
      <c r="R24086" s="11"/>
      <c r="S24086" s="11"/>
      <c r="T24086" s="11"/>
    </row>
    <row r="24087" spans="8:20" x14ac:dyDescent="0.35">
      <c r="H24087" s="711"/>
      <c r="I24087" s="711"/>
      <c r="J24087" s="711"/>
      <c r="K24087" s="711"/>
      <c r="L24087" s="711"/>
      <c r="Q24087" s="11"/>
      <c r="R24087" s="11"/>
      <c r="S24087" s="11"/>
      <c r="T24087" s="11"/>
    </row>
    <row r="24088" spans="8:20" x14ac:dyDescent="0.35">
      <c r="H24088" s="711"/>
      <c r="I24088" s="711"/>
      <c r="J24088" s="711"/>
      <c r="K24088" s="711"/>
      <c r="L24088" s="711"/>
      <c r="Q24088" s="11"/>
      <c r="R24088" s="11"/>
      <c r="S24088" s="11"/>
      <c r="T24088" s="11"/>
    </row>
    <row r="24089" spans="8:20" x14ac:dyDescent="0.35">
      <c r="H24089" s="711"/>
      <c r="I24089" s="711"/>
      <c r="J24089" s="711"/>
      <c r="K24089" s="711"/>
      <c r="L24089" s="711"/>
      <c r="Q24089" s="11"/>
      <c r="R24089" s="11"/>
      <c r="S24089" s="11"/>
      <c r="T24089" s="11"/>
    </row>
    <row r="24090" spans="8:20" x14ac:dyDescent="0.35">
      <c r="H24090" s="711"/>
      <c r="I24090" s="711"/>
      <c r="J24090" s="711"/>
      <c r="K24090" s="711"/>
      <c r="L24090" s="711"/>
      <c r="Q24090" s="11"/>
      <c r="R24090" s="11"/>
      <c r="S24090" s="11"/>
      <c r="T24090" s="11"/>
    </row>
    <row r="24091" spans="8:20" x14ac:dyDescent="0.35">
      <c r="H24091" s="711"/>
      <c r="I24091" s="711"/>
      <c r="J24091" s="711"/>
      <c r="K24091" s="711"/>
      <c r="L24091" s="711"/>
      <c r="Q24091" s="11"/>
      <c r="R24091" s="11"/>
      <c r="S24091" s="11"/>
      <c r="T24091" s="11"/>
    </row>
    <row r="24092" spans="8:20" x14ac:dyDescent="0.35">
      <c r="H24092" s="711"/>
      <c r="I24092" s="711"/>
      <c r="J24092" s="711"/>
      <c r="K24092" s="711"/>
      <c r="L24092" s="711"/>
      <c r="Q24092" s="11"/>
      <c r="R24092" s="11"/>
      <c r="S24092" s="11"/>
      <c r="T24092" s="11"/>
    </row>
    <row r="24093" spans="8:20" x14ac:dyDescent="0.35">
      <c r="H24093" s="711"/>
      <c r="I24093" s="711"/>
      <c r="J24093" s="711"/>
      <c r="K24093" s="711"/>
      <c r="L24093" s="711"/>
      <c r="Q24093" s="11"/>
      <c r="R24093" s="11"/>
      <c r="S24093" s="11"/>
      <c r="T24093" s="11"/>
    </row>
    <row r="24094" spans="8:20" x14ac:dyDescent="0.35">
      <c r="H24094" s="711"/>
      <c r="I24094" s="711"/>
      <c r="J24094" s="711"/>
      <c r="K24094" s="711"/>
      <c r="L24094" s="711"/>
      <c r="Q24094" s="11"/>
      <c r="R24094" s="11"/>
      <c r="S24094" s="11"/>
      <c r="T24094" s="11"/>
    </row>
    <row r="24095" spans="8:20" x14ac:dyDescent="0.35">
      <c r="H24095" s="711"/>
      <c r="I24095" s="711"/>
      <c r="J24095" s="711"/>
      <c r="K24095" s="711"/>
      <c r="L24095" s="711"/>
      <c r="Q24095" s="11"/>
      <c r="R24095" s="11"/>
      <c r="S24095" s="11"/>
      <c r="T24095" s="11"/>
    </row>
    <row r="24096" spans="8:20" x14ac:dyDescent="0.35">
      <c r="H24096" s="711"/>
      <c r="I24096" s="711"/>
      <c r="J24096" s="711"/>
      <c r="K24096" s="711"/>
      <c r="L24096" s="711"/>
      <c r="Q24096" s="11"/>
      <c r="R24096" s="11"/>
      <c r="S24096" s="11"/>
      <c r="T24096" s="11"/>
    </row>
    <row r="24097" spans="8:20" x14ac:dyDescent="0.35">
      <c r="H24097" s="711"/>
      <c r="I24097" s="711"/>
      <c r="J24097" s="711"/>
      <c r="K24097" s="711"/>
      <c r="L24097" s="711"/>
      <c r="Q24097" s="11"/>
      <c r="R24097" s="11"/>
      <c r="S24097" s="11"/>
      <c r="T24097" s="11"/>
    </row>
    <row r="24098" spans="8:20" x14ac:dyDescent="0.35">
      <c r="H24098" s="711"/>
      <c r="I24098" s="711"/>
      <c r="J24098" s="711"/>
      <c r="K24098" s="711"/>
      <c r="L24098" s="711"/>
      <c r="Q24098" s="11"/>
      <c r="R24098" s="11"/>
      <c r="S24098" s="11"/>
      <c r="T24098" s="11"/>
    </row>
    <row r="24099" spans="8:20" x14ac:dyDescent="0.35">
      <c r="H24099" s="711"/>
      <c r="I24099" s="711"/>
      <c r="J24099" s="711"/>
      <c r="K24099" s="711"/>
      <c r="L24099" s="711"/>
      <c r="Q24099" s="11"/>
      <c r="R24099" s="11"/>
      <c r="S24099" s="11"/>
      <c r="T24099" s="11"/>
    </row>
    <row r="24100" spans="8:20" x14ac:dyDescent="0.35">
      <c r="H24100" s="711"/>
      <c r="I24100" s="711"/>
      <c r="J24100" s="711"/>
      <c r="K24100" s="711"/>
      <c r="L24100" s="711"/>
      <c r="Q24100" s="11"/>
      <c r="R24100" s="11"/>
      <c r="S24100" s="11"/>
      <c r="T24100" s="11"/>
    </row>
    <row r="24101" spans="8:20" x14ac:dyDescent="0.35">
      <c r="H24101" s="711"/>
      <c r="I24101" s="711"/>
      <c r="J24101" s="711"/>
      <c r="K24101" s="711"/>
      <c r="L24101" s="711"/>
      <c r="Q24101" s="11"/>
      <c r="R24101" s="11"/>
      <c r="S24101" s="11"/>
      <c r="T24101" s="11"/>
    </row>
    <row r="24102" spans="8:20" x14ac:dyDescent="0.35">
      <c r="H24102" s="711"/>
      <c r="I24102" s="711"/>
      <c r="J24102" s="711"/>
      <c r="K24102" s="711"/>
      <c r="L24102" s="711"/>
      <c r="Q24102" s="11"/>
      <c r="R24102" s="11"/>
      <c r="S24102" s="11"/>
      <c r="T24102" s="11"/>
    </row>
    <row r="24103" spans="8:20" x14ac:dyDescent="0.35">
      <c r="H24103" s="711"/>
      <c r="I24103" s="711"/>
      <c r="J24103" s="711"/>
      <c r="K24103" s="711"/>
      <c r="L24103" s="711"/>
      <c r="Q24103" s="11"/>
      <c r="R24103" s="11"/>
      <c r="S24103" s="11"/>
      <c r="T24103" s="11"/>
    </row>
    <row r="24104" spans="8:20" x14ac:dyDescent="0.35">
      <c r="H24104" s="711"/>
      <c r="I24104" s="711"/>
      <c r="J24104" s="711"/>
      <c r="K24104" s="711"/>
      <c r="L24104" s="711"/>
      <c r="Q24104" s="11"/>
      <c r="R24104" s="11"/>
      <c r="S24104" s="11"/>
      <c r="T24104" s="11"/>
    </row>
    <row r="24105" spans="8:20" x14ac:dyDescent="0.35">
      <c r="H24105" s="711"/>
      <c r="I24105" s="711"/>
      <c r="J24105" s="711"/>
      <c r="K24105" s="711"/>
      <c r="L24105" s="711"/>
      <c r="Q24105" s="11"/>
      <c r="R24105" s="11"/>
      <c r="S24105" s="11"/>
      <c r="T24105" s="11"/>
    </row>
    <row r="24106" spans="8:20" x14ac:dyDescent="0.35">
      <c r="H24106" s="711"/>
      <c r="I24106" s="711"/>
      <c r="J24106" s="711"/>
      <c r="K24106" s="711"/>
      <c r="L24106" s="711"/>
      <c r="Q24106" s="11"/>
      <c r="R24106" s="11"/>
      <c r="S24106" s="11"/>
      <c r="T24106" s="11"/>
    </row>
    <row r="24107" spans="8:20" x14ac:dyDescent="0.35">
      <c r="H24107" s="711"/>
      <c r="I24107" s="711"/>
      <c r="J24107" s="711"/>
      <c r="K24107" s="711"/>
      <c r="L24107" s="711"/>
      <c r="Q24107" s="11"/>
      <c r="R24107" s="11"/>
      <c r="S24107" s="11"/>
      <c r="T24107" s="11"/>
    </row>
    <row r="24108" spans="8:20" x14ac:dyDescent="0.35">
      <c r="H24108" s="711"/>
      <c r="I24108" s="711"/>
      <c r="J24108" s="711"/>
      <c r="K24108" s="711"/>
      <c r="L24108" s="711"/>
      <c r="Q24108" s="11"/>
      <c r="R24108" s="11"/>
      <c r="S24108" s="11"/>
      <c r="T24108" s="11"/>
    </row>
    <row r="24109" spans="8:20" x14ac:dyDescent="0.35">
      <c r="H24109" s="711"/>
      <c r="I24109" s="711"/>
      <c r="J24109" s="711"/>
      <c r="K24109" s="711"/>
      <c r="L24109" s="711"/>
      <c r="Q24109" s="11"/>
      <c r="R24109" s="11"/>
      <c r="S24109" s="11"/>
      <c r="T24109" s="11"/>
    </row>
    <row r="24110" spans="8:20" x14ac:dyDescent="0.35">
      <c r="H24110" s="711"/>
      <c r="I24110" s="711"/>
      <c r="J24110" s="711"/>
      <c r="K24110" s="711"/>
      <c r="L24110" s="711"/>
      <c r="Q24110" s="11"/>
      <c r="R24110" s="11"/>
      <c r="S24110" s="11"/>
      <c r="T24110" s="11"/>
    </row>
    <row r="24111" spans="8:20" x14ac:dyDescent="0.35">
      <c r="H24111" s="711"/>
      <c r="I24111" s="711"/>
      <c r="J24111" s="711"/>
      <c r="K24111" s="711"/>
      <c r="L24111" s="711"/>
      <c r="Q24111" s="11"/>
      <c r="R24111" s="11"/>
      <c r="S24111" s="11"/>
      <c r="T24111" s="11"/>
    </row>
    <row r="24112" spans="8:20" x14ac:dyDescent="0.35">
      <c r="H24112" s="711"/>
      <c r="I24112" s="711"/>
      <c r="J24112" s="711"/>
      <c r="K24112" s="711"/>
      <c r="L24112" s="711"/>
      <c r="Q24112" s="11"/>
      <c r="R24112" s="11"/>
      <c r="S24112" s="11"/>
      <c r="T24112" s="11"/>
    </row>
    <row r="24113" spans="8:20" x14ac:dyDescent="0.35">
      <c r="H24113" s="711"/>
      <c r="I24113" s="711"/>
      <c r="J24113" s="711"/>
      <c r="K24113" s="711"/>
      <c r="L24113" s="711"/>
      <c r="Q24113" s="11"/>
      <c r="R24113" s="11"/>
      <c r="S24113" s="11"/>
      <c r="T24113" s="11"/>
    </row>
    <row r="24114" spans="8:20" x14ac:dyDescent="0.35">
      <c r="H24114" s="711"/>
      <c r="I24114" s="711"/>
      <c r="J24114" s="711"/>
      <c r="K24114" s="711"/>
      <c r="L24114" s="711"/>
      <c r="Q24114" s="11"/>
      <c r="R24114" s="11"/>
      <c r="S24114" s="11"/>
      <c r="T24114" s="11"/>
    </row>
    <row r="24115" spans="8:20" x14ac:dyDescent="0.35">
      <c r="H24115" s="711"/>
      <c r="I24115" s="711"/>
      <c r="J24115" s="711"/>
      <c r="K24115" s="711"/>
      <c r="L24115" s="711"/>
      <c r="Q24115" s="11"/>
      <c r="R24115" s="11"/>
      <c r="S24115" s="11"/>
      <c r="T24115" s="11"/>
    </row>
    <row r="24116" spans="8:20" x14ac:dyDescent="0.35">
      <c r="H24116" s="711"/>
      <c r="I24116" s="711"/>
      <c r="J24116" s="711"/>
      <c r="K24116" s="711"/>
      <c r="L24116" s="711"/>
      <c r="Q24116" s="11"/>
      <c r="R24116" s="11"/>
      <c r="S24116" s="11"/>
      <c r="T24116" s="11"/>
    </row>
    <row r="24117" spans="8:20" x14ac:dyDescent="0.35">
      <c r="H24117" s="711"/>
      <c r="I24117" s="711"/>
      <c r="J24117" s="711"/>
      <c r="K24117" s="711"/>
      <c r="L24117" s="711"/>
      <c r="Q24117" s="11"/>
      <c r="R24117" s="11"/>
      <c r="S24117" s="11"/>
      <c r="T24117" s="11"/>
    </row>
    <row r="24118" spans="8:20" x14ac:dyDescent="0.35">
      <c r="H24118" s="711"/>
      <c r="I24118" s="711"/>
      <c r="J24118" s="711"/>
      <c r="K24118" s="711"/>
      <c r="L24118" s="711"/>
      <c r="Q24118" s="11"/>
      <c r="R24118" s="11"/>
      <c r="S24118" s="11"/>
      <c r="T24118" s="11"/>
    </row>
    <row r="24119" spans="8:20" x14ac:dyDescent="0.35">
      <c r="H24119" s="711"/>
      <c r="I24119" s="711"/>
      <c r="J24119" s="711"/>
      <c r="K24119" s="711"/>
      <c r="L24119" s="711"/>
      <c r="Q24119" s="11"/>
      <c r="R24119" s="11"/>
      <c r="S24119" s="11"/>
      <c r="T24119" s="11"/>
    </row>
    <row r="24120" spans="8:20" x14ac:dyDescent="0.35">
      <c r="H24120" s="711"/>
      <c r="I24120" s="711"/>
      <c r="J24120" s="711"/>
      <c r="K24120" s="711"/>
      <c r="L24120" s="711"/>
      <c r="Q24120" s="11"/>
      <c r="R24120" s="11"/>
      <c r="S24120" s="11"/>
      <c r="T24120" s="11"/>
    </row>
    <row r="24121" spans="8:20" x14ac:dyDescent="0.35">
      <c r="H24121" s="711"/>
      <c r="I24121" s="711"/>
      <c r="J24121" s="711"/>
      <c r="K24121" s="711"/>
      <c r="L24121" s="711"/>
      <c r="Q24121" s="11"/>
      <c r="R24121" s="11"/>
      <c r="S24121" s="11"/>
      <c r="T24121" s="11"/>
    </row>
    <row r="24122" spans="8:20" x14ac:dyDescent="0.35">
      <c r="H24122" s="711"/>
      <c r="I24122" s="711"/>
      <c r="J24122" s="711"/>
      <c r="K24122" s="711"/>
      <c r="L24122" s="711"/>
      <c r="Q24122" s="11"/>
      <c r="R24122" s="11"/>
      <c r="S24122" s="11"/>
      <c r="T24122" s="11"/>
    </row>
    <row r="24123" spans="8:20" x14ac:dyDescent="0.35">
      <c r="H24123" s="711"/>
      <c r="I24123" s="711"/>
      <c r="J24123" s="711"/>
      <c r="K24123" s="711"/>
      <c r="L24123" s="711"/>
      <c r="Q24123" s="11"/>
      <c r="R24123" s="11"/>
      <c r="S24123" s="11"/>
      <c r="T24123" s="11"/>
    </row>
    <row r="24124" spans="8:20" x14ac:dyDescent="0.35">
      <c r="H24124" s="711"/>
      <c r="I24124" s="711"/>
      <c r="J24124" s="711"/>
      <c r="K24124" s="711"/>
      <c r="L24124" s="711"/>
      <c r="Q24124" s="11"/>
      <c r="R24124" s="11"/>
      <c r="S24124" s="11"/>
      <c r="T24124" s="11"/>
    </row>
    <row r="24125" spans="8:20" x14ac:dyDescent="0.35">
      <c r="H24125" s="711"/>
      <c r="I24125" s="711"/>
      <c r="J24125" s="711"/>
      <c r="K24125" s="711"/>
      <c r="L24125" s="711"/>
      <c r="Q24125" s="11"/>
      <c r="R24125" s="11"/>
      <c r="S24125" s="11"/>
      <c r="T24125" s="11"/>
    </row>
    <row r="24126" spans="8:20" x14ac:dyDescent="0.35">
      <c r="H24126" s="711"/>
      <c r="I24126" s="711"/>
      <c r="J24126" s="711"/>
      <c r="K24126" s="711"/>
      <c r="L24126" s="711"/>
      <c r="Q24126" s="11"/>
      <c r="R24126" s="11"/>
      <c r="S24126" s="11"/>
      <c r="T24126" s="11"/>
    </row>
    <row r="24127" spans="8:20" x14ac:dyDescent="0.35">
      <c r="H24127" s="711"/>
      <c r="I24127" s="711"/>
      <c r="J24127" s="711"/>
      <c r="K24127" s="711"/>
      <c r="L24127" s="711"/>
      <c r="Q24127" s="11"/>
      <c r="R24127" s="11"/>
      <c r="S24127" s="11"/>
      <c r="T24127" s="11"/>
    </row>
    <row r="24128" spans="8:20" x14ac:dyDescent="0.35">
      <c r="H24128" s="711"/>
      <c r="I24128" s="711"/>
      <c r="J24128" s="711"/>
      <c r="K24128" s="711"/>
      <c r="L24128" s="711"/>
      <c r="Q24128" s="11"/>
      <c r="R24128" s="11"/>
      <c r="S24128" s="11"/>
      <c r="T24128" s="11"/>
    </row>
    <row r="24129" spans="8:20" x14ac:dyDescent="0.35">
      <c r="H24129" s="711"/>
      <c r="I24129" s="711"/>
      <c r="J24129" s="711"/>
      <c r="K24129" s="711"/>
      <c r="L24129" s="711"/>
      <c r="Q24129" s="11"/>
      <c r="R24129" s="11"/>
      <c r="S24129" s="11"/>
      <c r="T24129" s="11"/>
    </row>
    <row r="24130" spans="8:20" x14ac:dyDescent="0.35">
      <c r="H24130" s="711"/>
      <c r="I24130" s="711"/>
      <c r="J24130" s="711"/>
      <c r="K24130" s="711"/>
      <c r="L24130" s="711"/>
      <c r="Q24130" s="11"/>
      <c r="R24130" s="11"/>
      <c r="S24130" s="11"/>
      <c r="T24130" s="11"/>
    </row>
    <row r="24131" spans="8:20" x14ac:dyDescent="0.35">
      <c r="H24131" s="711"/>
      <c r="I24131" s="711"/>
      <c r="J24131" s="711"/>
      <c r="K24131" s="711"/>
      <c r="L24131" s="711"/>
      <c r="Q24131" s="11"/>
      <c r="R24131" s="11"/>
      <c r="S24131" s="11"/>
      <c r="T24131" s="11"/>
    </row>
    <row r="24132" spans="8:20" x14ac:dyDescent="0.35">
      <c r="H24132" s="711"/>
      <c r="I24132" s="711"/>
      <c r="J24132" s="711"/>
      <c r="K24132" s="711"/>
      <c r="L24132" s="711"/>
      <c r="Q24132" s="11"/>
      <c r="R24132" s="11"/>
      <c r="S24132" s="11"/>
      <c r="T24132" s="11"/>
    </row>
    <row r="24133" spans="8:20" x14ac:dyDescent="0.35">
      <c r="H24133" s="711"/>
      <c r="I24133" s="711"/>
      <c r="J24133" s="711"/>
      <c r="K24133" s="711"/>
      <c r="L24133" s="711"/>
      <c r="Q24133" s="11"/>
      <c r="R24133" s="11"/>
      <c r="S24133" s="11"/>
      <c r="T24133" s="11"/>
    </row>
    <row r="24134" spans="8:20" x14ac:dyDescent="0.35">
      <c r="H24134" s="711"/>
      <c r="I24134" s="711"/>
      <c r="J24134" s="711"/>
      <c r="K24134" s="711"/>
      <c r="L24134" s="711"/>
      <c r="Q24134" s="11"/>
      <c r="R24134" s="11"/>
      <c r="S24134" s="11"/>
      <c r="T24134" s="11"/>
    </row>
    <row r="24135" spans="8:20" x14ac:dyDescent="0.35">
      <c r="H24135" s="711"/>
      <c r="I24135" s="711"/>
      <c r="J24135" s="711"/>
      <c r="K24135" s="711"/>
      <c r="L24135" s="711"/>
      <c r="Q24135" s="11"/>
      <c r="R24135" s="11"/>
      <c r="S24135" s="11"/>
      <c r="T24135" s="11"/>
    </row>
    <row r="24136" spans="8:20" x14ac:dyDescent="0.35">
      <c r="H24136" s="711"/>
      <c r="I24136" s="711"/>
      <c r="J24136" s="711"/>
      <c r="K24136" s="711"/>
      <c r="L24136" s="711"/>
      <c r="Q24136" s="11"/>
      <c r="R24136" s="11"/>
      <c r="S24136" s="11"/>
      <c r="T24136" s="11"/>
    </row>
    <row r="24137" spans="8:20" x14ac:dyDescent="0.35">
      <c r="H24137" s="711"/>
      <c r="I24137" s="711"/>
      <c r="J24137" s="711"/>
      <c r="K24137" s="711"/>
      <c r="L24137" s="711"/>
      <c r="Q24137" s="11"/>
      <c r="R24137" s="11"/>
      <c r="S24137" s="11"/>
      <c r="T24137" s="11"/>
    </row>
    <row r="24138" spans="8:20" x14ac:dyDescent="0.35">
      <c r="H24138" s="711"/>
      <c r="I24138" s="711"/>
      <c r="J24138" s="711"/>
      <c r="K24138" s="711"/>
      <c r="L24138" s="711"/>
      <c r="Q24138" s="11"/>
      <c r="R24138" s="11"/>
      <c r="S24138" s="11"/>
      <c r="T24138" s="11"/>
    </row>
    <row r="24139" spans="8:20" x14ac:dyDescent="0.35">
      <c r="H24139" s="711"/>
      <c r="I24139" s="711"/>
      <c r="J24139" s="711"/>
      <c r="K24139" s="711"/>
      <c r="L24139" s="711"/>
      <c r="Q24139" s="11"/>
      <c r="R24139" s="11"/>
      <c r="S24139" s="11"/>
      <c r="T24139" s="11"/>
    </row>
    <row r="24140" spans="8:20" x14ac:dyDescent="0.35">
      <c r="H24140" s="711"/>
      <c r="I24140" s="711"/>
      <c r="J24140" s="711"/>
      <c r="K24140" s="711"/>
      <c r="L24140" s="711"/>
      <c r="Q24140" s="11"/>
      <c r="R24140" s="11"/>
      <c r="S24140" s="11"/>
      <c r="T24140" s="11"/>
    </row>
    <row r="24141" spans="8:20" x14ac:dyDescent="0.35">
      <c r="H24141" s="711"/>
      <c r="I24141" s="711"/>
      <c r="J24141" s="711"/>
      <c r="K24141" s="711"/>
      <c r="L24141" s="711"/>
      <c r="Q24141" s="11"/>
      <c r="R24141" s="11"/>
      <c r="S24141" s="11"/>
      <c r="T24141" s="11"/>
    </row>
    <row r="24142" spans="8:20" x14ac:dyDescent="0.35">
      <c r="H24142" s="711"/>
      <c r="I24142" s="711"/>
      <c r="J24142" s="711"/>
      <c r="K24142" s="711"/>
      <c r="L24142" s="711"/>
      <c r="Q24142" s="11"/>
      <c r="R24142" s="11"/>
      <c r="S24142" s="11"/>
      <c r="T24142" s="11"/>
    </row>
    <row r="24143" spans="8:20" x14ac:dyDescent="0.35">
      <c r="H24143" s="711"/>
      <c r="I24143" s="711"/>
      <c r="J24143" s="711"/>
      <c r="K24143" s="711"/>
      <c r="L24143" s="711"/>
      <c r="Q24143" s="11"/>
      <c r="R24143" s="11"/>
      <c r="S24143" s="11"/>
      <c r="T24143" s="11"/>
    </row>
    <row r="24144" spans="8:20" x14ac:dyDescent="0.35">
      <c r="H24144" s="711"/>
      <c r="I24144" s="711"/>
      <c r="J24144" s="711"/>
      <c r="K24144" s="711"/>
      <c r="L24144" s="711"/>
      <c r="Q24144" s="11"/>
      <c r="R24144" s="11"/>
      <c r="S24144" s="11"/>
      <c r="T24144" s="11"/>
    </row>
    <row r="24145" spans="8:20" x14ac:dyDescent="0.35">
      <c r="H24145" s="711"/>
      <c r="I24145" s="711"/>
      <c r="J24145" s="711"/>
      <c r="K24145" s="711"/>
      <c r="L24145" s="711"/>
      <c r="Q24145" s="11"/>
      <c r="R24145" s="11"/>
      <c r="S24145" s="11"/>
      <c r="T24145" s="11"/>
    </row>
    <row r="24146" spans="8:20" x14ac:dyDescent="0.35">
      <c r="H24146" s="711"/>
      <c r="I24146" s="711"/>
      <c r="J24146" s="711"/>
      <c r="K24146" s="711"/>
      <c r="L24146" s="711"/>
      <c r="Q24146" s="11"/>
      <c r="R24146" s="11"/>
      <c r="S24146" s="11"/>
      <c r="T24146" s="11"/>
    </row>
    <row r="24147" spans="8:20" x14ac:dyDescent="0.35">
      <c r="H24147" s="711"/>
      <c r="I24147" s="711"/>
      <c r="J24147" s="711"/>
      <c r="K24147" s="711"/>
      <c r="L24147" s="711"/>
      <c r="Q24147" s="11"/>
      <c r="R24147" s="11"/>
      <c r="S24147" s="11"/>
      <c r="T24147" s="11"/>
    </row>
    <row r="24148" spans="8:20" x14ac:dyDescent="0.35">
      <c r="H24148" s="711"/>
      <c r="I24148" s="711"/>
      <c r="J24148" s="711"/>
      <c r="K24148" s="711"/>
      <c r="L24148" s="711"/>
      <c r="Q24148" s="11"/>
      <c r="R24148" s="11"/>
      <c r="S24148" s="11"/>
      <c r="T24148" s="11"/>
    </row>
    <row r="24149" spans="8:20" x14ac:dyDescent="0.35">
      <c r="H24149" s="711"/>
      <c r="I24149" s="711"/>
      <c r="J24149" s="711"/>
      <c r="K24149" s="711"/>
      <c r="L24149" s="711"/>
      <c r="Q24149" s="11"/>
      <c r="R24149" s="11"/>
      <c r="S24149" s="11"/>
      <c r="T24149" s="11"/>
    </row>
    <row r="24150" spans="8:20" x14ac:dyDescent="0.35">
      <c r="H24150" s="711"/>
      <c r="I24150" s="711"/>
      <c r="J24150" s="711"/>
      <c r="K24150" s="711"/>
      <c r="L24150" s="711"/>
      <c r="Q24150" s="11"/>
      <c r="R24150" s="11"/>
      <c r="S24150" s="11"/>
      <c r="T24150" s="11"/>
    </row>
    <row r="24151" spans="8:20" x14ac:dyDescent="0.35">
      <c r="H24151" s="711"/>
      <c r="I24151" s="711"/>
      <c r="J24151" s="711"/>
      <c r="K24151" s="711"/>
      <c r="L24151" s="711"/>
      <c r="Q24151" s="11"/>
      <c r="R24151" s="11"/>
      <c r="S24151" s="11"/>
      <c r="T24151" s="11"/>
    </row>
    <row r="24152" spans="8:20" x14ac:dyDescent="0.35">
      <c r="H24152" s="711"/>
      <c r="I24152" s="711"/>
      <c r="J24152" s="711"/>
      <c r="K24152" s="711"/>
      <c r="L24152" s="711"/>
      <c r="Q24152" s="11"/>
      <c r="R24152" s="11"/>
      <c r="S24152" s="11"/>
      <c r="T24152" s="11"/>
    </row>
    <row r="24153" spans="8:20" x14ac:dyDescent="0.35">
      <c r="H24153" s="711"/>
      <c r="I24153" s="711"/>
      <c r="J24153" s="711"/>
      <c r="K24153" s="711"/>
      <c r="L24153" s="711"/>
      <c r="Q24153" s="11"/>
      <c r="R24153" s="11"/>
      <c r="S24153" s="11"/>
      <c r="T24153" s="11"/>
    </row>
    <row r="24154" spans="8:20" x14ac:dyDescent="0.35">
      <c r="H24154" s="711"/>
      <c r="I24154" s="711"/>
      <c r="J24154" s="711"/>
      <c r="K24154" s="711"/>
      <c r="L24154" s="711"/>
      <c r="Q24154" s="11"/>
      <c r="R24154" s="11"/>
      <c r="S24154" s="11"/>
      <c r="T24154" s="11"/>
    </row>
    <row r="24155" spans="8:20" x14ac:dyDescent="0.35">
      <c r="H24155" s="711"/>
      <c r="I24155" s="711"/>
      <c r="J24155" s="711"/>
      <c r="K24155" s="711"/>
      <c r="L24155" s="711"/>
      <c r="Q24155" s="11"/>
      <c r="R24155" s="11"/>
      <c r="S24155" s="11"/>
      <c r="T24155" s="11"/>
    </row>
    <row r="24156" spans="8:20" x14ac:dyDescent="0.35">
      <c r="H24156" s="711"/>
      <c r="I24156" s="711"/>
      <c r="J24156" s="711"/>
      <c r="K24156" s="711"/>
      <c r="L24156" s="711"/>
      <c r="Q24156" s="11"/>
      <c r="R24156" s="11"/>
      <c r="S24156" s="11"/>
      <c r="T24156" s="11"/>
    </row>
    <row r="24157" spans="8:20" x14ac:dyDescent="0.35">
      <c r="H24157" s="711"/>
      <c r="I24157" s="711"/>
      <c r="J24157" s="711"/>
      <c r="K24157" s="711"/>
      <c r="L24157" s="711"/>
      <c r="Q24157" s="11"/>
      <c r="R24157" s="11"/>
      <c r="S24157" s="11"/>
      <c r="T24157" s="11"/>
    </row>
    <row r="24158" spans="8:20" x14ac:dyDescent="0.35">
      <c r="H24158" s="711"/>
      <c r="I24158" s="711"/>
      <c r="J24158" s="711"/>
      <c r="K24158" s="711"/>
      <c r="L24158" s="711"/>
      <c r="Q24158" s="11"/>
      <c r="R24158" s="11"/>
      <c r="S24158" s="11"/>
      <c r="T24158" s="11"/>
    </row>
    <row r="24159" spans="8:20" x14ac:dyDescent="0.35">
      <c r="H24159" s="711"/>
      <c r="I24159" s="711"/>
      <c r="J24159" s="711"/>
      <c r="K24159" s="711"/>
      <c r="L24159" s="711"/>
      <c r="Q24159" s="11"/>
      <c r="R24159" s="11"/>
      <c r="S24159" s="11"/>
      <c r="T24159" s="11"/>
    </row>
    <row r="24160" spans="8:20" x14ac:dyDescent="0.35">
      <c r="H24160" s="711"/>
      <c r="I24160" s="711"/>
      <c r="J24160" s="711"/>
      <c r="K24160" s="711"/>
      <c r="L24160" s="711"/>
      <c r="Q24160" s="11"/>
      <c r="R24160" s="11"/>
      <c r="S24160" s="11"/>
      <c r="T24160" s="11"/>
    </row>
    <row r="24161" spans="8:20" x14ac:dyDescent="0.35">
      <c r="H24161" s="711"/>
      <c r="I24161" s="711"/>
      <c r="J24161" s="711"/>
      <c r="K24161" s="711"/>
      <c r="L24161" s="711"/>
      <c r="Q24161" s="11"/>
      <c r="R24161" s="11"/>
      <c r="S24161" s="11"/>
      <c r="T24161" s="11"/>
    </row>
    <row r="24162" spans="8:20" x14ac:dyDescent="0.35">
      <c r="H24162" s="711"/>
      <c r="I24162" s="711"/>
      <c r="J24162" s="711"/>
      <c r="K24162" s="711"/>
      <c r="L24162" s="711"/>
      <c r="Q24162" s="11"/>
      <c r="R24162" s="11"/>
      <c r="S24162" s="11"/>
      <c r="T24162" s="11"/>
    </row>
    <row r="24163" spans="8:20" x14ac:dyDescent="0.35">
      <c r="H24163" s="711"/>
      <c r="I24163" s="711"/>
      <c r="J24163" s="711"/>
      <c r="K24163" s="711"/>
      <c r="L24163" s="711"/>
      <c r="Q24163" s="11"/>
      <c r="R24163" s="11"/>
      <c r="S24163" s="11"/>
      <c r="T24163" s="11"/>
    </row>
    <row r="24164" spans="8:20" x14ac:dyDescent="0.35">
      <c r="H24164" s="711"/>
      <c r="I24164" s="711"/>
      <c r="J24164" s="711"/>
      <c r="K24164" s="711"/>
      <c r="L24164" s="711"/>
      <c r="Q24164" s="11"/>
      <c r="R24164" s="11"/>
      <c r="S24164" s="11"/>
      <c r="T24164" s="11"/>
    </row>
    <row r="24165" spans="8:20" x14ac:dyDescent="0.35">
      <c r="H24165" s="711"/>
      <c r="I24165" s="711"/>
      <c r="J24165" s="711"/>
      <c r="K24165" s="711"/>
      <c r="L24165" s="711"/>
      <c r="Q24165" s="11"/>
      <c r="R24165" s="11"/>
      <c r="S24165" s="11"/>
      <c r="T24165" s="11"/>
    </row>
    <row r="24166" spans="8:20" x14ac:dyDescent="0.35">
      <c r="H24166" s="711"/>
      <c r="I24166" s="711"/>
      <c r="J24166" s="711"/>
      <c r="K24166" s="711"/>
      <c r="L24166" s="711"/>
      <c r="Q24166" s="11"/>
      <c r="R24166" s="11"/>
      <c r="S24166" s="11"/>
      <c r="T24166" s="11"/>
    </row>
    <row r="24167" spans="8:20" x14ac:dyDescent="0.35">
      <c r="H24167" s="711"/>
      <c r="I24167" s="711"/>
      <c r="J24167" s="711"/>
      <c r="K24167" s="711"/>
      <c r="L24167" s="711"/>
      <c r="Q24167" s="11"/>
      <c r="R24167" s="11"/>
      <c r="S24167" s="11"/>
      <c r="T24167" s="11"/>
    </row>
    <row r="24168" spans="8:20" x14ac:dyDescent="0.35">
      <c r="H24168" s="711"/>
      <c r="I24168" s="711"/>
      <c r="J24168" s="711"/>
      <c r="K24168" s="711"/>
      <c r="L24168" s="711"/>
      <c r="Q24168" s="11"/>
      <c r="R24168" s="11"/>
      <c r="S24168" s="11"/>
      <c r="T24168" s="11"/>
    </row>
    <row r="24169" spans="8:20" x14ac:dyDescent="0.35">
      <c r="H24169" s="711"/>
      <c r="I24169" s="711"/>
      <c r="J24169" s="711"/>
      <c r="K24169" s="711"/>
      <c r="L24169" s="711"/>
      <c r="Q24169" s="11"/>
      <c r="R24169" s="11"/>
      <c r="S24169" s="11"/>
      <c r="T24169" s="11"/>
    </row>
    <row r="24170" spans="8:20" x14ac:dyDescent="0.35">
      <c r="H24170" s="711"/>
      <c r="I24170" s="711"/>
      <c r="J24170" s="711"/>
      <c r="K24170" s="711"/>
      <c r="L24170" s="711"/>
      <c r="Q24170" s="11"/>
      <c r="R24170" s="11"/>
      <c r="S24170" s="11"/>
      <c r="T24170" s="11"/>
    </row>
    <row r="24171" spans="8:20" x14ac:dyDescent="0.35">
      <c r="H24171" s="711"/>
      <c r="I24171" s="711"/>
      <c r="J24171" s="711"/>
      <c r="K24171" s="711"/>
      <c r="L24171" s="711"/>
      <c r="Q24171" s="11"/>
      <c r="R24171" s="11"/>
      <c r="S24171" s="11"/>
      <c r="T24171" s="11"/>
    </row>
    <row r="24172" spans="8:20" x14ac:dyDescent="0.35">
      <c r="H24172" s="711"/>
      <c r="I24172" s="711"/>
      <c r="J24172" s="711"/>
      <c r="K24172" s="711"/>
      <c r="L24172" s="711"/>
      <c r="Q24172" s="11"/>
      <c r="R24172" s="11"/>
      <c r="S24172" s="11"/>
      <c r="T24172" s="11"/>
    </row>
    <row r="24173" spans="8:20" x14ac:dyDescent="0.35">
      <c r="H24173" s="711"/>
      <c r="I24173" s="711"/>
      <c r="J24173" s="711"/>
      <c r="K24173" s="711"/>
      <c r="L24173" s="711"/>
      <c r="Q24173" s="11"/>
      <c r="R24173" s="11"/>
      <c r="S24173" s="11"/>
      <c r="T24173" s="11"/>
    </row>
    <row r="24174" spans="8:20" x14ac:dyDescent="0.35">
      <c r="H24174" s="711"/>
      <c r="I24174" s="711"/>
      <c r="J24174" s="711"/>
      <c r="K24174" s="711"/>
      <c r="L24174" s="711"/>
      <c r="Q24174" s="11"/>
      <c r="R24174" s="11"/>
      <c r="S24174" s="11"/>
      <c r="T24174" s="11"/>
    </row>
    <row r="24175" spans="8:20" x14ac:dyDescent="0.35">
      <c r="H24175" s="711"/>
      <c r="I24175" s="711"/>
      <c r="J24175" s="711"/>
      <c r="K24175" s="711"/>
      <c r="L24175" s="711"/>
      <c r="Q24175" s="11"/>
      <c r="R24175" s="11"/>
      <c r="S24175" s="11"/>
      <c r="T24175" s="11"/>
    </row>
    <row r="24176" spans="8:20" x14ac:dyDescent="0.35">
      <c r="H24176" s="711"/>
      <c r="I24176" s="711"/>
      <c r="J24176" s="711"/>
      <c r="K24176" s="711"/>
      <c r="L24176" s="711"/>
      <c r="Q24176" s="11"/>
      <c r="R24176" s="11"/>
      <c r="S24176" s="11"/>
      <c r="T24176" s="11"/>
    </row>
    <row r="24177" spans="8:20" x14ac:dyDescent="0.35">
      <c r="H24177" s="711"/>
      <c r="I24177" s="711"/>
      <c r="J24177" s="711"/>
      <c r="K24177" s="711"/>
      <c r="L24177" s="711"/>
      <c r="Q24177" s="11"/>
      <c r="R24177" s="11"/>
      <c r="S24177" s="11"/>
      <c r="T24177" s="11"/>
    </row>
    <row r="24178" spans="8:20" x14ac:dyDescent="0.35">
      <c r="H24178" s="711"/>
      <c r="I24178" s="711"/>
      <c r="J24178" s="711"/>
      <c r="K24178" s="711"/>
      <c r="L24178" s="711"/>
      <c r="Q24178" s="11"/>
      <c r="R24178" s="11"/>
      <c r="S24178" s="11"/>
      <c r="T24178" s="11"/>
    </row>
    <row r="24179" spans="8:20" x14ac:dyDescent="0.35">
      <c r="H24179" s="711"/>
      <c r="I24179" s="711"/>
      <c r="J24179" s="711"/>
      <c r="K24179" s="711"/>
      <c r="L24179" s="711"/>
      <c r="Q24179" s="11"/>
      <c r="R24179" s="11"/>
      <c r="S24179" s="11"/>
      <c r="T24179" s="11"/>
    </row>
    <row r="24180" spans="8:20" x14ac:dyDescent="0.35">
      <c r="H24180" s="711"/>
      <c r="I24180" s="711"/>
      <c r="J24180" s="711"/>
      <c r="K24180" s="711"/>
      <c r="L24180" s="711"/>
      <c r="Q24180" s="11"/>
      <c r="R24180" s="11"/>
      <c r="S24180" s="11"/>
      <c r="T24180" s="11"/>
    </row>
    <row r="24181" spans="8:20" x14ac:dyDescent="0.35">
      <c r="H24181" s="711"/>
      <c r="I24181" s="711"/>
      <c r="J24181" s="711"/>
      <c r="K24181" s="711"/>
      <c r="L24181" s="711"/>
      <c r="Q24181" s="11"/>
      <c r="R24181" s="11"/>
      <c r="S24181" s="11"/>
      <c r="T24181" s="11"/>
    </row>
    <row r="24182" spans="8:20" x14ac:dyDescent="0.35">
      <c r="H24182" s="711"/>
      <c r="I24182" s="711"/>
      <c r="J24182" s="711"/>
      <c r="K24182" s="711"/>
      <c r="L24182" s="711"/>
      <c r="Q24182" s="11"/>
      <c r="R24182" s="11"/>
      <c r="S24182" s="11"/>
      <c r="T24182" s="11"/>
    </row>
    <row r="24183" spans="8:20" x14ac:dyDescent="0.35">
      <c r="H24183" s="711"/>
      <c r="I24183" s="711"/>
      <c r="J24183" s="711"/>
      <c r="K24183" s="711"/>
      <c r="L24183" s="711"/>
      <c r="Q24183" s="11"/>
      <c r="R24183" s="11"/>
      <c r="S24183" s="11"/>
      <c r="T24183" s="11"/>
    </row>
    <row r="24184" spans="8:20" x14ac:dyDescent="0.35">
      <c r="H24184" s="711"/>
      <c r="I24184" s="711"/>
      <c r="J24184" s="711"/>
      <c r="K24184" s="711"/>
      <c r="L24184" s="711"/>
      <c r="Q24184" s="11"/>
      <c r="R24184" s="11"/>
      <c r="S24184" s="11"/>
      <c r="T24184" s="11"/>
    </row>
    <row r="24185" spans="8:20" x14ac:dyDescent="0.35">
      <c r="H24185" s="711"/>
      <c r="I24185" s="711"/>
      <c r="J24185" s="711"/>
      <c r="K24185" s="711"/>
      <c r="L24185" s="711"/>
      <c r="Q24185" s="11"/>
      <c r="R24185" s="11"/>
      <c r="S24185" s="11"/>
      <c r="T24185" s="11"/>
    </row>
    <row r="24186" spans="8:20" x14ac:dyDescent="0.35">
      <c r="H24186" s="711"/>
      <c r="I24186" s="711"/>
      <c r="J24186" s="711"/>
      <c r="K24186" s="711"/>
      <c r="L24186" s="711"/>
      <c r="Q24186" s="11"/>
      <c r="R24186" s="11"/>
      <c r="S24186" s="11"/>
      <c r="T24186" s="11"/>
    </row>
    <row r="24187" spans="8:20" x14ac:dyDescent="0.35">
      <c r="H24187" s="711"/>
      <c r="I24187" s="711"/>
      <c r="J24187" s="711"/>
      <c r="K24187" s="711"/>
      <c r="L24187" s="711"/>
      <c r="Q24187" s="11"/>
      <c r="R24187" s="11"/>
      <c r="S24187" s="11"/>
      <c r="T24187" s="11"/>
    </row>
    <row r="24188" spans="8:20" x14ac:dyDescent="0.35">
      <c r="H24188" s="711"/>
      <c r="I24188" s="711"/>
      <c r="J24188" s="711"/>
      <c r="K24188" s="711"/>
      <c r="L24188" s="711"/>
      <c r="Q24188" s="11"/>
      <c r="R24188" s="11"/>
      <c r="S24188" s="11"/>
      <c r="T24188" s="11"/>
    </row>
    <row r="24189" spans="8:20" x14ac:dyDescent="0.35">
      <c r="H24189" s="711"/>
      <c r="I24189" s="711"/>
      <c r="J24189" s="711"/>
      <c r="K24189" s="711"/>
      <c r="L24189" s="711"/>
      <c r="Q24189" s="11"/>
      <c r="R24189" s="11"/>
      <c r="S24189" s="11"/>
      <c r="T24189" s="11"/>
    </row>
    <row r="24190" spans="8:20" x14ac:dyDescent="0.35">
      <c r="H24190" s="711"/>
      <c r="I24190" s="711"/>
      <c r="J24190" s="711"/>
      <c r="K24190" s="711"/>
      <c r="L24190" s="711"/>
      <c r="Q24190" s="11"/>
      <c r="R24190" s="11"/>
      <c r="S24190" s="11"/>
      <c r="T24190" s="11"/>
    </row>
    <row r="24191" spans="8:20" x14ac:dyDescent="0.35">
      <c r="H24191" s="711"/>
      <c r="I24191" s="711"/>
      <c r="J24191" s="711"/>
      <c r="K24191" s="711"/>
      <c r="L24191" s="711"/>
      <c r="Q24191" s="11"/>
      <c r="R24191" s="11"/>
      <c r="S24191" s="11"/>
      <c r="T24191" s="11"/>
    </row>
    <row r="24192" spans="8:20" x14ac:dyDescent="0.35">
      <c r="H24192" s="711"/>
      <c r="I24192" s="711"/>
      <c r="J24192" s="711"/>
      <c r="K24192" s="711"/>
      <c r="L24192" s="711"/>
      <c r="Q24192" s="11"/>
      <c r="R24192" s="11"/>
      <c r="S24192" s="11"/>
      <c r="T24192" s="11"/>
    </row>
    <row r="24193" spans="8:20" x14ac:dyDescent="0.35">
      <c r="H24193" s="711"/>
      <c r="I24193" s="711"/>
      <c r="J24193" s="711"/>
      <c r="K24193" s="711"/>
      <c r="L24193" s="711"/>
      <c r="Q24193" s="11"/>
      <c r="R24193" s="11"/>
      <c r="S24193" s="11"/>
      <c r="T24193" s="11"/>
    </row>
    <row r="24194" spans="8:20" x14ac:dyDescent="0.35">
      <c r="H24194" s="711"/>
      <c r="I24194" s="711"/>
      <c r="J24194" s="711"/>
      <c r="K24194" s="711"/>
      <c r="L24194" s="711"/>
      <c r="Q24194" s="11"/>
      <c r="R24194" s="11"/>
      <c r="S24194" s="11"/>
      <c r="T24194" s="11"/>
    </row>
    <row r="24195" spans="8:20" x14ac:dyDescent="0.35">
      <c r="H24195" s="711"/>
      <c r="I24195" s="711"/>
      <c r="J24195" s="711"/>
      <c r="K24195" s="711"/>
      <c r="L24195" s="711"/>
      <c r="Q24195" s="11"/>
      <c r="R24195" s="11"/>
      <c r="S24195" s="11"/>
      <c r="T24195" s="11"/>
    </row>
    <row r="24196" spans="8:20" x14ac:dyDescent="0.35">
      <c r="H24196" s="711"/>
      <c r="I24196" s="711"/>
      <c r="J24196" s="711"/>
      <c r="K24196" s="711"/>
      <c r="L24196" s="711"/>
      <c r="Q24196" s="11"/>
      <c r="R24196" s="11"/>
      <c r="S24196" s="11"/>
      <c r="T24196" s="11"/>
    </row>
    <row r="24197" spans="8:20" x14ac:dyDescent="0.35">
      <c r="H24197" s="711"/>
      <c r="I24197" s="711"/>
      <c r="J24197" s="711"/>
      <c r="K24197" s="711"/>
      <c r="L24197" s="711"/>
      <c r="Q24197" s="11"/>
      <c r="R24197" s="11"/>
      <c r="S24197" s="11"/>
      <c r="T24197" s="11"/>
    </row>
    <row r="24198" spans="8:20" x14ac:dyDescent="0.35">
      <c r="H24198" s="711"/>
      <c r="I24198" s="711"/>
      <c r="J24198" s="711"/>
      <c r="K24198" s="711"/>
      <c r="L24198" s="711"/>
      <c r="Q24198" s="11"/>
      <c r="R24198" s="11"/>
      <c r="S24198" s="11"/>
      <c r="T24198" s="11"/>
    </row>
    <row r="24199" spans="8:20" x14ac:dyDescent="0.35">
      <c r="H24199" s="711"/>
      <c r="I24199" s="711"/>
      <c r="J24199" s="711"/>
      <c r="K24199" s="711"/>
      <c r="L24199" s="711"/>
      <c r="Q24199" s="11"/>
      <c r="R24199" s="11"/>
      <c r="S24199" s="11"/>
      <c r="T24199" s="11"/>
    </row>
    <row r="24200" spans="8:20" x14ac:dyDescent="0.35">
      <c r="H24200" s="711"/>
      <c r="I24200" s="711"/>
      <c r="J24200" s="711"/>
      <c r="K24200" s="711"/>
      <c r="L24200" s="711"/>
      <c r="Q24200" s="11"/>
      <c r="R24200" s="11"/>
      <c r="S24200" s="11"/>
      <c r="T24200" s="11"/>
    </row>
    <row r="24201" spans="8:20" x14ac:dyDescent="0.35">
      <c r="H24201" s="711"/>
      <c r="I24201" s="711"/>
      <c r="J24201" s="711"/>
      <c r="K24201" s="711"/>
      <c r="L24201" s="711"/>
      <c r="Q24201" s="11"/>
      <c r="R24201" s="11"/>
      <c r="S24201" s="11"/>
      <c r="T24201" s="11"/>
    </row>
    <row r="24202" spans="8:20" x14ac:dyDescent="0.35">
      <c r="H24202" s="711"/>
      <c r="I24202" s="711"/>
      <c r="J24202" s="711"/>
      <c r="K24202" s="711"/>
      <c r="L24202" s="711"/>
      <c r="Q24202" s="11"/>
      <c r="R24202" s="11"/>
      <c r="S24202" s="11"/>
      <c r="T24202" s="11"/>
    </row>
    <row r="24203" spans="8:20" x14ac:dyDescent="0.35">
      <c r="H24203" s="711"/>
      <c r="I24203" s="711"/>
      <c r="J24203" s="711"/>
      <c r="K24203" s="711"/>
      <c r="L24203" s="711"/>
      <c r="Q24203" s="11"/>
      <c r="R24203" s="11"/>
      <c r="S24203" s="11"/>
      <c r="T24203" s="11"/>
    </row>
    <row r="24204" spans="8:20" x14ac:dyDescent="0.35">
      <c r="H24204" s="711"/>
      <c r="I24204" s="711"/>
      <c r="J24204" s="711"/>
      <c r="K24204" s="711"/>
      <c r="L24204" s="711"/>
      <c r="Q24204" s="11"/>
      <c r="R24204" s="11"/>
      <c r="S24204" s="11"/>
      <c r="T24204" s="11"/>
    </row>
    <row r="24205" spans="8:20" x14ac:dyDescent="0.35">
      <c r="H24205" s="711"/>
      <c r="I24205" s="711"/>
      <c r="J24205" s="711"/>
      <c r="K24205" s="711"/>
      <c r="L24205" s="711"/>
      <c r="Q24205" s="11"/>
      <c r="R24205" s="11"/>
      <c r="S24205" s="11"/>
      <c r="T24205" s="11"/>
    </row>
    <row r="24206" spans="8:20" x14ac:dyDescent="0.35">
      <c r="H24206" s="711"/>
      <c r="I24206" s="711"/>
      <c r="J24206" s="711"/>
      <c r="K24206" s="711"/>
      <c r="L24206" s="711"/>
      <c r="Q24206" s="11"/>
      <c r="R24206" s="11"/>
      <c r="S24206" s="11"/>
      <c r="T24206" s="11"/>
    </row>
    <row r="24207" spans="8:20" x14ac:dyDescent="0.35">
      <c r="H24207" s="711"/>
      <c r="I24207" s="711"/>
      <c r="J24207" s="711"/>
      <c r="K24207" s="711"/>
      <c r="L24207" s="711"/>
      <c r="Q24207" s="11"/>
      <c r="R24207" s="11"/>
      <c r="S24207" s="11"/>
      <c r="T24207" s="11"/>
    </row>
    <row r="24208" spans="8:20" x14ac:dyDescent="0.35">
      <c r="H24208" s="711"/>
      <c r="I24208" s="711"/>
      <c r="J24208" s="711"/>
      <c r="K24208" s="711"/>
      <c r="L24208" s="711"/>
      <c r="Q24208" s="11"/>
      <c r="R24208" s="11"/>
      <c r="S24208" s="11"/>
      <c r="T24208" s="11"/>
    </row>
    <row r="24209" spans="8:20" x14ac:dyDescent="0.35">
      <c r="H24209" s="711"/>
      <c r="I24209" s="711"/>
      <c r="J24209" s="711"/>
      <c r="K24209" s="711"/>
      <c r="L24209" s="711"/>
      <c r="Q24209" s="11"/>
      <c r="R24209" s="11"/>
      <c r="S24209" s="11"/>
      <c r="T24209" s="11"/>
    </row>
    <row r="24210" spans="8:20" x14ac:dyDescent="0.35">
      <c r="H24210" s="711"/>
      <c r="I24210" s="711"/>
      <c r="J24210" s="711"/>
      <c r="K24210" s="711"/>
      <c r="L24210" s="711"/>
      <c r="Q24210" s="11"/>
      <c r="R24210" s="11"/>
      <c r="S24210" s="11"/>
      <c r="T24210" s="11"/>
    </row>
    <row r="24211" spans="8:20" x14ac:dyDescent="0.35">
      <c r="H24211" s="711"/>
      <c r="I24211" s="711"/>
      <c r="J24211" s="711"/>
      <c r="K24211" s="711"/>
      <c r="L24211" s="711"/>
      <c r="Q24211" s="11"/>
      <c r="R24211" s="11"/>
      <c r="S24211" s="11"/>
      <c r="T24211" s="11"/>
    </row>
    <row r="24212" spans="8:20" x14ac:dyDescent="0.35">
      <c r="H24212" s="711"/>
      <c r="I24212" s="711"/>
      <c r="J24212" s="711"/>
      <c r="K24212" s="711"/>
      <c r="L24212" s="711"/>
      <c r="Q24212" s="11"/>
      <c r="R24212" s="11"/>
      <c r="S24212" s="11"/>
      <c r="T24212" s="11"/>
    </row>
    <row r="24213" spans="8:20" x14ac:dyDescent="0.35">
      <c r="H24213" s="711"/>
      <c r="I24213" s="711"/>
      <c r="J24213" s="711"/>
      <c r="K24213" s="711"/>
      <c r="L24213" s="711"/>
      <c r="Q24213" s="11"/>
      <c r="R24213" s="11"/>
      <c r="S24213" s="11"/>
      <c r="T24213" s="11"/>
    </row>
    <row r="24214" spans="8:20" x14ac:dyDescent="0.35">
      <c r="H24214" s="711"/>
      <c r="I24214" s="711"/>
      <c r="J24214" s="711"/>
      <c r="K24214" s="711"/>
      <c r="L24214" s="711"/>
      <c r="Q24214" s="11"/>
      <c r="R24214" s="11"/>
      <c r="S24214" s="11"/>
      <c r="T24214" s="11"/>
    </row>
    <row r="24215" spans="8:20" x14ac:dyDescent="0.35">
      <c r="H24215" s="711"/>
      <c r="I24215" s="711"/>
      <c r="J24215" s="711"/>
      <c r="K24215" s="711"/>
      <c r="L24215" s="711"/>
      <c r="Q24215" s="11"/>
      <c r="R24215" s="11"/>
      <c r="S24215" s="11"/>
      <c r="T24215" s="11"/>
    </row>
    <row r="24216" spans="8:20" x14ac:dyDescent="0.35">
      <c r="H24216" s="711"/>
      <c r="I24216" s="711"/>
      <c r="J24216" s="711"/>
      <c r="K24216" s="711"/>
      <c r="L24216" s="711"/>
      <c r="Q24216" s="11"/>
      <c r="R24216" s="11"/>
      <c r="S24216" s="11"/>
      <c r="T24216" s="11"/>
    </row>
    <row r="24217" spans="8:20" x14ac:dyDescent="0.35">
      <c r="H24217" s="711"/>
      <c r="I24217" s="711"/>
      <c r="J24217" s="711"/>
      <c r="K24217" s="711"/>
      <c r="L24217" s="711"/>
      <c r="Q24217" s="11"/>
      <c r="R24217" s="11"/>
      <c r="S24217" s="11"/>
      <c r="T24217" s="11"/>
    </row>
    <row r="24218" spans="8:20" x14ac:dyDescent="0.35">
      <c r="H24218" s="711"/>
      <c r="I24218" s="711"/>
      <c r="J24218" s="711"/>
      <c r="K24218" s="711"/>
      <c r="L24218" s="711"/>
      <c r="Q24218" s="11"/>
      <c r="R24218" s="11"/>
      <c r="S24218" s="11"/>
      <c r="T24218" s="11"/>
    </row>
    <row r="24219" spans="8:20" x14ac:dyDescent="0.35">
      <c r="H24219" s="711"/>
      <c r="I24219" s="711"/>
      <c r="J24219" s="711"/>
      <c r="K24219" s="711"/>
      <c r="L24219" s="711"/>
      <c r="Q24219" s="11"/>
      <c r="R24219" s="11"/>
      <c r="S24219" s="11"/>
      <c r="T24219" s="11"/>
    </row>
    <row r="24220" spans="8:20" x14ac:dyDescent="0.35">
      <c r="H24220" s="711"/>
      <c r="I24220" s="711"/>
      <c r="J24220" s="711"/>
      <c r="K24220" s="711"/>
      <c r="L24220" s="711"/>
      <c r="Q24220" s="11"/>
      <c r="R24220" s="11"/>
      <c r="S24220" s="11"/>
      <c r="T24220" s="11"/>
    </row>
    <row r="24221" spans="8:20" x14ac:dyDescent="0.35">
      <c r="H24221" s="711"/>
      <c r="I24221" s="711"/>
      <c r="J24221" s="711"/>
      <c r="K24221" s="711"/>
      <c r="L24221" s="711"/>
      <c r="Q24221" s="11"/>
      <c r="R24221" s="11"/>
      <c r="S24221" s="11"/>
      <c r="T24221" s="11"/>
    </row>
    <row r="24222" spans="8:20" x14ac:dyDescent="0.35">
      <c r="H24222" s="711"/>
      <c r="I24222" s="711"/>
      <c r="J24222" s="711"/>
      <c r="K24222" s="711"/>
      <c r="L24222" s="711"/>
      <c r="Q24222" s="11"/>
      <c r="R24222" s="11"/>
      <c r="S24222" s="11"/>
      <c r="T24222" s="11"/>
    </row>
    <row r="24223" spans="8:20" x14ac:dyDescent="0.35">
      <c r="H24223" s="711"/>
      <c r="I24223" s="711"/>
      <c r="J24223" s="711"/>
      <c r="K24223" s="711"/>
      <c r="L24223" s="711"/>
      <c r="Q24223" s="11"/>
      <c r="R24223" s="11"/>
      <c r="S24223" s="11"/>
      <c r="T24223" s="11"/>
    </row>
    <row r="24224" spans="8:20" x14ac:dyDescent="0.35">
      <c r="H24224" s="711"/>
      <c r="I24224" s="711"/>
      <c r="J24224" s="711"/>
      <c r="K24224" s="711"/>
      <c r="L24224" s="711"/>
      <c r="Q24224" s="11"/>
      <c r="R24224" s="11"/>
      <c r="S24224" s="11"/>
      <c r="T24224" s="11"/>
    </row>
    <row r="24225" spans="8:20" x14ac:dyDescent="0.35">
      <c r="H24225" s="711"/>
      <c r="I24225" s="711"/>
      <c r="J24225" s="711"/>
      <c r="K24225" s="711"/>
      <c r="L24225" s="711"/>
      <c r="Q24225" s="11"/>
      <c r="R24225" s="11"/>
      <c r="S24225" s="11"/>
      <c r="T24225" s="11"/>
    </row>
    <row r="24226" spans="8:20" x14ac:dyDescent="0.35">
      <c r="H24226" s="711"/>
      <c r="I24226" s="711"/>
      <c r="J24226" s="711"/>
      <c r="K24226" s="711"/>
      <c r="L24226" s="711"/>
      <c r="Q24226" s="11"/>
      <c r="R24226" s="11"/>
      <c r="S24226" s="11"/>
      <c r="T24226" s="11"/>
    </row>
    <row r="24227" spans="8:20" x14ac:dyDescent="0.35">
      <c r="H24227" s="711"/>
      <c r="I24227" s="711"/>
      <c r="J24227" s="711"/>
      <c r="K24227" s="711"/>
      <c r="L24227" s="711"/>
      <c r="Q24227" s="11"/>
      <c r="R24227" s="11"/>
      <c r="S24227" s="11"/>
      <c r="T24227" s="11"/>
    </row>
    <row r="24228" spans="8:20" x14ac:dyDescent="0.35">
      <c r="H24228" s="711"/>
      <c r="I24228" s="711"/>
      <c r="J24228" s="711"/>
      <c r="K24228" s="711"/>
      <c r="L24228" s="711"/>
      <c r="Q24228" s="11"/>
      <c r="R24228" s="11"/>
      <c r="S24228" s="11"/>
      <c r="T24228" s="11"/>
    </row>
    <row r="24229" spans="8:20" x14ac:dyDescent="0.35">
      <c r="H24229" s="711"/>
      <c r="I24229" s="711"/>
      <c r="J24229" s="711"/>
      <c r="K24229" s="711"/>
      <c r="L24229" s="711"/>
      <c r="Q24229" s="11"/>
      <c r="R24229" s="11"/>
      <c r="S24229" s="11"/>
      <c r="T24229" s="11"/>
    </row>
    <row r="24230" spans="8:20" x14ac:dyDescent="0.35">
      <c r="H24230" s="711"/>
      <c r="I24230" s="711"/>
      <c r="J24230" s="711"/>
      <c r="K24230" s="711"/>
      <c r="L24230" s="711"/>
      <c r="Q24230" s="11"/>
      <c r="R24230" s="11"/>
      <c r="S24230" s="11"/>
      <c r="T24230" s="11"/>
    </row>
    <row r="24231" spans="8:20" x14ac:dyDescent="0.35">
      <c r="H24231" s="711"/>
      <c r="I24231" s="711"/>
      <c r="J24231" s="711"/>
      <c r="K24231" s="711"/>
      <c r="L24231" s="711"/>
      <c r="Q24231" s="11"/>
      <c r="R24231" s="11"/>
      <c r="S24231" s="11"/>
      <c r="T24231" s="11"/>
    </row>
    <row r="24232" spans="8:20" x14ac:dyDescent="0.35">
      <c r="H24232" s="711"/>
      <c r="I24232" s="711"/>
      <c r="J24232" s="711"/>
      <c r="K24232" s="711"/>
      <c r="L24232" s="711"/>
      <c r="Q24232" s="11"/>
      <c r="R24232" s="11"/>
      <c r="S24232" s="11"/>
      <c r="T24232" s="11"/>
    </row>
    <row r="24233" spans="8:20" x14ac:dyDescent="0.35">
      <c r="H24233" s="711"/>
      <c r="I24233" s="711"/>
      <c r="J24233" s="711"/>
      <c r="K24233" s="711"/>
      <c r="L24233" s="711"/>
      <c r="Q24233" s="11"/>
      <c r="R24233" s="11"/>
      <c r="S24233" s="11"/>
      <c r="T24233" s="11"/>
    </row>
    <row r="24234" spans="8:20" x14ac:dyDescent="0.35">
      <c r="H24234" s="711"/>
      <c r="I24234" s="711"/>
      <c r="J24234" s="711"/>
      <c r="K24234" s="711"/>
      <c r="L24234" s="711"/>
      <c r="Q24234" s="11"/>
      <c r="R24234" s="11"/>
      <c r="S24234" s="11"/>
      <c r="T24234" s="11"/>
    </row>
    <row r="24235" spans="8:20" x14ac:dyDescent="0.35">
      <c r="H24235" s="711"/>
      <c r="I24235" s="711"/>
      <c r="J24235" s="711"/>
      <c r="K24235" s="711"/>
      <c r="L24235" s="711"/>
      <c r="Q24235" s="11"/>
      <c r="R24235" s="11"/>
      <c r="S24235" s="11"/>
      <c r="T24235" s="11"/>
    </row>
    <row r="24236" spans="8:20" x14ac:dyDescent="0.35">
      <c r="H24236" s="711"/>
      <c r="I24236" s="711"/>
      <c r="J24236" s="711"/>
      <c r="K24236" s="711"/>
      <c r="L24236" s="711"/>
      <c r="Q24236" s="11"/>
      <c r="R24236" s="11"/>
      <c r="S24236" s="11"/>
      <c r="T24236" s="11"/>
    </row>
    <row r="24237" spans="8:20" x14ac:dyDescent="0.35">
      <c r="H24237" s="711"/>
      <c r="I24237" s="711"/>
      <c r="J24237" s="711"/>
      <c r="K24237" s="711"/>
      <c r="L24237" s="711"/>
      <c r="Q24237" s="11"/>
      <c r="R24237" s="11"/>
      <c r="S24237" s="11"/>
      <c r="T24237" s="11"/>
    </row>
    <row r="24238" spans="8:20" x14ac:dyDescent="0.35">
      <c r="H24238" s="711"/>
      <c r="I24238" s="711"/>
      <c r="J24238" s="711"/>
      <c r="K24238" s="711"/>
      <c r="L24238" s="711"/>
      <c r="Q24238" s="11"/>
      <c r="R24238" s="11"/>
      <c r="S24238" s="11"/>
      <c r="T24238" s="11"/>
    </row>
    <row r="24239" spans="8:20" x14ac:dyDescent="0.35">
      <c r="H24239" s="711"/>
      <c r="I24239" s="711"/>
      <c r="J24239" s="711"/>
      <c r="K24239" s="711"/>
      <c r="L24239" s="711"/>
      <c r="Q24239" s="11"/>
      <c r="R24239" s="11"/>
      <c r="S24239" s="11"/>
      <c r="T24239" s="11"/>
    </row>
    <row r="24240" spans="8:20" x14ac:dyDescent="0.35">
      <c r="H24240" s="711"/>
      <c r="I24240" s="711"/>
      <c r="J24240" s="711"/>
      <c r="K24240" s="711"/>
      <c r="L24240" s="711"/>
      <c r="Q24240" s="11"/>
      <c r="R24240" s="11"/>
      <c r="S24240" s="11"/>
      <c r="T24240" s="11"/>
    </row>
    <row r="24241" spans="8:20" x14ac:dyDescent="0.35">
      <c r="H24241" s="711"/>
      <c r="I24241" s="711"/>
      <c r="J24241" s="711"/>
      <c r="K24241" s="711"/>
      <c r="L24241" s="711"/>
      <c r="Q24241" s="11"/>
      <c r="R24241" s="11"/>
      <c r="S24241" s="11"/>
      <c r="T24241" s="11"/>
    </row>
    <row r="24242" spans="8:20" x14ac:dyDescent="0.35">
      <c r="H24242" s="711"/>
      <c r="I24242" s="711"/>
      <c r="J24242" s="711"/>
      <c r="K24242" s="711"/>
      <c r="L24242" s="711"/>
      <c r="Q24242" s="11"/>
      <c r="R24242" s="11"/>
      <c r="S24242" s="11"/>
      <c r="T24242" s="11"/>
    </row>
    <row r="24243" spans="8:20" x14ac:dyDescent="0.35">
      <c r="H24243" s="711"/>
      <c r="I24243" s="711"/>
      <c r="J24243" s="711"/>
      <c r="K24243" s="711"/>
      <c r="L24243" s="711"/>
      <c r="Q24243" s="11"/>
      <c r="R24243" s="11"/>
      <c r="S24243" s="11"/>
      <c r="T24243" s="11"/>
    </row>
    <row r="24244" spans="8:20" x14ac:dyDescent="0.35">
      <c r="H24244" s="711"/>
      <c r="I24244" s="711"/>
      <c r="J24244" s="711"/>
      <c r="K24244" s="711"/>
      <c r="L24244" s="711"/>
      <c r="Q24244" s="11"/>
      <c r="R24244" s="11"/>
      <c r="S24244" s="11"/>
      <c r="T24244" s="11"/>
    </row>
    <row r="24245" spans="8:20" x14ac:dyDescent="0.35">
      <c r="H24245" s="711"/>
      <c r="I24245" s="711"/>
      <c r="J24245" s="711"/>
      <c r="K24245" s="711"/>
      <c r="L24245" s="711"/>
      <c r="Q24245" s="11"/>
      <c r="R24245" s="11"/>
      <c r="S24245" s="11"/>
      <c r="T24245" s="11"/>
    </row>
    <row r="24246" spans="8:20" x14ac:dyDescent="0.35">
      <c r="H24246" s="711"/>
      <c r="I24246" s="711"/>
      <c r="J24246" s="711"/>
      <c r="K24246" s="711"/>
      <c r="L24246" s="711"/>
      <c r="Q24246" s="11"/>
      <c r="R24246" s="11"/>
      <c r="S24246" s="11"/>
      <c r="T24246" s="11"/>
    </row>
    <row r="24247" spans="8:20" x14ac:dyDescent="0.35">
      <c r="H24247" s="711"/>
      <c r="I24247" s="711"/>
      <c r="J24247" s="711"/>
      <c r="K24247" s="711"/>
      <c r="L24247" s="711"/>
      <c r="Q24247" s="11"/>
      <c r="R24247" s="11"/>
      <c r="S24247" s="11"/>
      <c r="T24247" s="11"/>
    </row>
    <row r="24248" spans="8:20" x14ac:dyDescent="0.35">
      <c r="H24248" s="711"/>
      <c r="I24248" s="711"/>
      <c r="J24248" s="711"/>
      <c r="K24248" s="711"/>
      <c r="L24248" s="711"/>
      <c r="Q24248" s="11"/>
      <c r="R24248" s="11"/>
      <c r="S24248" s="11"/>
      <c r="T24248" s="11"/>
    </row>
    <row r="24249" spans="8:20" x14ac:dyDescent="0.35">
      <c r="H24249" s="711"/>
      <c r="I24249" s="711"/>
      <c r="J24249" s="711"/>
      <c r="K24249" s="711"/>
      <c r="L24249" s="711"/>
      <c r="Q24249" s="11"/>
      <c r="R24249" s="11"/>
      <c r="S24249" s="11"/>
      <c r="T24249" s="11"/>
    </row>
    <row r="24250" spans="8:20" x14ac:dyDescent="0.35">
      <c r="H24250" s="711"/>
      <c r="I24250" s="711"/>
      <c r="J24250" s="711"/>
      <c r="K24250" s="711"/>
      <c r="L24250" s="711"/>
      <c r="Q24250" s="11"/>
      <c r="R24250" s="11"/>
      <c r="S24250" s="11"/>
      <c r="T24250" s="11"/>
    </row>
    <row r="24251" spans="8:20" x14ac:dyDescent="0.35">
      <c r="H24251" s="711"/>
      <c r="I24251" s="711"/>
      <c r="J24251" s="711"/>
      <c r="K24251" s="711"/>
      <c r="L24251" s="711"/>
      <c r="Q24251" s="11"/>
      <c r="R24251" s="11"/>
      <c r="S24251" s="11"/>
      <c r="T24251" s="11"/>
    </row>
    <row r="24252" spans="8:20" x14ac:dyDescent="0.35">
      <c r="H24252" s="711"/>
      <c r="I24252" s="711"/>
      <c r="J24252" s="711"/>
      <c r="K24252" s="711"/>
      <c r="L24252" s="711"/>
      <c r="Q24252" s="11"/>
      <c r="R24252" s="11"/>
      <c r="S24252" s="11"/>
      <c r="T24252" s="11"/>
    </row>
    <row r="24253" spans="8:20" x14ac:dyDescent="0.35">
      <c r="H24253" s="711"/>
      <c r="I24253" s="711"/>
      <c r="J24253" s="711"/>
      <c r="K24253" s="711"/>
      <c r="L24253" s="711"/>
      <c r="Q24253" s="11"/>
      <c r="R24253" s="11"/>
      <c r="S24253" s="11"/>
      <c r="T24253" s="11"/>
    </row>
    <row r="24254" spans="8:20" x14ac:dyDescent="0.35">
      <c r="H24254" s="711"/>
      <c r="I24254" s="711"/>
      <c r="J24254" s="711"/>
      <c r="K24254" s="711"/>
      <c r="L24254" s="711"/>
      <c r="Q24254" s="11"/>
      <c r="R24254" s="11"/>
      <c r="S24254" s="11"/>
      <c r="T24254" s="11"/>
    </row>
    <row r="24255" spans="8:20" x14ac:dyDescent="0.35">
      <c r="H24255" s="711"/>
      <c r="I24255" s="711"/>
      <c r="J24255" s="711"/>
      <c r="K24255" s="711"/>
      <c r="L24255" s="711"/>
      <c r="Q24255" s="11"/>
      <c r="R24255" s="11"/>
      <c r="S24255" s="11"/>
      <c r="T24255" s="11"/>
    </row>
    <row r="24256" spans="8:20" x14ac:dyDescent="0.35">
      <c r="H24256" s="711"/>
      <c r="I24256" s="711"/>
      <c r="J24256" s="711"/>
      <c r="K24256" s="711"/>
      <c r="L24256" s="711"/>
      <c r="Q24256" s="11"/>
      <c r="R24256" s="11"/>
      <c r="S24256" s="11"/>
      <c r="T24256" s="11"/>
    </row>
    <row r="24257" spans="8:20" x14ac:dyDescent="0.35">
      <c r="H24257" s="711"/>
      <c r="I24257" s="711"/>
      <c r="J24257" s="711"/>
      <c r="K24257" s="711"/>
      <c r="L24257" s="711"/>
      <c r="Q24257" s="11"/>
      <c r="R24257" s="11"/>
      <c r="S24257" s="11"/>
      <c r="T24257" s="11"/>
    </row>
    <row r="24258" spans="8:20" x14ac:dyDescent="0.35">
      <c r="H24258" s="711"/>
      <c r="I24258" s="711"/>
      <c r="J24258" s="711"/>
      <c r="K24258" s="711"/>
      <c r="L24258" s="711"/>
      <c r="Q24258" s="11"/>
      <c r="R24258" s="11"/>
      <c r="S24258" s="11"/>
      <c r="T24258" s="11"/>
    </row>
    <row r="24259" spans="8:20" x14ac:dyDescent="0.35">
      <c r="H24259" s="711"/>
      <c r="I24259" s="711"/>
      <c r="J24259" s="711"/>
      <c r="K24259" s="711"/>
      <c r="L24259" s="711"/>
      <c r="Q24259" s="11"/>
      <c r="R24259" s="11"/>
      <c r="S24259" s="11"/>
      <c r="T24259" s="11"/>
    </row>
    <row r="24260" spans="8:20" x14ac:dyDescent="0.35">
      <c r="H24260" s="711"/>
      <c r="I24260" s="711"/>
      <c r="J24260" s="711"/>
      <c r="K24260" s="711"/>
      <c r="L24260" s="711"/>
      <c r="Q24260" s="11"/>
      <c r="R24260" s="11"/>
      <c r="S24260" s="11"/>
      <c r="T24260" s="11"/>
    </row>
    <row r="24261" spans="8:20" x14ac:dyDescent="0.35">
      <c r="H24261" s="711"/>
      <c r="I24261" s="711"/>
      <c r="J24261" s="711"/>
      <c r="K24261" s="711"/>
      <c r="L24261" s="711"/>
      <c r="Q24261" s="11"/>
      <c r="R24261" s="11"/>
      <c r="S24261" s="11"/>
      <c r="T24261" s="11"/>
    </row>
    <row r="24262" spans="8:20" x14ac:dyDescent="0.35">
      <c r="H24262" s="711"/>
      <c r="I24262" s="711"/>
      <c r="J24262" s="711"/>
      <c r="K24262" s="711"/>
      <c r="L24262" s="711"/>
      <c r="Q24262" s="11"/>
      <c r="R24262" s="11"/>
      <c r="S24262" s="11"/>
      <c r="T24262" s="11"/>
    </row>
    <row r="24263" spans="8:20" x14ac:dyDescent="0.35">
      <c r="H24263" s="711"/>
      <c r="I24263" s="711"/>
      <c r="J24263" s="711"/>
      <c r="K24263" s="711"/>
      <c r="L24263" s="711"/>
      <c r="Q24263" s="11"/>
      <c r="R24263" s="11"/>
      <c r="S24263" s="11"/>
      <c r="T24263" s="11"/>
    </row>
    <row r="24264" spans="8:20" x14ac:dyDescent="0.35">
      <c r="H24264" s="711"/>
      <c r="I24264" s="711"/>
      <c r="J24264" s="711"/>
      <c r="K24264" s="711"/>
      <c r="L24264" s="711"/>
      <c r="Q24264" s="11"/>
      <c r="R24264" s="11"/>
      <c r="S24264" s="11"/>
      <c r="T24264" s="11"/>
    </row>
    <row r="24265" spans="8:20" x14ac:dyDescent="0.35">
      <c r="H24265" s="711"/>
      <c r="I24265" s="711"/>
      <c r="J24265" s="711"/>
      <c r="K24265" s="711"/>
      <c r="L24265" s="711"/>
      <c r="Q24265" s="11"/>
      <c r="R24265" s="11"/>
      <c r="S24265" s="11"/>
      <c r="T24265" s="11"/>
    </row>
    <row r="24266" spans="8:20" x14ac:dyDescent="0.35">
      <c r="H24266" s="711"/>
      <c r="I24266" s="711"/>
      <c r="J24266" s="711"/>
      <c r="K24266" s="711"/>
      <c r="L24266" s="711"/>
      <c r="Q24266" s="11"/>
      <c r="R24266" s="11"/>
      <c r="S24266" s="11"/>
      <c r="T24266" s="11"/>
    </row>
    <row r="24267" spans="8:20" x14ac:dyDescent="0.35">
      <c r="H24267" s="711"/>
      <c r="I24267" s="711"/>
      <c r="J24267" s="711"/>
      <c r="K24267" s="711"/>
      <c r="L24267" s="711"/>
      <c r="Q24267" s="11"/>
      <c r="R24267" s="11"/>
      <c r="S24267" s="11"/>
      <c r="T24267" s="11"/>
    </row>
    <row r="24268" spans="8:20" x14ac:dyDescent="0.35">
      <c r="H24268" s="711"/>
      <c r="I24268" s="711"/>
      <c r="J24268" s="711"/>
      <c r="K24268" s="711"/>
      <c r="L24268" s="711"/>
      <c r="Q24268" s="11"/>
      <c r="R24268" s="11"/>
      <c r="S24268" s="11"/>
      <c r="T24268" s="11"/>
    </row>
    <row r="24269" spans="8:20" x14ac:dyDescent="0.35">
      <c r="H24269" s="711"/>
      <c r="I24269" s="711"/>
      <c r="J24269" s="711"/>
      <c r="K24269" s="711"/>
      <c r="L24269" s="711"/>
      <c r="Q24269" s="11"/>
      <c r="R24269" s="11"/>
      <c r="S24269" s="11"/>
      <c r="T24269" s="11"/>
    </row>
    <row r="24270" spans="8:20" x14ac:dyDescent="0.35">
      <c r="H24270" s="711"/>
      <c r="I24270" s="711"/>
      <c r="J24270" s="711"/>
      <c r="K24270" s="711"/>
      <c r="L24270" s="711"/>
      <c r="Q24270" s="11"/>
      <c r="R24270" s="11"/>
      <c r="S24270" s="11"/>
      <c r="T24270" s="11"/>
    </row>
    <row r="24271" spans="8:20" x14ac:dyDescent="0.35">
      <c r="H24271" s="711"/>
      <c r="I24271" s="711"/>
      <c r="J24271" s="711"/>
      <c r="K24271" s="711"/>
      <c r="L24271" s="711"/>
      <c r="Q24271" s="11"/>
      <c r="R24271" s="11"/>
      <c r="S24271" s="11"/>
      <c r="T24271" s="11"/>
    </row>
    <row r="24272" spans="8:20" x14ac:dyDescent="0.35">
      <c r="H24272" s="711"/>
      <c r="I24272" s="711"/>
      <c r="J24272" s="711"/>
      <c r="K24272" s="711"/>
      <c r="L24272" s="711"/>
      <c r="Q24272" s="11"/>
      <c r="R24272" s="11"/>
      <c r="S24272" s="11"/>
      <c r="T24272" s="11"/>
    </row>
    <row r="24273" spans="8:20" x14ac:dyDescent="0.35">
      <c r="H24273" s="711"/>
      <c r="I24273" s="711"/>
      <c r="J24273" s="711"/>
      <c r="K24273" s="711"/>
      <c r="L24273" s="711"/>
      <c r="Q24273" s="11"/>
      <c r="R24273" s="11"/>
      <c r="S24273" s="11"/>
      <c r="T24273" s="11"/>
    </row>
    <row r="24274" spans="8:20" x14ac:dyDescent="0.35">
      <c r="H24274" s="711"/>
      <c r="I24274" s="711"/>
      <c r="J24274" s="711"/>
      <c r="K24274" s="711"/>
      <c r="L24274" s="711"/>
      <c r="Q24274" s="11"/>
      <c r="R24274" s="11"/>
      <c r="S24274" s="11"/>
      <c r="T24274" s="11"/>
    </row>
    <row r="24275" spans="8:20" x14ac:dyDescent="0.35">
      <c r="H24275" s="711"/>
      <c r="I24275" s="711"/>
      <c r="J24275" s="711"/>
      <c r="K24275" s="711"/>
      <c r="L24275" s="711"/>
      <c r="Q24275" s="11"/>
      <c r="R24275" s="11"/>
      <c r="S24275" s="11"/>
      <c r="T24275" s="11"/>
    </row>
    <row r="24276" spans="8:20" x14ac:dyDescent="0.35">
      <c r="H24276" s="711"/>
      <c r="I24276" s="711"/>
      <c r="J24276" s="711"/>
      <c r="K24276" s="711"/>
      <c r="L24276" s="711"/>
      <c r="Q24276" s="11"/>
      <c r="R24276" s="11"/>
      <c r="S24276" s="11"/>
      <c r="T24276" s="11"/>
    </row>
    <row r="24277" spans="8:20" x14ac:dyDescent="0.35">
      <c r="H24277" s="711"/>
      <c r="I24277" s="711"/>
      <c r="J24277" s="711"/>
      <c r="K24277" s="711"/>
      <c r="L24277" s="711"/>
      <c r="Q24277" s="11"/>
      <c r="R24277" s="11"/>
      <c r="S24277" s="11"/>
      <c r="T24277" s="11"/>
    </row>
    <row r="24278" spans="8:20" x14ac:dyDescent="0.35">
      <c r="H24278" s="711"/>
      <c r="I24278" s="711"/>
      <c r="J24278" s="711"/>
      <c r="K24278" s="711"/>
      <c r="L24278" s="711"/>
      <c r="Q24278" s="11"/>
      <c r="R24278" s="11"/>
      <c r="S24278" s="11"/>
      <c r="T24278" s="11"/>
    </row>
    <row r="24279" spans="8:20" x14ac:dyDescent="0.35">
      <c r="H24279" s="711"/>
      <c r="I24279" s="711"/>
      <c r="J24279" s="711"/>
      <c r="K24279" s="711"/>
      <c r="L24279" s="711"/>
      <c r="Q24279" s="11"/>
      <c r="R24279" s="11"/>
      <c r="S24279" s="11"/>
      <c r="T24279" s="11"/>
    </row>
    <row r="24280" spans="8:20" x14ac:dyDescent="0.35">
      <c r="H24280" s="711"/>
      <c r="I24280" s="711"/>
      <c r="J24280" s="711"/>
      <c r="K24280" s="711"/>
      <c r="L24280" s="711"/>
      <c r="Q24280" s="11"/>
      <c r="R24280" s="11"/>
      <c r="S24280" s="11"/>
      <c r="T24280" s="11"/>
    </row>
    <row r="24281" spans="8:20" x14ac:dyDescent="0.35">
      <c r="H24281" s="711"/>
      <c r="I24281" s="711"/>
      <c r="J24281" s="711"/>
      <c r="K24281" s="711"/>
      <c r="L24281" s="711"/>
      <c r="Q24281" s="11"/>
      <c r="R24281" s="11"/>
      <c r="S24281" s="11"/>
      <c r="T24281" s="11"/>
    </row>
    <row r="24282" spans="8:20" x14ac:dyDescent="0.35">
      <c r="H24282" s="711"/>
      <c r="I24282" s="711"/>
      <c r="J24282" s="711"/>
      <c r="K24282" s="711"/>
      <c r="L24282" s="711"/>
      <c r="Q24282" s="11"/>
      <c r="R24282" s="11"/>
      <c r="S24282" s="11"/>
      <c r="T24282" s="11"/>
    </row>
    <row r="24283" spans="8:20" x14ac:dyDescent="0.35">
      <c r="H24283" s="711"/>
      <c r="I24283" s="711"/>
      <c r="J24283" s="711"/>
      <c r="K24283" s="711"/>
      <c r="L24283" s="711"/>
      <c r="Q24283" s="11"/>
      <c r="R24283" s="11"/>
      <c r="S24283" s="11"/>
      <c r="T24283" s="11"/>
    </row>
    <row r="24284" spans="8:20" x14ac:dyDescent="0.35">
      <c r="H24284" s="711"/>
      <c r="I24284" s="711"/>
      <c r="J24284" s="711"/>
      <c r="K24284" s="711"/>
      <c r="L24284" s="711"/>
      <c r="Q24284" s="11"/>
      <c r="R24284" s="11"/>
      <c r="S24284" s="11"/>
      <c r="T24284" s="11"/>
    </row>
    <row r="24285" spans="8:20" x14ac:dyDescent="0.35">
      <c r="H24285" s="711"/>
      <c r="I24285" s="711"/>
      <c r="J24285" s="711"/>
      <c r="K24285" s="711"/>
      <c r="L24285" s="711"/>
      <c r="Q24285" s="11"/>
      <c r="R24285" s="11"/>
      <c r="S24285" s="11"/>
      <c r="T24285" s="11"/>
    </row>
    <row r="24286" spans="8:20" x14ac:dyDescent="0.35">
      <c r="H24286" s="711"/>
      <c r="I24286" s="711"/>
      <c r="J24286" s="711"/>
      <c r="K24286" s="711"/>
      <c r="L24286" s="711"/>
      <c r="Q24286" s="11"/>
      <c r="R24286" s="11"/>
      <c r="S24286" s="11"/>
      <c r="T24286" s="11"/>
    </row>
    <row r="24287" spans="8:20" x14ac:dyDescent="0.35">
      <c r="H24287" s="711"/>
      <c r="I24287" s="711"/>
      <c r="J24287" s="711"/>
      <c r="K24287" s="711"/>
      <c r="L24287" s="711"/>
      <c r="Q24287" s="11"/>
      <c r="R24287" s="11"/>
      <c r="S24287" s="11"/>
      <c r="T24287" s="11"/>
    </row>
    <row r="24288" spans="8:20" x14ac:dyDescent="0.35">
      <c r="H24288" s="711"/>
      <c r="I24288" s="711"/>
      <c r="J24288" s="711"/>
      <c r="K24288" s="711"/>
      <c r="L24288" s="711"/>
      <c r="Q24288" s="11"/>
      <c r="R24288" s="11"/>
      <c r="S24288" s="11"/>
      <c r="T24288" s="11"/>
    </row>
    <row r="24289" spans="8:20" x14ac:dyDescent="0.35">
      <c r="H24289" s="711"/>
      <c r="I24289" s="711"/>
      <c r="J24289" s="711"/>
      <c r="K24289" s="711"/>
      <c r="L24289" s="711"/>
      <c r="Q24289" s="11"/>
      <c r="R24289" s="11"/>
      <c r="S24289" s="11"/>
      <c r="T24289" s="11"/>
    </row>
    <row r="24290" spans="8:20" x14ac:dyDescent="0.35">
      <c r="H24290" s="711"/>
      <c r="I24290" s="711"/>
      <c r="J24290" s="711"/>
      <c r="K24290" s="711"/>
      <c r="L24290" s="711"/>
      <c r="Q24290" s="11"/>
      <c r="R24290" s="11"/>
      <c r="S24290" s="11"/>
      <c r="T24290" s="11"/>
    </row>
    <row r="24291" spans="8:20" x14ac:dyDescent="0.35">
      <c r="H24291" s="711"/>
      <c r="I24291" s="711"/>
      <c r="J24291" s="711"/>
      <c r="K24291" s="711"/>
      <c r="L24291" s="711"/>
      <c r="Q24291" s="11"/>
      <c r="R24291" s="11"/>
      <c r="S24291" s="11"/>
      <c r="T24291" s="11"/>
    </row>
    <row r="24292" spans="8:20" x14ac:dyDescent="0.35">
      <c r="H24292" s="711"/>
      <c r="I24292" s="711"/>
      <c r="J24292" s="711"/>
      <c r="K24292" s="711"/>
      <c r="L24292" s="711"/>
      <c r="Q24292" s="11"/>
      <c r="R24292" s="11"/>
      <c r="S24292" s="11"/>
      <c r="T24292" s="11"/>
    </row>
    <row r="24293" spans="8:20" x14ac:dyDescent="0.35">
      <c r="H24293" s="711"/>
      <c r="I24293" s="711"/>
      <c r="J24293" s="711"/>
      <c r="K24293" s="711"/>
      <c r="L24293" s="711"/>
      <c r="Q24293" s="11"/>
      <c r="R24293" s="11"/>
      <c r="S24293" s="11"/>
      <c r="T24293" s="11"/>
    </row>
    <row r="24294" spans="8:20" x14ac:dyDescent="0.35">
      <c r="H24294" s="711"/>
      <c r="I24294" s="711"/>
      <c r="J24294" s="711"/>
      <c r="K24294" s="711"/>
      <c r="L24294" s="711"/>
      <c r="Q24294" s="11"/>
      <c r="R24294" s="11"/>
      <c r="S24294" s="11"/>
      <c r="T24294" s="11"/>
    </row>
    <row r="24295" spans="8:20" x14ac:dyDescent="0.35">
      <c r="H24295" s="711"/>
      <c r="I24295" s="711"/>
      <c r="J24295" s="711"/>
      <c r="K24295" s="711"/>
      <c r="L24295" s="711"/>
      <c r="Q24295" s="11"/>
      <c r="R24295" s="11"/>
      <c r="S24295" s="11"/>
      <c r="T24295" s="11"/>
    </row>
    <row r="24296" spans="8:20" x14ac:dyDescent="0.35">
      <c r="H24296" s="711"/>
      <c r="I24296" s="711"/>
      <c r="J24296" s="711"/>
      <c r="K24296" s="711"/>
      <c r="L24296" s="711"/>
      <c r="Q24296" s="11"/>
      <c r="R24296" s="11"/>
      <c r="S24296" s="11"/>
      <c r="T24296" s="11"/>
    </row>
    <row r="24297" spans="8:20" x14ac:dyDescent="0.35">
      <c r="H24297" s="711"/>
      <c r="I24297" s="711"/>
      <c r="J24297" s="711"/>
      <c r="K24297" s="711"/>
      <c r="L24297" s="711"/>
      <c r="Q24297" s="11"/>
      <c r="R24297" s="11"/>
      <c r="S24297" s="11"/>
      <c r="T24297" s="11"/>
    </row>
    <row r="24298" spans="8:20" x14ac:dyDescent="0.35">
      <c r="H24298" s="711"/>
      <c r="I24298" s="711"/>
      <c r="J24298" s="711"/>
      <c r="K24298" s="711"/>
      <c r="L24298" s="711"/>
      <c r="Q24298" s="11"/>
      <c r="R24298" s="11"/>
      <c r="S24298" s="11"/>
      <c r="T24298" s="11"/>
    </row>
    <row r="24299" spans="8:20" x14ac:dyDescent="0.35">
      <c r="H24299" s="711"/>
      <c r="I24299" s="711"/>
      <c r="J24299" s="711"/>
      <c r="K24299" s="711"/>
      <c r="L24299" s="711"/>
      <c r="Q24299" s="11"/>
      <c r="R24299" s="11"/>
      <c r="S24299" s="11"/>
      <c r="T24299" s="11"/>
    </row>
    <row r="24300" spans="8:20" x14ac:dyDescent="0.35">
      <c r="H24300" s="711"/>
      <c r="I24300" s="711"/>
      <c r="J24300" s="711"/>
      <c r="K24300" s="711"/>
      <c r="L24300" s="711"/>
      <c r="Q24300" s="11"/>
      <c r="R24300" s="11"/>
      <c r="S24300" s="11"/>
      <c r="T24300" s="11"/>
    </row>
    <row r="24301" spans="8:20" x14ac:dyDescent="0.35">
      <c r="H24301" s="711"/>
      <c r="I24301" s="711"/>
      <c r="J24301" s="711"/>
      <c r="K24301" s="711"/>
      <c r="L24301" s="711"/>
      <c r="Q24301" s="11"/>
      <c r="R24301" s="11"/>
      <c r="S24301" s="11"/>
      <c r="T24301" s="11"/>
    </row>
    <row r="24302" spans="8:20" x14ac:dyDescent="0.35">
      <c r="H24302" s="711"/>
      <c r="I24302" s="711"/>
      <c r="J24302" s="711"/>
      <c r="K24302" s="711"/>
      <c r="L24302" s="711"/>
      <c r="Q24302" s="11"/>
      <c r="R24302" s="11"/>
      <c r="S24302" s="11"/>
      <c r="T24302" s="11"/>
    </row>
    <row r="24303" spans="8:20" x14ac:dyDescent="0.35">
      <c r="H24303" s="711"/>
      <c r="I24303" s="711"/>
      <c r="J24303" s="711"/>
      <c r="K24303" s="711"/>
      <c r="L24303" s="711"/>
      <c r="Q24303" s="11"/>
      <c r="R24303" s="11"/>
      <c r="S24303" s="11"/>
      <c r="T24303" s="11"/>
    </row>
    <row r="24304" spans="8:20" x14ac:dyDescent="0.35">
      <c r="H24304" s="711"/>
      <c r="I24304" s="711"/>
      <c r="J24304" s="711"/>
      <c r="K24304" s="711"/>
      <c r="L24304" s="711"/>
      <c r="Q24304" s="11"/>
      <c r="R24304" s="11"/>
      <c r="S24304" s="11"/>
      <c r="T24304" s="11"/>
    </row>
    <row r="24305" spans="8:20" x14ac:dyDescent="0.35">
      <c r="H24305" s="711"/>
      <c r="I24305" s="711"/>
      <c r="J24305" s="711"/>
      <c r="K24305" s="711"/>
      <c r="L24305" s="711"/>
      <c r="Q24305" s="11"/>
      <c r="R24305" s="11"/>
      <c r="S24305" s="11"/>
      <c r="T24305" s="11"/>
    </row>
    <row r="24306" spans="8:20" x14ac:dyDescent="0.35">
      <c r="H24306" s="711"/>
      <c r="I24306" s="711"/>
      <c r="J24306" s="711"/>
      <c r="K24306" s="711"/>
      <c r="L24306" s="711"/>
      <c r="Q24306" s="11"/>
      <c r="R24306" s="11"/>
      <c r="S24306" s="11"/>
      <c r="T24306" s="11"/>
    </row>
    <row r="24307" spans="8:20" x14ac:dyDescent="0.35">
      <c r="H24307" s="711"/>
      <c r="I24307" s="711"/>
      <c r="J24307" s="711"/>
      <c r="K24307" s="711"/>
      <c r="L24307" s="711"/>
      <c r="Q24307" s="11"/>
      <c r="R24307" s="11"/>
      <c r="S24307" s="11"/>
      <c r="T24307" s="11"/>
    </row>
    <row r="24308" spans="8:20" x14ac:dyDescent="0.35">
      <c r="H24308" s="711"/>
      <c r="I24308" s="711"/>
      <c r="J24308" s="711"/>
      <c r="K24308" s="711"/>
      <c r="L24308" s="711"/>
      <c r="Q24308" s="11"/>
      <c r="R24308" s="11"/>
      <c r="S24308" s="11"/>
      <c r="T24308" s="11"/>
    </row>
    <row r="24309" spans="8:20" x14ac:dyDescent="0.35">
      <c r="H24309" s="711"/>
      <c r="I24309" s="711"/>
      <c r="J24309" s="711"/>
      <c r="K24309" s="711"/>
      <c r="L24309" s="711"/>
      <c r="Q24309" s="11"/>
      <c r="R24309" s="11"/>
      <c r="S24309" s="11"/>
      <c r="T24309" s="11"/>
    </row>
    <row r="24310" spans="8:20" x14ac:dyDescent="0.35">
      <c r="H24310" s="711"/>
      <c r="I24310" s="711"/>
      <c r="J24310" s="711"/>
      <c r="K24310" s="711"/>
      <c r="L24310" s="711"/>
      <c r="Q24310" s="11"/>
      <c r="R24310" s="11"/>
      <c r="S24310" s="11"/>
      <c r="T24310" s="11"/>
    </row>
    <row r="24311" spans="8:20" x14ac:dyDescent="0.35">
      <c r="H24311" s="711"/>
      <c r="I24311" s="711"/>
      <c r="J24311" s="711"/>
      <c r="K24311" s="711"/>
      <c r="L24311" s="711"/>
      <c r="Q24311" s="11"/>
      <c r="R24311" s="11"/>
      <c r="S24311" s="11"/>
      <c r="T24311" s="11"/>
    </row>
    <row r="24312" spans="8:20" x14ac:dyDescent="0.35">
      <c r="H24312" s="711"/>
      <c r="I24312" s="711"/>
      <c r="J24312" s="711"/>
      <c r="K24312" s="711"/>
      <c r="L24312" s="711"/>
      <c r="Q24312" s="11"/>
      <c r="R24312" s="11"/>
      <c r="S24312" s="11"/>
      <c r="T24312" s="11"/>
    </row>
    <row r="24313" spans="8:20" x14ac:dyDescent="0.35">
      <c r="H24313" s="711"/>
      <c r="I24313" s="711"/>
      <c r="J24313" s="711"/>
      <c r="K24313" s="711"/>
      <c r="L24313" s="711"/>
      <c r="Q24313" s="11"/>
      <c r="R24313" s="11"/>
      <c r="S24313" s="11"/>
      <c r="T24313" s="11"/>
    </row>
    <row r="24314" spans="8:20" x14ac:dyDescent="0.35">
      <c r="H24314" s="711"/>
      <c r="I24314" s="711"/>
      <c r="J24314" s="711"/>
      <c r="K24314" s="711"/>
      <c r="L24314" s="711"/>
      <c r="Q24314" s="11"/>
      <c r="R24314" s="11"/>
      <c r="S24314" s="11"/>
      <c r="T24314" s="11"/>
    </row>
    <row r="24315" spans="8:20" x14ac:dyDescent="0.35">
      <c r="H24315" s="711"/>
      <c r="I24315" s="711"/>
      <c r="J24315" s="711"/>
      <c r="K24315" s="711"/>
      <c r="L24315" s="711"/>
      <c r="Q24315" s="11"/>
      <c r="R24315" s="11"/>
      <c r="S24315" s="11"/>
      <c r="T24315" s="11"/>
    </row>
    <row r="24316" spans="8:20" x14ac:dyDescent="0.35">
      <c r="H24316" s="711"/>
      <c r="I24316" s="711"/>
      <c r="J24316" s="711"/>
      <c r="K24316" s="711"/>
      <c r="L24316" s="711"/>
      <c r="Q24316" s="11"/>
      <c r="R24316" s="11"/>
      <c r="S24316" s="11"/>
      <c r="T24316" s="11"/>
    </row>
    <row r="24317" spans="8:20" x14ac:dyDescent="0.35">
      <c r="H24317" s="711"/>
      <c r="I24317" s="711"/>
      <c r="J24317" s="711"/>
      <c r="K24317" s="711"/>
      <c r="L24317" s="711"/>
      <c r="Q24317" s="11"/>
      <c r="R24317" s="11"/>
      <c r="S24317" s="11"/>
      <c r="T24317" s="11"/>
    </row>
    <row r="24318" spans="8:20" x14ac:dyDescent="0.35">
      <c r="H24318" s="711"/>
      <c r="I24318" s="711"/>
      <c r="J24318" s="711"/>
      <c r="K24318" s="711"/>
      <c r="L24318" s="711"/>
      <c r="Q24318" s="11"/>
      <c r="R24318" s="11"/>
      <c r="S24318" s="11"/>
      <c r="T24318" s="11"/>
    </row>
    <row r="24319" spans="8:20" x14ac:dyDescent="0.35">
      <c r="H24319" s="711"/>
      <c r="I24319" s="711"/>
      <c r="J24319" s="711"/>
      <c r="K24319" s="711"/>
      <c r="L24319" s="711"/>
      <c r="Q24319" s="11"/>
      <c r="R24319" s="11"/>
      <c r="S24319" s="11"/>
      <c r="T24319" s="11"/>
    </row>
    <row r="24320" spans="8:20" x14ac:dyDescent="0.35">
      <c r="H24320" s="711"/>
      <c r="I24320" s="711"/>
      <c r="J24320" s="711"/>
      <c r="K24320" s="711"/>
      <c r="L24320" s="711"/>
      <c r="Q24320" s="11"/>
      <c r="R24320" s="11"/>
      <c r="S24320" s="11"/>
      <c r="T24320" s="11"/>
    </row>
    <row r="24321" spans="8:20" x14ac:dyDescent="0.35">
      <c r="H24321" s="711"/>
      <c r="I24321" s="711"/>
      <c r="J24321" s="711"/>
      <c r="K24321" s="711"/>
      <c r="L24321" s="711"/>
      <c r="Q24321" s="11"/>
      <c r="R24321" s="11"/>
      <c r="S24321" s="11"/>
      <c r="T24321" s="11"/>
    </row>
    <row r="24322" spans="8:20" x14ac:dyDescent="0.35">
      <c r="H24322" s="711"/>
      <c r="I24322" s="711"/>
      <c r="J24322" s="711"/>
      <c r="K24322" s="711"/>
      <c r="L24322" s="711"/>
      <c r="Q24322" s="11"/>
      <c r="R24322" s="11"/>
      <c r="S24322" s="11"/>
      <c r="T24322" s="11"/>
    </row>
    <row r="24323" spans="8:20" x14ac:dyDescent="0.35">
      <c r="H24323" s="711"/>
      <c r="I24323" s="711"/>
      <c r="J24323" s="711"/>
      <c r="K24323" s="711"/>
      <c r="L24323" s="711"/>
      <c r="Q24323" s="11"/>
      <c r="R24323" s="11"/>
      <c r="S24323" s="11"/>
      <c r="T24323" s="11"/>
    </row>
    <row r="24324" spans="8:20" x14ac:dyDescent="0.35">
      <c r="H24324" s="711"/>
      <c r="I24324" s="711"/>
      <c r="J24324" s="711"/>
      <c r="K24324" s="711"/>
      <c r="L24324" s="711"/>
      <c r="Q24324" s="11"/>
      <c r="R24324" s="11"/>
      <c r="S24324" s="11"/>
      <c r="T24324" s="11"/>
    </row>
    <row r="24325" spans="8:20" x14ac:dyDescent="0.35">
      <c r="H24325" s="711"/>
      <c r="I24325" s="711"/>
      <c r="J24325" s="711"/>
      <c r="K24325" s="711"/>
      <c r="L24325" s="711"/>
      <c r="Q24325" s="11"/>
      <c r="R24325" s="11"/>
      <c r="S24325" s="11"/>
      <c r="T24325" s="11"/>
    </row>
    <row r="24326" spans="8:20" x14ac:dyDescent="0.35">
      <c r="H24326" s="711"/>
      <c r="I24326" s="711"/>
      <c r="J24326" s="711"/>
      <c r="K24326" s="711"/>
      <c r="L24326" s="711"/>
      <c r="Q24326" s="11"/>
      <c r="R24326" s="11"/>
      <c r="S24326" s="11"/>
      <c r="T24326" s="11"/>
    </row>
    <row r="24327" spans="8:20" x14ac:dyDescent="0.35">
      <c r="H24327" s="711"/>
      <c r="I24327" s="711"/>
      <c r="J24327" s="711"/>
      <c r="K24327" s="711"/>
      <c r="L24327" s="711"/>
      <c r="Q24327" s="11"/>
      <c r="R24327" s="11"/>
      <c r="S24327" s="11"/>
      <c r="T24327" s="11"/>
    </row>
    <row r="24328" spans="8:20" x14ac:dyDescent="0.35">
      <c r="H24328" s="711"/>
      <c r="I24328" s="711"/>
      <c r="J24328" s="711"/>
      <c r="K24328" s="711"/>
      <c r="L24328" s="711"/>
      <c r="Q24328" s="11"/>
      <c r="R24328" s="11"/>
      <c r="S24328" s="11"/>
      <c r="T24328" s="11"/>
    </row>
    <row r="24329" spans="8:20" x14ac:dyDescent="0.35">
      <c r="H24329" s="711"/>
      <c r="I24329" s="711"/>
      <c r="J24329" s="711"/>
      <c r="K24329" s="711"/>
      <c r="L24329" s="711"/>
      <c r="Q24329" s="11"/>
      <c r="R24329" s="11"/>
      <c r="S24329" s="11"/>
      <c r="T24329" s="11"/>
    </row>
    <row r="24330" spans="8:20" x14ac:dyDescent="0.35">
      <c r="H24330" s="711"/>
      <c r="I24330" s="711"/>
      <c r="J24330" s="711"/>
      <c r="K24330" s="711"/>
      <c r="L24330" s="711"/>
      <c r="Q24330" s="11"/>
      <c r="R24330" s="11"/>
      <c r="S24330" s="11"/>
      <c r="T24330" s="11"/>
    </row>
    <row r="24331" spans="8:20" x14ac:dyDescent="0.35">
      <c r="H24331" s="711"/>
      <c r="I24331" s="711"/>
      <c r="J24331" s="711"/>
      <c r="K24331" s="711"/>
      <c r="L24331" s="711"/>
      <c r="Q24331" s="11"/>
      <c r="R24331" s="11"/>
      <c r="S24331" s="11"/>
      <c r="T24331" s="11"/>
    </row>
    <row r="24332" spans="8:20" x14ac:dyDescent="0.35">
      <c r="H24332" s="711"/>
      <c r="I24332" s="711"/>
      <c r="J24332" s="711"/>
      <c r="K24332" s="711"/>
      <c r="L24332" s="711"/>
      <c r="Q24332" s="11"/>
      <c r="R24332" s="11"/>
      <c r="S24332" s="11"/>
      <c r="T24332" s="11"/>
    </row>
    <row r="24333" spans="8:20" x14ac:dyDescent="0.35">
      <c r="H24333" s="711"/>
      <c r="I24333" s="711"/>
      <c r="J24333" s="711"/>
      <c r="K24333" s="711"/>
      <c r="L24333" s="711"/>
      <c r="Q24333" s="11"/>
      <c r="R24333" s="11"/>
      <c r="S24333" s="11"/>
      <c r="T24333" s="11"/>
    </row>
    <row r="24334" spans="8:20" x14ac:dyDescent="0.35">
      <c r="H24334" s="711"/>
      <c r="I24334" s="711"/>
      <c r="J24334" s="711"/>
      <c r="K24334" s="711"/>
      <c r="L24334" s="711"/>
      <c r="Q24334" s="11"/>
      <c r="R24334" s="11"/>
      <c r="S24334" s="11"/>
      <c r="T24334" s="11"/>
    </row>
    <row r="24335" spans="8:20" x14ac:dyDescent="0.35">
      <c r="H24335" s="711"/>
      <c r="I24335" s="711"/>
      <c r="J24335" s="711"/>
      <c r="K24335" s="711"/>
      <c r="L24335" s="711"/>
      <c r="Q24335" s="11"/>
      <c r="R24335" s="11"/>
      <c r="S24335" s="11"/>
      <c r="T24335" s="11"/>
    </row>
    <row r="24336" spans="8:20" x14ac:dyDescent="0.35">
      <c r="H24336" s="711"/>
      <c r="I24336" s="711"/>
      <c r="J24336" s="711"/>
      <c r="K24336" s="711"/>
      <c r="L24336" s="711"/>
      <c r="Q24336" s="11"/>
      <c r="R24336" s="11"/>
      <c r="S24336" s="11"/>
      <c r="T24336" s="11"/>
    </row>
    <row r="24337" spans="8:20" x14ac:dyDescent="0.35">
      <c r="H24337" s="711"/>
      <c r="I24337" s="711"/>
      <c r="J24337" s="711"/>
      <c r="K24337" s="711"/>
      <c r="L24337" s="711"/>
      <c r="Q24337" s="11"/>
      <c r="R24337" s="11"/>
      <c r="S24337" s="11"/>
      <c r="T24337" s="11"/>
    </row>
    <row r="24338" spans="8:20" x14ac:dyDescent="0.35">
      <c r="H24338" s="711"/>
      <c r="I24338" s="711"/>
      <c r="J24338" s="711"/>
      <c r="K24338" s="711"/>
      <c r="L24338" s="711"/>
      <c r="Q24338" s="11"/>
      <c r="R24338" s="11"/>
      <c r="S24338" s="11"/>
      <c r="T24338" s="11"/>
    </row>
    <row r="24339" spans="8:20" x14ac:dyDescent="0.35">
      <c r="H24339" s="711"/>
      <c r="I24339" s="711"/>
      <c r="J24339" s="711"/>
      <c r="K24339" s="711"/>
      <c r="L24339" s="711"/>
      <c r="Q24339" s="11"/>
      <c r="R24339" s="11"/>
      <c r="S24339" s="11"/>
      <c r="T24339" s="11"/>
    </row>
    <row r="24340" spans="8:20" x14ac:dyDescent="0.35">
      <c r="H24340" s="711"/>
      <c r="I24340" s="711"/>
      <c r="J24340" s="711"/>
      <c r="K24340" s="711"/>
      <c r="L24340" s="711"/>
      <c r="Q24340" s="11"/>
      <c r="R24340" s="11"/>
      <c r="S24340" s="11"/>
      <c r="T24340" s="11"/>
    </row>
    <row r="24341" spans="8:20" x14ac:dyDescent="0.35">
      <c r="H24341" s="711"/>
      <c r="I24341" s="711"/>
      <c r="J24341" s="711"/>
      <c r="K24341" s="711"/>
      <c r="L24341" s="711"/>
      <c r="Q24341" s="11"/>
      <c r="R24341" s="11"/>
      <c r="S24341" s="11"/>
      <c r="T24341" s="11"/>
    </row>
    <row r="24342" spans="8:20" x14ac:dyDescent="0.35">
      <c r="H24342" s="711"/>
      <c r="I24342" s="711"/>
      <c r="J24342" s="711"/>
      <c r="K24342" s="711"/>
      <c r="L24342" s="711"/>
      <c r="Q24342" s="11"/>
      <c r="R24342" s="11"/>
      <c r="S24342" s="11"/>
      <c r="T24342" s="11"/>
    </row>
    <row r="24343" spans="8:20" x14ac:dyDescent="0.35">
      <c r="H24343" s="711"/>
      <c r="I24343" s="711"/>
      <c r="J24343" s="711"/>
      <c r="K24343" s="711"/>
      <c r="L24343" s="711"/>
      <c r="Q24343" s="11"/>
      <c r="R24343" s="11"/>
      <c r="S24343" s="11"/>
      <c r="T24343" s="11"/>
    </row>
    <row r="24344" spans="8:20" x14ac:dyDescent="0.35">
      <c r="H24344" s="711"/>
      <c r="I24344" s="711"/>
      <c r="J24344" s="711"/>
      <c r="K24344" s="711"/>
      <c r="L24344" s="711"/>
      <c r="Q24344" s="11"/>
      <c r="R24344" s="11"/>
      <c r="S24344" s="11"/>
      <c r="T24344" s="11"/>
    </row>
    <row r="24345" spans="8:20" x14ac:dyDescent="0.35">
      <c r="H24345" s="711"/>
      <c r="I24345" s="711"/>
      <c r="J24345" s="711"/>
      <c r="K24345" s="711"/>
      <c r="L24345" s="711"/>
      <c r="Q24345" s="11"/>
      <c r="R24345" s="11"/>
      <c r="S24345" s="11"/>
      <c r="T24345" s="11"/>
    </row>
    <row r="24346" spans="8:20" x14ac:dyDescent="0.35">
      <c r="H24346" s="711"/>
      <c r="I24346" s="711"/>
      <c r="J24346" s="711"/>
      <c r="K24346" s="711"/>
      <c r="L24346" s="711"/>
      <c r="Q24346" s="11"/>
      <c r="R24346" s="11"/>
      <c r="S24346" s="11"/>
      <c r="T24346" s="11"/>
    </row>
    <row r="24347" spans="8:20" x14ac:dyDescent="0.35">
      <c r="H24347" s="711"/>
      <c r="I24347" s="711"/>
      <c r="J24347" s="711"/>
      <c r="K24347" s="711"/>
      <c r="L24347" s="711"/>
      <c r="Q24347" s="11"/>
      <c r="R24347" s="11"/>
      <c r="S24347" s="11"/>
      <c r="T24347" s="11"/>
    </row>
    <row r="24348" spans="8:20" x14ac:dyDescent="0.35">
      <c r="H24348" s="711"/>
      <c r="I24348" s="711"/>
      <c r="J24348" s="711"/>
      <c r="K24348" s="711"/>
      <c r="L24348" s="711"/>
      <c r="Q24348" s="11"/>
      <c r="R24348" s="11"/>
      <c r="S24348" s="11"/>
      <c r="T24348" s="11"/>
    </row>
    <row r="24349" spans="8:20" x14ac:dyDescent="0.35">
      <c r="H24349" s="711"/>
      <c r="I24349" s="711"/>
      <c r="J24349" s="711"/>
      <c r="K24349" s="711"/>
      <c r="L24349" s="711"/>
      <c r="Q24349" s="11"/>
      <c r="R24349" s="11"/>
      <c r="S24349" s="11"/>
      <c r="T24349" s="11"/>
    </row>
    <row r="24350" spans="8:20" x14ac:dyDescent="0.35">
      <c r="H24350" s="711"/>
      <c r="I24350" s="711"/>
      <c r="J24350" s="711"/>
      <c r="K24350" s="711"/>
      <c r="L24350" s="711"/>
      <c r="Q24350" s="11"/>
      <c r="R24350" s="11"/>
      <c r="S24350" s="11"/>
      <c r="T24350" s="11"/>
    </row>
    <row r="24351" spans="8:20" x14ac:dyDescent="0.35">
      <c r="H24351" s="711"/>
      <c r="I24351" s="711"/>
      <c r="J24351" s="711"/>
      <c r="K24351" s="711"/>
      <c r="L24351" s="711"/>
      <c r="Q24351" s="11"/>
      <c r="R24351" s="11"/>
      <c r="S24351" s="11"/>
      <c r="T24351" s="11"/>
    </row>
    <row r="24352" spans="8:20" x14ac:dyDescent="0.35">
      <c r="H24352" s="711"/>
      <c r="I24352" s="711"/>
      <c r="J24352" s="711"/>
      <c r="K24352" s="711"/>
      <c r="L24352" s="711"/>
      <c r="Q24352" s="11"/>
      <c r="R24352" s="11"/>
      <c r="S24352" s="11"/>
      <c r="T24352" s="11"/>
    </row>
    <row r="24353" spans="8:20" x14ac:dyDescent="0.35">
      <c r="H24353" s="711"/>
      <c r="I24353" s="711"/>
      <c r="J24353" s="711"/>
      <c r="K24353" s="711"/>
      <c r="L24353" s="711"/>
      <c r="Q24353" s="11"/>
      <c r="R24353" s="11"/>
      <c r="S24353" s="11"/>
      <c r="T24353" s="11"/>
    </row>
    <row r="24354" spans="8:20" x14ac:dyDescent="0.35">
      <c r="H24354" s="711"/>
      <c r="I24354" s="711"/>
      <c r="J24354" s="711"/>
      <c r="K24354" s="711"/>
      <c r="L24354" s="711"/>
      <c r="Q24354" s="11"/>
      <c r="R24354" s="11"/>
      <c r="S24354" s="11"/>
      <c r="T24354" s="11"/>
    </row>
    <row r="24355" spans="8:20" x14ac:dyDescent="0.35">
      <c r="H24355" s="711"/>
      <c r="I24355" s="711"/>
      <c r="J24355" s="711"/>
      <c r="K24355" s="711"/>
      <c r="L24355" s="711"/>
      <c r="Q24355" s="11"/>
      <c r="R24355" s="11"/>
      <c r="S24355" s="11"/>
      <c r="T24355" s="11"/>
    </row>
    <row r="24356" spans="8:20" x14ac:dyDescent="0.35">
      <c r="H24356" s="711"/>
      <c r="I24356" s="711"/>
      <c r="J24356" s="711"/>
      <c r="K24356" s="711"/>
      <c r="L24356" s="711"/>
      <c r="Q24356" s="11"/>
      <c r="R24356" s="11"/>
      <c r="S24356" s="11"/>
      <c r="T24356" s="11"/>
    </row>
    <row r="24357" spans="8:20" x14ac:dyDescent="0.35">
      <c r="H24357" s="711"/>
      <c r="I24357" s="711"/>
      <c r="J24357" s="711"/>
      <c r="K24357" s="711"/>
      <c r="L24357" s="711"/>
      <c r="Q24357" s="11"/>
      <c r="R24357" s="11"/>
      <c r="S24357" s="11"/>
      <c r="T24357" s="11"/>
    </row>
    <row r="24358" spans="8:20" x14ac:dyDescent="0.35">
      <c r="H24358" s="711"/>
      <c r="I24358" s="711"/>
      <c r="J24358" s="711"/>
      <c r="K24358" s="711"/>
      <c r="L24358" s="711"/>
      <c r="Q24358" s="11"/>
      <c r="R24358" s="11"/>
      <c r="S24358" s="11"/>
      <c r="T24358" s="11"/>
    </row>
    <row r="24359" spans="8:20" x14ac:dyDescent="0.35">
      <c r="H24359" s="711"/>
      <c r="I24359" s="711"/>
      <c r="J24359" s="711"/>
      <c r="K24359" s="711"/>
      <c r="L24359" s="711"/>
      <c r="Q24359" s="11"/>
      <c r="R24359" s="11"/>
      <c r="S24359" s="11"/>
      <c r="T24359" s="11"/>
    </row>
    <row r="24360" spans="8:20" x14ac:dyDescent="0.35">
      <c r="H24360" s="711"/>
      <c r="I24360" s="711"/>
      <c r="J24360" s="711"/>
      <c r="K24360" s="711"/>
      <c r="L24360" s="711"/>
      <c r="Q24360" s="11"/>
      <c r="R24360" s="11"/>
      <c r="S24360" s="11"/>
      <c r="T24360" s="11"/>
    </row>
    <row r="24361" spans="8:20" x14ac:dyDescent="0.35">
      <c r="H24361" s="711"/>
      <c r="I24361" s="711"/>
      <c r="J24361" s="711"/>
      <c r="K24361" s="711"/>
      <c r="L24361" s="711"/>
      <c r="Q24361" s="11"/>
      <c r="R24361" s="11"/>
      <c r="S24361" s="11"/>
      <c r="T24361" s="11"/>
    </row>
    <row r="24362" spans="8:20" x14ac:dyDescent="0.35">
      <c r="H24362" s="711"/>
      <c r="I24362" s="711"/>
      <c r="J24362" s="711"/>
      <c r="K24362" s="711"/>
      <c r="L24362" s="711"/>
      <c r="Q24362" s="11"/>
      <c r="R24362" s="11"/>
      <c r="S24362" s="11"/>
      <c r="T24362" s="11"/>
    </row>
    <row r="24363" spans="8:20" x14ac:dyDescent="0.35">
      <c r="H24363" s="711"/>
      <c r="I24363" s="711"/>
      <c r="J24363" s="711"/>
      <c r="K24363" s="711"/>
      <c r="L24363" s="711"/>
      <c r="Q24363" s="11"/>
      <c r="R24363" s="11"/>
      <c r="S24363" s="11"/>
      <c r="T24363" s="11"/>
    </row>
    <row r="24364" spans="8:20" x14ac:dyDescent="0.35">
      <c r="H24364" s="711"/>
      <c r="I24364" s="711"/>
      <c r="J24364" s="711"/>
      <c r="K24364" s="711"/>
      <c r="L24364" s="711"/>
      <c r="Q24364" s="11"/>
      <c r="R24364" s="11"/>
      <c r="S24364" s="11"/>
      <c r="T24364" s="11"/>
    </row>
    <row r="24365" spans="8:20" x14ac:dyDescent="0.35">
      <c r="H24365" s="711"/>
      <c r="I24365" s="711"/>
      <c r="J24365" s="711"/>
      <c r="K24365" s="711"/>
      <c r="L24365" s="711"/>
      <c r="Q24365" s="11"/>
      <c r="R24365" s="11"/>
      <c r="S24365" s="11"/>
      <c r="T24365" s="11"/>
    </row>
    <row r="24366" spans="8:20" x14ac:dyDescent="0.35">
      <c r="H24366" s="711"/>
      <c r="I24366" s="711"/>
      <c r="J24366" s="711"/>
      <c r="K24366" s="711"/>
      <c r="L24366" s="711"/>
      <c r="Q24366" s="11"/>
      <c r="R24366" s="11"/>
      <c r="S24366" s="11"/>
      <c r="T24366" s="11"/>
    </row>
    <row r="24367" spans="8:20" x14ac:dyDescent="0.35">
      <c r="H24367" s="711"/>
      <c r="I24367" s="711"/>
      <c r="J24367" s="711"/>
      <c r="K24367" s="711"/>
      <c r="L24367" s="711"/>
      <c r="Q24367" s="11"/>
      <c r="R24367" s="11"/>
      <c r="S24367" s="11"/>
      <c r="T24367" s="11"/>
    </row>
    <row r="24368" spans="8:20" x14ac:dyDescent="0.35">
      <c r="H24368" s="711"/>
      <c r="I24368" s="711"/>
      <c r="J24368" s="711"/>
      <c r="K24368" s="711"/>
      <c r="L24368" s="711"/>
      <c r="Q24368" s="11"/>
      <c r="R24368" s="11"/>
      <c r="S24368" s="11"/>
      <c r="T24368" s="11"/>
    </row>
    <row r="24369" spans="8:20" x14ac:dyDescent="0.35">
      <c r="H24369" s="711"/>
      <c r="I24369" s="711"/>
      <c r="J24369" s="711"/>
      <c r="K24369" s="711"/>
      <c r="L24369" s="711"/>
      <c r="Q24369" s="11"/>
      <c r="R24369" s="11"/>
      <c r="S24369" s="11"/>
      <c r="T24369" s="11"/>
    </row>
    <row r="24370" spans="8:20" x14ac:dyDescent="0.35">
      <c r="H24370" s="711"/>
      <c r="I24370" s="711"/>
      <c r="J24370" s="711"/>
      <c r="K24370" s="711"/>
      <c r="L24370" s="711"/>
      <c r="Q24370" s="11"/>
      <c r="R24370" s="11"/>
      <c r="S24370" s="11"/>
      <c r="T24370" s="11"/>
    </row>
    <row r="24371" spans="8:20" x14ac:dyDescent="0.35">
      <c r="H24371" s="711"/>
      <c r="I24371" s="711"/>
      <c r="J24371" s="711"/>
      <c r="K24371" s="711"/>
      <c r="L24371" s="711"/>
      <c r="Q24371" s="11"/>
      <c r="R24371" s="11"/>
      <c r="S24371" s="11"/>
      <c r="T24371" s="11"/>
    </row>
    <row r="24372" spans="8:20" x14ac:dyDescent="0.35">
      <c r="H24372" s="711"/>
      <c r="I24372" s="711"/>
      <c r="J24372" s="711"/>
      <c r="K24372" s="711"/>
      <c r="L24372" s="711"/>
      <c r="Q24372" s="11"/>
      <c r="R24372" s="11"/>
      <c r="S24372" s="11"/>
      <c r="T24372" s="11"/>
    </row>
    <row r="24373" spans="8:20" x14ac:dyDescent="0.35">
      <c r="H24373" s="711"/>
      <c r="I24373" s="711"/>
      <c r="J24373" s="711"/>
      <c r="K24373" s="711"/>
      <c r="L24373" s="711"/>
      <c r="Q24373" s="11"/>
      <c r="R24373" s="11"/>
      <c r="S24373" s="11"/>
      <c r="T24373" s="11"/>
    </row>
    <row r="24374" spans="8:20" x14ac:dyDescent="0.35">
      <c r="H24374" s="711"/>
      <c r="I24374" s="711"/>
      <c r="J24374" s="711"/>
      <c r="K24374" s="711"/>
      <c r="L24374" s="711"/>
      <c r="Q24374" s="11"/>
      <c r="R24374" s="11"/>
      <c r="S24374" s="11"/>
      <c r="T24374" s="11"/>
    </row>
    <row r="24375" spans="8:20" x14ac:dyDescent="0.35">
      <c r="H24375" s="711"/>
      <c r="I24375" s="711"/>
      <c r="J24375" s="711"/>
      <c r="K24375" s="711"/>
      <c r="L24375" s="711"/>
      <c r="Q24375" s="11"/>
      <c r="R24375" s="11"/>
      <c r="S24375" s="11"/>
      <c r="T24375" s="11"/>
    </row>
    <row r="24376" spans="8:20" x14ac:dyDescent="0.35">
      <c r="H24376" s="711"/>
      <c r="I24376" s="711"/>
      <c r="J24376" s="711"/>
      <c r="K24376" s="711"/>
      <c r="L24376" s="711"/>
      <c r="Q24376" s="11"/>
      <c r="R24376" s="11"/>
      <c r="S24376" s="11"/>
      <c r="T24376" s="11"/>
    </row>
    <row r="24377" spans="8:20" x14ac:dyDescent="0.35">
      <c r="H24377" s="711"/>
      <c r="I24377" s="711"/>
      <c r="J24377" s="711"/>
      <c r="K24377" s="711"/>
      <c r="L24377" s="711"/>
      <c r="Q24377" s="11"/>
      <c r="R24377" s="11"/>
      <c r="S24377" s="11"/>
      <c r="T24377" s="11"/>
    </row>
    <row r="24378" spans="8:20" x14ac:dyDescent="0.35">
      <c r="H24378" s="711"/>
      <c r="I24378" s="711"/>
      <c r="J24378" s="711"/>
      <c r="K24378" s="711"/>
      <c r="L24378" s="711"/>
      <c r="Q24378" s="11"/>
      <c r="R24378" s="11"/>
      <c r="S24378" s="11"/>
      <c r="T24378" s="11"/>
    </row>
    <row r="24379" spans="8:20" x14ac:dyDescent="0.35">
      <c r="H24379" s="711"/>
      <c r="I24379" s="711"/>
      <c r="J24379" s="711"/>
      <c r="K24379" s="711"/>
      <c r="L24379" s="711"/>
      <c r="Q24379" s="11"/>
      <c r="R24379" s="11"/>
      <c r="S24379" s="11"/>
      <c r="T24379" s="11"/>
    </row>
    <row r="24380" spans="8:20" x14ac:dyDescent="0.35">
      <c r="H24380" s="711"/>
      <c r="I24380" s="711"/>
      <c r="J24380" s="711"/>
      <c r="K24380" s="711"/>
      <c r="L24380" s="711"/>
      <c r="Q24380" s="11"/>
      <c r="R24380" s="11"/>
      <c r="S24380" s="11"/>
      <c r="T24380" s="11"/>
    </row>
    <row r="24381" spans="8:20" x14ac:dyDescent="0.35">
      <c r="H24381" s="711"/>
      <c r="I24381" s="711"/>
      <c r="J24381" s="711"/>
      <c r="K24381" s="711"/>
      <c r="L24381" s="711"/>
      <c r="Q24381" s="11"/>
      <c r="R24381" s="11"/>
      <c r="S24381" s="11"/>
      <c r="T24381" s="11"/>
    </row>
    <row r="24382" spans="8:20" x14ac:dyDescent="0.35">
      <c r="H24382" s="711"/>
      <c r="I24382" s="711"/>
      <c r="J24382" s="711"/>
      <c r="K24382" s="711"/>
      <c r="L24382" s="711"/>
      <c r="Q24382" s="11"/>
      <c r="R24382" s="11"/>
      <c r="S24382" s="11"/>
      <c r="T24382" s="11"/>
    </row>
    <row r="24383" spans="8:20" x14ac:dyDescent="0.35">
      <c r="H24383" s="711"/>
      <c r="I24383" s="711"/>
      <c r="J24383" s="711"/>
      <c r="K24383" s="711"/>
      <c r="L24383" s="711"/>
      <c r="Q24383" s="11"/>
      <c r="R24383" s="11"/>
      <c r="S24383" s="11"/>
      <c r="T24383" s="11"/>
    </row>
    <row r="24384" spans="8:20" x14ac:dyDescent="0.35">
      <c r="H24384" s="711"/>
      <c r="I24384" s="711"/>
      <c r="J24384" s="711"/>
      <c r="K24384" s="711"/>
      <c r="L24384" s="711"/>
      <c r="Q24384" s="11"/>
      <c r="R24384" s="11"/>
      <c r="S24384" s="11"/>
      <c r="T24384" s="11"/>
    </row>
    <row r="24385" spans="8:20" x14ac:dyDescent="0.35">
      <c r="H24385" s="711"/>
      <c r="I24385" s="711"/>
      <c r="J24385" s="711"/>
      <c r="K24385" s="711"/>
      <c r="L24385" s="711"/>
      <c r="Q24385" s="11"/>
      <c r="R24385" s="11"/>
      <c r="S24385" s="11"/>
      <c r="T24385" s="11"/>
    </row>
    <row r="24386" spans="8:20" x14ac:dyDescent="0.35">
      <c r="H24386" s="711"/>
      <c r="I24386" s="711"/>
      <c r="J24386" s="711"/>
      <c r="K24386" s="711"/>
      <c r="L24386" s="711"/>
      <c r="Q24386" s="11"/>
      <c r="R24386" s="11"/>
      <c r="S24386" s="11"/>
      <c r="T24386" s="11"/>
    </row>
    <row r="24387" spans="8:20" x14ac:dyDescent="0.35">
      <c r="H24387" s="711"/>
      <c r="I24387" s="711"/>
      <c r="J24387" s="711"/>
      <c r="K24387" s="711"/>
      <c r="L24387" s="711"/>
      <c r="Q24387" s="11"/>
      <c r="R24387" s="11"/>
      <c r="S24387" s="11"/>
      <c r="T24387" s="11"/>
    </row>
    <row r="24388" spans="8:20" x14ac:dyDescent="0.35">
      <c r="H24388" s="711"/>
      <c r="I24388" s="711"/>
      <c r="J24388" s="711"/>
      <c r="K24388" s="711"/>
      <c r="L24388" s="711"/>
      <c r="Q24388" s="11"/>
      <c r="R24388" s="11"/>
      <c r="S24388" s="11"/>
      <c r="T24388" s="11"/>
    </row>
    <row r="24389" spans="8:20" x14ac:dyDescent="0.35">
      <c r="H24389" s="711"/>
      <c r="I24389" s="711"/>
      <c r="J24389" s="711"/>
      <c r="K24389" s="711"/>
      <c r="L24389" s="711"/>
      <c r="Q24389" s="11"/>
      <c r="R24389" s="11"/>
      <c r="S24389" s="11"/>
      <c r="T24389" s="11"/>
    </row>
    <row r="24390" spans="8:20" x14ac:dyDescent="0.35">
      <c r="H24390" s="711"/>
      <c r="I24390" s="711"/>
      <c r="J24390" s="711"/>
      <c r="K24390" s="711"/>
      <c r="L24390" s="711"/>
      <c r="Q24390" s="11"/>
      <c r="R24390" s="11"/>
      <c r="S24390" s="11"/>
      <c r="T24390" s="11"/>
    </row>
    <row r="24391" spans="8:20" x14ac:dyDescent="0.35">
      <c r="H24391" s="711"/>
      <c r="I24391" s="711"/>
      <c r="J24391" s="711"/>
      <c r="K24391" s="711"/>
      <c r="L24391" s="711"/>
      <c r="Q24391" s="11"/>
      <c r="R24391" s="11"/>
      <c r="S24391" s="11"/>
      <c r="T24391" s="11"/>
    </row>
    <row r="24392" spans="8:20" x14ac:dyDescent="0.35">
      <c r="H24392" s="711"/>
      <c r="I24392" s="711"/>
      <c r="J24392" s="711"/>
      <c r="K24392" s="711"/>
      <c r="L24392" s="711"/>
      <c r="Q24392" s="11"/>
      <c r="R24392" s="11"/>
      <c r="S24392" s="11"/>
      <c r="T24392" s="11"/>
    </row>
    <row r="24393" spans="8:20" x14ac:dyDescent="0.35">
      <c r="H24393" s="711"/>
      <c r="I24393" s="711"/>
      <c r="J24393" s="711"/>
      <c r="K24393" s="711"/>
      <c r="L24393" s="711"/>
      <c r="Q24393" s="11"/>
      <c r="R24393" s="11"/>
      <c r="S24393" s="11"/>
      <c r="T24393" s="11"/>
    </row>
    <row r="24394" spans="8:20" x14ac:dyDescent="0.35">
      <c r="H24394" s="711"/>
      <c r="I24394" s="711"/>
      <c r="J24394" s="711"/>
      <c r="K24394" s="711"/>
      <c r="L24394" s="711"/>
      <c r="Q24394" s="11"/>
      <c r="R24394" s="11"/>
      <c r="S24394" s="11"/>
      <c r="T24394" s="11"/>
    </row>
    <row r="24395" spans="8:20" x14ac:dyDescent="0.35">
      <c r="H24395" s="711"/>
      <c r="I24395" s="711"/>
      <c r="J24395" s="711"/>
      <c r="K24395" s="711"/>
      <c r="L24395" s="711"/>
      <c r="Q24395" s="11"/>
      <c r="R24395" s="11"/>
      <c r="S24395" s="11"/>
      <c r="T24395" s="11"/>
    </row>
    <row r="24396" spans="8:20" x14ac:dyDescent="0.35">
      <c r="H24396" s="711"/>
      <c r="I24396" s="711"/>
      <c r="J24396" s="711"/>
      <c r="K24396" s="711"/>
      <c r="L24396" s="711"/>
      <c r="Q24396" s="11"/>
      <c r="R24396" s="11"/>
      <c r="S24396" s="11"/>
      <c r="T24396" s="11"/>
    </row>
    <row r="24397" spans="8:20" x14ac:dyDescent="0.35">
      <c r="H24397" s="711"/>
      <c r="I24397" s="711"/>
      <c r="J24397" s="711"/>
      <c r="K24397" s="711"/>
      <c r="L24397" s="711"/>
      <c r="Q24397" s="11"/>
      <c r="R24397" s="11"/>
      <c r="S24397" s="11"/>
      <c r="T24397" s="11"/>
    </row>
    <row r="24398" spans="8:20" x14ac:dyDescent="0.35">
      <c r="H24398" s="711"/>
      <c r="I24398" s="711"/>
      <c r="J24398" s="711"/>
      <c r="K24398" s="711"/>
      <c r="L24398" s="711"/>
      <c r="Q24398" s="11"/>
      <c r="R24398" s="11"/>
      <c r="S24398" s="11"/>
      <c r="T24398" s="11"/>
    </row>
    <row r="24399" spans="8:20" x14ac:dyDescent="0.35">
      <c r="H24399" s="711"/>
      <c r="I24399" s="711"/>
      <c r="J24399" s="711"/>
      <c r="K24399" s="711"/>
      <c r="L24399" s="711"/>
      <c r="Q24399" s="11"/>
      <c r="R24399" s="11"/>
      <c r="S24399" s="11"/>
      <c r="T24399" s="11"/>
    </row>
    <row r="24400" spans="8:20" x14ac:dyDescent="0.35">
      <c r="H24400" s="711"/>
      <c r="I24400" s="711"/>
      <c r="J24400" s="711"/>
      <c r="K24400" s="711"/>
      <c r="L24400" s="711"/>
      <c r="Q24400" s="11"/>
      <c r="R24400" s="11"/>
      <c r="S24400" s="11"/>
      <c r="T24400" s="11"/>
    </row>
    <row r="24401" spans="8:20" x14ac:dyDescent="0.35">
      <c r="H24401" s="711"/>
      <c r="I24401" s="711"/>
      <c r="J24401" s="711"/>
      <c r="K24401" s="711"/>
      <c r="L24401" s="711"/>
      <c r="Q24401" s="11"/>
      <c r="R24401" s="11"/>
      <c r="S24401" s="11"/>
      <c r="T24401" s="11"/>
    </row>
    <row r="24402" spans="8:20" x14ac:dyDescent="0.35">
      <c r="H24402" s="711"/>
      <c r="I24402" s="711"/>
      <c r="J24402" s="711"/>
      <c r="K24402" s="711"/>
      <c r="L24402" s="711"/>
      <c r="Q24402" s="11"/>
      <c r="R24402" s="11"/>
      <c r="S24402" s="11"/>
      <c r="T24402" s="11"/>
    </row>
    <row r="24403" spans="8:20" x14ac:dyDescent="0.35">
      <c r="H24403" s="711"/>
      <c r="I24403" s="711"/>
      <c r="J24403" s="711"/>
      <c r="K24403" s="711"/>
      <c r="L24403" s="711"/>
      <c r="Q24403" s="11"/>
      <c r="R24403" s="11"/>
      <c r="S24403" s="11"/>
      <c r="T24403" s="11"/>
    </row>
    <row r="24404" spans="8:20" x14ac:dyDescent="0.35">
      <c r="H24404" s="711"/>
      <c r="I24404" s="711"/>
      <c r="J24404" s="711"/>
      <c r="K24404" s="711"/>
      <c r="L24404" s="711"/>
      <c r="Q24404" s="11"/>
      <c r="R24404" s="11"/>
      <c r="S24404" s="11"/>
      <c r="T24404" s="11"/>
    </row>
    <row r="24405" spans="8:20" x14ac:dyDescent="0.35">
      <c r="H24405" s="711"/>
      <c r="I24405" s="711"/>
      <c r="J24405" s="711"/>
      <c r="K24405" s="711"/>
      <c r="L24405" s="711"/>
      <c r="Q24405" s="11"/>
      <c r="R24405" s="11"/>
      <c r="S24405" s="11"/>
      <c r="T24405" s="11"/>
    </row>
    <row r="24406" spans="8:20" x14ac:dyDescent="0.35">
      <c r="H24406" s="711"/>
      <c r="I24406" s="711"/>
      <c r="J24406" s="711"/>
      <c r="K24406" s="711"/>
      <c r="L24406" s="711"/>
      <c r="Q24406" s="11"/>
      <c r="R24406" s="11"/>
      <c r="S24406" s="11"/>
      <c r="T24406" s="11"/>
    </row>
    <row r="24407" spans="8:20" x14ac:dyDescent="0.35">
      <c r="H24407" s="711"/>
      <c r="I24407" s="711"/>
      <c r="J24407" s="711"/>
      <c r="K24407" s="711"/>
      <c r="L24407" s="711"/>
      <c r="Q24407" s="11"/>
      <c r="R24407" s="11"/>
      <c r="S24407" s="11"/>
      <c r="T24407" s="11"/>
    </row>
    <row r="24408" spans="8:20" x14ac:dyDescent="0.35">
      <c r="H24408" s="711"/>
      <c r="I24408" s="711"/>
      <c r="J24408" s="711"/>
      <c r="K24408" s="711"/>
      <c r="L24408" s="711"/>
      <c r="Q24408" s="11"/>
      <c r="R24408" s="11"/>
      <c r="S24408" s="11"/>
      <c r="T24408" s="11"/>
    </row>
    <row r="24409" spans="8:20" x14ac:dyDescent="0.35">
      <c r="H24409" s="711"/>
      <c r="I24409" s="711"/>
      <c r="J24409" s="711"/>
      <c r="K24409" s="711"/>
      <c r="L24409" s="711"/>
      <c r="Q24409" s="11"/>
      <c r="R24409" s="11"/>
      <c r="S24409" s="11"/>
      <c r="T24409" s="11"/>
    </row>
    <row r="24410" spans="8:20" x14ac:dyDescent="0.35">
      <c r="H24410" s="711"/>
      <c r="I24410" s="711"/>
      <c r="J24410" s="711"/>
      <c r="K24410" s="711"/>
      <c r="L24410" s="711"/>
      <c r="Q24410" s="11"/>
      <c r="R24410" s="11"/>
      <c r="S24410" s="11"/>
      <c r="T24410" s="11"/>
    </row>
    <row r="24411" spans="8:20" x14ac:dyDescent="0.35">
      <c r="H24411" s="711"/>
      <c r="I24411" s="711"/>
      <c r="J24411" s="711"/>
      <c r="K24411" s="711"/>
      <c r="L24411" s="711"/>
      <c r="Q24411" s="11"/>
      <c r="R24411" s="11"/>
      <c r="S24411" s="11"/>
      <c r="T24411" s="11"/>
    </row>
    <row r="24412" spans="8:20" x14ac:dyDescent="0.35">
      <c r="H24412" s="711"/>
      <c r="I24412" s="711"/>
      <c r="J24412" s="711"/>
      <c r="K24412" s="711"/>
      <c r="L24412" s="711"/>
      <c r="Q24412" s="11"/>
      <c r="R24412" s="11"/>
      <c r="S24412" s="11"/>
      <c r="T24412" s="11"/>
    </row>
    <row r="24413" spans="8:20" x14ac:dyDescent="0.35">
      <c r="H24413" s="711"/>
      <c r="I24413" s="711"/>
      <c r="J24413" s="711"/>
      <c r="K24413" s="711"/>
      <c r="L24413" s="711"/>
      <c r="Q24413" s="11"/>
      <c r="R24413" s="11"/>
      <c r="S24413" s="11"/>
      <c r="T24413" s="11"/>
    </row>
    <row r="24414" spans="8:20" x14ac:dyDescent="0.35">
      <c r="H24414" s="711"/>
      <c r="I24414" s="711"/>
      <c r="J24414" s="711"/>
      <c r="K24414" s="711"/>
      <c r="L24414" s="711"/>
      <c r="Q24414" s="11"/>
      <c r="R24414" s="11"/>
      <c r="S24414" s="11"/>
      <c r="T24414" s="11"/>
    </row>
    <row r="24415" spans="8:20" x14ac:dyDescent="0.35">
      <c r="H24415" s="711"/>
      <c r="I24415" s="711"/>
      <c r="J24415" s="711"/>
      <c r="K24415" s="711"/>
      <c r="L24415" s="711"/>
      <c r="Q24415" s="11"/>
      <c r="R24415" s="11"/>
      <c r="S24415" s="11"/>
      <c r="T24415" s="11"/>
    </row>
    <row r="24416" spans="8:20" x14ac:dyDescent="0.35">
      <c r="H24416" s="711"/>
      <c r="I24416" s="711"/>
      <c r="J24416" s="711"/>
      <c r="K24416" s="711"/>
      <c r="L24416" s="711"/>
      <c r="Q24416" s="11"/>
      <c r="R24416" s="11"/>
      <c r="S24416" s="11"/>
      <c r="T24416" s="11"/>
    </row>
    <row r="24417" spans="8:20" x14ac:dyDescent="0.35">
      <c r="H24417" s="711"/>
      <c r="I24417" s="711"/>
      <c r="J24417" s="711"/>
      <c r="K24417" s="711"/>
      <c r="L24417" s="711"/>
      <c r="Q24417" s="11"/>
      <c r="R24417" s="11"/>
      <c r="S24417" s="11"/>
      <c r="T24417" s="11"/>
    </row>
    <row r="24418" spans="8:20" x14ac:dyDescent="0.35">
      <c r="H24418" s="711"/>
      <c r="I24418" s="711"/>
      <c r="J24418" s="711"/>
      <c r="K24418" s="711"/>
      <c r="L24418" s="711"/>
      <c r="Q24418" s="11"/>
      <c r="R24418" s="11"/>
      <c r="S24418" s="11"/>
      <c r="T24418" s="11"/>
    </row>
    <row r="24419" spans="8:20" x14ac:dyDescent="0.35">
      <c r="H24419" s="711"/>
      <c r="I24419" s="711"/>
      <c r="J24419" s="711"/>
      <c r="K24419" s="711"/>
      <c r="L24419" s="711"/>
      <c r="Q24419" s="11"/>
      <c r="R24419" s="11"/>
      <c r="S24419" s="11"/>
      <c r="T24419" s="11"/>
    </row>
    <row r="24420" spans="8:20" x14ac:dyDescent="0.35">
      <c r="H24420" s="711"/>
      <c r="I24420" s="711"/>
      <c r="J24420" s="711"/>
      <c r="K24420" s="711"/>
      <c r="L24420" s="711"/>
      <c r="Q24420" s="11"/>
      <c r="R24420" s="11"/>
      <c r="S24420" s="11"/>
      <c r="T24420" s="11"/>
    </row>
    <row r="24421" spans="8:20" x14ac:dyDescent="0.35">
      <c r="H24421" s="711"/>
      <c r="I24421" s="711"/>
      <c r="J24421" s="711"/>
      <c r="K24421" s="711"/>
      <c r="L24421" s="711"/>
      <c r="Q24421" s="11"/>
      <c r="R24421" s="11"/>
      <c r="S24421" s="11"/>
      <c r="T24421" s="11"/>
    </row>
    <row r="24422" spans="8:20" x14ac:dyDescent="0.35">
      <c r="H24422" s="711"/>
      <c r="I24422" s="711"/>
      <c r="J24422" s="711"/>
      <c r="K24422" s="711"/>
      <c r="L24422" s="711"/>
      <c r="Q24422" s="11"/>
      <c r="R24422" s="11"/>
      <c r="S24422" s="11"/>
      <c r="T24422" s="11"/>
    </row>
    <row r="24423" spans="8:20" x14ac:dyDescent="0.35">
      <c r="H24423" s="711"/>
      <c r="I24423" s="711"/>
      <c r="J24423" s="711"/>
      <c r="K24423" s="711"/>
      <c r="L24423" s="711"/>
      <c r="Q24423" s="11"/>
      <c r="R24423" s="11"/>
      <c r="S24423" s="11"/>
      <c r="T24423" s="11"/>
    </row>
    <row r="24424" spans="8:20" x14ac:dyDescent="0.35">
      <c r="H24424" s="711"/>
      <c r="I24424" s="711"/>
      <c r="J24424" s="711"/>
      <c r="K24424" s="711"/>
      <c r="L24424" s="711"/>
      <c r="Q24424" s="11"/>
      <c r="R24424" s="11"/>
      <c r="S24424" s="11"/>
      <c r="T24424" s="11"/>
    </row>
    <row r="24425" spans="8:20" x14ac:dyDescent="0.35">
      <c r="H24425" s="711"/>
      <c r="I24425" s="711"/>
      <c r="J24425" s="711"/>
      <c r="K24425" s="711"/>
      <c r="L24425" s="711"/>
      <c r="Q24425" s="11"/>
      <c r="R24425" s="11"/>
      <c r="S24425" s="11"/>
      <c r="T24425" s="11"/>
    </row>
    <row r="24426" spans="8:20" x14ac:dyDescent="0.35">
      <c r="H24426" s="711"/>
      <c r="I24426" s="711"/>
      <c r="J24426" s="711"/>
      <c r="K24426" s="711"/>
      <c r="L24426" s="711"/>
      <c r="Q24426" s="11"/>
      <c r="R24426" s="11"/>
      <c r="S24426" s="11"/>
      <c r="T24426" s="11"/>
    </row>
    <row r="24427" spans="8:20" x14ac:dyDescent="0.35">
      <c r="H24427" s="711"/>
      <c r="I24427" s="711"/>
      <c r="J24427" s="711"/>
      <c r="K24427" s="711"/>
      <c r="L24427" s="711"/>
      <c r="Q24427" s="11"/>
      <c r="R24427" s="11"/>
      <c r="S24427" s="11"/>
      <c r="T24427" s="11"/>
    </row>
    <row r="24428" spans="8:20" x14ac:dyDescent="0.35">
      <c r="H24428" s="711"/>
      <c r="I24428" s="711"/>
      <c r="J24428" s="711"/>
      <c r="K24428" s="711"/>
      <c r="L24428" s="711"/>
      <c r="Q24428" s="11"/>
      <c r="R24428" s="11"/>
      <c r="S24428" s="11"/>
      <c r="T24428" s="11"/>
    </row>
    <row r="24429" spans="8:20" x14ac:dyDescent="0.35">
      <c r="H24429" s="711"/>
      <c r="I24429" s="711"/>
      <c r="J24429" s="711"/>
      <c r="K24429" s="711"/>
      <c r="L24429" s="711"/>
      <c r="Q24429" s="11"/>
      <c r="R24429" s="11"/>
      <c r="S24429" s="11"/>
      <c r="T24429" s="11"/>
    </row>
    <row r="24430" spans="8:20" x14ac:dyDescent="0.35">
      <c r="H24430" s="711"/>
      <c r="I24430" s="711"/>
      <c r="J24430" s="711"/>
      <c r="K24430" s="711"/>
      <c r="L24430" s="711"/>
      <c r="Q24430" s="11"/>
      <c r="R24430" s="11"/>
      <c r="S24430" s="11"/>
      <c r="T24430" s="11"/>
    </row>
    <row r="24431" spans="8:20" x14ac:dyDescent="0.35">
      <c r="H24431" s="711"/>
      <c r="I24431" s="711"/>
      <c r="J24431" s="711"/>
      <c r="K24431" s="711"/>
      <c r="L24431" s="711"/>
      <c r="Q24431" s="11"/>
      <c r="R24431" s="11"/>
      <c r="S24431" s="11"/>
      <c r="T24431" s="11"/>
    </row>
    <row r="24432" spans="8:20" x14ac:dyDescent="0.35">
      <c r="H24432" s="711"/>
      <c r="I24432" s="711"/>
      <c r="J24432" s="711"/>
      <c r="K24432" s="711"/>
      <c r="L24432" s="711"/>
      <c r="Q24432" s="11"/>
      <c r="R24432" s="11"/>
      <c r="S24432" s="11"/>
      <c r="T24432" s="11"/>
    </row>
    <row r="24433" spans="8:20" x14ac:dyDescent="0.35">
      <c r="H24433" s="711"/>
      <c r="I24433" s="711"/>
      <c r="J24433" s="711"/>
      <c r="K24433" s="711"/>
      <c r="L24433" s="711"/>
      <c r="Q24433" s="11"/>
      <c r="R24433" s="11"/>
      <c r="S24433" s="11"/>
      <c r="T24433" s="11"/>
    </row>
    <row r="24434" spans="8:20" x14ac:dyDescent="0.35">
      <c r="H24434" s="711"/>
      <c r="I24434" s="711"/>
      <c r="J24434" s="711"/>
      <c r="K24434" s="711"/>
      <c r="L24434" s="711"/>
      <c r="Q24434" s="11"/>
      <c r="R24434" s="11"/>
      <c r="S24434" s="11"/>
      <c r="T24434" s="11"/>
    </row>
    <row r="24435" spans="8:20" x14ac:dyDescent="0.35">
      <c r="H24435" s="711"/>
      <c r="I24435" s="711"/>
      <c r="J24435" s="711"/>
      <c r="K24435" s="711"/>
      <c r="L24435" s="711"/>
      <c r="Q24435" s="11"/>
      <c r="R24435" s="11"/>
      <c r="S24435" s="11"/>
      <c r="T24435" s="11"/>
    </row>
    <row r="24436" spans="8:20" x14ac:dyDescent="0.35">
      <c r="H24436" s="711"/>
      <c r="I24436" s="711"/>
      <c r="J24436" s="711"/>
      <c r="K24436" s="711"/>
      <c r="L24436" s="711"/>
      <c r="Q24436" s="11"/>
      <c r="R24436" s="11"/>
      <c r="S24436" s="11"/>
      <c r="T24436" s="11"/>
    </row>
    <row r="24437" spans="8:20" x14ac:dyDescent="0.35">
      <c r="H24437" s="711"/>
      <c r="I24437" s="711"/>
      <c r="J24437" s="711"/>
      <c r="K24437" s="711"/>
      <c r="L24437" s="711"/>
      <c r="Q24437" s="11"/>
      <c r="R24437" s="11"/>
      <c r="S24437" s="11"/>
      <c r="T24437" s="11"/>
    </row>
    <row r="24438" spans="8:20" x14ac:dyDescent="0.35">
      <c r="H24438" s="711"/>
      <c r="I24438" s="711"/>
      <c r="J24438" s="711"/>
      <c r="K24438" s="711"/>
      <c r="L24438" s="711"/>
      <c r="Q24438" s="11"/>
      <c r="R24438" s="11"/>
      <c r="S24438" s="11"/>
      <c r="T24438" s="11"/>
    </row>
    <row r="24439" spans="8:20" x14ac:dyDescent="0.35">
      <c r="H24439" s="711"/>
      <c r="I24439" s="711"/>
      <c r="J24439" s="711"/>
      <c r="K24439" s="711"/>
      <c r="L24439" s="711"/>
      <c r="Q24439" s="11"/>
      <c r="R24439" s="11"/>
      <c r="S24439" s="11"/>
      <c r="T24439" s="11"/>
    </row>
    <row r="24440" spans="8:20" x14ac:dyDescent="0.35">
      <c r="H24440" s="711"/>
      <c r="I24440" s="711"/>
      <c r="J24440" s="711"/>
      <c r="K24440" s="711"/>
      <c r="L24440" s="711"/>
      <c r="Q24440" s="11"/>
      <c r="R24440" s="11"/>
      <c r="S24440" s="11"/>
      <c r="T24440" s="11"/>
    </row>
    <row r="24441" spans="8:20" x14ac:dyDescent="0.35">
      <c r="H24441" s="711"/>
      <c r="I24441" s="711"/>
      <c r="J24441" s="711"/>
      <c r="K24441" s="711"/>
      <c r="L24441" s="711"/>
      <c r="Q24441" s="11"/>
      <c r="R24441" s="11"/>
      <c r="S24441" s="11"/>
      <c r="T24441" s="11"/>
    </row>
    <row r="24442" spans="8:20" x14ac:dyDescent="0.35">
      <c r="H24442" s="711"/>
      <c r="I24442" s="711"/>
      <c r="J24442" s="711"/>
      <c r="K24442" s="711"/>
      <c r="L24442" s="711"/>
      <c r="Q24442" s="11"/>
      <c r="R24442" s="11"/>
      <c r="S24442" s="11"/>
      <c r="T24442" s="11"/>
    </row>
    <row r="24443" spans="8:20" x14ac:dyDescent="0.35">
      <c r="H24443" s="711"/>
      <c r="I24443" s="711"/>
      <c r="J24443" s="711"/>
      <c r="K24443" s="711"/>
      <c r="L24443" s="711"/>
      <c r="Q24443" s="11"/>
      <c r="R24443" s="11"/>
      <c r="S24443" s="11"/>
      <c r="T24443" s="11"/>
    </row>
    <row r="24444" spans="8:20" x14ac:dyDescent="0.35">
      <c r="H24444" s="711"/>
      <c r="I24444" s="711"/>
      <c r="J24444" s="711"/>
      <c r="K24444" s="711"/>
      <c r="L24444" s="711"/>
      <c r="Q24444" s="11"/>
      <c r="R24444" s="11"/>
      <c r="S24444" s="11"/>
      <c r="T24444" s="11"/>
    </row>
    <row r="24445" spans="8:20" x14ac:dyDescent="0.35">
      <c r="H24445" s="711"/>
      <c r="I24445" s="711"/>
      <c r="J24445" s="711"/>
      <c r="K24445" s="711"/>
      <c r="L24445" s="711"/>
      <c r="Q24445" s="11"/>
      <c r="R24445" s="11"/>
      <c r="S24445" s="11"/>
      <c r="T24445" s="11"/>
    </row>
    <row r="24446" spans="8:20" x14ac:dyDescent="0.35">
      <c r="H24446" s="711"/>
      <c r="I24446" s="711"/>
      <c r="J24446" s="711"/>
      <c r="K24446" s="711"/>
      <c r="L24446" s="711"/>
      <c r="Q24446" s="11"/>
      <c r="R24446" s="11"/>
      <c r="S24446" s="11"/>
      <c r="T24446" s="11"/>
    </row>
    <row r="24447" spans="8:20" x14ac:dyDescent="0.35">
      <c r="H24447" s="711"/>
      <c r="I24447" s="711"/>
      <c r="J24447" s="711"/>
      <c r="K24447" s="711"/>
      <c r="L24447" s="711"/>
      <c r="Q24447" s="11"/>
      <c r="R24447" s="11"/>
      <c r="S24447" s="11"/>
      <c r="T24447" s="11"/>
    </row>
    <row r="24448" spans="8:20" x14ac:dyDescent="0.35">
      <c r="H24448" s="711"/>
      <c r="I24448" s="711"/>
      <c r="J24448" s="711"/>
      <c r="K24448" s="711"/>
      <c r="L24448" s="711"/>
      <c r="Q24448" s="11"/>
      <c r="R24448" s="11"/>
      <c r="S24448" s="11"/>
      <c r="T24448" s="11"/>
    </row>
    <row r="24449" spans="8:20" x14ac:dyDescent="0.35">
      <c r="H24449" s="711"/>
      <c r="I24449" s="711"/>
      <c r="J24449" s="711"/>
      <c r="K24449" s="711"/>
      <c r="L24449" s="711"/>
      <c r="Q24449" s="11"/>
      <c r="R24449" s="11"/>
      <c r="S24449" s="11"/>
      <c r="T24449" s="11"/>
    </row>
    <row r="24450" spans="8:20" x14ac:dyDescent="0.35">
      <c r="H24450" s="711"/>
      <c r="I24450" s="711"/>
      <c r="J24450" s="711"/>
      <c r="K24450" s="711"/>
      <c r="L24450" s="711"/>
      <c r="Q24450" s="11"/>
      <c r="R24450" s="11"/>
      <c r="S24450" s="11"/>
      <c r="T24450" s="11"/>
    </row>
    <row r="24451" spans="8:20" x14ac:dyDescent="0.35">
      <c r="H24451" s="711"/>
      <c r="I24451" s="711"/>
      <c r="J24451" s="711"/>
      <c r="K24451" s="711"/>
      <c r="L24451" s="711"/>
      <c r="Q24451" s="11"/>
      <c r="R24451" s="11"/>
      <c r="S24451" s="11"/>
      <c r="T24451" s="11"/>
    </row>
    <row r="24452" spans="8:20" x14ac:dyDescent="0.35">
      <c r="H24452" s="711"/>
      <c r="I24452" s="711"/>
      <c r="J24452" s="711"/>
      <c r="K24452" s="711"/>
      <c r="L24452" s="711"/>
      <c r="Q24452" s="11"/>
      <c r="R24452" s="11"/>
      <c r="S24452" s="11"/>
      <c r="T24452" s="11"/>
    </row>
    <row r="24453" spans="8:20" x14ac:dyDescent="0.35">
      <c r="H24453" s="711"/>
      <c r="I24453" s="711"/>
      <c r="J24453" s="711"/>
      <c r="K24453" s="711"/>
      <c r="L24453" s="711"/>
      <c r="Q24453" s="11"/>
      <c r="R24453" s="11"/>
      <c r="S24453" s="11"/>
      <c r="T24453" s="11"/>
    </row>
    <row r="24454" spans="8:20" x14ac:dyDescent="0.35">
      <c r="H24454" s="711"/>
      <c r="I24454" s="711"/>
      <c r="J24454" s="711"/>
      <c r="K24454" s="711"/>
      <c r="L24454" s="711"/>
      <c r="Q24454" s="11"/>
      <c r="R24454" s="11"/>
      <c r="S24454" s="11"/>
      <c r="T24454" s="11"/>
    </row>
    <row r="24455" spans="8:20" x14ac:dyDescent="0.35">
      <c r="H24455" s="711"/>
      <c r="I24455" s="711"/>
      <c r="J24455" s="711"/>
      <c r="K24455" s="711"/>
      <c r="L24455" s="711"/>
      <c r="Q24455" s="11"/>
      <c r="R24455" s="11"/>
      <c r="S24455" s="11"/>
      <c r="T24455" s="11"/>
    </row>
    <row r="24456" spans="8:20" x14ac:dyDescent="0.35">
      <c r="H24456" s="711"/>
      <c r="I24456" s="711"/>
      <c r="J24456" s="711"/>
      <c r="K24456" s="711"/>
      <c r="L24456" s="711"/>
      <c r="Q24456" s="11"/>
      <c r="R24456" s="11"/>
      <c r="S24456" s="11"/>
      <c r="T24456" s="11"/>
    </row>
    <row r="24457" spans="8:20" x14ac:dyDescent="0.35">
      <c r="H24457" s="711"/>
      <c r="I24457" s="711"/>
      <c r="J24457" s="711"/>
      <c r="K24457" s="711"/>
      <c r="L24457" s="711"/>
      <c r="Q24457" s="11"/>
      <c r="R24457" s="11"/>
      <c r="S24457" s="11"/>
      <c r="T24457" s="11"/>
    </row>
    <row r="24458" spans="8:20" x14ac:dyDescent="0.35">
      <c r="H24458" s="711"/>
      <c r="I24458" s="711"/>
      <c r="J24458" s="711"/>
      <c r="K24458" s="711"/>
      <c r="L24458" s="711"/>
      <c r="Q24458" s="11"/>
      <c r="R24458" s="11"/>
      <c r="S24458" s="11"/>
      <c r="T24458" s="11"/>
    </row>
    <row r="24459" spans="8:20" x14ac:dyDescent="0.35">
      <c r="H24459" s="711"/>
      <c r="I24459" s="711"/>
      <c r="J24459" s="711"/>
      <c r="K24459" s="711"/>
      <c r="L24459" s="711"/>
      <c r="Q24459" s="11"/>
      <c r="R24459" s="11"/>
      <c r="S24459" s="11"/>
      <c r="T24459" s="11"/>
    </row>
    <row r="24460" spans="8:20" x14ac:dyDescent="0.35">
      <c r="H24460" s="711"/>
      <c r="I24460" s="711"/>
      <c r="J24460" s="711"/>
      <c r="K24460" s="711"/>
      <c r="L24460" s="711"/>
      <c r="Q24460" s="11"/>
      <c r="R24460" s="11"/>
      <c r="S24460" s="11"/>
      <c r="T24460" s="11"/>
    </row>
    <row r="24461" spans="8:20" x14ac:dyDescent="0.35">
      <c r="H24461" s="711"/>
      <c r="I24461" s="711"/>
      <c r="J24461" s="711"/>
      <c r="K24461" s="711"/>
      <c r="L24461" s="711"/>
      <c r="Q24461" s="11"/>
      <c r="R24461" s="11"/>
      <c r="S24461" s="11"/>
      <c r="T24461" s="11"/>
    </row>
    <row r="24462" spans="8:20" x14ac:dyDescent="0.35">
      <c r="H24462" s="711"/>
      <c r="I24462" s="711"/>
      <c r="J24462" s="711"/>
      <c r="K24462" s="711"/>
      <c r="L24462" s="711"/>
      <c r="Q24462" s="11"/>
      <c r="R24462" s="11"/>
      <c r="S24462" s="11"/>
      <c r="T24462" s="11"/>
    </row>
    <row r="24463" spans="8:20" x14ac:dyDescent="0.35">
      <c r="H24463" s="711"/>
      <c r="I24463" s="711"/>
      <c r="J24463" s="711"/>
      <c r="K24463" s="711"/>
      <c r="L24463" s="711"/>
      <c r="Q24463" s="11"/>
      <c r="R24463" s="11"/>
      <c r="S24463" s="11"/>
      <c r="T24463" s="11"/>
    </row>
    <row r="24464" spans="8:20" x14ac:dyDescent="0.35">
      <c r="H24464" s="711"/>
      <c r="I24464" s="711"/>
      <c r="J24464" s="711"/>
      <c r="K24464" s="711"/>
      <c r="L24464" s="711"/>
      <c r="Q24464" s="11"/>
      <c r="R24464" s="11"/>
      <c r="S24464" s="11"/>
      <c r="T24464" s="11"/>
    </row>
    <row r="24465" spans="8:20" x14ac:dyDescent="0.35">
      <c r="H24465" s="711"/>
      <c r="I24465" s="711"/>
      <c r="J24465" s="711"/>
      <c r="K24465" s="711"/>
      <c r="L24465" s="711"/>
      <c r="Q24465" s="11"/>
      <c r="R24465" s="11"/>
      <c r="S24465" s="11"/>
      <c r="T24465" s="11"/>
    </row>
    <row r="24466" spans="8:20" x14ac:dyDescent="0.35">
      <c r="H24466" s="711"/>
      <c r="I24466" s="711"/>
      <c r="J24466" s="711"/>
      <c r="K24466" s="711"/>
      <c r="L24466" s="711"/>
      <c r="Q24466" s="11"/>
      <c r="R24466" s="11"/>
      <c r="S24466" s="11"/>
      <c r="T24466" s="11"/>
    </row>
    <row r="24467" spans="8:20" x14ac:dyDescent="0.35">
      <c r="H24467" s="711"/>
      <c r="I24467" s="711"/>
      <c r="J24467" s="711"/>
      <c r="K24467" s="711"/>
      <c r="L24467" s="711"/>
      <c r="Q24467" s="11"/>
      <c r="R24467" s="11"/>
      <c r="S24467" s="11"/>
      <c r="T24467" s="11"/>
    </row>
    <row r="24468" spans="8:20" x14ac:dyDescent="0.35">
      <c r="H24468" s="711"/>
      <c r="I24468" s="711"/>
      <c r="J24468" s="711"/>
      <c r="K24468" s="711"/>
      <c r="L24468" s="711"/>
      <c r="Q24468" s="11"/>
      <c r="R24468" s="11"/>
      <c r="S24468" s="11"/>
      <c r="T24468" s="11"/>
    </row>
    <row r="24469" spans="8:20" x14ac:dyDescent="0.35">
      <c r="H24469" s="711"/>
      <c r="I24469" s="711"/>
      <c r="J24469" s="711"/>
      <c r="K24469" s="711"/>
      <c r="L24469" s="711"/>
      <c r="Q24469" s="11"/>
      <c r="R24469" s="11"/>
      <c r="S24469" s="11"/>
      <c r="T24469" s="11"/>
    </row>
    <row r="24470" spans="8:20" x14ac:dyDescent="0.35">
      <c r="H24470" s="711"/>
      <c r="I24470" s="711"/>
      <c r="J24470" s="711"/>
      <c r="K24470" s="711"/>
      <c r="L24470" s="711"/>
      <c r="Q24470" s="11"/>
      <c r="R24470" s="11"/>
      <c r="S24470" s="11"/>
      <c r="T24470" s="11"/>
    </row>
    <row r="24471" spans="8:20" x14ac:dyDescent="0.35">
      <c r="H24471" s="711"/>
      <c r="I24471" s="711"/>
      <c r="J24471" s="711"/>
      <c r="K24471" s="711"/>
      <c r="L24471" s="711"/>
      <c r="Q24471" s="11"/>
      <c r="R24471" s="11"/>
      <c r="S24471" s="11"/>
      <c r="T24471" s="11"/>
    </row>
    <row r="24472" spans="8:20" x14ac:dyDescent="0.35">
      <c r="H24472" s="711"/>
      <c r="I24472" s="711"/>
      <c r="J24472" s="711"/>
      <c r="K24472" s="711"/>
      <c r="L24472" s="711"/>
      <c r="Q24472" s="11"/>
      <c r="R24472" s="11"/>
      <c r="S24472" s="11"/>
      <c r="T24472" s="11"/>
    </row>
    <row r="24473" spans="8:20" x14ac:dyDescent="0.35">
      <c r="H24473" s="711"/>
      <c r="I24473" s="711"/>
      <c r="J24473" s="711"/>
      <c r="K24473" s="711"/>
      <c r="L24473" s="711"/>
      <c r="Q24473" s="11"/>
      <c r="R24473" s="11"/>
      <c r="S24473" s="11"/>
      <c r="T24473" s="11"/>
    </row>
    <row r="24474" spans="8:20" x14ac:dyDescent="0.35">
      <c r="H24474" s="711"/>
      <c r="I24474" s="711"/>
      <c r="J24474" s="711"/>
      <c r="K24474" s="711"/>
      <c r="L24474" s="711"/>
      <c r="Q24474" s="11"/>
      <c r="R24474" s="11"/>
      <c r="S24474" s="11"/>
      <c r="T24474" s="11"/>
    </row>
    <row r="24475" spans="8:20" x14ac:dyDescent="0.35">
      <c r="H24475" s="711"/>
      <c r="I24475" s="711"/>
      <c r="J24475" s="711"/>
      <c r="K24475" s="711"/>
      <c r="L24475" s="711"/>
      <c r="Q24475" s="11"/>
      <c r="R24475" s="11"/>
      <c r="S24475" s="11"/>
      <c r="T24475" s="11"/>
    </row>
    <row r="24476" spans="8:20" x14ac:dyDescent="0.35">
      <c r="H24476" s="711"/>
      <c r="I24476" s="711"/>
      <c r="J24476" s="711"/>
      <c r="K24476" s="711"/>
      <c r="L24476" s="711"/>
      <c r="Q24476" s="11"/>
      <c r="R24476" s="11"/>
      <c r="S24476" s="11"/>
      <c r="T24476" s="11"/>
    </row>
    <row r="24477" spans="8:20" x14ac:dyDescent="0.35">
      <c r="H24477" s="711"/>
      <c r="I24477" s="711"/>
      <c r="J24477" s="711"/>
      <c r="K24477" s="711"/>
      <c r="L24477" s="711"/>
      <c r="Q24477" s="11"/>
      <c r="R24477" s="11"/>
      <c r="S24477" s="11"/>
      <c r="T24477" s="11"/>
    </row>
    <row r="24478" spans="8:20" x14ac:dyDescent="0.35">
      <c r="H24478" s="711"/>
      <c r="I24478" s="711"/>
      <c r="J24478" s="711"/>
      <c r="K24478" s="711"/>
      <c r="L24478" s="711"/>
      <c r="Q24478" s="11"/>
      <c r="R24478" s="11"/>
      <c r="S24478" s="11"/>
      <c r="T24478" s="11"/>
    </row>
    <row r="24479" spans="8:20" x14ac:dyDescent="0.35">
      <c r="H24479" s="711"/>
      <c r="I24479" s="711"/>
      <c r="J24479" s="711"/>
      <c r="K24479" s="711"/>
      <c r="L24479" s="711"/>
      <c r="Q24479" s="11"/>
      <c r="R24479" s="11"/>
      <c r="S24479" s="11"/>
      <c r="T24479" s="11"/>
    </row>
    <row r="24480" spans="8:20" x14ac:dyDescent="0.35">
      <c r="H24480" s="711"/>
      <c r="I24480" s="711"/>
      <c r="J24480" s="711"/>
      <c r="K24480" s="711"/>
      <c r="L24480" s="711"/>
      <c r="Q24480" s="11"/>
      <c r="R24480" s="11"/>
      <c r="S24480" s="11"/>
      <c r="T24480" s="11"/>
    </row>
    <row r="24481" spans="8:20" x14ac:dyDescent="0.35">
      <c r="H24481" s="711"/>
      <c r="I24481" s="711"/>
      <c r="J24481" s="711"/>
      <c r="K24481" s="711"/>
      <c r="L24481" s="711"/>
      <c r="Q24481" s="11"/>
      <c r="R24481" s="11"/>
      <c r="S24481" s="11"/>
      <c r="T24481" s="11"/>
    </row>
    <row r="24482" spans="8:20" x14ac:dyDescent="0.35">
      <c r="H24482" s="711"/>
      <c r="I24482" s="711"/>
      <c r="J24482" s="711"/>
      <c r="K24482" s="711"/>
      <c r="L24482" s="711"/>
      <c r="Q24482" s="11"/>
      <c r="R24482" s="11"/>
      <c r="S24482" s="11"/>
      <c r="T24482" s="11"/>
    </row>
    <row r="24483" spans="8:20" x14ac:dyDescent="0.35">
      <c r="H24483" s="711"/>
      <c r="I24483" s="711"/>
      <c r="J24483" s="711"/>
      <c r="K24483" s="711"/>
      <c r="L24483" s="711"/>
      <c r="Q24483" s="11"/>
      <c r="R24483" s="11"/>
      <c r="S24483" s="11"/>
      <c r="T24483" s="11"/>
    </row>
    <row r="24484" spans="8:20" x14ac:dyDescent="0.35">
      <c r="H24484" s="711"/>
      <c r="I24484" s="711"/>
      <c r="J24484" s="711"/>
      <c r="K24484" s="711"/>
      <c r="L24484" s="711"/>
      <c r="Q24484" s="11"/>
      <c r="R24484" s="11"/>
      <c r="S24484" s="11"/>
      <c r="T24484" s="11"/>
    </row>
    <row r="24485" spans="8:20" x14ac:dyDescent="0.35">
      <c r="H24485" s="711"/>
      <c r="I24485" s="711"/>
      <c r="J24485" s="711"/>
      <c r="K24485" s="711"/>
      <c r="L24485" s="711"/>
      <c r="Q24485" s="11"/>
      <c r="R24485" s="11"/>
      <c r="S24485" s="11"/>
      <c r="T24485" s="11"/>
    </row>
    <row r="24486" spans="8:20" x14ac:dyDescent="0.35">
      <c r="H24486" s="711"/>
      <c r="I24486" s="711"/>
      <c r="J24486" s="711"/>
      <c r="K24486" s="711"/>
      <c r="L24486" s="711"/>
      <c r="Q24486" s="11"/>
      <c r="R24486" s="11"/>
      <c r="S24486" s="11"/>
      <c r="T24486" s="11"/>
    </row>
    <row r="24487" spans="8:20" x14ac:dyDescent="0.35">
      <c r="H24487" s="711"/>
      <c r="I24487" s="711"/>
      <c r="J24487" s="711"/>
      <c r="K24487" s="711"/>
      <c r="L24487" s="711"/>
      <c r="Q24487" s="11"/>
      <c r="R24487" s="11"/>
      <c r="S24487" s="11"/>
      <c r="T24487" s="11"/>
    </row>
    <row r="24488" spans="8:20" x14ac:dyDescent="0.35">
      <c r="H24488" s="711"/>
      <c r="I24488" s="711"/>
      <c r="J24488" s="711"/>
      <c r="K24488" s="711"/>
      <c r="L24488" s="711"/>
      <c r="Q24488" s="11"/>
      <c r="R24488" s="11"/>
      <c r="S24488" s="11"/>
      <c r="T24488" s="11"/>
    </row>
    <row r="24489" spans="8:20" x14ac:dyDescent="0.35">
      <c r="H24489" s="711"/>
      <c r="I24489" s="711"/>
      <c r="J24489" s="711"/>
      <c r="K24489" s="711"/>
      <c r="L24489" s="711"/>
      <c r="Q24489" s="11"/>
      <c r="R24489" s="11"/>
      <c r="S24489" s="11"/>
      <c r="T24489" s="11"/>
    </row>
    <row r="24490" spans="8:20" x14ac:dyDescent="0.35">
      <c r="H24490" s="711"/>
      <c r="I24490" s="711"/>
      <c r="J24490" s="711"/>
      <c r="K24490" s="711"/>
      <c r="L24490" s="711"/>
      <c r="Q24490" s="11"/>
      <c r="R24490" s="11"/>
      <c r="S24490" s="11"/>
      <c r="T24490" s="11"/>
    </row>
    <row r="24491" spans="8:20" x14ac:dyDescent="0.35">
      <c r="H24491" s="711"/>
      <c r="I24491" s="711"/>
      <c r="J24491" s="711"/>
      <c r="K24491" s="711"/>
      <c r="L24491" s="711"/>
      <c r="Q24491" s="11"/>
      <c r="R24491" s="11"/>
      <c r="S24491" s="11"/>
      <c r="T24491" s="11"/>
    </row>
    <row r="24492" spans="8:20" x14ac:dyDescent="0.35">
      <c r="H24492" s="711"/>
      <c r="I24492" s="711"/>
      <c r="J24492" s="711"/>
      <c r="K24492" s="711"/>
      <c r="L24492" s="711"/>
      <c r="Q24492" s="11"/>
      <c r="R24492" s="11"/>
      <c r="S24492" s="11"/>
      <c r="T24492" s="11"/>
    </row>
    <row r="24493" spans="8:20" x14ac:dyDescent="0.35">
      <c r="H24493" s="711"/>
      <c r="I24493" s="711"/>
      <c r="J24493" s="711"/>
      <c r="K24493" s="711"/>
      <c r="L24493" s="711"/>
      <c r="Q24493" s="11"/>
      <c r="R24493" s="11"/>
      <c r="S24493" s="11"/>
      <c r="T24493" s="11"/>
    </row>
    <row r="24494" spans="8:20" x14ac:dyDescent="0.35">
      <c r="H24494" s="711"/>
      <c r="I24494" s="711"/>
      <c r="J24494" s="711"/>
      <c r="K24494" s="711"/>
      <c r="L24494" s="711"/>
      <c r="Q24494" s="11"/>
      <c r="R24494" s="11"/>
      <c r="S24494" s="11"/>
      <c r="T24494" s="11"/>
    </row>
    <row r="24495" spans="8:20" x14ac:dyDescent="0.35">
      <c r="H24495" s="711"/>
      <c r="I24495" s="711"/>
      <c r="J24495" s="711"/>
      <c r="K24495" s="711"/>
      <c r="L24495" s="711"/>
      <c r="Q24495" s="11"/>
      <c r="R24495" s="11"/>
      <c r="S24495" s="11"/>
      <c r="T24495" s="11"/>
    </row>
    <row r="24496" spans="8:20" x14ac:dyDescent="0.35">
      <c r="H24496" s="711"/>
      <c r="I24496" s="711"/>
      <c r="J24496" s="711"/>
      <c r="K24496" s="711"/>
      <c r="L24496" s="711"/>
      <c r="Q24496" s="11"/>
      <c r="R24496" s="11"/>
      <c r="S24496" s="11"/>
      <c r="T24496" s="11"/>
    </row>
    <row r="24497" spans="8:20" x14ac:dyDescent="0.35">
      <c r="H24497" s="711"/>
      <c r="I24497" s="711"/>
      <c r="J24497" s="711"/>
      <c r="K24497" s="711"/>
      <c r="L24497" s="711"/>
      <c r="Q24497" s="11"/>
      <c r="R24497" s="11"/>
      <c r="S24497" s="11"/>
      <c r="T24497" s="11"/>
    </row>
    <row r="24498" spans="8:20" x14ac:dyDescent="0.35">
      <c r="H24498" s="711"/>
      <c r="I24498" s="711"/>
      <c r="J24498" s="711"/>
      <c r="K24498" s="711"/>
      <c r="L24498" s="711"/>
      <c r="Q24498" s="11"/>
      <c r="R24498" s="11"/>
      <c r="S24498" s="11"/>
      <c r="T24498" s="11"/>
    </row>
    <row r="24499" spans="8:20" x14ac:dyDescent="0.35">
      <c r="H24499" s="711"/>
      <c r="I24499" s="711"/>
      <c r="J24499" s="711"/>
      <c r="K24499" s="711"/>
      <c r="L24499" s="711"/>
      <c r="Q24499" s="11"/>
      <c r="R24499" s="11"/>
      <c r="S24499" s="11"/>
      <c r="T24499" s="11"/>
    </row>
    <row r="24500" spans="8:20" x14ac:dyDescent="0.35">
      <c r="H24500" s="711"/>
      <c r="I24500" s="711"/>
      <c r="J24500" s="711"/>
      <c r="K24500" s="711"/>
      <c r="L24500" s="711"/>
      <c r="Q24500" s="11"/>
      <c r="R24500" s="11"/>
      <c r="S24500" s="11"/>
      <c r="T24500" s="11"/>
    </row>
    <row r="24501" spans="8:20" x14ac:dyDescent="0.35">
      <c r="H24501" s="711"/>
      <c r="I24501" s="711"/>
      <c r="J24501" s="711"/>
      <c r="K24501" s="711"/>
      <c r="L24501" s="711"/>
      <c r="Q24501" s="11"/>
      <c r="R24501" s="11"/>
      <c r="S24501" s="11"/>
      <c r="T24501" s="11"/>
    </row>
    <row r="24502" spans="8:20" x14ac:dyDescent="0.35">
      <c r="H24502" s="711"/>
      <c r="I24502" s="711"/>
      <c r="J24502" s="711"/>
      <c r="K24502" s="711"/>
      <c r="L24502" s="711"/>
      <c r="Q24502" s="11"/>
      <c r="R24502" s="11"/>
      <c r="S24502" s="11"/>
      <c r="T24502" s="11"/>
    </row>
    <row r="24503" spans="8:20" x14ac:dyDescent="0.35">
      <c r="H24503" s="711"/>
      <c r="I24503" s="711"/>
      <c r="J24503" s="711"/>
      <c r="K24503" s="711"/>
      <c r="L24503" s="711"/>
      <c r="Q24503" s="11"/>
      <c r="R24503" s="11"/>
      <c r="S24503" s="11"/>
      <c r="T24503" s="11"/>
    </row>
    <row r="24504" spans="8:20" x14ac:dyDescent="0.35">
      <c r="H24504" s="711"/>
      <c r="I24504" s="711"/>
      <c r="J24504" s="711"/>
      <c r="K24504" s="711"/>
      <c r="L24504" s="711"/>
      <c r="Q24504" s="11"/>
      <c r="R24504" s="11"/>
      <c r="S24504" s="11"/>
      <c r="T24504" s="11"/>
    </row>
    <row r="24505" spans="8:20" x14ac:dyDescent="0.35">
      <c r="H24505" s="711"/>
      <c r="I24505" s="711"/>
      <c r="J24505" s="711"/>
      <c r="K24505" s="711"/>
      <c r="L24505" s="711"/>
      <c r="Q24505" s="11"/>
      <c r="R24505" s="11"/>
      <c r="S24505" s="11"/>
      <c r="T24505" s="11"/>
    </row>
    <row r="24506" spans="8:20" x14ac:dyDescent="0.35">
      <c r="H24506" s="711"/>
      <c r="I24506" s="711"/>
      <c r="J24506" s="711"/>
      <c r="K24506" s="711"/>
      <c r="L24506" s="711"/>
      <c r="Q24506" s="11"/>
      <c r="R24506" s="11"/>
      <c r="S24506" s="11"/>
      <c r="T24506" s="11"/>
    </row>
    <row r="24507" spans="8:20" x14ac:dyDescent="0.35">
      <c r="H24507" s="711"/>
      <c r="I24507" s="711"/>
      <c r="J24507" s="711"/>
      <c r="K24507" s="711"/>
      <c r="L24507" s="711"/>
      <c r="Q24507" s="11"/>
      <c r="R24507" s="11"/>
      <c r="S24507" s="11"/>
      <c r="T24507" s="11"/>
    </row>
    <row r="24508" spans="8:20" x14ac:dyDescent="0.35">
      <c r="H24508" s="711"/>
      <c r="I24508" s="711"/>
      <c r="J24508" s="711"/>
      <c r="K24508" s="711"/>
      <c r="L24508" s="711"/>
      <c r="Q24508" s="11"/>
      <c r="R24508" s="11"/>
      <c r="S24508" s="11"/>
      <c r="T24508" s="11"/>
    </row>
    <row r="24509" spans="8:20" x14ac:dyDescent="0.35">
      <c r="H24509" s="711"/>
      <c r="I24509" s="711"/>
      <c r="J24509" s="711"/>
      <c r="K24509" s="711"/>
      <c r="L24509" s="711"/>
      <c r="Q24509" s="11"/>
      <c r="R24509" s="11"/>
      <c r="S24509" s="11"/>
      <c r="T24509" s="11"/>
    </row>
    <row r="24510" spans="8:20" x14ac:dyDescent="0.35">
      <c r="H24510" s="711"/>
      <c r="I24510" s="711"/>
      <c r="J24510" s="711"/>
      <c r="K24510" s="711"/>
      <c r="L24510" s="711"/>
      <c r="Q24510" s="11"/>
      <c r="R24510" s="11"/>
      <c r="S24510" s="11"/>
      <c r="T24510" s="11"/>
    </row>
    <row r="24511" spans="8:20" x14ac:dyDescent="0.35">
      <c r="H24511" s="711"/>
      <c r="I24511" s="711"/>
      <c r="J24511" s="711"/>
      <c r="K24511" s="711"/>
      <c r="L24511" s="711"/>
      <c r="Q24511" s="11"/>
      <c r="R24511" s="11"/>
      <c r="S24511" s="11"/>
      <c r="T24511" s="11"/>
    </row>
    <row r="24512" spans="8:20" x14ac:dyDescent="0.35">
      <c r="H24512" s="711"/>
      <c r="I24512" s="711"/>
      <c r="J24512" s="711"/>
      <c r="K24512" s="711"/>
      <c r="L24512" s="711"/>
      <c r="Q24512" s="11"/>
      <c r="R24512" s="11"/>
      <c r="S24512" s="11"/>
      <c r="T24512" s="11"/>
    </row>
    <row r="24513" spans="8:20" x14ac:dyDescent="0.35">
      <c r="H24513" s="711"/>
      <c r="I24513" s="711"/>
      <c r="J24513" s="711"/>
      <c r="K24513" s="711"/>
      <c r="L24513" s="711"/>
      <c r="Q24513" s="11"/>
      <c r="R24513" s="11"/>
      <c r="S24513" s="11"/>
      <c r="T24513" s="11"/>
    </row>
    <row r="24514" spans="8:20" x14ac:dyDescent="0.35">
      <c r="H24514" s="711"/>
      <c r="I24514" s="711"/>
      <c r="J24514" s="711"/>
      <c r="K24514" s="711"/>
      <c r="L24514" s="711"/>
      <c r="Q24514" s="11"/>
      <c r="R24514" s="11"/>
      <c r="S24514" s="11"/>
      <c r="T24514" s="11"/>
    </row>
    <row r="24515" spans="8:20" x14ac:dyDescent="0.35">
      <c r="H24515" s="711"/>
      <c r="I24515" s="711"/>
      <c r="J24515" s="711"/>
      <c r="K24515" s="711"/>
      <c r="L24515" s="711"/>
      <c r="Q24515" s="11"/>
      <c r="R24515" s="11"/>
      <c r="S24515" s="11"/>
      <c r="T24515" s="11"/>
    </row>
    <row r="24516" spans="8:20" x14ac:dyDescent="0.35">
      <c r="H24516" s="711"/>
      <c r="I24516" s="711"/>
      <c r="J24516" s="711"/>
      <c r="K24516" s="711"/>
      <c r="L24516" s="711"/>
      <c r="Q24516" s="11"/>
      <c r="R24516" s="11"/>
      <c r="S24516" s="11"/>
      <c r="T24516" s="11"/>
    </row>
    <row r="24517" spans="8:20" x14ac:dyDescent="0.35">
      <c r="H24517" s="711"/>
      <c r="I24517" s="711"/>
      <c r="J24517" s="711"/>
      <c r="K24517" s="711"/>
      <c r="L24517" s="711"/>
      <c r="Q24517" s="11"/>
      <c r="R24517" s="11"/>
      <c r="S24517" s="11"/>
      <c r="T24517" s="11"/>
    </row>
    <row r="24518" spans="8:20" x14ac:dyDescent="0.35">
      <c r="H24518" s="711"/>
      <c r="I24518" s="711"/>
      <c r="J24518" s="711"/>
      <c r="K24518" s="711"/>
      <c r="L24518" s="711"/>
      <c r="Q24518" s="11"/>
      <c r="R24518" s="11"/>
      <c r="S24518" s="11"/>
      <c r="T24518" s="11"/>
    </row>
    <row r="24519" spans="8:20" x14ac:dyDescent="0.35">
      <c r="H24519" s="711"/>
      <c r="I24519" s="711"/>
      <c r="J24519" s="711"/>
      <c r="K24519" s="711"/>
      <c r="L24519" s="711"/>
      <c r="Q24519" s="11"/>
      <c r="R24519" s="11"/>
      <c r="S24519" s="11"/>
      <c r="T24519" s="11"/>
    </row>
    <row r="24520" spans="8:20" x14ac:dyDescent="0.35">
      <c r="H24520" s="711"/>
      <c r="I24520" s="711"/>
      <c r="J24520" s="711"/>
      <c r="K24520" s="711"/>
      <c r="L24520" s="711"/>
      <c r="Q24520" s="11"/>
      <c r="R24520" s="11"/>
      <c r="S24520" s="11"/>
      <c r="T24520" s="11"/>
    </row>
    <row r="24521" spans="8:20" x14ac:dyDescent="0.35">
      <c r="H24521" s="711"/>
      <c r="I24521" s="711"/>
      <c r="J24521" s="711"/>
      <c r="K24521" s="711"/>
      <c r="L24521" s="711"/>
      <c r="Q24521" s="11"/>
      <c r="R24521" s="11"/>
      <c r="S24521" s="11"/>
      <c r="T24521" s="11"/>
    </row>
    <row r="24522" spans="8:20" x14ac:dyDescent="0.35">
      <c r="H24522" s="711"/>
      <c r="I24522" s="711"/>
      <c r="J24522" s="711"/>
      <c r="K24522" s="711"/>
      <c r="L24522" s="711"/>
      <c r="Q24522" s="11"/>
      <c r="R24522" s="11"/>
      <c r="S24522" s="11"/>
      <c r="T24522" s="11"/>
    </row>
    <row r="24523" spans="8:20" x14ac:dyDescent="0.35">
      <c r="H24523" s="711"/>
      <c r="I24523" s="711"/>
      <c r="J24523" s="711"/>
      <c r="K24523" s="711"/>
      <c r="L24523" s="711"/>
      <c r="Q24523" s="11"/>
      <c r="R24523" s="11"/>
      <c r="S24523" s="11"/>
      <c r="T24523" s="11"/>
    </row>
    <row r="24524" spans="8:20" x14ac:dyDescent="0.35">
      <c r="H24524" s="711"/>
      <c r="I24524" s="711"/>
      <c r="J24524" s="711"/>
      <c r="K24524" s="711"/>
      <c r="L24524" s="711"/>
      <c r="Q24524" s="11"/>
      <c r="R24524" s="11"/>
      <c r="S24524" s="11"/>
      <c r="T24524" s="11"/>
    </row>
    <row r="24525" spans="8:20" x14ac:dyDescent="0.35">
      <c r="H24525" s="711"/>
      <c r="I24525" s="711"/>
      <c r="J24525" s="711"/>
      <c r="K24525" s="711"/>
      <c r="L24525" s="711"/>
      <c r="Q24525" s="11"/>
      <c r="R24525" s="11"/>
      <c r="S24525" s="11"/>
      <c r="T24525" s="11"/>
    </row>
    <row r="24526" spans="8:20" x14ac:dyDescent="0.35">
      <c r="H24526" s="711"/>
      <c r="I24526" s="711"/>
      <c r="J24526" s="711"/>
      <c r="K24526" s="711"/>
      <c r="L24526" s="711"/>
      <c r="Q24526" s="11"/>
      <c r="R24526" s="11"/>
      <c r="S24526" s="11"/>
      <c r="T24526" s="11"/>
    </row>
    <row r="24527" spans="8:20" x14ac:dyDescent="0.35">
      <c r="H24527" s="711"/>
      <c r="I24527" s="711"/>
      <c r="J24527" s="711"/>
      <c r="K24527" s="711"/>
      <c r="L24527" s="711"/>
      <c r="Q24527" s="11"/>
      <c r="R24527" s="11"/>
      <c r="S24527" s="11"/>
      <c r="T24527" s="11"/>
    </row>
    <row r="24528" spans="8:20" x14ac:dyDescent="0.35">
      <c r="H24528" s="711"/>
      <c r="I24528" s="711"/>
      <c r="J24528" s="711"/>
      <c r="K24528" s="711"/>
      <c r="L24528" s="711"/>
      <c r="Q24528" s="11"/>
      <c r="R24528" s="11"/>
      <c r="S24528" s="11"/>
      <c r="T24528" s="11"/>
    </row>
    <row r="24529" spans="8:20" x14ac:dyDescent="0.35">
      <c r="H24529" s="711"/>
      <c r="I24529" s="711"/>
      <c r="J24529" s="711"/>
      <c r="K24529" s="711"/>
      <c r="L24529" s="711"/>
      <c r="Q24529" s="11"/>
      <c r="R24529" s="11"/>
      <c r="S24529" s="11"/>
      <c r="T24529" s="11"/>
    </row>
    <row r="24530" spans="8:20" x14ac:dyDescent="0.35">
      <c r="H24530" s="711"/>
      <c r="I24530" s="711"/>
      <c r="J24530" s="711"/>
      <c r="K24530" s="711"/>
      <c r="L24530" s="711"/>
      <c r="Q24530" s="11"/>
      <c r="R24530" s="11"/>
      <c r="S24530" s="11"/>
      <c r="T24530" s="11"/>
    </row>
    <row r="24531" spans="8:20" x14ac:dyDescent="0.35">
      <c r="H24531" s="711"/>
      <c r="I24531" s="711"/>
      <c r="J24531" s="711"/>
      <c r="K24531" s="711"/>
      <c r="L24531" s="711"/>
      <c r="Q24531" s="11"/>
      <c r="R24531" s="11"/>
      <c r="S24531" s="11"/>
      <c r="T24531" s="11"/>
    </row>
    <row r="24532" spans="8:20" x14ac:dyDescent="0.35">
      <c r="H24532" s="711"/>
      <c r="I24532" s="711"/>
      <c r="J24532" s="711"/>
      <c r="K24532" s="711"/>
      <c r="L24532" s="711"/>
      <c r="Q24532" s="11"/>
      <c r="R24532" s="11"/>
      <c r="S24532" s="11"/>
      <c r="T24532" s="11"/>
    </row>
    <row r="24533" spans="8:20" x14ac:dyDescent="0.35">
      <c r="H24533" s="711"/>
      <c r="I24533" s="711"/>
      <c r="J24533" s="711"/>
      <c r="K24533" s="711"/>
      <c r="L24533" s="711"/>
      <c r="Q24533" s="11"/>
      <c r="R24533" s="11"/>
      <c r="S24533" s="11"/>
      <c r="T24533" s="11"/>
    </row>
    <row r="24534" spans="8:20" x14ac:dyDescent="0.35">
      <c r="H24534" s="711"/>
      <c r="I24534" s="711"/>
      <c r="J24534" s="711"/>
      <c r="K24534" s="711"/>
      <c r="L24534" s="711"/>
      <c r="Q24534" s="11"/>
      <c r="R24534" s="11"/>
      <c r="S24534" s="11"/>
      <c r="T24534" s="11"/>
    </row>
    <row r="24535" spans="8:20" x14ac:dyDescent="0.35">
      <c r="H24535" s="711"/>
      <c r="I24535" s="711"/>
      <c r="J24535" s="711"/>
      <c r="K24535" s="711"/>
      <c r="L24535" s="711"/>
      <c r="Q24535" s="11"/>
      <c r="R24535" s="11"/>
      <c r="S24535" s="11"/>
      <c r="T24535" s="11"/>
    </row>
    <row r="24536" spans="8:20" x14ac:dyDescent="0.35">
      <c r="H24536" s="711"/>
      <c r="I24536" s="711"/>
      <c r="J24536" s="711"/>
      <c r="K24536" s="711"/>
      <c r="L24536" s="711"/>
      <c r="Q24536" s="11"/>
      <c r="R24536" s="11"/>
      <c r="S24536" s="11"/>
      <c r="T24536" s="11"/>
    </row>
    <row r="24537" spans="8:20" x14ac:dyDescent="0.35">
      <c r="H24537" s="711"/>
      <c r="I24537" s="711"/>
      <c r="J24537" s="711"/>
      <c r="K24537" s="711"/>
      <c r="L24537" s="711"/>
      <c r="Q24537" s="11"/>
      <c r="R24537" s="11"/>
      <c r="S24537" s="11"/>
      <c r="T24537" s="11"/>
    </row>
    <row r="24538" spans="8:20" x14ac:dyDescent="0.35">
      <c r="H24538" s="711"/>
      <c r="I24538" s="711"/>
      <c r="J24538" s="711"/>
      <c r="K24538" s="711"/>
      <c r="L24538" s="711"/>
      <c r="Q24538" s="11"/>
      <c r="R24538" s="11"/>
      <c r="S24538" s="11"/>
      <c r="T24538" s="11"/>
    </row>
    <row r="24539" spans="8:20" x14ac:dyDescent="0.35">
      <c r="H24539" s="711"/>
      <c r="I24539" s="711"/>
      <c r="J24539" s="711"/>
      <c r="K24539" s="711"/>
      <c r="L24539" s="711"/>
      <c r="Q24539" s="11"/>
      <c r="R24539" s="11"/>
      <c r="S24539" s="11"/>
      <c r="T24539" s="11"/>
    </row>
    <row r="24540" spans="8:20" x14ac:dyDescent="0.35">
      <c r="H24540" s="711"/>
      <c r="I24540" s="711"/>
      <c r="J24540" s="711"/>
      <c r="K24540" s="711"/>
      <c r="L24540" s="711"/>
      <c r="Q24540" s="11"/>
      <c r="R24540" s="11"/>
      <c r="S24540" s="11"/>
      <c r="T24540" s="11"/>
    </row>
    <row r="24541" spans="8:20" x14ac:dyDescent="0.35">
      <c r="H24541" s="711"/>
      <c r="I24541" s="711"/>
      <c r="J24541" s="711"/>
      <c r="K24541" s="711"/>
      <c r="L24541" s="711"/>
      <c r="Q24541" s="11"/>
      <c r="R24541" s="11"/>
      <c r="S24541" s="11"/>
      <c r="T24541" s="11"/>
    </row>
    <row r="24542" spans="8:20" x14ac:dyDescent="0.35">
      <c r="H24542" s="711"/>
      <c r="I24542" s="711"/>
      <c r="J24542" s="711"/>
      <c r="K24542" s="711"/>
      <c r="L24542" s="711"/>
      <c r="Q24542" s="11"/>
      <c r="R24542" s="11"/>
      <c r="S24542" s="11"/>
      <c r="T24542" s="11"/>
    </row>
    <row r="24543" spans="8:20" x14ac:dyDescent="0.35">
      <c r="H24543" s="711"/>
      <c r="I24543" s="711"/>
      <c r="J24543" s="711"/>
      <c r="K24543" s="711"/>
      <c r="L24543" s="711"/>
      <c r="Q24543" s="11"/>
      <c r="R24543" s="11"/>
      <c r="S24543" s="11"/>
      <c r="T24543" s="11"/>
    </row>
    <row r="24544" spans="8:20" x14ac:dyDescent="0.35">
      <c r="H24544" s="711"/>
      <c r="I24544" s="711"/>
      <c r="J24544" s="711"/>
      <c r="K24544" s="711"/>
      <c r="L24544" s="711"/>
      <c r="Q24544" s="11"/>
      <c r="R24544" s="11"/>
      <c r="S24544" s="11"/>
      <c r="T24544" s="11"/>
    </row>
    <row r="24545" spans="8:20" x14ac:dyDescent="0.35">
      <c r="H24545" s="711"/>
      <c r="I24545" s="711"/>
      <c r="J24545" s="711"/>
      <c r="K24545" s="711"/>
      <c r="L24545" s="711"/>
      <c r="Q24545" s="11"/>
      <c r="R24545" s="11"/>
      <c r="S24545" s="11"/>
      <c r="T24545" s="11"/>
    </row>
    <row r="24546" spans="8:20" x14ac:dyDescent="0.35">
      <c r="H24546" s="711"/>
      <c r="I24546" s="711"/>
      <c r="J24546" s="711"/>
      <c r="K24546" s="711"/>
      <c r="L24546" s="711"/>
      <c r="Q24546" s="11"/>
      <c r="R24546" s="11"/>
      <c r="S24546" s="11"/>
      <c r="T24546" s="11"/>
    </row>
    <row r="24547" spans="8:20" x14ac:dyDescent="0.35">
      <c r="H24547" s="711"/>
      <c r="I24547" s="711"/>
      <c r="J24547" s="711"/>
      <c r="K24547" s="711"/>
      <c r="L24547" s="711"/>
      <c r="Q24547" s="11"/>
      <c r="R24547" s="11"/>
      <c r="S24547" s="11"/>
      <c r="T24547" s="11"/>
    </row>
    <row r="24548" spans="8:20" x14ac:dyDescent="0.35">
      <c r="H24548" s="711"/>
      <c r="I24548" s="711"/>
      <c r="J24548" s="711"/>
      <c r="K24548" s="711"/>
      <c r="L24548" s="711"/>
      <c r="Q24548" s="11"/>
      <c r="R24548" s="11"/>
      <c r="S24548" s="11"/>
      <c r="T24548" s="11"/>
    </row>
    <row r="24549" spans="8:20" x14ac:dyDescent="0.35">
      <c r="H24549" s="711"/>
      <c r="I24549" s="711"/>
      <c r="J24549" s="711"/>
      <c r="K24549" s="711"/>
      <c r="L24549" s="711"/>
      <c r="Q24549" s="11"/>
      <c r="R24549" s="11"/>
      <c r="S24549" s="11"/>
      <c r="T24549" s="11"/>
    </row>
    <row r="24550" spans="8:20" x14ac:dyDescent="0.35">
      <c r="H24550" s="711"/>
      <c r="I24550" s="711"/>
      <c r="J24550" s="711"/>
      <c r="K24550" s="711"/>
      <c r="L24550" s="711"/>
      <c r="Q24550" s="11"/>
      <c r="R24550" s="11"/>
      <c r="S24550" s="11"/>
      <c r="T24550" s="11"/>
    </row>
    <row r="24551" spans="8:20" x14ac:dyDescent="0.35">
      <c r="H24551" s="711"/>
      <c r="I24551" s="711"/>
      <c r="J24551" s="711"/>
      <c r="K24551" s="711"/>
      <c r="L24551" s="711"/>
      <c r="Q24551" s="11"/>
      <c r="R24551" s="11"/>
      <c r="S24551" s="11"/>
      <c r="T24551" s="11"/>
    </row>
    <row r="24552" spans="8:20" x14ac:dyDescent="0.35">
      <c r="H24552" s="711"/>
      <c r="I24552" s="711"/>
      <c r="J24552" s="711"/>
      <c r="K24552" s="711"/>
      <c r="L24552" s="711"/>
      <c r="Q24552" s="11"/>
      <c r="R24552" s="11"/>
      <c r="S24552" s="11"/>
      <c r="T24552" s="11"/>
    </row>
    <row r="24553" spans="8:20" x14ac:dyDescent="0.35">
      <c r="H24553" s="711"/>
      <c r="I24553" s="711"/>
      <c r="J24553" s="711"/>
      <c r="K24553" s="711"/>
      <c r="L24553" s="711"/>
      <c r="Q24553" s="11"/>
      <c r="R24553" s="11"/>
      <c r="S24553" s="11"/>
      <c r="T24553" s="11"/>
    </row>
    <row r="24554" spans="8:20" x14ac:dyDescent="0.35">
      <c r="H24554" s="711"/>
      <c r="I24554" s="711"/>
      <c r="J24554" s="711"/>
      <c r="K24554" s="711"/>
      <c r="L24554" s="711"/>
      <c r="Q24554" s="11"/>
      <c r="R24554" s="11"/>
      <c r="S24554" s="11"/>
      <c r="T24554" s="11"/>
    </row>
    <row r="24555" spans="8:20" x14ac:dyDescent="0.35">
      <c r="H24555" s="711"/>
      <c r="I24555" s="711"/>
      <c r="J24555" s="711"/>
      <c r="K24555" s="711"/>
      <c r="L24555" s="711"/>
      <c r="Q24555" s="11"/>
      <c r="R24555" s="11"/>
      <c r="S24555" s="11"/>
      <c r="T24555" s="11"/>
    </row>
    <row r="24556" spans="8:20" x14ac:dyDescent="0.35">
      <c r="H24556" s="711"/>
      <c r="I24556" s="711"/>
      <c r="J24556" s="711"/>
      <c r="K24556" s="711"/>
      <c r="L24556" s="711"/>
      <c r="Q24556" s="11"/>
      <c r="R24556" s="11"/>
      <c r="S24556" s="11"/>
      <c r="T24556" s="11"/>
    </row>
    <row r="24557" spans="8:20" x14ac:dyDescent="0.35">
      <c r="H24557" s="711"/>
      <c r="I24557" s="711"/>
      <c r="J24557" s="711"/>
      <c r="K24557" s="711"/>
      <c r="L24557" s="711"/>
      <c r="Q24557" s="11"/>
      <c r="R24557" s="11"/>
      <c r="S24557" s="11"/>
      <c r="T24557" s="11"/>
    </row>
    <row r="24558" spans="8:20" x14ac:dyDescent="0.35">
      <c r="H24558" s="711"/>
      <c r="I24558" s="711"/>
      <c r="J24558" s="711"/>
      <c r="K24558" s="711"/>
      <c r="L24558" s="711"/>
      <c r="Q24558" s="11"/>
      <c r="R24558" s="11"/>
      <c r="S24558" s="11"/>
      <c r="T24558" s="11"/>
    </row>
    <row r="24559" spans="8:20" x14ac:dyDescent="0.35">
      <c r="H24559" s="711"/>
      <c r="I24559" s="711"/>
      <c r="J24559" s="711"/>
      <c r="K24559" s="711"/>
      <c r="L24559" s="711"/>
      <c r="Q24559" s="11"/>
      <c r="R24559" s="11"/>
      <c r="S24559" s="11"/>
      <c r="T24559" s="11"/>
    </row>
    <row r="24560" spans="8:20" x14ac:dyDescent="0.35">
      <c r="H24560" s="711"/>
      <c r="I24560" s="711"/>
      <c r="J24560" s="711"/>
      <c r="K24560" s="711"/>
      <c r="L24560" s="711"/>
      <c r="Q24560" s="11"/>
      <c r="R24560" s="11"/>
      <c r="S24560" s="11"/>
      <c r="T24560" s="11"/>
    </row>
    <row r="24561" spans="8:20" x14ac:dyDescent="0.35">
      <c r="H24561" s="711"/>
      <c r="I24561" s="711"/>
      <c r="J24561" s="711"/>
      <c r="K24561" s="711"/>
      <c r="L24561" s="711"/>
      <c r="Q24561" s="11"/>
      <c r="R24561" s="11"/>
      <c r="S24561" s="11"/>
      <c r="T24561" s="11"/>
    </row>
    <row r="24562" spans="8:20" x14ac:dyDescent="0.35">
      <c r="H24562" s="711"/>
      <c r="I24562" s="711"/>
      <c r="J24562" s="711"/>
      <c r="K24562" s="711"/>
      <c r="L24562" s="711"/>
      <c r="Q24562" s="11"/>
      <c r="R24562" s="11"/>
      <c r="S24562" s="11"/>
      <c r="T24562" s="11"/>
    </row>
    <row r="24563" spans="8:20" x14ac:dyDescent="0.35">
      <c r="H24563" s="711"/>
      <c r="I24563" s="711"/>
      <c r="J24563" s="711"/>
      <c r="K24563" s="711"/>
      <c r="L24563" s="711"/>
      <c r="Q24563" s="11"/>
      <c r="R24563" s="11"/>
      <c r="S24563" s="11"/>
      <c r="T24563" s="11"/>
    </row>
    <row r="24564" spans="8:20" x14ac:dyDescent="0.35">
      <c r="H24564" s="711"/>
      <c r="I24564" s="711"/>
      <c r="J24564" s="711"/>
      <c r="K24564" s="711"/>
      <c r="L24564" s="711"/>
      <c r="Q24564" s="11"/>
      <c r="R24564" s="11"/>
      <c r="S24564" s="11"/>
      <c r="T24564" s="11"/>
    </row>
    <row r="24565" spans="8:20" x14ac:dyDescent="0.35">
      <c r="H24565" s="711"/>
      <c r="I24565" s="711"/>
      <c r="J24565" s="711"/>
      <c r="K24565" s="711"/>
      <c r="L24565" s="711"/>
      <c r="Q24565" s="11"/>
      <c r="R24565" s="11"/>
      <c r="S24565" s="11"/>
      <c r="T24565" s="11"/>
    </row>
    <row r="24566" spans="8:20" x14ac:dyDescent="0.35">
      <c r="H24566" s="711"/>
      <c r="I24566" s="711"/>
      <c r="J24566" s="711"/>
      <c r="K24566" s="711"/>
      <c r="L24566" s="711"/>
      <c r="Q24566" s="11"/>
      <c r="R24566" s="11"/>
      <c r="S24566" s="11"/>
      <c r="T24566" s="11"/>
    </row>
    <row r="24567" spans="8:20" x14ac:dyDescent="0.35">
      <c r="H24567" s="711"/>
      <c r="I24567" s="711"/>
      <c r="J24567" s="711"/>
      <c r="K24567" s="711"/>
      <c r="L24567" s="711"/>
      <c r="Q24567" s="11"/>
      <c r="R24567" s="11"/>
      <c r="S24567" s="11"/>
      <c r="T24567" s="11"/>
    </row>
    <row r="24568" spans="8:20" x14ac:dyDescent="0.35">
      <c r="H24568" s="711"/>
      <c r="I24568" s="711"/>
      <c r="J24568" s="711"/>
      <c r="K24568" s="711"/>
      <c r="L24568" s="711"/>
      <c r="Q24568" s="11"/>
      <c r="R24568" s="11"/>
      <c r="S24568" s="11"/>
      <c r="T24568" s="11"/>
    </row>
    <row r="24569" spans="8:20" x14ac:dyDescent="0.35">
      <c r="H24569" s="711"/>
      <c r="I24569" s="711"/>
      <c r="J24569" s="711"/>
      <c r="K24569" s="711"/>
      <c r="L24569" s="711"/>
      <c r="Q24569" s="11"/>
      <c r="R24569" s="11"/>
      <c r="S24569" s="11"/>
      <c r="T24569" s="11"/>
    </row>
    <row r="24570" spans="8:20" x14ac:dyDescent="0.35">
      <c r="H24570" s="711"/>
      <c r="I24570" s="711"/>
      <c r="J24570" s="711"/>
      <c r="K24570" s="711"/>
      <c r="L24570" s="711"/>
      <c r="Q24570" s="11"/>
      <c r="R24570" s="11"/>
      <c r="S24570" s="11"/>
      <c r="T24570" s="11"/>
    </row>
    <row r="24571" spans="8:20" x14ac:dyDescent="0.35">
      <c r="H24571" s="711"/>
      <c r="I24571" s="711"/>
      <c r="J24571" s="711"/>
      <c r="K24571" s="711"/>
      <c r="L24571" s="711"/>
      <c r="Q24571" s="11"/>
      <c r="R24571" s="11"/>
      <c r="S24571" s="11"/>
      <c r="T24571" s="11"/>
    </row>
    <row r="24572" spans="8:20" x14ac:dyDescent="0.35">
      <c r="H24572" s="711"/>
      <c r="I24572" s="711"/>
      <c r="J24572" s="711"/>
      <c r="K24572" s="711"/>
      <c r="L24572" s="711"/>
      <c r="Q24572" s="11"/>
      <c r="R24572" s="11"/>
      <c r="S24572" s="11"/>
      <c r="T24572" s="11"/>
    </row>
    <row r="24573" spans="8:20" x14ac:dyDescent="0.35">
      <c r="H24573" s="711"/>
      <c r="I24573" s="711"/>
      <c r="J24573" s="711"/>
      <c r="K24573" s="711"/>
      <c r="L24573" s="711"/>
      <c r="Q24573" s="11"/>
      <c r="R24573" s="11"/>
      <c r="S24573" s="11"/>
      <c r="T24573" s="11"/>
    </row>
    <row r="24574" spans="8:20" x14ac:dyDescent="0.35">
      <c r="H24574" s="711"/>
      <c r="I24574" s="711"/>
      <c r="J24574" s="711"/>
      <c r="K24574" s="711"/>
      <c r="L24574" s="711"/>
      <c r="Q24574" s="11"/>
      <c r="R24574" s="11"/>
      <c r="S24574" s="11"/>
      <c r="T24574" s="11"/>
    </row>
    <row r="24575" spans="8:20" x14ac:dyDescent="0.35">
      <c r="H24575" s="711"/>
      <c r="I24575" s="711"/>
      <c r="J24575" s="711"/>
      <c r="K24575" s="711"/>
      <c r="L24575" s="711"/>
      <c r="Q24575" s="11"/>
      <c r="R24575" s="11"/>
      <c r="S24575" s="11"/>
      <c r="T24575" s="11"/>
    </row>
    <row r="24576" spans="8:20" x14ac:dyDescent="0.35">
      <c r="H24576" s="711"/>
      <c r="I24576" s="711"/>
      <c r="J24576" s="711"/>
      <c r="K24576" s="711"/>
      <c r="L24576" s="711"/>
      <c r="Q24576" s="11"/>
      <c r="R24576" s="11"/>
      <c r="S24576" s="11"/>
      <c r="T24576" s="11"/>
    </row>
    <row r="24577" spans="8:20" x14ac:dyDescent="0.35">
      <c r="H24577" s="711"/>
      <c r="I24577" s="711"/>
      <c r="J24577" s="711"/>
      <c r="K24577" s="711"/>
      <c r="L24577" s="711"/>
      <c r="Q24577" s="11"/>
      <c r="R24577" s="11"/>
      <c r="S24577" s="11"/>
      <c r="T24577" s="11"/>
    </row>
    <row r="24578" spans="8:20" x14ac:dyDescent="0.35">
      <c r="H24578" s="711"/>
      <c r="I24578" s="711"/>
      <c r="J24578" s="711"/>
      <c r="K24578" s="711"/>
      <c r="L24578" s="711"/>
      <c r="Q24578" s="11"/>
      <c r="R24578" s="11"/>
      <c r="S24578" s="11"/>
      <c r="T24578" s="11"/>
    </row>
    <row r="24579" spans="8:20" x14ac:dyDescent="0.35">
      <c r="H24579" s="711"/>
      <c r="I24579" s="711"/>
      <c r="J24579" s="711"/>
      <c r="K24579" s="711"/>
      <c r="L24579" s="711"/>
      <c r="Q24579" s="11"/>
      <c r="R24579" s="11"/>
      <c r="S24579" s="11"/>
      <c r="T24579" s="11"/>
    </row>
    <row r="24580" spans="8:20" x14ac:dyDescent="0.35">
      <c r="H24580" s="711"/>
      <c r="I24580" s="711"/>
      <c r="J24580" s="711"/>
      <c r="K24580" s="711"/>
      <c r="L24580" s="711"/>
      <c r="Q24580" s="11"/>
      <c r="R24580" s="11"/>
      <c r="S24580" s="11"/>
      <c r="T24580" s="11"/>
    </row>
    <row r="24581" spans="8:20" x14ac:dyDescent="0.35">
      <c r="H24581" s="711"/>
      <c r="I24581" s="711"/>
      <c r="J24581" s="711"/>
      <c r="K24581" s="711"/>
      <c r="L24581" s="711"/>
      <c r="Q24581" s="11"/>
      <c r="R24581" s="11"/>
      <c r="S24581" s="11"/>
      <c r="T24581" s="11"/>
    </row>
    <row r="24582" spans="8:20" x14ac:dyDescent="0.35">
      <c r="H24582" s="711"/>
      <c r="I24582" s="711"/>
      <c r="J24582" s="711"/>
      <c r="K24582" s="711"/>
      <c r="L24582" s="711"/>
      <c r="Q24582" s="11"/>
      <c r="R24582" s="11"/>
      <c r="S24582" s="11"/>
      <c r="T24582" s="11"/>
    </row>
    <row r="24583" spans="8:20" x14ac:dyDescent="0.35">
      <c r="H24583" s="711"/>
      <c r="I24583" s="711"/>
      <c r="J24583" s="711"/>
      <c r="K24583" s="711"/>
      <c r="L24583" s="711"/>
      <c r="Q24583" s="11"/>
      <c r="R24583" s="11"/>
      <c r="S24583" s="11"/>
      <c r="T24583" s="11"/>
    </row>
    <row r="24584" spans="8:20" x14ac:dyDescent="0.35">
      <c r="H24584" s="711"/>
      <c r="I24584" s="711"/>
      <c r="J24584" s="711"/>
      <c r="K24584" s="711"/>
      <c r="L24584" s="711"/>
      <c r="Q24584" s="11"/>
      <c r="R24584" s="11"/>
      <c r="S24584" s="11"/>
      <c r="T24584" s="11"/>
    </row>
    <row r="24585" spans="8:20" x14ac:dyDescent="0.35">
      <c r="H24585" s="711"/>
      <c r="I24585" s="711"/>
      <c r="J24585" s="711"/>
      <c r="K24585" s="711"/>
      <c r="L24585" s="711"/>
      <c r="Q24585" s="11"/>
      <c r="R24585" s="11"/>
      <c r="S24585" s="11"/>
      <c r="T24585" s="11"/>
    </row>
    <row r="24586" spans="8:20" x14ac:dyDescent="0.35">
      <c r="H24586" s="711"/>
      <c r="I24586" s="711"/>
      <c r="J24586" s="711"/>
      <c r="K24586" s="711"/>
      <c r="L24586" s="711"/>
      <c r="Q24586" s="11"/>
      <c r="R24586" s="11"/>
      <c r="S24586" s="11"/>
      <c r="T24586" s="11"/>
    </row>
    <row r="24587" spans="8:20" x14ac:dyDescent="0.35">
      <c r="H24587" s="711"/>
      <c r="I24587" s="711"/>
      <c r="J24587" s="711"/>
      <c r="K24587" s="711"/>
      <c r="L24587" s="711"/>
      <c r="Q24587" s="11"/>
      <c r="R24587" s="11"/>
      <c r="S24587" s="11"/>
      <c r="T24587" s="11"/>
    </row>
    <row r="24588" spans="8:20" x14ac:dyDescent="0.35">
      <c r="H24588" s="711"/>
      <c r="I24588" s="711"/>
      <c r="J24588" s="711"/>
      <c r="K24588" s="711"/>
      <c r="L24588" s="711"/>
      <c r="Q24588" s="11"/>
      <c r="R24588" s="11"/>
      <c r="S24588" s="11"/>
      <c r="T24588" s="11"/>
    </row>
    <row r="24589" spans="8:20" x14ac:dyDescent="0.35">
      <c r="H24589" s="711"/>
      <c r="I24589" s="711"/>
      <c r="J24589" s="711"/>
      <c r="K24589" s="711"/>
      <c r="L24589" s="711"/>
      <c r="Q24589" s="11"/>
      <c r="R24589" s="11"/>
      <c r="S24589" s="11"/>
      <c r="T24589" s="11"/>
    </row>
    <row r="24590" spans="8:20" x14ac:dyDescent="0.35">
      <c r="H24590" s="711"/>
      <c r="I24590" s="711"/>
      <c r="J24590" s="711"/>
      <c r="K24590" s="711"/>
      <c r="L24590" s="711"/>
      <c r="Q24590" s="11"/>
      <c r="R24590" s="11"/>
      <c r="S24590" s="11"/>
      <c r="T24590" s="11"/>
    </row>
    <row r="24591" spans="8:20" x14ac:dyDescent="0.35">
      <c r="H24591" s="711"/>
      <c r="I24591" s="711"/>
      <c r="J24591" s="711"/>
      <c r="K24591" s="711"/>
      <c r="L24591" s="711"/>
      <c r="Q24591" s="11"/>
      <c r="R24591" s="11"/>
      <c r="S24591" s="11"/>
      <c r="T24591" s="11"/>
    </row>
    <row r="24592" spans="8:20" x14ac:dyDescent="0.35">
      <c r="H24592" s="711"/>
      <c r="I24592" s="711"/>
      <c r="J24592" s="711"/>
      <c r="K24592" s="711"/>
      <c r="L24592" s="711"/>
      <c r="Q24592" s="11"/>
      <c r="R24592" s="11"/>
      <c r="S24592" s="11"/>
      <c r="T24592" s="11"/>
    </row>
    <row r="24593" spans="8:20" x14ac:dyDescent="0.35">
      <c r="H24593" s="711"/>
      <c r="I24593" s="711"/>
      <c r="J24593" s="711"/>
      <c r="K24593" s="711"/>
      <c r="L24593" s="711"/>
      <c r="Q24593" s="11"/>
      <c r="R24593" s="11"/>
      <c r="S24593" s="11"/>
      <c r="T24593" s="11"/>
    </row>
    <row r="24594" spans="8:20" x14ac:dyDescent="0.35">
      <c r="H24594" s="711"/>
      <c r="I24594" s="711"/>
      <c r="J24594" s="711"/>
      <c r="K24594" s="711"/>
      <c r="L24594" s="711"/>
      <c r="Q24594" s="11"/>
      <c r="R24594" s="11"/>
      <c r="S24594" s="11"/>
      <c r="T24594" s="11"/>
    </row>
    <row r="24595" spans="8:20" x14ac:dyDescent="0.35">
      <c r="H24595" s="711"/>
      <c r="I24595" s="711"/>
      <c r="J24595" s="711"/>
      <c r="K24595" s="711"/>
      <c r="L24595" s="711"/>
      <c r="Q24595" s="11"/>
      <c r="R24595" s="11"/>
      <c r="S24595" s="11"/>
      <c r="T24595" s="11"/>
    </row>
    <row r="24596" spans="8:20" x14ac:dyDescent="0.35">
      <c r="H24596" s="711"/>
      <c r="I24596" s="711"/>
      <c r="J24596" s="711"/>
      <c r="K24596" s="711"/>
      <c r="L24596" s="711"/>
      <c r="Q24596" s="11"/>
      <c r="R24596" s="11"/>
      <c r="S24596" s="11"/>
      <c r="T24596" s="11"/>
    </row>
    <row r="24597" spans="8:20" x14ac:dyDescent="0.35">
      <c r="H24597" s="711"/>
      <c r="I24597" s="711"/>
      <c r="J24597" s="711"/>
      <c r="K24597" s="711"/>
      <c r="L24597" s="711"/>
      <c r="Q24597" s="11"/>
      <c r="R24597" s="11"/>
      <c r="S24597" s="11"/>
      <c r="T24597" s="11"/>
    </row>
    <row r="24598" spans="8:20" x14ac:dyDescent="0.35">
      <c r="H24598" s="711"/>
      <c r="I24598" s="711"/>
      <c r="J24598" s="711"/>
      <c r="K24598" s="711"/>
      <c r="L24598" s="711"/>
      <c r="Q24598" s="11"/>
      <c r="R24598" s="11"/>
      <c r="S24598" s="11"/>
      <c r="T24598" s="11"/>
    </row>
    <row r="24599" spans="8:20" x14ac:dyDescent="0.35">
      <c r="H24599" s="711"/>
      <c r="I24599" s="711"/>
      <c r="J24599" s="711"/>
      <c r="K24599" s="711"/>
      <c r="L24599" s="711"/>
      <c r="Q24599" s="11"/>
      <c r="R24599" s="11"/>
      <c r="S24599" s="11"/>
      <c r="T24599" s="11"/>
    </row>
    <row r="24600" spans="8:20" x14ac:dyDescent="0.35">
      <c r="H24600" s="711"/>
      <c r="I24600" s="711"/>
      <c r="J24600" s="711"/>
      <c r="K24600" s="711"/>
      <c r="L24600" s="711"/>
      <c r="Q24600" s="11"/>
      <c r="R24600" s="11"/>
      <c r="S24600" s="11"/>
      <c r="T24600" s="11"/>
    </row>
    <row r="24601" spans="8:20" x14ac:dyDescent="0.35">
      <c r="H24601" s="711"/>
      <c r="I24601" s="711"/>
      <c r="J24601" s="711"/>
      <c r="K24601" s="711"/>
      <c r="L24601" s="711"/>
      <c r="Q24601" s="11"/>
      <c r="R24601" s="11"/>
      <c r="S24601" s="11"/>
      <c r="T24601" s="11"/>
    </row>
    <row r="24602" spans="8:20" x14ac:dyDescent="0.35">
      <c r="H24602" s="711"/>
      <c r="I24602" s="711"/>
      <c r="J24602" s="711"/>
      <c r="K24602" s="711"/>
      <c r="L24602" s="711"/>
      <c r="Q24602" s="11"/>
      <c r="R24602" s="11"/>
      <c r="S24602" s="11"/>
      <c r="T24602" s="11"/>
    </row>
    <row r="24603" spans="8:20" x14ac:dyDescent="0.35">
      <c r="H24603" s="711"/>
      <c r="I24603" s="711"/>
      <c r="J24603" s="711"/>
      <c r="K24603" s="711"/>
      <c r="L24603" s="711"/>
      <c r="Q24603" s="11"/>
      <c r="R24603" s="11"/>
      <c r="S24603" s="11"/>
      <c r="T24603" s="11"/>
    </row>
    <row r="24604" spans="8:20" x14ac:dyDescent="0.35">
      <c r="H24604" s="711"/>
      <c r="I24604" s="711"/>
      <c r="J24604" s="711"/>
      <c r="K24604" s="711"/>
      <c r="L24604" s="711"/>
      <c r="Q24604" s="11"/>
      <c r="R24604" s="11"/>
      <c r="S24604" s="11"/>
      <c r="T24604" s="11"/>
    </row>
    <row r="24605" spans="8:20" x14ac:dyDescent="0.35">
      <c r="H24605" s="711"/>
      <c r="I24605" s="711"/>
      <c r="J24605" s="711"/>
      <c r="K24605" s="711"/>
      <c r="L24605" s="711"/>
      <c r="Q24605" s="11"/>
      <c r="R24605" s="11"/>
      <c r="S24605" s="11"/>
      <c r="T24605" s="11"/>
    </row>
    <row r="24606" spans="8:20" x14ac:dyDescent="0.35">
      <c r="H24606" s="711"/>
      <c r="I24606" s="711"/>
      <c r="J24606" s="711"/>
      <c r="K24606" s="711"/>
      <c r="L24606" s="711"/>
      <c r="Q24606" s="11"/>
      <c r="R24606" s="11"/>
      <c r="S24606" s="11"/>
      <c r="T24606" s="11"/>
    </row>
    <row r="24607" spans="8:20" x14ac:dyDescent="0.35">
      <c r="H24607" s="711"/>
      <c r="I24607" s="711"/>
      <c r="J24607" s="711"/>
      <c r="K24607" s="711"/>
      <c r="L24607" s="711"/>
      <c r="Q24607" s="11"/>
      <c r="R24607" s="11"/>
      <c r="S24607" s="11"/>
      <c r="T24607" s="11"/>
    </row>
    <row r="24608" spans="8:20" x14ac:dyDescent="0.35">
      <c r="H24608" s="711"/>
      <c r="I24608" s="711"/>
      <c r="J24608" s="711"/>
      <c r="K24608" s="711"/>
      <c r="L24608" s="711"/>
      <c r="Q24608" s="11"/>
      <c r="R24608" s="11"/>
      <c r="S24608" s="11"/>
      <c r="T24608" s="11"/>
    </row>
    <row r="24609" spans="8:20" x14ac:dyDescent="0.35">
      <c r="H24609" s="711"/>
      <c r="I24609" s="711"/>
      <c r="J24609" s="711"/>
      <c r="K24609" s="711"/>
      <c r="L24609" s="711"/>
      <c r="Q24609" s="11"/>
      <c r="R24609" s="11"/>
      <c r="S24609" s="11"/>
      <c r="T24609" s="11"/>
    </row>
    <row r="24610" spans="8:20" x14ac:dyDescent="0.35">
      <c r="H24610" s="711"/>
      <c r="I24610" s="711"/>
      <c r="J24610" s="711"/>
      <c r="K24610" s="711"/>
      <c r="L24610" s="711"/>
      <c r="Q24610" s="11"/>
      <c r="R24610" s="11"/>
      <c r="S24610" s="11"/>
      <c r="T24610" s="11"/>
    </row>
    <row r="24611" spans="8:20" x14ac:dyDescent="0.35">
      <c r="H24611" s="711"/>
      <c r="I24611" s="711"/>
      <c r="J24611" s="711"/>
      <c r="K24611" s="711"/>
      <c r="L24611" s="711"/>
      <c r="Q24611" s="11"/>
      <c r="R24611" s="11"/>
      <c r="S24611" s="11"/>
      <c r="T24611" s="11"/>
    </row>
    <row r="24612" spans="8:20" x14ac:dyDescent="0.35">
      <c r="H24612" s="711"/>
      <c r="I24612" s="711"/>
      <c r="J24612" s="711"/>
      <c r="K24612" s="711"/>
      <c r="L24612" s="711"/>
      <c r="Q24612" s="11"/>
      <c r="R24612" s="11"/>
      <c r="S24612" s="11"/>
      <c r="T24612" s="11"/>
    </row>
    <row r="24613" spans="8:20" x14ac:dyDescent="0.35">
      <c r="H24613" s="711"/>
      <c r="I24613" s="711"/>
      <c r="J24613" s="711"/>
      <c r="K24613" s="711"/>
      <c r="L24613" s="711"/>
      <c r="Q24613" s="11"/>
      <c r="R24613" s="11"/>
      <c r="S24613" s="11"/>
      <c r="T24613" s="11"/>
    </row>
    <row r="24614" spans="8:20" x14ac:dyDescent="0.35">
      <c r="H24614" s="711"/>
      <c r="I24614" s="711"/>
      <c r="J24614" s="711"/>
      <c r="K24614" s="711"/>
      <c r="L24614" s="711"/>
      <c r="Q24614" s="11"/>
      <c r="R24614" s="11"/>
      <c r="S24614" s="11"/>
      <c r="T24614" s="11"/>
    </row>
    <row r="24615" spans="8:20" x14ac:dyDescent="0.35">
      <c r="H24615" s="711"/>
      <c r="I24615" s="711"/>
      <c r="J24615" s="711"/>
      <c r="K24615" s="711"/>
      <c r="L24615" s="711"/>
      <c r="Q24615" s="11"/>
      <c r="R24615" s="11"/>
      <c r="S24615" s="11"/>
      <c r="T24615" s="11"/>
    </row>
    <row r="24616" spans="8:20" x14ac:dyDescent="0.35">
      <c r="H24616" s="711"/>
      <c r="I24616" s="711"/>
      <c r="J24616" s="711"/>
      <c r="K24616" s="711"/>
      <c r="L24616" s="711"/>
      <c r="Q24616" s="11"/>
      <c r="R24616" s="11"/>
      <c r="S24616" s="11"/>
      <c r="T24616" s="11"/>
    </row>
    <row r="24617" spans="8:20" x14ac:dyDescent="0.35">
      <c r="H24617" s="711"/>
      <c r="I24617" s="711"/>
      <c r="J24617" s="711"/>
      <c r="K24617" s="711"/>
      <c r="L24617" s="711"/>
      <c r="Q24617" s="11"/>
      <c r="R24617" s="11"/>
      <c r="S24617" s="11"/>
      <c r="T24617" s="11"/>
    </row>
    <row r="24618" spans="8:20" x14ac:dyDescent="0.35">
      <c r="H24618" s="711"/>
      <c r="I24618" s="711"/>
      <c r="J24618" s="711"/>
      <c r="K24618" s="711"/>
      <c r="L24618" s="711"/>
      <c r="Q24618" s="11"/>
      <c r="R24618" s="11"/>
      <c r="S24618" s="11"/>
      <c r="T24618" s="11"/>
    </row>
    <row r="24619" spans="8:20" x14ac:dyDescent="0.35">
      <c r="H24619" s="711"/>
      <c r="I24619" s="711"/>
      <c r="J24619" s="711"/>
      <c r="K24619" s="711"/>
      <c r="L24619" s="711"/>
      <c r="Q24619" s="11"/>
      <c r="R24619" s="11"/>
      <c r="S24619" s="11"/>
      <c r="T24619" s="11"/>
    </row>
    <row r="24620" spans="8:20" x14ac:dyDescent="0.35">
      <c r="H24620" s="711"/>
      <c r="I24620" s="711"/>
      <c r="J24620" s="711"/>
      <c r="K24620" s="711"/>
      <c r="L24620" s="711"/>
      <c r="Q24620" s="11"/>
      <c r="R24620" s="11"/>
      <c r="S24620" s="11"/>
      <c r="T24620" s="11"/>
    </row>
    <row r="24621" spans="8:20" x14ac:dyDescent="0.35">
      <c r="H24621" s="711"/>
      <c r="I24621" s="711"/>
      <c r="J24621" s="711"/>
      <c r="K24621" s="711"/>
      <c r="L24621" s="711"/>
      <c r="Q24621" s="11"/>
      <c r="R24621" s="11"/>
      <c r="S24621" s="11"/>
      <c r="T24621" s="11"/>
    </row>
    <row r="24622" spans="8:20" x14ac:dyDescent="0.35">
      <c r="H24622" s="711"/>
      <c r="I24622" s="711"/>
      <c r="J24622" s="711"/>
      <c r="K24622" s="711"/>
      <c r="L24622" s="711"/>
      <c r="Q24622" s="11"/>
      <c r="R24622" s="11"/>
      <c r="S24622" s="11"/>
      <c r="T24622" s="11"/>
    </row>
    <row r="24623" spans="8:20" x14ac:dyDescent="0.35">
      <c r="H24623" s="711"/>
      <c r="I24623" s="711"/>
      <c r="J24623" s="711"/>
      <c r="K24623" s="711"/>
      <c r="L24623" s="711"/>
      <c r="Q24623" s="11"/>
      <c r="R24623" s="11"/>
      <c r="S24623" s="11"/>
      <c r="T24623" s="11"/>
    </row>
    <row r="24624" spans="8:20" x14ac:dyDescent="0.35">
      <c r="H24624" s="711"/>
      <c r="I24624" s="711"/>
      <c r="J24624" s="711"/>
      <c r="K24624" s="711"/>
      <c r="L24624" s="711"/>
      <c r="Q24624" s="11"/>
      <c r="R24624" s="11"/>
      <c r="S24624" s="11"/>
      <c r="T24624" s="11"/>
    </row>
    <row r="24625" spans="8:20" x14ac:dyDescent="0.35">
      <c r="H24625" s="711"/>
      <c r="I24625" s="711"/>
      <c r="J24625" s="711"/>
      <c r="K24625" s="711"/>
      <c r="L24625" s="711"/>
      <c r="Q24625" s="11"/>
      <c r="R24625" s="11"/>
      <c r="S24625" s="11"/>
      <c r="T24625" s="11"/>
    </row>
    <row r="24626" spans="8:20" x14ac:dyDescent="0.35">
      <c r="H24626" s="711"/>
      <c r="I24626" s="711"/>
      <c r="J24626" s="711"/>
      <c r="K24626" s="711"/>
      <c r="L24626" s="711"/>
      <c r="Q24626" s="11"/>
      <c r="R24626" s="11"/>
      <c r="S24626" s="11"/>
      <c r="T24626" s="11"/>
    </row>
    <row r="24627" spans="8:20" x14ac:dyDescent="0.35">
      <c r="H24627" s="711"/>
      <c r="I24627" s="711"/>
      <c r="J24627" s="711"/>
      <c r="K24627" s="711"/>
      <c r="L24627" s="711"/>
      <c r="Q24627" s="11"/>
      <c r="R24627" s="11"/>
      <c r="S24627" s="11"/>
      <c r="T24627" s="11"/>
    </row>
    <row r="24628" spans="8:20" x14ac:dyDescent="0.35">
      <c r="H24628" s="711"/>
      <c r="I24628" s="711"/>
      <c r="J24628" s="711"/>
      <c r="K24628" s="711"/>
      <c r="L24628" s="711"/>
      <c r="Q24628" s="11"/>
      <c r="R24628" s="11"/>
      <c r="S24628" s="11"/>
      <c r="T24628" s="11"/>
    </row>
    <row r="24629" spans="8:20" x14ac:dyDescent="0.35">
      <c r="H24629" s="711"/>
      <c r="I24629" s="711"/>
      <c r="J24629" s="711"/>
      <c r="K24629" s="711"/>
      <c r="L24629" s="711"/>
      <c r="Q24629" s="11"/>
      <c r="R24629" s="11"/>
      <c r="S24629" s="11"/>
      <c r="T24629" s="11"/>
    </row>
    <row r="24630" spans="8:20" x14ac:dyDescent="0.35">
      <c r="H24630" s="711"/>
      <c r="I24630" s="711"/>
      <c r="J24630" s="711"/>
      <c r="K24630" s="711"/>
      <c r="L24630" s="711"/>
      <c r="Q24630" s="11"/>
      <c r="R24630" s="11"/>
      <c r="S24630" s="11"/>
      <c r="T24630" s="11"/>
    </row>
    <row r="24631" spans="8:20" x14ac:dyDescent="0.35">
      <c r="H24631" s="711"/>
      <c r="I24631" s="711"/>
      <c r="J24631" s="711"/>
      <c r="K24631" s="711"/>
      <c r="L24631" s="711"/>
      <c r="Q24631" s="11"/>
      <c r="R24631" s="11"/>
      <c r="S24631" s="11"/>
      <c r="T24631" s="11"/>
    </row>
    <row r="24632" spans="8:20" x14ac:dyDescent="0.35">
      <c r="H24632" s="711"/>
      <c r="I24632" s="711"/>
      <c r="J24632" s="711"/>
      <c r="K24632" s="711"/>
      <c r="L24632" s="711"/>
      <c r="Q24632" s="11"/>
      <c r="R24632" s="11"/>
      <c r="S24632" s="11"/>
      <c r="T24632" s="11"/>
    </row>
    <row r="24633" spans="8:20" x14ac:dyDescent="0.35">
      <c r="H24633" s="711"/>
      <c r="I24633" s="711"/>
      <c r="J24633" s="711"/>
      <c r="K24633" s="711"/>
      <c r="L24633" s="711"/>
      <c r="Q24633" s="11"/>
      <c r="R24633" s="11"/>
      <c r="S24633" s="11"/>
      <c r="T24633" s="11"/>
    </row>
    <row r="24634" spans="8:20" x14ac:dyDescent="0.35">
      <c r="H24634" s="711"/>
      <c r="I24634" s="711"/>
      <c r="J24634" s="711"/>
      <c r="K24634" s="711"/>
      <c r="L24634" s="711"/>
      <c r="Q24634" s="11"/>
      <c r="R24634" s="11"/>
      <c r="S24634" s="11"/>
      <c r="T24634" s="11"/>
    </row>
    <row r="24635" spans="8:20" x14ac:dyDescent="0.35">
      <c r="H24635" s="711"/>
      <c r="I24635" s="711"/>
      <c r="J24635" s="711"/>
      <c r="K24635" s="711"/>
      <c r="L24635" s="711"/>
      <c r="Q24635" s="11"/>
      <c r="R24635" s="11"/>
      <c r="S24635" s="11"/>
      <c r="T24635" s="11"/>
    </row>
    <row r="24636" spans="8:20" x14ac:dyDescent="0.35">
      <c r="H24636" s="711"/>
      <c r="I24636" s="711"/>
      <c r="J24636" s="711"/>
      <c r="K24636" s="711"/>
      <c r="L24636" s="711"/>
      <c r="Q24636" s="11"/>
      <c r="R24636" s="11"/>
      <c r="S24636" s="11"/>
      <c r="T24636" s="11"/>
    </row>
    <row r="24637" spans="8:20" x14ac:dyDescent="0.35">
      <c r="H24637" s="711"/>
      <c r="I24637" s="711"/>
      <c r="J24637" s="711"/>
      <c r="K24637" s="711"/>
      <c r="L24637" s="711"/>
      <c r="Q24637" s="11"/>
      <c r="R24637" s="11"/>
      <c r="S24637" s="11"/>
      <c r="T24637" s="11"/>
    </row>
    <row r="24638" spans="8:20" x14ac:dyDescent="0.35">
      <c r="H24638" s="711"/>
      <c r="I24638" s="711"/>
      <c r="J24638" s="711"/>
      <c r="K24638" s="711"/>
      <c r="L24638" s="711"/>
      <c r="Q24638" s="11"/>
      <c r="R24638" s="11"/>
      <c r="S24638" s="11"/>
      <c r="T24638" s="11"/>
    </row>
    <row r="24639" spans="8:20" x14ac:dyDescent="0.35">
      <c r="H24639" s="711"/>
      <c r="I24639" s="711"/>
      <c r="J24639" s="711"/>
      <c r="K24639" s="711"/>
      <c r="L24639" s="711"/>
      <c r="Q24639" s="11"/>
      <c r="R24639" s="11"/>
      <c r="S24639" s="11"/>
      <c r="T24639" s="11"/>
    </row>
    <row r="24640" spans="8:20" x14ac:dyDescent="0.35">
      <c r="H24640" s="711"/>
      <c r="I24640" s="711"/>
      <c r="J24640" s="711"/>
      <c r="K24640" s="711"/>
      <c r="L24640" s="711"/>
      <c r="Q24640" s="11"/>
      <c r="R24640" s="11"/>
      <c r="S24640" s="11"/>
      <c r="T24640" s="11"/>
    </row>
    <row r="24641" spans="8:20" x14ac:dyDescent="0.35">
      <c r="H24641" s="711"/>
      <c r="I24641" s="711"/>
      <c r="J24641" s="711"/>
      <c r="K24641" s="711"/>
      <c r="L24641" s="711"/>
      <c r="Q24641" s="11"/>
      <c r="R24641" s="11"/>
      <c r="S24641" s="11"/>
      <c r="T24641" s="11"/>
    </row>
    <row r="24642" spans="8:20" x14ac:dyDescent="0.35">
      <c r="H24642" s="711"/>
      <c r="I24642" s="711"/>
      <c r="J24642" s="711"/>
      <c r="K24642" s="711"/>
      <c r="L24642" s="711"/>
      <c r="Q24642" s="11"/>
      <c r="R24642" s="11"/>
      <c r="S24642" s="11"/>
      <c r="T24642" s="11"/>
    </row>
    <row r="24643" spans="8:20" x14ac:dyDescent="0.35">
      <c r="H24643" s="711"/>
      <c r="I24643" s="711"/>
      <c r="J24643" s="711"/>
      <c r="K24643" s="711"/>
      <c r="L24643" s="711"/>
      <c r="Q24643" s="11"/>
      <c r="R24643" s="11"/>
      <c r="S24643" s="11"/>
      <c r="T24643" s="11"/>
    </row>
    <row r="24644" spans="8:20" x14ac:dyDescent="0.35">
      <c r="H24644" s="711"/>
      <c r="I24644" s="711"/>
      <c r="J24644" s="711"/>
      <c r="K24644" s="711"/>
      <c r="L24644" s="711"/>
      <c r="Q24644" s="11"/>
      <c r="R24644" s="11"/>
      <c r="S24644" s="11"/>
      <c r="T24644" s="11"/>
    </row>
    <row r="24645" spans="8:20" x14ac:dyDescent="0.35">
      <c r="H24645" s="711"/>
      <c r="I24645" s="711"/>
      <c r="J24645" s="711"/>
      <c r="K24645" s="711"/>
      <c r="L24645" s="711"/>
      <c r="Q24645" s="11"/>
      <c r="R24645" s="11"/>
      <c r="S24645" s="11"/>
      <c r="T24645" s="11"/>
    </row>
    <row r="24646" spans="8:20" x14ac:dyDescent="0.35">
      <c r="H24646" s="711"/>
      <c r="I24646" s="711"/>
      <c r="J24646" s="711"/>
      <c r="K24646" s="711"/>
      <c r="L24646" s="711"/>
      <c r="Q24646" s="11"/>
      <c r="R24646" s="11"/>
      <c r="S24646" s="11"/>
      <c r="T24646" s="11"/>
    </row>
    <row r="24647" spans="8:20" x14ac:dyDescent="0.35">
      <c r="H24647" s="711"/>
      <c r="I24647" s="711"/>
      <c r="J24647" s="711"/>
      <c r="K24647" s="711"/>
      <c r="L24647" s="711"/>
      <c r="Q24647" s="11"/>
      <c r="R24647" s="11"/>
      <c r="S24647" s="11"/>
      <c r="T24647" s="11"/>
    </row>
    <row r="24648" spans="8:20" x14ac:dyDescent="0.35">
      <c r="H24648" s="711"/>
      <c r="I24648" s="711"/>
      <c r="J24648" s="711"/>
      <c r="K24648" s="711"/>
      <c r="L24648" s="711"/>
      <c r="Q24648" s="11"/>
      <c r="R24648" s="11"/>
      <c r="S24648" s="11"/>
      <c r="T24648" s="11"/>
    </row>
    <row r="24649" spans="8:20" x14ac:dyDescent="0.35">
      <c r="H24649" s="711"/>
      <c r="I24649" s="711"/>
      <c r="J24649" s="711"/>
      <c r="K24649" s="711"/>
      <c r="L24649" s="711"/>
      <c r="Q24649" s="11"/>
      <c r="R24649" s="11"/>
      <c r="S24649" s="11"/>
      <c r="T24649" s="11"/>
    </row>
    <row r="24650" spans="8:20" x14ac:dyDescent="0.35">
      <c r="H24650" s="711"/>
      <c r="I24650" s="711"/>
      <c r="J24650" s="711"/>
      <c r="K24650" s="711"/>
      <c r="L24650" s="711"/>
      <c r="Q24650" s="11"/>
      <c r="R24650" s="11"/>
      <c r="S24650" s="11"/>
      <c r="T24650" s="11"/>
    </row>
    <row r="24651" spans="8:20" x14ac:dyDescent="0.35">
      <c r="H24651" s="711"/>
      <c r="I24651" s="711"/>
      <c r="J24651" s="711"/>
      <c r="K24651" s="711"/>
      <c r="L24651" s="711"/>
      <c r="Q24651" s="11"/>
      <c r="R24651" s="11"/>
      <c r="S24651" s="11"/>
      <c r="T24651" s="11"/>
    </row>
    <row r="24652" spans="8:20" x14ac:dyDescent="0.35">
      <c r="H24652" s="711"/>
      <c r="I24652" s="711"/>
      <c r="J24652" s="711"/>
      <c r="K24652" s="711"/>
      <c r="L24652" s="711"/>
      <c r="Q24652" s="11"/>
      <c r="R24652" s="11"/>
      <c r="S24652" s="11"/>
      <c r="T24652" s="11"/>
    </row>
    <row r="24653" spans="8:20" x14ac:dyDescent="0.35">
      <c r="H24653" s="711"/>
      <c r="I24653" s="711"/>
      <c r="J24653" s="711"/>
      <c r="K24653" s="711"/>
      <c r="L24653" s="711"/>
      <c r="Q24653" s="11"/>
      <c r="R24653" s="11"/>
      <c r="S24653" s="11"/>
      <c r="T24653" s="11"/>
    </row>
    <row r="24654" spans="8:20" x14ac:dyDescent="0.35">
      <c r="H24654" s="711"/>
      <c r="I24654" s="711"/>
      <c r="J24654" s="711"/>
      <c r="K24654" s="711"/>
      <c r="L24654" s="711"/>
      <c r="Q24654" s="11"/>
      <c r="R24654" s="11"/>
      <c r="S24654" s="11"/>
      <c r="T24654" s="11"/>
    </row>
    <row r="24655" spans="8:20" x14ac:dyDescent="0.35">
      <c r="H24655" s="711"/>
      <c r="I24655" s="711"/>
      <c r="J24655" s="711"/>
      <c r="K24655" s="711"/>
      <c r="L24655" s="711"/>
      <c r="Q24655" s="11"/>
      <c r="R24655" s="11"/>
      <c r="S24655" s="11"/>
      <c r="T24655" s="11"/>
    </row>
    <row r="24656" spans="8:20" x14ac:dyDescent="0.35">
      <c r="H24656" s="711"/>
      <c r="I24656" s="711"/>
      <c r="J24656" s="711"/>
      <c r="K24656" s="711"/>
      <c r="L24656" s="711"/>
      <c r="Q24656" s="11"/>
      <c r="R24656" s="11"/>
      <c r="S24656" s="11"/>
      <c r="T24656" s="11"/>
    </row>
    <row r="24657" spans="8:20" x14ac:dyDescent="0.35">
      <c r="H24657" s="711"/>
      <c r="I24657" s="711"/>
      <c r="J24657" s="711"/>
      <c r="K24657" s="711"/>
      <c r="L24657" s="711"/>
      <c r="Q24657" s="11"/>
      <c r="R24657" s="11"/>
      <c r="S24657" s="11"/>
      <c r="T24657" s="11"/>
    </row>
    <row r="24658" spans="8:20" x14ac:dyDescent="0.35">
      <c r="H24658" s="711"/>
      <c r="I24658" s="711"/>
      <c r="J24658" s="711"/>
      <c r="K24658" s="711"/>
      <c r="L24658" s="711"/>
      <c r="Q24658" s="11"/>
      <c r="R24658" s="11"/>
      <c r="S24658" s="11"/>
      <c r="T24658" s="11"/>
    </row>
    <row r="24659" spans="8:20" x14ac:dyDescent="0.35">
      <c r="H24659" s="711"/>
      <c r="I24659" s="711"/>
      <c r="J24659" s="711"/>
      <c r="K24659" s="711"/>
      <c r="L24659" s="711"/>
      <c r="Q24659" s="11"/>
      <c r="R24659" s="11"/>
      <c r="S24659" s="11"/>
      <c r="T24659" s="11"/>
    </row>
    <row r="24660" spans="8:20" x14ac:dyDescent="0.35">
      <c r="H24660" s="711"/>
      <c r="I24660" s="711"/>
      <c r="J24660" s="711"/>
      <c r="K24660" s="711"/>
      <c r="L24660" s="711"/>
      <c r="Q24660" s="11"/>
      <c r="R24660" s="11"/>
      <c r="S24660" s="11"/>
      <c r="T24660" s="11"/>
    </row>
    <row r="24661" spans="8:20" x14ac:dyDescent="0.35">
      <c r="H24661" s="711"/>
      <c r="I24661" s="711"/>
      <c r="J24661" s="711"/>
      <c r="K24661" s="711"/>
      <c r="L24661" s="711"/>
      <c r="Q24661" s="11"/>
      <c r="R24661" s="11"/>
      <c r="S24661" s="11"/>
      <c r="T24661" s="11"/>
    </row>
    <row r="24662" spans="8:20" x14ac:dyDescent="0.35">
      <c r="H24662" s="711"/>
      <c r="I24662" s="711"/>
      <c r="J24662" s="711"/>
      <c r="K24662" s="711"/>
      <c r="L24662" s="711"/>
      <c r="Q24662" s="11"/>
      <c r="R24662" s="11"/>
      <c r="S24662" s="11"/>
      <c r="T24662" s="11"/>
    </row>
    <row r="24663" spans="8:20" x14ac:dyDescent="0.35">
      <c r="H24663" s="711"/>
      <c r="I24663" s="711"/>
      <c r="J24663" s="711"/>
      <c r="K24663" s="711"/>
      <c r="L24663" s="711"/>
      <c r="Q24663" s="11"/>
      <c r="R24663" s="11"/>
      <c r="S24663" s="11"/>
      <c r="T24663" s="11"/>
    </row>
    <row r="24664" spans="8:20" x14ac:dyDescent="0.35">
      <c r="H24664" s="711"/>
      <c r="I24664" s="711"/>
      <c r="J24664" s="711"/>
      <c r="K24664" s="711"/>
      <c r="L24664" s="711"/>
      <c r="Q24664" s="11"/>
      <c r="R24664" s="11"/>
      <c r="S24664" s="11"/>
      <c r="T24664" s="11"/>
    </row>
    <row r="24665" spans="8:20" x14ac:dyDescent="0.35">
      <c r="H24665" s="711"/>
      <c r="I24665" s="711"/>
      <c r="J24665" s="711"/>
      <c r="K24665" s="711"/>
      <c r="L24665" s="711"/>
      <c r="Q24665" s="11"/>
      <c r="R24665" s="11"/>
      <c r="S24665" s="11"/>
      <c r="T24665" s="11"/>
    </row>
    <row r="24666" spans="8:20" x14ac:dyDescent="0.35">
      <c r="H24666" s="711"/>
      <c r="I24666" s="711"/>
      <c r="J24666" s="711"/>
      <c r="K24666" s="711"/>
      <c r="L24666" s="711"/>
      <c r="Q24666" s="11"/>
      <c r="R24666" s="11"/>
      <c r="S24666" s="11"/>
      <c r="T24666" s="11"/>
    </row>
    <row r="24667" spans="8:20" x14ac:dyDescent="0.35">
      <c r="H24667" s="711"/>
      <c r="I24667" s="711"/>
      <c r="J24667" s="711"/>
      <c r="K24667" s="711"/>
      <c r="L24667" s="711"/>
      <c r="Q24667" s="11"/>
      <c r="R24667" s="11"/>
      <c r="S24667" s="11"/>
      <c r="T24667" s="11"/>
    </row>
    <row r="24668" spans="8:20" x14ac:dyDescent="0.35">
      <c r="H24668" s="711"/>
      <c r="I24668" s="711"/>
      <c r="J24668" s="711"/>
      <c r="K24668" s="711"/>
      <c r="L24668" s="711"/>
      <c r="Q24668" s="11"/>
      <c r="R24668" s="11"/>
      <c r="S24668" s="11"/>
      <c r="T24668" s="11"/>
    </row>
    <row r="24669" spans="8:20" x14ac:dyDescent="0.35">
      <c r="H24669" s="711"/>
      <c r="I24669" s="711"/>
      <c r="J24669" s="711"/>
      <c r="K24669" s="711"/>
      <c r="L24669" s="711"/>
      <c r="Q24669" s="11"/>
      <c r="R24669" s="11"/>
      <c r="S24669" s="11"/>
      <c r="T24669" s="11"/>
    </row>
    <row r="24670" spans="8:20" x14ac:dyDescent="0.35">
      <c r="H24670" s="711"/>
      <c r="I24670" s="711"/>
      <c r="J24670" s="711"/>
      <c r="K24670" s="711"/>
      <c r="L24670" s="711"/>
      <c r="Q24670" s="11"/>
      <c r="R24670" s="11"/>
      <c r="S24670" s="11"/>
      <c r="T24670" s="11"/>
    </row>
    <row r="24671" spans="8:20" x14ac:dyDescent="0.35">
      <c r="H24671" s="711"/>
      <c r="I24671" s="711"/>
      <c r="J24671" s="711"/>
      <c r="K24671" s="711"/>
      <c r="L24671" s="711"/>
      <c r="Q24671" s="11"/>
      <c r="R24671" s="11"/>
      <c r="S24671" s="11"/>
      <c r="T24671" s="11"/>
    </row>
    <row r="24672" spans="8:20" x14ac:dyDescent="0.35">
      <c r="H24672" s="711"/>
      <c r="I24672" s="711"/>
      <c r="J24672" s="711"/>
      <c r="K24672" s="711"/>
      <c r="L24672" s="711"/>
      <c r="Q24672" s="11"/>
      <c r="R24672" s="11"/>
      <c r="S24672" s="11"/>
      <c r="T24672" s="11"/>
    </row>
    <row r="24673" spans="8:20" x14ac:dyDescent="0.35">
      <c r="H24673" s="711"/>
      <c r="I24673" s="711"/>
      <c r="J24673" s="711"/>
      <c r="K24673" s="711"/>
      <c r="L24673" s="711"/>
      <c r="Q24673" s="11"/>
      <c r="R24673" s="11"/>
      <c r="S24673" s="11"/>
      <c r="T24673" s="11"/>
    </row>
    <row r="24674" spans="8:20" x14ac:dyDescent="0.35">
      <c r="H24674" s="711"/>
      <c r="I24674" s="711"/>
      <c r="J24674" s="711"/>
      <c r="K24674" s="711"/>
      <c r="L24674" s="711"/>
      <c r="Q24674" s="11"/>
      <c r="R24674" s="11"/>
      <c r="S24674" s="11"/>
      <c r="T24674" s="11"/>
    </row>
    <row r="24675" spans="8:20" x14ac:dyDescent="0.35">
      <c r="H24675" s="711"/>
      <c r="I24675" s="711"/>
      <c r="J24675" s="711"/>
      <c r="K24675" s="711"/>
      <c r="L24675" s="711"/>
      <c r="Q24675" s="11"/>
      <c r="R24675" s="11"/>
      <c r="S24675" s="11"/>
      <c r="T24675" s="11"/>
    </row>
    <row r="24676" spans="8:20" x14ac:dyDescent="0.35">
      <c r="H24676" s="711"/>
      <c r="I24676" s="711"/>
      <c r="J24676" s="711"/>
      <c r="K24676" s="711"/>
      <c r="L24676" s="711"/>
      <c r="Q24676" s="11"/>
      <c r="R24676" s="11"/>
      <c r="S24676" s="11"/>
      <c r="T24676" s="11"/>
    </row>
    <row r="24677" spans="8:20" x14ac:dyDescent="0.35">
      <c r="H24677" s="711"/>
      <c r="I24677" s="711"/>
      <c r="J24677" s="711"/>
      <c r="K24677" s="711"/>
      <c r="L24677" s="711"/>
      <c r="Q24677" s="11"/>
      <c r="R24677" s="11"/>
      <c r="S24677" s="11"/>
      <c r="T24677" s="11"/>
    </row>
    <row r="24678" spans="8:20" x14ac:dyDescent="0.35">
      <c r="H24678" s="711"/>
      <c r="I24678" s="711"/>
      <c r="J24678" s="711"/>
      <c r="K24678" s="711"/>
      <c r="L24678" s="711"/>
      <c r="Q24678" s="11"/>
      <c r="R24678" s="11"/>
      <c r="S24678" s="11"/>
      <c r="T24678" s="11"/>
    </row>
    <row r="24679" spans="8:20" x14ac:dyDescent="0.35">
      <c r="H24679" s="711"/>
      <c r="I24679" s="711"/>
      <c r="J24679" s="711"/>
      <c r="K24679" s="711"/>
      <c r="L24679" s="711"/>
      <c r="Q24679" s="11"/>
      <c r="R24679" s="11"/>
      <c r="S24679" s="11"/>
      <c r="T24679" s="11"/>
    </row>
    <row r="24680" spans="8:20" x14ac:dyDescent="0.35">
      <c r="H24680" s="711"/>
      <c r="I24680" s="711"/>
      <c r="J24680" s="711"/>
      <c r="K24680" s="711"/>
      <c r="L24680" s="711"/>
      <c r="Q24680" s="11"/>
      <c r="R24680" s="11"/>
      <c r="S24680" s="11"/>
      <c r="T24680" s="11"/>
    </row>
    <row r="24681" spans="8:20" x14ac:dyDescent="0.35">
      <c r="H24681" s="711"/>
      <c r="I24681" s="711"/>
      <c r="J24681" s="711"/>
      <c r="K24681" s="711"/>
      <c r="L24681" s="711"/>
      <c r="Q24681" s="11"/>
      <c r="R24681" s="11"/>
      <c r="S24681" s="11"/>
      <c r="T24681" s="11"/>
    </row>
    <row r="24682" spans="8:20" x14ac:dyDescent="0.35">
      <c r="H24682" s="711"/>
      <c r="I24682" s="711"/>
      <c r="J24682" s="711"/>
      <c r="K24682" s="711"/>
      <c r="L24682" s="711"/>
      <c r="Q24682" s="11"/>
      <c r="R24682" s="11"/>
      <c r="S24682" s="11"/>
      <c r="T24682" s="11"/>
    </row>
    <row r="24683" spans="8:20" x14ac:dyDescent="0.35">
      <c r="H24683" s="711"/>
      <c r="I24683" s="711"/>
      <c r="J24683" s="711"/>
      <c r="K24683" s="711"/>
      <c r="L24683" s="711"/>
      <c r="Q24683" s="11"/>
      <c r="R24683" s="11"/>
      <c r="S24683" s="11"/>
      <c r="T24683" s="11"/>
    </row>
    <row r="24684" spans="8:20" x14ac:dyDescent="0.35">
      <c r="H24684" s="711"/>
      <c r="I24684" s="711"/>
      <c r="J24684" s="711"/>
      <c r="K24684" s="711"/>
      <c r="L24684" s="711"/>
      <c r="Q24684" s="11"/>
      <c r="R24684" s="11"/>
      <c r="S24684" s="11"/>
      <c r="T24684" s="11"/>
    </row>
    <row r="24685" spans="8:20" x14ac:dyDescent="0.35">
      <c r="H24685" s="711"/>
      <c r="I24685" s="711"/>
      <c r="J24685" s="711"/>
      <c r="K24685" s="711"/>
      <c r="L24685" s="711"/>
      <c r="Q24685" s="11"/>
      <c r="R24685" s="11"/>
      <c r="S24685" s="11"/>
      <c r="T24685" s="11"/>
    </row>
    <row r="24686" spans="8:20" x14ac:dyDescent="0.35">
      <c r="H24686" s="711"/>
      <c r="I24686" s="711"/>
      <c r="J24686" s="711"/>
      <c r="K24686" s="711"/>
      <c r="L24686" s="711"/>
      <c r="Q24686" s="11"/>
      <c r="R24686" s="11"/>
      <c r="S24686" s="11"/>
      <c r="T24686" s="11"/>
    </row>
    <row r="24687" spans="8:20" x14ac:dyDescent="0.35">
      <c r="H24687" s="711"/>
      <c r="I24687" s="711"/>
      <c r="J24687" s="711"/>
      <c r="K24687" s="711"/>
      <c r="L24687" s="711"/>
      <c r="Q24687" s="11"/>
      <c r="R24687" s="11"/>
      <c r="S24687" s="11"/>
      <c r="T24687" s="11"/>
    </row>
    <row r="24688" spans="8:20" x14ac:dyDescent="0.35">
      <c r="H24688" s="711"/>
      <c r="I24688" s="711"/>
      <c r="J24688" s="711"/>
      <c r="K24688" s="711"/>
      <c r="L24688" s="711"/>
      <c r="Q24688" s="11"/>
      <c r="R24688" s="11"/>
      <c r="S24688" s="11"/>
      <c r="T24688" s="11"/>
    </row>
    <row r="24689" spans="8:20" x14ac:dyDescent="0.35">
      <c r="H24689" s="711"/>
      <c r="I24689" s="711"/>
      <c r="J24689" s="711"/>
      <c r="K24689" s="711"/>
      <c r="L24689" s="711"/>
      <c r="Q24689" s="11"/>
      <c r="R24689" s="11"/>
      <c r="S24689" s="11"/>
      <c r="T24689" s="11"/>
    </row>
    <row r="24690" spans="8:20" x14ac:dyDescent="0.35">
      <c r="H24690" s="711"/>
      <c r="I24690" s="711"/>
      <c r="J24690" s="711"/>
      <c r="K24690" s="711"/>
      <c r="L24690" s="711"/>
      <c r="Q24690" s="11"/>
      <c r="R24690" s="11"/>
      <c r="S24690" s="11"/>
      <c r="T24690" s="11"/>
    </row>
    <row r="24691" spans="8:20" x14ac:dyDescent="0.35">
      <c r="H24691" s="711"/>
      <c r="I24691" s="711"/>
      <c r="J24691" s="711"/>
      <c r="K24691" s="711"/>
      <c r="L24691" s="711"/>
      <c r="Q24691" s="11"/>
      <c r="R24691" s="11"/>
      <c r="S24691" s="11"/>
      <c r="T24691" s="11"/>
    </row>
    <row r="24692" spans="8:20" x14ac:dyDescent="0.35">
      <c r="H24692" s="711"/>
      <c r="I24692" s="711"/>
      <c r="J24692" s="711"/>
      <c r="K24692" s="711"/>
      <c r="L24692" s="711"/>
      <c r="Q24692" s="11"/>
      <c r="R24692" s="11"/>
      <c r="S24692" s="11"/>
      <c r="T24692" s="11"/>
    </row>
    <row r="24693" spans="8:20" x14ac:dyDescent="0.35">
      <c r="H24693" s="711"/>
      <c r="I24693" s="711"/>
      <c r="J24693" s="711"/>
      <c r="K24693" s="711"/>
      <c r="L24693" s="711"/>
      <c r="Q24693" s="11"/>
      <c r="R24693" s="11"/>
      <c r="S24693" s="11"/>
      <c r="T24693" s="11"/>
    </row>
    <row r="24694" spans="8:20" x14ac:dyDescent="0.35">
      <c r="H24694" s="711"/>
      <c r="I24694" s="711"/>
      <c r="J24694" s="711"/>
      <c r="K24694" s="711"/>
      <c r="L24694" s="711"/>
      <c r="Q24694" s="11"/>
      <c r="R24694" s="11"/>
      <c r="S24694" s="11"/>
      <c r="T24694" s="11"/>
    </row>
    <row r="24695" spans="8:20" x14ac:dyDescent="0.35">
      <c r="H24695" s="711"/>
      <c r="I24695" s="711"/>
      <c r="J24695" s="711"/>
      <c r="K24695" s="711"/>
      <c r="L24695" s="711"/>
      <c r="Q24695" s="11"/>
      <c r="R24695" s="11"/>
      <c r="S24695" s="11"/>
      <c r="T24695" s="11"/>
    </row>
    <row r="24696" spans="8:20" x14ac:dyDescent="0.35">
      <c r="H24696" s="711"/>
      <c r="I24696" s="711"/>
      <c r="J24696" s="711"/>
      <c r="K24696" s="711"/>
      <c r="L24696" s="711"/>
      <c r="Q24696" s="11"/>
      <c r="R24696" s="11"/>
      <c r="S24696" s="11"/>
      <c r="T24696" s="11"/>
    </row>
    <row r="24697" spans="8:20" x14ac:dyDescent="0.35">
      <c r="H24697" s="711"/>
      <c r="I24697" s="711"/>
      <c r="J24697" s="711"/>
      <c r="K24697" s="711"/>
      <c r="L24697" s="711"/>
      <c r="Q24697" s="11"/>
      <c r="R24697" s="11"/>
      <c r="S24697" s="11"/>
      <c r="T24697" s="11"/>
    </row>
    <row r="24698" spans="8:20" x14ac:dyDescent="0.35">
      <c r="H24698" s="711"/>
      <c r="I24698" s="711"/>
      <c r="J24698" s="711"/>
      <c r="K24698" s="711"/>
      <c r="L24698" s="711"/>
      <c r="Q24698" s="11"/>
      <c r="R24698" s="11"/>
      <c r="S24698" s="11"/>
      <c r="T24698" s="11"/>
    </row>
    <row r="24699" spans="8:20" x14ac:dyDescent="0.35">
      <c r="H24699" s="711"/>
      <c r="I24699" s="711"/>
      <c r="J24699" s="711"/>
      <c r="K24699" s="711"/>
      <c r="L24699" s="711"/>
      <c r="Q24699" s="11"/>
      <c r="R24699" s="11"/>
      <c r="S24699" s="11"/>
      <c r="T24699" s="11"/>
    </row>
    <row r="24700" spans="8:20" x14ac:dyDescent="0.35">
      <c r="H24700" s="711"/>
      <c r="I24700" s="711"/>
      <c r="J24700" s="711"/>
      <c r="K24700" s="711"/>
      <c r="L24700" s="711"/>
      <c r="Q24700" s="11"/>
      <c r="R24700" s="11"/>
      <c r="S24700" s="11"/>
      <c r="T24700" s="11"/>
    </row>
    <row r="24701" spans="8:20" x14ac:dyDescent="0.35">
      <c r="H24701" s="711"/>
      <c r="I24701" s="711"/>
      <c r="J24701" s="711"/>
      <c r="K24701" s="711"/>
      <c r="L24701" s="711"/>
      <c r="Q24701" s="11"/>
      <c r="R24701" s="11"/>
      <c r="S24701" s="11"/>
      <c r="T24701" s="11"/>
    </row>
    <row r="24702" spans="8:20" x14ac:dyDescent="0.35">
      <c r="H24702" s="711"/>
      <c r="I24702" s="711"/>
      <c r="J24702" s="711"/>
      <c r="K24702" s="711"/>
      <c r="L24702" s="711"/>
      <c r="Q24702" s="11"/>
      <c r="R24702" s="11"/>
      <c r="S24702" s="11"/>
      <c r="T24702" s="11"/>
    </row>
    <row r="24703" spans="8:20" x14ac:dyDescent="0.35">
      <c r="H24703" s="711"/>
      <c r="I24703" s="711"/>
      <c r="J24703" s="711"/>
      <c r="K24703" s="711"/>
      <c r="L24703" s="711"/>
      <c r="Q24703" s="11"/>
      <c r="R24703" s="11"/>
      <c r="S24703" s="11"/>
      <c r="T24703" s="11"/>
    </row>
    <row r="24704" spans="8:20" x14ac:dyDescent="0.35">
      <c r="H24704" s="711"/>
      <c r="I24704" s="711"/>
      <c r="J24704" s="711"/>
      <c r="K24704" s="711"/>
      <c r="L24704" s="711"/>
      <c r="Q24704" s="11"/>
      <c r="R24704" s="11"/>
      <c r="S24704" s="11"/>
      <c r="T24704" s="11"/>
    </row>
    <row r="24705" spans="8:20" x14ac:dyDescent="0.35">
      <c r="H24705" s="711"/>
      <c r="I24705" s="711"/>
      <c r="J24705" s="711"/>
      <c r="K24705" s="711"/>
      <c r="L24705" s="711"/>
      <c r="Q24705" s="11"/>
      <c r="R24705" s="11"/>
      <c r="S24705" s="11"/>
      <c r="T24705" s="11"/>
    </row>
    <row r="24706" spans="8:20" x14ac:dyDescent="0.35">
      <c r="H24706" s="711"/>
      <c r="I24706" s="711"/>
      <c r="J24706" s="711"/>
      <c r="K24706" s="711"/>
      <c r="L24706" s="711"/>
      <c r="Q24706" s="11"/>
      <c r="R24706" s="11"/>
      <c r="S24706" s="11"/>
      <c r="T24706" s="11"/>
    </row>
    <row r="24707" spans="8:20" x14ac:dyDescent="0.35">
      <c r="H24707" s="711"/>
      <c r="I24707" s="711"/>
      <c r="J24707" s="711"/>
      <c r="K24707" s="711"/>
      <c r="L24707" s="711"/>
      <c r="Q24707" s="11"/>
      <c r="R24707" s="11"/>
      <c r="S24707" s="11"/>
      <c r="T24707" s="11"/>
    </row>
    <row r="24708" spans="8:20" x14ac:dyDescent="0.35">
      <c r="H24708" s="711"/>
      <c r="I24708" s="711"/>
      <c r="J24708" s="711"/>
      <c r="K24708" s="711"/>
      <c r="L24708" s="711"/>
      <c r="Q24708" s="11"/>
      <c r="R24708" s="11"/>
      <c r="S24708" s="11"/>
      <c r="T24708" s="11"/>
    </row>
    <row r="24709" spans="8:20" x14ac:dyDescent="0.35">
      <c r="H24709" s="711"/>
      <c r="I24709" s="711"/>
      <c r="J24709" s="711"/>
      <c r="K24709" s="711"/>
      <c r="L24709" s="711"/>
      <c r="Q24709" s="11"/>
      <c r="R24709" s="11"/>
      <c r="S24709" s="11"/>
      <c r="T24709" s="11"/>
    </row>
    <row r="24710" spans="8:20" x14ac:dyDescent="0.35">
      <c r="H24710" s="711"/>
      <c r="I24710" s="711"/>
      <c r="J24710" s="711"/>
      <c r="K24710" s="711"/>
      <c r="L24710" s="711"/>
      <c r="Q24710" s="11"/>
      <c r="R24710" s="11"/>
      <c r="S24710" s="11"/>
      <c r="T24710" s="11"/>
    </row>
    <row r="24711" spans="8:20" x14ac:dyDescent="0.35">
      <c r="H24711" s="711"/>
      <c r="I24711" s="711"/>
      <c r="J24711" s="711"/>
      <c r="K24711" s="711"/>
      <c r="L24711" s="711"/>
      <c r="Q24711" s="11"/>
      <c r="R24711" s="11"/>
      <c r="S24711" s="11"/>
      <c r="T24711" s="11"/>
    </row>
    <row r="24712" spans="8:20" x14ac:dyDescent="0.35">
      <c r="H24712" s="711"/>
      <c r="I24712" s="711"/>
      <c r="J24712" s="711"/>
      <c r="K24712" s="711"/>
      <c r="L24712" s="711"/>
      <c r="Q24712" s="11"/>
      <c r="R24712" s="11"/>
      <c r="S24712" s="11"/>
      <c r="T24712" s="11"/>
    </row>
    <row r="24713" spans="8:20" x14ac:dyDescent="0.35">
      <c r="H24713" s="711"/>
      <c r="I24713" s="711"/>
      <c r="J24713" s="711"/>
      <c r="K24713" s="711"/>
      <c r="L24713" s="711"/>
      <c r="Q24713" s="11"/>
      <c r="R24713" s="11"/>
      <c r="S24713" s="11"/>
      <c r="T24713" s="11"/>
    </row>
    <row r="24714" spans="8:20" x14ac:dyDescent="0.35">
      <c r="H24714" s="711"/>
      <c r="I24714" s="711"/>
      <c r="J24714" s="711"/>
      <c r="K24714" s="711"/>
      <c r="L24714" s="711"/>
      <c r="Q24714" s="11"/>
      <c r="R24714" s="11"/>
      <c r="S24714" s="11"/>
      <c r="T24714" s="11"/>
    </row>
    <row r="24715" spans="8:20" x14ac:dyDescent="0.35">
      <c r="H24715" s="711"/>
      <c r="I24715" s="711"/>
      <c r="J24715" s="711"/>
      <c r="K24715" s="711"/>
      <c r="L24715" s="711"/>
      <c r="Q24715" s="11"/>
      <c r="R24715" s="11"/>
      <c r="S24715" s="11"/>
      <c r="T24715" s="11"/>
    </row>
    <row r="24716" spans="8:20" x14ac:dyDescent="0.35">
      <c r="H24716" s="711"/>
      <c r="I24716" s="711"/>
      <c r="J24716" s="711"/>
      <c r="K24716" s="711"/>
      <c r="L24716" s="711"/>
      <c r="Q24716" s="11"/>
      <c r="R24716" s="11"/>
      <c r="S24716" s="11"/>
      <c r="T24716" s="11"/>
    </row>
    <row r="24717" spans="8:20" x14ac:dyDescent="0.35">
      <c r="H24717" s="711"/>
      <c r="I24717" s="711"/>
      <c r="J24717" s="711"/>
      <c r="K24717" s="711"/>
      <c r="L24717" s="711"/>
      <c r="Q24717" s="11"/>
      <c r="R24717" s="11"/>
      <c r="S24717" s="11"/>
      <c r="T24717" s="11"/>
    </row>
    <row r="24718" spans="8:20" x14ac:dyDescent="0.35">
      <c r="H24718" s="711"/>
      <c r="I24718" s="711"/>
      <c r="J24718" s="711"/>
      <c r="K24718" s="711"/>
      <c r="L24718" s="711"/>
      <c r="Q24718" s="11"/>
      <c r="R24718" s="11"/>
      <c r="S24718" s="11"/>
      <c r="T24718" s="11"/>
    </row>
    <row r="24719" spans="8:20" x14ac:dyDescent="0.35">
      <c r="H24719" s="711"/>
      <c r="I24719" s="711"/>
      <c r="J24719" s="711"/>
      <c r="K24719" s="711"/>
      <c r="L24719" s="711"/>
      <c r="Q24719" s="11"/>
      <c r="R24719" s="11"/>
      <c r="S24719" s="11"/>
      <c r="T24719" s="11"/>
    </row>
    <row r="24720" spans="8:20" x14ac:dyDescent="0.35">
      <c r="H24720" s="711"/>
      <c r="I24720" s="711"/>
      <c r="J24720" s="711"/>
      <c r="K24720" s="711"/>
      <c r="L24720" s="711"/>
      <c r="Q24720" s="11"/>
      <c r="R24720" s="11"/>
      <c r="S24720" s="11"/>
      <c r="T24720" s="11"/>
    </row>
    <row r="24721" spans="8:20" x14ac:dyDescent="0.35">
      <c r="H24721" s="711"/>
      <c r="I24721" s="711"/>
      <c r="J24721" s="711"/>
      <c r="K24721" s="711"/>
      <c r="L24721" s="711"/>
      <c r="Q24721" s="11"/>
      <c r="R24721" s="11"/>
      <c r="S24721" s="11"/>
      <c r="T24721" s="11"/>
    </row>
    <row r="24722" spans="8:20" x14ac:dyDescent="0.35">
      <c r="H24722" s="711"/>
      <c r="I24722" s="711"/>
      <c r="J24722" s="711"/>
      <c r="K24722" s="711"/>
      <c r="L24722" s="711"/>
      <c r="Q24722" s="11"/>
      <c r="R24722" s="11"/>
      <c r="S24722" s="11"/>
      <c r="T24722" s="11"/>
    </row>
    <row r="24723" spans="8:20" x14ac:dyDescent="0.35">
      <c r="H24723" s="711"/>
      <c r="I24723" s="711"/>
      <c r="J24723" s="711"/>
      <c r="K24723" s="711"/>
      <c r="L24723" s="711"/>
      <c r="Q24723" s="11"/>
      <c r="R24723" s="11"/>
      <c r="S24723" s="11"/>
      <c r="T24723" s="11"/>
    </row>
    <row r="24724" spans="8:20" x14ac:dyDescent="0.35">
      <c r="H24724" s="711"/>
      <c r="I24724" s="711"/>
      <c r="J24724" s="711"/>
      <c r="K24724" s="711"/>
      <c r="L24724" s="711"/>
      <c r="Q24724" s="11"/>
      <c r="R24724" s="11"/>
      <c r="S24724" s="11"/>
      <c r="T24724" s="11"/>
    </row>
    <row r="24725" spans="8:20" x14ac:dyDescent="0.35">
      <c r="H24725" s="711"/>
      <c r="I24725" s="711"/>
      <c r="J24725" s="711"/>
      <c r="K24725" s="711"/>
      <c r="L24725" s="711"/>
      <c r="Q24725" s="11"/>
      <c r="R24725" s="11"/>
      <c r="S24725" s="11"/>
      <c r="T24725" s="11"/>
    </row>
    <row r="24726" spans="8:20" x14ac:dyDescent="0.35">
      <c r="H24726" s="711"/>
      <c r="I24726" s="711"/>
      <c r="J24726" s="711"/>
      <c r="K24726" s="711"/>
      <c r="L24726" s="711"/>
      <c r="Q24726" s="11"/>
      <c r="R24726" s="11"/>
      <c r="S24726" s="11"/>
      <c r="T24726" s="11"/>
    </row>
    <row r="24727" spans="8:20" x14ac:dyDescent="0.35">
      <c r="H24727" s="711"/>
      <c r="I24727" s="711"/>
      <c r="J24727" s="711"/>
      <c r="K24727" s="711"/>
      <c r="L24727" s="711"/>
      <c r="Q24727" s="11"/>
      <c r="R24727" s="11"/>
      <c r="S24727" s="11"/>
      <c r="T24727" s="11"/>
    </row>
    <row r="24728" spans="8:20" x14ac:dyDescent="0.35">
      <c r="H24728" s="711"/>
      <c r="I24728" s="711"/>
      <c r="J24728" s="711"/>
      <c r="K24728" s="711"/>
      <c r="L24728" s="711"/>
      <c r="Q24728" s="11"/>
      <c r="R24728" s="11"/>
      <c r="S24728" s="11"/>
      <c r="T24728" s="11"/>
    </row>
    <row r="24729" spans="8:20" x14ac:dyDescent="0.35">
      <c r="H24729" s="711"/>
      <c r="I24729" s="711"/>
      <c r="J24729" s="711"/>
      <c r="K24729" s="711"/>
      <c r="L24729" s="711"/>
      <c r="Q24729" s="11"/>
      <c r="R24729" s="11"/>
      <c r="S24729" s="11"/>
      <c r="T24729" s="11"/>
    </row>
    <row r="24730" spans="8:20" x14ac:dyDescent="0.35">
      <c r="H24730" s="711"/>
      <c r="I24730" s="711"/>
      <c r="J24730" s="711"/>
      <c r="K24730" s="711"/>
      <c r="L24730" s="711"/>
      <c r="Q24730" s="11"/>
      <c r="R24730" s="11"/>
      <c r="S24730" s="11"/>
      <c r="T24730" s="11"/>
    </row>
    <row r="24731" spans="8:20" x14ac:dyDescent="0.35">
      <c r="H24731" s="711"/>
      <c r="I24731" s="711"/>
      <c r="J24731" s="711"/>
      <c r="K24731" s="711"/>
      <c r="L24731" s="711"/>
      <c r="Q24731" s="11"/>
      <c r="R24731" s="11"/>
      <c r="S24731" s="11"/>
      <c r="T24731" s="11"/>
    </row>
    <row r="24732" spans="8:20" x14ac:dyDescent="0.35">
      <c r="H24732" s="711"/>
      <c r="I24732" s="711"/>
      <c r="J24732" s="711"/>
      <c r="K24732" s="711"/>
      <c r="L24732" s="711"/>
      <c r="Q24732" s="11"/>
      <c r="R24732" s="11"/>
      <c r="S24732" s="11"/>
      <c r="T24732" s="11"/>
    </row>
    <row r="24733" spans="8:20" x14ac:dyDescent="0.35">
      <c r="H24733" s="711"/>
      <c r="I24733" s="711"/>
      <c r="J24733" s="711"/>
      <c r="K24733" s="711"/>
      <c r="L24733" s="711"/>
      <c r="Q24733" s="11"/>
      <c r="R24733" s="11"/>
      <c r="S24733" s="11"/>
      <c r="T24733" s="11"/>
    </row>
    <row r="24734" spans="8:20" x14ac:dyDescent="0.35">
      <c r="H24734" s="711"/>
      <c r="I24734" s="711"/>
      <c r="J24734" s="711"/>
      <c r="K24734" s="711"/>
      <c r="L24734" s="711"/>
      <c r="Q24734" s="11"/>
      <c r="R24734" s="11"/>
      <c r="S24734" s="11"/>
      <c r="T24734" s="11"/>
    </row>
    <row r="24735" spans="8:20" x14ac:dyDescent="0.35">
      <c r="H24735" s="711"/>
      <c r="I24735" s="711"/>
      <c r="J24735" s="711"/>
      <c r="K24735" s="711"/>
      <c r="L24735" s="711"/>
      <c r="Q24735" s="11"/>
      <c r="R24735" s="11"/>
      <c r="S24735" s="11"/>
      <c r="T24735" s="11"/>
    </row>
    <row r="24736" spans="8:20" x14ac:dyDescent="0.35">
      <c r="H24736" s="711"/>
      <c r="I24736" s="711"/>
      <c r="J24736" s="711"/>
      <c r="K24736" s="711"/>
      <c r="L24736" s="711"/>
      <c r="Q24736" s="11"/>
      <c r="R24736" s="11"/>
      <c r="S24736" s="11"/>
      <c r="T24736" s="11"/>
    </row>
    <row r="24737" spans="8:20" x14ac:dyDescent="0.35">
      <c r="H24737" s="711"/>
      <c r="I24737" s="711"/>
      <c r="J24737" s="711"/>
      <c r="K24737" s="711"/>
      <c r="L24737" s="711"/>
      <c r="Q24737" s="11"/>
      <c r="R24737" s="11"/>
      <c r="S24737" s="11"/>
      <c r="T24737" s="11"/>
    </row>
    <row r="24738" spans="8:20" x14ac:dyDescent="0.35">
      <c r="H24738" s="711"/>
      <c r="I24738" s="711"/>
      <c r="J24738" s="711"/>
      <c r="K24738" s="711"/>
      <c r="L24738" s="711"/>
      <c r="Q24738" s="11"/>
      <c r="R24738" s="11"/>
      <c r="S24738" s="11"/>
      <c r="T24738" s="11"/>
    </row>
    <row r="24739" spans="8:20" x14ac:dyDescent="0.35">
      <c r="H24739" s="711"/>
      <c r="I24739" s="711"/>
      <c r="J24739" s="711"/>
      <c r="K24739" s="711"/>
      <c r="L24739" s="711"/>
      <c r="Q24739" s="11"/>
      <c r="R24739" s="11"/>
      <c r="S24739" s="11"/>
      <c r="T24739" s="11"/>
    </row>
    <row r="24740" spans="8:20" x14ac:dyDescent="0.35">
      <c r="H24740" s="711"/>
      <c r="I24740" s="711"/>
      <c r="J24740" s="711"/>
      <c r="K24740" s="711"/>
      <c r="L24740" s="711"/>
      <c r="Q24740" s="11"/>
      <c r="R24740" s="11"/>
      <c r="S24740" s="11"/>
      <c r="T24740" s="11"/>
    </row>
    <row r="24741" spans="8:20" x14ac:dyDescent="0.35">
      <c r="H24741" s="711"/>
      <c r="I24741" s="711"/>
      <c r="J24741" s="711"/>
      <c r="K24741" s="711"/>
      <c r="L24741" s="711"/>
      <c r="Q24741" s="11"/>
      <c r="R24741" s="11"/>
      <c r="S24741" s="11"/>
      <c r="T24741" s="11"/>
    </row>
    <row r="24742" spans="8:20" x14ac:dyDescent="0.35">
      <c r="H24742" s="711"/>
      <c r="I24742" s="711"/>
      <c r="J24742" s="711"/>
      <c r="K24742" s="711"/>
      <c r="L24742" s="711"/>
      <c r="Q24742" s="11"/>
      <c r="R24742" s="11"/>
      <c r="S24742" s="11"/>
      <c r="T24742" s="11"/>
    </row>
    <row r="24743" spans="8:20" x14ac:dyDescent="0.35">
      <c r="H24743" s="711"/>
      <c r="I24743" s="711"/>
      <c r="J24743" s="711"/>
      <c r="K24743" s="711"/>
      <c r="L24743" s="711"/>
      <c r="Q24743" s="11"/>
      <c r="R24743" s="11"/>
      <c r="S24743" s="11"/>
      <c r="T24743" s="11"/>
    </row>
    <row r="24744" spans="8:20" x14ac:dyDescent="0.35">
      <c r="H24744" s="711"/>
      <c r="I24744" s="711"/>
      <c r="J24744" s="711"/>
      <c r="K24744" s="711"/>
      <c r="L24744" s="711"/>
      <c r="Q24744" s="11"/>
      <c r="R24744" s="11"/>
      <c r="S24744" s="11"/>
      <c r="T24744" s="11"/>
    </row>
    <row r="24745" spans="8:20" x14ac:dyDescent="0.35">
      <c r="H24745" s="711"/>
      <c r="I24745" s="711"/>
      <c r="J24745" s="711"/>
      <c r="K24745" s="711"/>
      <c r="L24745" s="711"/>
      <c r="Q24745" s="11"/>
      <c r="R24745" s="11"/>
      <c r="S24745" s="11"/>
      <c r="T24745" s="11"/>
    </row>
    <row r="24746" spans="8:20" x14ac:dyDescent="0.35">
      <c r="H24746" s="711"/>
      <c r="I24746" s="711"/>
      <c r="J24746" s="711"/>
      <c r="K24746" s="711"/>
      <c r="L24746" s="711"/>
      <c r="Q24746" s="11"/>
      <c r="R24746" s="11"/>
      <c r="S24746" s="11"/>
      <c r="T24746" s="11"/>
    </row>
    <row r="24747" spans="8:20" x14ac:dyDescent="0.35">
      <c r="H24747" s="711"/>
      <c r="I24747" s="711"/>
      <c r="J24747" s="711"/>
      <c r="K24747" s="711"/>
      <c r="L24747" s="711"/>
      <c r="Q24747" s="11"/>
      <c r="R24747" s="11"/>
      <c r="S24747" s="11"/>
      <c r="T24747" s="11"/>
    </row>
    <row r="24748" spans="8:20" x14ac:dyDescent="0.35">
      <c r="H24748" s="711"/>
      <c r="I24748" s="711"/>
      <c r="J24748" s="711"/>
      <c r="K24748" s="711"/>
      <c r="L24748" s="711"/>
      <c r="Q24748" s="11"/>
      <c r="R24748" s="11"/>
      <c r="S24748" s="11"/>
      <c r="T24748" s="11"/>
    </row>
    <row r="24749" spans="8:20" x14ac:dyDescent="0.35">
      <c r="H24749" s="711"/>
      <c r="I24749" s="711"/>
      <c r="J24749" s="711"/>
      <c r="K24749" s="711"/>
      <c r="L24749" s="711"/>
      <c r="Q24749" s="11"/>
      <c r="R24749" s="11"/>
      <c r="S24749" s="11"/>
      <c r="T24749" s="11"/>
    </row>
    <row r="24750" spans="8:20" x14ac:dyDescent="0.35">
      <c r="H24750" s="711"/>
      <c r="I24750" s="711"/>
      <c r="J24750" s="711"/>
      <c r="K24750" s="711"/>
      <c r="L24750" s="711"/>
      <c r="Q24750" s="11"/>
      <c r="R24750" s="11"/>
      <c r="S24750" s="11"/>
      <c r="T24750" s="11"/>
    </row>
    <row r="24751" spans="8:20" x14ac:dyDescent="0.35">
      <c r="H24751" s="711"/>
      <c r="I24751" s="711"/>
      <c r="J24751" s="711"/>
      <c r="K24751" s="711"/>
      <c r="L24751" s="711"/>
      <c r="Q24751" s="11"/>
      <c r="R24751" s="11"/>
      <c r="S24751" s="11"/>
      <c r="T24751" s="11"/>
    </row>
    <row r="24752" spans="8:20" x14ac:dyDescent="0.35">
      <c r="H24752" s="711"/>
      <c r="I24752" s="711"/>
      <c r="J24752" s="711"/>
      <c r="K24752" s="711"/>
      <c r="L24752" s="711"/>
      <c r="Q24752" s="11"/>
      <c r="R24752" s="11"/>
      <c r="S24752" s="11"/>
      <c r="T24752" s="11"/>
    </row>
    <row r="24753" spans="8:20" x14ac:dyDescent="0.35">
      <c r="H24753" s="711"/>
      <c r="I24753" s="711"/>
      <c r="J24753" s="711"/>
      <c r="K24753" s="711"/>
      <c r="L24753" s="711"/>
      <c r="Q24753" s="11"/>
      <c r="R24753" s="11"/>
      <c r="S24753" s="11"/>
      <c r="T24753" s="11"/>
    </row>
    <row r="24754" spans="8:20" x14ac:dyDescent="0.35">
      <c r="H24754" s="711"/>
      <c r="I24754" s="711"/>
      <c r="J24754" s="711"/>
      <c r="K24754" s="711"/>
      <c r="L24754" s="711"/>
      <c r="Q24754" s="11"/>
      <c r="R24754" s="11"/>
      <c r="S24754" s="11"/>
      <c r="T24754" s="11"/>
    </row>
    <row r="24755" spans="8:20" x14ac:dyDescent="0.35">
      <c r="H24755" s="711"/>
      <c r="I24755" s="711"/>
      <c r="J24755" s="711"/>
      <c r="K24755" s="711"/>
      <c r="L24755" s="711"/>
      <c r="Q24755" s="11"/>
      <c r="R24755" s="11"/>
      <c r="S24755" s="11"/>
      <c r="T24755" s="11"/>
    </row>
    <row r="24756" spans="8:20" x14ac:dyDescent="0.35">
      <c r="H24756" s="711"/>
      <c r="I24756" s="711"/>
      <c r="J24756" s="711"/>
      <c r="K24756" s="711"/>
      <c r="L24756" s="711"/>
      <c r="Q24756" s="11"/>
      <c r="R24756" s="11"/>
      <c r="S24756" s="11"/>
      <c r="T24756" s="11"/>
    </row>
    <row r="24757" spans="8:20" x14ac:dyDescent="0.35">
      <c r="H24757" s="711"/>
      <c r="I24757" s="711"/>
      <c r="J24757" s="711"/>
      <c r="K24757" s="711"/>
      <c r="L24757" s="711"/>
      <c r="Q24757" s="11"/>
      <c r="R24757" s="11"/>
      <c r="S24757" s="11"/>
      <c r="T24757" s="11"/>
    </row>
    <row r="24758" spans="8:20" x14ac:dyDescent="0.35">
      <c r="H24758" s="711"/>
      <c r="I24758" s="711"/>
      <c r="J24758" s="711"/>
      <c r="K24758" s="711"/>
      <c r="L24758" s="711"/>
      <c r="Q24758" s="11"/>
      <c r="R24758" s="11"/>
      <c r="S24758" s="11"/>
      <c r="T24758" s="11"/>
    </row>
    <row r="24759" spans="8:20" x14ac:dyDescent="0.35">
      <c r="H24759" s="711"/>
      <c r="I24759" s="711"/>
      <c r="J24759" s="711"/>
      <c r="K24759" s="711"/>
      <c r="L24759" s="711"/>
      <c r="Q24759" s="11"/>
      <c r="R24759" s="11"/>
      <c r="S24759" s="11"/>
      <c r="T24759" s="11"/>
    </row>
    <row r="24760" spans="8:20" x14ac:dyDescent="0.35">
      <c r="H24760" s="711"/>
      <c r="I24760" s="711"/>
      <c r="J24760" s="711"/>
      <c r="K24760" s="711"/>
      <c r="L24760" s="711"/>
      <c r="Q24760" s="11"/>
      <c r="R24760" s="11"/>
      <c r="S24760" s="11"/>
      <c r="T24760" s="11"/>
    </row>
    <row r="24761" spans="8:20" x14ac:dyDescent="0.35">
      <c r="H24761" s="711"/>
      <c r="I24761" s="711"/>
      <c r="J24761" s="711"/>
      <c r="K24761" s="711"/>
      <c r="L24761" s="711"/>
      <c r="Q24761" s="11"/>
      <c r="R24761" s="11"/>
      <c r="S24761" s="11"/>
      <c r="T24761" s="11"/>
    </row>
    <row r="24762" spans="8:20" x14ac:dyDescent="0.35">
      <c r="H24762" s="711"/>
      <c r="I24762" s="711"/>
      <c r="J24762" s="711"/>
      <c r="K24762" s="711"/>
      <c r="L24762" s="711"/>
      <c r="Q24762" s="11"/>
      <c r="R24762" s="11"/>
      <c r="S24762" s="11"/>
      <c r="T24762" s="11"/>
    </row>
    <row r="24763" spans="8:20" x14ac:dyDescent="0.35">
      <c r="H24763" s="711"/>
      <c r="I24763" s="711"/>
      <c r="J24763" s="711"/>
      <c r="K24763" s="711"/>
      <c r="L24763" s="711"/>
      <c r="Q24763" s="11"/>
      <c r="R24763" s="11"/>
      <c r="S24763" s="11"/>
      <c r="T24763" s="11"/>
    </row>
    <row r="24764" spans="8:20" x14ac:dyDescent="0.35">
      <c r="H24764" s="711"/>
      <c r="I24764" s="711"/>
      <c r="J24764" s="711"/>
      <c r="K24764" s="711"/>
      <c r="L24764" s="711"/>
      <c r="Q24764" s="11"/>
      <c r="R24764" s="11"/>
      <c r="S24764" s="11"/>
      <c r="T24764" s="11"/>
    </row>
    <row r="24765" spans="8:20" x14ac:dyDescent="0.35">
      <c r="H24765" s="711"/>
      <c r="I24765" s="711"/>
      <c r="J24765" s="711"/>
      <c r="K24765" s="711"/>
      <c r="L24765" s="711"/>
      <c r="Q24765" s="11"/>
      <c r="R24765" s="11"/>
      <c r="S24765" s="11"/>
      <c r="T24765" s="11"/>
    </row>
    <row r="24766" spans="8:20" x14ac:dyDescent="0.35">
      <c r="H24766" s="711"/>
      <c r="I24766" s="711"/>
      <c r="J24766" s="711"/>
      <c r="K24766" s="711"/>
      <c r="L24766" s="711"/>
      <c r="Q24766" s="11"/>
      <c r="R24766" s="11"/>
      <c r="S24766" s="11"/>
      <c r="T24766" s="11"/>
    </row>
    <row r="24767" spans="8:20" x14ac:dyDescent="0.35">
      <c r="H24767" s="711"/>
      <c r="I24767" s="711"/>
      <c r="J24767" s="711"/>
      <c r="K24767" s="711"/>
      <c r="L24767" s="711"/>
      <c r="Q24767" s="11"/>
      <c r="R24767" s="11"/>
      <c r="S24767" s="11"/>
      <c r="T24767" s="11"/>
    </row>
    <row r="24768" spans="8:20" x14ac:dyDescent="0.35">
      <c r="H24768" s="711"/>
      <c r="I24768" s="711"/>
      <c r="J24768" s="711"/>
      <c r="K24768" s="711"/>
      <c r="L24768" s="711"/>
      <c r="Q24768" s="11"/>
      <c r="R24768" s="11"/>
      <c r="S24768" s="11"/>
      <c r="T24768" s="11"/>
    </row>
    <row r="24769" spans="8:20" x14ac:dyDescent="0.35">
      <c r="H24769" s="711"/>
      <c r="I24769" s="711"/>
      <c r="J24769" s="711"/>
      <c r="K24769" s="711"/>
      <c r="L24769" s="711"/>
      <c r="Q24769" s="11"/>
      <c r="R24769" s="11"/>
      <c r="S24769" s="11"/>
      <c r="T24769" s="11"/>
    </row>
    <row r="24770" spans="8:20" x14ac:dyDescent="0.35">
      <c r="H24770" s="711"/>
      <c r="I24770" s="711"/>
      <c r="J24770" s="711"/>
      <c r="K24770" s="711"/>
      <c r="L24770" s="711"/>
      <c r="Q24770" s="11"/>
      <c r="R24770" s="11"/>
      <c r="S24770" s="11"/>
      <c r="T24770" s="11"/>
    </row>
    <row r="24771" spans="8:20" x14ac:dyDescent="0.35">
      <c r="H24771" s="711"/>
      <c r="I24771" s="711"/>
      <c r="J24771" s="711"/>
      <c r="K24771" s="711"/>
      <c r="L24771" s="711"/>
      <c r="Q24771" s="11"/>
      <c r="R24771" s="11"/>
      <c r="S24771" s="11"/>
      <c r="T24771" s="11"/>
    </row>
    <row r="24772" spans="8:20" x14ac:dyDescent="0.35">
      <c r="H24772" s="711"/>
      <c r="I24772" s="711"/>
      <c r="J24772" s="711"/>
      <c r="K24772" s="711"/>
      <c r="L24772" s="711"/>
      <c r="Q24772" s="11"/>
      <c r="R24772" s="11"/>
      <c r="S24772" s="11"/>
      <c r="T24772" s="11"/>
    </row>
    <row r="24773" spans="8:20" x14ac:dyDescent="0.35">
      <c r="H24773" s="711"/>
      <c r="I24773" s="711"/>
      <c r="J24773" s="711"/>
      <c r="K24773" s="711"/>
      <c r="L24773" s="711"/>
      <c r="Q24773" s="11"/>
      <c r="R24773" s="11"/>
      <c r="S24773" s="11"/>
      <c r="T24773" s="11"/>
    </row>
    <row r="24774" spans="8:20" x14ac:dyDescent="0.35">
      <c r="H24774" s="711"/>
      <c r="I24774" s="711"/>
      <c r="J24774" s="711"/>
      <c r="K24774" s="711"/>
      <c r="L24774" s="711"/>
      <c r="Q24774" s="11"/>
      <c r="R24774" s="11"/>
      <c r="S24774" s="11"/>
      <c r="T24774" s="11"/>
    </row>
    <row r="24775" spans="8:20" x14ac:dyDescent="0.35">
      <c r="H24775" s="711"/>
      <c r="I24775" s="711"/>
      <c r="J24775" s="711"/>
      <c r="K24775" s="711"/>
      <c r="L24775" s="711"/>
      <c r="Q24775" s="11"/>
      <c r="R24775" s="11"/>
      <c r="S24775" s="11"/>
      <c r="T24775" s="11"/>
    </row>
    <row r="24776" spans="8:20" x14ac:dyDescent="0.35">
      <c r="H24776" s="711"/>
      <c r="I24776" s="711"/>
      <c r="J24776" s="711"/>
      <c r="K24776" s="711"/>
      <c r="L24776" s="711"/>
      <c r="Q24776" s="11"/>
      <c r="R24776" s="11"/>
      <c r="S24776" s="11"/>
      <c r="T24776" s="11"/>
    </row>
    <row r="24777" spans="8:20" x14ac:dyDescent="0.35">
      <c r="H24777" s="711"/>
      <c r="I24777" s="711"/>
      <c r="J24777" s="711"/>
      <c r="K24777" s="711"/>
      <c r="L24777" s="711"/>
      <c r="Q24777" s="11"/>
      <c r="R24777" s="11"/>
      <c r="S24777" s="11"/>
      <c r="T24777" s="11"/>
    </row>
    <row r="24778" spans="8:20" x14ac:dyDescent="0.35">
      <c r="H24778" s="711"/>
      <c r="I24778" s="711"/>
      <c r="J24778" s="711"/>
      <c r="K24778" s="711"/>
      <c r="L24778" s="711"/>
      <c r="Q24778" s="11"/>
      <c r="R24778" s="11"/>
      <c r="S24778" s="11"/>
      <c r="T24778" s="11"/>
    </row>
    <row r="24779" spans="8:20" x14ac:dyDescent="0.35">
      <c r="H24779" s="711"/>
      <c r="I24779" s="711"/>
      <c r="J24779" s="711"/>
      <c r="K24779" s="711"/>
      <c r="L24779" s="711"/>
      <c r="Q24779" s="11"/>
      <c r="R24779" s="11"/>
      <c r="S24779" s="11"/>
      <c r="T24779" s="11"/>
    </row>
    <row r="24780" spans="8:20" x14ac:dyDescent="0.35">
      <c r="H24780" s="711"/>
      <c r="I24780" s="711"/>
      <c r="J24780" s="711"/>
      <c r="K24780" s="711"/>
      <c r="L24780" s="711"/>
      <c r="Q24780" s="11"/>
      <c r="R24780" s="11"/>
      <c r="S24780" s="11"/>
      <c r="T24780" s="11"/>
    </row>
    <row r="24781" spans="8:20" x14ac:dyDescent="0.35">
      <c r="H24781" s="711"/>
      <c r="I24781" s="711"/>
      <c r="J24781" s="711"/>
      <c r="K24781" s="711"/>
      <c r="L24781" s="711"/>
      <c r="Q24781" s="11"/>
      <c r="R24781" s="11"/>
      <c r="S24781" s="11"/>
      <c r="T24781" s="11"/>
    </row>
    <row r="24782" spans="8:20" x14ac:dyDescent="0.35">
      <c r="H24782" s="711"/>
      <c r="I24782" s="711"/>
      <c r="J24782" s="711"/>
      <c r="K24782" s="711"/>
      <c r="L24782" s="711"/>
      <c r="Q24782" s="11"/>
      <c r="R24782" s="11"/>
      <c r="S24782" s="11"/>
      <c r="T24782" s="11"/>
    </row>
    <row r="24783" spans="8:20" x14ac:dyDescent="0.35">
      <c r="H24783" s="711"/>
      <c r="I24783" s="711"/>
      <c r="J24783" s="711"/>
      <c r="K24783" s="711"/>
      <c r="L24783" s="711"/>
      <c r="Q24783" s="11"/>
      <c r="R24783" s="11"/>
      <c r="S24783" s="11"/>
      <c r="T24783" s="11"/>
    </row>
    <row r="24784" spans="8:20" x14ac:dyDescent="0.35">
      <c r="H24784" s="711"/>
      <c r="I24784" s="711"/>
      <c r="J24784" s="711"/>
      <c r="K24784" s="711"/>
      <c r="L24784" s="711"/>
      <c r="Q24784" s="11"/>
      <c r="R24784" s="11"/>
      <c r="S24784" s="11"/>
      <c r="T24784" s="11"/>
    </row>
    <row r="24785" spans="8:20" x14ac:dyDescent="0.35">
      <c r="H24785" s="711"/>
      <c r="I24785" s="711"/>
      <c r="J24785" s="711"/>
      <c r="K24785" s="711"/>
      <c r="L24785" s="711"/>
      <c r="Q24785" s="11"/>
      <c r="R24785" s="11"/>
      <c r="S24785" s="11"/>
      <c r="T24785" s="11"/>
    </row>
    <row r="24786" spans="8:20" x14ac:dyDescent="0.35">
      <c r="H24786" s="711"/>
      <c r="I24786" s="711"/>
      <c r="J24786" s="711"/>
      <c r="K24786" s="711"/>
      <c r="L24786" s="711"/>
      <c r="Q24786" s="11"/>
      <c r="R24786" s="11"/>
      <c r="S24786" s="11"/>
      <c r="T24786" s="11"/>
    </row>
    <row r="24787" spans="8:20" x14ac:dyDescent="0.35">
      <c r="H24787" s="711"/>
      <c r="I24787" s="711"/>
      <c r="J24787" s="711"/>
      <c r="K24787" s="711"/>
      <c r="L24787" s="711"/>
      <c r="Q24787" s="11"/>
      <c r="R24787" s="11"/>
      <c r="S24787" s="11"/>
      <c r="T24787" s="11"/>
    </row>
    <row r="24788" spans="8:20" x14ac:dyDescent="0.35">
      <c r="H24788" s="711"/>
      <c r="I24788" s="711"/>
      <c r="J24788" s="711"/>
      <c r="K24788" s="711"/>
      <c r="L24788" s="711"/>
      <c r="Q24788" s="11"/>
      <c r="R24788" s="11"/>
      <c r="S24788" s="11"/>
      <c r="T24788" s="11"/>
    </row>
    <row r="24789" spans="8:20" x14ac:dyDescent="0.35">
      <c r="H24789" s="711"/>
      <c r="I24789" s="711"/>
      <c r="J24789" s="711"/>
      <c r="K24789" s="711"/>
      <c r="L24789" s="711"/>
      <c r="Q24789" s="11"/>
      <c r="R24789" s="11"/>
      <c r="S24789" s="11"/>
      <c r="T24789" s="11"/>
    </row>
    <row r="24790" spans="8:20" x14ac:dyDescent="0.35">
      <c r="H24790" s="711"/>
      <c r="I24790" s="711"/>
      <c r="J24790" s="711"/>
      <c r="K24790" s="711"/>
      <c r="L24790" s="711"/>
      <c r="Q24790" s="11"/>
      <c r="R24790" s="11"/>
      <c r="S24790" s="11"/>
      <c r="T24790" s="11"/>
    </row>
    <row r="24791" spans="8:20" x14ac:dyDescent="0.35">
      <c r="H24791" s="711"/>
      <c r="I24791" s="711"/>
      <c r="J24791" s="711"/>
      <c r="K24791" s="711"/>
      <c r="L24791" s="711"/>
      <c r="Q24791" s="11"/>
      <c r="R24791" s="11"/>
      <c r="S24791" s="11"/>
      <c r="T24791" s="11"/>
    </row>
    <row r="24792" spans="8:20" x14ac:dyDescent="0.35">
      <c r="H24792" s="711"/>
      <c r="I24792" s="711"/>
      <c r="J24792" s="711"/>
      <c r="K24792" s="711"/>
      <c r="L24792" s="711"/>
      <c r="Q24792" s="11"/>
      <c r="R24792" s="11"/>
      <c r="S24792" s="11"/>
      <c r="T24792" s="11"/>
    </row>
    <row r="24793" spans="8:20" x14ac:dyDescent="0.35">
      <c r="H24793" s="711"/>
      <c r="I24793" s="711"/>
      <c r="J24793" s="711"/>
      <c r="K24793" s="711"/>
      <c r="L24793" s="711"/>
      <c r="Q24793" s="11"/>
      <c r="R24793" s="11"/>
      <c r="S24793" s="11"/>
      <c r="T24793" s="11"/>
    </row>
    <row r="24794" spans="8:20" x14ac:dyDescent="0.35">
      <c r="H24794" s="711"/>
      <c r="I24794" s="711"/>
      <c r="J24794" s="711"/>
      <c r="K24794" s="711"/>
      <c r="L24794" s="711"/>
      <c r="Q24794" s="11"/>
      <c r="R24794" s="11"/>
      <c r="S24794" s="11"/>
      <c r="T24794" s="11"/>
    </row>
    <row r="24795" spans="8:20" x14ac:dyDescent="0.35">
      <c r="H24795" s="711"/>
      <c r="I24795" s="711"/>
      <c r="J24795" s="711"/>
      <c r="K24795" s="711"/>
      <c r="L24795" s="711"/>
      <c r="Q24795" s="11"/>
      <c r="R24795" s="11"/>
      <c r="S24795" s="11"/>
      <c r="T24795" s="11"/>
    </row>
    <row r="24796" spans="8:20" x14ac:dyDescent="0.35">
      <c r="H24796" s="711"/>
      <c r="I24796" s="711"/>
      <c r="J24796" s="711"/>
      <c r="K24796" s="711"/>
      <c r="L24796" s="711"/>
      <c r="Q24796" s="11"/>
      <c r="R24796" s="11"/>
      <c r="S24796" s="11"/>
      <c r="T24796" s="11"/>
    </row>
    <row r="24797" spans="8:20" x14ac:dyDescent="0.35">
      <c r="H24797" s="711"/>
      <c r="I24797" s="711"/>
      <c r="J24797" s="711"/>
      <c r="K24797" s="711"/>
      <c r="L24797" s="711"/>
      <c r="Q24797" s="11"/>
      <c r="R24797" s="11"/>
      <c r="S24797" s="11"/>
      <c r="T24797" s="11"/>
    </row>
    <row r="24798" spans="8:20" x14ac:dyDescent="0.35">
      <c r="H24798" s="711"/>
      <c r="I24798" s="711"/>
      <c r="J24798" s="711"/>
      <c r="K24798" s="711"/>
      <c r="L24798" s="711"/>
      <c r="Q24798" s="11"/>
      <c r="R24798" s="11"/>
      <c r="S24798" s="11"/>
      <c r="T24798" s="11"/>
    </row>
    <row r="24799" spans="8:20" x14ac:dyDescent="0.35">
      <c r="H24799" s="711"/>
      <c r="I24799" s="711"/>
      <c r="J24799" s="711"/>
      <c r="K24799" s="711"/>
      <c r="L24799" s="711"/>
      <c r="Q24799" s="11"/>
      <c r="R24799" s="11"/>
      <c r="S24799" s="11"/>
      <c r="T24799" s="11"/>
    </row>
    <row r="24800" spans="8:20" x14ac:dyDescent="0.35">
      <c r="H24800" s="711"/>
      <c r="I24800" s="711"/>
      <c r="J24800" s="711"/>
      <c r="K24800" s="711"/>
      <c r="L24800" s="711"/>
      <c r="Q24800" s="11"/>
      <c r="R24800" s="11"/>
      <c r="S24800" s="11"/>
      <c r="T24800" s="11"/>
    </row>
    <row r="24801" spans="8:20" x14ac:dyDescent="0.35">
      <c r="H24801" s="711"/>
      <c r="I24801" s="711"/>
      <c r="J24801" s="711"/>
      <c r="K24801" s="711"/>
      <c r="L24801" s="711"/>
      <c r="Q24801" s="11"/>
      <c r="R24801" s="11"/>
      <c r="S24801" s="11"/>
      <c r="T24801" s="11"/>
    </row>
    <row r="24802" spans="8:20" x14ac:dyDescent="0.35">
      <c r="H24802" s="711"/>
      <c r="I24802" s="711"/>
      <c r="J24802" s="711"/>
      <c r="K24802" s="711"/>
      <c r="L24802" s="711"/>
      <c r="Q24802" s="11"/>
      <c r="R24802" s="11"/>
      <c r="S24802" s="11"/>
      <c r="T24802" s="11"/>
    </row>
    <row r="24803" spans="8:20" x14ac:dyDescent="0.35">
      <c r="H24803" s="711"/>
      <c r="I24803" s="711"/>
      <c r="J24803" s="711"/>
      <c r="K24803" s="711"/>
      <c r="L24803" s="711"/>
      <c r="Q24803" s="11"/>
      <c r="R24803" s="11"/>
      <c r="S24803" s="11"/>
      <c r="T24803" s="11"/>
    </row>
    <row r="24804" spans="8:20" x14ac:dyDescent="0.35">
      <c r="H24804" s="711"/>
      <c r="I24804" s="711"/>
      <c r="J24804" s="711"/>
      <c r="K24804" s="711"/>
      <c r="L24804" s="711"/>
      <c r="Q24804" s="11"/>
      <c r="R24804" s="11"/>
      <c r="S24804" s="11"/>
      <c r="T24804" s="11"/>
    </row>
    <row r="24805" spans="8:20" x14ac:dyDescent="0.35">
      <c r="H24805" s="711"/>
      <c r="I24805" s="711"/>
      <c r="J24805" s="711"/>
      <c r="K24805" s="711"/>
      <c r="L24805" s="711"/>
      <c r="Q24805" s="11"/>
      <c r="R24805" s="11"/>
      <c r="S24805" s="11"/>
      <c r="T24805" s="11"/>
    </row>
    <row r="24806" spans="8:20" x14ac:dyDescent="0.35">
      <c r="H24806" s="711"/>
      <c r="I24806" s="711"/>
      <c r="J24806" s="711"/>
      <c r="K24806" s="711"/>
      <c r="L24806" s="711"/>
      <c r="Q24806" s="11"/>
      <c r="R24806" s="11"/>
      <c r="S24806" s="11"/>
      <c r="T24806" s="11"/>
    </row>
    <row r="24807" spans="8:20" x14ac:dyDescent="0.35">
      <c r="H24807" s="711"/>
      <c r="I24807" s="711"/>
      <c r="J24807" s="711"/>
      <c r="K24807" s="711"/>
      <c r="L24807" s="711"/>
      <c r="Q24807" s="11"/>
      <c r="R24807" s="11"/>
      <c r="S24807" s="11"/>
      <c r="T24807" s="11"/>
    </row>
    <row r="24808" spans="8:20" x14ac:dyDescent="0.35">
      <c r="H24808" s="711"/>
      <c r="I24808" s="711"/>
      <c r="J24808" s="711"/>
      <c r="K24808" s="711"/>
      <c r="L24808" s="711"/>
      <c r="Q24808" s="11"/>
      <c r="R24808" s="11"/>
      <c r="S24808" s="11"/>
      <c r="T24808" s="11"/>
    </row>
    <row r="24809" spans="8:20" x14ac:dyDescent="0.35">
      <c r="H24809" s="711"/>
      <c r="I24809" s="711"/>
      <c r="J24809" s="711"/>
      <c r="K24809" s="711"/>
      <c r="L24809" s="711"/>
      <c r="Q24809" s="11"/>
      <c r="R24809" s="11"/>
      <c r="S24809" s="11"/>
      <c r="T24809" s="11"/>
    </row>
    <row r="24810" spans="8:20" x14ac:dyDescent="0.35">
      <c r="H24810" s="711"/>
      <c r="I24810" s="711"/>
      <c r="J24810" s="711"/>
      <c r="K24810" s="711"/>
      <c r="L24810" s="711"/>
      <c r="Q24810" s="11"/>
      <c r="R24810" s="11"/>
      <c r="S24810" s="11"/>
      <c r="T24810" s="11"/>
    </row>
    <row r="24811" spans="8:20" x14ac:dyDescent="0.35">
      <c r="H24811" s="711"/>
      <c r="I24811" s="711"/>
      <c r="J24811" s="711"/>
      <c r="K24811" s="711"/>
      <c r="L24811" s="711"/>
      <c r="Q24811" s="11"/>
      <c r="R24811" s="11"/>
      <c r="S24811" s="11"/>
      <c r="T24811" s="11"/>
    </row>
    <row r="24812" spans="8:20" x14ac:dyDescent="0.35">
      <c r="H24812" s="711"/>
      <c r="I24812" s="711"/>
      <c r="J24812" s="711"/>
      <c r="K24812" s="711"/>
      <c r="L24812" s="711"/>
      <c r="Q24812" s="11"/>
      <c r="R24812" s="11"/>
      <c r="S24812" s="11"/>
      <c r="T24812" s="11"/>
    </row>
    <row r="24813" spans="8:20" x14ac:dyDescent="0.35">
      <c r="H24813" s="711"/>
      <c r="I24813" s="711"/>
      <c r="J24813" s="711"/>
      <c r="K24813" s="711"/>
      <c r="L24813" s="711"/>
      <c r="Q24813" s="11"/>
      <c r="R24813" s="11"/>
      <c r="S24813" s="11"/>
      <c r="T24813" s="11"/>
    </row>
    <row r="24814" spans="8:20" x14ac:dyDescent="0.35">
      <c r="H24814" s="711"/>
      <c r="I24814" s="711"/>
      <c r="J24814" s="711"/>
      <c r="K24814" s="711"/>
      <c r="L24814" s="711"/>
      <c r="Q24814" s="11"/>
      <c r="R24814" s="11"/>
      <c r="S24814" s="11"/>
      <c r="T24814" s="11"/>
    </row>
    <row r="24815" spans="8:20" x14ac:dyDescent="0.35">
      <c r="H24815" s="711"/>
      <c r="I24815" s="711"/>
      <c r="J24815" s="711"/>
      <c r="K24815" s="711"/>
      <c r="L24815" s="711"/>
      <c r="Q24815" s="11"/>
      <c r="R24815" s="11"/>
      <c r="S24815" s="11"/>
      <c r="T24815" s="11"/>
    </row>
    <row r="24816" spans="8:20" x14ac:dyDescent="0.35">
      <c r="H24816" s="711"/>
      <c r="I24816" s="711"/>
      <c r="J24816" s="711"/>
      <c r="K24816" s="711"/>
      <c r="L24816" s="711"/>
      <c r="Q24816" s="11"/>
      <c r="R24816" s="11"/>
      <c r="S24816" s="11"/>
      <c r="T24816" s="11"/>
    </row>
    <row r="24817" spans="8:20" x14ac:dyDescent="0.35">
      <c r="H24817" s="711"/>
      <c r="I24817" s="711"/>
      <c r="J24817" s="711"/>
      <c r="K24817" s="711"/>
      <c r="L24817" s="711"/>
      <c r="Q24817" s="11"/>
      <c r="R24817" s="11"/>
      <c r="S24817" s="11"/>
      <c r="T24817" s="11"/>
    </row>
    <row r="24818" spans="8:20" x14ac:dyDescent="0.35">
      <c r="H24818" s="711"/>
      <c r="I24818" s="711"/>
      <c r="J24818" s="711"/>
      <c r="K24818" s="711"/>
      <c r="L24818" s="711"/>
      <c r="Q24818" s="11"/>
      <c r="R24818" s="11"/>
      <c r="S24818" s="11"/>
      <c r="T24818" s="11"/>
    </row>
    <row r="24819" spans="8:20" x14ac:dyDescent="0.35">
      <c r="H24819" s="711"/>
      <c r="I24819" s="711"/>
      <c r="J24819" s="711"/>
      <c r="K24819" s="711"/>
      <c r="L24819" s="711"/>
      <c r="Q24819" s="11"/>
      <c r="R24819" s="11"/>
      <c r="S24819" s="11"/>
      <c r="T24819" s="11"/>
    </row>
    <row r="24820" spans="8:20" x14ac:dyDescent="0.35">
      <c r="H24820" s="711"/>
      <c r="I24820" s="711"/>
      <c r="J24820" s="711"/>
      <c r="K24820" s="711"/>
      <c r="L24820" s="711"/>
      <c r="Q24820" s="11"/>
      <c r="R24820" s="11"/>
      <c r="S24820" s="11"/>
      <c r="T24820" s="11"/>
    </row>
    <row r="24821" spans="8:20" x14ac:dyDescent="0.35">
      <c r="H24821" s="711"/>
      <c r="I24821" s="711"/>
      <c r="J24821" s="711"/>
      <c r="K24821" s="711"/>
      <c r="L24821" s="711"/>
      <c r="Q24821" s="11"/>
      <c r="R24821" s="11"/>
      <c r="S24821" s="11"/>
      <c r="T24821" s="11"/>
    </row>
    <row r="24822" spans="8:20" x14ac:dyDescent="0.35">
      <c r="H24822" s="711"/>
      <c r="I24822" s="711"/>
      <c r="J24822" s="711"/>
      <c r="K24822" s="711"/>
      <c r="L24822" s="711"/>
      <c r="Q24822" s="11"/>
      <c r="R24822" s="11"/>
      <c r="S24822" s="11"/>
      <c r="T24822" s="11"/>
    </row>
    <row r="24823" spans="8:20" x14ac:dyDescent="0.35">
      <c r="H24823" s="711"/>
      <c r="I24823" s="711"/>
      <c r="J24823" s="711"/>
      <c r="K24823" s="711"/>
      <c r="L24823" s="711"/>
      <c r="Q24823" s="11"/>
      <c r="R24823" s="11"/>
      <c r="S24823" s="11"/>
      <c r="T24823" s="11"/>
    </row>
    <row r="24824" spans="8:20" x14ac:dyDescent="0.35">
      <c r="H24824" s="711"/>
      <c r="I24824" s="711"/>
      <c r="J24824" s="711"/>
      <c r="K24824" s="711"/>
      <c r="L24824" s="711"/>
      <c r="Q24824" s="11"/>
      <c r="R24824" s="11"/>
      <c r="S24824" s="11"/>
      <c r="T24824" s="11"/>
    </row>
    <row r="24825" spans="8:20" x14ac:dyDescent="0.35">
      <c r="H24825" s="711"/>
      <c r="I24825" s="711"/>
      <c r="J24825" s="711"/>
      <c r="K24825" s="711"/>
      <c r="L24825" s="711"/>
      <c r="Q24825" s="11"/>
      <c r="R24825" s="11"/>
      <c r="S24825" s="11"/>
      <c r="T24825" s="11"/>
    </row>
    <row r="24826" spans="8:20" x14ac:dyDescent="0.35">
      <c r="H24826" s="711"/>
      <c r="I24826" s="711"/>
      <c r="J24826" s="711"/>
      <c r="K24826" s="711"/>
      <c r="L24826" s="711"/>
      <c r="Q24826" s="11"/>
      <c r="R24826" s="11"/>
      <c r="S24826" s="11"/>
      <c r="T24826" s="11"/>
    </row>
    <row r="24827" spans="8:20" x14ac:dyDescent="0.35">
      <c r="H24827" s="711"/>
      <c r="I24827" s="711"/>
      <c r="J24827" s="711"/>
      <c r="K24827" s="711"/>
      <c r="L24827" s="711"/>
      <c r="Q24827" s="11"/>
      <c r="R24827" s="11"/>
      <c r="S24827" s="11"/>
      <c r="T24827" s="11"/>
    </row>
    <row r="24828" spans="8:20" x14ac:dyDescent="0.35">
      <c r="H24828" s="711"/>
      <c r="I24828" s="711"/>
      <c r="J24828" s="711"/>
      <c r="K24828" s="711"/>
      <c r="L24828" s="711"/>
      <c r="Q24828" s="11"/>
      <c r="R24828" s="11"/>
      <c r="S24828" s="11"/>
      <c r="T24828" s="11"/>
    </row>
    <row r="24829" spans="8:20" x14ac:dyDescent="0.35">
      <c r="H24829" s="711"/>
      <c r="I24829" s="711"/>
      <c r="J24829" s="711"/>
      <c r="K24829" s="711"/>
      <c r="L24829" s="711"/>
      <c r="Q24829" s="11"/>
      <c r="R24829" s="11"/>
      <c r="S24829" s="11"/>
      <c r="T24829" s="11"/>
    </row>
    <row r="24830" spans="8:20" x14ac:dyDescent="0.35">
      <c r="H24830" s="711"/>
      <c r="I24830" s="711"/>
      <c r="J24830" s="711"/>
      <c r="K24830" s="711"/>
      <c r="L24830" s="711"/>
      <c r="Q24830" s="11"/>
      <c r="R24830" s="11"/>
      <c r="S24830" s="11"/>
      <c r="T24830" s="11"/>
    </row>
    <row r="24831" spans="8:20" x14ac:dyDescent="0.35">
      <c r="H24831" s="711"/>
      <c r="I24831" s="711"/>
      <c r="J24831" s="711"/>
      <c r="K24831" s="711"/>
      <c r="L24831" s="711"/>
      <c r="Q24831" s="11"/>
      <c r="R24831" s="11"/>
      <c r="S24831" s="11"/>
      <c r="T24831" s="11"/>
    </row>
    <row r="24832" spans="8:20" x14ac:dyDescent="0.35">
      <c r="H24832" s="711"/>
      <c r="I24832" s="711"/>
      <c r="J24832" s="711"/>
      <c r="K24832" s="711"/>
      <c r="L24832" s="711"/>
      <c r="Q24832" s="11"/>
      <c r="R24832" s="11"/>
      <c r="S24832" s="11"/>
      <c r="T24832" s="11"/>
    </row>
    <row r="24833" spans="8:20" x14ac:dyDescent="0.35">
      <c r="H24833" s="711"/>
      <c r="I24833" s="711"/>
      <c r="J24833" s="711"/>
      <c r="K24833" s="711"/>
      <c r="L24833" s="711"/>
      <c r="Q24833" s="11"/>
      <c r="R24833" s="11"/>
      <c r="S24833" s="11"/>
      <c r="T24833" s="11"/>
    </row>
    <row r="24834" spans="8:20" x14ac:dyDescent="0.35">
      <c r="H24834" s="711"/>
      <c r="I24834" s="711"/>
      <c r="J24834" s="711"/>
      <c r="K24834" s="711"/>
      <c r="L24834" s="711"/>
      <c r="Q24834" s="11"/>
      <c r="R24834" s="11"/>
      <c r="S24834" s="11"/>
      <c r="T24834" s="11"/>
    </row>
    <row r="24835" spans="8:20" x14ac:dyDescent="0.35">
      <c r="H24835" s="711"/>
      <c r="I24835" s="711"/>
      <c r="J24835" s="711"/>
      <c r="K24835" s="711"/>
      <c r="L24835" s="711"/>
      <c r="Q24835" s="11"/>
      <c r="R24835" s="11"/>
      <c r="S24835" s="11"/>
      <c r="T24835" s="11"/>
    </row>
    <row r="24836" spans="8:20" x14ac:dyDescent="0.35">
      <c r="H24836" s="711"/>
      <c r="I24836" s="711"/>
      <c r="J24836" s="711"/>
      <c r="K24836" s="711"/>
      <c r="L24836" s="711"/>
      <c r="Q24836" s="11"/>
      <c r="R24836" s="11"/>
      <c r="S24836" s="11"/>
      <c r="T24836" s="11"/>
    </row>
    <row r="24837" spans="8:20" x14ac:dyDescent="0.35">
      <c r="H24837" s="711"/>
      <c r="I24837" s="711"/>
      <c r="J24837" s="711"/>
      <c r="K24837" s="711"/>
      <c r="L24837" s="711"/>
      <c r="Q24837" s="11"/>
      <c r="R24837" s="11"/>
      <c r="S24837" s="11"/>
      <c r="T24837" s="11"/>
    </row>
    <row r="24838" spans="8:20" x14ac:dyDescent="0.35">
      <c r="H24838" s="711"/>
      <c r="I24838" s="711"/>
      <c r="J24838" s="711"/>
      <c r="K24838" s="711"/>
      <c r="L24838" s="711"/>
      <c r="Q24838" s="11"/>
      <c r="R24838" s="11"/>
      <c r="S24838" s="11"/>
      <c r="T24838" s="11"/>
    </row>
    <row r="24839" spans="8:20" x14ac:dyDescent="0.35">
      <c r="H24839" s="711"/>
      <c r="I24839" s="711"/>
      <c r="J24839" s="711"/>
      <c r="K24839" s="711"/>
      <c r="L24839" s="711"/>
      <c r="Q24839" s="11"/>
      <c r="R24839" s="11"/>
      <c r="S24839" s="11"/>
      <c r="T24839" s="11"/>
    </row>
    <row r="24840" spans="8:20" x14ac:dyDescent="0.35">
      <c r="H24840" s="711"/>
      <c r="I24840" s="711"/>
      <c r="J24840" s="711"/>
      <c r="K24840" s="711"/>
      <c r="L24840" s="711"/>
      <c r="Q24840" s="11"/>
      <c r="R24840" s="11"/>
      <c r="S24840" s="11"/>
      <c r="T24840" s="11"/>
    </row>
    <row r="24841" spans="8:20" x14ac:dyDescent="0.35">
      <c r="H24841" s="711"/>
      <c r="I24841" s="711"/>
      <c r="J24841" s="711"/>
      <c r="K24841" s="711"/>
      <c r="L24841" s="711"/>
      <c r="Q24841" s="11"/>
      <c r="R24841" s="11"/>
      <c r="S24841" s="11"/>
      <c r="T24841" s="11"/>
    </row>
    <row r="24842" spans="8:20" x14ac:dyDescent="0.35">
      <c r="H24842" s="711"/>
      <c r="I24842" s="711"/>
      <c r="J24842" s="711"/>
      <c r="K24842" s="711"/>
      <c r="L24842" s="711"/>
      <c r="Q24842" s="11"/>
      <c r="R24842" s="11"/>
      <c r="S24842" s="11"/>
      <c r="T24842" s="11"/>
    </row>
    <row r="24843" spans="8:20" x14ac:dyDescent="0.35">
      <c r="H24843" s="711"/>
      <c r="I24843" s="711"/>
      <c r="J24843" s="711"/>
      <c r="K24843" s="711"/>
      <c r="L24843" s="711"/>
      <c r="Q24843" s="11"/>
      <c r="R24843" s="11"/>
      <c r="S24843" s="11"/>
      <c r="T24843" s="11"/>
    </row>
    <row r="24844" spans="8:20" x14ac:dyDescent="0.35">
      <c r="H24844" s="711"/>
      <c r="I24844" s="711"/>
      <c r="J24844" s="711"/>
      <c r="K24844" s="711"/>
      <c r="L24844" s="711"/>
      <c r="Q24844" s="11"/>
      <c r="R24844" s="11"/>
      <c r="S24844" s="11"/>
      <c r="T24844" s="11"/>
    </row>
    <row r="24845" spans="8:20" x14ac:dyDescent="0.35">
      <c r="H24845" s="711"/>
      <c r="I24845" s="711"/>
      <c r="J24845" s="711"/>
      <c r="K24845" s="711"/>
      <c r="L24845" s="711"/>
      <c r="Q24845" s="11"/>
      <c r="R24845" s="11"/>
      <c r="S24845" s="11"/>
      <c r="T24845" s="11"/>
    </row>
    <row r="24846" spans="8:20" x14ac:dyDescent="0.35">
      <c r="H24846" s="711"/>
      <c r="I24846" s="711"/>
      <c r="J24846" s="711"/>
      <c r="K24846" s="711"/>
      <c r="L24846" s="711"/>
      <c r="Q24846" s="11"/>
      <c r="R24846" s="11"/>
      <c r="S24846" s="11"/>
      <c r="T24846" s="11"/>
    </row>
    <row r="24847" spans="8:20" x14ac:dyDescent="0.35">
      <c r="H24847" s="711"/>
      <c r="I24847" s="711"/>
      <c r="J24847" s="711"/>
      <c r="K24847" s="711"/>
      <c r="L24847" s="711"/>
      <c r="Q24847" s="11"/>
      <c r="R24847" s="11"/>
      <c r="S24847" s="11"/>
      <c r="T24847" s="11"/>
    </row>
    <row r="24848" spans="8:20" x14ac:dyDescent="0.35">
      <c r="H24848" s="711"/>
      <c r="I24848" s="711"/>
      <c r="J24848" s="711"/>
      <c r="K24848" s="711"/>
      <c r="L24848" s="711"/>
      <c r="Q24848" s="11"/>
      <c r="R24848" s="11"/>
      <c r="S24848" s="11"/>
      <c r="T24848" s="11"/>
    </row>
    <row r="24849" spans="8:20" x14ac:dyDescent="0.35">
      <c r="H24849" s="711"/>
      <c r="I24849" s="711"/>
      <c r="J24849" s="711"/>
      <c r="K24849" s="711"/>
      <c r="L24849" s="711"/>
      <c r="Q24849" s="11"/>
      <c r="R24849" s="11"/>
      <c r="S24849" s="11"/>
      <c r="T24849" s="11"/>
    </row>
    <row r="24850" spans="8:20" x14ac:dyDescent="0.35">
      <c r="H24850" s="711"/>
      <c r="I24850" s="711"/>
      <c r="J24850" s="711"/>
      <c r="K24850" s="711"/>
      <c r="L24850" s="711"/>
      <c r="Q24850" s="11"/>
      <c r="R24850" s="11"/>
      <c r="S24850" s="11"/>
      <c r="T24850" s="11"/>
    </row>
    <row r="24851" spans="8:20" x14ac:dyDescent="0.35">
      <c r="H24851" s="711"/>
      <c r="I24851" s="711"/>
      <c r="J24851" s="711"/>
      <c r="K24851" s="711"/>
      <c r="L24851" s="711"/>
      <c r="Q24851" s="11"/>
      <c r="R24851" s="11"/>
      <c r="S24851" s="11"/>
      <c r="T24851" s="11"/>
    </row>
    <row r="24852" spans="8:20" x14ac:dyDescent="0.35">
      <c r="H24852" s="711"/>
      <c r="I24852" s="711"/>
      <c r="J24852" s="711"/>
      <c r="K24852" s="711"/>
      <c r="L24852" s="711"/>
      <c r="Q24852" s="11"/>
      <c r="R24852" s="11"/>
      <c r="S24852" s="11"/>
      <c r="T24852" s="11"/>
    </row>
    <row r="24853" spans="8:20" x14ac:dyDescent="0.35">
      <c r="H24853" s="711"/>
      <c r="I24853" s="711"/>
      <c r="J24853" s="711"/>
      <c r="K24853" s="711"/>
      <c r="L24853" s="711"/>
      <c r="Q24853" s="11"/>
      <c r="R24853" s="11"/>
      <c r="S24853" s="11"/>
      <c r="T24853" s="11"/>
    </row>
    <row r="24854" spans="8:20" x14ac:dyDescent="0.35">
      <c r="H24854" s="711"/>
      <c r="I24854" s="711"/>
      <c r="J24854" s="711"/>
      <c r="K24854" s="711"/>
      <c r="L24854" s="711"/>
      <c r="Q24854" s="11"/>
      <c r="R24854" s="11"/>
      <c r="S24854" s="11"/>
      <c r="T24854" s="11"/>
    </row>
    <row r="24855" spans="8:20" x14ac:dyDescent="0.35">
      <c r="H24855" s="711"/>
      <c r="I24855" s="711"/>
      <c r="J24855" s="711"/>
      <c r="K24855" s="711"/>
      <c r="L24855" s="711"/>
      <c r="Q24855" s="11"/>
      <c r="R24855" s="11"/>
      <c r="S24855" s="11"/>
      <c r="T24855" s="11"/>
    </row>
    <row r="24856" spans="8:20" x14ac:dyDescent="0.35">
      <c r="H24856" s="711"/>
      <c r="I24856" s="711"/>
      <c r="J24856" s="711"/>
      <c r="K24856" s="711"/>
      <c r="L24856" s="711"/>
      <c r="Q24856" s="11"/>
      <c r="R24856" s="11"/>
      <c r="S24856" s="11"/>
      <c r="T24856" s="11"/>
    </row>
    <row r="24857" spans="8:20" x14ac:dyDescent="0.35">
      <c r="H24857" s="711"/>
      <c r="I24857" s="711"/>
      <c r="J24857" s="711"/>
      <c r="K24857" s="711"/>
      <c r="L24857" s="711"/>
      <c r="Q24857" s="11"/>
      <c r="R24857" s="11"/>
      <c r="S24857" s="11"/>
      <c r="T24857" s="11"/>
    </row>
    <row r="24858" spans="8:20" x14ac:dyDescent="0.35">
      <c r="H24858" s="711"/>
      <c r="I24858" s="711"/>
      <c r="J24858" s="711"/>
      <c r="K24858" s="711"/>
      <c r="L24858" s="711"/>
      <c r="Q24858" s="11"/>
      <c r="R24858" s="11"/>
      <c r="S24858" s="11"/>
      <c r="T24858" s="11"/>
    </row>
    <row r="24859" spans="8:20" x14ac:dyDescent="0.35">
      <c r="H24859" s="711"/>
      <c r="I24859" s="711"/>
      <c r="J24859" s="711"/>
      <c r="K24859" s="711"/>
      <c r="L24859" s="711"/>
      <c r="Q24859" s="11"/>
      <c r="R24859" s="11"/>
      <c r="S24859" s="11"/>
      <c r="T24859" s="11"/>
    </row>
    <row r="24860" spans="8:20" x14ac:dyDescent="0.35">
      <c r="H24860" s="711"/>
      <c r="I24860" s="711"/>
      <c r="J24860" s="711"/>
      <c r="K24860" s="711"/>
      <c r="L24860" s="711"/>
      <c r="Q24860" s="11"/>
      <c r="R24860" s="11"/>
      <c r="S24860" s="11"/>
      <c r="T24860" s="11"/>
    </row>
    <row r="24861" spans="8:20" x14ac:dyDescent="0.35">
      <c r="H24861" s="711"/>
      <c r="I24861" s="711"/>
      <c r="J24861" s="711"/>
      <c r="K24861" s="711"/>
      <c r="L24861" s="711"/>
      <c r="Q24861" s="11"/>
      <c r="R24861" s="11"/>
      <c r="S24861" s="11"/>
      <c r="T24861" s="11"/>
    </row>
    <row r="24862" spans="8:20" x14ac:dyDescent="0.35">
      <c r="H24862" s="711"/>
      <c r="I24862" s="711"/>
      <c r="J24862" s="711"/>
      <c r="K24862" s="711"/>
      <c r="L24862" s="711"/>
      <c r="Q24862" s="11"/>
      <c r="R24862" s="11"/>
      <c r="S24862" s="11"/>
      <c r="T24862" s="11"/>
    </row>
    <row r="24863" spans="8:20" x14ac:dyDescent="0.35">
      <c r="H24863" s="711"/>
      <c r="I24863" s="711"/>
      <c r="J24863" s="711"/>
      <c r="K24863" s="711"/>
      <c r="L24863" s="711"/>
      <c r="Q24863" s="11"/>
      <c r="R24863" s="11"/>
      <c r="S24863" s="11"/>
      <c r="T24863" s="11"/>
    </row>
    <row r="24864" spans="8:20" x14ac:dyDescent="0.35">
      <c r="H24864" s="711"/>
      <c r="I24864" s="711"/>
      <c r="J24864" s="711"/>
      <c r="K24864" s="711"/>
      <c r="L24864" s="711"/>
      <c r="Q24864" s="11"/>
      <c r="R24864" s="11"/>
      <c r="S24864" s="11"/>
      <c r="T24864" s="11"/>
    </row>
    <row r="24865" spans="8:20" x14ac:dyDescent="0.35">
      <c r="H24865" s="711"/>
      <c r="I24865" s="711"/>
      <c r="J24865" s="711"/>
      <c r="K24865" s="711"/>
      <c r="L24865" s="711"/>
      <c r="Q24865" s="11"/>
      <c r="R24865" s="11"/>
      <c r="S24865" s="11"/>
      <c r="T24865" s="11"/>
    </row>
    <row r="24866" spans="8:20" x14ac:dyDescent="0.35">
      <c r="H24866" s="711"/>
      <c r="I24866" s="711"/>
      <c r="J24866" s="711"/>
      <c r="K24866" s="711"/>
      <c r="L24866" s="711"/>
      <c r="Q24866" s="11"/>
      <c r="R24866" s="11"/>
      <c r="S24866" s="11"/>
      <c r="T24866" s="11"/>
    </row>
    <row r="24867" spans="8:20" x14ac:dyDescent="0.35">
      <c r="H24867" s="711"/>
      <c r="I24867" s="711"/>
      <c r="J24867" s="711"/>
      <c r="K24867" s="711"/>
      <c r="L24867" s="711"/>
      <c r="Q24867" s="11"/>
      <c r="R24867" s="11"/>
      <c r="S24867" s="11"/>
      <c r="T24867" s="11"/>
    </row>
    <row r="24868" spans="8:20" x14ac:dyDescent="0.35">
      <c r="H24868" s="711"/>
      <c r="I24868" s="711"/>
      <c r="J24868" s="711"/>
      <c r="K24868" s="711"/>
      <c r="L24868" s="711"/>
      <c r="Q24868" s="11"/>
      <c r="R24868" s="11"/>
      <c r="S24868" s="11"/>
      <c r="T24868" s="11"/>
    </row>
    <row r="24869" spans="8:20" x14ac:dyDescent="0.35">
      <c r="H24869" s="711"/>
      <c r="I24869" s="711"/>
      <c r="J24869" s="711"/>
      <c r="K24869" s="711"/>
      <c r="L24869" s="711"/>
      <c r="Q24869" s="11"/>
      <c r="R24869" s="11"/>
      <c r="S24869" s="11"/>
      <c r="T24869" s="11"/>
    </row>
    <row r="24870" spans="8:20" x14ac:dyDescent="0.35">
      <c r="H24870" s="711"/>
      <c r="I24870" s="711"/>
      <c r="J24870" s="711"/>
      <c r="K24870" s="711"/>
      <c r="L24870" s="711"/>
      <c r="Q24870" s="11"/>
      <c r="R24870" s="11"/>
      <c r="S24870" s="11"/>
      <c r="T24870" s="11"/>
    </row>
    <row r="24871" spans="8:20" x14ac:dyDescent="0.35">
      <c r="H24871" s="711"/>
      <c r="I24871" s="711"/>
      <c r="J24871" s="711"/>
      <c r="K24871" s="711"/>
      <c r="L24871" s="711"/>
      <c r="Q24871" s="11"/>
      <c r="R24871" s="11"/>
      <c r="S24871" s="11"/>
      <c r="T24871" s="11"/>
    </row>
    <row r="24872" spans="8:20" x14ac:dyDescent="0.35">
      <c r="H24872" s="711"/>
      <c r="I24872" s="711"/>
      <c r="J24872" s="711"/>
      <c r="K24872" s="711"/>
      <c r="L24872" s="711"/>
      <c r="Q24872" s="11"/>
      <c r="R24872" s="11"/>
      <c r="S24872" s="11"/>
      <c r="T24872" s="11"/>
    </row>
    <row r="24873" spans="8:20" x14ac:dyDescent="0.35">
      <c r="H24873" s="711"/>
      <c r="I24873" s="711"/>
      <c r="J24873" s="711"/>
      <c r="K24873" s="711"/>
      <c r="L24873" s="711"/>
      <c r="Q24873" s="11"/>
      <c r="R24873" s="11"/>
      <c r="S24873" s="11"/>
      <c r="T24873" s="11"/>
    </row>
    <row r="24874" spans="8:20" x14ac:dyDescent="0.35">
      <c r="H24874" s="711"/>
      <c r="I24874" s="711"/>
      <c r="J24874" s="711"/>
      <c r="K24874" s="711"/>
      <c r="L24874" s="711"/>
      <c r="Q24874" s="11"/>
      <c r="R24874" s="11"/>
      <c r="S24874" s="11"/>
      <c r="T24874" s="11"/>
    </row>
    <row r="24875" spans="8:20" x14ac:dyDescent="0.35">
      <c r="H24875" s="711"/>
      <c r="I24875" s="711"/>
      <c r="J24875" s="711"/>
      <c r="K24875" s="711"/>
      <c r="L24875" s="711"/>
      <c r="Q24875" s="11"/>
      <c r="R24875" s="11"/>
      <c r="S24875" s="11"/>
      <c r="T24875" s="11"/>
    </row>
    <row r="24876" spans="8:20" x14ac:dyDescent="0.35">
      <c r="H24876" s="711"/>
      <c r="I24876" s="711"/>
      <c r="J24876" s="711"/>
      <c r="K24876" s="711"/>
      <c r="L24876" s="711"/>
      <c r="Q24876" s="11"/>
      <c r="R24876" s="11"/>
      <c r="S24876" s="11"/>
      <c r="T24876" s="11"/>
    </row>
    <row r="24877" spans="8:20" x14ac:dyDescent="0.35">
      <c r="H24877" s="711"/>
      <c r="I24877" s="711"/>
      <c r="J24877" s="711"/>
      <c r="K24877" s="711"/>
      <c r="L24877" s="711"/>
      <c r="Q24877" s="11"/>
      <c r="R24877" s="11"/>
      <c r="S24877" s="11"/>
      <c r="T24877" s="11"/>
    </row>
    <row r="24878" spans="8:20" x14ac:dyDescent="0.35">
      <c r="H24878" s="711"/>
      <c r="I24878" s="711"/>
      <c r="J24878" s="711"/>
      <c r="K24878" s="711"/>
      <c r="L24878" s="711"/>
      <c r="Q24878" s="11"/>
      <c r="R24878" s="11"/>
      <c r="S24878" s="11"/>
      <c r="T24878" s="11"/>
    </row>
    <row r="24879" spans="8:20" x14ac:dyDescent="0.35">
      <c r="H24879" s="711"/>
      <c r="I24879" s="711"/>
      <c r="J24879" s="711"/>
      <c r="K24879" s="711"/>
      <c r="L24879" s="711"/>
      <c r="Q24879" s="11"/>
      <c r="R24879" s="11"/>
      <c r="S24879" s="11"/>
      <c r="T24879" s="11"/>
    </row>
    <row r="24880" spans="8:20" x14ac:dyDescent="0.35">
      <c r="H24880" s="711"/>
      <c r="I24880" s="711"/>
      <c r="J24880" s="711"/>
      <c r="K24880" s="711"/>
      <c r="L24880" s="711"/>
      <c r="Q24880" s="11"/>
      <c r="R24880" s="11"/>
      <c r="S24880" s="11"/>
      <c r="T24880" s="11"/>
    </row>
    <row r="24881" spans="8:20" x14ac:dyDescent="0.35">
      <c r="H24881" s="711"/>
      <c r="I24881" s="711"/>
      <c r="J24881" s="711"/>
      <c r="K24881" s="711"/>
      <c r="L24881" s="711"/>
      <c r="Q24881" s="11"/>
      <c r="R24881" s="11"/>
      <c r="S24881" s="11"/>
      <c r="T24881" s="11"/>
    </row>
    <row r="24882" spans="8:20" x14ac:dyDescent="0.35">
      <c r="H24882" s="711"/>
      <c r="I24882" s="711"/>
      <c r="J24882" s="711"/>
      <c r="K24882" s="711"/>
      <c r="L24882" s="711"/>
      <c r="Q24882" s="11"/>
      <c r="R24882" s="11"/>
      <c r="S24882" s="11"/>
      <c r="T24882" s="11"/>
    </row>
    <row r="24883" spans="8:20" x14ac:dyDescent="0.35">
      <c r="H24883" s="711"/>
      <c r="I24883" s="711"/>
      <c r="J24883" s="711"/>
      <c r="K24883" s="711"/>
      <c r="L24883" s="711"/>
      <c r="Q24883" s="11"/>
      <c r="R24883" s="11"/>
      <c r="S24883" s="11"/>
      <c r="T24883" s="11"/>
    </row>
    <row r="24884" spans="8:20" x14ac:dyDescent="0.35">
      <c r="H24884" s="711"/>
      <c r="I24884" s="711"/>
      <c r="J24884" s="711"/>
      <c r="K24884" s="711"/>
      <c r="L24884" s="711"/>
      <c r="Q24884" s="11"/>
      <c r="R24884" s="11"/>
      <c r="S24884" s="11"/>
      <c r="T24884" s="11"/>
    </row>
    <row r="24885" spans="8:20" x14ac:dyDescent="0.35">
      <c r="H24885" s="711"/>
      <c r="I24885" s="711"/>
      <c r="J24885" s="711"/>
      <c r="K24885" s="711"/>
      <c r="L24885" s="711"/>
      <c r="Q24885" s="11"/>
      <c r="R24885" s="11"/>
      <c r="S24885" s="11"/>
      <c r="T24885" s="11"/>
    </row>
    <row r="24886" spans="8:20" x14ac:dyDescent="0.35">
      <c r="H24886" s="711"/>
      <c r="I24886" s="711"/>
      <c r="J24886" s="711"/>
      <c r="K24886" s="711"/>
      <c r="L24886" s="711"/>
      <c r="Q24886" s="11"/>
      <c r="R24886" s="11"/>
      <c r="S24886" s="11"/>
      <c r="T24886" s="11"/>
    </row>
    <row r="24887" spans="8:20" x14ac:dyDescent="0.35">
      <c r="H24887" s="711"/>
      <c r="I24887" s="711"/>
      <c r="J24887" s="711"/>
      <c r="K24887" s="711"/>
      <c r="L24887" s="711"/>
      <c r="Q24887" s="11"/>
      <c r="R24887" s="11"/>
      <c r="S24887" s="11"/>
      <c r="T24887" s="11"/>
    </row>
    <row r="24888" spans="8:20" x14ac:dyDescent="0.35">
      <c r="H24888" s="711"/>
      <c r="I24888" s="711"/>
      <c r="J24888" s="711"/>
      <c r="K24888" s="711"/>
      <c r="L24888" s="711"/>
      <c r="Q24888" s="11"/>
      <c r="R24888" s="11"/>
      <c r="S24888" s="11"/>
      <c r="T24888" s="11"/>
    </row>
    <row r="24889" spans="8:20" x14ac:dyDescent="0.35">
      <c r="H24889" s="711"/>
      <c r="I24889" s="711"/>
      <c r="J24889" s="711"/>
      <c r="K24889" s="711"/>
      <c r="L24889" s="711"/>
      <c r="Q24889" s="11"/>
      <c r="R24889" s="11"/>
      <c r="S24889" s="11"/>
      <c r="T24889" s="11"/>
    </row>
    <row r="24890" spans="8:20" x14ac:dyDescent="0.35">
      <c r="H24890" s="711"/>
      <c r="I24890" s="711"/>
      <c r="J24890" s="711"/>
      <c r="K24890" s="711"/>
      <c r="L24890" s="711"/>
      <c r="Q24890" s="11"/>
      <c r="R24890" s="11"/>
      <c r="S24890" s="11"/>
      <c r="T24890" s="11"/>
    </row>
    <row r="24891" spans="8:20" x14ac:dyDescent="0.35">
      <c r="H24891" s="711"/>
      <c r="I24891" s="711"/>
      <c r="J24891" s="711"/>
      <c r="K24891" s="711"/>
      <c r="L24891" s="711"/>
      <c r="Q24891" s="11"/>
      <c r="R24891" s="11"/>
      <c r="S24891" s="11"/>
      <c r="T24891" s="11"/>
    </row>
    <row r="24892" spans="8:20" x14ac:dyDescent="0.35">
      <c r="H24892" s="711"/>
      <c r="I24892" s="711"/>
      <c r="J24892" s="711"/>
      <c r="K24892" s="711"/>
      <c r="L24892" s="711"/>
      <c r="Q24892" s="11"/>
      <c r="R24892" s="11"/>
      <c r="S24892" s="11"/>
      <c r="T24892" s="11"/>
    </row>
    <row r="24893" spans="8:20" x14ac:dyDescent="0.35">
      <c r="H24893" s="711"/>
      <c r="I24893" s="711"/>
      <c r="J24893" s="711"/>
      <c r="K24893" s="711"/>
      <c r="L24893" s="711"/>
      <c r="Q24893" s="11"/>
      <c r="R24893" s="11"/>
      <c r="S24893" s="11"/>
      <c r="T24893" s="11"/>
    </row>
    <row r="24894" spans="8:20" x14ac:dyDescent="0.35">
      <c r="H24894" s="711"/>
      <c r="I24894" s="711"/>
      <c r="J24894" s="711"/>
      <c r="K24894" s="711"/>
      <c r="L24894" s="711"/>
      <c r="Q24894" s="11"/>
      <c r="R24894" s="11"/>
      <c r="S24894" s="11"/>
      <c r="T24894" s="11"/>
    </row>
    <row r="24895" spans="8:20" x14ac:dyDescent="0.35">
      <c r="H24895" s="711"/>
      <c r="I24895" s="711"/>
      <c r="J24895" s="711"/>
      <c r="K24895" s="711"/>
      <c r="L24895" s="711"/>
      <c r="Q24895" s="11"/>
      <c r="R24895" s="11"/>
      <c r="S24895" s="11"/>
      <c r="T24895" s="11"/>
    </row>
    <row r="24896" spans="8:20" x14ac:dyDescent="0.35">
      <c r="H24896" s="711"/>
      <c r="I24896" s="711"/>
      <c r="J24896" s="711"/>
      <c r="K24896" s="711"/>
      <c r="L24896" s="711"/>
      <c r="Q24896" s="11"/>
      <c r="R24896" s="11"/>
      <c r="S24896" s="11"/>
      <c r="T24896" s="11"/>
    </row>
    <row r="24897" spans="8:20" x14ac:dyDescent="0.35">
      <c r="H24897" s="711"/>
      <c r="I24897" s="711"/>
      <c r="J24897" s="711"/>
      <c r="K24897" s="711"/>
      <c r="L24897" s="711"/>
      <c r="Q24897" s="11"/>
      <c r="R24897" s="11"/>
      <c r="S24897" s="11"/>
      <c r="T24897" s="11"/>
    </row>
    <row r="24898" spans="8:20" x14ac:dyDescent="0.35">
      <c r="H24898" s="711"/>
      <c r="I24898" s="711"/>
      <c r="J24898" s="711"/>
      <c r="K24898" s="711"/>
      <c r="L24898" s="711"/>
      <c r="Q24898" s="11"/>
      <c r="R24898" s="11"/>
      <c r="S24898" s="11"/>
      <c r="T24898" s="11"/>
    </row>
    <row r="24899" spans="8:20" x14ac:dyDescent="0.35">
      <c r="H24899" s="711"/>
      <c r="I24899" s="711"/>
      <c r="J24899" s="711"/>
      <c r="K24899" s="711"/>
      <c r="L24899" s="711"/>
      <c r="Q24899" s="11"/>
      <c r="R24899" s="11"/>
      <c r="S24899" s="11"/>
      <c r="T24899" s="11"/>
    </row>
    <row r="24900" spans="8:20" x14ac:dyDescent="0.35">
      <c r="H24900" s="711"/>
      <c r="I24900" s="711"/>
      <c r="J24900" s="711"/>
      <c r="K24900" s="711"/>
      <c r="L24900" s="711"/>
      <c r="Q24900" s="11"/>
      <c r="R24900" s="11"/>
      <c r="S24900" s="11"/>
      <c r="T24900" s="11"/>
    </row>
    <row r="24901" spans="8:20" x14ac:dyDescent="0.35">
      <c r="H24901" s="711"/>
      <c r="I24901" s="711"/>
      <c r="J24901" s="711"/>
      <c r="K24901" s="711"/>
      <c r="L24901" s="711"/>
      <c r="Q24901" s="11"/>
      <c r="R24901" s="11"/>
      <c r="S24901" s="11"/>
      <c r="T24901" s="11"/>
    </row>
    <row r="24902" spans="8:20" x14ac:dyDescent="0.35">
      <c r="H24902" s="711"/>
      <c r="I24902" s="711"/>
      <c r="J24902" s="711"/>
      <c r="K24902" s="711"/>
      <c r="L24902" s="711"/>
      <c r="Q24902" s="11"/>
      <c r="R24902" s="11"/>
      <c r="S24902" s="11"/>
      <c r="T24902" s="11"/>
    </row>
    <row r="24903" spans="8:20" x14ac:dyDescent="0.35">
      <c r="H24903" s="711"/>
      <c r="I24903" s="711"/>
      <c r="J24903" s="711"/>
      <c r="K24903" s="711"/>
      <c r="L24903" s="711"/>
      <c r="Q24903" s="11"/>
      <c r="R24903" s="11"/>
      <c r="S24903" s="11"/>
      <c r="T24903" s="11"/>
    </row>
    <row r="24904" spans="8:20" x14ac:dyDescent="0.35">
      <c r="H24904" s="711"/>
      <c r="I24904" s="711"/>
      <c r="J24904" s="711"/>
      <c r="K24904" s="711"/>
      <c r="L24904" s="711"/>
      <c r="Q24904" s="11"/>
      <c r="R24904" s="11"/>
      <c r="S24904" s="11"/>
      <c r="T24904" s="11"/>
    </row>
    <row r="24905" spans="8:20" x14ac:dyDescent="0.35">
      <c r="H24905" s="711"/>
      <c r="I24905" s="711"/>
      <c r="J24905" s="711"/>
      <c r="K24905" s="711"/>
      <c r="L24905" s="711"/>
      <c r="Q24905" s="11"/>
      <c r="R24905" s="11"/>
      <c r="S24905" s="11"/>
      <c r="T24905" s="11"/>
    </row>
    <row r="24906" spans="8:20" x14ac:dyDescent="0.35">
      <c r="H24906" s="711"/>
      <c r="I24906" s="711"/>
      <c r="J24906" s="711"/>
      <c r="K24906" s="711"/>
      <c r="L24906" s="711"/>
      <c r="Q24906" s="11"/>
      <c r="R24906" s="11"/>
      <c r="S24906" s="11"/>
      <c r="T24906" s="11"/>
    </row>
    <row r="24907" spans="8:20" x14ac:dyDescent="0.35">
      <c r="H24907" s="711"/>
      <c r="I24907" s="711"/>
      <c r="J24907" s="711"/>
      <c r="K24907" s="711"/>
      <c r="L24907" s="711"/>
      <c r="Q24907" s="11"/>
      <c r="R24907" s="11"/>
      <c r="S24907" s="11"/>
      <c r="T24907" s="11"/>
    </row>
    <row r="24908" spans="8:20" x14ac:dyDescent="0.35">
      <c r="H24908" s="711"/>
      <c r="I24908" s="711"/>
      <c r="J24908" s="711"/>
      <c r="K24908" s="711"/>
      <c r="L24908" s="711"/>
      <c r="Q24908" s="11"/>
      <c r="R24908" s="11"/>
      <c r="S24908" s="11"/>
      <c r="T24908" s="11"/>
    </row>
    <row r="24909" spans="8:20" x14ac:dyDescent="0.35">
      <c r="H24909" s="711"/>
      <c r="I24909" s="711"/>
      <c r="J24909" s="711"/>
      <c r="K24909" s="711"/>
      <c r="L24909" s="711"/>
      <c r="Q24909" s="11"/>
      <c r="R24909" s="11"/>
      <c r="S24909" s="11"/>
      <c r="T24909" s="11"/>
    </row>
    <row r="24910" spans="8:20" x14ac:dyDescent="0.35">
      <c r="H24910" s="711"/>
      <c r="I24910" s="711"/>
      <c r="J24910" s="711"/>
      <c r="K24910" s="711"/>
      <c r="L24910" s="711"/>
      <c r="Q24910" s="11"/>
      <c r="R24910" s="11"/>
      <c r="S24910" s="11"/>
      <c r="T24910" s="11"/>
    </row>
    <row r="24911" spans="8:20" x14ac:dyDescent="0.35">
      <c r="H24911" s="711"/>
      <c r="I24911" s="711"/>
      <c r="J24911" s="711"/>
      <c r="K24911" s="711"/>
      <c r="L24911" s="711"/>
      <c r="Q24911" s="11"/>
      <c r="R24911" s="11"/>
      <c r="S24911" s="11"/>
      <c r="T24911" s="11"/>
    </row>
    <row r="24912" spans="8:20" x14ac:dyDescent="0.35">
      <c r="H24912" s="711"/>
      <c r="I24912" s="711"/>
      <c r="J24912" s="711"/>
      <c r="K24912" s="711"/>
      <c r="L24912" s="711"/>
      <c r="Q24912" s="11"/>
      <c r="R24912" s="11"/>
      <c r="S24912" s="11"/>
      <c r="T24912" s="11"/>
    </row>
    <row r="24913" spans="8:20" x14ac:dyDescent="0.35">
      <c r="H24913" s="711"/>
      <c r="I24913" s="711"/>
      <c r="J24913" s="711"/>
      <c r="K24913" s="711"/>
      <c r="L24913" s="711"/>
      <c r="Q24913" s="11"/>
      <c r="R24913" s="11"/>
      <c r="S24913" s="11"/>
      <c r="T24913" s="11"/>
    </row>
    <row r="24914" spans="8:20" x14ac:dyDescent="0.35">
      <c r="H24914" s="711"/>
      <c r="I24914" s="711"/>
      <c r="J24914" s="711"/>
      <c r="K24914" s="711"/>
      <c r="L24914" s="711"/>
      <c r="Q24914" s="11"/>
      <c r="R24914" s="11"/>
      <c r="S24914" s="11"/>
      <c r="T24914" s="11"/>
    </row>
    <row r="24915" spans="8:20" x14ac:dyDescent="0.35">
      <c r="H24915" s="711"/>
      <c r="I24915" s="711"/>
      <c r="J24915" s="711"/>
      <c r="K24915" s="711"/>
      <c r="L24915" s="711"/>
      <c r="Q24915" s="11"/>
      <c r="R24915" s="11"/>
      <c r="S24915" s="11"/>
      <c r="T24915" s="11"/>
    </row>
    <row r="24916" spans="8:20" x14ac:dyDescent="0.35">
      <c r="H24916" s="711"/>
      <c r="I24916" s="711"/>
      <c r="J24916" s="711"/>
      <c r="K24916" s="711"/>
      <c r="L24916" s="711"/>
      <c r="Q24916" s="11"/>
      <c r="R24916" s="11"/>
      <c r="S24916" s="11"/>
      <c r="T24916" s="11"/>
    </row>
    <row r="24917" spans="8:20" x14ac:dyDescent="0.35">
      <c r="H24917" s="711"/>
      <c r="I24917" s="711"/>
      <c r="J24917" s="711"/>
      <c r="K24917" s="711"/>
      <c r="L24917" s="711"/>
      <c r="Q24917" s="11"/>
      <c r="R24917" s="11"/>
      <c r="S24917" s="11"/>
      <c r="T24917" s="11"/>
    </row>
    <row r="24918" spans="8:20" x14ac:dyDescent="0.35">
      <c r="H24918" s="711"/>
      <c r="I24918" s="711"/>
      <c r="J24918" s="711"/>
      <c r="K24918" s="711"/>
      <c r="L24918" s="711"/>
      <c r="Q24918" s="11"/>
      <c r="R24918" s="11"/>
      <c r="S24918" s="11"/>
      <c r="T24918" s="11"/>
    </row>
    <row r="24919" spans="8:20" x14ac:dyDescent="0.35">
      <c r="H24919" s="711"/>
      <c r="I24919" s="711"/>
      <c r="J24919" s="711"/>
      <c r="K24919" s="711"/>
      <c r="L24919" s="711"/>
      <c r="Q24919" s="11"/>
      <c r="R24919" s="11"/>
      <c r="S24919" s="11"/>
      <c r="T24919" s="11"/>
    </row>
    <row r="24920" spans="8:20" x14ac:dyDescent="0.35">
      <c r="H24920" s="711"/>
      <c r="I24920" s="711"/>
      <c r="J24920" s="711"/>
      <c r="K24920" s="711"/>
      <c r="L24920" s="711"/>
      <c r="Q24920" s="11"/>
      <c r="R24920" s="11"/>
      <c r="S24920" s="11"/>
      <c r="T24920" s="11"/>
    </row>
    <row r="24921" spans="8:20" x14ac:dyDescent="0.35">
      <c r="H24921" s="711"/>
      <c r="I24921" s="711"/>
      <c r="J24921" s="711"/>
      <c r="K24921" s="711"/>
      <c r="L24921" s="711"/>
      <c r="Q24921" s="11"/>
      <c r="R24921" s="11"/>
      <c r="S24921" s="11"/>
      <c r="T24921" s="11"/>
    </row>
    <row r="24922" spans="8:20" x14ac:dyDescent="0.35">
      <c r="H24922" s="711"/>
      <c r="I24922" s="711"/>
      <c r="J24922" s="711"/>
      <c r="K24922" s="711"/>
      <c r="L24922" s="711"/>
      <c r="Q24922" s="11"/>
      <c r="R24922" s="11"/>
      <c r="S24922" s="11"/>
      <c r="T24922" s="11"/>
    </row>
    <row r="24923" spans="8:20" x14ac:dyDescent="0.35">
      <c r="H24923" s="711"/>
      <c r="I24923" s="711"/>
      <c r="J24923" s="711"/>
      <c r="K24923" s="711"/>
      <c r="L24923" s="711"/>
      <c r="Q24923" s="11"/>
      <c r="R24923" s="11"/>
      <c r="S24923" s="11"/>
      <c r="T24923" s="11"/>
    </row>
    <row r="24924" spans="8:20" x14ac:dyDescent="0.35">
      <c r="H24924" s="711"/>
      <c r="I24924" s="711"/>
      <c r="J24924" s="711"/>
      <c r="K24924" s="711"/>
      <c r="L24924" s="711"/>
      <c r="Q24924" s="11"/>
      <c r="R24924" s="11"/>
      <c r="S24924" s="11"/>
      <c r="T24924" s="11"/>
    </row>
    <row r="24925" spans="8:20" x14ac:dyDescent="0.35">
      <c r="H24925" s="711"/>
      <c r="I24925" s="711"/>
      <c r="J24925" s="711"/>
      <c r="K24925" s="711"/>
      <c r="L24925" s="711"/>
      <c r="Q24925" s="11"/>
      <c r="R24925" s="11"/>
      <c r="S24925" s="11"/>
      <c r="T24925" s="11"/>
    </row>
    <row r="24926" spans="8:20" x14ac:dyDescent="0.35">
      <c r="H24926" s="711"/>
      <c r="I24926" s="711"/>
      <c r="J24926" s="711"/>
      <c r="K24926" s="711"/>
      <c r="L24926" s="711"/>
      <c r="Q24926" s="11"/>
      <c r="R24926" s="11"/>
      <c r="S24926" s="11"/>
      <c r="T24926" s="11"/>
    </row>
    <row r="24927" spans="8:20" x14ac:dyDescent="0.35">
      <c r="H24927" s="711"/>
      <c r="I24927" s="711"/>
      <c r="J24927" s="711"/>
      <c r="K24927" s="711"/>
      <c r="L24927" s="711"/>
      <c r="Q24927" s="11"/>
      <c r="R24927" s="11"/>
      <c r="S24927" s="11"/>
      <c r="T24927" s="11"/>
    </row>
    <row r="24928" spans="8:20" x14ac:dyDescent="0.35">
      <c r="H24928" s="711"/>
      <c r="I24928" s="711"/>
      <c r="J24928" s="711"/>
      <c r="K24928" s="711"/>
      <c r="L24928" s="711"/>
      <c r="Q24928" s="11"/>
      <c r="R24928" s="11"/>
      <c r="S24928" s="11"/>
      <c r="T24928" s="11"/>
    </row>
    <row r="24929" spans="8:20" x14ac:dyDescent="0.35">
      <c r="H24929" s="711"/>
      <c r="I24929" s="711"/>
      <c r="J24929" s="711"/>
      <c r="K24929" s="711"/>
      <c r="L24929" s="711"/>
      <c r="Q24929" s="11"/>
      <c r="R24929" s="11"/>
      <c r="S24929" s="11"/>
      <c r="T24929" s="11"/>
    </row>
    <row r="24930" spans="8:20" x14ac:dyDescent="0.35">
      <c r="H24930" s="711"/>
      <c r="I24930" s="711"/>
      <c r="J24930" s="711"/>
      <c r="K24930" s="711"/>
      <c r="L24930" s="711"/>
      <c r="Q24930" s="11"/>
      <c r="R24930" s="11"/>
      <c r="S24930" s="11"/>
      <c r="T24930" s="11"/>
    </row>
    <row r="24931" spans="8:20" x14ac:dyDescent="0.35">
      <c r="H24931" s="711"/>
      <c r="I24931" s="711"/>
      <c r="J24931" s="711"/>
      <c r="K24931" s="711"/>
      <c r="L24931" s="711"/>
      <c r="Q24931" s="11"/>
      <c r="R24931" s="11"/>
      <c r="S24931" s="11"/>
      <c r="T24931" s="11"/>
    </row>
    <row r="24932" spans="8:20" x14ac:dyDescent="0.35">
      <c r="H24932" s="711"/>
      <c r="I24932" s="711"/>
      <c r="J24932" s="711"/>
      <c r="K24932" s="711"/>
      <c r="L24932" s="711"/>
      <c r="Q24932" s="11"/>
      <c r="R24932" s="11"/>
      <c r="S24932" s="11"/>
      <c r="T24932" s="11"/>
    </row>
    <row r="24933" spans="8:20" x14ac:dyDescent="0.35">
      <c r="H24933" s="711"/>
      <c r="I24933" s="711"/>
      <c r="J24933" s="711"/>
      <c r="K24933" s="711"/>
      <c r="L24933" s="711"/>
      <c r="Q24933" s="11"/>
      <c r="R24933" s="11"/>
      <c r="S24933" s="11"/>
      <c r="T24933" s="11"/>
    </row>
    <row r="24934" spans="8:20" x14ac:dyDescent="0.35">
      <c r="H24934" s="711"/>
      <c r="I24934" s="711"/>
      <c r="J24934" s="711"/>
      <c r="K24934" s="711"/>
      <c r="L24934" s="711"/>
      <c r="Q24934" s="11"/>
      <c r="R24934" s="11"/>
      <c r="S24934" s="11"/>
      <c r="T24934" s="11"/>
    </row>
    <row r="24935" spans="8:20" x14ac:dyDescent="0.35">
      <c r="H24935" s="711"/>
      <c r="I24935" s="711"/>
      <c r="J24935" s="711"/>
      <c r="K24935" s="711"/>
      <c r="L24935" s="711"/>
      <c r="Q24935" s="11"/>
      <c r="R24935" s="11"/>
      <c r="S24935" s="11"/>
      <c r="T24935" s="11"/>
    </row>
    <row r="24936" spans="8:20" x14ac:dyDescent="0.35">
      <c r="H24936" s="711"/>
      <c r="I24936" s="711"/>
      <c r="J24936" s="711"/>
      <c r="K24936" s="711"/>
      <c r="L24936" s="711"/>
      <c r="Q24936" s="11"/>
      <c r="R24936" s="11"/>
      <c r="S24936" s="11"/>
      <c r="T24936" s="11"/>
    </row>
    <row r="24937" spans="8:20" x14ac:dyDescent="0.35">
      <c r="H24937" s="711"/>
      <c r="I24937" s="711"/>
      <c r="J24937" s="711"/>
      <c r="K24937" s="711"/>
      <c r="L24937" s="711"/>
      <c r="Q24937" s="11"/>
      <c r="R24937" s="11"/>
      <c r="S24937" s="11"/>
      <c r="T24937" s="11"/>
    </row>
    <row r="24938" spans="8:20" x14ac:dyDescent="0.35">
      <c r="H24938" s="711"/>
      <c r="I24938" s="711"/>
      <c r="J24938" s="711"/>
      <c r="K24938" s="711"/>
      <c r="L24938" s="711"/>
      <c r="Q24938" s="11"/>
      <c r="R24938" s="11"/>
      <c r="S24938" s="11"/>
      <c r="T24938" s="11"/>
    </row>
    <row r="24939" spans="8:20" x14ac:dyDescent="0.35">
      <c r="H24939" s="711"/>
      <c r="I24939" s="711"/>
      <c r="J24939" s="711"/>
      <c r="K24939" s="711"/>
      <c r="L24939" s="711"/>
      <c r="Q24939" s="11"/>
      <c r="R24939" s="11"/>
      <c r="S24939" s="11"/>
      <c r="T24939" s="11"/>
    </row>
    <row r="24940" spans="8:20" x14ac:dyDescent="0.35">
      <c r="H24940" s="711"/>
      <c r="I24940" s="711"/>
      <c r="J24940" s="711"/>
      <c r="K24940" s="711"/>
      <c r="L24940" s="711"/>
      <c r="Q24940" s="11"/>
      <c r="R24940" s="11"/>
      <c r="S24940" s="11"/>
      <c r="T24940" s="11"/>
    </row>
    <row r="24941" spans="8:20" x14ac:dyDescent="0.35">
      <c r="H24941" s="711"/>
      <c r="I24941" s="711"/>
      <c r="J24941" s="711"/>
      <c r="K24941" s="711"/>
      <c r="L24941" s="711"/>
      <c r="Q24941" s="11"/>
      <c r="R24941" s="11"/>
      <c r="S24941" s="11"/>
      <c r="T24941" s="11"/>
    </row>
    <row r="24942" spans="8:20" x14ac:dyDescent="0.35">
      <c r="H24942" s="711"/>
      <c r="I24942" s="711"/>
      <c r="J24942" s="711"/>
      <c r="K24942" s="711"/>
      <c r="L24942" s="711"/>
      <c r="Q24942" s="11"/>
      <c r="R24942" s="11"/>
      <c r="S24942" s="11"/>
      <c r="T24942" s="11"/>
    </row>
    <row r="24943" spans="8:20" x14ac:dyDescent="0.35">
      <c r="H24943" s="711"/>
      <c r="I24943" s="711"/>
      <c r="J24943" s="711"/>
      <c r="K24943" s="711"/>
      <c r="L24943" s="711"/>
      <c r="Q24943" s="11"/>
      <c r="R24943" s="11"/>
      <c r="S24943" s="11"/>
      <c r="T24943" s="11"/>
    </row>
    <row r="24944" spans="8:20" x14ac:dyDescent="0.35">
      <c r="H24944" s="711"/>
      <c r="I24944" s="711"/>
      <c r="J24944" s="711"/>
      <c r="K24944" s="711"/>
      <c r="L24944" s="711"/>
      <c r="Q24944" s="11"/>
      <c r="R24944" s="11"/>
      <c r="S24944" s="11"/>
      <c r="T24944" s="11"/>
    </row>
    <row r="24945" spans="8:20" x14ac:dyDescent="0.35">
      <c r="H24945" s="711"/>
      <c r="I24945" s="711"/>
      <c r="J24945" s="711"/>
      <c r="K24945" s="711"/>
      <c r="L24945" s="711"/>
      <c r="Q24945" s="11"/>
      <c r="R24945" s="11"/>
      <c r="S24945" s="11"/>
      <c r="T24945" s="11"/>
    </row>
    <row r="24946" spans="8:20" x14ac:dyDescent="0.35">
      <c r="H24946" s="711"/>
      <c r="I24946" s="711"/>
      <c r="J24946" s="711"/>
      <c r="K24946" s="711"/>
      <c r="L24946" s="711"/>
      <c r="Q24946" s="11"/>
      <c r="R24946" s="11"/>
      <c r="S24946" s="11"/>
      <c r="T24946" s="11"/>
    </row>
    <row r="24947" spans="8:20" x14ac:dyDescent="0.35">
      <c r="H24947" s="711"/>
      <c r="I24947" s="711"/>
      <c r="J24947" s="711"/>
      <c r="K24947" s="711"/>
      <c r="L24947" s="711"/>
      <c r="Q24947" s="11"/>
      <c r="R24947" s="11"/>
      <c r="S24947" s="11"/>
      <c r="T24947" s="11"/>
    </row>
    <row r="24948" spans="8:20" x14ac:dyDescent="0.35">
      <c r="H24948" s="711"/>
      <c r="I24948" s="711"/>
      <c r="J24948" s="711"/>
      <c r="K24948" s="711"/>
      <c r="L24948" s="711"/>
      <c r="Q24948" s="11"/>
      <c r="R24948" s="11"/>
      <c r="S24948" s="11"/>
      <c r="T24948" s="11"/>
    </row>
    <row r="24949" spans="8:20" x14ac:dyDescent="0.35">
      <c r="H24949" s="711"/>
      <c r="I24949" s="711"/>
      <c r="J24949" s="711"/>
      <c r="K24949" s="711"/>
      <c r="L24949" s="711"/>
      <c r="Q24949" s="11"/>
      <c r="R24949" s="11"/>
      <c r="S24949" s="11"/>
      <c r="T24949" s="11"/>
    </row>
    <row r="24950" spans="8:20" x14ac:dyDescent="0.35">
      <c r="H24950" s="711"/>
      <c r="I24950" s="711"/>
      <c r="J24950" s="711"/>
      <c r="K24950" s="711"/>
      <c r="L24950" s="711"/>
      <c r="Q24950" s="11"/>
      <c r="R24950" s="11"/>
      <c r="S24950" s="11"/>
      <c r="T24950" s="11"/>
    </row>
    <row r="24951" spans="8:20" x14ac:dyDescent="0.35">
      <c r="H24951" s="711"/>
      <c r="I24951" s="711"/>
      <c r="J24951" s="711"/>
      <c r="K24951" s="711"/>
      <c r="L24951" s="711"/>
      <c r="Q24951" s="11"/>
      <c r="R24951" s="11"/>
      <c r="S24951" s="11"/>
      <c r="T24951" s="11"/>
    </row>
    <row r="24952" spans="8:20" x14ac:dyDescent="0.35">
      <c r="H24952" s="711"/>
      <c r="I24952" s="711"/>
      <c r="J24952" s="711"/>
      <c r="K24952" s="711"/>
      <c r="L24952" s="711"/>
      <c r="Q24952" s="11"/>
      <c r="R24952" s="11"/>
      <c r="S24952" s="11"/>
      <c r="T24952" s="11"/>
    </row>
    <row r="24953" spans="8:20" x14ac:dyDescent="0.35">
      <c r="H24953" s="711"/>
      <c r="I24953" s="711"/>
      <c r="J24953" s="711"/>
      <c r="K24953" s="711"/>
      <c r="L24953" s="711"/>
      <c r="Q24953" s="11"/>
      <c r="R24953" s="11"/>
      <c r="S24953" s="11"/>
      <c r="T24953" s="11"/>
    </row>
    <row r="24954" spans="8:20" x14ac:dyDescent="0.35">
      <c r="H24954" s="711"/>
      <c r="I24954" s="711"/>
      <c r="J24954" s="711"/>
      <c r="K24954" s="711"/>
      <c r="L24954" s="711"/>
      <c r="Q24954" s="11"/>
      <c r="R24954" s="11"/>
      <c r="S24954" s="11"/>
      <c r="T24954" s="11"/>
    </row>
    <row r="24955" spans="8:20" x14ac:dyDescent="0.35">
      <c r="H24955" s="711"/>
      <c r="I24955" s="711"/>
      <c r="J24955" s="711"/>
      <c r="K24955" s="711"/>
      <c r="L24955" s="711"/>
      <c r="Q24955" s="11"/>
      <c r="R24955" s="11"/>
      <c r="S24955" s="11"/>
      <c r="T24955" s="11"/>
    </row>
    <row r="24956" spans="8:20" x14ac:dyDescent="0.35">
      <c r="H24956" s="711"/>
      <c r="I24956" s="711"/>
      <c r="J24956" s="711"/>
      <c r="K24956" s="711"/>
      <c r="L24956" s="711"/>
      <c r="Q24956" s="11"/>
      <c r="R24956" s="11"/>
      <c r="S24956" s="11"/>
      <c r="T24956" s="11"/>
    </row>
    <row r="24957" spans="8:20" x14ac:dyDescent="0.35">
      <c r="H24957" s="711"/>
      <c r="I24957" s="711"/>
      <c r="J24957" s="711"/>
      <c r="K24957" s="711"/>
      <c r="L24957" s="711"/>
      <c r="Q24957" s="11"/>
      <c r="R24957" s="11"/>
      <c r="S24957" s="11"/>
      <c r="T24957" s="11"/>
    </row>
    <row r="24958" spans="8:20" x14ac:dyDescent="0.35">
      <c r="H24958" s="711"/>
      <c r="I24958" s="711"/>
      <c r="J24958" s="711"/>
      <c r="K24958" s="711"/>
      <c r="L24958" s="711"/>
      <c r="Q24958" s="11"/>
      <c r="R24958" s="11"/>
      <c r="S24958" s="11"/>
      <c r="T24958" s="11"/>
    </row>
    <row r="24959" spans="8:20" x14ac:dyDescent="0.35">
      <c r="H24959" s="711"/>
      <c r="I24959" s="711"/>
      <c r="J24959" s="711"/>
      <c r="K24959" s="711"/>
      <c r="L24959" s="711"/>
      <c r="Q24959" s="11"/>
      <c r="R24959" s="11"/>
      <c r="S24959" s="11"/>
      <c r="T24959" s="11"/>
    </row>
    <row r="24960" spans="8:20" x14ac:dyDescent="0.35">
      <c r="H24960" s="711"/>
      <c r="I24960" s="711"/>
      <c r="J24960" s="711"/>
      <c r="K24960" s="711"/>
      <c r="L24960" s="711"/>
      <c r="Q24960" s="11"/>
      <c r="R24960" s="11"/>
      <c r="S24960" s="11"/>
      <c r="T24960" s="11"/>
    </row>
    <row r="24961" spans="8:20" x14ac:dyDescent="0.35">
      <c r="H24961" s="711"/>
      <c r="I24961" s="711"/>
      <c r="J24961" s="711"/>
      <c r="K24961" s="711"/>
      <c r="L24961" s="711"/>
      <c r="Q24961" s="11"/>
      <c r="R24961" s="11"/>
      <c r="S24961" s="11"/>
      <c r="T24961" s="11"/>
    </row>
    <row r="24962" spans="8:20" x14ac:dyDescent="0.35">
      <c r="H24962" s="711"/>
      <c r="I24962" s="711"/>
      <c r="J24962" s="711"/>
      <c r="K24962" s="711"/>
      <c r="L24962" s="711"/>
      <c r="Q24962" s="11"/>
      <c r="R24962" s="11"/>
      <c r="S24962" s="11"/>
      <c r="T24962" s="11"/>
    </row>
    <row r="24963" spans="8:20" x14ac:dyDescent="0.35">
      <c r="H24963" s="711"/>
      <c r="I24963" s="711"/>
      <c r="J24963" s="711"/>
      <c r="K24963" s="711"/>
      <c r="L24963" s="711"/>
      <c r="Q24963" s="11"/>
      <c r="R24963" s="11"/>
      <c r="S24963" s="11"/>
      <c r="T24963" s="11"/>
    </row>
    <row r="24964" spans="8:20" x14ac:dyDescent="0.35">
      <c r="H24964" s="711"/>
      <c r="I24964" s="711"/>
      <c r="J24964" s="711"/>
      <c r="K24964" s="711"/>
      <c r="L24964" s="711"/>
      <c r="Q24964" s="11"/>
      <c r="R24964" s="11"/>
      <c r="S24964" s="11"/>
      <c r="T24964" s="11"/>
    </row>
    <row r="24965" spans="8:20" x14ac:dyDescent="0.35">
      <c r="H24965" s="711"/>
      <c r="I24965" s="711"/>
      <c r="J24965" s="711"/>
      <c r="K24965" s="711"/>
      <c r="L24965" s="711"/>
      <c r="Q24965" s="11"/>
      <c r="R24965" s="11"/>
      <c r="S24965" s="11"/>
      <c r="T24965" s="11"/>
    </row>
    <row r="24966" spans="8:20" x14ac:dyDescent="0.35">
      <c r="H24966" s="711"/>
      <c r="I24966" s="711"/>
      <c r="J24966" s="711"/>
      <c r="K24966" s="711"/>
      <c r="L24966" s="711"/>
      <c r="Q24966" s="11"/>
      <c r="R24966" s="11"/>
      <c r="S24966" s="11"/>
      <c r="T24966" s="11"/>
    </row>
    <row r="24967" spans="8:20" x14ac:dyDescent="0.35">
      <c r="H24967" s="711"/>
      <c r="I24967" s="711"/>
      <c r="J24967" s="711"/>
      <c r="K24967" s="711"/>
      <c r="L24967" s="711"/>
      <c r="Q24967" s="11"/>
      <c r="R24967" s="11"/>
      <c r="S24967" s="11"/>
      <c r="T24967" s="11"/>
    </row>
    <row r="24968" spans="8:20" x14ac:dyDescent="0.35">
      <c r="H24968" s="711"/>
      <c r="I24968" s="711"/>
      <c r="J24968" s="711"/>
      <c r="K24968" s="711"/>
      <c r="L24968" s="711"/>
      <c r="Q24968" s="11"/>
      <c r="R24968" s="11"/>
      <c r="S24968" s="11"/>
      <c r="T24968" s="11"/>
    </row>
    <row r="24969" spans="8:20" x14ac:dyDescent="0.35">
      <c r="H24969" s="711"/>
      <c r="I24969" s="711"/>
      <c r="J24969" s="711"/>
      <c r="K24969" s="711"/>
      <c r="L24969" s="711"/>
      <c r="Q24969" s="11"/>
      <c r="R24969" s="11"/>
      <c r="S24969" s="11"/>
      <c r="T24969" s="11"/>
    </row>
    <row r="24970" spans="8:20" x14ac:dyDescent="0.35">
      <c r="H24970" s="711"/>
      <c r="I24970" s="711"/>
      <c r="J24970" s="711"/>
      <c r="K24970" s="711"/>
      <c r="L24970" s="711"/>
      <c r="Q24970" s="11"/>
      <c r="R24970" s="11"/>
      <c r="S24970" s="11"/>
      <c r="T24970" s="11"/>
    </row>
    <row r="24971" spans="8:20" x14ac:dyDescent="0.35">
      <c r="H24971" s="711"/>
      <c r="I24971" s="711"/>
      <c r="J24971" s="711"/>
      <c r="K24971" s="711"/>
      <c r="L24971" s="711"/>
      <c r="Q24971" s="11"/>
      <c r="R24971" s="11"/>
      <c r="S24971" s="11"/>
      <c r="T24971" s="11"/>
    </row>
    <row r="24972" spans="8:20" x14ac:dyDescent="0.35">
      <c r="H24972" s="711"/>
      <c r="I24972" s="711"/>
      <c r="J24972" s="711"/>
      <c r="K24972" s="711"/>
      <c r="L24972" s="711"/>
      <c r="Q24972" s="11"/>
      <c r="R24972" s="11"/>
      <c r="S24972" s="11"/>
      <c r="T24972" s="11"/>
    </row>
    <row r="24973" spans="8:20" x14ac:dyDescent="0.35">
      <c r="H24973" s="711"/>
      <c r="I24973" s="711"/>
      <c r="J24973" s="711"/>
      <c r="K24973" s="711"/>
      <c r="L24973" s="711"/>
      <c r="Q24973" s="11"/>
      <c r="R24973" s="11"/>
      <c r="S24973" s="11"/>
      <c r="T24973" s="11"/>
    </row>
    <row r="24974" spans="8:20" x14ac:dyDescent="0.35">
      <c r="H24974" s="711"/>
      <c r="I24974" s="711"/>
      <c r="J24974" s="711"/>
      <c r="K24974" s="711"/>
      <c r="L24974" s="711"/>
      <c r="Q24974" s="11"/>
      <c r="R24974" s="11"/>
      <c r="S24974" s="11"/>
      <c r="T24974" s="11"/>
    </row>
    <row r="24975" spans="8:20" x14ac:dyDescent="0.35">
      <c r="H24975" s="711"/>
      <c r="I24975" s="711"/>
      <c r="J24975" s="711"/>
      <c r="K24975" s="711"/>
      <c r="L24975" s="711"/>
      <c r="Q24975" s="11"/>
      <c r="R24975" s="11"/>
      <c r="S24975" s="11"/>
      <c r="T24975" s="11"/>
    </row>
    <row r="24976" spans="8:20" x14ac:dyDescent="0.35">
      <c r="H24976" s="711"/>
      <c r="I24976" s="711"/>
      <c r="J24976" s="711"/>
      <c r="K24976" s="711"/>
      <c r="L24976" s="711"/>
      <c r="Q24976" s="11"/>
      <c r="R24976" s="11"/>
      <c r="S24976" s="11"/>
      <c r="T24976" s="11"/>
    </row>
    <row r="24977" spans="8:20" x14ac:dyDescent="0.35">
      <c r="H24977" s="711"/>
      <c r="I24977" s="711"/>
      <c r="J24977" s="711"/>
      <c r="K24977" s="711"/>
      <c r="L24977" s="711"/>
      <c r="Q24977" s="11"/>
      <c r="R24977" s="11"/>
      <c r="S24977" s="11"/>
      <c r="T24977" s="11"/>
    </row>
    <row r="24978" spans="8:20" x14ac:dyDescent="0.35">
      <c r="H24978" s="711"/>
      <c r="I24978" s="711"/>
      <c r="J24978" s="711"/>
      <c r="K24978" s="711"/>
      <c r="L24978" s="711"/>
      <c r="Q24978" s="11"/>
      <c r="R24978" s="11"/>
      <c r="S24978" s="11"/>
      <c r="T24978" s="11"/>
    </row>
    <row r="24979" spans="8:20" x14ac:dyDescent="0.35">
      <c r="H24979" s="711"/>
      <c r="I24979" s="711"/>
      <c r="J24979" s="711"/>
      <c r="K24979" s="711"/>
      <c r="L24979" s="711"/>
      <c r="Q24979" s="11"/>
      <c r="R24979" s="11"/>
      <c r="S24979" s="11"/>
      <c r="T24979" s="11"/>
    </row>
    <row r="24980" spans="8:20" x14ac:dyDescent="0.35">
      <c r="H24980" s="711"/>
      <c r="I24980" s="711"/>
      <c r="J24980" s="711"/>
      <c r="K24980" s="711"/>
      <c r="L24980" s="711"/>
      <c r="Q24980" s="11"/>
      <c r="R24980" s="11"/>
      <c r="S24980" s="11"/>
      <c r="T24980" s="11"/>
    </row>
    <row r="24981" spans="8:20" x14ac:dyDescent="0.35">
      <c r="H24981" s="711"/>
      <c r="I24981" s="711"/>
      <c r="J24981" s="711"/>
      <c r="K24981" s="711"/>
      <c r="L24981" s="711"/>
      <c r="Q24981" s="11"/>
      <c r="R24981" s="11"/>
      <c r="S24981" s="11"/>
      <c r="T24981" s="11"/>
    </row>
    <row r="24982" spans="8:20" x14ac:dyDescent="0.35">
      <c r="H24982" s="711"/>
      <c r="I24982" s="711"/>
      <c r="J24982" s="711"/>
      <c r="K24982" s="711"/>
      <c r="L24982" s="711"/>
      <c r="Q24982" s="11"/>
      <c r="R24982" s="11"/>
      <c r="S24982" s="11"/>
      <c r="T24982" s="11"/>
    </row>
    <row r="24983" spans="8:20" x14ac:dyDescent="0.35">
      <c r="H24983" s="711"/>
      <c r="I24983" s="711"/>
      <c r="J24983" s="711"/>
      <c r="K24983" s="711"/>
      <c r="L24983" s="711"/>
      <c r="Q24983" s="11"/>
      <c r="R24983" s="11"/>
      <c r="S24983" s="11"/>
      <c r="T24983" s="11"/>
    </row>
    <row r="24984" spans="8:20" x14ac:dyDescent="0.35">
      <c r="H24984" s="711"/>
      <c r="I24984" s="711"/>
      <c r="J24984" s="711"/>
      <c r="K24984" s="711"/>
      <c r="L24984" s="711"/>
      <c r="Q24984" s="11"/>
      <c r="R24984" s="11"/>
      <c r="S24984" s="11"/>
      <c r="T24984" s="11"/>
    </row>
    <row r="24985" spans="8:20" x14ac:dyDescent="0.35">
      <c r="H24985" s="711"/>
      <c r="I24985" s="711"/>
      <c r="J24985" s="711"/>
      <c r="K24985" s="711"/>
      <c r="L24985" s="711"/>
      <c r="Q24985" s="11"/>
      <c r="R24985" s="11"/>
      <c r="S24985" s="11"/>
      <c r="T24985" s="11"/>
    </row>
    <row r="24986" spans="8:20" x14ac:dyDescent="0.35">
      <c r="H24986" s="711"/>
      <c r="I24986" s="711"/>
      <c r="J24986" s="711"/>
      <c r="K24986" s="711"/>
      <c r="L24986" s="711"/>
      <c r="Q24986" s="11"/>
      <c r="R24986" s="11"/>
      <c r="S24986" s="11"/>
      <c r="T24986" s="11"/>
    </row>
    <row r="24987" spans="8:20" x14ac:dyDescent="0.35">
      <c r="H24987" s="711"/>
      <c r="I24987" s="711"/>
      <c r="J24987" s="711"/>
      <c r="K24987" s="711"/>
      <c r="L24987" s="711"/>
      <c r="Q24987" s="11"/>
      <c r="R24987" s="11"/>
      <c r="S24987" s="11"/>
      <c r="T24987" s="11"/>
    </row>
    <row r="24988" spans="8:20" x14ac:dyDescent="0.35">
      <c r="H24988" s="711"/>
      <c r="I24988" s="711"/>
      <c r="J24988" s="711"/>
      <c r="K24988" s="711"/>
      <c r="L24988" s="711"/>
      <c r="Q24988" s="11"/>
      <c r="R24988" s="11"/>
      <c r="S24988" s="11"/>
      <c r="T24988" s="11"/>
    </row>
    <row r="24989" spans="8:20" x14ac:dyDescent="0.35">
      <c r="H24989" s="711"/>
      <c r="I24989" s="711"/>
      <c r="J24989" s="711"/>
      <c r="K24989" s="711"/>
      <c r="L24989" s="711"/>
      <c r="Q24989" s="11"/>
      <c r="R24989" s="11"/>
      <c r="S24989" s="11"/>
      <c r="T24989" s="11"/>
    </row>
    <row r="24990" spans="8:20" x14ac:dyDescent="0.35">
      <c r="H24990" s="711"/>
      <c r="I24990" s="711"/>
      <c r="J24990" s="711"/>
      <c r="K24990" s="711"/>
      <c r="L24990" s="711"/>
      <c r="Q24990" s="11"/>
      <c r="R24990" s="11"/>
      <c r="S24990" s="11"/>
      <c r="T24990" s="11"/>
    </row>
    <row r="24991" spans="8:20" x14ac:dyDescent="0.35">
      <c r="H24991" s="711"/>
      <c r="I24991" s="711"/>
      <c r="J24991" s="711"/>
      <c r="K24991" s="711"/>
      <c r="L24991" s="711"/>
      <c r="Q24991" s="11"/>
      <c r="R24991" s="11"/>
      <c r="S24991" s="11"/>
      <c r="T24991" s="11"/>
    </row>
    <row r="24992" spans="8:20" x14ac:dyDescent="0.35">
      <c r="H24992" s="711"/>
      <c r="I24992" s="711"/>
      <c r="J24992" s="711"/>
      <c r="K24992" s="711"/>
      <c r="L24992" s="711"/>
      <c r="Q24992" s="11"/>
      <c r="R24992" s="11"/>
      <c r="S24992" s="11"/>
      <c r="T24992" s="11"/>
    </row>
    <row r="24993" spans="8:20" x14ac:dyDescent="0.35">
      <c r="H24993" s="711"/>
      <c r="I24993" s="711"/>
      <c r="J24993" s="711"/>
      <c r="K24993" s="711"/>
      <c r="L24993" s="711"/>
      <c r="Q24993" s="11"/>
      <c r="R24993" s="11"/>
      <c r="S24993" s="11"/>
      <c r="T24993" s="11"/>
    </row>
    <row r="24994" spans="8:20" x14ac:dyDescent="0.35">
      <c r="H24994" s="711"/>
      <c r="I24994" s="711"/>
      <c r="J24994" s="711"/>
      <c r="K24994" s="711"/>
      <c r="L24994" s="711"/>
      <c r="Q24994" s="11"/>
      <c r="R24994" s="11"/>
      <c r="S24994" s="11"/>
      <c r="T24994" s="11"/>
    </row>
    <row r="24995" spans="8:20" x14ac:dyDescent="0.35">
      <c r="H24995" s="711"/>
      <c r="I24995" s="711"/>
      <c r="J24995" s="711"/>
      <c r="K24995" s="711"/>
      <c r="L24995" s="711"/>
      <c r="Q24995" s="11"/>
      <c r="R24995" s="11"/>
      <c r="S24995" s="11"/>
      <c r="T24995" s="11"/>
    </row>
    <row r="24996" spans="8:20" x14ac:dyDescent="0.35">
      <c r="H24996" s="711"/>
      <c r="I24996" s="711"/>
      <c r="J24996" s="711"/>
      <c r="K24996" s="711"/>
      <c r="L24996" s="711"/>
      <c r="Q24996" s="11"/>
      <c r="R24996" s="11"/>
      <c r="S24996" s="11"/>
      <c r="T24996" s="11"/>
    </row>
    <row r="24997" spans="8:20" x14ac:dyDescent="0.35">
      <c r="H24997" s="711"/>
      <c r="I24997" s="711"/>
      <c r="J24997" s="711"/>
      <c r="K24997" s="711"/>
      <c r="L24997" s="711"/>
      <c r="Q24997" s="11"/>
      <c r="R24997" s="11"/>
      <c r="S24997" s="11"/>
      <c r="T24997" s="11"/>
    </row>
    <row r="24998" spans="8:20" x14ac:dyDescent="0.35">
      <c r="H24998" s="711"/>
      <c r="I24998" s="711"/>
      <c r="J24998" s="711"/>
      <c r="K24998" s="711"/>
      <c r="L24998" s="711"/>
      <c r="Q24998" s="11"/>
      <c r="R24998" s="11"/>
      <c r="S24998" s="11"/>
      <c r="T24998" s="11"/>
    </row>
    <row r="24999" spans="8:20" x14ac:dyDescent="0.35">
      <c r="H24999" s="711"/>
      <c r="I24999" s="711"/>
      <c r="J24999" s="711"/>
      <c r="K24999" s="711"/>
      <c r="L24999" s="711"/>
      <c r="Q24999" s="11"/>
      <c r="R24999" s="11"/>
      <c r="S24999" s="11"/>
      <c r="T24999" s="11"/>
    </row>
    <row r="25000" spans="8:20" x14ac:dyDescent="0.35">
      <c r="H25000" s="711"/>
      <c r="I25000" s="711"/>
      <c r="J25000" s="711"/>
      <c r="K25000" s="711"/>
      <c r="L25000" s="711"/>
      <c r="Q25000" s="11"/>
      <c r="R25000" s="11"/>
      <c r="S25000" s="11"/>
      <c r="T25000" s="11"/>
    </row>
    <row r="25001" spans="8:20" x14ac:dyDescent="0.35">
      <c r="H25001" s="711"/>
      <c r="I25001" s="711"/>
      <c r="J25001" s="711"/>
      <c r="K25001" s="711"/>
      <c r="L25001" s="711"/>
      <c r="Q25001" s="11"/>
      <c r="R25001" s="11"/>
      <c r="S25001" s="11"/>
      <c r="T25001" s="11"/>
    </row>
    <row r="25002" spans="8:20" x14ac:dyDescent="0.35">
      <c r="H25002" s="711"/>
      <c r="I25002" s="711"/>
      <c r="J25002" s="711"/>
      <c r="K25002" s="711"/>
      <c r="L25002" s="711"/>
      <c r="Q25002" s="11"/>
      <c r="R25002" s="11"/>
      <c r="S25002" s="11"/>
      <c r="T25002" s="11"/>
    </row>
    <row r="25003" spans="8:20" x14ac:dyDescent="0.35">
      <c r="H25003" s="711"/>
      <c r="I25003" s="711"/>
      <c r="J25003" s="711"/>
      <c r="K25003" s="711"/>
      <c r="L25003" s="711"/>
      <c r="Q25003" s="11"/>
      <c r="R25003" s="11"/>
      <c r="S25003" s="11"/>
      <c r="T25003" s="11"/>
    </row>
    <row r="25004" spans="8:20" x14ac:dyDescent="0.35">
      <c r="H25004" s="711"/>
      <c r="I25004" s="711"/>
      <c r="J25004" s="711"/>
      <c r="K25004" s="711"/>
      <c r="L25004" s="711"/>
      <c r="Q25004" s="11"/>
      <c r="R25004" s="11"/>
      <c r="S25004" s="11"/>
      <c r="T25004" s="11"/>
    </row>
    <row r="25005" spans="8:20" x14ac:dyDescent="0.35">
      <c r="H25005" s="711"/>
      <c r="I25005" s="711"/>
      <c r="J25005" s="711"/>
      <c r="K25005" s="711"/>
      <c r="L25005" s="711"/>
      <c r="Q25005" s="11"/>
      <c r="R25005" s="11"/>
      <c r="S25005" s="11"/>
      <c r="T25005" s="11"/>
    </row>
    <row r="25006" spans="8:20" x14ac:dyDescent="0.35">
      <c r="H25006" s="711"/>
      <c r="I25006" s="711"/>
      <c r="J25006" s="711"/>
      <c r="K25006" s="711"/>
      <c r="L25006" s="711"/>
      <c r="Q25006" s="11"/>
      <c r="R25006" s="11"/>
      <c r="S25006" s="11"/>
      <c r="T25006" s="11"/>
    </row>
    <row r="25007" spans="8:20" x14ac:dyDescent="0.35">
      <c r="H25007" s="711"/>
      <c r="I25007" s="711"/>
      <c r="J25007" s="711"/>
      <c r="K25007" s="711"/>
      <c r="L25007" s="711"/>
      <c r="Q25007" s="11"/>
      <c r="R25007" s="11"/>
      <c r="S25007" s="11"/>
      <c r="T25007" s="11"/>
    </row>
    <row r="25008" spans="8:20" x14ac:dyDescent="0.35">
      <c r="H25008" s="711"/>
      <c r="I25008" s="711"/>
      <c r="J25008" s="711"/>
      <c r="K25008" s="711"/>
      <c r="L25008" s="711"/>
      <c r="Q25008" s="11"/>
      <c r="R25008" s="11"/>
      <c r="S25008" s="11"/>
      <c r="T25008" s="11"/>
    </row>
    <row r="25009" spans="8:20" x14ac:dyDescent="0.35">
      <c r="H25009" s="711"/>
      <c r="I25009" s="711"/>
      <c r="J25009" s="711"/>
      <c r="K25009" s="711"/>
      <c r="L25009" s="711"/>
      <c r="Q25009" s="11"/>
      <c r="R25009" s="11"/>
      <c r="S25009" s="11"/>
      <c r="T25009" s="11"/>
    </row>
    <row r="25010" spans="8:20" x14ac:dyDescent="0.35">
      <c r="H25010" s="711"/>
      <c r="I25010" s="711"/>
      <c r="J25010" s="711"/>
      <c r="K25010" s="711"/>
      <c r="L25010" s="711"/>
      <c r="Q25010" s="11"/>
      <c r="R25010" s="11"/>
      <c r="S25010" s="11"/>
      <c r="T25010" s="11"/>
    </row>
    <row r="25011" spans="8:20" x14ac:dyDescent="0.35">
      <c r="H25011" s="711"/>
      <c r="I25011" s="711"/>
      <c r="J25011" s="711"/>
      <c r="K25011" s="711"/>
      <c r="L25011" s="711"/>
      <c r="Q25011" s="11"/>
      <c r="R25011" s="11"/>
      <c r="S25011" s="11"/>
      <c r="T25011" s="11"/>
    </row>
    <row r="25012" spans="8:20" x14ac:dyDescent="0.35">
      <c r="H25012" s="711"/>
      <c r="I25012" s="711"/>
      <c r="J25012" s="711"/>
      <c r="K25012" s="711"/>
      <c r="L25012" s="711"/>
      <c r="Q25012" s="11"/>
      <c r="R25012" s="11"/>
      <c r="S25012" s="11"/>
      <c r="T25012" s="11"/>
    </row>
    <row r="25013" spans="8:20" x14ac:dyDescent="0.35">
      <c r="H25013" s="711"/>
      <c r="I25013" s="711"/>
      <c r="J25013" s="711"/>
      <c r="K25013" s="711"/>
      <c r="L25013" s="711"/>
      <c r="Q25013" s="11"/>
      <c r="R25013" s="11"/>
      <c r="S25013" s="11"/>
      <c r="T25013" s="11"/>
    </row>
    <row r="25014" spans="8:20" x14ac:dyDescent="0.35">
      <c r="H25014" s="711"/>
      <c r="I25014" s="711"/>
      <c r="J25014" s="711"/>
      <c r="K25014" s="711"/>
      <c r="L25014" s="711"/>
      <c r="Q25014" s="11"/>
      <c r="R25014" s="11"/>
      <c r="S25014" s="11"/>
      <c r="T25014" s="11"/>
    </row>
    <row r="25015" spans="8:20" x14ac:dyDescent="0.35">
      <c r="H25015" s="711"/>
      <c r="I25015" s="711"/>
      <c r="J25015" s="711"/>
      <c r="K25015" s="711"/>
      <c r="L25015" s="711"/>
      <c r="Q25015" s="11"/>
      <c r="R25015" s="11"/>
      <c r="S25015" s="11"/>
      <c r="T25015" s="11"/>
    </row>
    <row r="25016" spans="8:20" x14ac:dyDescent="0.35">
      <c r="H25016" s="711"/>
      <c r="I25016" s="711"/>
      <c r="J25016" s="711"/>
      <c r="K25016" s="711"/>
      <c r="L25016" s="711"/>
      <c r="Q25016" s="11"/>
      <c r="R25016" s="11"/>
      <c r="S25016" s="11"/>
      <c r="T25016" s="11"/>
    </row>
    <row r="25017" spans="8:20" x14ac:dyDescent="0.35">
      <c r="H25017" s="711"/>
      <c r="I25017" s="711"/>
      <c r="J25017" s="711"/>
      <c r="K25017" s="711"/>
      <c r="L25017" s="711"/>
      <c r="Q25017" s="11"/>
      <c r="R25017" s="11"/>
      <c r="S25017" s="11"/>
      <c r="T25017" s="11"/>
    </row>
    <row r="25018" spans="8:20" x14ac:dyDescent="0.35">
      <c r="H25018" s="711"/>
      <c r="I25018" s="711"/>
      <c r="J25018" s="711"/>
      <c r="K25018" s="711"/>
      <c r="L25018" s="711"/>
      <c r="Q25018" s="11"/>
      <c r="R25018" s="11"/>
      <c r="S25018" s="11"/>
      <c r="T25018" s="11"/>
    </row>
    <row r="25019" spans="8:20" x14ac:dyDescent="0.35">
      <c r="H25019" s="711"/>
      <c r="I25019" s="711"/>
      <c r="J25019" s="711"/>
      <c r="K25019" s="711"/>
      <c r="L25019" s="711"/>
      <c r="Q25019" s="11"/>
      <c r="R25019" s="11"/>
      <c r="S25019" s="11"/>
      <c r="T25019" s="11"/>
    </row>
    <row r="25020" spans="8:20" x14ac:dyDescent="0.35">
      <c r="H25020" s="711"/>
      <c r="I25020" s="711"/>
      <c r="J25020" s="711"/>
      <c r="K25020" s="711"/>
      <c r="L25020" s="711"/>
      <c r="Q25020" s="11"/>
      <c r="R25020" s="11"/>
      <c r="S25020" s="11"/>
      <c r="T25020" s="11"/>
    </row>
    <row r="25021" spans="8:20" x14ac:dyDescent="0.35">
      <c r="H25021" s="711"/>
      <c r="I25021" s="711"/>
      <c r="J25021" s="711"/>
      <c r="K25021" s="711"/>
      <c r="L25021" s="711"/>
      <c r="Q25021" s="11"/>
      <c r="R25021" s="11"/>
      <c r="S25021" s="11"/>
      <c r="T25021" s="11"/>
    </row>
    <row r="25022" spans="8:20" x14ac:dyDescent="0.35">
      <c r="H25022" s="711"/>
      <c r="I25022" s="711"/>
      <c r="J25022" s="711"/>
      <c r="K25022" s="711"/>
      <c r="L25022" s="711"/>
      <c r="Q25022" s="11"/>
      <c r="R25022" s="11"/>
      <c r="S25022" s="11"/>
      <c r="T25022" s="11"/>
    </row>
    <row r="25023" spans="8:20" x14ac:dyDescent="0.35">
      <c r="H25023" s="711"/>
      <c r="I25023" s="711"/>
      <c r="J25023" s="711"/>
      <c r="K25023" s="711"/>
      <c r="L25023" s="711"/>
      <c r="Q25023" s="11"/>
      <c r="R25023" s="11"/>
      <c r="S25023" s="11"/>
      <c r="T25023" s="11"/>
    </row>
    <row r="25024" spans="8:20" x14ac:dyDescent="0.35">
      <c r="H25024" s="711"/>
      <c r="I25024" s="711"/>
      <c r="J25024" s="711"/>
      <c r="K25024" s="711"/>
      <c r="L25024" s="711"/>
      <c r="Q25024" s="11"/>
      <c r="R25024" s="11"/>
      <c r="S25024" s="11"/>
      <c r="T25024" s="11"/>
    </row>
    <row r="25025" spans="8:20" x14ac:dyDescent="0.35">
      <c r="H25025" s="711"/>
      <c r="I25025" s="711"/>
      <c r="J25025" s="711"/>
      <c r="K25025" s="711"/>
      <c r="L25025" s="711"/>
      <c r="Q25025" s="11"/>
      <c r="R25025" s="11"/>
      <c r="S25025" s="11"/>
      <c r="T25025" s="11"/>
    </row>
    <row r="25026" spans="8:20" x14ac:dyDescent="0.35">
      <c r="H25026" s="711"/>
      <c r="I25026" s="711"/>
      <c r="J25026" s="711"/>
      <c r="K25026" s="711"/>
      <c r="L25026" s="711"/>
      <c r="Q25026" s="11"/>
      <c r="R25026" s="11"/>
      <c r="S25026" s="11"/>
      <c r="T25026" s="11"/>
    </row>
    <row r="25027" spans="8:20" x14ac:dyDescent="0.35">
      <c r="H25027" s="711"/>
      <c r="I25027" s="711"/>
      <c r="J25027" s="711"/>
      <c r="K25027" s="711"/>
      <c r="L25027" s="711"/>
      <c r="Q25027" s="11"/>
      <c r="R25027" s="11"/>
      <c r="S25027" s="11"/>
      <c r="T25027" s="11"/>
    </row>
    <row r="25028" spans="8:20" x14ac:dyDescent="0.35">
      <c r="H25028" s="711"/>
      <c r="I25028" s="711"/>
      <c r="J25028" s="711"/>
      <c r="K25028" s="711"/>
      <c r="L25028" s="711"/>
      <c r="Q25028" s="11"/>
      <c r="R25028" s="11"/>
      <c r="S25028" s="11"/>
      <c r="T25028" s="11"/>
    </row>
    <row r="25029" spans="8:20" x14ac:dyDescent="0.35">
      <c r="H25029" s="711"/>
      <c r="I25029" s="711"/>
      <c r="J25029" s="711"/>
      <c r="K25029" s="711"/>
      <c r="L25029" s="711"/>
      <c r="Q25029" s="11"/>
      <c r="R25029" s="11"/>
      <c r="S25029" s="11"/>
      <c r="T25029" s="11"/>
    </row>
    <row r="25030" spans="8:20" x14ac:dyDescent="0.35">
      <c r="H25030" s="711"/>
      <c r="I25030" s="711"/>
      <c r="J25030" s="711"/>
      <c r="K25030" s="711"/>
      <c r="L25030" s="711"/>
      <c r="Q25030" s="11"/>
      <c r="R25030" s="11"/>
      <c r="S25030" s="11"/>
      <c r="T25030" s="11"/>
    </row>
    <row r="25031" spans="8:20" x14ac:dyDescent="0.35">
      <c r="H25031" s="711"/>
      <c r="I25031" s="711"/>
      <c r="J25031" s="711"/>
      <c r="K25031" s="711"/>
      <c r="L25031" s="711"/>
      <c r="Q25031" s="11"/>
      <c r="R25031" s="11"/>
      <c r="S25031" s="11"/>
      <c r="T25031" s="11"/>
    </row>
    <row r="25032" spans="8:20" x14ac:dyDescent="0.35">
      <c r="H25032" s="711"/>
      <c r="I25032" s="711"/>
      <c r="J25032" s="711"/>
      <c r="K25032" s="711"/>
      <c r="L25032" s="711"/>
      <c r="Q25032" s="11"/>
      <c r="R25032" s="11"/>
      <c r="S25032" s="11"/>
      <c r="T25032" s="11"/>
    </row>
    <row r="25033" spans="8:20" x14ac:dyDescent="0.35">
      <c r="H25033" s="711"/>
      <c r="I25033" s="711"/>
      <c r="J25033" s="711"/>
      <c r="K25033" s="711"/>
      <c r="L25033" s="711"/>
      <c r="Q25033" s="11"/>
      <c r="R25033" s="11"/>
      <c r="S25033" s="11"/>
      <c r="T25033" s="11"/>
    </row>
    <row r="25034" spans="8:20" x14ac:dyDescent="0.35">
      <c r="H25034" s="711"/>
      <c r="I25034" s="711"/>
      <c r="J25034" s="711"/>
      <c r="K25034" s="711"/>
      <c r="L25034" s="711"/>
      <c r="Q25034" s="11"/>
      <c r="R25034" s="11"/>
      <c r="S25034" s="11"/>
      <c r="T25034" s="11"/>
    </row>
    <row r="25035" spans="8:20" x14ac:dyDescent="0.35">
      <c r="H25035" s="711"/>
      <c r="I25035" s="711"/>
      <c r="J25035" s="711"/>
      <c r="K25035" s="711"/>
      <c r="L25035" s="711"/>
      <c r="Q25035" s="11"/>
      <c r="R25035" s="11"/>
      <c r="S25035" s="11"/>
      <c r="T25035" s="11"/>
    </row>
    <row r="25036" spans="8:20" x14ac:dyDescent="0.35">
      <c r="H25036" s="711"/>
      <c r="I25036" s="711"/>
      <c r="J25036" s="711"/>
      <c r="K25036" s="711"/>
      <c r="L25036" s="711"/>
      <c r="Q25036" s="11"/>
      <c r="R25036" s="11"/>
      <c r="S25036" s="11"/>
      <c r="T25036" s="11"/>
    </row>
    <row r="25037" spans="8:20" x14ac:dyDescent="0.35">
      <c r="H25037" s="711"/>
      <c r="I25037" s="711"/>
      <c r="J25037" s="711"/>
      <c r="K25037" s="711"/>
      <c r="L25037" s="711"/>
      <c r="Q25037" s="11"/>
      <c r="R25037" s="11"/>
      <c r="S25037" s="11"/>
      <c r="T25037" s="11"/>
    </row>
    <row r="25038" spans="8:20" x14ac:dyDescent="0.35">
      <c r="H25038" s="711"/>
      <c r="I25038" s="711"/>
      <c r="J25038" s="711"/>
      <c r="K25038" s="711"/>
      <c r="L25038" s="711"/>
      <c r="Q25038" s="11"/>
      <c r="R25038" s="11"/>
      <c r="S25038" s="11"/>
      <c r="T25038" s="11"/>
    </row>
    <row r="25039" spans="8:20" x14ac:dyDescent="0.35">
      <c r="H25039" s="711"/>
      <c r="I25039" s="711"/>
      <c r="J25039" s="711"/>
      <c r="K25039" s="711"/>
      <c r="L25039" s="711"/>
      <c r="Q25039" s="11"/>
      <c r="R25039" s="11"/>
      <c r="S25039" s="11"/>
      <c r="T25039" s="11"/>
    </row>
    <row r="25040" spans="8:20" x14ac:dyDescent="0.35">
      <c r="H25040" s="711"/>
      <c r="I25040" s="711"/>
      <c r="J25040" s="711"/>
      <c r="K25040" s="711"/>
      <c r="L25040" s="711"/>
      <c r="Q25040" s="11"/>
      <c r="R25040" s="11"/>
      <c r="S25040" s="11"/>
      <c r="T25040" s="11"/>
    </row>
    <row r="25041" spans="8:20" x14ac:dyDescent="0.35">
      <c r="H25041" s="711"/>
      <c r="I25041" s="711"/>
      <c r="J25041" s="711"/>
      <c r="K25041" s="711"/>
      <c r="L25041" s="711"/>
      <c r="Q25041" s="11"/>
      <c r="R25041" s="11"/>
      <c r="S25041" s="11"/>
      <c r="T25041" s="11"/>
    </row>
    <row r="25042" spans="8:20" x14ac:dyDescent="0.35">
      <c r="H25042" s="711"/>
      <c r="I25042" s="711"/>
      <c r="J25042" s="711"/>
      <c r="K25042" s="711"/>
      <c r="L25042" s="711"/>
      <c r="Q25042" s="11"/>
      <c r="R25042" s="11"/>
      <c r="S25042" s="11"/>
      <c r="T25042" s="11"/>
    </row>
    <row r="25043" spans="8:20" x14ac:dyDescent="0.35">
      <c r="H25043" s="711"/>
      <c r="I25043" s="711"/>
      <c r="J25043" s="711"/>
      <c r="K25043" s="711"/>
      <c r="L25043" s="711"/>
      <c r="Q25043" s="11"/>
      <c r="R25043" s="11"/>
      <c r="S25043" s="11"/>
      <c r="T25043" s="11"/>
    </row>
    <row r="25044" spans="8:20" x14ac:dyDescent="0.35">
      <c r="H25044" s="711"/>
      <c r="I25044" s="711"/>
      <c r="J25044" s="711"/>
      <c r="K25044" s="711"/>
      <c r="L25044" s="711"/>
      <c r="Q25044" s="11"/>
      <c r="R25044" s="11"/>
      <c r="S25044" s="11"/>
      <c r="T25044" s="11"/>
    </row>
    <row r="25045" spans="8:20" x14ac:dyDescent="0.35">
      <c r="H25045" s="711"/>
      <c r="I25045" s="711"/>
      <c r="J25045" s="711"/>
      <c r="K25045" s="711"/>
      <c r="L25045" s="711"/>
      <c r="Q25045" s="11"/>
      <c r="R25045" s="11"/>
      <c r="S25045" s="11"/>
      <c r="T25045" s="11"/>
    </row>
    <row r="25046" spans="8:20" x14ac:dyDescent="0.35">
      <c r="H25046" s="711"/>
      <c r="I25046" s="711"/>
      <c r="J25046" s="711"/>
      <c r="K25046" s="711"/>
      <c r="L25046" s="711"/>
      <c r="Q25046" s="11"/>
      <c r="R25046" s="11"/>
      <c r="S25046" s="11"/>
      <c r="T25046" s="11"/>
    </row>
    <row r="25047" spans="8:20" x14ac:dyDescent="0.35">
      <c r="H25047" s="711"/>
      <c r="I25047" s="711"/>
      <c r="J25047" s="711"/>
      <c r="K25047" s="711"/>
      <c r="L25047" s="711"/>
      <c r="Q25047" s="11"/>
      <c r="R25047" s="11"/>
      <c r="S25047" s="11"/>
      <c r="T25047" s="11"/>
    </row>
    <row r="25048" spans="8:20" x14ac:dyDescent="0.35">
      <c r="H25048" s="711"/>
      <c r="I25048" s="711"/>
      <c r="J25048" s="711"/>
      <c r="K25048" s="711"/>
      <c r="L25048" s="711"/>
      <c r="Q25048" s="11"/>
      <c r="R25048" s="11"/>
      <c r="S25048" s="11"/>
      <c r="T25048" s="11"/>
    </row>
    <row r="25049" spans="8:20" x14ac:dyDescent="0.35">
      <c r="H25049" s="711"/>
      <c r="I25049" s="711"/>
      <c r="J25049" s="711"/>
      <c r="K25049" s="711"/>
      <c r="L25049" s="711"/>
      <c r="Q25049" s="11"/>
      <c r="R25049" s="11"/>
      <c r="S25049" s="11"/>
      <c r="T25049" s="11"/>
    </row>
    <row r="25050" spans="8:20" x14ac:dyDescent="0.35">
      <c r="H25050" s="711"/>
      <c r="I25050" s="711"/>
      <c r="J25050" s="711"/>
      <c r="K25050" s="711"/>
      <c r="L25050" s="711"/>
      <c r="Q25050" s="11"/>
      <c r="R25050" s="11"/>
      <c r="S25050" s="11"/>
      <c r="T25050" s="11"/>
    </row>
    <row r="25051" spans="8:20" x14ac:dyDescent="0.35">
      <c r="H25051" s="711"/>
      <c r="I25051" s="711"/>
      <c r="J25051" s="711"/>
      <c r="K25051" s="711"/>
      <c r="L25051" s="711"/>
      <c r="Q25051" s="11"/>
      <c r="R25051" s="11"/>
      <c r="S25051" s="11"/>
      <c r="T25051" s="11"/>
    </row>
    <row r="25052" spans="8:20" x14ac:dyDescent="0.35">
      <c r="H25052" s="711"/>
      <c r="I25052" s="711"/>
      <c r="J25052" s="711"/>
      <c r="K25052" s="711"/>
      <c r="L25052" s="711"/>
      <c r="Q25052" s="11"/>
      <c r="R25052" s="11"/>
      <c r="S25052" s="11"/>
      <c r="T25052" s="11"/>
    </row>
    <row r="25053" spans="8:20" x14ac:dyDescent="0.35">
      <c r="H25053" s="711"/>
      <c r="I25053" s="711"/>
      <c r="J25053" s="711"/>
      <c r="K25053" s="711"/>
      <c r="L25053" s="711"/>
      <c r="Q25053" s="11"/>
      <c r="R25053" s="11"/>
      <c r="S25053" s="11"/>
      <c r="T25053" s="11"/>
    </row>
    <row r="25054" spans="8:20" x14ac:dyDescent="0.35">
      <c r="H25054" s="711"/>
      <c r="I25054" s="711"/>
      <c r="J25054" s="711"/>
      <c r="K25054" s="711"/>
      <c r="L25054" s="711"/>
      <c r="Q25054" s="11"/>
      <c r="R25054" s="11"/>
      <c r="S25054" s="11"/>
      <c r="T25054" s="11"/>
    </row>
    <row r="25055" spans="8:20" x14ac:dyDescent="0.35">
      <c r="H25055" s="711"/>
      <c r="I25055" s="711"/>
      <c r="J25055" s="711"/>
      <c r="K25055" s="711"/>
      <c r="L25055" s="711"/>
      <c r="Q25055" s="11"/>
      <c r="R25055" s="11"/>
      <c r="S25055" s="11"/>
      <c r="T25055" s="11"/>
    </row>
    <row r="25056" spans="8:20" x14ac:dyDescent="0.35">
      <c r="H25056" s="711"/>
      <c r="I25056" s="711"/>
      <c r="J25056" s="711"/>
      <c r="K25056" s="711"/>
      <c r="L25056" s="711"/>
      <c r="Q25056" s="11"/>
      <c r="R25056" s="11"/>
      <c r="S25056" s="11"/>
      <c r="T25056" s="11"/>
    </row>
    <row r="25057" spans="8:20" x14ac:dyDescent="0.35">
      <c r="H25057" s="711"/>
      <c r="I25057" s="711"/>
      <c r="J25057" s="711"/>
      <c r="K25057" s="711"/>
      <c r="L25057" s="711"/>
      <c r="Q25057" s="11"/>
      <c r="R25057" s="11"/>
      <c r="S25057" s="11"/>
      <c r="T25057" s="11"/>
    </row>
    <row r="25058" spans="8:20" x14ac:dyDescent="0.35">
      <c r="H25058" s="711"/>
      <c r="I25058" s="711"/>
      <c r="J25058" s="711"/>
      <c r="K25058" s="711"/>
      <c r="L25058" s="711"/>
      <c r="Q25058" s="11"/>
      <c r="R25058" s="11"/>
      <c r="S25058" s="11"/>
      <c r="T25058" s="11"/>
    </row>
    <row r="25059" spans="8:20" x14ac:dyDescent="0.35">
      <c r="H25059" s="711"/>
      <c r="I25059" s="711"/>
      <c r="J25059" s="711"/>
      <c r="K25059" s="711"/>
      <c r="L25059" s="711"/>
      <c r="Q25059" s="11"/>
      <c r="R25059" s="11"/>
      <c r="S25059" s="11"/>
      <c r="T25059" s="11"/>
    </row>
    <row r="25060" spans="8:20" x14ac:dyDescent="0.35">
      <c r="H25060" s="711"/>
      <c r="I25060" s="711"/>
      <c r="J25060" s="711"/>
      <c r="K25060" s="711"/>
      <c r="L25060" s="711"/>
      <c r="Q25060" s="11"/>
      <c r="R25060" s="11"/>
      <c r="S25060" s="11"/>
      <c r="T25060" s="11"/>
    </row>
    <row r="25061" spans="8:20" x14ac:dyDescent="0.35">
      <c r="H25061" s="711"/>
      <c r="I25061" s="711"/>
      <c r="J25061" s="711"/>
      <c r="K25061" s="711"/>
      <c r="L25061" s="711"/>
      <c r="Q25061" s="11"/>
      <c r="R25061" s="11"/>
      <c r="S25061" s="11"/>
      <c r="T25061" s="11"/>
    </row>
    <row r="25062" spans="8:20" x14ac:dyDescent="0.35">
      <c r="H25062" s="711"/>
      <c r="I25062" s="711"/>
      <c r="J25062" s="711"/>
      <c r="K25062" s="711"/>
      <c r="L25062" s="711"/>
      <c r="Q25062" s="11"/>
      <c r="R25062" s="11"/>
      <c r="S25062" s="11"/>
      <c r="T25062" s="11"/>
    </row>
    <row r="25063" spans="8:20" x14ac:dyDescent="0.35">
      <c r="H25063" s="711"/>
      <c r="I25063" s="711"/>
      <c r="J25063" s="711"/>
      <c r="K25063" s="711"/>
      <c r="L25063" s="711"/>
      <c r="Q25063" s="11"/>
      <c r="R25063" s="11"/>
      <c r="S25063" s="11"/>
      <c r="T25063" s="11"/>
    </row>
    <row r="25064" spans="8:20" x14ac:dyDescent="0.35">
      <c r="H25064" s="711"/>
      <c r="I25064" s="711"/>
      <c r="J25064" s="711"/>
      <c r="K25064" s="711"/>
      <c r="L25064" s="711"/>
      <c r="Q25064" s="11"/>
      <c r="R25064" s="11"/>
      <c r="S25064" s="11"/>
      <c r="T25064" s="11"/>
    </row>
    <row r="25065" spans="8:20" x14ac:dyDescent="0.35">
      <c r="H25065" s="711"/>
      <c r="I25065" s="711"/>
      <c r="J25065" s="711"/>
      <c r="K25065" s="711"/>
      <c r="L25065" s="711"/>
      <c r="Q25065" s="11"/>
      <c r="R25065" s="11"/>
      <c r="S25065" s="11"/>
      <c r="T25065" s="11"/>
    </row>
    <row r="25066" spans="8:20" x14ac:dyDescent="0.35">
      <c r="H25066" s="711"/>
      <c r="I25066" s="711"/>
      <c r="J25066" s="711"/>
      <c r="K25066" s="711"/>
      <c r="L25066" s="711"/>
      <c r="Q25066" s="11"/>
      <c r="R25066" s="11"/>
      <c r="S25066" s="11"/>
      <c r="T25066" s="11"/>
    </row>
    <row r="25067" spans="8:20" x14ac:dyDescent="0.35">
      <c r="H25067" s="711"/>
      <c r="I25067" s="711"/>
      <c r="J25067" s="711"/>
      <c r="K25067" s="711"/>
      <c r="L25067" s="711"/>
      <c r="Q25067" s="11"/>
      <c r="R25067" s="11"/>
      <c r="S25067" s="11"/>
      <c r="T25067" s="11"/>
    </row>
    <row r="25068" spans="8:20" x14ac:dyDescent="0.35">
      <c r="H25068" s="711"/>
      <c r="I25068" s="711"/>
      <c r="J25068" s="711"/>
      <c r="K25068" s="711"/>
      <c r="L25068" s="711"/>
      <c r="Q25068" s="11"/>
      <c r="R25068" s="11"/>
      <c r="S25068" s="11"/>
      <c r="T25068" s="11"/>
    </row>
    <row r="25069" spans="8:20" x14ac:dyDescent="0.35">
      <c r="H25069" s="711"/>
      <c r="I25069" s="711"/>
      <c r="J25069" s="711"/>
      <c r="K25069" s="711"/>
      <c r="L25069" s="711"/>
      <c r="Q25069" s="11"/>
      <c r="R25069" s="11"/>
      <c r="S25069" s="11"/>
      <c r="T25069" s="11"/>
    </row>
    <row r="25070" spans="8:20" x14ac:dyDescent="0.35">
      <c r="H25070" s="711"/>
      <c r="I25070" s="711"/>
      <c r="J25070" s="711"/>
      <c r="K25070" s="711"/>
      <c r="L25070" s="711"/>
      <c r="Q25070" s="11"/>
      <c r="R25070" s="11"/>
      <c r="S25070" s="11"/>
      <c r="T25070" s="11"/>
    </row>
    <row r="25071" spans="8:20" x14ac:dyDescent="0.35">
      <c r="H25071" s="711"/>
      <c r="I25071" s="711"/>
      <c r="J25071" s="711"/>
      <c r="K25071" s="711"/>
      <c r="L25071" s="711"/>
      <c r="Q25071" s="11"/>
      <c r="R25071" s="11"/>
      <c r="S25071" s="11"/>
      <c r="T25071" s="11"/>
    </row>
    <row r="25072" spans="8:20" x14ac:dyDescent="0.35">
      <c r="H25072" s="711"/>
      <c r="I25072" s="711"/>
      <c r="J25072" s="711"/>
      <c r="K25072" s="711"/>
      <c r="L25072" s="711"/>
      <c r="Q25072" s="11"/>
      <c r="R25072" s="11"/>
      <c r="S25072" s="11"/>
      <c r="T25072" s="11"/>
    </row>
    <row r="25073" spans="8:20" x14ac:dyDescent="0.35">
      <c r="H25073" s="711"/>
      <c r="I25073" s="711"/>
      <c r="J25073" s="711"/>
      <c r="K25073" s="711"/>
      <c r="L25073" s="711"/>
      <c r="Q25073" s="11"/>
      <c r="R25073" s="11"/>
      <c r="S25073" s="11"/>
      <c r="T25073" s="11"/>
    </row>
    <row r="25074" spans="8:20" x14ac:dyDescent="0.35">
      <c r="H25074" s="711"/>
      <c r="I25074" s="711"/>
      <c r="J25074" s="711"/>
      <c r="K25074" s="711"/>
      <c r="L25074" s="711"/>
      <c r="Q25074" s="11"/>
      <c r="R25074" s="11"/>
      <c r="S25074" s="11"/>
      <c r="T25074" s="11"/>
    </row>
    <row r="25075" spans="8:20" x14ac:dyDescent="0.35">
      <c r="H25075" s="711"/>
      <c r="I25075" s="711"/>
      <c r="J25075" s="711"/>
      <c r="K25075" s="711"/>
      <c r="L25075" s="711"/>
      <c r="Q25075" s="11"/>
      <c r="R25075" s="11"/>
      <c r="S25075" s="11"/>
      <c r="T25075" s="11"/>
    </row>
    <row r="25076" spans="8:20" x14ac:dyDescent="0.35">
      <c r="H25076" s="711"/>
      <c r="I25076" s="711"/>
      <c r="J25076" s="711"/>
      <c r="K25076" s="711"/>
      <c r="L25076" s="711"/>
      <c r="Q25076" s="11"/>
      <c r="R25076" s="11"/>
      <c r="S25076" s="11"/>
      <c r="T25076" s="11"/>
    </row>
    <row r="25077" spans="8:20" x14ac:dyDescent="0.35">
      <c r="H25077" s="711"/>
      <c r="I25077" s="711"/>
      <c r="J25077" s="711"/>
      <c r="K25077" s="711"/>
      <c r="L25077" s="711"/>
      <c r="Q25077" s="11"/>
      <c r="R25077" s="11"/>
      <c r="S25077" s="11"/>
      <c r="T25077" s="11"/>
    </row>
    <row r="25078" spans="8:20" x14ac:dyDescent="0.35">
      <c r="H25078" s="711"/>
      <c r="I25078" s="711"/>
      <c r="J25078" s="711"/>
      <c r="K25078" s="711"/>
      <c r="L25078" s="711"/>
      <c r="Q25078" s="11"/>
      <c r="R25078" s="11"/>
      <c r="S25078" s="11"/>
      <c r="T25078" s="11"/>
    </row>
    <row r="25079" spans="8:20" x14ac:dyDescent="0.35">
      <c r="H25079" s="711"/>
      <c r="I25079" s="711"/>
      <c r="J25079" s="711"/>
      <c r="K25079" s="711"/>
      <c r="L25079" s="711"/>
      <c r="Q25079" s="11"/>
      <c r="R25079" s="11"/>
      <c r="S25079" s="11"/>
      <c r="T25079" s="11"/>
    </row>
    <row r="25080" spans="8:20" x14ac:dyDescent="0.35">
      <c r="H25080" s="711"/>
      <c r="I25080" s="711"/>
      <c r="J25080" s="711"/>
      <c r="K25080" s="711"/>
      <c r="L25080" s="711"/>
      <c r="Q25080" s="11"/>
      <c r="R25080" s="11"/>
      <c r="S25080" s="11"/>
      <c r="T25080" s="11"/>
    </row>
    <row r="25081" spans="8:20" x14ac:dyDescent="0.35">
      <c r="H25081" s="711"/>
      <c r="I25081" s="711"/>
      <c r="J25081" s="711"/>
      <c r="K25081" s="711"/>
      <c r="L25081" s="711"/>
      <c r="Q25081" s="11"/>
      <c r="R25081" s="11"/>
      <c r="S25081" s="11"/>
      <c r="T25081" s="11"/>
    </row>
    <row r="25082" spans="8:20" x14ac:dyDescent="0.35">
      <c r="H25082" s="711"/>
      <c r="I25082" s="711"/>
      <c r="J25082" s="711"/>
      <c r="K25082" s="711"/>
      <c r="L25082" s="711"/>
      <c r="Q25082" s="11"/>
      <c r="R25082" s="11"/>
      <c r="S25082" s="11"/>
      <c r="T25082" s="11"/>
    </row>
    <row r="25083" spans="8:20" x14ac:dyDescent="0.35">
      <c r="H25083" s="711"/>
      <c r="I25083" s="711"/>
      <c r="J25083" s="711"/>
      <c r="K25083" s="711"/>
      <c r="L25083" s="711"/>
      <c r="Q25083" s="11"/>
      <c r="R25083" s="11"/>
      <c r="S25083" s="11"/>
      <c r="T25083" s="11"/>
    </row>
    <row r="25084" spans="8:20" x14ac:dyDescent="0.35">
      <c r="H25084" s="711"/>
      <c r="I25084" s="711"/>
      <c r="J25084" s="711"/>
      <c r="K25084" s="711"/>
      <c r="L25084" s="711"/>
      <c r="Q25084" s="11"/>
      <c r="R25084" s="11"/>
      <c r="S25084" s="11"/>
      <c r="T25084" s="11"/>
    </row>
    <row r="25085" spans="8:20" x14ac:dyDescent="0.35">
      <c r="H25085" s="711"/>
      <c r="I25085" s="711"/>
      <c r="J25085" s="711"/>
      <c r="K25085" s="711"/>
      <c r="L25085" s="711"/>
      <c r="Q25085" s="11"/>
      <c r="R25085" s="11"/>
      <c r="S25085" s="11"/>
      <c r="T25085" s="11"/>
    </row>
    <row r="25086" spans="8:20" x14ac:dyDescent="0.35">
      <c r="H25086" s="711"/>
      <c r="I25086" s="711"/>
      <c r="J25086" s="711"/>
      <c r="K25086" s="711"/>
      <c r="L25086" s="711"/>
      <c r="Q25086" s="11"/>
      <c r="R25086" s="11"/>
      <c r="S25086" s="11"/>
      <c r="T25086" s="11"/>
    </row>
    <row r="25087" spans="8:20" x14ac:dyDescent="0.35">
      <c r="H25087" s="711"/>
      <c r="I25087" s="711"/>
      <c r="J25087" s="711"/>
      <c r="K25087" s="711"/>
      <c r="L25087" s="711"/>
      <c r="Q25087" s="11"/>
      <c r="R25087" s="11"/>
      <c r="S25087" s="11"/>
      <c r="T25087" s="11"/>
    </row>
    <row r="25088" spans="8:20" x14ac:dyDescent="0.35">
      <c r="H25088" s="711"/>
      <c r="I25088" s="711"/>
      <c r="J25088" s="711"/>
      <c r="K25088" s="711"/>
      <c r="L25088" s="711"/>
      <c r="Q25088" s="11"/>
      <c r="R25088" s="11"/>
      <c r="S25088" s="11"/>
      <c r="T25088" s="11"/>
    </row>
    <row r="25089" spans="8:20" x14ac:dyDescent="0.35">
      <c r="H25089" s="711"/>
      <c r="I25089" s="711"/>
      <c r="J25089" s="711"/>
      <c r="K25089" s="711"/>
      <c r="L25089" s="711"/>
      <c r="Q25089" s="11"/>
      <c r="R25089" s="11"/>
      <c r="S25089" s="11"/>
      <c r="T25089" s="11"/>
    </row>
    <row r="25090" spans="8:20" x14ac:dyDescent="0.35">
      <c r="H25090" s="711"/>
      <c r="I25090" s="711"/>
      <c r="J25090" s="711"/>
      <c r="K25090" s="711"/>
      <c r="L25090" s="711"/>
      <c r="Q25090" s="11"/>
      <c r="R25090" s="11"/>
      <c r="S25090" s="11"/>
      <c r="T25090" s="11"/>
    </row>
    <row r="25091" spans="8:20" x14ac:dyDescent="0.35">
      <c r="H25091" s="711"/>
      <c r="I25091" s="711"/>
      <c r="J25091" s="711"/>
      <c r="K25091" s="711"/>
      <c r="L25091" s="711"/>
      <c r="Q25091" s="11"/>
      <c r="R25091" s="11"/>
      <c r="S25091" s="11"/>
      <c r="T25091" s="11"/>
    </row>
    <row r="25092" spans="8:20" x14ac:dyDescent="0.35">
      <c r="H25092" s="711"/>
      <c r="I25092" s="711"/>
      <c r="J25092" s="711"/>
      <c r="K25092" s="711"/>
      <c r="L25092" s="711"/>
      <c r="Q25092" s="11"/>
      <c r="R25092" s="11"/>
      <c r="S25092" s="11"/>
      <c r="T25092" s="11"/>
    </row>
    <row r="25093" spans="8:20" x14ac:dyDescent="0.35">
      <c r="H25093" s="711"/>
      <c r="I25093" s="711"/>
      <c r="J25093" s="711"/>
      <c r="K25093" s="711"/>
      <c r="L25093" s="711"/>
      <c r="Q25093" s="11"/>
      <c r="R25093" s="11"/>
      <c r="S25093" s="11"/>
      <c r="T25093" s="11"/>
    </row>
    <row r="25094" spans="8:20" x14ac:dyDescent="0.35">
      <c r="H25094" s="711"/>
      <c r="I25094" s="711"/>
      <c r="J25094" s="711"/>
      <c r="K25094" s="711"/>
      <c r="L25094" s="711"/>
      <c r="Q25094" s="11"/>
      <c r="R25094" s="11"/>
      <c r="S25094" s="11"/>
      <c r="T25094" s="11"/>
    </row>
    <row r="25095" spans="8:20" x14ac:dyDescent="0.35">
      <c r="H25095" s="711"/>
      <c r="I25095" s="711"/>
      <c r="J25095" s="711"/>
      <c r="K25095" s="711"/>
      <c r="L25095" s="711"/>
      <c r="Q25095" s="11"/>
      <c r="R25095" s="11"/>
      <c r="S25095" s="11"/>
      <c r="T25095" s="11"/>
    </row>
    <row r="25096" spans="8:20" x14ac:dyDescent="0.35">
      <c r="H25096" s="711"/>
      <c r="I25096" s="711"/>
      <c r="J25096" s="711"/>
      <c r="K25096" s="711"/>
      <c r="L25096" s="711"/>
      <c r="Q25096" s="11"/>
      <c r="R25096" s="11"/>
      <c r="S25096" s="11"/>
      <c r="T25096" s="11"/>
    </row>
    <row r="25097" spans="8:20" x14ac:dyDescent="0.35">
      <c r="H25097" s="711"/>
      <c r="I25097" s="711"/>
      <c r="J25097" s="711"/>
      <c r="K25097" s="711"/>
      <c r="L25097" s="711"/>
      <c r="Q25097" s="11"/>
      <c r="R25097" s="11"/>
      <c r="S25097" s="11"/>
      <c r="T25097" s="11"/>
    </row>
    <row r="25098" spans="8:20" x14ac:dyDescent="0.35">
      <c r="H25098" s="711"/>
      <c r="I25098" s="711"/>
      <c r="J25098" s="711"/>
      <c r="K25098" s="711"/>
      <c r="L25098" s="711"/>
      <c r="Q25098" s="11"/>
      <c r="R25098" s="11"/>
      <c r="S25098" s="11"/>
      <c r="T25098" s="11"/>
    </row>
    <row r="25099" spans="8:20" x14ac:dyDescent="0.35">
      <c r="H25099" s="711"/>
      <c r="I25099" s="711"/>
      <c r="J25099" s="711"/>
      <c r="K25099" s="711"/>
      <c r="L25099" s="711"/>
      <c r="Q25099" s="11"/>
      <c r="R25099" s="11"/>
      <c r="S25099" s="11"/>
      <c r="T25099" s="11"/>
    </row>
    <row r="25100" spans="8:20" x14ac:dyDescent="0.35">
      <c r="H25100" s="711"/>
      <c r="I25100" s="711"/>
      <c r="J25100" s="711"/>
      <c r="K25100" s="711"/>
      <c r="L25100" s="711"/>
      <c r="Q25100" s="11"/>
      <c r="R25100" s="11"/>
      <c r="S25100" s="11"/>
      <c r="T25100" s="11"/>
    </row>
    <row r="25101" spans="8:20" x14ac:dyDescent="0.35">
      <c r="H25101" s="711"/>
      <c r="I25101" s="711"/>
      <c r="J25101" s="711"/>
      <c r="K25101" s="711"/>
      <c r="L25101" s="711"/>
      <c r="Q25101" s="11"/>
      <c r="R25101" s="11"/>
      <c r="S25101" s="11"/>
      <c r="T25101" s="11"/>
    </row>
    <row r="25102" spans="8:20" x14ac:dyDescent="0.35">
      <c r="H25102" s="711"/>
      <c r="I25102" s="711"/>
      <c r="J25102" s="711"/>
      <c r="K25102" s="711"/>
      <c r="L25102" s="711"/>
      <c r="Q25102" s="11"/>
      <c r="R25102" s="11"/>
      <c r="S25102" s="11"/>
      <c r="T25102" s="11"/>
    </row>
    <row r="25103" spans="8:20" x14ac:dyDescent="0.35">
      <c r="H25103" s="711"/>
      <c r="I25103" s="711"/>
      <c r="J25103" s="711"/>
      <c r="K25103" s="711"/>
      <c r="L25103" s="711"/>
      <c r="Q25103" s="11"/>
      <c r="R25103" s="11"/>
      <c r="S25103" s="11"/>
      <c r="T25103" s="11"/>
    </row>
    <row r="25104" spans="8:20" x14ac:dyDescent="0.35">
      <c r="H25104" s="711"/>
      <c r="I25104" s="711"/>
      <c r="J25104" s="711"/>
      <c r="K25104" s="711"/>
      <c r="L25104" s="711"/>
      <c r="Q25104" s="11"/>
      <c r="R25104" s="11"/>
      <c r="S25104" s="11"/>
      <c r="T25104" s="11"/>
    </row>
    <row r="25105" spans="8:20" x14ac:dyDescent="0.35">
      <c r="H25105" s="711"/>
      <c r="I25105" s="711"/>
      <c r="J25105" s="711"/>
      <c r="K25105" s="711"/>
      <c r="L25105" s="711"/>
      <c r="Q25105" s="11"/>
      <c r="R25105" s="11"/>
      <c r="S25105" s="11"/>
      <c r="T25105" s="11"/>
    </row>
    <row r="25106" spans="8:20" x14ac:dyDescent="0.35">
      <c r="H25106" s="711"/>
      <c r="I25106" s="711"/>
      <c r="J25106" s="711"/>
      <c r="K25106" s="711"/>
      <c r="L25106" s="711"/>
      <c r="Q25106" s="11"/>
      <c r="R25106" s="11"/>
      <c r="S25106" s="11"/>
      <c r="T25106" s="11"/>
    </row>
    <row r="25107" spans="8:20" x14ac:dyDescent="0.35">
      <c r="H25107" s="711"/>
      <c r="I25107" s="711"/>
      <c r="J25107" s="711"/>
      <c r="K25107" s="711"/>
      <c r="L25107" s="711"/>
      <c r="Q25107" s="11"/>
      <c r="R25107" s="11"/>
      <c r="S25107" s="11"/>
      <c r="T25107" s="11"/>
    </row>
    <row r="25108" spans="8:20" x14ac:dyDescent="0.35">
      <c r="H25108" s="711"/>
      <c r="I25108" s="711"/>
      <c r="J25108" s="711"/>
      <c r="K25108" s="711"/>
      <c r="L25108" s="711"/>
      <c r="Q25108" s="11"/>
      <c r="R25108" s="11"/>
      <c r="S25108" s="11"/>
      <c r="T25108" s="11"/>
    </row>
    <row r="25109" spans="8:20" x14ac:dyDescent="0.35">
      <c r="H25109" s="711"/>
      <c r="I25109" s="711"/>
      <c r="J25109" s="711"/>
      <c r="K25109" s="711"/>
      <c r="L25109" s="711"/>
      <c r="Q25109" s="11"/>
      <c r="R25109" s="11"/>
      <c r="S25109" s="11"/>
      <c r="T25109" s="11"/>
    </row>
    <row r="25110" spans="8:20" x14ac:dyDescent="0.35">
      <c r="H25110" s="711"/>
      <c r="I25110" s="711"/>
      <c r="J25110" s="711"/>
      <c r="K25110" s="711"/>
      <c r="L25110" s="711"/>
      <c r="Q25110" s="11"/>
      <c r="R25110" s="11"/>
      <c r="S25110" s="11"/>
      <c r="T25110" s="11"/>
    </row>
    <row r="25111" spans="8:20" x14ac:dyDescent="0.35">
      <c r="H25111" s="711"/>
      <c r="I25111" s="711"/>
      <c r="J25111" s="711"/>
      <c r="K25111" s="711"/>
      <c r="L25111" s="711"/>
      <c r="Q25111" s="11"/>
      <c r="R25111" s="11"/>
      <c r="S25111" s="11"/>
      <c r="T25111" s="11"/>
    </row>
    <row r="25112" spans="8:20" x14ac:dyDescent="0.35">
      <c r="H25112" s="711"/>
      <c r="I25112" s="711"/>
      <c r="J25112" s="711"/>
      <c r="K25112" s="711"/>
      <c r="L25112" s="711"/>
      <c r="Q25112" s="11"/>
      <c r="R25112" s="11"/>
      <c r="S25112" s="11"/>
      <c r="T25112" s="11"/>
    </row>
    <row r="25113" spans="8:20" x14ac:dyDescent="0.35">
      <c r="H25113" s="711"/>
      <c r="I25113" s="711"/>
      <c r="J25113" s="711"/>
      <c r="K25113" s="711"/>
      <c r="L25113" s="711"/>
      <c r="Q25113" s="11"/>
      <c r="R25113" s="11"/>
      <c r="S25113" s="11"/>
      <c r="T25113" s="11"/>
    </row>
    <row r="25114" spans="8:20" x14ac:dyDescent="0.35">
      <c r="H25114" s="711"/>
      <c r="I25114" s="711"/>
      <c r="J25114" s="711"/>
      <c r="K25114" s="711"/>
      <c r="L25114" s="711"/>
      <c r="Q25114" s="11"/>
      <c r="R25114" s="11"/>
      <c r="S25114" s="11"/>
      <c r="T25114" s="11"/>
    </row>
    <row r="25115" spans="8:20" x14ac:dyDescent="0.35">
      <c r="H25115" s="711"/>
      <c r="I25115" s="711"/>
      <c r="J25115" s="711"/>
      <c r="K25115" s="711"/>
      <c r="L25115" s="711"/>
      <c r="Q25115" s="11"/>
      <c r="R25115" s="11"/>
      <c r="S25115" s="11"/>
      <c r="T25115" s="11"/>
    </row>
    <row r="25116" spans="8:20" x14ac:dyDescent="0.35">
      <c r="H25116" s="711"/>
      <c r="I25116" s="711"/>
      <c r="J25116" s="711"/>
      <c r="K25116" s="711"/>
      <c r="L25116" s="711"/>
      <c r="Q25116" s="11"/>
      <c r="R25116" s="11"/>
      <c r="S25116" s="11"/>
      <c r="T25116" s="11"/>
    </row>
    <row r="25117" spans="8:20" x14ac:dyDescent="0.35">
      <c r="H25117" s="711"/>
      <c r="I25117" s="711"/>
      <c r="J25117" s="711"/>
      <c r="K25117" s="711"/>
      <c r="L25117" s="711"/>
      <c r="Q25117" s="11"/>
      <c r="R25117" s="11"/>
      <c r="S25117" s="11"/>
      <c r="T25117" s="11"/>
    </row>
    <row r="25118" spans="8:20" x14ac:dyDescent="0.35">
      <c r="H25118" s="711"/>
      <c r="I25118" s="711"/>
      <c r="J25118" s="711"/>
      <c r="K25118" s="711"/>
      <c r="L25118" s="711"/>
      <c r="Q25118" s="11"/>
      <c r="R25118" s="11"/>
      <c r="S25118" s="11"/>
      <c r="T25118" s="11"/>
    </row>
    <row r="25119" spans="8:20" x14ac:dyDescent="0.35">
      <c r="H25119" s="711"/>
      <c r="I25119" s="711"/>
      <c r="J25119" s="711"/>
      <c r="K25119" s="711"/>
      <c r="L25119" s="711"/>
      <c r="Q25119" s="11"/>
      <c r="R25119" s="11"/>
      <c r="S25119" s="11"/>
      <c r="T25119" s="11"/>
    </row>
    <row r="25120" spans="8:20" x14ac:dyDescent="0.35">
      <c r="H25120" s="711"/>
      <c r="I25120" s="711"/>
      <c r="J25120" s="711"/>
      <c r="K25120" s="711"/>
      <c r="L25120" s="711"/>
      <c r="Q25120" s="11"/>
      <c r="R25120" s="11"/>
      <c r="S25120" s="11"/>
      <c r="T25120" s="11"/>
    </row>
    <row r="25121" spans="8:20" x14ac:dyDescent="0.35">
      <c r="H25121" s="711"/>
      <c r="I25121" s="711"/>
      <c r="J25121" s="711"/>
      <c r="K25121" s="711"/>
      <c r="L25121" s="711"/>
      <c r="Q25121" s="11"/>
      <c r="R25121" s="11"/>
      <c r="S25121" s="11"/>
      <c r="T25121" s="11"/>
    </row>
    <row r="25122" spans="8:20" x14ac:dyDescent="0.35">
      <c r="H25122" s="711"/>
      <c r="I25122" s="711"/>
      <c r="J25122" s="711"/>
      <c r="K25122" s="711"/>
      <c r="L25122" s="711"/>
      <c r="Q25122" s="11"/>
      <c r="R25122" s="11"/>
      <c r="S25122" s="11"/>
      <c r="T25122" s="11"/>
    </row>
    <row r="25123" spans="8:20" x14ac:dyDescent="0.35">
      <c r="H25123" s="711"/>
      <c r="I25123" s="711"/>
      <c r="J25123" s="711"/>
      <c r="K25123" s="711"/>
      <c r="L25123" s="711"/>
      <c r="Q25123" s="11"/>
      <c r="R25123" s="11"/>
      <c r="S25123" s="11"/>
      <c r="T25123" s="11"/>
    </row>
    <row r="25124" spans="8:20" x14ac:dyDescent="0.35">
      <c r="H25124" s="711"/>
      <c r="I25124" s="711"/>
      <c r="J25124" s="711"/>
      <c r="K25124" s="711"/>
      <c r="L25124" s="711"/>
      <c r="Q25124" s="11"/>
      <c r="R25124" s="11"/>
      <c r="S25124" s="11"/>
      <c r="T25124" s="11"/>
    </row>
    <row r="25125" spans="8:20" x14ac:dyDescent="0.35">
      <c r="H25125" s="711"/>
      <c r="I25125" s="711"/>
      <c r="J25125" s="711"/>
      <c r="K25125" s="711"/>
      <c r="L25125" s="711"/>
      <c r="Q25125" s="11"/>
      <c r="R25125" s="11"/>
      <c r="S25125" s="11"/>
      <c r="T25125" s="11"/>
    </row>
    <row r="25126" spans="8:20" x14ac:dyDescent="0.35">
      <c r="H25126" s="711"/>
      <c r="I25126" s="711"/>
      <c r="J25126" s="711"/>
      <c r="K25126" s="711"/>
      <c r="L25126" s="711"/>
      <c r="Q25126" s="11"/>
      <c r="R25126" s="11"/>
      <c r="S25126" s="11"/>
      <c r="T25126" s="11"/>
    </row>
    <row r="25127" spans="8:20" x14ac:dyDescent="0.35">
      <c r="H25127" s="711"/>
      <c r="I25127" s="711"/>
      <c r="J25127" s="711"/>
      <c r="K25127" s="711"/>
      <c r="L25127" s="711"/>
      <c r="Q25127" s="11"/>
      <c r="R25127" s="11"/>
      <c r="S25127" s="11"/>
      <c r="T25127" s="11"/>
    </row>
    <row r="25128" spans="8:20" x14ac:dyDescent="0.35">
      <c r="H25128" s="711"/>
      <c r="I25128" s="711"/>
      <c r="J25128" s="711"/>
      <c r="K25128" s="711"/>
      <c r="L25128" s="711"/>
      <c r="Q25128" s="11"/>
      <c r="R25128" s="11"/>
      <c r="S25128" s="11"/>
      <c r="T25128" s="11"/>
    </row>
    <row r="25129" spans="8:20" x14ac:dyDescent="0.35">
      <c r="H25129" s="711"/>
      <c r="I25129" s="711"/>
      <c r="J25129" s="711"/>
      <c r="K25129" s="711"/>
      <c r="L25129" s="711"/>
      <c r="Q25129" s="11"/>
      <c r="R25129" s="11"/>
      <c r="S25129" s="11"/>
      <c r="T25129" s="11"/>
    </row>
    <row r="25130" spans="8:20" x14ac:dyDescent="0.35">
      <c r="H25130" s="711"/>
      <c r="I25130" s="711"/>
      <c r="J25130" s="711"/>
      <c r="K25130" s="711"/>
      <c r="L25130" s="711"/>
      <c r="Q25130" s="11"/>
      <c r="R25130" s="11"/>
      <c r="S25130" s="11"/>
      <c r="T25130" s="11"/>
    </row>
    <row r="25131" spans="8:20" x14ac:dyDescent="0.35">
      <c r="H25131" s="711"/>
      <c r="I25131" s="711"/>
      <c r="J25131" s="711"/>
      <c r="K25131" s="711"/>
      <c r="L25131" s="711"/>
      <c r="Q25131" s="11"/>
      <c r="R25131" s="11"/>
      <c r="S25131" s="11"/>
      <c r="T25131" s="11"/>
    </row>
    <row r="25132" spans="8:20" x14ac:dyDescent="0.35">
      <c r="H25132" s="711"/>
      <c r="I25132" s="711"/>
      <c r="J25132" s="711"/>
      <c r="K25132" s="711"/>
      <c r="L25132" s="711"/>
      <c r="Q25132" s="11"/>
      <c r="R25132" s="11"/>
      <c r="S25132" s="11"/>
      <c r="T25132" s="11"/>
    </row>
    <row r="25133" spans="8:20" x14ac:dyDescent="0.35">
      <c r="H25133" s="711"/>
      <c r="I25133" s="711"/>
      <c r="J25133" s="711"/>
      <c r="K25133" s="711"/>
      <c r="L25133" s="711"/>
      <c r="Q25133" s="11"/>
      <c r="R25133" s="11"/>
      <c r="S25133" s="11"/>
      <c r="T25133" s="11"/>
    </row>
    <row r="25134" spans="8:20" x14ac:dyDescent="0.35">
      <c r="H25134" s="711"/>
      <c r="I25134" s="711"/>
      <c r="J25134" s="711"/>
      <c r="K25134" s="711"/>
      <c r="L25134" s="711"/>
      <c r="Q25134" s="11"/>
      <c r="R25134" s="11"/>
      <c r="S25134" s="11"/>
      <c r="T25134" s="11"/>
    </row>
    <row r="25135" spans="8:20" x14ac:dyDescent="0.35">
      <c r="H25135" s="711"/>
      <c r="I25135" s="711"/>
      <c r="J25135" s="711"/>
      <c r="K25135" s="711"/>
      <c r="L25135" s="711"/>
      <c r="Q25135" s="11"/>
      <c r="R25135" s="11"/>
      <c r="S25135" s="11"/>
      <c r="T25135" s="11"/>
    </row>
    <row r="25136" spans="8:20" x14ac:dyDescent="0.35">
      <c r="H25136" s="711"/>
      <c r="I25136" s="711"/>
      <c r="J25136" s="711"/>
      <c r="K25136" s="711"/>
      <c r="L25136" s="711"/>
      <c r="Q25136" s="11"/>
      <c r="R25136" s="11"/>
      <c r="S25136" s="11"/>
      <c r="T25136" s="11"/>
    </row>
    <row r="25137" spans="8:20" x14ac:dyDescent="0.35">
      <c r="H25137" s="711"/>
      <c r="I25137" s="711"/>
      <c r="J25137" s="711"/>
      <c r="K25137" s="711"/>
      <c r="L25137" s="711"/>
      <c r="Q25137" s="11"/>
      <c r="R25137" s="11"/>
      <c r="S25137" s="11"/>
      <c r="T25137" s="11"/>
    </row>
    <row r="25138" spans="8:20" x14ac:dyDescent="0.35">
      <c r="H25138" s="711"/>
      <c r="I25138" s="711"/>
      <c r="J25138" s="711"/>
      <c r="K25138" s="711"/>
      <c r="L25138" s="711"/>
      <c r="Q25138" s="11"/>
      <c r="R25138" s="11"/>
      <c r="S25138" s="11"/>
      <c r="T25138" s="11"/>
    </row>
    <row r="25139" spans="8:20" x14ac:dyDescent="0.35">
      <c r="H25139" s="711"/>
      <c r="I25139" s="711"/>
      <c r="J25139" s="711"/>
      <c r="K25139" s="711"/>
      <c r="L25139" s="711"/>
      <c r="Q25139" s="11"/>
      <c r="R25139" s="11"/>
      <c r="S25139" s="11"/>
      <c r="T25139" s="11"/>
    </row>
    <row r="25140" spans="8:20" x14ac:dyDescent="0.35">
      <c r="H25140" s="711"/>
      <c r="I25140" s="711"/>
      <c r="J25140" s="711"/>
      <c r="K25140" s="711"/>
      <c r="L25140" s="711"/>
      <c r="Q25140" s="11"/>
      <c r="R25140" s="11"/>
      <c r="S25140" s="11"/>
      <c r="T25140" s="11"/>
    </row>
    <row r="25141" spans="8:20" x14ac:dyDescent="0.35">
      <c r="H25141" s="711"/>
      <c r="I25141" s="711"/>
      <c r="J25141" s="711"/>
      <c r="K25141" s="711"/>
      <c r="L25141" s="711"/>
      <c r="Q25141" s="11"/>
      <c r="R25141" s="11"/>
      <c r="S25141" s="11"/>
      <c r="T25141" s="11"/>
    </row>
    <row r="25142" spans="8:20" x14ac:dyDescent="0.35">
      <c r="H25142" s="711"/>
      <c r="I25142" s="711"/>
      <c r="J25142" s="711"/>
      <c r="K25142" s="711"/>
      <c r="L25142" s="711"/>
      <c r="Q25142" s="11"/>
      <c r="R25142" s="11"/>
      <c r="S25142" s="11"/>
      <c r="T25142" s="11"/>
    </row>
    <row r="25143" spans="8:20" x14ac:dyDescent="0.35">
      <c r="H25143" s="711"/>
      <c r="I25143" s="711"/>
      <c r="J25143" s="711"/>
      <c r="K25143" s="711"/>
      <c r="L25143" s="711"/>
      <c r="Q25143" s="11"/>
      <c r="R25143" s="11"/>
      <c r="S25143" s="11"/>
      <c r="T25143" s="11"/>
    </row>
    <row r="25144" spans="8:20" x14ac:dyDescent="0.35">
      <c r="H25144" s="711"/>
      <c r="I25144" s="711"/>
      <c r="J25144" s="711"/>
      <c r="K25144" s="711"/>
      <c r="L25144" s="711"/>
      <c r="Q25144" s="11"/>
      <c r="R25144" s="11"/>
      <c r="S25144" s="11"/>
      <c r="T25144" s="11"/>
    </row>
    <row r="25145" spans="8:20" x14ac:dyDescent="0.35">
      <c r="H25145" s="711"/>
      <c r="I25145" s="711"/>
      <c r="J25145" s="711"/>
      <c r="K25145" s="711"/>
      <c r="L25145" s="711"/>
      <c r="Q25145" s="11"/>
      <c r="R25145" s="11"/>
      <c r="S25145" s="11"/>
      <c r="T25145" s="11"/>
    </row>
    <row r="25146" spans="8:20" x14ac:dyDescent="0.35">
      <c r="H25146" s="711"/>
      <c r="I25146" s="711"/>
      <c r="J25146" s="711"/>
      <c r="K25146" s="711"/>
      <c r="L25146" s="711"/>
      <c r="Q25146" s="11"/>
      <c r="R25146" s="11"/>
      <c r="S25146" s="11"/>
      <c r="T25146" s="11"/>
    </row>
    <row r="25147" spans="8:20" x14ac:dyDescent="0.35">
      <c r="H25147" s="711"/>
      <c r="I25147" s="711"/>
      <c r="J25147" s="711"/>
      <c r="K25147" s="711"/>
      <c r="L25147" s="711"/>
      <c r="Q25147" s="11"/>
      <c r="R25147" s="11"/>
      <c r="S25147" s="11"/>
      <c r="T25147" s="11"/>
    </row>
    <row r="25148" spans="8:20" x14ac:dyDescent="0.35">
      <c r="H25148" s="711"/>
      <c r="I25148" s="711"/>
      <c r="J25148" s="711"/>
      <c r="K25148" s="711"/>
      <c r="L25148" s="711"/>
      <c r="Q25148" s="11"/>
      <c r="R25148" s="11"/>
      <c r="S25148" s="11"/>
      <c r="T25148" s="11"/>
    </row>
    <row r="25149" spans="8:20" x14ac:dyDescent="0.35">
      <c r="H25149" s="711"/>
      <c r="I25149" s="711"/>
      <c r="J25149" s="711"/>
      <c r="K25149" s="711"/>
      <c r="L25149" s="711"/>
      <c r="Q25149" s="11"/>
      <c r="R25149" s="11"/>
      <c r="S25149" s="11"/>
      <c r="T25149" s="11"/>
    </row>
    <row r="25150" spans="8:20" x14ac:dyDescent="0.35">
      <c r="H25150" s="711"/>
      <c r="I25150" s="711"/>
      <c r="J25150" s="711"/>
      <c r="K25150" s="711"/>
      <c r="L25150" s="711"/>
      <c r="Q25150" s="11"/>
      <c r="R25150" s="11"/>
      <c r="S25150" s="11"/>
      <c r="T25150" s="11"/>
    </row>
    <row r="25151" spans="8:20" x14ac:dyDescent="0.35">
      <c r="H25151" s="711"/>
      <c r="I25151" s="711"/>
      <c r="J25151" s="711"/>
      <c r="K25151" s="711"/>
      <c r="L25151" s="711"/>
      <c r="Q25151" s="11"/>
      <c r="R25151" s="11"/>
      <c r="S25151" s="11"/>
      <c r="T25151" s="11"/>
    </row>
    <row r="25152" spans="8:20" x14ac:dyDescent="0.35">
      <c r="H25152" s="711"/>
      <c r="I25152" s="711"/>
      <c r="J25152" s="711"/>
      <c r="K25152" s="711"/>
      <c r="L25152" s="711"/>
      <c r="Q25152" s="11"/>
      <c r="R25152" s="11"/>
      <c r="S25152" s="11"/>
      <c r="T25152" s="11"/>
    </row>
    <row r="25153" spans="8:20" x14ac:dyDescent="0.35">
      <c r="H25153" s="711"/>
      <c r="I25153" s="711"/>
      <c r="J25153" s="711"/>
      <c r="K25153" s="711"/>
      <c r="L25153" s="711"/>
      <c r="Q25153" s="11"/>
      <c r="R25153" s="11"/>
      <c r="S25153" s="11"/>
      <c r="T25153" s="11"/>
    </row>
    <row r="25154" spans="8:20" x14ac:dyDescent="0.35">
      <c r="H25154" s="711"/>
      <c r="I25154" s="711"/>
      <c r="J25154" s="711"/>
      <c r="K25154" s="711"/>
      <c r="L25154" s="711"/>
      <c r="Q25154" s="11"/>
      <c r="R25154" s="11"/>
      <c r="S25154" s="11"/>
      <c r="T25154" s="11"/>
    </row>
    <row r="25155" spans="8:20" x14ac:dyDescent="0.35">
      <c r="H25155" s="711"/>
      <c r="I25155" s="711"/>
      <c r="J25155" s="711"/>
      <c r="K25155" s="711"/>
      <c r="L25155" s="711"/>
      <c r="Q25155" s="11"/>
      <c r="R25155" s="11"/>
      <c r="S25155" s="11"/>
      <c r="T25155" s="11"/>
    </row>
    <row r="25156" spans="8:20" x14ac:dyDescent="0.35">
      <c r="H25156" s="711"/>
      <c r="I25156" s="711"/>
      <c r="J25156" s="711"/>
      <c r="K25156" s="711"/>
      <c r="L25156" s="711"/>
      <c r="Q25156" s="11"/>
      <c r="R25156" s="11"/>
      <c r="S25156" s="11"/>
      <c r="T25156" s="11"/>
    </row>
    <row r="25157" spans="8:20" x14ac:dyDescent="0.35">
      <c r="H25157" s="711"/>
      <c r="I25157" s="711"/>
      <c r="J25157" s="711"/>
      <c r="K25157" s="711"/>
      <c r="L25157" s="711"/>
      <c r="Q25157" s="11"/>
      <c r="R25157" s="11"/>
      <c r="S25157" s="11"/>
      <c r="T25157" s="11"/>
    </row>
    <row r="25158" spans="8:20" x14ac:dyDescent="0.35">
      <c r="H25158" s="711"/>
      <c r="I25158" s="711"/>
      <c r="J25158" s="711"/>
      <c r="K25158" s="711"/>
      <c r="L25158" s="711"/>
      <c r="Q25158" s="11"/>
      <c r="R25158" s="11"/>
      <c r="S25158" s="11"/>
      <c r="T25158" s="11"/>
    </row>
    <row r="25159" spans="8:20" x14ac:dyDescent="0.35">
      <c r="H25159" s="711"/>
      <c r="I25159" s="711"/>
      <c r="J25159" s="711"/>
      <c r="K25159" s="711"/>
      <c r="L25159" s="711"/>
      <c r="Q25159" s="11"/>
      <c r="R25159" s="11"/>
      <c r="S25159" s="11"/>
      <c r="T25159" s="11"/>
    </row>
    <row r="25160" spans="8:20" x14ac:dyDescent="0.35">
      <c r="H25160" s="711"/>
      <c r="I25160" s="711"/>
      <c r="J25160" s="711"/>
      <c r="K25160" s="711"/>
      <c r="L25160" s="711"/>
      <c r="Q25160" s="11"/>
      <c r="R25160" s="11"/>
      <c r="S25160" s="11"/>
      <c r="T25160" s="11"/>
    </row>
    <row r="25161" spans="8:20" x14ac:dyDescent="0.35">
      <c r="H25161" s="711"/>
      <c r="I25161" s="711"/>
      <c r="J25161" s="711"/>
      <c r="K25161" s="711"/>
      <c r="L25161" s="711"/>
      <c r="Q25161" s="11"/>
      <c r="R25161" s="11"/>
      <c r="S25161" s="11"/>
      <c r="T25161" s="11"/>
    </row>
    <row r="25162" spans="8:20" x14ac:dyDescent="0.35">
      <c r="H25162" s="711"/>
      <c r="I25162" s="711"/>
      <c r="J25162" s="711"/>
      <c r="K25162" s="711"/>
      <c r="L25162" s="711"/>
      <c r="Q25162" s="11"/>
      <c r="R25162" s="11"/>
      <c r="S25162" s="11"/>
      <c r="T25162" s="11"/>
    </row>
    <row r="25163" spans="8:20" x14ac:dyDescent="0.35">
      <c r="H25163" s="711"/>
      <c r="I25163" s="711"/>
      <c r="J25163" s="711"/>
      <c r="K25163" s="711"/>
      <c r="L25163" s="711"/>
      <c r="Q25163" s="11"/>
      <c r="R25163" s="11"/>
      <c r="S25163" s="11"/>
      <c r="T25163" s="11"/>
    </row>
    <row r="25164" spans="8:20" x14ac:dyDescent="0.35">
      <c r="H25164" s="711"/>
      <c r="I25164" s="711"/>
      <c r="J25164" s="711"/>
      <c r="K25164" s="711"/>
      <c r="L25164" s="711"/>
      <c r="Q25164" s="11"/>
      <c r="R25164" s="11"/>
      <c r="S25164" s="11"/>
      <c r="T25164" s="11"/>
    </row>
    <row r="25165" spans="8:20" x14ac:dyDescent="0.35">
      <c r="H25165" s="711"/>
      <c r="I25165" s="711"/>
      <c r="J25165" s="711"/>
      <c r="K25165" s="711"/>
      <c r="L25165" s="711"/>
      <c r="Q25165" s="11"/>
      <c r="R25165" s="11"/>
      <c r="S25165" s="11"/>
      <c r="T25165" s="11"/>
    </row>
    <row r="25166" spans="8:20" x14ac:dyDescent="0.35">
      <c r="H25166" s="711"/>
      <c r="I25166" s="711"/>
      <c r="J25166" s="711"/>
      <c r="K25166" s="711"/>
      <c r="L25166" s="711"/>
      <c r="Q25166" s="11"/>
      <c r="R25166" s="11"/>
      <c r="S25166" s="11"/>
      <c r="T25166" s="11"/>
    </row>
    <row r="25167" spans="8:20" x14ac:dyDescent="0.35">
      <c r="H25167" s="711"/>
      <c r="I25167" s="711"/>
      <c r="J25167" s="711"/>
      <c r="K25167" s="711"/>
      <c r="L25167" s="711"/>
      <c r="Q25167" s="11"/>
      <c r="R25167" s="11"/>
      <c r="S25167" s="11"/>
      <c r="T25167" s="11"/>
    </row>
    <row r="25168" spans="8:20" x14ac:dyDescent="0.35">
      <c r="H25168" s="711"/>
      <c r="I25168" s="711"/>
      <c r="J25168" s="711"/>
      <c r="K25168" s="711"/>
      <c r="L25168" s="711"/>
      <c r="Q25168" s="11"/>
      <c r="R25168" s="11"/>
      <c r="S25168" s="11"/>
      <c r="T25168" s="11"/>
    </row>
    <row r="25169" spans="8:20" x14ac:dyDescent="0.35">
      <c r="H25169" s="711"/>
      <c r="I25169" s="711"/>
      <c r="J25169" s="711"/>
      <c r="K25169" s="711"/>
      <c r="L25169" s="711"/>
      <c r="Q25169" s="11"/>
      <c r="R25169" s="11"/>
      <c r="S25169" s="11"/>
      <c r="T25169" s="11"/>
    </row>
    <row r="25170" spans="8:20" x14ac:dyDescent="0.35">
      <c r="H25170" s="711"/>
      <c r="I25170" s="711"/>
      <c r="J25170" s="711"/>
      <c r="K25170" s="711"/>
      <c r="L25170" s="711"/>
      <c r="Q25170" s="11"/>
      <c r="R25170" s="11"/>
      <c r="S25170" s="11"/>
      <c r="T25170" s="11"/>
    </row>
    <row r="25171" spans="8:20" x14ac:dyDescent="0.35">
      <c r="H25171" s="711"/>
      <c r="I25171" s="711"/>
      <c r="J25171" s="711"/>
      <c r="K25171" s="711"/>
      <c r="L25171" s="711"/>
      <c r="Q25171" s="11"/>
      <c r="R25171" s="11"/>
      <c r="S25171" s="11"/>
      <c r="T25171" s="11"/>
    </row>
    <row r="25172" spans="8:20" x14ac:dyDescent="0.35">
      <c r="H25172" s="711"/>
      <c r="I25172" s="711"/>
      <c r="J25172" s="711"/>
      <c r="K25172" s="711"/>
      <c r="L25172" s="711"/>
      <c r="Q25172" s="11"/>
      <c r="R25172" s="11"/>
      <c r="S25172" s="11"/>
      <c r="T25172" s="11"/>
    </row>
    <row r="25173" spans="8:20" x14ac:dyDescent="0.35">
      <c r="H25173" s="711"/>
      <c r="I25173" s="711"/>
      <c r="J25173" s="711"/>
      <c r="K25173" s="711"/>
      <c r="L25173" s="711"/>
      <c r="Q25173" s="11"/>
      <c r="R25173" s="11"/>
      <c r="S25173" s="11"/>
      <c r="T25173" s="11"/>
    </row>
    <row r="25174" spans="8:20" x14ac:dyDescent="0.35">
      <c r="H25174" s="711"/>
      <c r="I25174" s="711"/>
      <c r="J25174" s="711"/>
      <c r="K25174" s="711"/>
      <c r="L25174" s="711"/>
      <c r="Q25174" s="11"/>
      <c r="R25174" s="11"/>
      <c r="S25174" s="11"/>
      <c r="T25174" s="11"/>
    </row>
    <row r="25175" spans="8:20" x14ac:dyDescent="0.35">
      <c r="H25175" s="711"/>
      <c r="I25175" s="711"/>
      <c r="J25175" s="711"/>
      <c r="K25175" s="711"/>
      <c r="L25175" s="711"/>
      <c r="Q25175" s="11"/>
      <c r="R25175" s="11"/>
      <c r="S25175" s="11"/>
      <c r="T25175" s="11"/>
    </row>
    <row r="25176" spans="8:20" x14ac:dyDescent="0.35">
      <c r="H25176" s="711"/>
      <c r="I25176" s="711"/>
      <c r="J25176" s="711"/>
      <c r="K25176" s="711"/>
      <c r="L25176" s="711"/>
      <c r="Q25176" s="11"/>
      <c r="R25176" s="11"/>
      <c r="S25176" s="11"/>
      <c r="T25176" s="11"/>
    </row>
    <row r="25177" spans="8:20" x14ac:dyDescent="0.35">
      <c r="H25177" s="711"/>
      <c r="I25177" s="711"/>
      <c r="J25177" s="711"/>
      <c r="K25177" s="711"/>
      <c r="L25177" s="711"/>
      <c r="Q25177" s="11"/>
      <c r="R25177" s="11"/>
      <c r="S25177" s="11"/>
      <c r="T25177" s="11"/>
    </row>
    <row r="25178" spans="8:20" x14ac:dyDescent="0.35">
      <c r="H25178" s="711"/>
      <c r="I25178" s="711"/>
      <c r="J25178" s="711"/>
      <c r="K25178" s="711"/>
      <c r="L25178" s="711"/>
      <c r="Q25178" s="11"/>
      <c r="R25178" s="11"/>
      <c r="S25178" s="11"/>
      <c r="T25178" s="11"/>
    </row>
    <row r="25179" spans="8:20" x14ac:dyDescent="0.35">
      <c r="H25179" s="711"/>
      <c r="I25179" s="711"/>
      <c r="J25179" s="711"/>
      <c r="K25179" s="711"/>
      <c r="L25179" s="711"/>
      <c r="Q25179" s="11"/>
      <c r="R25179" s="11"/>
      <c r="S25179" s="11"/>
      <c r="T25179" s="11"/>
    </row>
    <row r="25180" spans="8:20" x14ac:dyDescent="0.35">
      <c r="H25180" s="711"/>
      <c r="I25180" s="711"/>
      <c r="J25180" s="711"/>
      <c r="K25180" s="711"/>
      <c r="L25180" s="711"/>
      <c r="Q25180" s="11"/>
      <c r="R25180" s="11"/>
      <c r="S25180" s="11"/>
      <c r="T25180" s="11"/>
    </row>
    <row r="25181" spans="8:20" x14ac:dyDescent="0.35">
      <c r="H25181" s="711"/>
      <c r="I25181" s="711"/>
      <c r="J25181" s="711"/>
      <c r="K25181" s="711"/>
      <c r="L25181" s="711"/>
      <c r="Q25181" s="11"/>
      <c r="R25181" s="11"/>
      <c r="S25181" s="11"/>
      <c r="T25181" s="11"/>
    </row>
    <row r="25182" spans="8:20" x14ac:dyDescent="0.35">
      <c r="H25182" s="711"/>
      <c r="I25182" s="711"/>
      <c r="J25182" s="711"/>
      <c r="K25182" s="711"/>
      <c r="L25182" s="711"/>
      <c r="Q25182" s="11"/>
      <c r="R25182" s="11"/>
      <c r="S25182" s="11"/>
      <c r="T25182" s="11"/>
    </row>
    <row r="25183" spans="8:20" x14ac:dyDescent="0.35">
      <c r="H25183" s="711"/>
      <c r="I25183" s="711"/>
      <c r="J25183" s="711"/>
      <c r="K25183" s="711"/>
      <c r="L25183" s="711"/>
      <c r="Q25183" s="11"/>
      <c r="R25183" s="11"/>
      <c r="S25183" s="11"/>
      <c r="T25183" s="11"/>
    </row>
    <row r="25184" spans="8:20" x14ac:dyDescent="0.35">
      <c r="H25184" s="711"/>
      <c r="I25184" s="711"/>
      <c r="J25184" s="711"/>
      <c r="K25184" s="711"/>
      <c r="L25184" s="711"/>
      <c r="Q25184" s="11"/>
      <c r="R25184" s="11"/>
      <c r="S25184" s="11"/>
      <c r="T25184" s="11"/>
    </row>
    <row r="25185" spans="8:20" x14ac:dyDescent="0.35">
      <c r="H25185" s="711"/>
      <c r="I25185" s="711"/>
      <c r="J25185" s="711"/>
      <c r="K25185" s="711"/>
      <c r="L25185" s="711"/>
      <c r="Q25185" s="11"/>
      <c r="R25185" s="11"/>
      <c r="S25185" s="11"/>
      <c r="T25185" s="11"/>
    </row>
    <row r="25186" spans="8:20" x14ac:dyDescent="0.35">
      <c r="H25186" s="711"/>
      <c r="I25186" s="711"/>
      <c r="J25186" s="711"/>
      <c r="K25186" s="711"/>
      <c r="L25186" s="711"/>
      <c r="Q25186" s="11"/>
      <c r="R25186" s="11"/>
      <c r="S25186" s="11"/>
      <c r="T25186" s="11"/>
    </row>
    <row r="25187" spans="8:20" x14ac:dyDescent="0.35">
      <c r="H25187" s="711"/>
      <c r="I25187" s="711"/>
      <c r="J25187" s="711"/>
      <c r="K25187" s="711"/>
      <c r="L25187" s="711"/>
      <c r="Q25187" s="11"/>
      <c r="R25187" s="11"/>
      <c r="S25187" s="11"/>
      <c r="T25187" s="11"/>
    </row>
    <row r="25188" spans="8:20" x14ac:dyDescent="0.35">
      <c r="H25188" s="711"/>
      <c r="I25188" s="711"/>
      <c r="J25188" s="711"/>
      <c r="K25188" s="711"/>
      <c r="L25188" s="711"/>
      <c r="Q25188" s="11"/>
      <c r="R25188" s="11"/>
      <c r="S25188" s="11"/>
      <c r="T25188" s="11"/>
    </row>
    <row r="25189" spans="8:20" x14ac:dyDescent="0.35">
      <c r="H25189" s="711"/>
      <c r="I25189" s="711"/>
      <c r="J25189" s="711"/>
      <c r="K25189" s="711"/>
      <c r="L25189" s="711"/>
      <c r="Q25189" s="11"/>
      <c r="R25189" s="11"/>
      <c r="S25189" s="11"/>
      <c r="T25189" s="11"/>
    </row>
    <row r="25190" spans="8:20" x14ac:dyDescent="0.35">
      <c r="H25190" s="711"/>
      <c r="I25190" s="711"/>
      <c r="J25190" s="711"/>
      <c r="K25190" s="711"/>
      <c r="L25190" s="711"/>
      <c r="Q25190" s="11"/>
      <c r="R25190" s="11"/>
      <c r="S25190" s="11"/>
      <c r="T25190" s="11"/>
    </row>
    <row r="25191" spans="8:20" x14ac:dyDescent="0.35">
      <c r="H25191" s="711"/>
      <c r="I25191" s="711"/>
      <c r="J25191" s="711"/>
      <c r="K25191" s="711"/>
      <c r="L25191" s="711"/>
      <c r="Q25191" s="11"/>
      <c r="R25191" s="11"/>
      <c r="S25191" s="11"/>
      <c r="T25191" s="11"/>
    </row>
    <row r="25192" spans="8:20" x14ac:dyDescent="0.35">
      <c r="H25192" s="711"/>
      <c r="I25192" s="711"/>
      <c r="J25192" s="711"/>
      <c r="K25192" s="711"/>
      <c r="L25192" s="711"/>
      <c r="Q25192" s="11"/>
      <c r="R25192" s="11"/>
      <c r="S25192" s="11"/>
      <c r="T25192" s="11"/>
    </row>
    <row r="25193" spans="8:20" x14ac:dyDescent="0.35">
      <c r="H25193" s="711"/>
      <c r="I25193" s="711"/>
      <c r="J25193" s="711"/>
      <c r="K25193" s="711"/>
      <c r="L25193" s="711"/>
      <c r="Q25193" s="11"/>
      <c r="R25193" s="11"/>
      <c r="S25193" s="11"/>
      <c r="T25193" s="11"/>
    </row>
    <row r="25194" spans="8:20" x14ac:dyDescent="0.35">
      <c r="H25194" s="711"/>
      <c r="I25194" s="711"/>
      <c r="J25194" s="711"/>
      <c r="K25194" s="711"/>
      <c r="L25194" s="711"/>
      <c r="Q25194" s="11"/>
      <c r="R25194" s="11"/>
      <c r="S25194" s="11"/>
      <c r="T25194" s="11"/>
    </row>
    <row r="25195" spans="8:20" x14ac:dyDescent="0.35">
      <c r="H25195" s="711"/>
      <c r="I25195" s="711"/>
      <c r="J25195" s="711"/>
      <c r="K25195" s="711"/>
      <c r="L25195" s="711"/>
      <c r="Q25195" s="11"/>
      <c r="R25195" s="11"/>
      <c r="S25195" s="11"/>
      <c r="T25195" s="11"/>
    </row>
    <row r="25196" spans="8:20" x14ac:dyDescent="0.35">
      <c r="H25196" s="711"/>
      <c r="I25196" s="711"/>
      <c r="J25196" s="711"/>
      <c r="K25196" s="711"/>
      <c r="L25196" s="711"/>
      <c r="Q25196" s="11"/>
      <c r="R25196" s="11"/>
      <c r="S25196" s="11"/>
      <c r="T25196" s="11"/>
    </row>
    <row r="25197" spans="8:20" x14ac:dyDescent="0.35">
      <c r="H25197" s="711"/>
      <c r="I25197" s="711"/>
      <c r="J25197" s="711"/>
      <c r="K25197" s="711"/>
      <c r="L25197" s="711"/>
      <c r="Q25197" s="11"/>
      <c r="R25197" s="11"/>
      <c r="S25197" s="11"/>
      <c r="T25197" s="11"/>
    </row>
    <row r="25198" spans="8:20" x14ac:dyDescent="0.35">
      <c r="H25198" s="711"/>
      <c r="I25198" s="711"/>
      <c r="J25198" s="711"/>
      <c r="K25198" s="711"/>
      <c r="L25198" s="711"/>
      <c r="Q25198" s="11"/>
      <c r="R25198" s="11"/>
      <c r="S25198" s="11"/>
      <c r="T25198" s="11"/>
    </row>
    <row r="25199" spans="8:20" x14ac:dyDescent="0.35">
      <c r="H25199" s="711"/>
      <c r="I25199" s="711"/>
      <c r="J25199" s="711"/>
      <c r="K25199" s="711"/>
      <c r="L25199" s="711"/>
      <c r="Q25199" s="11"/>
      <c r="R25199" s="11"/>
      <c r="S25199" s="11"/>
      <c r="T25199" s="11"/>
    </row>
    <row r="25200" spans="8:20" x14ac:dyDescent="0.35">
      <c r="H25200" s="711"/>
      <c r="I25200" s="711"/>
      <c r="J25200" s="711"/>
      <c r="K25200" s="711"/>
      <c r="L25200" s="711"/>
      <c r="Q25200" s="11"/>
      <c r="R25200" s="11"/>
      <c r="S25200" s="11"/>
      <c r="T25200" s="11"/>
    </row>
    <row r="25201" spans="8:20" x14ac:dyDescent="0.35">
      <c r="H25201" s="711"/>
      <c r="I25201" s="711"/>
      <c r="J25201" s="711"/>
      <c r="K25201" s="711"/>
      <c r="L25201" s="711"/>
      <c r="Q25201" s="11"/>
      <c r="R25201" s="11"/>
      <c r="S25201" s="11"/>
      <c r="T25201" s="11"/>
    </row>
    <row r="25202" spans="8:20" x14ac:dyDescent="0.35">
      <c r="H25202" s="711"/>
      <c r="I25202" s="711"/>
      <c r="J25202" s="711"/>
      <c r="K25202" s="711"/>
      <c r="L25202" s="711"/>
      <c r="Q25202" s="11"/>
      <c r="R25202" s="11"/>
      <c r="S25202" s="11"/>
      <c r="T25202" s="11"/>
    </row>
    <row r="25203" spans="8:20" x14ac:dyDescent="0.35">
      <c r="H25203" s="711"/>
      <c r="I25203" s="711"/>
      <c r="J25203" s="711"/>
      <c r="K25203" s="711"/>
      <c r="L25203" s="711"/>
      <c r="Q25203" s="11"/>
      <c r="R25203" s="11"/>
      <c r="S25203" s="11"/>
      <c r="T25203" s="11"/>
    </row>
    <row r="25204" spans="8:20" x14ac:dyDescent="0.35">
      <c r="H25204" s="711"/>
      <c r="I25204" s="711"/>
      <c r="J25204" s="711"/>
      <c r="K25204" s="711"/>
      <c r="L25204" s="711"/>
      <c r="Q25204" s="11"/>
      <c r="R25204" s="11"/>
      <c r="S25204" s="11"/>
      <c r="T25204" s="11"/>
    </row>
    <row r="25205" spans="8:20" x14ac:dyDescent="0.35">
      <c r="H25205" s="711"/>
      <c r="I25205" s="711"/>
      <c r="J25205" s="711"/>
      <c r="K25205" s="711"/>
      <c r="L25205" s="711"/>
      <c r="Q25205" s="11"/>
      <c r="R25205" s="11"/>
      <c r="S25205" s="11"/>
      <c r="T25205" s="11"/>
    </row>
    <row r="25206" spans="8:20" x14ac:dyDescent="0.35">
      <c r="H25206" s="711"/>
      <c r="I25206" s="711"/>
      <c r="J25206" s="711"/>
      <c r="K25206" s="711"/>
      <c r="L25206" s="711"/>
      <c r="Q25206" s="11"/>
      <c r="R25206" s="11"/>
      <c r="S25206" s="11"/>
      <c r="T25206" s="11"/>
    </row>
    <row r="25207" spans="8:20" x14ac:dyDescent="0.35">
      <c r="H25207" s="711"/>
      <c r="I25207" s="711"/>
      <c r="J25207" s="711"/>
      <c r="K25207" s="711"/>
      <c r="L25207" s="711"/>
      <c r="Q25207" s="11"/>
      <c r="R25207" s="11"/>
      <c r="S25207" s="11"/>
      <c r="T25207" s="11"/>
    </row>
    <row r="25208" spans="8:20" x14ac:dyDescent="0.35">
      <c r="H25208" s="711"/>
      <c r="I25208" s="711"/>
      <c r="J25208" s="711"/>
      <c r="K25208" s="711"/>
      <c r="L25208" s="711"/>
      <c r="Q25208" s="11"/>
      <c r="R25208" s="11"/>
      <c r="S25208" s="11"/>
      <c r="T25208" s="11"/>
    </row>
    <row r="25209" spans="8:20" x14ac:dyDescent="0.35">
      <c r="H25209" s="711"/>
      <c r="I25209" s="711"/>
      <c r="J25209" s="711"/>
      <c r="K25209" s="711"/>
      <c r="L25209" s="711"/>
      <c r="Q25209" s="11"/>
      <c r="R25209" s="11"/>
      <c r="S25209" s="11"/>
      <c r="T25209" s="11"/>
    </row>
    <row r="25210" spans="8:20" x14ac:dyDescent="0.35">
      <c r="H25210" s="711"/>
      <c r="I25210" s="711"/>
      <c r="J25210" s="711"/>
      <c r="K25210" s="711"/>
      <c r="L25210" s="711"/>
      <c r="Q25210" s="11"/>
      <c r="R25210" s="11"/>
      <c r="S25210" s="11"/>
      <c r="T25210" s="11"/>
    </row>
    <row r="25211" spans="8:20" x14ac:dyDescent="0.35">
      <c r="H25211" s="711"/>
      <c r="I25211" s="711"/>
      <c r="J25211" s="711"/>
      <c r="K25211" s="711"/>
      <c r="L25211" s="711"/>
      <c r="Q25211" s="11"/>
      <c r="R25211" s="11"/>
      <c r="S25211" s="11"/>
      <c r="T25211" s="11"/>
    </row>
    <row r="25212" spans="8:20" x14ac:dyDescent="0.35">
      <c r="H25212" s="711"/>
      <c r="I25212" s="711"/>
      <c r="J25212" s="711"/>
      <c r="K25212" s="711"/>
      <c r="L25212" s="711"/>
      <c r="Q25212" s="11"/>
      <c r="R25212" s="11"/>
      <c r="S25212" s="11"/>
      <c r="T25212" s="11"/>
    </row>
    <row r="25213" spans="8:20" x14ac:dyDescent="0.35">
      <c r="H25213" s="711"/>
      <c r="I25213" s="711"/>
      <c r="J25213" s="711"/>
      <c r="K25213" s="711"/>
      <c r="L25213" s="711"/>
      <c r="Q25213" s="11"/>
      <c r="R25213" s="11"/>
      <c r="S25213" s="11"/>
      <c r="T25213" s="11"/>
    </row>
    <row r="25214" spans="8:20" x14ac:dyDescent="0.35">
      <c r="H25214" s="711"/>
      <c r="I25214" s="711"/>
      <c r="J25214" s="711"/>
      <c r="K25214" s="711"/>
      <c r="L25214" s="711"/>
      <c r="Q25214" s="11"/>
      <c r="R25214" s="11"/>
      <c r="S25214" s="11"/>
      <c r="T25214" s="11"/>
    </row>
    <row r="25215" spans="8:20" x14ac:dyDescent="0.35">
      <c r="H25215" s="711"/>
      <c r="I25215" s="711"/>
      <c r="J25215" s="711"/>
      <c r="K25215" s="711"/>
      <c r="L25215" s="711"/>
      <c r="Q25215" s="11"/>
      <c r="R25215" s="11"/>
      <c r="S25215" s="11"/>
      <c r="T25215" s="11"/>
    </row>
    <row r="25216" spans="8:20" x14ac:dyDescent="0.35">
      <c r="H25216" s="711"/>
      <c r="I25216" s="711"/>
      <c r="J25216" s="711"/>
      <c r="K25216" s="711"/>
      <c r="L25216" s="711"/>
      <c r="Q25216" s="11"/>
      <c r="R25216" s="11"/>
      <c r="S25216" s="11"/>
      <c r="T25216" s="11"/>
    </row>
    <row r="25217" spans="8:20" x14ac:dyDescent="0.35">
      <c r="H25217" s="711"/>
      <c r="I25217" s="711"/>
      <c r="J25217" s="711"/>
      <c r="K25217" s="711"/>
      <c r="L25217" s="711"/>
      <c r="Q25217" s="11"/>
      <c r="R25217" s="11"/>
      <c r="S25217" s="11"/>
      <c r="T25217" s="11"/>
    </row>
    <row r="25218" spans="8:20" x14ac:dyDescent="0.35">
      <c r="H25218" s="711"/>
      <c r="I25218" s="711"/>
      <c r="J25218" s="711"/>
      <c r="K25218" s="711"/>
      <c r="L25218" s="711"/>
      <c r="Q25218" s="11"/>
      <c r="R25218" s="11"/>
      <c r="S25218" s="11"/>
      <c r="T25218" s="11"/>
    </row>
    <row r="25219" spans="8:20" x14ac:dyDescent="0.35">
      <c r="H25219" s="711"/>
      <c r="I25219" s="711"/>
      <c r="J25219" s="711"/>
      <c r="K25219" s="711"/>
      <c r="L25219" s="711"/>
      <c r="Q25219" s="11"/>
      <c r="R25219" s="11"/>
      <c r="S25219" s="11"/>
      <c r="T25219" s="11"/>
    </row>
    <row r="25220" spans="8:20" x14ac:dyDescent="0.35">
      <c r="H25220" s="711"/>
      <c r="I25220" s="711"/>
      <c r="J25220" s="711"/>
      <c r="K25220" s="711"/>
      <c r="L25220" s="711"/>
      <c r="Q25220" s="11"/>
      <c r="R25220" s="11"/>
      <c r="S25220" s="11"/>
      <c r="T25220" s="11"/>
    </row>
    <row r="25221" spans="8:20" x14ac:dyDescent="0.35">
      <c r="H25221" s="711"/>
      <c r="I25221" s="711"/>
      <c r="J25221" s="711"/>
      <c r="K25221" s="711"/>
      <c r="L25221" s="711"/>
      <c r="Q25221" s="11"/>
      <c r="R25221" s="11"/>
      <c r="S25221" s="11"/>
      <c r="T25221" s="11"/>
    </row>
    <row r="25222" spans="8:20" x14ac:dyDescent="0.35">
      <c r="H25222" s="711"/>
      <c r="I25222" s="711"/>
      <c r="J25222" s="711"/>
      <c r="K25222" s="711"/>
      <c r="L25222" s="711"/>
      <c r="Q25222" s="11"/>
      <c r="R25222" s="11"/>
      <c r="S25222" s="11"/>
      <c r="T25222" s="11"/>
    </row>
    <row r="25223" spans="8:20" x14ac:dyDescent="0.35">
      <c r="H25223" s="711"/>
      <c r="I25223" s="711"/>
      <c r="J25223" s="711"/>
      <c r="K25223" s="711"/>
      <c r="L25223" s="711"/>
      <c r="Q25223" s="11"/>
      <c r="R25223" s="11"/>
      <c r="S25223" s="11"/>
      <c r="T25223" s="11"/>
    </row>
    <row r="25224" spans="8:20" x14ac:dyDescent="0.35">
      <c r="H25224" s="711"/>
      <c r="I25224" s="711"/>
      <c r="J25224" s="711"/>
      <c r="K25224" s="711"/>
      <c r="L25224" s="711"/>
      <c r="Q25224" s="11"/>
      <c r="R25224" s="11"/>
      <c r="S25224" s="11"/>
      <c r="T25224" s="11"/>
    </row>
    <row r="25225" spans="8:20" x14ac:dyDescent="0.35">
      <c r="H25225" s="711"/>
      <c r="I25225" s="711"/>
      <c r="J25225" s="711"/>
      <c r="K25225" s="711"/>
      <c r="L25225" s="711"/>
      <c r="Q25225" s="11"/>
      <c r="R25225" s="11"/>
      <c r="S25225" s="11"/>
      <c r="T25225" s="11"/>
    </row>
    <row r="25226" spans="8:20" x14ac:dyDescent="0.35">
      <c r="H25226" s="711"/>
      <c r="I25226" s="711"/>
      <c r="J25226" s="711"/>
      <c r="K25226" s="711"/>
      <c r="L25226" s="711"/>
      <c r="Q25226" s="11"/>
      <c r="R25226" s="11"/>
      <c r="S25226" s="11"/>
      <c r="T25226" s="11"/>
    </row>
    <row r="25227" spans="8:20" x14ac:dyDescent="0.35">
      <c r="H25227" s="711"/>
      <c r="I25227" s="711"/>
      <c r="J25227" s="711"/>
      <c r="K25227" s="711"/>
      <c r="L25227" s="711"/>
      <c r="Q25227" s="11"/>
      <c r="R25227" s="11"/>
      <c r="S25227" s="11"/>
      <c r="T25227" s="11"/>
    </row>
    <row r="25228" spans="8:20" x14ac:dyDescent="0.35">
      <c r="H25228" s="711"/>
      <c r="I25228" s="711"/>
      <c r="J25228" s="711"/>
      <c r="K25228" s="711"/>
      <c r="L25228" s="711"/>
      <c r="Q25228" s="11"/>
      <c r="R25228" s="11"/>
      <c r="S25228" s="11"/>
      <c r="T25228" s="11"/>
    </row>
    <row r="25229" spans="8:20" x14ac:dyDescent="0.35">
      <c r="H25229" s="711"/>
      <c r="I25229" s="711"/>
      <c r="J25229" s="711"/>
      <c r="K25229" s="711"/>
      <c r="L25229" s="711"/>
      <c r="Q25229" s="11"/>
      <c r="R25229" s="11"/>
      <c r="S25229" s="11"/>
      <c r="T25229" s="11"/>
    </row>
    <row r="25230" spans="8:20" x14ac:dyDescent="0.35">
      <c r="H25230" s="711"/>
      <c r="I25230" s="711"/>
      <c r="J25230" s="711"/>
      <c r="K25230" s="711"/>
      <c r="L25230" s="711"/>
      <c r="Q25230" s="11"/>
      <c r="R25230" s="11"/>
      <c r="S25230" s="11"/>
      <c r="T25230" s="11"/>
    </row>
    <row r="25231" spans="8:20" x14ac:dyDescent="0.35">
      <c r="H25231" s="711"/>
      <c r="I25231" s="711"/>
      <c r="J25231" s="711"/>
      <c r="K25231" s="711"/>
      <c r="L25231" s="711"/>
      <c r="Q25231" s="11"/>
      <c r="R25231" s="11"/>
      <c r="S25231" s="11"/>
      <c r="T25231" s="11"/>
    </row>
    <row r="25232" spans="8:20" x14ac:dyDescent="0.35">
      <c r="H25232" s="711"/>
      <c r="I25232" s="711"/>
      <c r="J25232" s="711"/>
      <c r="K25232" s="711"/>
      <c r="L25232" s="711"/>
      <c r="Q25232" s="11"/>
      <c r="R25232" s="11"/>
      <c r="S25232" s="11"/>
      <c r="T25232" s="11"/>
    </row>
    <row r="25233" spans="8:20" x14ac:dyDescent="0.35">
      <c r="H25233" s="711"/>
      <c r="I25233" s="711"/>
      <c r="J25233" s="711"/>
      <c r="K25233" s="711"/>
      <c r="L25233" s="711"/>
      <c r="Q25233" s="11"/>
      <c r="R25233" s="11"/>
      <c r="S25233" s="11"/>
      <c r="T25233" s="11"/>
    </row>
    <row r="25234" spans="8:20" x14ac:dyDescent="0.35">
      <c r="H25234" s="711"/>
      <c r="I25234" s="711"/>
      <c r="J25234" s="711"/>
      <c r="K25234" s="711"/>
      <c r="L25234" s="711"/>
      <c r="Q25234" s="11"/>
      <c r="R25234" s="11"/>
      <c r="S25234" s="11"/>
      <c r="T25234" s="11"/>
    </row>
    <row r="25235" spans="8:20" x14ac:dyDescent="0.35">
      <c r="H25235" s="711"/>
      <c r="I25235" s="711"/>
      <c r="J25235" s="711"/>
      <c r="K25235" s="711"/>
      <c r="L25235" s="711"/>
      <c r="Q25235" s="11"/>
      <c r="R25235" s="11"/>
      <c r="S25235" s="11"/>
      <c r="T25235" s="11"/>
    </row>
    <row r="25236" spans="8:20" x14ac:dyDescent="0.35">
      <c r="H25236" s="711"/>
      <c r="I25236" s="711"/>
      <c r="J25236" s="711"/>
      <c r="K25236" s="711"/>
      <c r="L25236" s="711"/>
      <c r="Q25236" s="11"/>
      <c r="R25236" s="11"/>
      <c r="S25236" s="11"/>
      <c r="T25236" s="11"/>
    </row>
    <row r="25237" spans="8:20" x14ac:dyDescent="0.35">
      <c r="H25237" s="711"/>
      <c r="I25237" s="711"/>
      <c r="J25237" s="711"/>
      <c r="K25237" s="711"/>
      <c r="L25237" s="711"/>
      <c r="Q25237" s="11"/>
      <c r="R25237" s="11"/>
      <c r="S25237" s="11"/>
      <c r="T25237" s="11"/>
    </row>
    <row r="25238" spans="8:20" x14ac:dyDescent="0.35">
      <c r="H25238" s="711"/>
      <c r="I25238" s="711"/>
      <c r="J25238" s="711"/>
      <c r="K25238" s="711"/>
      <c r="L25238" s="711"/>
      <c r="Q25238" s="11"/>
      <c r="R25238" s="11"/>
      <c r="S25238" s="11"/>
      <c r="T25238" s="11"/>
    </row>
    <row r="25239" spans="8:20" x14ac:dyDescent="0.35">
      <c r="H25239" s="711"/>
      <c r="I25239" s="711"/>
      <c r="J25239" s="711"/>
      <c r="K25239" s="711"/>
      <c r="L25239" s="711"/>
      <c r="Q25239" s="11"/>
      <c r="R25239" s="11"/>
      <c r="S25239" s="11"/>
      <c r="T25239" s="11"/>
    </row>
    <row r="25240" spans="8:20" x14ac:dyDescent="0.35">
      <c r="H25240" s="711"/>
      <c r="I25240" s="711"/>
      <c r="J25240" s="711"/>
      <c r="K25240" s="711"/>
      <c r="L25240" s="711"/>
      <c r="Q25240" s="11"/>
      <c r="R25240" s="11"/>
      <c r="S25240" s="11"/>
      <c r="T25240" s="11"/>
    </row>
    <row r="25241" spans="8:20" x14ac:dyDescent="0.35">
      <c r="H25241" s="711"/>
      <c r="I25241" s="711"/>
      <c r="J25241" s="711"/>
      <c r="K25241" s="711"/>
      <c r="L25241" s="711"/>
      <c r="Q25241" s="11"/>
      <c r="R25241" s="11"/>
      <c r="S25241" s="11"/>
      <c r="T25241" s="11"/>
    </row>
    <row r="25242" spans="8:20" x14ac:dyDescent="0.35">
      <c r="H25242" s="711"/>
      <c r="I25242" s="711"/>
      <c r="J25242" s="711"/>
      <c r="K25242" s="711"/>
      <c r="L25242" s="711"/>
      <c r="Q25242" s="11"/>
      <c r="R25242" s="11"/>
      <c r="S25242" s="11"/>
      <c r="T25242" s="11"/>
    </row>
    <row r="25243" spans="8:20" x14ac:dyDescent="0.35">
      <c r="H25243" s="711"/>
      <c r="I25243" s="711"/>
      <c r="J25243" s="711"/>
      <c r="K25243" s="711"/>
      <c r="L25243" s="711"/>
      <c r="Q25243" s="11"/>
      <c r="R25243" s="11"/>
      <c r="S25243" s="11"/>
      <c r="T25243" s="11"/>
    </row>
    <row r="25244" spans="8:20" x14ac:dyDescent="0.35">
      <c r="H25244" s="711"/>
      <c r="I25244" s="711"/>
      <c r="J25244" s="711"/>
      <c r="K25244" s="711"/>
      <c r="L25244" s="711"/>
      <c r="Q25244" s="11"/>
      <c r="R25244" s="11"/>
      <c r="S25244" s="11"/>
      <c r="T25244" s="11"/>
    </row>
    <row r="25245" spans="8:20" x14ac:dyDescent="0.35">
      <c r="H25245" s="711"/>
      <c r="I25245" s="711"/>
      <c r="J25245" s="711"/>
      <c r="K25245" s="711"/>
      <c r="L25245" s="711"/>
      <c r="Q25245" s="11"/>
      <c r="R25245" s="11"/>
      <c r="S25245" s="11"/>
      <c r="T25245" s="11"/>
    </row>
    <row r="25246" spans="8:20" x14ac:dyDescent="0.35">
      <c r="H25246" s="711"/>
      <c r="I25246" s="711"/>
      <c r="J25246" s="711"/>
      <c r="K25246" s="711"/>
      <c r="L25246" s="711"/>
      <c r="Q25246" s="11"/>
      <c r="R25246" s="11"/>
      <c r="S25246" s="11"/>
      <c r="T25246" s="11"/>
    </row>
    <row r="25247" spans="8:20" x14ac:dyDescent="0.35">
      <c r="H25247" s="711"/>
      <c r="I25247" s="711"/>
      <c r="J25247" s="711"/>
      <c r="K25247" s="711"/>
      <c r="L25247" s="711"/>
      <c r="Q25247" s="11"/>
      <c r="R25247" s="11"/>
      <c r="S25247" s="11"/>
      <c r="T25247" s="11"/>
    </row>
    <row r="25248" spans="8:20" x14ac:dyDescent="0.35">
      <c r="H25248" s="711"/>
      <c r="I25248" s="711"/>
      <c r="J25248" s="711"/>
      <c r="K25248" s="711"/>
      <c r="L25248" s="711"/>
      <c r="Q25248" s="11"/>
      <c r="R25248" s="11"/>
      <c r="S25248" s="11"/>
      <c r="T25248" s="11"/>
    </row>
    <row r="25249" spans="8:20" x14ac:dyDescent="0.35">
      <c r="H25249" s="711"/>
      <c r="I25249" s="711"/>
      <c r="J25249" s="711"/>
      <c r="K25249" s="711"/>
      <c r="L25249" s="711"/>
      <c r="Q25249" s="11"/>
      <c r="R25249" s="11"/>
      <c r="S25249" s="11"/>
      <c r="T25249" s="11"/>
    </row>
    <row r="25250" spans="8:20" x14ac:dyDescent="0.35">
      <c r="H25250" s="711"/>
      <c r="I25250" s="711"/>
      <c r="J25250" s="711"/>
      <c r="K25250" s="711"/>
      <c r="L25250" s="711"/>
      <c r="Q25250" s="11"/>
      <c r="R25250" s="11"/>
      <c r="S25250" s="11"/>
      <c r="T25250" s="11"/>
    </row>
    <row r="25251" spans="8:20" x14ac:dyDescent="0.35">
      <c r="H25251" s="711"/>
      <c r="I25251" s="711"/>
      <c r="J25251" s="711"/>
      <c r="K25251" s="711"/>
      <c r="L25251" s="711"/>
      <c r="Q25251" s="11"/>
      <c r="R25251" s="11"/>
      <c r="S25251" s="11"/>
      <c r="T25251" s="11"/>
    </row>
    <row r="25252" spans="8:20" x14ac:dyDescent="0.35">
      <c r="H25252" s="711"/>
      <c r="I25252" s="711"/>
      <c r="J25252" s="711"/>
      <c r="K25252" s="711"/>
      <c r="L25252" s="711"/>
      <c r="Q25252" s="11"/>
      <c r="R25252" s="11"/>
      <c r="S25252" s="11"/>
      <c r="T25252" s="11"/>
    </row>
    <row r="25253" spans="8:20" x14ac:dyDescent="0.35">
      <c r="H25253" s="711"/>
      <c r="I25253" s="711"/>
      <c r="J25253" s="711"/>
      <c r="K25253" s="711"/>
      <c r="L25253" s="711"/>
      <c r="Q25253" s="11"/>
      <c r="R25253" s="11"/>
      <c r="S25253" s="11"/>
      <c r="T25253" s="11"/>
    </row>
    <row r="25254" spans="8:20" x14ac:dyDescent="0.35">
      <c r="H25254" s="711"/>
      <c r="I25254" s="711"/>
      <c r="J25254" s="711"/>
      <c r="K25254" s="711"/>
      <c r="L25254" s="711"/>
      <c r="Q25254" s="11"/>
      <c r="R25254" s="11"/>
      <c r="S25254" s="11"/>
      <c r="T25254" s="11"/>
    </row>
    <row r="25255" spans="8:20" x14ac:dyDescent="0.35">
      <c r="H25255" s="711"/>
      <c r="I25255" s="711"/>
      <c r="J25255" s="711"/>
      <c r="K25255" s="711"/>
      <c r="L25255" s="711"/>
      <c r="Q25255" s="11"/>
      <c r="R25255" s="11"/>
      <c r="S25255" s="11"/>
      <c r="T25255" s="11"/>
    </row>
    <row r="25256" spans="8:20" x14ac:dyDescent="0.35">
      <c r="H25256" s="711"/>
      <c r="I25256" s="711"/>
      <c r="J25256" s="711"/>
      <c r="K25256" s="711"/>
      <c r="L25256" s="711"/>
      <c r="Q25256" s="11"/>
      <c r="R25256" s="11"/>
      <c r="S25256" s="11"/>
      <c r="T25256" s="11"/>
    </row>
    <row r="25257" spans="8:20" x14ac:dyDescent="0.35">
      <c r="H25257" s="711"/>
      <c r="I25257" s="711"/>
      <c r="J25257" s="711"/>
      <c r="K25257" s="711"/>
      <c r="L25257" s="711"/>
      <c r="Q25257" s="11"/>
      <c r="R25257" s="11"/>
      <c r="S25257" s="11"/>
      <c r="T25257" s="11"/>
    </row>
    <row r="25258" spans="8:20" x14ac:dyDescent="0.35">
      <c r="H25258" s="711"/>
      <c r="I25258" s="711"/>
      <c r="J25258" s="711"/>
      <c r="K25258" s="711"/>
      <c r="L25258" s="711"/>
      <c r="Q25258" s="11"/>
      <c r="R25258" s="11"/>
      <c r="S25258" s="11"/>
      <c r="T25258" s="11"/>
    </row>
    <row r="25259" spans="8:20" x14ac:dyDescent="0.35">
      <c r="H25259" s="711"/>
      <c r="I25259" s="711"/>
      <c r="J25259" s="711"/>
      <c r="K25259" s="711"/>
      <c r="L25259" s="711"/>
      <c r="Q25259" s="11"/>
      <c r="R25259" s="11"/>
      <c r="S25259" s="11"/>
      <c r="T25259" s="11"/>
    </row>
    <row r="25260" spans="8:20" x14ac:dyDescent="0.35">
      <c r="H25260" s="711"/>
      <c r="I25260" s="711"/>
      <c r="J25260" s="711"/>
      <c r="K25260" s="711"/>
      <c r="L25260" s="711"/>
      <c r="Q25260" s="11"/>
      <c r="R25260" s="11"/>
      <c r="S25260" s="11"/>
      <c r="T25260" s="11"/>
    </row>
    <row r="25261" spans="8:20" x14ac:dyDescent="0.35">
      <c r="H25261" s="711"/>
      <c r="I25261" s="711"/>
      <c r="J25261" s="711"/>
      <c r="K25261" s="711"/>
      <c r="L25261" s="711"/>
      <c r="Q25261" s="11"/>
      <c r="R25261" s="11"/>
      <c r="S25261" s="11"/>
      <c r="T25261" s="11"/>
    </row>
    <row r="25262" spans="8:20" x14ac:dyDescent="0.35">
      <c r="H25262" s="711"/>
      <c r="I25262" s="711"/>
      <c r="J25262" s="711"/>
      <c r="K25262" s="711"/>
      <c r="L25262" s="711"/>
      <c r="Q25262" s="11"/>
      <c r="R25262" s="11"/>
      <c r="S25262" s="11"/>
      <c r="T25262" s="11"/>
    </row>
    <row r="25263" spans="8:20" x14ac:dyDescent="0.35">
      <c r="H25263" s="711"/>
      <c r="I25263" s="711"/>
      <c r="J25263" s="711"/>
      <c r="K25263" s="711"/>
      <c r="L25263" s="711"/>
      <c r="Q25263" s="11"/>
      <c r="R25263" s="11"/>
      <c r="S25263" s="11"/>
      <c r="T25263" s="11"/>
    </row>
    <row r="25264" spans="8:20" x14ac:dyDescent="0.35">
      <c r="H25264" s="711"/>
      <c r="I25264" s="711"/>
      <c r="J25264" s="711"/>
      <c r="K25264" s="711"/>
      <c r="L25264" s="711"/>
      <c r="Q25264" s="11"/>
      <c r="R25264" s="11"/>
      <c r="S25264" s="11"/>
      <c r="T25264" s="11"/>
    </row>
    <row r="25265" spans="8:20" x14ac:dyDescent="0.35">
      <c r="H25265" s="711"/>
      <c r="I25265" s="711"/>
      <c r="J25265" s="711"/>
      <c r="K25265" s="711"/>
      <c r="L25265" s="711"/>
      <c r="Q25265" s="11"/>
      <c r="R25265" s="11"/>
      <c r="S25265" s="11"/>
      <c r="T25265" s="11"/>
    </row>
    <row r="25266" spans="8:20" x14ac:dyDescent="0.35">
      <c r="H25266" s="711"/>
      <c r="I25266" s="711"/>
      <c r="J25266" s="711"/>
      <c r="K25266" s="711"/>
      <c r="L25266" s="711"/>
      <c r="Q25266" s="11"/>
      <c r="R25266" s="11"/>
      <c r="S25266" s="11"/>
      <c r="T25266" s="11"/>
    </row>
    <row r="25267" spans="8:20" x14ac:dyDescent="0.35">
      <c r="H25267" s="711"/>
      <c r="I25267" s="711"/>
      <c r="J25267" s="711"/>
      <c r="K25267" s="711"/>
      <c r="L25267" s="711"/>
      <c r="Q25267" s="11"/>
      <c r="R25267" s="11"/>
      <c r="S25267" s="11"/>
      <c r="T25267" s="11"/>
    </row>
    <row r="25268" spans="8:20" x14ac:dyDescent="0.35">
      <c r="H25268" s="711"/>
      <c r="I25268" s="711"/>
      <c r="J25268" s="711"/>
      <c r="K25268" s="711"/>
      <c r="L25268" s="711"/>
      <c r="Q25268" s="11"/>
      <c r="R25268" s="11"/>
      <c r="S25268" s="11"/>
      <c r="T25268" s="11"/>
    </row>
    <row r="25269" spans="8:20" x14ac:dyDescent="0.35">
      <c r="H25269" s="711"/>
      <c r="I25269" s="711"/>
      <c r="J25269" s="711"/>
      <c r="K25269" s="711"/>
      <c r="L25269" s="711"/>
      <c r="Q25269" s="11"/>
      <c r="R25269" s="11"/>
      <c r="S25269" s="11"/>
      <c r="T25269" s="11"/>
    </row>
    <row r="25270" spans="8:20" x14ac:dyDescent="0.35">
      <c r="H25270" s="711"/>
      <c r="I25270" s="711"/>
      <c r="J25270" s="711"/>
      <c r="K25270" s="711"/>
      <c r="L25270" s="711"/>
      <c r="Q25270" s="11"/>
      <c r="R25270" s="11"/>
      <c r="S25270" s="11"/>
      <c r="T25270" s="11"/>
    </row>
    <row r="25271" spans="8:20" x14ac:dyDescent="0.35">
      <c r="H25271" s="711"/>
      <c r="I25271" s="711"/>
      <c r="J25271" s="711"/>
      <c r="K25271" s="711"/>
      <c r="L25271" s="711"/>
      <c r="Q25271" s="11"/>
      <c r="R25271" s="11"/>
      <c r="S25271" s="11"/>
      <c r="T25271" s="11"/>
    </row>
    <row r="25272" spans="8:20" x14ac:dyDescent="0.35">
      <c r="H25272" s="711"/>
      <c r="I25272" s="711"/>
      <c r="J25272" s="711"/>
      <c r="K25272" s="711"/>
      <c r="L25272" s="711"/>
      <c r="Q25272" s="11"/>
      <c r="R25272" s="11"/>
      <c r="S25272" s="11"/>
      <c r="T25272" s="11"/>
    </row>
    <row r="25273" spans="8:20" x14ac:dyDescent="0.35">
      <c r="H25273" s="711"/>
      <c r="I25273" s="711"/>
      <c r="J25273" s="711"/>
      <c r="K25273" s="711"/>
      <c r="L25273" s="711"/>
      <c r="Q25273" s="11"/>
      <c r="R25273" s="11"/>
      <c r="S25273" s="11"/>
      <c r="T25273" s="11"/>
    </row>
    <row r="25274" spans="8:20" x14ac:dyDescent="0.35">
      <c r="H25274" s="711"/>
      <c r="I25274" s="711"/>
      <c r="J25274" s="711"/>
      <c r="K25274" s="711"/>
      <c r="L25274" s="711"/>
      <c r="Q25274" s="11"/>
      <c r="R25274" s="11"/>
      <c r="S25274" s="11"/>
      <c r="T25274" s="11"/>
    </row>
    <row r="25275" spans="8:20" x14ac:dyDescent="0.35">
      <c r="H25275" s="711"/>
      <c r="I25275" s="711"/>
      <c r="J25275" s="711"/>
      <c r="K25275" s="711"/>
      <c r="L25275" s="711"/>
      <c r="Q25275" s="11"/>
      <c r="R25275" s="11"/>
      <c r="S25275" s="11"/>
      <c r="T25275" s="11"/>
    </row>
    <row r="25276" spans="8:20" x14ac:dyDescent="0.35">
      <c r="H25276" s="711"/>
      <c r="I25276" s="711"/>
      <c r="J25276" s="711"/>
      <c r="K25276" s="711"/>
      <c r="L25276" s="711"/>
      <c r="Q25276" s="11"/>
      <c r="R25276" s="11"/>
      <c r="S25276" s="11"/>
      <c r="T25276" s="11"/>
    </row>
    <row r="25277" spans="8:20" x14ac:dyDescent="0.35">
      <c r="H25277" s="711"/>
      <c r="I25277" s="711"/>
      <c r="J25277" s="711"/>
      <c r="K25277" s="711"/>
      <c r="L25277" s="711"/>
      <c r="Q25277" s="11"/>
      <c r="R25277" s="11"/>
      <c r="S25277" s="11"/>
      <c r="T25277" s="11"/>
    </row>
    <row r="25278" spans="8:20" x14ac:dyDescent="0.35">
      <c r="H25278" s="711"/>
      <c r="I25278" s="711"/>
      <c r="J25278" s="711"/>
      <c r="K25278" s="711"/>
      <c r="L25278" s="711"/>
      <c r="Q25278" s="11"/>
      <c r="R25278" s="11"/>
      <c r="S25278" s="11"/>
      <c r="T25278" s="11"/>
    </row>
    <row r="25279" spans="8:20" x14ac:dyDescent="0.35">
      <c r="H25279" s="711"/>
      <c r="I25279" s="711"/>
      <c r="J25279" s="711"/>
      <c r="K25279" s="711"/>
      <c r="L25279" s="711"/>
      <c r="Q25279" s="11"/>
      <c r="R25279" s="11"/>
      <c r="S25279" s="11"/>
      <c r="T25279" s="11"/>
    </row>
    <row r="25280" spans="8:20" x14ac:dyDescent="0.35">
      <c r="H25280" s="711"/>
      <c r="I25280" s="711"/>
      <c r="J25280" s="711"/>
      <c r="K25280" s="711"/>
      <c r="L25280" s="711"/>
      <c r="Q25280" s="11"/>
      <c r="R25280" s="11"/>
      <c r="S25280" s="11"/>
      <c r="T25280" s="11"/>
    </row>
    <row r="25281" spans="8:20" x14ac:dyDescent="0.35">
      <c r="H25281" s="711"/>
      <c r="I25281" s="711"/>
      <c r="J25281" s="711"/>
      <c r="K25281" s="711"/>
      <c r="L25281" s="711"/>
      <c r="Q25281" s="11"/>
      <c r="R25281" s="11"/>
      <c r="S25281" s="11"/>
      <c r="T25281" s="11"/>
    </row>
    <row r="25282" spans="8:20" x14ac:dyDescent="0.35">
      <c r="H25282" s="711"/>
      <c r="I25282" s="711"/>
      <c r="J25282" s="711"/>
      <c r="K25282" s="711"/>
      <c r="L25282" s="711"/>
      <c r="Q25282" s="11"/>
      <c r="R25282" s="11"/>
      <c r="S25282" s="11"/>
      <c r="T25282" s="11"/>
    </row>
    <row r="25283" spans="8:20" x14ac:dyDescent="0.35">
      <c r="H25283" s="711"/>
      <c r="I25283" s="711"/>
      <c r="J25283" s="711"/>
      <c r="K25283" s="711"/>
      <c r="L25283" s="711"/>
      <c r="Q25283" s="11"/>
      <c r="R25283" s="11"/>
      <c r="S25283" s="11"/>
      <c r="T25283" s="11"/>
    </row>
    <row r="25284" spans="8:20" x14ac:dyDescent="0.35">
      <c r="H25284" s="711"/>
      <c r="I25284" s="711"/>
      <c r="J25284" s="711"/>
      <c r="K25284" s="711"/>
      <c r="L25284" s="711"/>
      <c r="Q25284" s="11"/>
      <c r="R25284" s="11"/>
      <c r="S25284" s="11"/>
      <c r="T25284" s="11"/>
    </row>
    <row r="25285" spans="8:20" x14ac:dyDescent="0.35">
      <c r="H25285" s="711"/>
      <c r="I25285" s="711"/>
      <c r="J25285" s="711"/>
      <c r="K25285" s="711"/>
      <c r="L25285" s="711"/>
      <c r="Q25285" s="11"/>
      <c r="R25285" s="11"/>
      <c r="S25285" s="11"/>
      <c r="T25285" s="11"/>
    </row>
    <row r="25286" spans="8:20" x14ac:dyDescent="0.35">
      <c r="H25286" s="711"/>
      <c r="I25286" s="711"/>
      <c r="J25286" s="711"/>
      <c r="K25286" s="711"/>
      <c r="L25286" s="711"/>
      <c r="Q25286" s="11"/>
      <c r="R25286" s="11"/>
      <c r="S25286" s="11"/>
      <c r="T25286" s="11"/>
    </row>
    <row r="25287" spans="8:20" x14ac:dyDescent="0.35">
      <c r="H25287" s="711"/>
      <c r="I25287" s="711"/>
      <c r="J25287" s="711"/>
      <c r="K25287" s="711"/>
      <c r="L25287" s="711"/>
      <c r="Q25287" s="11"/>
      <c r="R25287" s="11"/>
      <c r="S25287" s="11"/>
      <c r="T25287" s="11"/>
    </row>
    <row r="25288" spans="8:20" x14ac:dyDescent="0.35">
      <c r="H25288" s="711"/>
      <c r="I25288" s="711"/>
      <c r="J25288" s="711"/>
      <c r="K25288" s="711"/>
      <c r="L25288" s="711"/>
      <c r="Q25288" s="11"/>
      <c r="R25288" s="11"/>
      <c r="S25288" s="11"/>
      <c r="T25288" s="11"/>
    </row>
    <row r="25289" spans="8:20" x14ac:dyDescent="0.35">
      <c r="H25289" s="711"/>
      <c r="I25289" s="711"/>
      <c r="J25289" s="711"/>
      <c r="K25289" s="711"/>
      <c r="L25289" s="711"/>
      <c r="Q25289" s="11"/>
      <c r="R25289" s="11"/>
      <c r="S25289" s="11"/>
      <c r="T25289" s="11"/>
    </row>
    <row r="25290" spans="8:20" x14ac:dyDescent="0.35">
      <c r="H25290" s="711"/>
      <c r="I25290" s="711"/>
      <c r="J25290" s="711"/>
      <c r="K25290" s="711"/>
      <c r="L25290" s="711"/>
      <c r="Q25290" s="11"/>
      <c r="R25290" s="11"/>
      <c r="S25290" s="11"/>
      <c r="T25290" s="11"/>
    </row>
    <row r="25291" spans="8:20" x14ac:dyDescent="0.35">
      <c r="H25291" s="711"/>
      <c r="I25291" s="711"/>
      <c r="J25291" s="711"/>
      <c r="K25291" s="711"/>
      <c r="L25291" s="711"/>
      <c r="Q25291" s="11"/>
      <c r="R25291" s="11"/>
      <c r="S25291" s="11"/>
      <c r="T25291" s="11"/>
    </row>
    <row r="25292" spans="8:20" x14ac:dyDescent="0.35">
      <c r="H25292" s="711"/>
      <c r="I25292" s="711"/>
      <c r="J25292" s="711"/>
      <c r="K25292" s="711"/>
      <c r="L25292" s="711"/>
      <c r="Q25292" s="11"/>
      <c r="R25292" s="11"/>
      <c r="S25292" s="11"/>
      <c r="T25292" s="11"/>
    </row>
    <row r="25293" spans="8:20" x14ac:dyDescent="0.35">
      <c r="H25293" s="711"/>
      <c r="I25293" s="711"/>
      <c r="J25293" s="711"/>
      <c r="K25293" s="711"/>
      <c r="L25293" s="711"/>
      <c r="Q25293" s="11"/>
      <c r="R25293" s="11"/>
      <c r="S25293" s="11"/>
      <c r="T25293" s="11"/>
    </row>
    <row r="25294" spans="8:20" x14ac:dyDescent="0.35">
      <c r="H25294" s="711"/>
      <c r="I25294" s="711"/>
      <c r="J25294" s="711"/>
      <c r="K25294" s="711"/>
      <c r="L25294" s="711"/>
      <c r="Q25294" s="11"/>
      <c r="R25294" s="11"/>
      <c r="S25294" s="11"/>
      <c r="T25294" s="11"/>
    </row>
    <row r="25295" spans="8:20" x14ac:dyDescent="0.35">
      <c r="H25295" s="711"/>
      <c r="I25295" s="711"/>
      <c r="J25295" s="711"/>
      <c r="K25295" s="711"/>
      <c r="L25295" s="711"/>
      <c r="Q25295" s="11"/>
      <c r="R25295" s="11"/>
      <c r="S25295" s="11"/>
      <c r="T25295" s="11"/>
    </row>
    <row r="25296" spans="8:20" x14ac:dyDescent="0.35">
      <c r="H25296" s="711"/>
      <c r="I25296" s="711"/>
      <c r="J25296" s="711"/>
      <c r="K25296" s="711"/>
      <c r="L25296" s="711"/>
      <c r="Q25296" s="11"/>
      <c r="R25296" s="11"/>
      <c r="S25296" s="11"/>
      <c r="T25296" s="11"/>
    </row>
    <row r="25297" spans="8:20" x14ac:dyDescent="0.35">
      <c r="H25297" s="711"/>
      <c r="I25297" s="711"/>
      <c r="J25297" s="711"/>
      <c r="K25297" s="711"/>
      <c r="L25297" s="711"/>
      <c r="Q25297" s="11"/>
      <c r="R25297" s="11"/>
      <c r="S25297" s="11"/>
      <c r="T25297" s="11"/>
    </row>
    <row r="25298" spans="8:20" x14ac:dyDescent="0.35">
      <c r="H25298" s="711"/>
      <c r="I25298" s="711"/>
      <c r="J25298" s="711"/>
      <c r="K25298" s="711"/>
      <c r="L25298" s="711"/>
      <c r="Q25298" s="11"/>
      <c r="R25298" s="11"/>
      <c r="S25298" s="11"/>
      <c r="T25298" s="11"/>
    </row>
    <row r="25299" spans="8:20" x14ac:dyDescent="0.35">
      <c r="H25299" s="711"/>
      <c r="I25299" s="711"/>
      <c r="J25299" s="711"/>
      <c r="K25299" s="711"/>
      <c r="L25299" s="711"/>
      <c r="Q25299" s="11"/>
      <c r="R25299" s="11"/>
      <c r="S25299" s="11"/>
      <c r="T25299" s="11"/>
    </row>
    <row r="25300" spans="8:20" x14ac:dyDescent="0.35">
      <c r="H25300" s="711"/>
      <c r="I25300" s="711"/>
      <c r="J25300" s="711"/>
      <c r="K25300" s="711"/>
      <c r="L25300" s="711"/>
      <c r="Q25300" s="11"/>
      <c r="R25300" s="11"/>
      <c r="S25300" s="11"/>
      <c r="T25300" s="11"/>
    </row>
    <row r="25301" spans="8:20" x14ac:dyDescent="0.35">
      <c r="H25301" s="711"/>
      <c r="I25301" s="711"/>
      <c r="J25301" s="711"/>
      <c r="K25301" s="711"/>
      <c r="L25301" s="711"/>
      <c r="Q25301" s="11"/>
      <c r="R25301" s="11"/>
      <c r="S25301" s="11"/>
      <c r="T25301" s="11"/>
    </row>
    <row r="25302" spans="8:20" x14ac:dyDescent="0.35">
      <c r="H25302" s="711"/>
      <c r="I25302" s="711"/>
      <c r="J25302" s="711"/>
      <c r="K25302" s="711"/>
      <c r="L25302" s="711"/>
      <c r="Q25302" s="11"/>
      <c r="R25302" s="11"/>
      <c r="S25302" s="11"/>
      <c r="T25302" s="11"/>
    </row>
    <row r="25303" spans="8:20" x14ac:dyDescent="0.35">
      <c r="H25303" s="711"/>
      <c r="I25303" s="711"/>
      <c r="J25303" s="711"/>
      <c r="K25303" s="711"/>
      <c r="L25303" s="711"/>
      <c r="Q25303" s="11"/>
      <c r="R25303" s="11"/>
      <c r="S25303" s="11"/>
      <c r="T25303" s="11"/>
    </row>
    <row r="25304" spans="8:20" x14ac:dyDescent="0.35">
      <c r="H25304" s="711"/>
      <c r="I25304" s="711"/>
      <c r="J25304" s="711"/>
      <c r="K25304" s="711"/>
      <c r="L25304" s="711"/>
      <c r="Q25304" s="11"/>
      <c r="R25304" s="11"/>
      <c r="S25304" s="11"/>
      <c r="T25304" s="11"/>
    </row>
    <row r="25305" spans="8:20" x14ac:dyDescent="0.35">
      <c r="H25305" s="711"/>
      <c r="I25305" s="711"/>
      <c r="J25305" s="711"/>
      <c r="K25305" s="711"/>
      <c r="L25305" s="711"/>
      <c r="Q25305" s="11"/>
      <c r="R25305" s="11"/>
      <c r="S25305" s="11"/>
      <c r="T25305" s="11"/>
    </row>
    <row r="25306" spans="8:20" x14ac:dyDescent="0.35">
      <c r="H25306" s="711"/>
      <c r="I25306" s="711"/>
      <c r="J25306" s="711"/>
      <c r="K25306" s="711"/>
      <c r="L25306" s="711"/>
      <c r="Q25306" s="11"/>
      <c r="R25306" s="11"/>
      <c r="S25306" s="11"/>
      <c r="T25306" s="11"/>
    </row>
    <row r="25307" spans="8:20" x14ac:dyDescent="0.35">
      <c r="H25307" s="711"/>
      <c r="I25307" s="711"/>
      <c r="J25307" s="711"/>
      <c r="K25307" s="711"/>
      <c r="L25307" s="711"/>
      <c r="Q25307" s="11"/>
      <c r="R25307" s="11"/>
      <c r="S25307" s="11"/>
      <c r="T25307" s="11"/>
    </row>
    <row r="25308" spans="8:20" x14ac:dyDescent="0.35">
      <c r="H25308" s="711"/>
      <c r="I25308" s="711"/>
      <c r="J25308" s="711"/>
      <c r="K25308" s="711"/>
      <c r="L25308" s="711"/>
      <c r="Q25308" s="11"/>
      <c r="R25308" s="11"/>
      <c r="S25308" s="11"/>
      <c r="T25308" s="11"/>
    </row>
    <row r="25309" spans="8:20" x14ac:dyDescent="0.35">
      <c r="H25309" s="711"/>
      <c r="I25309" s="711"/>
      <c r="J25309" s="711"/>
      <c r="K25309" s="711"/>
      <c r="L25309" s="711"/>
      <c r="Q25309" s="11"/>
      <c r="R25309" s="11"/>
      <c r="S25309" s="11"/>
      <c r="T25309" s="11"/>
    </row>
    <row r="25310" spans="8:20" x14ac:dyDescent="0.35">
      <c r="H25310" s="711"/>
      <c r="I25310" s="711"/>
      <c r="J25310" s="711"/>
      <c r="K25310" s="711"/>
      <c r="L25310" s="711"/>
      <c r="Q25310" s="11"/>
      <c r="R25310" s="11"/>
      <c r="S25310" s="11"/>
      <c r="T25310" s="11"/>
    </row>
    <row r="25311" spans="8:20" x14ac:dyDescent="0.35">
      <c r="H25311" s="711"/>
      <c r="I25311" s="711"/>
      <c r="J25311" s="711"/>
      <c r="K25311" s="711"/>
      <c r="L25311" s="711"/>
      <c r="Q25311" s="11"/>
      <c r="R25311" s="11"/>
      <c r="S25311" s="11"/>
      <c r="T25311" s="11"/>
    </row>
    <row r="25312" spans="8:20" x14ac:dyDescent="0.35">
      <c r="H25312" s="711"/>
      <c r="I25312" s="711"/>
      <c r="J25312" s="711"/>
      <c r="K25312" s="711"/>
      <c r="L25312" s="711"/>
      <c r="Q25312" s="11"/>
      <c r="R25312" s="11"/>
      <c r="S25312" s="11"/>
      <c r="T25312" s="11"/>
    </row>
    <row r="25313" spans="8:20" x14ac:dyDescent="0.35">
      <c r="H25313" s="711"/>
      <c r="I25313" s="711"/>
      <c r="J25313" s="711"/>
      <c r="K25313" s="711"/>
      <c r="L25313" s="711"/>
      <c r="Q25313" s="11"/>
      <c r="R25313" s="11"/>
      <c r="S25313" s="11"/>
      <c r="T25313" s="11"/>
    </row>
    <row r="25314" spans="8:20" x14ac:dyDescent="0.35">
      <c r="H25314" s="711"/>
      <c r="I25314" s="711"/>
      <c r="J25314" s="711"/>
      <c r="K25314" s="711"/>
      <c r="L25314" s="711"/>
      <c r="Q25314" s="11"/>
      <c r="R25314" s="11"/>
      <c r="S25314" s="11"/>
      <c r="T25314" s="11"/>
    </row>
    <row r="25315" spans="8:20" x14ac:dyDescent="0.35">
      <c r="H25315" s="711"/>
      <c r="I25315" s="711"/>
      <c r="J25315" s="711"/>
      <c r="K25315" s="711"/>
      <c r="L25315" s="711"/>
      <c r="Q25315" s="11"/>
      <c r="R25315" s="11"/>
      <c r="S25315" s="11"/>
      <c r="T25315" s="11"/>
    </row>
    <row r="25316" spans="8:20" x14ac:dyDescent="0.35">
      <c r="H25316" s="711"/>
      <c r="I25316" s="711"/>
      <c r="J25316" s="711"/>
      <c r="K25316" s="711"/>
      <c r="L25316" s="711"/>
      <c r="Q25316" s="11"/>
      <c r="R25316" s="11"/>
      <c r="S25316" s="11"/>
      <c r="T25316" s="11"/>
    </row>
    <row r="25317" spans="8:20" x14ac:dyDescent="0.35">
      <c r="H25317" s="711"/>
      <c r="I25317" s="711"/>
      <c r="J25317" s="711"/>
      <c r="K25317" s="711"/>
      <c r="L25317" s="711"/>
      <c r="Q25317" s="11"/>
      <c r="R25317" s="11"/>
      <c r="S25317" s="11"/>
      <c r="T25317" s="11"/>
    </row>
    <row r="25318" spans="8:20" x14ac:dyDescent="0.35">
      <c r="H25318" s="711"/>
      <c r="I25318" s="711"/>
      <c r="J25318" s="711"/>
      <c r="K25318" s="711"/>
      <c r="L25318" s="711"/>
      <c r="Q25318" s="11"/>
      <c r="R25318" s="11"/>
      <c r="S25318" s="11"/>
      <c r="T25318" s="11"/>
    </row>
    <row r="25319" spans="8:20" x14ac:dyDescent="0.35">
      <c r="H25319" s="711"/>
      <c r="I25319" s="711"/>
      <c r="J25319" s="711"/>
      <c r="K25319" s="711"/>
      <c r="L25319" s="711"/>
      <c r="Q25319" s="11"/>
      <c r="R25319" s="11"/>
      <c r="S25319" s="11"/>
      <c r="T25319" s="11"/>
    </row>
    <row r="25320" spans="8:20" x14ac:dyDescent="0.35">
      <c r="H25320" s="711"/>
      <c r="I25320" s="711"/>
      <c r="J25320" s="711"/>
      <c r="K25320" s="711"/>
      <c r="L25320" s="711"/>
      <c r="Q25320" s="11"/>
      <c r="R25320" s="11"/>
      <c r="S25320" s="11"/>
      <c r="T25320" s="11"/>
    </row>
    <row r="25321" spans="8:20" x14ac:dyDescent="0.35">
      <c r="H25321" s="711"/>
      <c r="I25321" s="711"/>
      <c r="J25321" s="711"/>
      <c r="K25321" s="711"/>
      <c r="L25321" s="711"/>
      <c r="Q25321" s="11"/>
      <c r="R25321" s="11"/>
      <c r="S25321" s="11"/>
      <c r="T25321" s="11"/>
    </row>
    <row r="25322" spans="8:20" x14ac:dyDescent="0.35">
      <c r="H25322" s="711"/>
      <c r="I25322" s="711"/>
      <c r="J25322" s="711"/>
      <c r="K25322" s="711"/>
      <c r="L25322" s="711"/>
      <c r="Q25322" s="11"/>
      <c r="R25322" s="11"/>
      <c r="S25322" s="11"/>
      <c r="T25322" s="11"/>
    </row>
    <row r="25323" spans="8:20" x14ac:dyDescent="0.35">
      <c r="H25323" s="711"/>
      <c r="I25323" s="711"/>
      <c r="J25323" s="711"/>
      <c r="K25323" s="711"/>
      <c r="L25323" s="711"/>
      <c r="Q25323" s="11"/>
      <c r="R25323" s="11"/>
      <c r="S25323" s="11"/>
      <c r="T25323" s="11"/>
    </row>
    <row r="25324" spans="8:20" x14ac:dyDescent="0.35">
      <c r="H25324" s="711"/>
      <c r="I25324" s="711"/>
      <c r="J25324" s="711"/>
      <c r="K25324" s="711"/>
      <c r="L25324" s="711"/>
      <c r="Q25324" s="11"/>
      <c r="R25324" s="11"/>
      <c r="S25324" s="11"/>
      <c r="T25324" s="11"/>
    </row>
    <row r="25325" spans="8:20" x14ac:dyDescent="0.35">
      <c r="H25325" s="711"/>
      <c r="I25325" s="711"/>
      <c r="J25325" s="711"/>
      <c r="K25325" s="711"/>
      <c r="L25325" s="711"/>
      <c r="Q25325" s="11"/>
      <c r="R25325" s="11"/>
      <c r="S25325" s="11"/>
      <c r="T25325" s="11"/>
    </row>
    <row r="25326" spans="8:20" x14ac:dyDescent="0.35">
      <c r="H25326" s="711"/>
      <c r="I25326" s="711"/>
      <c r="J25326" s="711"/>
      <c r="K25326" s="711"/>
      <c r="L25326" s="711"/>
      <c r="Q25326" s="11"/>
      <c r="R25326" s="11"/>
      <c r="S25326" s="11"/>
      <c r="T25326" s="11"/>
    </row>
    <row r="25327" spans="8:20" x14ac:dyDescent="0.35">
      <c r="H25327" s="711"/>
      <c r="I25327" s="711"/>
      <c r="J25327" s="711"/>
      <c r="K25327" s="711"/>
      <c r="L25327" s="711"/>
      <c r="Q25327" s="11"/>
      <c r="R25327" s="11"/>
      <c r="S25327" s="11"/>
      <c r="T25327" s="11"/>
    </row>
    <row r="25328" spans="8:20" x14ac:dyDescent="0.35">
      <c r="H25328" s="711"/>
      <c r="I25328" s="711"/>
      <c r="J25328" s="711"/>
      <c r="K25328" s="711"/>
      <c r="L25328" s="711"/>
      <c r="Q25328" s="11"/>
      <c r="R25328" s="11"/>
      <c r="S25328" s="11"/>
      <c r="T25328" s="11"/>
    </row>
    <row r="25329" spans="8:20" x14ac:dyDescent="0.35">
      <c r="H25329" s="711"/>
      <c r="I25329" s="711"/>
      <c r="J25329" s="711"/>
      <c r="K25329" s="711"/>
      <c r="L25329" s="711"/>
      <c r="Q25329" s="11"/>
      <c r="R25329" s="11"/>
      <c r="S25329" s="11"/>
      <c r="T25329" s="11"/>
    </row>
    <row r="25330" spans="8:20" x14ac:dyDescent="0.35">
      <c r="H25330" s="711"/>
      <c r="I25330" s="711"/>
      <c r="J25330" s="711"/>
      <c r="K25330" s="711"/>
      <c r="L25330" s="711"/>
      <c r="Q25330" s="11"/>
      <c r="R25330" s="11"/>
      <c r="S25330" s="11"/>
      <c r="T25330" s="11"/>
    </row>
    <row r="25331" spans="8:20" x14ac:dyDescent="0.35">
      <c r="H25331" s="711"/>
      <c r="I25331" s="711"/>
      <c r="J25331" s="711"/>
      <c r="K25331" s="711"/>
      <c r="L25331" s="711"/>
      <c r="Q25331" s="11"/>
      <c r="R25331" s="11"/>
      <c r="S25331" s="11"/>
      <c r="T25331" s="11"/>
    </row>
    <row r="25332" spans="8:20" x14ac:dyDescent="0.35">
      <c r="H25332" s="711"/>
      <c r="I25332" s="711"/>
      <c r="J25332" s="711"/>
      <c r="K25332" s="711"/>
      <c r="L25332" s="711"/>
      <c r="Q25332" s="11"/>
      <c r="R25332" s="11"/>
      <c r="S25332" s="11"/>
      <c r="T25332" s="11"/>
    </row>
    <row r="25333" spans="8:20" x14ac:dyDescent="0.35">
      <c r="H25333" s="711"/>
      <c r="I25333" s="711"/>
      <c r="J25333" s="711"/>
      <c r="K25333" s="711"/>
      <c r="L25333" s="711"/>
      <c r="Q25333" s="11"/>
      <c r="R25333" s="11"/>
      <c r="S25333" s="11"/>
      <c r="T25333" s="11"/>
    </row>
    <row r="25334" spans="8:20" x14ac:dyDescent="0.35">
      <c r="H25334" s="711"/>
      <c r="I25334" s="711"/>
      <c r="J25334" s="711"/>
      <c r="K25334" s="711"/>
      <c r="L25334" s="711"/>
      <c r="Q25334" s="11"/>
      <c r="R25334" s="11"/>
      <c r="S25334" s="11"/>
      <c r="T25334" s="11"/>
    </row>
    <row r="25335" spans="8:20" x14ac:dyDescent="0.35">
      <c r="H25335" s="711"/>
      <c r="I25335" s="711"/>
      <c r="J25335" s="711"/>
      <c r="K25335" s="711"/>
      <c r="L25335" s="711"/>
      <c r="Q25335" s="11"/>
      <c r="R25335" s="11"/>
      <c r="S25335" s="11"/>
      <c r="T25335" s="11"/>
    </row>
    <row r="25336" spans="8:20" x14ac:dyDescent="0.35">
      <c r="H25336" s="711"/>
      <c r="I25336" s="711"/>
      <c r="J25336" s="711"/>
      <c r="K25336" s="711"/>
      <c r="L25336" s="711"/>
      <c r="Q25336" s="11"/>
      <c r="R25336" s="11"/>
      <c r="S25336" s="11"/>
      <c r="T25336" s="11"/>
    </row>
    <row r="25337" spans="8:20" x14ac:dyDescent="0.35">
      <c r="H25337" s="711"/>
      <c r="I25337" s="711"/>
      <c r="J25337" s="711"/>
      <c r="K25337" s="711"/>
      <c r="L25337" s="711"/>
      <c r="Q25337" s="11"/>
      <c r="R25337" s="11"/>
      <c r="S25337" s="11"/>
      <c r="T25337" s="11"/>
    </row>
    <row r="25338" spans="8:20" x14ac:dyDescent="0.35">
      <c r="H25338" s="711"/>
      <c r="I25338" s="711"/>
      <c r="J25338" s="711"/>
      <c r="K25338" s="711"/>
      <c r="L25338" s="711"/>
      <c r="Q25338" s="11"/>
      <c r="R25338" s="11"/>
      <c r="S25338" s="11"/>
      <c r="T25338" s="11"/>
    </row>
    <row r="25339" spans="8:20" x14ac:dyDescent="0.35">
      <c r="H25339" s="711"/>
      <c r="I25339" s="711"/>
      <c r="J25339" s="711"/>
      <c r="K25339" s="711"/>
      <c r="L25339" s="711"/>
      <c r="Q25339" s="11"/>
      <c r="R25339" s="11"/>
      <c r="S25339" s="11"/>
      <c r="T25339" s="11"/>
    </row>
    <row r="25340" spans="8:20" x14ac:dyDescent="0.35">
      <c r="H25340" s="711"/>
      <c r="I25340" s="711"/>
      <c r="J25340" s="711"/>
      <c r="K25340" s="711"/>
      <c r="L25340" s="711"/>
      <c r="Q25340" s="11"/>
      <c r="R25340" s="11"/>
      <c r="S25340" s="11"/>
      <c r="T25340" s="11"/>
    </row>
    <row r="25341" spans="8:20" x14ac:dyDescent="0.35">
      <c r="H25341" s="711"/>
      <c r="I25341" s="711"/>
      <c r="J25341" s="711"/>
      <c r="K25341" s="711"/>
      <c r="L25341" s="711"/>
      <c r="Q25341" s="11"/>
      <c r="R25341" s="11"/>
      <c r="S25341" s="11"/>
      <c r="T25341" s="11"/>
    </row>
    <row r="25342" spans="8:20" x14ac:dyDescent="0.35">
      <c r="H25342" s="711"/>
      <c r="I25342" s="711"/>
      <c r="J25342" s="711"/>
      <c r="K25342" s="711"/>
      <c r="L25342" s="711"/>
      <c r="Q25342" s="11"/>
      <c r="R25342" s="11"/>
      <c r="S25342" s="11"/>
      <c r="T25342" s="11"/>
    </row>
    <row r="25343" spans="8:20" x14ac:dyDescent="0.35">
      <c r="H25343" s="711"/>
      <c r="I25343" s="711"/>
      <c r="J25343" s="711"/>
      <c r="K25343" s="711"/>
      <c r="L25343" s="711"/>
      <c r="Q25343" s="11"/>
      <c r="R25343" s="11"/>
      <c r="S25343" s="11"/>
      <c r="T25343" s="11"/>
    </row>
    <row r="25344" spans="8:20" x14ac:dyDescent="0.35">
      <c r="H25344" s="711"/>
      <c r="I25344" s="711"/>
      <c r="J25344" s="711"/>
      <c r="K25344" s="711"/>
      <c r="L25344" s="711"/>
      <c r="Q25344" s="11"/>
      <c r="R25344" s="11"/>
      <c r="S25344" s="11"/>
      <c r="T25344" s="11"/>
    </row>
    <row r="25345" spans="8:20" x14ac:dyDescent="0.35">
      <c r="H25345" s="711"/>
      <c r="I25345" s="711"/>
      <c r="J25345" s="711"/>
      <c r="K25345" s="711"/>
      <c r="L25345" s="711"/>
      <c r="Q25345" s="11"/>
      <c r="R25345" s="11"/>
      <c r="S25345" s="11"/>
      <c r="T25345" s="11"/>
    </row>
    <row r="25346" spans="8:20" x14ac:dyDescent="0.35">
      <c r="H25346" s="711"/>
      <c r="I25346" s="711"/>
      <c r="J25346" s="711"/>
      <c r="K25346" s="711"/>
      <c r="L25346" s="711"/>
      <c r="Q25346" s="11"/>
      <c r="R25346" s="11"/>
      <c r="S25346" s="11"/>
      <c r="T25346" s="11"/>
    </row>
    <row r="25347" spans="8:20" x14ac:dyDescent="0.35">
      <c r="H25347" s="711"/>
      <c r="I25347" s="711"/>
      <c r="J25347" s="711"/>
      <c r="K25347" s="711"/>
      <c r="L25347" s="711"/>
      <c r="Q25347" s="11"/>
      <c r="R25347" s="11"/>
      <c r="S25347" s="11"/>
      <c r="T25347" s="11"/>
    </row>
    <row r="25348" spans="8:20" x14ac:dyDescent="0.35">
      <c r="H25348" s="711"/>
      <c r="I25348" s="711"/>
      <c r="J25348" s="711"/>
      <c r="K25348" s="711"/>
      <c r="L25348" s="711"/>
      <c r="Q25348" s="11"/>
      <c r="R25348" s="11"/>
      <c r="S25348" s="11"/>
      <c r="T25348" s="11"/>
    </row>
    <row r="25349" spans="8:20" x14ac:dyDescent="0.35">
      <c r="H25349" s="711"/>
      <c r="I25349" s="711"/>
      <c r="J25349" s="711"/>
      <c r="K25349" s="711"/>
      <c r="L25349" s="711"/>
      <c r="Q25349" s="11"/>
      <c r="R25349" s="11"/>
      <c r="S25349" s="11"/>
      <c r="T25349" s="11"/>
    </row>
    <row r="25350" spans="8:20" x14ac:dyDescent="0.35">
      <c r="H25350" s="711"/>
      <c r="I25350" s="711"/>
      <c r="J25350" s="711"/>
      <c r="K25350" s="711"/>
      <c r="L25350" s="711"/>
      <c r="Q25350" s="11"/>
      <c r="R25350" s="11"/>
      <c r="S25350" s="11"/>
      <c r="T25350" s="11"/>
    </row>
    <row r="25351" spans="8:20" x14ac:dyDescent="0.35">
      <c r="H25351" s="711"/>
      <c r="I25351" s="711"/>
      <c r="J25351" s="711"/>
      <c r="K25351" s="711"/>
      <c r="L25351" s="711"/>
      <c r="Q25351" s="11"/>
      <c r="R25351" s="11"/>
      <c r="S25351" s="11"/>
      <c r="T25351" s="11"/>
    </row>
    <row r="25352" spans="8:20" x14ac:dyDescent="0.35">
      <c r="H25352" s="711"/>
      <c r="I25352" s="711"/>
      <c r="J25352" s="711"/>
      <c r="K25352" s="711"/>
      <c r="L25352" s="711"/>
      <c r="Q25352" s="11"/>
      <c r="R25352" s="11"/>
      <c r="S25352" s="11"/>
      <c r="T25352" s="11"/>
    </row>
    <row r="25353" spans="8:20" x14ac:dyDescent="0.35">
      <c r="H25353" s="711"/>
      <c r="I25353" s="711"/>
      <c r="J25353" s="711"/>
      <c r="K25353" s="711"/>
      <c r="L25353" s="711"/>
      <c r="Q25353" s="11"/>
      <c r="R25353" s="11"/>
      <c r="S25353" s="11"/>
      <c r="T25353" s="11"/>
    </row>
    <row r="25354" spans="8:20" x14ac:dyDescent="0.35">
      <c r="H25354" s="711"/>
      <c r="I25354" s="711"/>
      <c r="J25354" s="711"/>
      <c r="K25354" s="711"/>
      <c r="L25354" s="711"/>
      <c r="Q25354" s="11"/>
      <c r="R25354" s="11"/>
      <c r="S25354" s="11"/>
      <c r="T25354" s="11"/>
    </row>
    <row r="25355" spans="8:20" x14ac:dyDescent="0.35">
      <c r="H25355" s="711"/>
      <c r="I25355" s="711"/>
      <c r="J25355" s="711"/>
      <c r="K25355" s="711"/>
      <c r="L25355" s="711"/>
      <c r="Q25355" s="11"/>
      <c r="R25355" s="11"/>
      <c r="S25355" s="11"/>
      <c r="T25355" s="11"/>
    </row>
    <row r="25356" spans="8:20" x14ac:dyDescent="0.35">
      <c r="H25356" s="711"/>
      <c r="I25356" s="711"/>
      <c r="J25356" s="711"/>
      <c r="K25356" s="711"/>
      <c r="L25356" s="711"/>
      <c r="Q25356" s="11"/>
      <c r="R25356" s="11"/>
      <c r="S25356" s="11"/>
      <c r="T25356" s="11"/>
    </row>
    <row r="25357" spans="8:20" x14ac:dyDescent="0.35">
      <c r="H25357" s="711"/>
      <c r="I25357" s="711"/>
      <c r="J25357" s="711"/>
      <c r="K25357" s="711"/>
      <c r="L25357" s="711"/>
      <c r="Q25357" s="11"/>
      <c r="R25357" s="11"/>
      <c r="S25357" s="11"/>
      <c r="T25357" s="11"/>
    </row>
    <row r="25358" spans="8:20" x14ac:dyDescent="0.35">
      <c r="H25358" s="711"/>
      <c r="I25358" s="711"/>
      <c r="J25358" s="711"/>
      <c r="K25358" s="711"/>
      <c r="L25358" s="711"/>
      <c r="Q25358" s="11"/>
      <c r="R25358" s="11"/>
      <c r="S25358" s="11"/>
      <c r="T25358" s="11"/>
    </row>
    <row r="25359" spans="8:20" x14ac:dyDescent="0.35">
      <c r="H25359" s="711"/>
      <c r="I25359" s="711"/>
      <c r="J25359" s="711"/>
      <c r="K25359" s="711"/>
      <c r="L25359" s="711"/>
      <c r="Q25359" s="11"/>
      <c r="R25359" s="11"/>
      <c r="S25359" s="11"/>
      <c r="T25359" s="11"/>
    </row>
    <row r="25360" spans="8:20" x14ac:dyDescent="0.35">
      <c r="H25360" s="711"/>
      <c r="I25360" s="711"/>
      <c r="J25360" s="711"/>
      <c r="K25360" s="711"/>
      <c r="L25360" s="711"/>
      <c r="Q25360" s="11"/>
      <c r="R25360" s="11"/>
      <c r="S25360" s="11"/>
      <c r="T25360" s="11"/>
    </row>
    <row r="25361" spans="8:20" x14ac:dyDescent="0.35">
      <c r="H25361" s="711"/>
      <c r="I25361" s="711"/>
      <c r="J25361" s="711"/>
      <c r="K25361" s="711"/>
      <c r="L25361" s="711"/>
      <c r="Q25361" s="11"/>
      <c r="R25361" s="11"/>
      <c r="S25361" s="11"/>
      <c r="T25361" s="11"/>
    </row>
    <row r="25362" spans="8:20" x14ac:dyDescent="0.35">
      <c r="H25362" s="711"/>
      <c r="I25362" s="711"/>
      <c r="J25362" s="711"/>
      <c r="K25362" s="711"/>
      <c r="L25362" s="711"/>
      <c r="Q25362" s="11"/>
      <c r="R25362" s="11"/>
      <c r="S25362" s="11"/>
      <c r="T25362" s="11"/>
    </row>
    <row r="25363" spans="8:20" x14ac:dyDescent="0.35">
      <c r="H25363" s="711"/>
      <c r="I25363" s="711"/>
      <c r="J25363" s="711"/>
      <c r="K25363" s="711"/>
      <c r="L25363" s="711"/>
      <c r="Q25363" s="11"/>
      <c r="R25363" s="11"/>
      <c r="S25363" s="11"/>
      <c r="T25363" s="11"/>
    </row>
    <row r="25364" spans="8:20" x14ac:dyDescent="0.35">
      <c r="H25364" s="711"/>
      <c r="I25364" s="711"/>
      <c r="J25364" s="711"/>
      <c r="K25364" s="711"/>
      <c r="L25364" s="711"/>
      <c r="Q25364" s="11"/>
      <c r="R25364" s="11"/>
      <c r="S25364" s="11"/>
      <c r="T25364" s="11"/>
    </row>
    <row r="25365" spans="8:20" x14ac:dyDescent="0.35">
      <c r="H25365" s="711"/>
      <c r="I25365" s="711"/>
      <c r="J25365" s="711"/>
      <c r="K25365" s="711"/>
      <c r="L25365" s="711"/>
      <c r="Q25365" s="11"/>
      <c r="R25365" s="11"/>
      <c r="S25365" s="11"/>
      <c r="T25365" s="11"/>
    </row>
    <row r="25366" spans="8:20" x14ac:dyDescent="0.35">
      <c r="H25366" s="711"/>
      <c r="I25366" s="711"/>
      <c r="J25366" s="711"/>
      <c r="K25366" s="711"/>
      <c r="L25366" s="711"/>
      <c r="Q25366" s="11"/>
      <c r="R25366" s="11"/>
      <c r="S25366" s="11"/>
      <c r="T25366" s="11"/>
    </row>
    <row r="25367" spans="8:20" x14ac:dyDescent="0.35">
      <c r="H25367" s="711"/>
      <c r="I25367" s="711"/>
      <c r="J25367" s="711"/>
      <c r="K25367" s="711"/>
      <c r="L25367" s="711"/>
      <c r="Q25367" s="11"/>
      <c r="R25367" s="11"/>
      <c r="S25367" s="11"/>
      <c r="T25367" s="11"/>
    </row>
    <row r="25368" spans="8:20" x14ac:dyDescent="0.35">
      <c r="H25368" s="711"/>
      <c r="I25368" s="711"/>
      <c r="J25368" s="711"/>
      <c r="K25368" s="711"/>
      <c r="L25368" s="711"/>
      <c r="Q25368" s="11"/>
      <c r="R25368" s="11"/>
      <c r="S25368" s="11"/>
      <c r="T25368" s="11"/>
    </row>
    <row r="25369" spans="8:20" x14ac:dyDescent="0.35">
      <c r="H25369" s="711"/>
      <c r="I25369" s="711"/>
      <c r="J25369" s="711"/>
      <c r="K25369" s="711"/>
      <c r="L25369" s="711"/>
      <c r="Q25369" s="11"/>
      <c r="R25369" s="11"/>
      <c r="S25369" s="11"/>
      <c r="T25369" s="11"/>
    </row>
    <row r="25370" spans="8:20" x14ac:dyDescent="0.35">
      <c r="H25370" s="711"/>
      <c r="I25370" s="711"/>
      <c r="J25370" s="711"/>
      <c r="K25370" s="711"/>
      <c r="L25370" s="711"/>
      <c r="Q25370" s="11"/>
      <c r="R25370" s="11"/>
      <c r="S25370" s="11"/>
      <c r="T25370" s="11"/>
    </row>
    <row r="25371" spans="8:20" x14ac:dyDescent="0.35">
      <c r="H25371" s="711"/>
      <c r="I25371" s="711"/>
      <c r="J25371" s="711"/>
      <c r="K25371" s="711"/>
      <c r="L25371" s="711"/>
      <c r="Q25371" s="11"/>
      <c r="R25371" s="11"/>
      <c r="S25371" s="11"/>
      <c r="T25371" s="11"/>
    </row>
    <row r="25372" spans="8:20" x14ac:dyDescent="0.35">
      <c r="H25372" s="711"/>
      <c r="I25372" s="711"/>
      <c r="J25372" s="711"/>
      <c r="K25372" s="711"/>
      <c r="L25372" s="711"/>
      <c r="Q25372" s="11"/>
      <c r="R25372" s="11"/>
      <c r="S25372" s="11"/>
      <c r="T25372" s="11"/>
    </row>
    <row r="25373" spans="8:20" x14ac:dyDescent="0.35">
      <c r="H25373" s="711"/>
      <c r="I25373" s="711"/>
      <c r="J25373" s="711"/>
      <c r="K25373" s="711"/>
      <c r="L25373" s="711"/>
      <c r="Q25373" s="11"/>
      <c r="R25373" s="11"/>
      <c r="S25373" s="11"/>
      <c r="T25373" s="11"/>
    </row>
    <row r="25374" spans="8:20" x14ac:dyDescent="0.35">
      <c r="H25374" s="711"/>
      <c r="I25374" s="711"/>
      <c r="J25374" s="711"/>
      <c r="K25374" s="711"/>
      <c r="L25374" s="711"/>
      <c r="Q25374" s="11"/>
      <c r="R25374" s="11"/>
      <c r="S25374" s="11"/>
      <c r="T25374" s="11"/>
    </row>
    <row r="25375" spans="8:20" x14ac:dyDescent="0.35">
      <c r="H25375" s="711"/>
      <c r="I25375" s="711"/>
      <c r="J25375" s="711"/>
      <c r="K25375" s="711"/>
      <c r="L25375" s="711"/>
      <c r="Q25375" s="11"/>
      <c r="R25375" s="11"/>
      <c r="S25375" s="11"/>
      <c r="T25375" s="11"/>
    </row>
    <row r="25376" spans="8:20" x14ac:dyDescent="0.35">
      <c r="H25376" s="711"/>
      <c r="I25376" s="711"/>
      <c r="J25376" s="711"/>
      <c r="K25376" s="711"/>
      <c r="L25376" s="711"/>
      <c r="Q25376" s="11"/>
      <c r="R25376" s="11"/>
      <c r="S25376" s="11"/>
      <c r="T25376" s="11"/>
    </row>
    <row r="25377" spans="8:20" x14ac:dyDescent="0.35">
      <c r="H25377" s="711"/>
      <c r="I25377" s="711"/>
      <c r="J25377" s="711"/>
      <c r="K25377" s="711"/>
      <c r="L25377" s="711"/>
      <c r="Q25377" s="11"/>
      <c r="R25377" s="11"/>
      <c r="S25377" s="11"/>
      <c r="T25377" s="11"/>
    </row>
    <row r="25378" spans="8:20" x14ac:dyDescent="0.35">
      <c r="H25378" s="711"/>
      <c r="I25378" s="711"/>
      <c r="J25378" s="711"/>
      <c r="K25378" s="711"/>
      <c r="L25378" s="711"/>
      <c r="Q25378" s="11"/>
      <c r="R25378" s="11"/>
      <c r="S25378" s="11"/>
      <c r="T25378" s="11"/>
    </row>
    <row r="25379" spans="8:20" x14ac:dyDescent="0.35">
      <c r="H25379" s="711"/>
      <c r="I25379" s="711"/>
      <c r="J25379" s="711"/>
      <c r="K25379" s="711"/>
      <c r="L25379" s="711"/>
      <c r="Q25379" s="11"/>
      <c r="R25379" s="11"/>
      <c r="S25379" s="11"/>
      <c r="T25379" s="11"/>
    </row>
    <row r="25380" spans="8:20" x14ac:dyDescent="0.35">
      <c r="H25380" s="711"/>
      <c r="I25380" s="711"/>
      <c r="J25380" s="711"/>
      <c r="K25380" s="711"/>
      <c r="L25380" s="711"/>
      <c r="Q25380" s="11"/>
      <c r="R25380" s="11"/>
      <c r="S25380" s="11"/>
      <c r="T25380" s="11"/>
    </row>
    <row r="25381" spans="8:20" x14ac:dyDescent="0.35">
      <c r="H25381" s="711"/>
      <c r="I25381" s="711"/>
      <c r="J25381" s="711"/>
      <c r="K25381" s="711"/>
      <c r="L25381" s="711"/>
      <c r="Q25381" s="11"/>
      <c r="R25381" s="11"/>
      <c r="S25381" s="11"/>
      <c r="T25381" s="11"/>
    </row>
    <row r="25382" spans="8:20" x14ac:dyDescent="0.35">
      <c r="H25382" s="711"/>
      <c r="I25382" s="711"/>
      <c r="J25382" s="711"/>
      <c r="K25382" s="711"/>
      <c r="L25382" s="711"/>
      <c r="Q25382" s="11"/>
      <c r="R25382" s="11"/>
      <c r="S25382" s="11"/>
      <c r="T25382" s="11"/>
    </row>
    <row r="25383" spans="8:20" x14ac:dyDescent="0.35">
      <c r="H25383" s="711"/>
      <c r="I25383" s="711"/>
      <c r="J25383" s="711"/>
      <c r="K25383" s="711"/>
      <c r="L25383" s="711"/>
      <c r="Q25383" s="11"/>
      <c r="R25383" s="11"/>
      <c r="S25383" s="11"/>
      <c r="T25383" s="11"/>
    </row>
    <row r="25384" spans="8:20" x14ac:dyDescent="0.35">
      <c r="H25384" s="711"/>
      <c r="I25384" s="711"/>
      <c r="J25384" s="711"/>
      <c r="K25384" s="711"/>
      <c r="L25384" s="711"/>
      <c r="Q25384" s="11"/>
      <c r="R25384" s="11"/>
      <c r="S25384" s="11"/>
      <c r="T25384" s="11"/>
    </row>
    <row r="25385" spans="8:20" x14ac:dyDescent="0.35">
      <c r="H25385" s="711"/>
      <c r="I25385" s="711"/>
      <c r="J25385" s="711"/>
      <c r="K25385" s="711"/>
      <c r="L25385" s="711"/>
      <c r="Q25385" s="11"/>
      <c r="R25385" s="11"/>
      <c r="S25385" s="11"/>
      <c r="T25385" s="11"/>
    </row>
    <row r="25386" spans="8:20" x14ac:dyDescent="0.35">
      <c r="H25386" s="711"/>
      <c r="I25386" s="711"/>
      <c r="J25386" s="711"/>
      <c r="K25386" s="711"/>
      <c r="L25386" s="711"/>
      <c r="Q25386" s="11"/>
      <c r="R25386" s="11"/>
      <c r="S25386" s="11"/>
      <c r="T25386" s="11"/>
    </row>
    <row r="25387" spans="8:20" x14ac:dyDescent="0.35">
      <c r="H25387" s="711"/>
      <c r="I25387" s="711"/>
      <c r="J25387" s="711"/>
      <c r="K25387" s="711"/>
      <c r="L25387" s="711"/>
      <c r="Q25387" s="11"/>
      <c r="R25387" s="11"/>
      <c r="S25387" s="11"/>
      <c r="T25387" s="11"/>
    </row>
    <row r="25388" spans="8:20" x14ac:dyDescent="0.35">
      <c r="H25388" s="711"/>
      <c r="I25388" s="711"/>
      <c r="J25388" s="711"/>
      <c r="K25388" s="711"/>
      <c r="L25388" s="711"/>
      <c r="Q25388" s="11"/>
      <c r="R25388" s="11"/>
      <c r="S25388" s="11"/>
      <c r="T25388" s="11"/>
    </row>
    <row r="25389" spans="8:20" x14ac:dyDescent="0.35">
      <c r="H25389" s="711"/>
      <c r="I25389" s="711"/>
      <c r="J25389" s="711"/>
      <c r="K25389" s="711"/>
      <c r="L25389" s="711"/>
      <c r="Q25389" s="11"/>
      <c r="R25389" s="11"/>
      <c r="S25389" s="11"/>
      <c r="T25389" s="11"/>
    </row>
    <row r="25390" spans="8:20" x14ac:dyDescent="0.35">
      <c r="H25390" s="711"/>
      <c r="I25390" s="711"/>
      <c r="J25390" s="711"/>
      <c r="K25390" s="711"/>
      <c r="L25390" s="711"/>
      <c r="Q25390" s="11"/>
      <c r="R25390" s="11"/>
      <c r="S25390" s="11"/>
      <c r="T25390" s="11"/>
    </row>
    <row r="25391" spans="8:20" x14ac:dyDescent="0.35">
      <c r="H25391" s="711"/>
      <c r="I25391" s="711"/>
      <c r="J25391" s="711"/>
      <c r="K25391" s="711"/>
      <c r="L25391" s="711"/>
      <c r="Q25391" s="11"/>
      <c r="R25391" s="11"/>
      <c r="S25391" s="11"/>
      <c r="T25391" s="11"/>
    </row>
    <row r="25392" spans="8:20" x14ac:dyDescent="0.35">
      <c r="H25392" s="711"/>
      <c r="I25392" s="711"/>
      <c r="J25392" s="711"/>
      <c r="K25392" s="711"/>
      <c r="L25392" s="711"/>
      <c r="Q25392" s="11"/>
      <c r="R25392" s="11"/>
      <c r="S25392" s="11"/>
      <c r="T25392" s="11"/>
    </row>
    <row r="25393" spans="8:20" x14ac:dyDescent="0.35">
      <c r="H25393" s="711"/>
      <c r="I25393" s="711"/>
      <c r="J25393" s="711"/>
      <c r="K25393" s="711"/>
      <c r="L25393" s="711"/>
      <c r="Q25393" s="11"/>
      <c r="R25393" s="11"/>
      <c r="S25393" s="11"/>
      <c r="T25393" s="11"/>
    </row>
    <row r="25394" spans="8:20" x14ac:dyDescent="0.35">
      <c r="H25394" s="711"/>
      <c r="I25394" s="711"/>
      <c r="J25394" s="711"/>
      <c r="K25394" s="711"/>
      <c r="L25394" s="711"/>
      <c r="Q25394" s="11"/>
      <c r="R25394" s="11"/>
      <c r="S25394" s="11"/>
      <c r="T25394" s="11"/>
    </row>
    <row r="25395" spans="8:20" x14ac:dyDescent="0.35">
      <c r="H25395" s="711"/>
      <c r="I25395" s="711"/>
      <c r="J25395" s="711"/>
      <c r="K25395" s="711"/>
      <c r="L25395" s="711"/>
      <c r="Q25395" s="11"/>
      <c r="R25395" s="11"/>
      <c r="S25395" s="11"/>
      <c r="T25395" s="11"/>
    </row>
    <row r="25396" spans="8:20" x14ac:dyDescent="0.35">
      <c r="H25396" s="711"/>
      <c r="I25396" s="711"/>
      <c r="J25396" s="711"/>
      <c r="K25396" s="711"/>
      <c r="L25396" s="711"/>
      <c r="Q25396" s="11"/>
      <c r="R25396" s="11"/>
      <c r="S25396" s="11"/>
      <c r="T25396" s="11"/>
    </row>
    <row r="25397" spans="8:20" x14ac:dyDescent="0.35">
      <c r="H25397" s="711"/>
      <c r="I25397" s="711"/>
      <c r="J25397" s="711"/>
      <c r="K25397" s="711"/>
      <c r="L25397" s="711"/>
      <c r="Q25397" s="11"/>
      <c r="R25397" s="11"/>
      <c r="S25397" s="11"/>
      <c r="T25397" s="11"/>
    </row>
    <row r="25398" spans="8:20" x14ac:dyDescent="0.35">
      <c r="H25398" s="711"/>
      <c r="I25398" s="711"/>
      <c r="J25398" s="711"/>
      <c r="K25398" s="711"/>
      <c r="L25398" s="711"/>
      <c r="Q25398" s="11"/>
      <c r="R25398" s="11"/>
      <c r="S25398" s="11"/>
      <c r="T25398" s="11"/>
    </row>
    <row r="25399" spans="8:20" x14ac:dyDescent="0.35">
      <c r="H25399" s="711"/>
      <c r="I25399" s="711"/>
      <c r="J25399" s="711"/>
      <c r="K25399" s="711"/>
      <c r="L25399" s="711"/>
      <c r="Q25399" s="11"/>
      <c r="R25399" s="11"/>
      <c r="S25399" s="11"/>
      <c r="T25399" s="11"/>
    </row>
    <row r="25400" spans="8:20" x14ac:dyDescent="0.35">
      <c r="H25400" s="711"/>
      <c r="I25400" s="711"/>
      <c r="J25400" s="711"/>
      <c r="K25400" s="711"/>
      <c r="L25400" s="711"/>
      <c r="Q25400" s="11"/>
      <c r="R25400" s="11"/>
      <c r="S25400" s="11"/>
      <c r="T25400" s="11"/>
    </row>
    <row r="25401" spans="8:20" x14ac:dyDescent="0.35">
      <c r="H25401" s="711"/>
      <c r="I25401" s="711"/>
      <c r="J25401" s="711"/>
      <c r="K25401" s="711"/>
      <c r="L25401" s="711"/>
      <c r="Q25401" s="11"/>
      <c r="R25401" s="11"/>
      <c r="S25401" s="11"/>
      <c r="T25401" s="11"/>
    </row>
    <row r="25402" spans="8:20" x14ac:dyDescent="0.35">
      <c r="H25402" s="711"/>
      <c r="I25402" s="711"/>
      <c r="J25402" s="711"/>
      <c r="K25402" s="711"/>
      <c r="L25402" s="711"/>
      <c r="Q25402" s="11"/>
      <c r="R25402" s="11"/>
      <c r="S25402" s="11"/>
      <c r="T25402" s="11"/>
    </row>
    <row r="25403" spans="8:20" x14ac:dyDescent="0.35">
      <c r="H25403" s="711"/>
      <c r="I25403" s="711"/>
      <c r="J25403" s="711"/>
      <c r="K25403" s="711"/>
      <c r="L25403" s="711"/>
      <c r="Q25403" s="11"/>
      <c r="R25403" s="11"/>
      <c r="S25403" s="11"/>
      <c r="T25403" s="11"/>
    </row>
    <row r="25404" spans="8:20" x14ac:dyDescent="0.35">
      <c r="H25404" s="711"/>
      <c r="I25404" s="711"/>
      <c r="J25404" s="711"/>
      <c r="K25404" s="711"/>
      <c r="L25404" s="711"/>
      <c r="Q25404" s="11"/>
      <c r="R25404" s="11"/>
      <c r="S25404" s="11"/>
      <c r="T25404" s="11"/>
    </row>
    <row r="25405" spans="8:20" x14ac:dyDescent="0.35">
      <c r="H25405" s="711"/>
      <c r="I25405" s="711"/>
      <c r="J25405" s="711"/>
      <c r="K25405" s="711"/>
      <c r="L25405" s="711"/>
      <c r="Q25405" s="11"/>
      <c r="R25405" s="11"/>
      <c r="S25405" s="11"/>
      <c r="T25405" s="11"/>
    </row>
    <row r="25406" spans="8:20" x14ac:dyDescent="0.35">
      <c r="H25406" s="711"/>
      <c r="I25406" s="711"/>
      <c r="J25406" s="711"/>
      <c r="K25406" s="711"/>
      <c r="L25406" s="711"/>
      <c r="Q25406" s="11"/>
      <c r="R25406" s="11"/>
      <c r="S25406" s="11"/>
      <c r="T25406" s="11"/>
    </row>
    <row r="25407" spans="8:20" x14ac:dyDescent="0.35">
      <c r="H25407" s="711"/>
      <c r="I25407" s="711"/>
      <c r="J25407" s="711"/>
      <c r="K25407" s="711"/>
      <c r="L25407" s="711"/>
      <c r="Q25407" s="11"/>
      <c r="R25407" s="11"/>
      <c r="S25407" s="11"/>
      <c r="T25407" s="11"/>
    </row>
    <row r="25408" spans="8:20" x14ac:dyDescent="0.35">
      <c r="H25408" s="711"/>
      <c r="I25408" s="711"/>
      <c r="J25408" s="711"/>
      <c r="K25408" s="711"/>
      <c r="L25408" s="711"/>
      <c r="Q25408" s="11"/>
      <c r="R25408" s="11"/>
      <c r="S25408" s="11"/>
      <c r="T25408" s="11"/>
    </row>
    <row r="25409" spans="8:20" x14ac:dyDescent="0.35">
      <c r="H25409" s="711"/>
      <c r="I25409" s="711"/>
      <c r="J25409" s="711"/>
      <c r="K25409" s="711"/>
      <c r="L25409" s="711"/>
      <c r="Q25409" s="11"/>
      <c r="R25409" s="11"/>
      <c r="S25409" s="11"/>
      <c r="T25409" s="11"/>
    </row>
    <row r="25410" spans="8:20" x14ac:dyDescent="0.35">
      <c r="H25410" s="711"/>
      <c r="I25410" s="711"/>
      <c r="J25410" s="711"/>
      <c r="K25410" s="711"/>
      <c r="L25410" s="711"/>
      <c r="Q25410" s="11"/>
      <c r="R25410" s="11"/>
      <c r="S25410" s="11"/>
      <c r="T25410" s="11"/>
    </row>
    <row r="25411" spans="8:20" x14ac:dyDescent="0.35">
      <c r="H25411" s="711"/>
      <c r="I25411" s="711"/>
      <c r="J25411" s="711"/>
      <c r="K25411" s="711"/>
      <c r="L25411" s="711"/>
      <c r="Q25411" s="11"/>
      <c r="R25411" s="11"/>
      <c r="S25411" s="11"/>
      <c r="T25411" s="11"/>
    </row>
    <row r="25412" spans="8:20" x14ac:dyDescent="0.35">
      <c r="H25412" s="711"/>
      <c r="I25412" s="711"/>
      <c r="J25412" s="711"/>
      <c r="K25412" s="711"/>
      <c r="L25412" s="711"/>
      <c r="Q25412" s="11"/>
      <c r="R25412" s="11"/>
      <c r="S25412" s="11"/>
      <c r="T25412" s="11"/>
    </row>
    <row r="25413" spans="8:20" x14ac:dyDescent="0.35">
      <c r="H25413" s="711"/>
      <c r="I25413" s="711"/>
      <c r="J25413" s="711"/>
      <c r="K25413" s="711"/>
      <c r="L25413" s="711"/>
      <c r="Q25413" s="11"/>
      <c r="R25413" s="11"/>
      <c r="S25413" s="11"/>
      <c r="T25413" s="11"/>
    </row>
    <row r="25414" spans="8:20" x14ac:dyDescent="0.35">
      <c r="H25414" s="711"/>
      <c r="I25414" s="711"/>
      <c r="J25414" s="711"/>
      <c r="K25414" s="711"/>
      <c r="L25414" s="711"/>
      <c r="Q25414" s="11"/>
      <c r="R25414" s="11"/>
      <c r="S25414" s="11"/>
      <c r="T25414" s="11"/>
    </row>
    <row r="25415" spans="8:20" x14ac:dyDescent="0.35">
      <c r="H25415" s="711"/>
      <c r="I25415" s="711"/>
      <c r="J25415" s="711"/>
      <c r="K25415" s="711"/>
      <c r="L25415" s="711"/>
      <c r="Q25415" s="11"/>
      <c r="R25415" s="11"/>
      <c r="S25415" s="11"/>
      <c r="T25415" s="11"/>
    </row>
    <row r="25416" spans="8:20" x14ac:dyDescent="0.35">
      <c r="H25416" s="711"/>
      <c r="I25416" s="711"/>
      <c r="J25416" s="711"/>
      <c r="K25416" s="711"/>
      <c r="L25416" s="711"/>
      <c r="Q25416" s="11"/>
      <c r="R25416" s="11"/>
      <c r="S25416" s="11"/>
      <c r="T25416" s="11"/>
    </row>
    <row r="25417" spans="8:20" x14ac:dyDescent="0.35">
      <c r="H25417" s="711"/>
      <c r="I25417" s="711"/>
      <c r="J25417" s="711"/>
      <c r="K25417" s="711"/>
      <c r="L25417" s="711"/>
      <c r="Q25417" s="11"/>
      <c r="R25417" s="11"/>
      <c r="S25417" s="11"/>
      <c r="T25417" s="11"/>
    </row>
    <row r="25418" spans="8:20" x14ac:dyDescent="0.35">
      <c r="H25418" s="711"/>
      <c r="I25418" s="711"/>
      <c r="J25418" s="711"/>
      <c r="K25418" s="711"/>
      <c r="L25418" s="711"/>
      <c r="Q25418" s="11"/>
      <c r="R25418" s="11"/>
      <c r="S25418" s="11"/>
      <c r="T25418" s="11"/>
    </row>
    <row r="25419" spans="8:20" x14ac:dyDescent="0.35">
      <c r="H25419" s="711"/>
      <c r="I25419" s="711"/>
      <c r="J25419" s="711"/>
      <c r="K25419" s="711"/>
      <c r="L25419" s="711"/>
      <c r="Q25419" s="11"/>
      <c r="R25419" s="11"/>
      <c r="S25419" s="11"/>
      <c r="T25419" s="11"/>
    </row>
    <row r="25420" spans="8:20" x14ac:dyDescent="0.35">
      <c r="H25420" s="711"/>
      <c r="I25420" s="711"/>
      <c r="J25420" s="711"/>
      <c r="K25420" s="711"/>
      <c r="L25420" s="711"/>
      <c r="Q25420" s="11"/>
      <c r="R25420" s="11"/>
      <c r="S25420" s="11"/>
      <c r="T25420" s="11"/>
    </row>
    <row r="25421" spans="8:20" x14ac:dyDescent="0.35">
      <c r="H25421" s="711"/>
      <c r="I25421" s="711"/>
      <c r="J25421" s="711"/>
      <c r="K25421" s="711"/>
      <c r="L25421" s="711"/>
      <c r="Q25421" s="11"/>
      <c r="R25421" s="11"/>
      <c r="S25421" s="11"/>
      <c r="T25421" s="11"/>
    </row>
    <row r="25422" spans="8:20" x14ac:dyDescent="0.35">
      <c r="H25422" s="711"/>
      <c r="I25422" s="711"/>
      <c r="J25422" s="711"/>
      <c r="K25422" s="711"/>
      <c r="L25422" s="711"/>
      <c r="Q25422" s="11"/>
      <c r="R25422" s="11"/>
      <c r="S25422" s="11"/>
      <c r="T25422" s="11"/>
    </row>
    <row r="25423" spans="8:20" x14ac:dyDescent="0.35">
      <c r="H25423" s="711"/>
      <c r="I25423" s="711"/>
      <c r="J25423" s="711"/>
      <c r="K25423" s="711"/>
      <c r="L25423" s="711"/>
      <c r="Q25423" s="11"/>
      <c r="R25423" s="11"/>
      <c r="S25423" s="11"/>
      <c r="T25423" s="11"/>
    </row>
    <row r="25424" spans="8:20" x14ac:dyDescent="0.35">
      <c r="H25424" s="711"/>
      <c r="I25424" s="711"/>
      <c r="J25424" s="711"/>
      <c r="K25424" s="711"/>
      <c r="L25424" s="711"/>
      <c r="Q25424" s="11"/>
      <c r="R25424" s="11"/>
      <c r="S25424" s="11"/>
      <c r="T25424" s="11"/>
    </row>
    <row r="25425" spans="8:20" x14ac:dyDescent="0.35">
      <c r="H25425" s="711"/>
      <c r="I25425" s="711"/>
      <c r="J25425" s="711"/>
      <c r="K25425" s="711"/>
      <c r="L25425" s="711"/>
      <c r="Q25425" s="11"/>
      <c r="R25425" s="11"/>
      <c r="S25425" s="11"/>
      <c r="T25425" s="11"/>
    </row>
    <row r="25426" spans="8:20" x14ac:dyDescent="0.35">
      <c r="H25426" s="711"/>
      <c r="I25426" s="711"/>
      <c r="J25426" s="711"/>
      <c r="K25426" s="711"/>
      <c r="L25426" s="711"/>
      <c r="Q25426" s="11"/>
      <c r="R25426" s="11"/>
      <c r="S25426" s="11"/>
      <c r="T25426" s="11"/>
    </row>
    <row r="25427" spans="8:20" x14ac:dyDescent="0.35">
      <c r="H25427" s="711"/>
      <c r="I25427" s="711"/>
      <c r="J25427" s="711"/>
      <c r="K25427" s="711"/>
      <c r="L25427" s="711"/>
      <c r="Q25427" s="11"/>
      <c r="R25427" s="11"/>
      <c r="S25427" s="11"/>
      <c r="T25427" s="11"/>
    </row>
    <row r="25428" spans="8:20" x14ac:dyDescent="0.35">
      <c r="H25428" s="711"/>
      <c r="I25428" s="711"/>
      <c r="J25428" s="711"/>
      <c r="K25428" s="711"/>
      <c r="L25428" s="711"/>
      <c r="Q25428" s="11"/>
      <c r="R25428" s="11"/>
      <c r="S25428" s="11"/>
      <c r="T25428" s="11"/>
    </row>
    <row r="25429" spans="8:20" x14ac:dyDescent="0.35">
      <c r="H25429" s="711"/>
      <c r="I25429" s="711"/>
      <c r="J25429" s="711"/>
      <c r="K25429" s="711"/>
      <c r="L25429" s="711"/>
      <c r="Q25429" s="11"/>
      <c r="R25429" s="11"/>
      <c r="S25429" s="11"/>
      <c r="T25429" s="11"/>
    </row>
    <row r="25430" spans="8:20" x14ac:dyDescent="0.35">
      <c r="H25430" s="711"/>
      <c r="I25430" s="711"/>
      <c r="J25430" s="711"/>
      <c r="K25430" s="711"/>
      <c r="L25430" s="711"/>
      <c r="Q25430" s="11"/>
      <c r="R25430" s="11"/>
      <c r="S25430" s="11"/>
      <c r="T25430" s="11"/>
    </row>
    <row r="25431" spans="8:20" x14ac:dyDescent="0.35">
      <c r="H25431" s="711"/>
      <c r="I25431" s="711"/>
      <c r="J25431" s="711"/>
      <c r="K25431" s="711"/>
      <c r="L25431" s="711"/>
      <c r="Q25431" s="11"/>
      <c r="R25431" s="11"/>
      <c r="S25431" s="11"/>
      <c r="T25431" s="11"/>
    </row>
    <row r="25432" spans="8:20" x14ac:dyDescent="0.35">
      <c r="H25432" s="711"/>
      <c r="I25432" s="711"/>
      <c r="J25432" s="711"/>
      <c r="K25432" s="711"/>
      <c r="L25432" s="711"/>
      <c r="Q25432" s="11"/>
      <c r="R25432" s="11"/>
      <c r="S25432" s="11"/>
      <c r="T25432" s="11"/>
    </row>
    <row r="25433" spans="8:20" x14ac:dyDescent="0.35">
      <c r="H25433" s="711"/>
      <c r="I25433" s="711"/>
      <c r="J25433" s="711"/>
      <c r="K25433" s="711"/>
      <c r="L25433" s="711"/>
      <c r="Q25433" s="11"/>
      <c r="R25433" s="11"/>
      <c r="S25433" s="11"/>
      <c r="T25433" s="11"/>
    </row>
    <row r="25434" spans="8:20" x14ac:dyDescent="0.35">
      <c r="H25434" s="711"/>
      <c r="I25434" s="711"/>
      <c r="J25434" s="711"/>
      <c r="K25434" s="711"/>
      <c r="L25434" s="711"/>
      <c r="Q25434" s="11"/>
      <c r="R25434" s="11"/>
      <c r="S25434" s="11"/>
      <c r="T25434" s="11"/>
    </row>
    <row r="25435" spans="8:20" x14ac:dyDescent="0.35">
      <c r="H25435" s="711"/>
      <c r="I25435" s="711"/>
      <c r="J25435" s="711"/>
      <c r="K25435" s="711"/>
      <c r="L25435" s="711"/>
      <c r="Q25435" s="11"/>
      <c r="R25435" s="11"/>
      <c r="S25435" s="11"/>
      <c r="T25435" s="11"/>
    </row>
    <row r="25436" spans="8:20" x14ac:dyDescent="0.35">
      <c r="H25436" s="711"/>
      <c r="I25436" s="711"/>
      <c r="J25436" s="711"/>
      <c r="K25436" s="711"/>
      <c r="L25436" s="711"/>
      <c r="Q25436" s="11"/>
      <c r="R25436" s="11"/>
      <c r="S25436" s="11"/>
      <c r="T25436" s="11"/>
    </row>
    <row r="25437" spans="8:20" x14ac:dyDescent="0.35">
      <c r="H25437" s="711"/>
      <c r="I25437" s="711"/>
      <c r="J25437" s="711"/>
      <c r="K25437" s="711"/>
      <c r="L25437" s="711"/>
      <c r="Q25437" s="11"/>
      <c r="R25437" s="11"/>
      <c r="S25437" s="11"/>
      <c r="T25437" s="11"/>
    </row>
    <row r="25438" spans="8:20" x14ac:dyDescent="0.35">
      <c r="H25438" s="711"/>
      <c r="I25438" s="711"/>
      <c r="J25438" s="711"/>
      <c r="K25438" s="711"/>
      <c r="L25438" s="711"/>
      <c r="Q25438" s="11"/>
      <c r="R25438" s="11"/>
      <c r="S25438" s="11"/>
      <c r="T25438" s="11"/>
    </row>
    <row r="25439" spans="8:20" x14ac:dyDescent="0.35">
      <c r="H25439" s="711"/>
      <c r="I25439" s="711"/>
      <c r="J25439" s="711"/>
      <c r="K25439" s="711"/>
      <c r="L25439" s="711"/>
      <c r="Q25439" s="11"/>
      <c r="R25439" s="11"/>
      <c r="S25439" s="11"/>
      <c r="T25439" s="11"/>
    </row>
    <row r="25440" spans="8:20" x14ac:dyDescent="0.35">
      <c r="H25440" s="711"/>
      <c r="I25440" s="711"/>
      <c r="J25440" s="711"/>
      <c r="K25440" s="711"/>
      <c r="L25440" s="711"/>
      <c r="Q25440" s="11"/>
      <c r="R25440" s="11"/>
      <c r="S25440" s="11"/>
      <c r="T25440" s="11"/>
    </row>
    <row r="25441" spans="8:20" x14ac:dyDescent="0.35">
      <c r="H25441" s="711"/>
      <c r="I25441" s="711"/>
      <c r="J25441" s="711"/>
      <c r="K25441" s="711"/>
      <c r="L25441" s="711"/>
      <c r="Q25441" s="11"/>
      <c r="R25441" s="11"/>
      <c r="S25441" s="11"/>
      <c r="T25441" s="11"/>
    </row>
    <row r="25442" spans="8:20" x14ac:dyDescent="0.35">
      <c r="H25442" s="711"/>
      <c r="I25442" s="711"/>
      <c r="J25442" s="711"/>
      <c r="K25442" s="711"/>
      <c r="L25442" s="711"/>
      <c r="Q25442" s="11"/>
      <c r="R25442" s="11"/>
      <c r="S25442" s="11"/>
      <c r="T25442" s="11"/>
    </row>
    <row r="25443" spans="8:20" x14ac:dyDescent="0.35">
      <c r="H25443" s="711"/>
      <c r="I25443" s="711"/>
      <c r="J25443" s="711"/>
      <c r="K25443" s="711"/>
      <c r="L25443" s="711"/>
      <c r="Q25443" s="11"/>
      <c r="R25443" s="11"/>
      <c r="S25443" s="11"/>
      <c r="T25443" s="11"/>
    </row>
    <row r="25444" spans="8:20" x14ac:dyDescent="0.35">
      <c r="H25444" s="711"/>
      <c r="I25444" s="711"/>
      <c r="J25444" s="711"/>
      <c r="K25444" s="711"/>
      <c r="L25444" s="711"/>
      <c r="Q25444" s="11"/>
      <c r="R25444" s="11"/>
      <c r="S25444" s="11"/>
      <c r="T25444" s="11"/>
    </row>
    <row r="25445" spans="8:20" x14ac:dyDescent="0.35">
      <c r="H25445" s="711"/>
      <c r="I25445" s="711"/>
      <c r="J25445" s="711"/>
      <c r="K25445" s="711"/>
      <c r="L25445" s="711"/>
      <c r="Q25445" s="11"/>
      <c r="R25445" s="11"/>
      <c r="S25445" s="11"/>
      <c r="T25445" s="11"/>
    </row>
    <row r="25446" spans="8:20" x14ac:dyDescent="0.35">
      <c r="H25446" s="711"/>
      <c r="I25446" s="711"/>
      <c r="J25446" s="711"/>
      <c r="K25446" s="711"/>
      <c r="L25446" s="711"/>
      <c r="Q25446" s="11"/>
      <c r="R25446" s="11"/>
      <c r="S25446" s="11"/>
      <c r="T25446" s="11"/>
    </row>
    <row r="25447" spans="8:20" x14ac:dyDescent="0.35">
      <c r="H25447" s="711"/>
      <c r="I25447" s="711"/>
      <c r="J25447" s="711"/>
      <c r="K25447" s="711"/>
      <c r="L25447" s="711"/>
      <c r="Q25447" s="11"/>
      <c r="R25447" s="11"/>
      <c r="S25447" s="11"/>
      <c r="T25447" s="11"/>
    </row>
    <row r="25448" spans="8:20" x14ac:dyDescent="0.35">
      <c r="H25448" s="711"/>
      <c r="I25448" s="711"/>
      <c r="J25448" s="711"/>
      <c r="K25448" s="711"/>
      <c r="L25448" s="711"/>
      <c r="Q25448" s="11"/>
      <c r="R25448" s="11"/>
      <c r="S25448" s="11"/>
      <c r="T25448" s="11"/>
    </row>
    <row r="25449" spans="8:20" x14ac:dyDescent="0.35">
      <c r="H25449" s="711"/>
      <c r="I25449" s="711"/>
      <c r="J25449" s="711"/>
      <c r="K25449" s="711"/>
      <c r="L25449" s="711"/>
      <c r="Q25449" s="11"/>
      <c r="R25449" s="11"/>
      <c r="S25449" s="11"/>
      <c r="T25449" s="11"/>
    </row>
    <row r="25450" spans="8:20" x14ac:dyDescent="0.35">
      <c r="H25450" s="711"/>
      <c r="I25450" s="711"/>
      <c r="J25450" s="711"/>
      <c r="K25450" s="711"/>
      <c r="L25450" s="711"/>
      <c r="Q25450" s="11"/>
      <c r="R25450" s="11"/>
      <c r="S25450" s="11"/>
      <c r="T25450" s="11"/>
    </row>
    <row r="25451" spans="8:20" x14ac:dyDescent="0.35">
      <c r="H25451" s="711"/>
      <c r="I25451" s="711"/>
      <c r="J25451" s="711"/>
      <c r="K25451" s="711"/>
      <c r="L25451" s="711"/>
      <c r="Q25451" s="11"/>
      <c r="R25451" s="11"/>
      <c r="S25451" s="11"/>
      <c r="T25451" s="11"/>
    </row>
    <row r="25452" spans="8:20" x14ac:dyDescent="0.35">
      <c r="H25452" s="711"/>
      <c r="I25452" s="711"/>
      <c r="J25452" s="711"/>
      <c r="K25452" s="711"/>
      <c r="L25452" s="711"/>
      <c r="Q25452" s="11"/>
      <c r="R25452" s="11"/>
      <c r="S25452" s="11"/>
      <c r="T25452" s="11"/>
    </row>
    <row r="25453" spans="8:20" x14ac:dyDescent="0.35">
      <c r="H25453" s="711"/>
      <c r="I25453" s="711"/>
      <c r="J25453" s="711"/>
      <c r="K25453" s="711"/>
      <c r="L25453" s="711"/>
      <c r="Q25453" s="11"/>
      <c r="R25453" s="11"/>
      <c r="S25453" s="11"/>
      <c r="T25453" s="11"/>
    </row>
    <row r="25454" spans="8:20" x14ac:dyDescent="0.35">
      <c r="H25454" s="711"/>
      <c r="I25454" s="711"/>
      <c r="J25454" s="711"/>
      <c r="K25454" s="711"/>
      <c r="L25454" s="711"/>
      <c r="Q25454" s="11"/>
      <c r="R25454" s="11"/>
      <c r="S25454" s="11"/>
      <c r="T25454" s="11"/>
    </row>
    <row r="25455" spans="8:20" x14ac:dyDescent="0.35">
      <c r="H25455" s="711"/>
      <c r="I25455" s="711"/>
      <c r="J25455" s="711"/>
      <c r="K25455" s="711"/>
      <c r="L25455" s="711"/>
      <c r="Q25455" s="11"/>
      <c r="R25455" s="11"/>
      <c r="S25455" s="11"/>
      <c r="T25455" s="11"/>
    </row>
    <row r="25456" spans="8:20" x14ac:dyDescent="0.35">
      <c r="H25456" s="711"/>
      <c r="I25456" s="711"/>
      <c r="J25456" s="711"/>
      <c r="K25456" s="711"/>
      <c r="L25456" s="711"/>
      <c r="Q25456" s="11"/>
      <c r="R25456" s="11"/>
      <c r="S25456" s="11"/>
      <c r="T25456" s="11"/>
    </row>
    <row r="25457" spans="8:20" x14ac:dyDescent="0.35">
      <c r="H25457" s="711"/>
      <c r="I25457" s="711"/>
      <c r="J25457" s="711"/>
      <c r="K25457" s="711"/>
      <c r="L25457" s="711"/>
      <c r="Q25457" s="11"/>
      <c r="R25457" s="11"/>
      <c r="S25457" s="11"/>
      <c r="T25457" s="11"/>
    </row>
    <row r="25458" spans="8:20" x14ac:dyDescent="0.35">
      <c r="H25458" s="711"/>
      <c r="I25458" s="711"/>
      <c r="J25458" s="711"/>
      <c r="K25458" s="711"/>
      <c r="L25458" s="711"/>
      <c r="Q25458" s="11"/>
      <c r="R25458" s="11"/>
      <c r="S25458" s="11"/>
      <c r="T25458" s="11"/>
    </row>
    <row r="25459" spans="8:20" x14ac:dyDescent="0.35">
      <c r="H25459" s="711"/>
      <c r="I25459" s="711"/>
      <c r="J25459" s="711"/>
      <c r="K25459" s="711"/>
      <c r="L25459" s="711"/>
      <c r="Q25459" s="11"/>
      <c r="R25459" s="11"/>
      <c r="S25459" s="11"/>
      <c r="T25459" s="11"/>
    </row>
    <row r="25460" spans="8:20" x14ac:dyDescent="0.35">
      <c r="H25460" s="711"/>
      <c r="I25460" s="711"/>
      <c r="J25460" s="711"/>
      <c r="K25460" s="711"/>
      <c r="L25460" s="711"/>
      <c r="Q25460" s="11"/>
      <c r="R25460" s="11"/>
      <c r="S25460" s="11"/>
      <c r="T25460" s="11"/>
    </row>
    <row r="25461" spans="8:20" x14ac:dyDescent="0.35">
      <c r="H25461" s="711"/>
      <c r="I25461" s="711"/>
      <c r="J25461" s="711"/>
      <c r="K25461" s="711"/>
      <c r="L25461" s="711"/>
      <c r="Q25461" s="11"/>
      <c r="R25461" s="11"/>
      <c r="S25461" s="11"/>
      <c r="T25461" s="11"/>
    </row>
    <row r="25462" spans="8:20" x14ac:dyDescent="0.35">
      <c r="H25462" s="711"/>
      <c r="I25462" s="711"/>
      <c r="J25462" s="711"/>
      <c r="K25462" s="711"/>
      <c r="L25462" s="711"/>
      <c r="Q25462" s="11"/>
      <c r="R25462" s="11"/>
      <c r="S25462" s="11"/>
      <c r="T25462" s="11"/>
    </row>
    <row r="25463" spans="8:20" x14ac:dyDescent="0.35">
      <c r="H25463" s="711"/>
      <c r="I25463" s="711"/>
      <c r="J25463" s="711"/>
      <c r="K25463" s="711"/>
      <c r="L25463" s="711"/>
      <c r="Q25463" s="11"/>
      <c r="R25463" s="11"/>
      <c r="S25463" s="11"/>
      <c r="T25463" s="11"/>
    </row>
    <row r="25464" spans="8:20" x14ac:dyDescent="0.35">
      <c r="H25464" s="711"/>
      <c r="I25464" s="711"/>
      <c r="J25464" s="711"/>
      <c r="K25464" s="711"/>
      <c r="L25464" s="711"/>
      <c r="Q25464" s="11"/>
      <c r="R25464" s="11"/>
      <c r="S25464" s="11"/>
      <c r="T25464" s="11"/>
    </row>
    <row r="25465" spans="8:20" x14ac:dyDescent="0.35">
      <c r="H25465" s="711"/>
      <c r="I25465" s="711"/>
      <c r="J25465" s="711"/>
      <c r="K25465" s="711"/>
      <c r="L25465" s="711"/>
      <c r="Q25465" s="11"/>
      <c r="R25465" s="11"/>
      <c r="S25465" s="11"/>
      <c r="T25465" s="11"/>
    </row>
    <row r="25466" spans="8:20" x14ac:dyDescent="0.35">
      <c r="H25466" s="711"/>
      <c r="I25466" s="711"/>
      <c r="J25466" s="711"/>
      <c r="K25466" s="711"/>
      <c r="L25466" s="711"/>
      <c r="Q25466" s="11"/>
      <c r="R25466" s="11"/>
      <c r="S25466" s="11"/>
      <c r="T25466" s="11"/>
    </row>
    <row r="25467" spans="8:20" x14ac:dyDescent="0.35">
      <c r="H25467" s="711"/>
      <c r="I25467" s="711"/>
      <c r="J25467" s="711"/>
      <c r="K25467" s="711"/>
      <c r="L25467" s="711"/>
      <c r="Q25467" s="11"/>
      <c r="R25467" s="11"/>
      <c r="S25467" s="11"/>
      <c r="T25467" s="11"/>
    </row>
    <row r="25468" spans="8:20" x14ac:dyDescent="0.35">
      <c r="H25468" s="711"/>
      <c r="I25468" s="711"/>
      <c r="J25468" s="711"/>
      <c r="K25468" s="711"/>
      <c r="L25468" s="711"/>
      <c r="Q25468" s="11"/>
      <c r="R25468" s="11"/>
      <c r="S25468" s="11"/>
      <c r="T25468" s="11"/>
    </row>
    <row r="25469" spans="8:20" x14ac:dyDescent="0.35">
      <c r="H25469" s="711"/>
      <c r="I25469" s="711"/>
      <c r="J25469" s="711"/>
      <c r="K25469" s="711"/>
      <c r="L25469" s="711"/>
      <c r="Q25469" s="11"/>
      <c r="R25469" s="11"/>
      <c r="S25469" s="11"/>
      <c r="T25469" s="11"/>
    </row>
    <row r="25470" spans="8:20" x14ac:dyDescent="0.35">
      <c r="H25470" s="711"/>
      <c r="I25470" s="711"/>
      <c r="J25470" s="711"/>
      <c r="K25470" s="711"/>
      <c r="L25470" s="711"/>
      <c r="Q25470" s="11"/>
      <c r="R25470" s="11"/>
      <c r="S25470" s="11"/>
      <c r="T25470" s="11"/>
    </row>
    <row r="25471" spans="8:20" x14ac:dyDescent="0.35">
      <c r="H25471" s="711"/>
      <c r="I25471" s="711"/>
      <c r="J25471" s="711"/>
      <c r="K25471" s="711"/>
      <c r="L25471" s="711"/>
      <c r="Q25471" s="11"/>
      <c r="R25471" s="11"/>
      <c r="S25471" s="11"/>
      <c r="T25471" s="11"/>
    </row>
    <row r="25472" spans="8:20" x14ac:dyDescent="0.35">
      <c r="H25472" s="711"/>
      <c r="I25472" s="711"/>
      <c r="J25472" s="711"/>
      <c r="K25472" s="711"/>
      <c r="L25472" s="711"/>
      <c r="Q25472" s="11"/>
      <c r="R25472" s="11"/>
      <c r="S25472" s="11"/>
      <c r="T25472" s="11"/>
    </row>
    <row r="25473" spans="8:20" x14ac:dyDescent="0.35">
      <c r="H25473" s="711"/>
      <c r="I25473" s="711"/>
      <c r="J25473" s="711"/>
      <c r="K25473" s="711"/>
      <c r="L25473" s="711"/>
      <c r="Q25473" s="11"/>
      <c r="R25473" s="11"/>
      <c r="S25473" s="11"/>
      <c r="T25473" s="11"/>
    </row>
    <row r="25474" spans="8:20" x14ac:dyDescent="0.35">
      <c r="H25474" s="711"/>
      <c r="I25474" s="711"/>
      <c r="J25474" s="711"/>
      <c r="K25474" s="711"/>
      <c r="L25474" s="711"/>
      <c r="Q25474" s="11"/>
      <c r="R25474" s="11"/>
      <c r="S25474" s="11"/>
      <c r="T25474" s="11"/>
    </row>
    <row r="25475" spans="8:20" x14ac:dyDescent="0.35">
      <c r="H25475" s="711"/>
      <c r="I25475" s="711"/>
      <c r="J25475" s="711"/>
      <c r="K25475" s="711"/>
      <c r="L25475" s="711"/>
      <c r="Q25475" s="11"/>
      <c r="R25475" s="11"/>
      <c r="S25475" s="11"/>
      <c r="T25475" s="11"/>
    </row>
    <row r="25476" spans="8:20" x14ac:dyDescent="0.35">
      <c r="H25476" s="711"/>
      <c r="I25476" s="711"/>
      <c r="J25476" s="711"/>
      <c r="K25476" s="711"/>
      <c r="L25476" s="711"/>
      <c r="Q25476" s="11"/>
      <c r="R25476" s="11"/>
      <c r="S25476" s="11"/>
      <c r="T25476" s="11"/>
    </row>
    <row r="25477" spans="8:20" x14ac:dyDescent="0.35">
      <c r="H25477" s="711"/>
      <c r="I25477" s="711"/>
      <c r="J25477" s="711"/>
      <c r="K25477" s="711"/>
      <c r="L25477" s="711"/>
      <c r="Q25477" s="11"/>
      <c r="R25477" s="11"/>
      <c r="S25477" s="11"/>
      <c r="T25477" s="11"/>
    </row>
    <row r="25478" spans="8:20" x14ac:dyDescent="0.35">
      <c r="H25478" s="711"/>
      <c r="I25478" s="711"/>
      <c r="J25478" s="711"/>
      <c r="K25478" s="711"/>
      <c r="L25478" s="711"/>
      <c r="Q25478" s="11"/>
      <c r="R25478" s="11"/>
      <c r="S25478" s="11"/>
      <c r="T25478" s="11"/>
    </row>
    <row r="25479" spans="8:20" x14ac:dyDescent="0.35">
      <c r="H25479" s="711"/>
      <c r="I25479" s="711"/>
      <c r="J25479" s="711"/>
      <c r="K25479" s="711"/>
      <c r="L25479" s="711"/>
      <c r="Q25479" s="11"/>
      <c r="R25479" s="11"/>
      <c r="S25479" s="11"/>
      <c r="T25479" s="11"/>
    </row>
    <row r="25480" spans="8:20" x14ac:dyDescent="0.35">
      <c r="H25480" s="711"/>
      <c r="I25480" s="711"/>
      <c r="J25480" s="711"/>
      <c r="K25480" s="711"/>
      <c r="L25480" s="711"/>
      <c r="Q25480" s="11"/>
      <c r="R25480" s="11"/>
      <c r="S25480" s="11"/>
      <c r="T25480" s="11"/>
    </row>
    <row r="25481" spans="8:20" x14ac:dyDescent="0.35">
      <c r="H25481" s="711"/>
      <c r="I25481" s="711"/>
      <c r="J25481" s="711"/>
      <c r="K25481" s="711"/>
      <c r="L25481" s="711"/>
      <c r="Q25481" s="11"/>
      <c r="R25481" s="11"/>
      <c r="S25481" s="11"/>
      <c r="T25481" s="11"/>
    </row>
    <row r="25482" spans="8:20" x14ac:dyDescent="0.35">
      <c r="H25482" s="711"/>
      <c r="I25482" s="711"/>
      <c r="J25482" s="711"/>
      <c r="K25482" s="711"/>
      <c r="L25482" s="711"/>
      <c r="Q25482" s="11"/>
      <c r="R25482" s="11"/>
      <c r="S25482" s="11"/>
      <c r="T25482" s="11"/>
    </row>
    <row r="25483" spans="8:20" x14ac:dyDescent="0.35">
      <c r="H25483" s="711"/>
      <c r="I25483" s="711"/>
      <c r="J25483" s="711"/>
      <c r="K25483" s="711"/>
      <c r="L25483" s="711"/>
      <c r="Q25483" s="11"/>
      <c r="R25483" s="11"/>
      <c r="S25483" s="11"/>
      <c r="T25483" s="11"/>
    </row>
    <row r="25484" spans="8:20" x14ac:dyDescent="0.35">
      <c r="H25484" s="711"/>
      <c r="I25484" s="711"/>
      <c r="J25484" s="711"/>
      <c r="K25484" s="711"/>
      <c r="L25484" s="711"/>
      <c r="Q25484" s="11"/>
      <c r="R25484" s="11"/>
      <c r="S25484" s="11"/>
      <c r="T25484" s="11"/>
    </row>
    <row r="25485" spans="8:20" x14ac:dyDescent="0.35">
      <c r="H25485" s="711"/>
      <c r="I25485" s="711"/>
      <c r="J25485" s="711"/>
      <c r="K25485" s="711"/>
      <c r="L25485" s="711"/>
      <c r="Q25485" s="11"/>
      <c r="R25485" s="11"/>
      <c r="S25485" s="11"/>
      <c r="T25485" s="11"/>
    </row>
    <row r="25486" spans="8:20" x14ac:dyDescent="0.35">
      <c r="H25486" s="711"/>
      <c r="I25486" s="711"/>
      <c r="J25486" s="711"/>
      <c r="K25486" s="711"/>
      <c r="L25486" s="711"/>
      <c r="Q25486" s="11"/>
      <c r="R25486" s="11"/>
      <c r="S25486" s="11"/>
      <c r="T25486" s="11"/>
    </row>
    <row r="25487" spans="8:20" x14ac:dyDescent="0.35">
      <c r="H25487" s="711"/>
      <c r="I25487" s="711"/>
      <c r="J25487" s="711"/>
      <c r="K25487" s="711"/>
      <c r="L25487" s="711"/>
      <c r="Q25487" s="11"/>
      <c r="R25487" s="11"/>
      <c r="S25487" s="11"/>
      <c r="T25487" s="11"/>
    </row>
    <row r="25488" spans="8:20" x14ac:dyDescent="0.35">
      <c r="H25488" s="711"/>
      <c r="I25488" s="711"/>
      <c r="J25488" s="711"/>
      <c r="K25488" s="711"/>
      <c r="L25488" s="711"/>
      <c r="Q25488" s="11"/>
      <c r="R25488" s="11"/>
      <c r="S25488" s="11"/>
      <c r="T25488" s="11"/>
    </row>
    <row r="25489" spans="8:20" x14ac:dyDescent="0.35">
      <c r="H25489" s="711"/>
      <c r="I25489" s="711"/>
      <c r="J25489" s="711"/>
      <c r="K25489" s="711"/>
      <c r="L25489" s="711"/>
      <c r="Q25489" s="11"/>
      <c r="R25489" s="11"/>
      <c r="S25489" s="11"/>
      <c r="T25489" s="11"/>
    </row>
    <row r="25490" spans="8:20" x14ac:dyDescent="0.35">
      <c r="H25490" s="711"/>
      <c r="I25490" s="711"/>
      <c r="J25490" s="711"/>
      <c r="K25490" s="711"/>
      <c r="L25490" s="711"/>
      <c r="Q25490" s="11"/>
      <c r="R25490" s="11"/>
      <c r="S25490" s="11"/>
      <c r="T25490" s="11"/>
    </row>
    <row r="25491" spans="8:20" x14ac:dyDescent="0.35">
      <c r="H25491" s="711"/>
      <c r="I25491" s="711"/>
      <c r="J25491" s="711"/>
      <c r="K25491" s="711"/>
      <c r="L25491" s="711"/>
      <c r="Q25491" s="11"/>
      <c r="R25491" s="11"/>
      <c r="S25491" s="11"/>
      <c r="T25491" s="11"/>
    </row>
    <row r="25492" spans="8:20" x14ac:dyDescent="0.35">
      <c r="H25492" s="711"/>
      <c r="I25492" s="711"/>
      <c r="J25492" s="711"/>
      <c r="K25492" s="711"/>
      <c r="L25492" s="711"/>
      <c r="Q25492" s="11"/>
      <c r="R25492" s="11"/>
      <c r="S25492" s="11"/>
      <c r="T25492" s="11"/>
    </row>
    <row r="25493" spans="8:20" x14ac:dyDescent="0.35">
      <c r="H25493" s="711"/>
      <c r="I25493" s="711"/>
      <c r="J25493" s="711"/>
      <c r="K25493" s="711"/>
      <c r="L25493" s="711"/>
      <c r="Q25493" s="11"/>
      <c r="R25493" s="11"/>
      <c r="S25493" s="11"/>
      <c r="T25493" s="11"/>
    </row>
    <row r="25494" spans="8:20" x14ac:dyDescent="0.35">
      <c r="H25494" s="711"/>
      <c r="I25494" s="711"/>
      <c r="J25494" s="711"/>
      <c r="K25494" s="711"/>
      <c r="L25494" s="711"/>
      <c r="Q25494" s="11"/>
      <c r="R25494" s="11"/>
      <c r="S25494" s="11"/>
      <c r="T25494" s="11"/>
    </row>
    <row r="25495" spans="8:20" x14ac:dyDescent="0.35">
      <c r="H25495" s="711"/>
      <c r="I25495" s="711"/>
      <c r="J25495" s="711"/>
      <c r="K25495" s="711"/>
      <c r="L25495" s="711"/>
      <c r="Q25495" s="11"/>
      <c r="R25495" s="11"/>
      <c r="S25495" s="11"/>
      <c r="T25495" s="11"/>
    </row>
    <row r="25496" spans="8:20" x14ac:dyDescent="0.35">
      <c r="H25496" s="711"/>
      <c r="I25496" s="711"/>
      <c r="J25496" s="711"/>
      <c r="K25496" s="711"/>
      <c r="L25496" s="711"/>
      <c r="Q25496" s="11"/>
      <c r="R25496" s="11"/>
      <c r="S25496" s="11"/>
      <c r="T25496" s="11"/>
    </row>
    <row r="25497" spans="8:20" x14ac:dyDescent="0.35">
      <c r="H25497" s="711"/>
      <c r="I25497" s="711"/>
      <c r="J25497" s="711"/>
      <c r="K25497" s="711"/>
      <c r="L25497" s="711"/>
      <c r="Q25497" s="11"/>
      <c r="R25497" s="11"/>
      <c r="S25497" s="11"/>
      <c r="T25497" s="11"/>
    </row>
    <row r="25498" spans="8:20" x14ac:dyDescent="0.35">
      <c r="H25498" s="711"/>
      <c r="I25498" s="711"/>
      <c r="J25498" s="711"/>
      <c r="K25498" s="711"/>
      <c r="L25498" s="711"/>
      <c r="Q25498" s="11"/>
      <c r="R25498" s="11"/>
      <c r="S25498" s="11"/>
      <c r="T25498" s="11"/>
    </row>
    <row r="25499" spans="8:20" x14ac:dyDescent="0.35">
      <c r="H25499" s="711"/>
      <c r="I25499" s="711"/>
      <c r="J25499" s="711"/>
      <c r="K25499" s="711"/>
      <c r="L25499" s="711"/>
      <c r="Q25499" s="11"/>
      <c r="R25499" s="11"/>
      <c r="S25499" s="11"/>
      <c r="T25499" s="11"/>
    </row>
    <row r="25500" spans="8:20" x14ac:dyDescent="0.35">
      <c r="H25500" s="711"/>
      <c r="I25500" s="711"/>
      <c r="J25500" s="711"/>
      <c r="K25500" s="711"/>
      <c r="L25500" s="711"/>
      <c r="Q25500" s="11"/>
      <c r="R25500" s="11"/>
      <c r="S25500" s="11"/>
      <c r="T25500" s="11"/>
    </row>
    <row r="25501" spans="8:20" x14ac:dyDescent="0.35">
      <c r="H25501" s="711"/>
      <c r="I25501" s="711"/>
      <c r="J25501" s="711"/>
      <c r="K25501" s="711"/>
      <c r="L25501" s="711"/>
      <c r="Q25501" s="11"/>
      <c r="R25501" s="11"/>
      <c r="S25501" s="11"/>
      <c r="T25501" s="11"/>
    </row>
    <row r="25502" spans="8:20" x14ac:dyDescent="0.35">
      <c r="H25502" s="711"/>
      <c r="I25502" s="711"/>
      <c r="J25502" s="711"/>
      <c r="K25502" s="711"/>
      <c r="L25502" s="711"/>
      <c r="Q25502" s="11"/>
      <c r="R25502" s="11"/>
      <c r="S25502" s="11"/>
      <c r="T25502" s="11"/>
    </row>
    <row r="25503" spans="8:20" x14ac:dyDescent="0.35">
      <c r="H25503" s="711"/>
      <c r="I25503" s="711"/>
      <c r="J25503" s="711"/>
      <c r="K25503" s="711"/>
      <c r="L25503" s="711"/>
      <c r="Q25503" s="11"/>
      <c r="R25503" s="11"/>
      <c r="S25503" s="11"/>
      <c r="T25503" s="11"/>
    </row>
    <row r="25504" spans="8:20" x14ac:dyDescent="0.35">
      <c r="H25504" s="711"/>
      <c r="I25504" s="711"/>
      <c r="J25504" s="711"/>
      <c r="K25504" s="711"/>
      <c r="L25504" s="711"/>
      <c r="Q25504" s="11"/>
      <c r="R25504" s="11"/>
      <c r="S25504" s="11"/>
      <c r="T25504" s="11"/>
    </row>
    <row r="25505" spans="8:20" x14ac:dyDescent="0.35">
      <c r="H25505" s="711"/>
      <c r="I25505" s="711"/>
      <c r="J25505" s="711"/>
      <c r="K25505" s="711"/>
      <c r="L25505" s="711"/>
      <c r="Q25505" s="11"/>
      <c r="R25505" s="11"/>
      <c r="S25505" s="11"/>
      <c r="T25505" s="11"/>
    </row>
    <row r="25506" spans="8:20" x14ac:dyDescent="0.35">
      <c r="H25506" s="711"/>
      <c r="I25506" s="711"/>
      <c r="J25506" s="711"/>
      <c r="K25506" s="711"/>
      <c r="L25506" s="711"/>
      <c r="Q25506" s="11"/>
      <c r="R25506" s="11"/>
      <c r="S25506" s="11"/>
      <c r="T25506" s="11"/>
    </row>
    <row r="25507" spans="8:20" x14ac:dyDescent="0.35">
      <c r="H25507" s="711"/>
      <c r="I25507" s="711"/>
      <c r="J25507" s="711"/>
      <c r="K25507" s="711"/>
      <c r="L25507" s="711"/>
      <c r="Q25507" s="11"/>
      <c r="R25507" s="11"/>
      <c r="S25507" s="11"/>
      <c r="T25507" s="11"/>
    </row>
    <row r="25508" spans="8:20" x14ac:dyDescent="0.35">
      <c r="H25508" s="711"/>
      <c r="I25508" s="711"/>
      <c r="J25508" s="711"/>
      <c r="K25508" s="711"/>
      <c r="L25508" s="711"/>
      <c r="Q25508" s="11"/>
      <c r="R25508" s="11"/>
      <c r="S25508" s="11"/>
      <c r="T25508" s="11"/>
    </row>
    <row r="25509" spans="8:20" x14ac:dyDescent="0.35">
      <c r="H25509" s="711"/>
      <c r="I25509" s="711"/>
      <c r="J25509" s="711"/>
      <c r="K25509" s="711"/>
      <c r="L25509" s="711"/>
      <c r="Q25509" s="11"/>
      <c r="R25509" s="11"/>
      <c r="S25509" s="11"/>
      <c r="T25509" s="11"/>
    </row>
    <row r="25510" spans="8:20" x14ac:dyDescent="0.35">
      <c r="H25510" s="711"/>
      <c r="I25510" s="711"/>
      <c r="J25510" s="711"/>
      <c r="K25510" s="711"/>
      <c r="L25510" s="711"/>
      <c r="Q25510" s="11"/>
      <c r="R25510" s="11"/>
      <c r="S25510" s="11"/>
      <c r="T25510" s="11"/>
    </row>
    <row r="25511" spans="8:20" x14ac:dyDescent="0.35">
      <c r="H25511" s="711"/>
      <c r="I25511" s="711"/>
      <c r="J25511" s="711"/>
      <c r="K25511" s="711"/>
      <c r="L25511" s="711"/>
      <c r="Q25511" s="11"/>
      <c r="R25511" s="11"/>
      <c r="S25511" s="11"/>
      <c r="T25511" s="11"/>
    </row>
    <row r="25512" spans="8:20" x14ac:dyDescent="0.35">
      <c r="H25512" s="711"/>
      <c r="I25512" s="711"/>
      <c r="J25512" s="711"/>
      <c r="K25512" s="711"/>
      <c r="L25512" s="711"/>
      <c r="Q25512" s="11"/>
      <c r="R25512" s="11"/>
      <c r="S25512" s="11"/>
      <c r="T25512" s="11"/>
    </row>
    <row r="25513" spans="8:20" x14ac:dyDescent="0.35">
      <c r="H25513" s="711"/>
      <c r="I25513" s="711"/>
      <c r="J25513" s="711"/>
      <c r="K25513" s="711"/>
      <c r="L25513" s="711"/>
      <c r="Q25513" s="11"/>
      <c r="R25513" s="11"/>
      <c r="S25513" s="11"/>
      <c r="T25513" s="11"/>
    </row>
    <row r="25514" spans="8:20" x14ac:dyDescent="0.35">
      <c r="H25514" s="711"/>
      <c r="I25514" s="711"/>
      <c r="J25514" s="711"/>
      <c r="K25514" s="711"/>
      <c r="L25514" s="711"/>
      <c r="Q25514" s="11"/>
      <c r="R25514" s="11"/>
      <c r="S25514" s="11"/>
      <c r="T25514" s="11"/>
    </row>
    <row r="25515" spans="8:20" x14ac:dyDescent="0.35">
      <c r="H25515" s="711"/>
      <c r="I25515" s="711"/>
      <c r="J25515" s="711"/>
      <c r="K25515" s="711"/>
      <c r="L25515" s="711"/>
      <c r="Q25515" s="11"/>
      <c r="R25515" s="11"/>
      <c r="S25515" s="11"/>
      <c r="T25515" s="11"/>
    </row>
    <row r="25516" spans="8:20" x14ac:dyDescent="0.35">
      <c r="H25516" s="711"/>
      <c r="I25516" s="711"/>
      <c r="J25516" s="711"/>
      <c r="K25516" s="711"/>
      <c r="L25516" s="711"/>
      <c r="Q25516" s="11"/>
      <c r="R25516" s="11"/>
      <c r="S25516" s="11"/>
      <c r="T25516" s="11"/>
    </row>
    <row r="25517" spans="8:20" x14ac:dyDescent="0.35">
      <c r="H25517" s="711"/>
      <c r="I25517" s="711"/>
      <c r="J25517" s="711"/>
      <c r="K25517" s="711"/>
      <c r="L25517" s="711"/>
      <c r="Q25517" s="11"/>
      <c r="R25517" s="11"/>
      <c r="S25517" s="11"/>
      <c r="T25517" s="11"/>
    </row>
    <row r="25518" spans="8:20" x14ac:dyDescent="0.35">
      <c r="H25518" s="711"/>
      <c r="I25518" s="711"/>
      <c r="J25518" s="711"/>
      <c r="K25518" s="711"/>
      <c r="L25518" s="711"/>
      <c r="Q25518" s="11"/>
      <c r="R25518" s="11"/>
      <c r="S25518" s="11"/>
      <c r="T25518" s="11"/>
    </row>
    <row r="25519" spans="8:20" x14ac:dyDescent="0.35">
      <c r="H25519" s="711"/>
      <c r="I25519" s="711"/>
      <c r="J25519" s="711"/>
      <c r="K25519" s="711"/>
      <c r="L25519" s="711"/>
      <c r="Q25519" s="11"/>
      <c r="R25519" s="11"/>
      <c r="S25519" s="11"/>
      <c r="T25519" s="11"/>
    </row>
    <row r="25520" spans="8:20" x14ac:dyDescent="0.35">
      <c r="H25520" s="711"/>
      <c r="I25520" s="711"/>
      <c r="J25520" s="711"/>
      <c r="K25520" s="711"/>
      <c r="L25520" s="711"/>
      <c r="Q25520" s="11"/>
      <c r="R25520" s="11"/>
      <c r="S25520" s="11"/>
      <c r="T25520" s="11"/>
    </row>
    <row r="25521" spans="8:20" x14ac:dyDescent="0.35">
      <c r="H25521" s="711"/>
      <c r="I25521" s="711"/>
      <c r="J25521" s="711"/>
      <c r="K25521" s="711"/>
      <c r="L25521" s="711"/>
      <c r="Q25521" s="11"/>
      <c r="R25521" s="11"/>
      <c r="S25521" s="11"/>
      <c r="T25521" s="11"/>
    </row>
    <row r="25522" spans="8:20" x14ac:dyDescent="0.35">
      <c r="H25522" s="711"/>
      <c r="I25522" s="711"/>
      <c r="J25522" s="711"/>
      <c r="K25522" s="711"/>
      <c r="L25522" s="711"/>
      <c r="Q25522" s="11"/>
      <c r="R25522" s="11"/>
      <c r="S25522" s="11"/>
      <c r="T25522" s="11"/>
    </row>
    <row r="25523" spans="8:20" x14ac:dyDescent="0.35">
      <c r="H25523" s="711"/>
      <c r="I25523" s="711"/>
      <c r="J25523" s="711"/>
      <c r="K25523" s="711"/>
      <c r="L25523" s="711"/>
      <c r="Q25523" s="11"/>
      <c r="R25523" s="11"/>
      <c r="S25523" s="11"/>
      <c r="T25523" s="11"/>
    </row>
    <row r="25524" spans="8:20" x14ac:dyDescent="0.35">
      <c r="H25524" s="711"/>
      <c r="I25524" s="711"/>
      <c r="J25524" s="711"/>
      <c r="K25524" s="711"/>
      <c r="L25524" s="711"/>
      <c r="Q25524" s="11"/>
      <c r="R25524" s="11"/>
      <c r="S25524" s="11"/>
      <c r="T25524" s="11"/>
    </row>
    <row r="25525" spans="8:20" x14ac:dyDescent="0.35">
      <c r="H25525" s="711"/>
      <c r="I25525" s="711"/>
      <c r="J25525" s="711"/>
      <c r="K25525" s="711"/>
      <c r="L25525" s="711"/>
      <c r="Q25525" s="11"/>
      <c r="R25525" s="11"/>
      <c r="S25525" s="11"/>
      <c r="T25525" s="11"/>
    </row>
    <row r="25526" spans="8:20" x14ac:dyDescent="0.35">
      <c r="H25526" s="711"/>
      <c r="I25526" s="711"/>
      <c r="J25526" s="711"/>
      <c r="K25526" s="711"/>
      <c r="L25526" s="711"/>
      <c r="Q25526" s="11"/>
      <c r="R25526" s="11"/>
      <c r="S25526" s="11"/>
      <c r="T25526" s="11"/>
    </row>
    <row r="25527" spans="8:20" x14ac:dyDescent="0.35">
      <c r="H25527" s="711"/>
      <c r="I25527" s="711"/>
      <c r="J25527" s="711"/>
      <c r="K25527" s="711"/>
      <c r="L25527" s="711"/>
      <c r="Q25527" s="11"/>
      <c r="R25527" s="11"/>
      <c r="S25527" s="11"/>
      <c r="T25527" s="11"/>
    </row>
    <row r="25528" spans="8:20" x14ac:dyDescent="0.35">
      <c r="H25528" s="711"/>
      <c r="I25528" s="711"/>
      <c r="J25528" s="711"/>
      <c r="K25528" s="711"/>
      <c r="L25528" s="711"/>
      <c r="Q25528" s="11"/>
      <c r="R25528" s="11"/>
      <c r="S25528" s="11"/>
      <c r="T25528" s="11"/>
    </row>
    <row r="25529" spans="8:20" x14ac:dyDescent="0.35">
      <c r="H25529" s="711"/>
      <c r="I25529" s="711"/>
      <c r="J25529" s="711"/>
      <c r="K25529" s="711"/>
      <c r="L25529" s="711"/>
      <c r="Q25529" s="11"/>
      <c r="R25529" s="11"/>
      <c r="S25529" s="11"/>
      <c r="T25529" s="11"/>
    </row>
    <row r="25530" spans="8:20" x14ac:dyDescent="0.35">
      <c r="H25530" s="711"/>
      <c r="I25530" s="711"/>
      <c r="J25530" s="711"/>
      <c r="K25530" s="711"/>
      <c r="L25530" s="711"/>
      <c r="Q25530" s="11"/>
      <c r="R25530" s="11"/>
      <c r="S25530" s="11"/>
      <c r="T25530" s="11"/>
    </row>
    <row r="25531" spans="8:20" x14ac:dyDescent="0.35">
      <c r="H25531" s="711"/>
      <c r="I25531" s="711"/>
      <c r="J25531" s="711"/>
      <c r="K25531" s="711"/>
      <c r="L25531" s="711"/>
      <c r="Q25531" s="11"/>
      <c r="R25531" s="11"/>
      <c r="S25531" s="11"/>
      <c r="T25531" s="11"/>
    </row>
    <row r="25532" spans="8:20" x14ac:dyDescent="0.35">
      <c r="H25532" s="711"/>
      <c r="I25532" s="711"/>
      <c r="J25532" s="711"/>
      <c r="K25532" s="711"/>
      <c r="L25532" s="711"/>
      <c r="Q25532" s="11"/>
      <c r="R25532" s="11"/>
      <c r="S25532" s="11"/>
      <c r="T25532" s="11"/>
    </row>
    <row r="25533" spans="8:20" x14ac:dyDescent="0.35">
      <c r="H25533" s="711"/>
      <c r="I25533" s="711"/>
      <c r="J25533" s="711"/>
      <c r="K25533" s="711"/>
      <c r="L25533" s="711"/>
      <c r="Q25533" s="11"/>
      <c r="R25533" s="11"/>
      <c r="S25533" s="11"/>
      <c r="T25533" s="11"/>
    </row>
    <row r="25534" spans="8:20" x14ac:dyDescent="0.35">
      <c r="H25534" s="711"/>
      <c r="I25534" s="711"/>
      <c r="J25534" s="711"/>
      <c r="K25534" s="711"/>
      <c r="L25534" s="711"/>
      <c r="Q25534" s="11"/>
      <c r="R25534" s="11"/>
      <c r="S25534" s="11"/>
      <c r="T25534" s="11"/>
    </row>
    <row r="25535" spans="8:20" x14ac:dyDescent="0.35">
      <c r="H25535" s="711"/>
      <c r="I25535" s="711"/>
      <c r="J25535" s="711"/>
      <c r="K25535" s="711"/>
      <c r="L25535" s="711"/>
      <c r="Q25535" s="11"/>
      <c r="R25535" s="11"/>
      <c r="S25535" s="11"/>
      <c r="T25535" s="11"/>
    </row>
    <row r="25536" spans="8:20" x14ac:dyDescent="0.35">
      <c r="H25536" s="711"/>
      <c r="I25536" s="711"/>
      <c r="J25536" s="711"/>
      <c r="K25536" s="711"/>
      <c r="L25536" s="711"/>
      <c r="Q25536" s="11"/>
      <c r="R25536" s="11"/>
      <c r="S25536" s="11"/>
      <c r="T25536" s="11"/>
    </row>
    <row r="25537" spans="8:20" x14ac:dyDescent="0.35">
      <c r="H25537" s="711"/>
      <c r="I25537" s="711"/>
      <c r="J25537" s="711"/>
      <c r="K25537" s="711"/>
      <c r="L25537" s="711"/>
      <c r="Q25537" s="11"/>
      <c r="R25537" s="11"/>
      <c r="S25537" s="11"/>
      <c r="T25537" s="11"/>
    </row>
    <row r="25538" spans="8:20" x14ac:dyDescent="0.35">
      <c r="H25538" s="711"/>
      <c r="I25538" s="711"/>
      <c r="J25538" s="711"/>
      <c r="K25538" s="711"/>
      <c r="L25538" s="711"/>
      <c r="Q25538" s="11"/>
      <c r="R25538" s="11"/>
      <c r="S25538" s="11"/>
      <c r="T25538" s="11"/>
    </row>
    <row r="25539" spans="8:20" x14ac:dyDescent="0.35">
      <c r="H25539" s="711"/>
      <c r="I25539" s="711"/>
      <c r="J25539" s="711"/>
      <c r="K25539" s="711"/>
      <c r="L25539" s="711"/>
      <c r="Q25539" s="11"/>
      <c r="R25539" s="11"/>
      <c r="S25539" s="11"/>
      <c r="T25539" s="11"/>
    </row>
    <row r="25540" spans="8:20" x14ac:dyDescent="0.35">
      <c r="H25540" s="711"/>
      <c r="I25540" s="711"/>
      <c r="J25540" s="711"/>
      <c r="K25540" s="711"/>
      <c r="L25540" s="711"/>
      <c r="Q25540" s="11"/>
      <c r="R25540" s="11"/>
      <c r="S25540" s="11"/>
      <c r="T25540" s="11"/>
    </row>
    <row r="25541" spans="8:20" x14ac:dyDescent="0.35">
      <c r="H25541" s="711"/>
      <c r="I25541" s="711"/>
      <c r="J25541" s="711"/>
      <c r="K25541" s="711"/>
      <c r="L25541" s="711"/>
      <c r="Q25541" s="11"/>
      <c r="R25541" s="11"/>
      <c r="S25541" s="11"/>
      <c r="T25541" s="11"/>
    </row>
    <row r="25542" spans="8:20" x14ac:dyDescent="0.35">
      <c r="H25542" s="711"/>
      <c r="I25542" s="711"/>
      <c r="J25542" s="711"/>
      <c r="K25542" s="711"/>
      <c r="L25542" s="711"/>
      <c r="Q25542" s="11"/>
      <c r="R25542" s="11"/>
      <c r="S25542" s="11"/>
      <c r="T25542" s="11"/>
    </row>
    <row r="25543" spans="8:20" x14ac:dyDescent="0.35">
      <c r="H25543" s="711"/>
      <c r="I25543" s="711"/>
      <c r="J25543" s="711"/>
      <c r="K25543" s="711"/>
      <c r="L25543" s="711"/>
      <c r="Q25543" s="11"/>
      <c r="R25543" s="11"/>
      <c r="S25543" s="11"/>
      <c r="T25543" s="11"/>
    </row>
    <row r="25544" spans="8:20" x14ac:dyDescent="0.35">
      <c r="H25544" s="711"/>
      <c r="I25544" s="711"/>
      <c r="J25544" s="711"/>
      <c r="K25544" s="711"/>
      <c r="L25544" s="711"/>
      <c r="Q25544" s="11"/>
      <c r="R25544" s="11"/>
      <c r="S25544" s="11"/>
      <c r="T25544" s="11"/>
    </row>
    <row r="25545" spans="8:20" x14ac:dyDescent="0.35">
      <c r="H25545" s="711"/>
      <c r="I25545" s="711"/>
      <c r="J25545" s="711"/>
      <c r="K25545" s="711"/>
      <c r="L25545" s="711"/>
      <c r="Q25545" s="11"/>
      <c r="R25545" s="11"/>
      <c r="S25545" s="11"/>
      <c r="T25545" s="11"/>
    </row>
    <row r="25546" spans="8:20" x14ac:dyDescent="0.35">
      <c r="H25546" s="711"/>
      <c r="I25546" s="711"/>
      <c r="J25546" s="711"/>
      <c r="K25546" s="711"/>
      <c r="L25546" s="711"/>
      <c r="Q25546" s="11"/>
      <c r="R25546" s="11"/>
      <c r="S25546" s="11"/>
      <c r="T25546" s="11"/>
    </row>
    <row r="25547" spans="8:20" x14ac:dyDescent="0.35">
      <c r="H25547" s="711"/>
      <c r="I25547" s="711"/>
      <c r="J25547" s="711"/>
      <c r="K25547" s="711"/>
      <c r="L25547" s="711"/>
      <c r="Q25547" s="11"/>
      <c r="R25547" s="11"/>
      <c r="S25547" s="11"/>
      <c r="T25547" s="11"/>
    </row>
    <row r="25548" spans="8:20" x14ac:dyDescent="0.35">
      <c r="H25548" s="711"/>
      <c r="I25548" s="711"/>
      <c r="J25548" s="711"/>
      <c r="K25548" s="711"/>
      <c r="L25548" s="711"/>
      <c r="Q25548" s="11"/>
      <c r="R25548" s="11"/>
      <c r="S25548" s="11"/>
      <c r="T25548" s="11"/>
    </row>
    <row r="25549" spans="8:20" x14ac:dyDescent="0.35">
      <c r="H25549" s="711"/>
      <c r="I25549" s="711"/>
      <c r="J25549" s="711"/>
      <c r="K25549" s="711"/>
      <c r="L25549" s="711"/>
      <c r="Q25549" s="11"/>
      <c r="R25549" s="11"/>
      <c r="S25549" s="11"/>
      <c r="T25549" s="11"/>
    </row>
    <row r="25550" spans="8:20" x14ac:dyDescent="0.35">
      <c r="H25550" s="711"/>
      <c r="I25550" s="711"/>
      <c r="J25550" s="711"/>
      <c r="K25550" s="711"/>
      <c r="L25550" s="711"/>
      <c r="Q25550" s="11"/>
      <c r="R25550" s="11"/>
      <c r="S25550" s="11"/>
      <c r="T25550" s="11"/>
    </row>
    <row r="25551" spans="8:20" x14ac:dyDescent="0.35">
      <c r="H25551" s="711"/>
      <c r="I25551" s="711"/>
      <c r="J25551" s="711"/>
      <c r="K25551" s="711"/>
      <c r="L25551" s="711"/>
      <c r="Q25551" s="11"/>
      <c r="R25551" s="11"/>
      <c r="S25551" s="11"/>
      <c r="T25551" s="11"/>
    </row>
    <row r="25552" spans="8:20" x14ac:dyDescent="0.35">
      <c r="H25552" s="711"/>
      <c r="I25552" s="711"/>
      <c r="J25552" s="711"/>
      <c r="K25552" s="711"/>
      <c r="L25552" s="711"/>
      <c r="Q25552" s="11"/>
      <c r="R25552" s="11"/>
      <c r="S25552" s="11"/>
      <c r="T25552" s="11"/>
    </row>
    <row r="25553" spans="8:20" x14ac:dyDescent="0.35">
      <c r="H25553" s="711"/>
      <c r="I25553" s="711"/>
      <c r="J25553" s="711"/>
      <c r="K25553" s="711"/>
      <c r="L25553" s="711"/>
      <c r="Q25553" s="11"/>
      <c r="R25553" s="11"/>
      <c r="S25553" s="11"/>
      <c r="T25553" s="11"/>
    </row>
    <row r="25554" spans="8:20" x14ac:dyDescent="0.35">
      <c r="H25554" s="711"/>
      <c r="I25554" s="711"/>
      <c r="J25554" s="711"/>
      <c r="K25554" s="711"/>
      <c r="L25554" s="711"/>
      <c r="Q25554" s="11"/>
      <c r="R25554" s="11"/>
      <c r="S25554" s="11"/>
      <c r="T25554" s="11"/>
    </row>
    <row r="25555" spans="8:20" x14ac:dyDescent="0.35">
      <c r="H25555" s="711"/>
      <c r="I25555" s="711"/>
      <c r="J25555" s="711"/>
      <c r="K25555" s="711"/>
      <c r="L25555" s="711"/>
      <c r="Q25555" s="11"/>
      <c r="R25555" s="11"/>
      <c r="S25555" s="11"/>
      <c r="T25555" s="11"/>
    </row>
    <row r="25556" spans="8:20" x14ac:dyDescent="0.35">
      <c r="H25556" s="711"/>
      <c r="I25556" s="711"/>
      <c r="J25556" s="711"/>
      <c r="K25556" s="711"/>
      <c r="L25556" s="711"/>
      <c r="Q25556" s="11"/>
      <c r="R25556" s="11"/>
      <c r="S25556" s="11"/>
      <c r="T25556" s="11"/>
    </row>
    <row r="25557" spans="8:20" x14ac:dyDescent="0.35">
      <c r="H25557" s="711"/>
      <c r="I25557" s="711"/>
      <c r="J25557" s="711"/>
      <c r="K25557" s="711"/>
      <c r="L25557" s="711"/>
      <c r="Q25557" s="11"/>
      <c r="R25557" s="11"/>
      <c r="S25557" s="11"/>
      <c r="T25557" s="11"/>
    </row>
    <row r="25558" spans="8:20" x14ac:dyDescent="0.35">
      <c r="H25558" s="711"/>
      <c r="I25558" s="711"/>
      <c r="J25558" s="711"/>
      <c r="K25558" s="711"/>
      <c r="L25558" s="711"/>
      <c r="Q25558" s="11"/>
      <c r="R25558" s="11"/>
      <c r="S25558" s="11"/>
      <c r="T25558" s="11"/>
    </row>
    <row r="25559" spans="8:20" x14ac:dyDescent="0.35">
      <c r="H25559" s="711"/>
      <c r="I25559" s="711"/>
      <c r="J25559" s="711"/>
      <c r="K25559" s="711"/>
      <c r="L25559" s="711"/>
      <c r="Q25559" s="11"/>
      <c r="R25559" s="11"/>
      <c r="S25559" s="11"/>
      <c r="T25559" s="11"/>
    </row>
    <row r="25560" spans="8:20" x14ac:dyDescent="0.35">
      <c r="H25560" s="711"/>
      <c r="I25560" s="711"/>
      <c r="J25560" s="711"/>
      <c r="K25560" s="711"/>
      <c r="L25560" s="711"/>
      <c r="Q25560" s="11"/>
      <c r="R25560" s="11"/>
      <c r="S25560" s="11"/>
      <c r="T25560" s="11"/>
    </row>
    <row r="25561" spans="8:20" x14ac:dyDescent="0.35">
      <c r="H25561" s="711"/>
      <c r="I25561" s="711"/>
      <c r="J25561" s="711"/>
      <c r="K25561" s="711"/>
      <c r="L25561" s="711"/>
      <c r="Q25561" s="11"/>
      <c r="R25561" s="11"/>
      <c r="S25561" s="11"/>
      <c r="T25561" s="11"/>
    </row>
    <row r="25562" spans="8:20" x14ac:dyDescent="0.35">
      <c r="H25562" s="711"/>
      <c r="I25562" s="711"/>
      <c r="J25562" s="711"/>
      <c r="K25562" s="711"/>
      <c r="L25562" s="711"/>
      <c r="Q25562" s="11"/>
      <c r="R25562" s="11"/>
      <c r="S25562" s="11"/>
      <c r="T25562" s="11"/>
    </row>
    <row r="25563" spans="8:20" x14ac:dyDescent="0.35">
      <c r="H25563" s="711"/>
      <c r="I25563" s="711"/>
      <c r="J25563" s="711"/>
      <c r="K25563" s="711"/>
      <c r="L25563" s="711"/>
      <c r="Q25563" s="11"/>
      <c r="R25563" s="11"/>
      <c r="S25563" s="11"/>
      <c r="T25563" s="11"/>
    </row>
    <row r="25564" spans="8:20" x14ac:dyDescent="0.35">
      <c r="H25564" s="711"/>
      <c r="I25564" s="711"/>
      <c r="J25564" s="711"/>
      <c r="K25564" s="711"/>
      <c r="L25564" s="711"/>
      <c r="Q25564" s="11"/>
      <c r="R25564" s="11"/>
      <c r="S25564" s="11"/>
      <c r="T25564" s="11"/>
    </row>
    <row r="25565" spans="8:20" x14ac:dyDescent="0.35">
      <c r="H25565" s="711"/>
      <c r="I25565" s="711"/>
      <c r="J25565" s="711"/>
      <c r="K25565" s="711"/>
      <c r="L25565" s="711"/>
      <c r="Q25565" s="11"/>
      <c r="R25565" s="11"/>
      <c r="S25565" s="11"/>
      <c r="T25565" s="11"/>
    </row>
    <row r="25566" spans="8:20" x14ac:dyDescent="0.35">
      <c r="H25566" s="711"/>
      <c r="I25566" s="711"/>
      <c r="J25566" s="711"/>
      <c r="K25566" s="711"/>
      <c r="L25566" s="711"/>
      <c r="Q25566" s="11"/>
      <c r="R25566" s="11"/>
      <c r="S25566" s="11"/>
      <c r="T25566" s="11"/>
    </row>
    <row r="25567" spans="8:20" x14ac:dyDescent="0.35">
      <c r="H25567" s="711"/>
      <c r="I25567" s="711"/>
      <c r="J25567" s="711"/>
      <c r="K25567" s="711"/>
      <c r="L25567" s="711"/>
      <c r="Q25567" s="11"/>
      <c r="R25567" s="11"/>
      <c r="S25567" s="11"/>
      <c r="T25567" s="11"/>
    </row>
    <row r="25568" spans="8:20" x14ac:dyDescent="0.35">
      <c r="H25568" s="711"/>
      <c r="I25568" s="711"/>
      <c r="J25568" s="711"/>
      <c r="K25568" s="711"/>
      <c r="L25568" s="711"/>
      <c r="Q25568" s="11"/>
      <c r="R25568" s="11"/>
      <c r="S25568" s="11"/>
      <c r="T25568" s="11"/>
    </row>
    <row r="25569" spans="8:20" x14ac:dyDescent="0.35">
      <c r="H25569" s="711"/>
      <c r="I25569" s="711"/>
      <c r="J25569" s="711"/>
      <c r="K25569" s="711"/>
      <c r="L25569" s="711"/>
      <c r="Q25569" s="11"/>
      <c r="R25569" s="11"/>
      <c r="S25569" s="11"/>
      <c r="T25569" s="11"/>
    </row>
    <row r="25570" spans="8:20" x14ac:dyDescent="0.35">
      <c r="H25570" s="711"/>
      <c r="I25570" s="711"/>
      <c r="J25570" s="711"/>
      <c r="K25570" s="711"/>
      <c r="L25570" s="711"/>
      <c r="Q25570" s="11"/>
      <c r="R25570" s="11"/>
      <c r="S25570" s="11"/>
      <c r="T25570" s="11"/>
    </row>
    <row r="25571" spans="8:20" x14ac:dyDescent="0.35">
      <c r="H25571" s="711"/>
      <c r="I25571" s="711"/>
      <c r="J25571" s="711"/>
      <c r="K25571" s="711"/>
      <c r="L25571" s="711"/>
      <c r="Q25571" s="11"/>
      <c r="R25571" s="11"/>
      <c r="S25571" s="11"/>
      <c r="T25571" s="11"/>
    </row>
    <row r="25572" spans="8:20" x14ac:dyDescent="0.35">
      <c r="H25572" s="711"/>
      <c r="I25572" s="711"/>
      <c r="J25572" s="711"/>
      <c r="K25572" s="711"/>
      <c r="L25572" s="711"/>
      <c r="Q25572" s="11"/>
      <c r="R25572" s="11"/>
      <c r="S25572" s="11"/>
      <c r="T25572" s="11"/>
    </row>
    <row r="25573" spans="8:20" x14ac:dyDescent="0.35">
      <c r="H25573" s="711"/>
      <c r="I25573" s="711"/>
      <c r="J25573" s="711"/>
      <c r="K25573" s="711"/>
      <c r="L25573" s="711"/>
      <c r="Q25573" s="11"/>
      <c r="R25573" s="11"/>
      <c r="S25573" s="11"/>
      <c r="T25573" s="11"/>
    </row>
    <row r="25574" spans="8:20" x14ac:dyDescent="0.35">
      <c r="H25574" s="711"/>
      <c r="I25574" s="711"/>
      <c r="J25574" s="711"/>
      <c r="K25574" s="711"/>
      <c r="L25574" s="711"/>
      <c r="Q25574" s="11"/>
      <c r="R25574" s="11"/>
      <c r="S25574" s="11"/>
      <c r="T25574" s="11"/>
    </row>
    <row r="25575" spans="8:20" x14ac:dyDescent="0.35">
      <c r="H25575" s="711"/>
      <c r="I25575" s="711"/>
      <c r="J25575" s="711"/>
      <c r="K25575" s="711"/>
      <c r="L25575" s="711"/>
      <c r="Q25575" s="11"/>
      <c r="R25575" s="11"/>
      <c r="S25575" s="11"/>
      <c r="T25575" s="11"/>
    </row>
    <row r="25576" spans="8:20" x14ac:dyDescent="0.35">
      <c r="H25576" s="711"/>
      <c r="I25576" s="711"/>
      <c r="J25576" s="711"/>
      <c r="K25576" s="711"/>
      <c r="L25576" s="711"/>
      <c r="Q25576" s="11"/>
      <c r="R25576" s="11"/>
      <c r="S25576" s="11"/>
      <c r="T25576" s="11"/>
    </row>
    <row r="25577" spans="8:20" x14ac:dyDescent="0.35">
      <c r="H25577" s="711"/>
      <c r="I25577" s="711"/>
      <c r="J25577" s="711"/>
      <c r="K25577" s="711"/>
      <c r="L25577" s="711"/>
      <c r="Q25577" s="11"/>
      <c r="R25577" s="11"/>
      <c r="S25577" s="11"/>
      <c r="T25577" s="11"/>
    </row>
    <row r="25578" spans="8:20" x14ac:dyDescent="0.35">
      <c r="H25578" s="711"/>
      <c r="I25578" s="711"/>
      <c r="J25578" s="711"/>
      <c r="K25578" s="711"/>
      <c r="L25578" s="711"/>
      <c r="Q25578" s="11"/>
      <c r="R25578" s="11"/>
      <c r="S25578" s="11"/>
      <c r="T25578" s="11"/>
    </row>
    <row r="25579" spans="8:20" x14ac:dyDescent="0.35">
      <c r="H25579" s="711"/>
      <c r="I25579" s="711"/>
      <c r="J25579" s="711"/>
      <c r="K25579" s="711"/>
      <c r="L25579" s="711"/>
      <c r="Q25579" s="11"/>
      <c r="R25579" s="11"/>
      <c r="S25579" s="11"/>
      <c r="T25579" s="11"/>
    </row>
    <row r="25580" spans="8:20" x14ac:dyDescent="0.35">
      <c r="H25580" s="711"/>
      <c r="I25580" s="711"/>
      <c r="J25580" s="711"/>
      <c r="K25580" s="711"/>
      <c r="L25580" s="711"/>
      <c r="Q25580" s="11"/>
      <c r="R25580" s="11"/>
      <c r="S25580" s="11"/>
      <c r="T25580" s="11"/>
    </row>
    <row r="25581" spans="8:20" x14ac:dyDescent="0.35">
      <c r="H25581" s="711"/>
      <c r="I25581" s="711"/>
      <c r="J25581" s="711"/>
      <c r="K25581" s="711"/>
      <c r="L25581" s="711"/>
      <c r="Q25581" s="11"/>
      <c r="R25581" s="11"/>
      <c r="S25581" s="11"/>
      <c r="T25581" s="11"/>
    </row>
    <row r="25582" spans="8:20" x14ac:dyDescent="0.35">
      <c r="H25582" s="711"/>
      <c r="I25582" s="711"/>
      <c r="J25582" s="711"/>
      <c r="K25582" s="711"/>
      <c r="L25582" s="711"/>
      <c r="Q25582" s="11"/>
      <c r="R25582" s="11"/>
      <c r="S25582" s="11"/>
      <c r="T25582" s="11"/>
    </row>
    <row r="25583" spans="8:20" x14ac:dyDescent="0.35">
      <c r="H25583" s="711"/>
      <c r="I25583" s="711"/>
      <c r="J25583" s="711"/>
      <c r="K25583" s="711"/>
      <c r="L25583" s="711"/>
      <c r="Q25583" s="11"/>
      <c r="R25583" s="11"/>
      <c r="S25583" s="11"/>
      <c r="T25583" s="11"/>
    </row>
    <row r="25584" spans="8:20" x14ac:dyDescent="0.35">
      <c r="H25584" s="711"/>
      <c r="I25584" s="711"/>
      <c r="J25584" s="711"/>
      <c r="K25584" s="711"/>
      <c r="L25584" s="711"/>
      <c r="Q25584" s="11"/>
      <c r="R25584" s="11"/>
      <c r="S25584" s="11"/>
      <c r="T25584" s="11"/>
    </row>
    <row r="25585" spans="8:20" x14ac:dyDescent="0.35">
      <c r="H25585" s="711"/>
      <c r="I25585" s="711"/>
      <c r="J25585" s="711"/>
      <c r="K25585" s="711"/>
      <c r="L25585" s="711"/>
      <c r="Q25585" s="11"/>
      <c r="R25585" s="11"/>
      <c r="S25585" s="11"/>
      <c r="T25585" s="11"/>
    </row>
    <row r="25586" spans="8:20" x14ac:dyDescent="0.35">
      <c r="H25586" s="711"/>
      <c r="I25586" s="711"/>
      <c r="J25586" s="711"/>
      <c r="K25586" s="711"/>
      <c r="L25586" s="711"/>
      <c r="Q25586" s="11"/>
      <c r="R25586" s="11"/>
      <c r="S25586" s="11"/>
      <c r="T25586" s="11"/>
    </row>
    <row r="25587" spans="8:20" x14ac:dyDescent="0.35">
      <c r="H25587" s="711"/>
      <c r="I25587" s="711"/>
      <c r="J25587" s="711"/>
      <c r="K25587" s="711"/>
      <c r="L25587" s="711"/>
      <c r="Q25587" s="11"/>
      <c r="R25587" s="11"/>
      <c r="S25587" s="11"/>
      <c r="T25587" s="11"/>
    </row>
    <row r="25588" spans="8:20" x14ac:dyDescent="0.35">
      <c r="H25588" s="711"/>
      <c r="I25588" s="711"/>
      <c r="J25588" s="711"/>
      <c r="K25588" s="711"/>
      <c r="L25588" s="711"/>
      <c r="Q25588" s="11"/>
      <c r="R25588" s="11"/>
      <c r="S25588" s="11"/>
      <c r="T25588" s="11"/>
    </row>
    <row r="25589" spans="8:20" x14ac:dyDescent="0.35">
      <c r="H25589" s="711"/>
      <c r="I25589" s="711"/>
      <c r="J25589" s="711"/>
      <c r="K25589" s="711"/>
      <c r="L25589" s="711"/>
      <c r="Q25589" s="11"/>
      <c r="R25589" s="11"/>
      <c r="S25589" s="11"/>
      <c r="T25589" s="11"/>
    </row>
    <row r="25590" spans="8:20" x14ac:dyDescent="0.35">
      <c r="H25590" s="711"/>
      <c r="I25590" s="711"/>
      <c r="J25590" s="711"/>
      <c r="K25590" s="711"/>
      <c r="L25590" s="711"/>
      <c r="Q25590" s="11"/>
      <c r="R25590" s="11"/>
      <c r="S25590" s="11"/>
      <c r="T25590" s="11"/>
    </row>
    <row r="25591" spans="8:20" x14ac:dyDescent="0.35">
      <c r="H25591" s="711"/>
      <c r="I25591" s="711"/>
      <c r="J25591" s="711"/>
      <c r="K25591" s="711"/>
      <c r="L25591" s="711"/>
      <c r="Q25591" s="11"/>
      <c r="R25591" s="11"/>
      <c r="S25591" s="11"/>
      <c r="T25591" s="11"/>
    </row>
    <row r="25592" spans="8:20" x14ac:dyDescent="0.35">
      <c r="H25592" s="711"/>
      <c r="I25592" s="711"/>
      <c r="J25592" s="711"/>
      <c r="K25592" s="711"/>
      <c r="L25592" s="711"/>
      <c r="Q25592" s="11"/>
      <c r="R25592" s="11"/>
      <c r="S25592" s="11"/>
      <c r="T25592" s="11"/>
    </row>
    <row r="25593" spans="8:20" x14ac:dyDescent="0.35">
      <c r="H25593" s="711"/>
      <c r="I25593" s="711"/>
      <c r="J25593" s="711"/>
      <c r="K25593" s="711"/>
      <c r="L25593" s="711"/>
      <c r="Q25593" s="11"/>
      <c r="R25593" s="11"/>
      <c r="S25593" s="11"/>
      <c r="T25593" s="11"/>
    </row>
    <row r="25594" spans="8:20" x14ac:dyDescent="0.35">
      <c r="H25594" s="711"/>
      <c r="I25594" s="711"/>
      <c r="J25594" s="711"/>
      <c r="K25594" s="711"/>
      <c r="L25594" s="711"/>
      <c r="Q25594" s="11"/>
      <c r="R25594" s="11"/>
      <c r="S25594" s="11"/>
      <c r="T25594" s="11"/>
    </row>
    <row r="25595" spans="8:20" x14ac:dyDescent="0.35">
      <c r="H25595" s="711"/>
      <c r="I25595" s="711"/>
      <c r="J25595" s="711"/>
      <c r="K25595" s="711"/>
      <c r="L25595" s="711"/>
      <c r="Q25595" s="11"/>
      <c r="R25595" s="11"/>
      <c r="S25595" s="11"/>
      <c r="T25595" s="11"/>
    </row>
    <row r="25596" spans="8:20" x14ac:dyDescent="0.35">
      <c r="H25596" s="711"/>
      <c r="I25596" s="711"/>
      <c r="J25596" s="711"/>
      <c r="K25596" s="711"/>
      <c r="L25596" s="711"/>
      <c r="Q25596" s="11"/>
      <c r="R25596" s="11"/>
      <c r="S25596" s="11"/>
      <c r="T25596" s="11"/>
    </row>
    <row r="25597" spans="8:20" x14ac:dyDescent="0.35">
      <c r="H25597" s="711"/>
      <c r="I25597" s="711"/>
      <c r="J25597" s="711"/>
      <c r="K25597" s="711"/>
      <c r="L25597" s="711"/>
      <c r="Q25597" s="11"/>
      <c r="R25597" s="11"/>
      <c r="S25597" s="11"/>
      <c r="T25597" s="11"/>
    </row>
    <row r="25598" spans="8:20" x14ac:dyDescent="0.35">
      <c r="H25598" s="711"/>
      <c r="I25598" s="711"/>
      <c r="J25598" s="711"/>
      <c r="K25598" s="711"/>
      <c r="L25598" s="711"/>
      <c r="Q25598" s="11"/>
      <c r="R25598" s="11"/>
      <c r="S25598" s="11"/>
      <c r="T25598" s="11"/>
    </row>
    <row r="25599" spans="8:20" x14ac:dyDescent="0.35">
      <c r="H25599" s="711"/>
      <c r="I25599" s="711"/>
      <c r="J25599" s="711"/>
      <c r="K25599" s="711"/>
      <c r="L25599" s="711"/>
      <c r="Q25599" s="11"/>
      <c r="R25599" s="11"/>
      <c r="S25599" s="11"/>
      <c r="T25599" s="11"/>
    </row>
    <row r="25600" spans="8:20" x14ac:dyDescent="0.35">
      <c r="H25600" s="711"/>
      <c r="I25600" s="711"/>
      <c r="J25600" s="711"/>
      <c r="K25600" s="711"/>
      <c r="L25600" s="711"/>
      <c r="Q25600" s="11"/>
      <c r="R25600" s="11"/>
      <c r="S25600" s="11"/>
      <c r="T25600" s="11"/>
    </row>
    <row r="25601" spans="8:20" x14ac:dyDescent="0.35">
      <c r="H25601" s="711"/>
      <c r="I25601" s="711"/>
      <c r="J25601" s="711"/>
      <c r="K25601" s="711"/>
      <c r="L25601" s="711"/>
      <c r="Q25601" s="11"/>
      <c r="R25601" s="11"/>
      <c r="S25601" s="11"/>
      <c r="T25601" s="11"/>
    </row>
    <row r="25602" spans="8:20" x14ac:dyDescent="0.35">
      <c r="H25602" s="711"/>
      <c r="I25602" s="711"/>
      <c r="J25602" s="711"/>
      <c r="K25602" s="711"/>
      <c r="L25602" s="711"/>
      <c r="Q25602" s="11"/>
      <c r="R25602" s="11"/>
      <c r="S25602" s="11"/>
      <c r="T25602" s="11"/>
    </row>
    <row r="25603" spans="8:20" x14ac:dyDescent="0.35">
      <c r="H25603" s="711"/>
      <c r="I25603" s="711"/>
      <c r="J25603" s="711"/>
      <c r="K25603" s="711"/>
      <c r="L25603" s="711"/>
      <c r="Q25603" s="11"/>
      <c r="R25603" s="11"/>
      <c r="S25603" s="11"/>
      <c r="T25603" s="11"/>
    </row>
    <row r="25604" spans="8:20" x14ac:dyDescent="0.35">
      <c r="H25604" s="711"/>
      <c r="I25604" s="711"/>
      <c r="J25604" s="711"/>
      <c r="K25604" s="711"/>
      <c r="L25604" s="711"/>
      <c r="Q25604" s="11"/>
      <c r="R25604" s="11"/>
      <c r="S25604" s="11"/>
      <c r="T25604" s="11"/>
    </row>
    <row r="25605" spans="8:20" x14ac:dyDescent="0.35">
      <c r="H25605" s="711"/>
      <c r="I25605" s="711"/>
      <c r="J25605" s="711"/>
      <c r="K25605" s="711"/>
      <c r="L25605" s="711"/>
      <c r="Q25605" s="11"/>
      <c r="R25605" s="11"/>
      <c r="S25605" s="11"/>
      <c r="T25605" s="11"/>
    </row>
    <row r="25606" spans="8:20" x14ac:dyDescent="0.35">
      <c r="H25606" s="711"/>
      <c r="I25606" s="711"/>
      <c r="J25606" s="711"/>
      <c r="K25606" s="711"/>
      <c r="L25606" s="711"/>
      <c r="Q25606" s="11"/>
      <c r="R25606" s="11"/>
      <c r="S25606" s="11"/>
      <c r="T25606" s="11"/>
    </row>
    <row r="25607" spans="8:20" x14ac:dyDescent="0.35">
      <c r="H25607" s="711"/>
      <c r="I25607" s="711"/>
      <c r="J25607" s="711"/>
      <c r="K25607" s="711"/>
      <c r="L25607" s="711"/>
      <c r="Q25607" s="11"/>
      <c r="R25607" s="11"/>
      <c r="S25607" s="11"/>
      <c r="T25607" s="11"/>
    </row>
    <row r="25608" spans="8:20" x14ac:dyDescent="0.35">
      <c r="H25608" s="711"/>
      <c r="I25608" s="711"/>
      <c r="J25608" s="711"/>
      <c r="K25608" s="711"/>
      <c r="L25608" s="711"/>
      <c r="Q25608" s="11"/>
      <c r="R25608" s="11"/>
      <c r="S25608" s="11"/>
      <c r="T25608" s="11"/>
    </row>
    <row r="25609" spans="8:20" x14ac:dyDescent="0.35">
      <c r="H25609" s="711"/>
      <c r="I25609" s="711"/>
      <c r="J25609" s="711"/>
      <c r="K25609" s="711"/>
      <c r="L25609" s="711"/>
      <c r="Q25609" s="11"/>
      <c r="R25609" s="11"/>
      <c r="S25609" s="11"/>
      <c r="T25609" s="11"/>
    </row>
    <row r="25610" spans="8:20" x14ac:dyDescent="0.35">
      <c r="H25610" s="711"/>
      <c r="I25610" s="711"/>
      <c r="J25610" s="711"/>
      <c r="K25610" s="711"/>
      <c r="L25610" s="711"/>
      <c r="Q25610" s="11"/>
      <c r="R25610" s="11"/>
      <c r="S25610" s="11"/>
      <c r="T25610" s="11"/>
    </row>
    <row r="25611" spans="8:20" x14ac:dyDescent="0.35">
      <c r="H25611" s="711"/>
      <c r="I25611" s="711"/>
      <c r="J25611" s="711"/>
      <c r="K25611" s="711"/>
      <c r="L25611" s="711"/>
      <c r="Q25611" s="11"/>
      <c r="R25611" s="11"/>
      <c r="S25611" s="11"/>
      <c r="T25611" s="11"/>
    </row>
    <row r="25612" spans="8:20" x14ac:dyDescent="0.35">
      <c r="H25612" s="711"/>
      <c r="I25612" s="711"/>
      <c r="J25612" s="711"/>
      <c r="K25612" s="711"/>
      <c r="L25612" s="711"/>
      <c r="Q25612" s="11"/>
      <c r="R25612" s="11"/>
      <c r="S25612" s="11"/>
      <c r="T25612" s="11"/>
    </row>
    <row r="25613" spans="8:20" x14ac:dyDescent="0.35">
      <c r="H25613" s="711"/>
      <c r="I25613" s="711"/>
      <c r="J25613" s="711"/>
      <c r="K25613" s="711"/>
      <c r="L25613" s="711"/>
      <c r="Q25613" s="11"/>
      <c r="R25613" s="11"/>
      <c r="S25613" s="11"/>
      <c r="T25613" s="11"/>
    </row>
    <row r="25614" spans="8:20" x14ac:dyDescent="0.35">
      <c r="H25614" s="711"/>
      <c r="I25614" s="711"/>
      <c r="J25614" s="711"/>
      <c r="K25614" s="711"/>
      <c r="L25614" s="711"/>
      <c r="Q25614" s="11"/>
      <c r="R25614" s="11"/>
      <c r="S25614" s="11"/>
      <c r="T25614" s="11"/>
    </row>
    <row r="25615" spans="8:20" x14ac:dyDescent="0.35">
      <c r="H25615" s="711"/>
      <c r="I25615" s="711"/>
      <c r="J25615" s="711"/>
      <c r="K25615" s="711"/>
      <c r="L25615" s="711"/>
      <c r="Q25615" s="11"/>
      <c r="R25615" s="11"/>
      <c r="S25615" s="11"/>
      <c r="T25615" s="11"/>
    </row>
    <row r="25616" spans="8:20" x14ac:dyDescent="0.35">
      <c r="H25616" s="711"/>
      <c r="I25616" s="711"/>
      <c r="J25616" s="711"/>
      <c r="K25616" s="711"/>
      <c r="L25616" s="711"/>
      <c r="Q25616" s="11"/>
      <c r="R25616" s="11"/>
      <c r="S25616" s="11"/>
      <c r="T25616" s="11"/>
    </row>
    <row r="25617" spans="8:20" x14ac:dyDescent="0.35">
      <c r="H25617" s="711"/>
      <c r="I25617" s="711"/>
      <c r="J25617" s="711"/>
      <c r="K25617" s="711"/>
      <c r="L25617" s="711"/>
      <c r="Q25617" s="11"/>
      <c r="R25617" s="11"/>
      <c r="S25617" s="11"/>
      <c r="T25617" s="11"/>
    </row>
    <row r="25618" spans="8:20" x14ac:dyDescent="0.35">
      <c r="H25618" s="711"/>
      <c r="I25618" s="711"/>
      <c r="J25618" s="711"/>
      <c r="K25618" s="711"/>
      <c r="L25618" s="711"/>
      <c r="Q25618" s="11"/>
      <c r="R25618" s="11"/>
      <c r="S25618" s="11"/>
      <c r="T25618" s="11"/>
    </row>
    <row r="25619" spans="8:20" x14ac:dyDescent="0.35">
      <c r="H25619" s="711"/>
      <c r="I25619" s="711"/>
      <c r="J25619" s="711"/>
      <c r="K25619" s="711"/>
      <c r="L25619" s="711"/>
      <c r="Q25619" s="11"/>
      <c r="R25619" s="11"/>
      <c r="S25619" s="11"/>
      <c r="T25619" s="11"/>
    </row>
    <row r="25620" spans="8:20" x14ac:dyDescent="0.35">
      <c r="H25620" s="711"/>
      <c r="I25620" s="711"/>
      <c r="J25620" s="711"/>
      <c r="K25620" s="711"/>
      <c r="L25620" s="711"/>
      <c r="Q25620" s="11"/>
      <c r="R25620" s="11"/>
      <c r="S25620" s="11"/>
      <c r="T25620" s="11"/>
    </row>
    <row r="25621" spans="8:20" x14ac:dyDescent="0.35">
      <c r="H25621" s="711"/>
      <c r="I25621" s="711"/>
      <c r="J25621" s="711"/>
      <c r="K25621" s="711"/>
      <c r="L25621" s="711"/>
      <c r="Q25621" s="11"/>
      <c r="R25621" s="11"/>
      <c r="S25621" s="11"/>
      <c r="T25621" s="11"/>
    </row>
    <row r="25622" spans="8:20" x14ac:dyDescent="0.35">
      <c r="H25622" s="711"/>
      <c r="I25622" s="711"/>
      <c r="J25622" s="711"/>
      <c r="K25622" s="711"/>
      <c r="L25622" s="711"/>
      <c r="Q25622" s="11"/>
      <c r="R25622" s="11"/>
      <c r="S25622" s="11"/>
      <c r="T25622" s="11"/>
    </row>
    <row r="25623" spans="8:20" x14ac:dyDescent="0.35">
      <c r="H25623" s="711"/>
      <c r="I25623" s="711"/>
      <c r="J25623" s="711"/>
      <c r="K25623" s="711"/>
      <c r="L25623" s="711"/>
      <c r="Q25623" s="11"/>
      <c r="R25623" s="11"/>
      <c r="S25623" s="11"/>
      <c r="T25623" s="11"/>
    </row>
    <row r="25624" spans="8:20" x14ac:dyDescent="0.35">
      <c r="H25624" s="711"/>
      <c r="I25624" s="711"/>
      <c r="J25624" s="711"/>
      <c r="K25624" s="711"/>
      <c r="L25624" s="711"/>
      <c r="Q25624" s="11"/>
      <c r="R25624" s="11"/>
      <c r="S25624" s="11"/>
      <c r="T25624" s="11"/>
    </row>
    <row r="25625" spans="8:20" x14ac:dyDescent="0.35">
      <c r="H25625" s="711"/>
      <c r="I25625" s="711"/>
      <c r="J25625" s="711"/>
      <c r="K25625" s="711"/>
      <c r="L25625" s="711"/>
      <c r="Q25625" s="11"/>
      <c r="R25625" s="11"/>
      <c r="S25625" s="11"/>
      <c r="T25625" s="11"/>
    </row>
    <row r="25626" spans="8:20" x14ac:dyDescent="0.35">
      <c r="H25626" s="711"/>
      <c r="I25626" s="711"/>
      <c r="J25626" s="711"/>
      <c r="K25626" s="711"/>
      <c r="L25626" s="711"/>
      <c r="Q25626" s="11"/>
      <c r="R25626" s="11"/>
      <c r="S25626" s="11"/>
      <c r="T25626" s="11"/>
    </row>
    <row r="25627" spans="8:20" x14ac:dyDescent="0.35">
      <c r="H25627" s="711"/>
      <c r="I25627" s="711"/>
      <c r="J25627" s="711"/>
      <c r="K25627" s="711"/>
      <c r="L25627" s="711"/>
      <c r="Q25627" s="11"/>
      <c r="R25627" s="11"/>
      <c r="S25627" s="11"/>
      <c r="T25627" s="11"/>
    </row>
    <row r="25628" spans="8:20" x14ac:dyDescent="0.35">
      <c r="H25628" s="711"/>
      <c r="I25628" s="711"/>
      <c r="J25628" s="711"/>
      <c r="K25628" s="711"/>
      <c r="L25628" s="711"/>
      <c r="Q25628" s="11"/>
      <c r="R25628" s="11"/>
      <c r="S25628" s="11"/>
      <c r="T25628" s="11"/>
    </row>
    <row r="25629" spans="8:20" x14ac:dyDescent="0.35">
      <c r="H25629" s="711"/>
      <c r="I25629" s="711"/>
      <c r="J25629" s="711"/>
      <c r="K25629" s="711"/>
      <c r="L25629" s="711"/>
      <c r="Q25629" s="11"/>
      <c r="R25629" s="11"/>
      <c r="S25629" s="11"/>
      <c r="T25629" s="11"/>
    </row>
    <row r="25630" spans="8:20" x14ac:dyDescent="0.35">
      <c r="H25630" s="711"/>
      <c r="I25630" s="711"/>
      <c r="J25630" s="711"/>
      <c r="K25630" s="711"/>
      <c r="L25630" s="711"/>
      <c r="Q25630" s="11"/>
      <c r="R25630" s="11"/>
      <c r="S25630" s="11"/>
      <c r="T25630" s="11"/>
    </row>
    <row r="25631" spans="8:20" x14ac:dyDescent="0.35">
      <c r="H25631" s="711"/>
      <c r="I25631" s="711"/>
      <c r="J25631" s="711"/>
      <c r="K25631" s="711"/>
      <c r="L25631" s="711"/>
      <c r="Q25631" s="11"/>
      <c r="R25631" s="11"/>
      <c r="S25631" s="11"/>
      <c r="T25631" s="11"/>
    </row>
    <row r="25632" spans="8:20" x14ac:dyDescent="0.35">
      <c r="H25632" s="711"/>
      <c r="I25632" s="711"/>
      <c r="J25632" s="711"/>
      <c r="K25632" s="711"/>
      <c r="L25632" s="711"/>
      <c r="Q25632" s="11"/>
      <c r="R25632" s="11"/>
      <c r="S25632" s="11"/>
      <c r="T25632" s="11"/>
    </row>
    <row r="25633" spans="8:20" x14ac:dyDescent="0.35">
      <c r="H25633" s="711"/>
      <c r="I25633" s="711"/>
      <c r="J25633" s="711"/>
      <c r="K25633" s="711"/>
      <c r="L25633" s="711"/>
      <c r="Q25633" s="11"/>
      <c r="R25633" s="11"/>
      <c r="S25633" s="11"/>
      <c r="T25633" s="11"/>
    </row>
    <row r="25634" spans="8:20" x14ac:dyDescent="0.35">
      <c r="H25634" s="711"/>
      <c r="I25634" s="711"/>
      <c r="J25634" s="711"/>
      <c r="K25634" s="711"/>
      <c r="L25634" s="711"/>
      <c r="Q25634" s="11"/>
      <c r="R25634" s="11"/>
      <c r="S25634" s="11"/>
      <c r="T25634" s="11"/>
    </row>
    <row r="25635" spans="8:20" x14ac:dyDescent="0.35">
      <c r="H25635" s="711"/>
      <c r="I25635" s="711"/>
      <c r="J25635" s="711"/>
      <c r="K25635" s="711"/>
      <c r="L25635" s="711"/>
      <c r="Q25635" s="11"/>
      <c r="R25635" s="11"/>
      <c r="S25635" s="11"/>
      <c r="T25635" s="11"/>
    </row>
    <row r="25636" spans="8:20" x14ac:dyDescent="0.35">
      <c r="H25636" s="711"/>
      <c r="I25636" s="711"/>
      <c r="J25636" s="711"/>
      <c r="K25636" s="711"/>
      <c r="L25636" s="711"/>
      <c r="Q25636" s="11"/>
      <c r="R25636" s="11"/>
      <c r="S25636" s="11"/>
      <c r="T25636" s="11"/>
    </row>
    <row r="25637" spans="8:20" x14ac:dyDescent="0.35">
      <c r="H25637" s="711"/>
      <c r="I25637" s="711"/>
      <c r="J25637" s="711"/>
      <c r="K25637" s="711"/>
      <c r="L25637" s="711"/>
      <c r="Q25637" s="11"/>
      <c r="R25637" s="11"/>
      <c r="S25637" s="11"/>
      <c r="T25637" s="11"/>
    </row>
    <row r="25638" spans="8:20" x14ac:dyDescent="0.35">
      <c r="H25638" s="711"/>
      <c r="I25638" s="711"/>
      <c r="J25638" s="711"/>
      <c r="K25638" s="711"/>
      <c r="L25638" s="711"/>
      <c r="Q25638" s="11"/>
      <c r="R25638" s="11"/>
      <c r="S25638" s="11"/>
      <c r="T25638" s="11"/>
    </row>
    <row r="25639" spans="8:20" x14ac:dyDescent="0.35">
      <c r="H25639" s="711"/>
      <c r="I25639" s="711"/>
      <c r="J25639" s="711"/>
      <c r="K25639" s="711"/>
      <c r="L25639" s="711"/>
      <c r="Q25639" s="11"/>
      <c r="R25639" s="11"/>
      <c r="S25639" s="11"/>
      <c r="T25639" s="11"/>
    </row>
    <row r="25640" spans="8:20" x14ac:dyDescent="0.35">
      <c r="H25640" s="711"/>
      <c r="I25640" s="711"/>
      <c r="J25640" s="711"/>
      <c r="K25640" s="711"/>
      <c r="L25640" s="711"/>
      <c r="Q25640" s="11"/>
      <c r="R25640" s="11"/>
      <c r="S25640" s="11"/>
      <c r="T25640" s="11"/>
    </row>
    <row r="25641" spans="8:20" x14ac:dyDescent="0.35">
      <c r="H25641" s="711"/>
      <c r="I25641" s="711"/>
      <c r="J25641" s="711"/>
      <c r="K25641" s="711"/>
      <c r="L25641" s="711"/>
      <c r="Q25641" s="11"/>
      <c r="R25641" s="11"/>
      <c r="S25641" s="11"/>
      <c r="T25641" s="11"/>
    </row>
    <row r="25642" spans="8:20" x14ac:dyDescent="0.35">
      <c r="H25642" s="711"/>
      <c r="I25642" s="711"/>
      <c r="J25642" s="711"/>
      <c r="K25642" s="711"/>
      <c r="L25642" s="711"/>
      <c r="Q25642" s="11"/>
      <c r="R25642" s="11"/>
      <c r="S25642" s="11"/>
      <c r="T25642" s="11"/>
    </row>
    <row r="25643" spans="8:20" x14ac:dyDescent="0.35">
      <c r="H25643" s="711"/>
      <c r="I25643" s="711"/>
      <c r="J25643" s="711"/>
      <c r="K25643" s="711"/>
      <c r="L25643" s="711"/>
      <c r="Q25643" s="11"/>
      <c r="R25643" s="11"/>
      <c r="S25643" s="11"/>
      <c r="T25643" s="11"/>
    </row>
    <row r="25644" spans="8:20" x14ac:dyDescent="0.35">
      <c r="H25644" s="711"/>
      <c r="I25644" s="711"/>
      <c r="J25644" s="711"/>
      <c r="K25644" s="711"/>
      <c r="L25644" s="711"/>
      <c r="Q25644" s="11"/>
      <c r="R25644" s="11"/>
      <c r="S25644" s="11"/>
      <c r="T25644" s="11"/>
    </row>
    <row r="25645" spans="8:20" x14ac:dyDescent="0.35">
      <c r="H25645" s="711"/>
      <c r="I25645" s="711"/>
      <c r="J25645" s="711"/>
      <c r="K25645" s="711"/>
      <c r="L25645" s="711"/>
      <c r="Q25645" s="11"/>
      <c r="R25645" s="11"/>
      <c r="S25645" s="11"/>
      <c r="T25645" s="11"/>
    </row>
    <row r="25646" spans="8:20" x14ac:dyDescent="0.35">
      <c r="H25646" s="711"/>
      <c r="I25646" s="711"/>
      <c r="J25646" s="711"/>
      <c r="K25646" s="711"/>
      <c r="L25646" s="711"/>
      <c r="Q25646" s="11"/>
      <c r="R25646" s="11"/>
      <c r="S25646" s="11"/>
      <c r="T25646" s="11"/>
    </row>
    <row r="25647" spans="8:20" x14ac:dyDescent="0.35">
      <c r="H25647" s="711"/>
      <c r="I25647" s="711"/>
      <c r="J25647" s="711"/>
      <c r="K25647" s="711"/>
      <c r="L25647" s="711"/>
      <c r="Q25647" s="11"/>
      <c r="R25647" s="11"/>
      <c r="S25647" s="11"/>
      <c r="T25647" s="11"/>
    </row>
    <row r="25648" spans="8:20" x14ac:dyDescent="0.35">
      <c r="H25648" s="711"/>
      <c r="I25648" s="711"/>
      <c r="J25648" s="711"/>
      <c r="K25648" s="711"/>
      <c r="L25648" s="711"/>
      <c r="Q25648" s="11"/>
      <c r="R25648" s="11"/>
      <c r="S25648" s="11"/>
      <c r="T25648" s="11"/>
    </row>
    <row r="25649" spans="8:20" x14ac:dyDescent="0.35">
      <c r="H25649" s="711"/>
      <c r="I25649" s="711"/>
      <c r="J25649" s="711"/>
      <c r="K25649" s="711"/>
      <c r="L25649" s="711"/>
      <c r="Q25649" s="11"/>
      <c r="R25649" s="11"/>
      <c r="S25649" s="11"/>
      <c r="T25649" s="11"/>
    </row>
    <row r="25650" spans="8:20" x14ac:dyDescent="0.35">
      <c r="H25650" s="711"/>
      <c r="I25650" s="711"/>
      <c r="J25650" s="711"/>
      <c r="K25650" s="711"/>
      <c r="L25650" s="711"/>
      <c r="Q25650" s="11"/>
      <c r="R25650" s="11"/>
      <c r="S25650" s="11"/>
      <c r="T25650" s="11"/>
    </row>
    <row r="25651" spans="8:20" x14ac:dyDescent="0.35">
      <c r="H25651" s="711"/>
      <c r="I25651" s="711"/>
      <c r="J25651" s="711"/>
      <c r="K25651" s="711"/>
      <c r="L25651" s="711"/>
      <c r="Q25651" s="11"/>
      <c r="R25651" s="11"/>
      <c r="S25651" s="11"/>
      <c r="T25651" s="11"/>
    </row>
    <row r="25652" spans="8:20" x14ac:dyDescent="0.35">
      <c r="H25652" s="711"/>
      <c r="I25652" s="711"/>
      <c r="J25652" s="711"/>
      <c r="K25652" s="711"/>
      <c r="L25652" s="711"/>
      <c r="Q25652" s="11"/>
      <c r="R25652" s="11"/>
      <c r="S25652" s="11"/>
      <c r="T25652" s="11"/>
    </row>
    <row r="25653" spans="8:20" x14ac:dyDescent="0.35">
      <c r="H25653" s="711"/>
      <c r="I25653" s="711"/>
      <c r="J25653" s="711"/>
      <c r="K25653" s="711"/>
      <c r="L25653" s="711"/>
      <c r="Q25653" s="11"/>
      <c r="R25653" s="11"/>
      <c r="S25653" s="11"/>
      <c r="T25653" s="11"/>
    </row>
    <row r="25654" spans="8:20" x14ac:dyDescent="0.35">
      <c r="H25654" s="711"/>
      <c r="I25654" s="711"/>
      <c r="J25654" s="711"/>
      <c r="K25654" s="711"/>
      <c r="L25654" s="711"/>
      <c r="Q25654" s="11"/>
      <c r="R25654" s="11"/>
      <c r="S25654" s="11"/>
      <c r="T25654" s="11"/>
    </row>
    <row r="25655" spans="8:20" x14ac:dyDescent="0.35">
      <c r="H25655" s="711"/>
      <c r="I25655" s="711"/>
      <c r="J25655" s="711"/>
      <c r="K25655" s="711"/>
      <c r="L25655" s="711"/>
      <c r="Q25655" s="11"/>
      <c r="R25655" s="11"/>
      <c r="S25655" s="11"/>
      <c r="T25655" s="11"/>
    </row>
    <row r="25656" spans="8:20" x14ac:dyDescent="0.35">
      <c r="H25656" s="711"/>
      <c r="I25656" s="711"/>
      <c r="J25656" s="711"/>
      <c r="K25656" s="711"/>
      <c r="L25656" s="711"/>
      <c r="Q25656" s="11"/>
      <c r="R25656" s="11"/>
      <c r="S25656" s="11"/>
      <c r="T25656" s="11"/>
    </row>
    <row r="25657" spans="8:20" x14ac:dyDescent="0.35">
      <c r="H25657" s="711"/>
      <c r="I25657" s="711"/>
      <c r="J25657" s="711"/>
      <c r="K25657" s="711"/>
      <c r="L25657" s="711"/>
      <c r="Q25657" s="11"/>
      <c r="R25657" s="11"/>
      <c r="S25657" s="11"/>
      <c r="T25657" s="11"/>
    </row>
    <row r="25658" spans="8:20" x14ac:dyDescent="0.35">
      <c r="H25658" s="711"/>
      <c r="I25658" s="711"/>
      <c r="J25658" s="711"/>
      <c r="K25658" s="711"/>
      <c r="L25658" s="711"/>
      <c r="Q25658" s="11"/>
      <c r="R25658" s="11"/>
      <c r="S25658" s="11"/>
      <c r="T25658" s="11"/>
    </row>
    <row r="25659" spans="8:20" x14ac:dyDescent="0.35">
      <c r="H25659" s="711"/>
      <c r="I25659" s="711"/>
      <c r="J25659" s="711"/>
      <c r="K25659" s="711"/>
      <c r="L25659" s="711"/>
      <c r="Q25659" s="11"/>
      <c r="R25659" s="11"/>
      <c r="S25659" s="11"/>
      <c r="T25659" s="11"/>
    </row>
    <row r="25660" spans="8:20" x14ac:dyDescent="0.35">
      <c r="H25660" s="711"/>
      <c r="I25660" s="711"/>
      <c r="J25660" s="711"/>
      <c r="K25660" s="711"/>
      <c r="L25660" s="711"/>
      <c r="Q25660" s="11"/>
      <c r="R25660" s="11"/>
      <c r="S25660" s="11"/>
      <c r="T25660" s="11"/>
    </row>
    <row r="25661" spans="8:20" x14ac:dyDescent="0.35">
      <c r="H25661" s="711"/>
      <c r="I25661" s="711"/>
      <c r="J25661" s="711"/>
      <c r="K25661" s="711"/>
      <c r="L25661" s="711"/>
      <c r="Q25661" s="11"/>
      <c r="R25661" s="11"/>
      <c r="S25661" s="11"/>
      <c r="T25661" s="11"/>
    </row>
    <row r="25662" spans="8:20" x14ac:dyDescent="0.35">
      <c r="H25662" s="711"/>
      <c r="I25662" s="711"/>
      <c r="J25662" s="711"/>
      <c r="K25662" s="711"/>
      <c r="L25662" s="711"/>
      <c r="Q25662" s="11"/>
      <c r="R25662" s="11"/>
      <c r="S25662" s="11"/>
      <c r="T25662" s="11"/>
    </row>
    <row r="25663" spans="8:20" x14ac:dyDescent="0.35">
      <c r="H25663" s="711"/>
      <c r="I25663" s="711"/>
      <c r="J25663" s="711"/>
      <c r="K25663" s="711"/>
      <c r="L25663" s="711"/>
      <c r="Q25663" s="11"/>
      <c r="R25663" s="11"/>
      <c r="S25663" s="11"/>
      <c r="T25663" s="11"/>
    </row>
    <row r="25664" spans="8:20" x14ac:dyDescent="0.35">
      <c r="H25664" s="711"/>
      <c r="I25664" s="711"/>
      <c r="J25664" s="711"/>
      <c r="K25664" s="711"/>
      <c r="L25664" s="711"/>
      <c r="Q25664" s="11"/>
      <c r="R25664" s="11"/>
      <c r="S25664" s="11"/>
      <c r="T25664" s="11"/>
    </row>
    <row r="25665" spans="8:20" x14ac:dyDescent="0.35">
      <c r="H25665" s="711"/>
      <c r="I25665" s="711"/>
      <c r="J25665" s="711"/>
      <c r="K25665" s="711"/>
      <c r="L25665" s="711"/>
      <c r="Q25665" s="11"/>
      <c r="R25665" s="11"/>
      <c r="S25665" s="11"/>
      <c r="T25665" s="11"/>
    </row>
    <row r="25666" spans="8:20" x14ac:dyDescent="0.35">
      <c r="H25666" s="711"/>
      <c r="I25666" s="711"/>
      <c r="J25666" s="711"/>
      <c r="K25666" s="711"/>
      <c r="L25666" s="711"/>
      <c r="Q25666" s="11"/>
      <c r="R25666" s="11"/>
      <c r="S25666" s="11"/>
      <c r="T25666" s="11"/>
    </row>
    <row r="25667" spans="8:20" x14ac:dyDescent="0.35">
      <c r="H25667" s="711"/>
      <c r="I25667" s="711"/>
      <c r="J25667" s="711"/>
      <c r="K25667" s="711"/>
      <c r="L25667" s="711"/>
      <c r="Q25667" s="11"/>
      <c r="R25667" s="11"/>
      <c r="S25667" s="11"/>
      <c r="T25667" s="11"/>
    </row>
    <row r="25668" spans="8:20" x14ac:dyDescent="0.35">
      <c r="H25668" s="711"/>
      <c r="I25668" s="711"/>
      <c r="J25668" s="711"/>
      <c r="K25668" s="711"/>
      <c r="L25668" s="711"/>
      <c r="Q25668" s="11"/>
      <c r="R25668" s="11"/>
      <c r="S25668" s="11"/>
      <c r="T25668" s="11"/>
    </row>
    <row r="25669" spans="8:20" x14ac:dyDescent="0.35">
      <c r="H25669" s="711"/>
      <c r="I25669" s="711"/>
      <c r="J25669" s="711"/>
      <c r="K25669" s="711"/>
      <c r="L25669" s="711"/>
      <c r="Q25669" s="11"/>
      <c r="R25669" s="11"/>
      <c r="S25669" s="11"/>
      <c r="T25669" s="11"/>
    </row>
    <row r="25670" spans="8:20" x14ac:dyDescent="0.35">
      <c r="H25670" s="711"/>
      <c r="I25670" s="711"/>
      <c r="J25670" s="711"/>
      <c r="K25670" s="711"/>
      <c r="L25670" s="711"/>
      <c r="Q25670" s="11"/>
      <c r="R25670" s="11"/>
      <c r="S25670" s="11"/>
      <c r="T25670" s="11"/>
    </row>
    <row r="25671" spans="8:20" x14ac:dyDescent="0.35">
      <c r="H25671" s="711"/>
      <c r="I25671" s="711"/>
      <c r="J25671" s="711"/>
      <c r="K25671" s="711"/>
      <c r="L25671" s="711"/>
      <c r="Q25671" s="11"/>
      <c r="R25671" s="11"/>
      <c r="S25671" s="11"/>
      <c r="T25671" s="11"/>
    </row>
    <row r="25672" spans="8:20" x14ac:dyDescent="0.35">
      <c r="H25672" s="711"/>
      <c r="I25672" s="711"/>
      <c r="J25672" s="711"/>
      <c r="K25672" s="711"/>
      <c r="L25672" s="711"/>
      <c r="Q25672" s="11"/>
      <c r="R25672" s="11"/>
      <c r="S25672" s="11"/>
      <c r="T25672" s="11"/>
    </row>
    <row r="25673" spans="8:20" x14ac:dyDescent="0.35">
      <c r="H25673" s="711"/>
      <c r="I25673" s="711"/>
      <c r="J25673" s="711"/>
      <c r="K25673" s="711"/>
      <c r="L25673" s="711"/>
      <c r="Q25673" s="11"/>
      <c r="R25673" s="11"/>
      <c r="S25673" s="11"/>
      <c r="T25673" s="11"/>
    </row>
    <row r="25674" spans="8:20" x14ac:dyDescent="0.35">
      <c r="H25674" s="711"/>
      <c r="I25674" s="711"/>
      <c r="J25674" s="711"/>
      <c r="K25674" s="711"/>
      <c r="L25674" s="711"/>
      <c r="Q25674" s="11"/>
      <c r="R25674" s="11"/>
      <c r="S25674" s="11"/>
      <c r="T25674" s="11"/>
    </row>
    <row r="25675" spans="8:20" x14ac:dyDescent="0.35">
      <c r="H25675" s="711"/>
      <c r="I25675" s="711"/>
      <c r="J25675" s="711"/>
      <c r="K25675" s="711"/>
      <c r="L25675" s="711"/>
      <c r="Q25675" s="11"/>
      <c r="R25675" s="11"/>
      <c r="S25675" s="11"/>
      <c r="T25675" s="11"/>
    </row>
    <row r="25676" spans="8:20" x14ac:dyDescent="0.35">
      <c r="H25676" s="711"/>
      <c r="I25676" s="711"/>
      <c r="J25676" s="711"/>
      <c r="K25676" s="711"/>
      <c r="L25676" s="711"/>
      <c r="Q25676" s="11"/>
      <c r="R25676" s="11"/>
      <c r="S25676" s="11"/>
      <c r="T25676" s="11"/>
    </row>
    <row r="25677" spans="8:20" x14ac:dyDescent="0.35">
      <c r="H25677" s="711"/>
      <c r="I25677" s="711"/>
      <c r="J25677" s="711"/>
      <c r="K25677" s="711"/>
      <c r="L25677" s="711"/>
      <c r="Q25677" s="11"/>
      <c r="R25677" s="11"/>
      <c r="S25677" s="11"/>
      <c r="T25677" s="11"/>
    </row>
    <row r="25678" spans="8:20" x14ac:dyDescent="0.35">
      <c r="H25678" s="711"/>
      <c r="I25678" s="711"/>
      <c r="J25678" s="711"/>
      <c r="K25678" s="711"/>
      <c r="L25678" s="711"/>
      <c r="Q25678" s="11"/>
      <c r="R25678" s="11"/>
      <c r="S25678" s="11"/>
      <c r="T25678" s="11"/>
    </row>
    <row r="25679" spans="8:20" x14ac:dyDescent="0.35">
      <c r="H25679" s="711"/>
      <c r="I25679" s="711"/>
      <c r="J25679" s="711"/>
      <c r="K25679" s="711"/>
      <c r="L25679" s="711"/>
      <c r="Q25679" s="11"/>
      <c r="R25679" s="11"/>
      <c r="S25679" s="11"/>
      <c r="T25679" s="11"/>
    </row>
    <row r="25680" spans="8:20" x14ac:dyDescent="0.35">
      <c r="H25680" s="711"/>
      <c r="I25680" s="711"/>
      <c r="J25680" s="711"/>
      <c r="K25680" s="711"/>
      <c r="L25680" s="711"/>
      <c r="Q25680" s="11"/>
      <c r="R25680" s="11"/>
      <c r="S25680" s="11"/>
      <c r="T25680" s="11"/>
    </row>
    <row r="25681" spans="8:20" x14ac:dyDescent="0.35">
      <c r="H25681" s="711"/>
      <c r="I25681" s="711"/>
      <c r="J25681" s="711"/>
      <c r="K25681" s="711"/>
      <c r="L25681" s="711"/>
      <c r="Q25681" s="11"/>
      <c r="R25681" s="11"/>
      <c r="S25681" s="11"/>
      <c r="T25681" s="11"/>
    </row>
    <row r="25682" spans="8:20" x14ac:dyDescent="0.35">
      <c r="H25682" s="711"/>
      <c r="I25682" s="711"/>
      <c r="J25682" s="711"/>
      <c r="K25682" s="711"/>
      <c r="L25682" s="711"/>
      <c r="Q25682" s="11"/>
      <c r="R25682" s="11"/>
      <c r="S25682" s="11"/>
      <c r="T25682" s="11"/>
    </row>
    <row r="25683" spans="8:20" x14ac:dyDescent="0.35">
      <c r="H25683" s="711"/>
      <c r="I25683" s="711"/>
      <c r="J25683" s="711"/>
      <c r="K25683" s="711"/>
      <c r="L25683" s="711"/>
      <c r="Q25683" s="11"/>
      <c r="R25683" s="11"/>
      <c r="S25683" s="11"/>
      <c r="T25683" s="11"/>
    </row>
    <row r="25684" spans="8:20" x14ac:dyDescent="0.35">
      <c r="H25684" s="711"/>
      <c r="I25684" s="711"/>
      <c r="J25684" s="711"/>
      <c r="K25684" s="711"/>
      <c r="L25684" s="711"/>
      <c r="Q25684" s="11"/>
      <c r="R25684" s="11"/>
      <c r="S25684" s="11"/>
      <c r="T25684" s="11"/>
    </row>
    <row r="25685" spans="8:20" x14ac:dyDescent="0.35">
      <c r="H25685" s="711"/>
      <c r="I25685" s="711"/>
      <c r="J25685" s="711"/>
      <c r="K25685" s="711"/>
      <c r="L25685" s="711"/>
      <c r="Q25685" s="11"/>
      <c r="R25685" s="11"/>
      <c r="S25685" s="11"/>
      <c r="T25685" s="11"/>
    </row>
    <row r="25686" spans="8:20" x14ac:dyDescent="0.35">
      <c r="H25686" s="711"/>
      <c r="I25686" s="711"/>
      <c r="J25686" s="711"/>
      <c r="K25686" s="711"/>
      <c r="L25686" s="711"/>
      <c r="Q25686" s="11"/>
      <c r="R25686" s="11"/>
      <c r="S25686" s="11"/>
      <c r="T25686" s="11"/>
    </row>
    <row r="25687" spans="8:20" x14ac:dyDescent="0.35">
      <c r="H25687" s="711"/>
      <c r="I25687" s="711"/>
      <c r="J25687" s="711"/>
      <c r="K25687" s="711"/>
      <c r="L25687" s="711"/>
      <c r="Q25687" s="11"/>
      <c r="R25687" s="11"/>
      <c r="S25687" s="11"/>
      <c r="T25687" s="11"/>
    </row>
    <row r="25688" spans="8:20" x14ac:dyDescent="0.35">
      <c r="H25688" s="711"/>
      <c r="I25688" s="711"/>
      <c r="J25688" s="711"/>
      <c r="K25688" s="711"/>
      <c r="L25688" s="711"/>
      <c r="Q25688" s="11"/>
      <c r="R25688" s="11"/>
      <c r="S25688" s="11"/>
      <c r="T25688" s="11"/>
    </row>
    <row r="25689" spans="8:20" x14ac:dyDescent="0.35">
      <c r="H25689" s="711"/>
      <c r="I25689" s="711"/>
      <c r="J25689" s="711"/>
      <c r="K25689" s="711"/>
      <c r="L25689" s="711"/>
      <c r="Q25689" s="11"/>
      <c r="R25689" s="11"/>
      <c r="S25689" s="11"/>
      <c r="T25689" s="11"/>
    </row>
    <row r="25690" spans="8:20" x14ac:dyDescent="0.35">
      <c r="H25690" s="711"/>
      <c r="I25690" s="711"/>
      <c r="J25690" s="711"/>
      <c r="K25690" s="711"/>
      <c r="L25690" s="711"/>
      <c r="Q25690" s="11"/>
      <c r="R25690" s="11"/>
      <c r="S25690" s="11"/>
      <c r="T25690" s="11"/>
    </row>
    <row r="25691" spans="8:20" x14ac:dyDescent="0.35">
      <c r="H25691" s="711"/>
      <c r="I25691" s="711"/>
      <c r="J25691" s="711"/>
      <c r="K25691" s="711"/>
      <c r="L25691" s="711"/>
      <c r="Q25691" s="11"/>
      <c r="R25691" s="11"/>
      <c r="S25691" s="11"/>
      <c r="T25691" s="11"/>
    </row>
    <row r="25692" spans="8:20" x14ac:dyDescent="0.35">
      <c r="H25692" s="711"/>
      <c r="I25692" s="711"/>
      <c r="J25692" s="711"/>
      <c r="K25692" s="711"/>
      <c r="L25692" s="711"/>
      <c r="Q25692" s="11"/>
      <c r="R25692" s="11"/>
      <c r="S25692" s="11"/>
      <c r="T25692" s="11"/>
    </row>
    <row r="25693" spans="8:20" x14ac:dyDescent="0.35">
      <c r="H25693" s="711"/>
      <c r="I25693" s="711"/>
      <c r="J25693" s="711"/>
      <c r="K25693" s="711"/>
      <c r="L25693" s="711"/>
      <c r="Q25693" s="11"/>
      <c r="R25693" s="11"/>
      <c r="S25693" s="11"/>
      <c r="T25693" s="11"/>
    </row>
    <row r="25694" spans="8:20" x14ac:dyDescent="0.35">
      <c r="H25694" s="711"/>
      <c r="I25694" s="711"/>
      <c r="J25694" s="711"/>
      <c r="K25694" s="711"/>
      <c r="L25694" s="711"/>
      <c r="Q25694" s="11"/>
      <c r="R25694" s="11"/>
      <c r="S25694" s="11"/>
      <c r="T25694" s="11"/>
    </row>
    <row r="25695" spans="8:20" x14ac:dyDescent="0.35">
      <c r="H25695" s="711"/>
      <c r="I25695" s="711"/>
      <c r="J25695" s="711"/>
      <c r="K25695" s="711"/>
      <c r="L25695" s="711"/>
      <c r="Q25695" s="11"/>
      <c r="R25695" s="11"/>
      <c r="S25695" s="11"/>
      <c r="T25695" s="11"/>
    </row>
    <row r="25696" spans="8:20" x14ac:dyDescent="0.35">
      <c r="H25696" s="711"/>
      <c r="I25696" s="711"/>
      <c r="J25696" s="711"/>
      <c r="K25696" s="711"/>
      <c r="L25696" s="711"/>
      <c r="Q25696" s="11"/>
      <c r="R25696" s="11"/>
      <c r="S25696" s="11"/>
      <c r="T25696" s="11"/>
    </row>
    <row r="25697" spans="8:20" x14ac:dyDescent="0.35">
      <c r="H25697" s="711"/>
      <c r="I25697" s="711"/>
      <c r="J25697" s="711"/>
      <c r="K25697" s="711"/>
      <c r="L25697" s="711"/>
      <c r="Q25697" s="11"/>
      <c r="R25697" s="11"/>
      <c r="S25697" s="11"/>
      <c r="T25697" s="11"/>
    </row>
    <row r="25698" spans="8:20" x14ac:dyDescent="0.35">
      <c r="H25698" s="711"/>
      <c r="I25698" s="711"/>
      <c r="J25698" s="711"/>
      <c r="K25698" s="711"/>
      <c r="L25698" s="711"/>
      <c r="Q25698" s="11"/>
      <c r="R25698" s="11"/>
      <c r="S25698" s="11"/>
      <c r="T25698" s="11"/>
    </row>
    <row r="25699" spans="8:20" x14ac:dyDescent="0.35">
      <c r="H25699" s="711"/>
      <c r="I25699" s="711"/>
      <c r="J25699" s="711"/>
      <c r="K25699" s="711"/>
      <c r="L25699" s="711"/>
      <c r="Q25699" s="11"/>
      <c r="R25699" s="11"/>
      <c r="S25699" s="11"/>
      <c r="T25699" s="11"/>
    </row>
    <row r="25700" spans="8:20" x14ac:dyDescent="0.35">
      <c r="H25700" s="711"/>
      <c r="I25700" s="711"/>
      <c r="J25700" s="711"/>
      <c r="K25700" s="711"/>
      <c r="L25700" s="711"/>
      <c r="Q25700" s="11"/>
      <c r="R25700" s="11"/>
      <c r="S25700" s="11"/>
      <c r="T25700" s="11"/>
    </row>
    <row r="25701" spans="8:20" x14ac:dyDescent="0.35">
      <c r="H25701" s="711"/>
      <c r="I25701" s="711"/>
      <c r="J25701" s="711"/>
      <c r="K25701" s="711"/>
      <c r="L25701" s="711"/>
      <c r="Q25701" s="11"/>
      <c r="R25701" s="11"/>
      <c r="S25701" s="11"/>
      <c r="T25701" s="11"/>
    </row>
    <row r="25702" spans="8:20" x14ac:dyDescent="0.35">
      <c r="H25702" s="711"/>
      <c r="I25702" s="711"/>
      <c r="J25702" s="711"/>
      <c r="K25702" s="711"/>
      <c r="L25702" s="711"/>
      <c r="Q25702" s="11"/>
      <c r="R25702" s="11"/>
      <c r="S25702" s="11"/>
      <c r="T25702" s="11"/>
    </row>
    <row r="25703" spans="8:20" x14ac:dyDescent="0.35">
      <c r="H25703" s="711"/>
      <c r="I25703" s="711"/>
      <c r="J25703" s="711"/>
      <c r="K25703" s="711"/>
      <c r="L25703" s="711"/>
      <c r="Q25703" s="11"/>
      <c r="R25703" s="11"/>
      <c r="S25703" s="11"/>
      <c r="T25703" s="11"/>
    </row>
    <row r="25704" spans="8:20" x14ac:dyDescent="0.35">
      <c r="H25704" s="711"/>
      <c r="I25704" s="711"/>
      <c r="J25704" s="711"/>
      <c r="K25704" s="711"/>
      <c r="L25704" s="711"/>
      <c r="Q25704" s="11"/>
      <c r="R25704" s="11"/>
      <c r="S25704" s="11"/>
      <c r="T25704" s="11"/>
    </row>
    <row r="25705" spans="8:20" x14ac:dyDescent="0.35">
      <c r="H25705" s="711"/>
      <c r="I25705" s="711"/>
      <c r="J25705" s="711"/>
      <c r="K25705" s="711"/>
      <c r="L25705" s="711"/>
      <c r="Q25705" s="11"/>
      <c r="R25705" s="11"/>
      <c r="S25705" s="11"/>
      <c r="T25705" s="11"/>
    </row>
    <row r="25706" spans="8:20" x14ac:dyDescent="0.35">
      <c r="H25706" s="711"/>
      <c r="I25706" s="711"/>
      <c r="J25706" s="711"/>
      <c r="K25706" s="711"/>
      <c r="L25706" s="711"/>
      <c r="Q25706" s="11"/>
      <c r="R25706" s="11"/>
      <c r="S25706" s="11"/>
      <c r="T25706" s="11"/>
    </row>
    <row r="25707" spans="8:20" x14ac:dyDescent="0.35">
      <c r="H25707" s="711"/>
      <c r="I25707" s="711"/>
      <c r="J25707" s="711"/>
      <c r="K25707" s="711"/>
      <c r="L25707" s="711"/>
      <c r="Q25707" s="11"/>
      <c r="R25707" s="11"/>
      <c r="S25707" s="11"/>
      <c r="T25707" s="11"/>
    </row>
    <row r="25708" spans="8:20" x14ac:dyDescent="0.35">
      <c r="H25708" s="711"/>
      <c r="I25708" s="711"/>
      <c r="J25708" s="711"/>
      <c r="K25708" s="711"/>
      <c r="L25708" s="711"/>
      <c r="Q25708" s="11"/>
      <c r="R25708" s="11"/>
      <c r="S25708" s="11"/>
      <c r="T25708" s="11"/>
    </row>
    <row r="25709" spans="8:20" x14ac:dyDescent="0.35">
      <c r="H25709" s="711"/>
      <c r="I25709" s="711"/>
      <c r="J25709" s="711"/>
      <c r="K25709" s="711"/>
      <c r="L25709" s="711"/>
      <c r="Q25709" s="11"/>
      <c r="R25709" s="11"/>
      <c r="S25709" s="11"/>
      <c r="T25709" s="11"/>
    </row>
    <row r="25710" spans="8:20" x14ac:dyDescent="0.35">
      <c r="H25710" s="711"/>
      <c r="I25710" s="711"/>
      <c r="J25710" s="711"/>
      <c r="K25710" s="711"/>
      <c r="L25710" s="711"/>
      <c r="Q25710" s="11"/>
      <c r="R25710" s="11"/>
      <c r="S25710" s="11"/>
      <c r="T25710" s="11"/>
    </row>
    <row r="25711" spans="8:20" x14ac:dyDescent="0.35">
      <c r="H25711" s="711"/>
      <c r="I25711" s="711"/>
      <c r="J25711" s="711"/>
      <c r="K25711" s="711"/>
      <c r="L25711" s="711"/>
      <c r="Q25711" s="11"/>
      <c r="R25711" s="11"/>
      <c r="S25711" s="11"/>
      <c r="T25711" s="11"/>
    </row>
    <row r="25712" spans="8:20" x14ac:dyDescent="0.35">
      <c r="H25712" s="711"/>
      <c r="I25712" s="711"/>
      <c r="J25712" s="711"/>
      <c r="K25712" s="711"/>
      <c r="L25712" s="711"/>
      <c r="Q25712" s="11"/>
      <c r="R25712" s="11"/>
      <c r="S25712" s="11"/>
      <c r="T25712" s="11"/>
    </row>
    <row r="25713" spans="8:20" x14ac:dyDescent="0.35">
      <c r="H25713" s="711"/>
      <c r="I25713" s="711"/>
      <c r="J25713" s="711"/>
      <c r="K25713" s="711"/>
      <c r="L25713" s="711"/>
      <c r="Q25713" s="11"/>
      <c r="R25713" s="11"/>
      <c r="S25713" s="11"/>
      <c r="T25713" s="11"/>
    </row>
    <row r="25714" spans="8:20" x14ac:dyDescent="0.35">
      <c r="H25714" s="711"/>
      <c r="I25714" s="711"/>
      <c r="J25714" s="711"/>
      <c r="K25714" s="711"/>
      <c r="L25714" s="711"/>
      <c r="Q25714" s="11"/>
      <c r="R25714" s="11"/>
      <c r="S25714" s="11"/>
      <c r="T25714" s="11"/>
    </row>
    <row r="25715" spans="8:20" x14ac:dyDescent="0.35">
      <c r="H25715" s="711"/>
      <c r="I25715" s="711"/>
      <c r="J25715" s="711"/>
      <c r="K25715" s="711"/>
      <c r="L25715" s="711"/>
      <c r="Q25715" s="11"/>
      <c r="R25715" s="11"/>
      <c r="S25715" s="11"/>
      <c r="T25715" s="11"/>
    </row>
    <row r="25716" spans="8:20" x14ac:dyDescent="0.35">
      <c r="H25716" s="711"/>
      <c r="I25716" s="711"/>
      <c r="J25716" s="711"/>
      <c r="K25716" s="711"/>
      <c r="L25716" s="711"/>
      <c r="Q25716" s="11"/>
      <c r="R25716" s="11"/>
      <c r="S25716" s="11"/>
      <c r="T25716" s="11"/>
    </row>
    <row r="25717" spans="8:20" x14ac:dyDescent="0.35">
      <c r="H25717" s="711"/>
      <c r="I25717" s="711"/>
      <c r="J25717" s="711"/>
      <c r="K25717" s="711"/>
      <c r="L25717" s="711"/>
      <c r="Q25717" s="11"/>
      <c r="R25717" s="11"/>
      <c r="S25717" s="11"/>
      <c r="T25717" s="11"/>
    </row>
    <row r="25718" spans="8:20" x14ac:dyDescent="0.35">
      <c r="H25718" s="711"/>
      <c r="I25718" s="711"/>
      <c r="J25718" s="711"/>
      <c r="K25718" s="711"/>
      <c r="L25718" s="711"/>
      <c r="Q25718" s="11"/>
      <c r="R25718" s="11"/>
      <c r="S25718" s="11"/>
      <c r="T25718" s="11"/>
    </row>
    <row r="25719" spans="8:20" x14ac:dyDescent="0.35">
      <c r="H25719" s="711"/>
      <c r="I25719" s="711"/>
      <c r="J25719" s="711"/>
      <c r="K25719" s="711"/>
      <c r="L25719" s="711"/>
      <c r="Q25719" s="11"/>
      <c r="R25719" s="11"/>
      <c r="S25719" s="11"/>
      <c r="T25719" s="11"/>
    </row>
    <row r="25720" spans="8:20" x14ac:dyDescent="0.35">
      <c r="H25720" s="711"/>
      <c r="I25720" s="711"/>
      <c r="J25720" s="711"/>
      <c r="K25720" s="711"/>
      <c r="L25720" s="711"/>
      <c r="Q25720" s="11"/>
      <c r="R25720" s="11"/>
      <c r="S25720" s="11"/>
      <c r="T25720" s="11"/>
    </row>
    <row r="25721" spans="8:20" x14ac:dyDescent="0.35">
      <c r="H25721" s="711"/>
      <c r="I25721" s="711"/>
      <c r="J25721" s="711"/>
      <c r="K25721" s="711"/>
      <c r="L25721" s="711"/>
      <c r="Q25721" s="11"/>
      <c r="R25721" s="11"/>
      <c r="S25721" s="11"/>
      <c r="T25721" s="11"/>
    </row>
    <row r="25722" spans="8:20" x14ac:dyDescent="0.35">
      <c r="H25722" s="711"/>
      <c r="I25722" s="711"/>
      <c r="J25722" s="711"/>
      <c r="K25722" s="711"/>
      <c r="L25722" s="711"/>
      <c r="Q25722" s="11"/>
      <c r="R25722" s="11"/>
      <c r="S25722" s="11"/>
      <c r="T25722" s="11"/>
    </row>
    <row r="25723" spans="8:20" x14ac:dyDescent="0.35">
      <c r="H25723" s="711"/>
      <c r="I25723" s="711"/>
      <c r="J25723" s="711"/>
      <c r="K25723" s="711"/>
      <c r="L25723" s="711"/>
      <c r="Q25723" s="11"/>
      <c r="R25723" s="11"/>
      <c r="S25723" s="11"/>
      <c r="T25723" s="11"/>
    </row>
    <row r="25724" spans="8:20" x14ac:dyDescent="0.35">
      <c r="H25724" s="711"/>
      <c r="I25724" s="711"/>
      <c r="J25724" s="711"/>
      <c r="K25724" s="711"/>
      <c r="L25724" s="711"/>
      <c r="Q25724" s="11"/>
      <c r="R25724" s="11"/>
      <c r="S25724" s="11"/>
      <c r="T25724" s="11"/>
    </row>
    <row r="25725" spans="8:20" x14ac:dyDescent="0.35">
      <c r="H25725" s="711"/>
      <c r="I25725" s="711"/>
      <c r="J25725" s="711"/>
      <c r="K25725" s="711"/>
      <c r="L25725" s="711"/>
      <c r="Q25725" s="11"/>
      <c r="R25725" s="11"/>
      <c r="S25725" s="11"/>
      <c r="T25725" s="11"/>
    </row>
    <row r="25726" spans="8:20" x14ac:dyDescent="0.35">
      <c r="H25726" s="711"/>
      <c r="I25726" s="711"/>
      <c r="J25726" s="711"/>
      <c r="K25726" s="711"/>
      <c r="L25726" s="711"/>
      <c r="Q25726" s="11"/>
      <c r="R25726" s="11"/>
      <c r="S25726" s="11"/>
      <c r="T25726" s="11"/>
    </row>
    <row r="25727" spans="8:20" x14ac:dyDescent="0.35">
      <c r="H25727" s="711"/>
      <c r="I25727" s="711"/>
      <c r="J25727" s="711"/>
      <c r="K25727" s="711"/>
      <c r="L25727" s="711"/>
      <c r="Q25727" s="11"/>
      <c r="R25727" s="11"/>
      <c r="S25727" s="11"/>
      <c r="T25727" s="11"/>
    </row>
    <row r="25728" spans="8:20" x14ac:dyDescent="0.35">
      <c r="H25728" s="711"/>
      <c r="I25728" s="711"/>
      <c r="J25728" s="711"/>
      <c r="K25728" s="711"/>
      <c r="L25728" s="711"/>
      <c r="Q25728" s="11"/>
      <c r="R25728" s="11"/>
      <c r="S25728" s="11"/>
      <c r="T25728" s="11"/>
    </row>
    <row r="25729" spans="8:20" x14ac:dyDescent="0.35">
      <c r="H25729" s="711"/>
      <c r="I25729" s="711"/>
      <c r="J25729" s="711"/>
      <c r="K25729" s="711"/>
      <c r="L25729" s="711"/>
      <c r="Q25729" s="11"/>
      <c r="R25729" s="11"/>
      <c r="S25729" s="11"/>
      <c r="T25729" s="11"/>
    </row>
    <row r="25730" spans="8:20" x14ac:dyDescent="0.35">
      <c r="H25730" s="711"/>
      <c r="I25730" s="711"/>
      <c r="J25730" s="711"/>
      <c r="K25730" s="711"/>
      <c r="L25730" s="711"/>
      <c r="Q25730" s="11"/>
      <c r="R25730" s="11"/>
      <c r="S25730" s="11"/>
      <c r="T25730" s="11"/>
    </row>
    <row r="25731" spans="8:20" x14ac:dyDescent="0.35">
      <c r="H25731" s="711"/>
      <c r="I25731" s="711"/>
      <c r="J25731" s="711"/>
      <c r="K25731" s="711"/>
      <c r="L25731" s="711"/>
      <c r="Q25731" s="11"/>
      <c r="R25731" s="11"/>
      <c r="S25731" s="11"/>
      <c r="T25731" s="11"/>
    </row>
    <row r="25732" spans="8:20" x14ac:dyDescent="0.35">
      <c r="H25732" s="711"/>
      <c r="I25732" s="711"/>
      <c r="J25732" s="711"/>
      <c r="K25732" s="711"/>
      <c r="L25732" s="711"/>
      <c r="Q25732" s="11"/>
      <c r="R25732" s="11"/>
      <c r="S25732" s="11"/>
      <c r="T25732" s="11"/>
    </row>
    <row r="25733" spans="8:20" x14ac:dyDescent="0.35">
      <c r="H25733" s="711"/>
      <c r="I25733" s="711"/>
      <c r="J25733" s="711"/>
      <c r="K25733" s="711"/>
      <c r="L25733" s="711"/>
      <c r="Q25733" s="11"/>
      <c r="R25733" s="11"/>
      <c r="S25733" s="11"/>
      <c r="T25733" s="11"/>
    </row>
    <row r="25734" spans="8:20" x14ac:dyDescent="0.35">
      <c r="H25734" s="711"/>
      <c r="I25734" s="711"/>
      <c r="J25734" s="711"/>
      <c r="K25734" s="711"/>
      <c r="L25734" s="711"/>
      <c r="Q25734" s="11"/>
      <c r="R25734" s="11"/>
      <c r="S25734" s="11"/>
      <c r="T25734" s="11"/>
    </row>
    <row r="25735" spans="8:20" x14ac:dyDescent="0.35">
      <c r="H25735" s="711"/>
      <c r="I25735" s="711"/>
      <c r="J25735" s="711"/>
      <c r="K25735" s="711"/>
      <c r="L25735" s="711"/>
      <c r="Q25735" s="11"/>
      <c r="R25735" s="11"/>
      <c r="S25735" s="11"/>
      <c r="T25735" s="11"/>
    </row>
    <row r="25736" spans="8:20" x14ac:dyDescent="0.35">
      <c r="H25736" s="711"/>
      <c r="I25736" s="711"/>
      <c r="J25736" s="711"/>
      <c r="K25736" s="711"/>
      <c r="L25736" s="711"/>
      <c r="Q25736" s="11"/>
      <c r="R25736" s="11"/>
      <c r="S25736" s="11"/>
      <c r="T25736" s="11"/>
    </row>
    <row r="25737" spans="8:20" x14ac:dyDescent="0.35">
      <c r="H25737" s="711"/>
      <c r="I25737" s="711"/>
      <c r="J25737" s="711"/>
      <c r="K25737" s="711"/>
      <c r="L25737" s="711"/>
      <c r="Q25737" s="11"/>
      <c r="R25737" s="11"/>
      <c r="S25737" s="11"/>
      <c r="T25737" s="11"/>
    </row>
    <row r="25738" spans="8:20" x14ac:dyDescent="0.35">
      <c r="H25738" s="711"/>
      <c r="I25738" s="711"/>
      <c r="J25738" s="711"/>
      <c r="K25738" s="711"/>
      <c r="L25738" s="711"/>
      <c r="Q25738" s="11"/>
      <c r="R25738" s="11"/>
      <c r="S25738" s="11"/>
      <c r="T25738" s="11"/>
    </row>
    <row r="25739" spans="8:20" x14ac:dyDescent="0.35">
      <c r="H25739" s="711"/>
      <c r="I25739" s="711"/>
      <c r="J25739" s="711"/>
      <c r="K25739" s="711"/>
      <c r="L25739" s="711"/>
      <c r="Q25739" s="11"/>
      <c r="R25739" s="11"/>
      <c r="S25739" s="11"/>
      <c r="T25739" s="11"/>
    </row>
    <row r="25740" spans="8:20" x14ac:dyDescent="0.35">
      <c r="H25740" s="711"/>
      <c r="I25740" s="711"/>
      <c r="J25740" s="711"/>
      <c r="K25740" s="711"/>
      <c r="L25740" s="711"/>
      <c r="Q25740" s="11"/>
      <c r="R25740" s="11"/>
      <c r="S25740" s="11"/>
      <c r="T25740" s="11"/>
    </row>
    <row r="25741" spans="8:20" x14ac:dyDescent="0.35">
      <c r="H25741" s="711"/>
      <c r="I25741" s="711"/>
      <c r="J25741" s="711"/>
      <c r="K25741" s="711"/>
      <c r="L25741" s="711"/>
      <c r="Q25741" s="11"/>
      <c r="R25741" s="11"/>
      <c r="S25741" s="11"/>
      <c r="T25741" s="11"/>
    </row>
    <row r="25742" spans="8:20" x14ac:dyDescent="0.35">
      <c r="H25742" s="711"/>
      <c r="I25742" s="711"/>
      <c r="J25742" s="711"/>
      <c r="K25742" s="711"/>
      <c r="L25742" s="711"/>
      <c r="Q25742" s="11"/>
      <c r="R25742" s="11"/>
      <c r="S25742" s="11"/>
      <c r="T25742" s="11"/>
    </row>
    <row r="25743" spans="8:20" x14ac:dyDescent="0.35">
      <c r="H25743" s="711"/>
      <c r="I25743" s="711"/>
      <c r="J25743" s="711"/>
      <c r="K25743" s="711"/>
      <c r="L25743" s="711"/>
      <c r="Q25743" s="11"/>
      <c r="R25743" s="11"/>
      <c r="S25743" s="11"/>
      <c r="T25743" s="11"/>
    </row>
    <row r="25744" spans="8:20" x14ac:dyDescent="0.35">
      <c r="H25744" s="711"/>
      <c r="I25744" s="711"/>
      <c r="J25744" s="711"/>
      <c r="K25744" s="711"/>
      <c r="L25744" s="711"/>
      <c r="Q25744" s="11"/>
      <c r="R25744" s="11"/>
      <c r="S25744" s="11"/>
      <c r="T25744" s="11"/>
    </row>
    <row r="25745" spans="8:20" x14ac:dyDescent="0.35">
      <c r="H25745" s="711"/>
      <c r="I25745" s="711"/>
      <c r="J25745" s="711"/>
      <c r="K25745" s="711"/>
      <c r="L25745" s="711"/>
      <c r="Q25745" s="11"/>
      <c r="R25745" s="11"/>
      <c r="S25745" s="11"/>
      <c r="T25745" s="11"/>
    </row>
    <row r="25746" spans="8:20" x14ac:dyDescent="0.35">
      <c r="H25746" s="711"/>
      <c r="I25746" s="711"/>
      <c r="J25746" s="711"/>
      <c r="K25746" s="711"/>
      <c r="L25746" s="711"/>
      <c r="Q25746" s="11"/>
      <c r="R25746" s="11"/>
      <c r="S25746" s="11"/>
      <c r="T25746" s="11"/>
    </row>
    <row r="25747" spans="8:20" x14ac:dyDescent="0.35">
      <c r="H25747" s="711"/>
      <c r="I25747" s="711"/>
      <c r="J25747" s="711"/>
      <c r="K25747" s="711"/>
      <c r="L25747" s="711"/>
      <c r="Q25747" s="11"/>
      <c r="R25747" s="11"/>
      <c r="S25747" s="11"/>
      <c r="T25747" s="11"/>
    </row>
    <row r="25748" spans="8:20" x14ac:dyDescent="0.35">
      <c r="H25748" s="711"/>
      <c r="I25748" s="711"/>
      <c r="J25748" s="711"/>
      <c r="K25748" s="711"/>
      <c r="L25748" s="711"/>
      <c r="Q25748" s="11"/>
      <c r="R25748" s="11"/>
      <c r="S25748" s="11"/>
      <c r="T25748" s="11"/>
    </row>
    <row r="25749" spans="8:20" x14ac:dyDescent="0.35">
      <c r="H25749" s="711"/>
      <c r="I25749" s="711"/>
      <c r="J25749" s="711"/>
      <c r="K25749" s="711"/>
      <c r="L25749" s="711"/>
      <c r="Q25749" s="11"/>
      <c r="R25749" s="11"/>
      <c r="S25749" s="11"/>
      <c r="T25749" s="11"/>
    </row>
    <row r="25750" spans="8:20" x14ac:dyDescent="0.35">
      <c r="H25750" s="711"/>
      <c r="I25750" s="711"/>
      <c r="J25750" s="711"/>
      <c r="K25750" s="711"/>
      <c r="L25750" s="711"/>
      <c r="Q25750" s="11"/>
      <c r="R25750" s="11"/>
      <c r="S25750" s="11"/>
      <c r="T25750" s="11"/>
    </row>
    <row r="25751" spans="8:20" x14ac:dyDescent="0.35">
      <c r="H25751" s="711"/>
      <c r="I25751" s="711"/>
      <c r="J25751" s="711"/>
      <c r="K25751" s="711"/>
      <c r="L25751" s="711"/>
      <c r="Q25751" s="11"/>
      <c r="R25751" s="11"/>
      <c r="S25751" s="11"/>
      <c r="T25751" s="11"/>
    </row>
    <row r="25752" spans="8:20" x14ac:dyDescent="0.35">
      <c r="H25752" s="711"/>
      <c r="I25752" s="711"/>
      <c r="J25752" s="711"/>
      <c r="K25752" s="711"/>
      <c r="L25752" s="711"/>
      <c r="Q25752" s="11"/>
      <c r="R25752" s="11"/>
      <c r="S25752" s="11"/>
      <c r="T25752" s="11"/>
    </row>
    <row r="25753" spans="8:20" x14ac:dyDescent="0.35">
      <c r="H25753" s="711"/>
      <c r="I25753" s="711"/>
      <c r="J25753" s="711"/>
      <c r="K25753" s="711"/>
      <c r="L25753" s="711"/>
      <c r="Q25753" s="11"/>
      <c r="R25753" s="11"/>
      <c r="S25753" s="11"/>
      <c r="T25753" s="11"/>
    </row>
    <row r="25754" spans="8:20" x14ac:dyDescent="0.35">
      <c r="H25754" s="711"/>
      <c r="I25754" s="711"/>
      <c r="J25754" s="711"/>
      <c r="K25754" s="711"/>
      <c r="L25754" s="711"/>
      <c r="Q25754" s="11"/>
      <c r="R25754" s="11"/>
      <c r="S25754" s="11"/>
      <c r="T25754" s="11"/>
    </row>
    <row r="25755" spans="8:20" x14ac:dyDescent="0.35">
      <c r="H25755" s="711"/>
      <c r="I25755" s="711"/>
      <c r="J25755" s="711"/>
      <c r="K25755" s="711"/>
      <c r="L25755" s="711"/>
      <c r="Q25755" s="11"/>
      <c r="R25755" s="11"/>
      <c r="S25755" s="11"/>
      <c r="T25755" s="11"/>
    </row>
    <row r="25756" spans="8:20" x14ac:dyDescent="0.35">
      <c r="H25756" s="711"/>
      <c r="I25756" s="711"/>
      <c r="J25756" s="711"/>
      <c r="K25756" s="711"/>
      <c r="L25756" s="711"/>
      <c r="Q25756" s="11"/>
      <c r="R25756" s="11"/>
      <c r="S25756" s="11"/>
      <c r="T25756" s="11"/>
    </row>
    <row r="25757" spans="8:20" x14ac:dyDescent="0.35">
      <c r="H25757" s="711"/>
      <c r="I25757" s="711"/>
      <c r="J25757" s="711"/>
      <c r="K25757" s="711"/>
      <c r="L25757" s="711"/>
      <c r="Q25757" s="11"/>
      <c r="R25757" s="11"/>
      <c r="S25757" s="11"/>
      <c r="T25757" s="11"/>
    </row>
    <row r="25758" spans="8:20" x14ac:dyDescent="0.35">
      <c r="H25758" s="711"/>
      <c r="I25758" s="711"/>
      <c r="J25758" s="711"/>
      <c r="K25758" s="711"/>
      <c r="L25758" s="711"/>
      <c r="Q25758" s="11"/>
      <c r="R25758" s="11"/>
      <c r="S25758" s="11"/>
      <c r="T25758" s="11"/>
    </row>
    <row r="25759" spans="8:20" x14ac:dyDescent="0.35">
      <c r="H25759" s="711"/>
      <c r="I25759" s="711"/>
      <c r="J25759" s="711"/>
      <c r="K25759" s="711"/>
      <c r="L25759" s="711"/>
      <c r="Q25759" s="11"/>
      <c r="R25759" s="11"/>
      <c r="S25759" s="11"/>
      <c r="T25759" s="11"/>
    </row>
    <row r="25760" spans="8:20" x14ac:dyDescent="0.35">
      <c r="H25760" s="711"/>
      <c r="I25760" s="711"/>
      <c r="J25760" s="711"/>
      <c r="K25760" s="711"/>
      <c r="L25760" s="711"/>
      <c r="Q25760" s="11"/>
      <c r="R25760" s="11"/>
      <c r="S25760" s="11"/>
      <c r="T25760" s="11"/>
    </row>
    <row r="25761" spans="8:20" x14ac:dyDescent="0.35">
      <c r="H25761" s="711"/>
      <c r="I25761" s="711"/>
      <c r="J25761" s="711"/>
      <c r="K25761" s="711"/>
      <c r="L25761" s="711"/>
      <c r="Q25761" s="11"/>
      <c r="R25761" s="11"/>
      <c r="S25761" s="11"/>
      <c r="T25761" s="11"/>
    </row>
    <row r="25762" spans="8:20" x14ac:dyDescent="0.35">
      <c r="H25762" s="711"/>
      <c r="I25762" s="711"/>
      <c r="J25762" s="711"/>
      <c r="K25762" s="711"/>
      <c r="L25762" s="711"/>
      <c r="Q25762" s="11"/>
      <c r="R25762" s="11"/>
      <c r="S25762" s="11"/>
      <c r="T25762" s="11"/>
    </row>
    <row r="25763" spans="8:20" x14ac:dyDescent="0.35">
      <c r="H25763" s="711"/>
      <c r="I25763" s="711"/>
      <c r="J25763" s="711"/>
      <c r="K25763" s="711"/>
      <c r="L25763" s="711"/>
      <c r="Q25763" s="11"/>
      <c r="R25763" s="11"/>
      <c r="S25763" s="11"/>
      <c r="T25763" s="11"/>
    </row>
    <row r="25764" spans="8:20" x14ac:dyDescent="0.35">
      <c r="H25764" s="711"/>
      <c r="I25764" s="711"/>
      <c r="J25764" s="711"/>
      <c r="K25764" s="711"/>
      <c r="L25764" s="711"/>
      <c r="Q25764" s="11"/>
      <c r="R25764" s="11"/>
      <c r="S25764" s="11"/>
      <c r="T25764" s="11"/>
    </row>
    <row r="25765" spans="8:20" x14ac:dyDescent="0.35">
      <c r="H25765" s="711"/>
      <c r="I25765" s="711"/>
      <c r="J25765" s="711"/>
      <c r="K25765" s="711"/>
      <c r="L25765" s="711"/>
      <c r="Q25765" s="11"/>
      <c r="R25765" s="11"/>
      <c r="S25765" s="11"/>
      <c r="T25765" s="11"/>
    </row>
    <row r="25766" spans="8:20" x14ac:dyDescent="0.35">
      <c r="H25766" s="711"/>
      <c r="I25766" s="711"/>
      <c r="J25766" s="711"/>
      <c r="K25766" s="711"/>
      <c r="L25766" s="711"/>
      <c r="Q25766" s="11"/>
      <c r="R25766" s="11"/>
      <c r="S25766" s="11"/>
      <c r="T25766" s="11"/>
    </row>
    <row r="25767" spans="8:20" x14ac:dyDescent="0.35">
      <c r="H25767" s="711"/>
      <c r="I25767" s="711"/>
      <c r="J25767" s="711"/>
      <c r="K25767" s="711"/>
      <c r="L25767" s="711"/>
      <c r="Q25767" s="11"/>
      <c r="R25767" s="11"/>
      <c r="S25767" s="11"/>
      <c r="T25767" s="11"/>
    </row>
    <row r="25768" spans="8:20" x14ac:dyDescent="0.35">
      <c r="H25768" s="711"/>
      <c r="I25768" s="711"/>
      <c r="J25768" s="711"/>
      <c r="K25768" s="711"/>
      <c r="L25768" s="711"/>
      <c r="Q25768" s="11"/>
      <c r="R25768" s="11"/>
      <c r="S25768" s="11"/>
      <c r="T25768" s="11"/>
    </row>
    <row r="25769" spans="8:20" x14ac:dyDescent="0.35">
      <c r="H25769" s="711"/>
      <c r="I25769" s="711"/>
      <c r="J25769" s="711"/>
      <c r="K25769" s="711"/>
      <c r="L25769" s="711"/>
      <c r="Q25769" s="11"/>
      <c r="R25769" s="11"/>
      <c r="S25769" s="11"/>
      <c r="T25769" s="11"/>
    </row>
    <row r="25770" spans="8:20" x14ac:dyDescent="0.35">
      <c r="H25770" s="711"/>
      <c r="I25770" s="711"/>
      <c r="J25770" s="711"/>
      <c r="K25770" s="711"/>
      <c r="L25770" s="711"/>
      <c r="Q25770" s="11"/>
      <c r="R25770" s="11"/>
      <c r="S25770" s="11"/>
      <c r="T25770" s="11"/>
    </row>
    <row r="25771" spans="8:20" x14ac:dyDescent="0.35">
      <c r="H25771" s="711"/>
      <c r="I25771" s="711"/>
      <c r="J25771" s="711"/>
      <c r="K25771" s="711"/>
      <c r="L25771" s="711"/>
      <c r="Q25771" s="11"/>
      <c r="R25771" s="11"/>
      <c r="S25771" s="11"/>
      <c r="T25771" s="11"/>
    </row>
    <row r="25772" spans="8:20" x14ac:dyDescent="0.35">
      <c r="H25772" s="711"/>
      <c r="I25772" s="711"/>
      <c r="J25772" s="711"/>
      <c r="K25772" s="711"/>
      <c r="L25772" s="711"/>
      <c r="Q25772" s="11"/>
      <c r="R25772" s="11"/>
      <c r="S25772" s="11"/>
      <c r="T25772" s="11"/>
    </row>
    <row r="25773" spans="8:20" x14ac:dyDescent="0.35">
      <c r="H25773" s="711"/>
      <c r="I25773" s="711"/>
      <c r="J25773" s="711"/>
      <c r="K25773" s="711"/>
      <c r="L25773" s="711"/>
      <c r="Q25773" s="11"/>
      <c r="R25773" s="11"/>
      <c r="S25773" s="11"/>
      <c r="T25773" s="11"/>
    </row>
    <row r="25774" spans="8:20" x14ac:dyDescent="0.35">
      <c r="H25774" s="711"/>
      <c r="I25774" s="711"/>
      <c r="J25774" s="711"/>
      <c r="K25774" s="711"/>
      <c r="L25774" s="711"/>
      <c r="Q25774" s="11"/>
      <c r="R25774" s="11"/>
      <c r="S25774" s="11"/>
      <c r="T25774" s="11"/>
    </row>
    <row r="25775" spans="8:20" x14ac:dyDescent="0.35">
      <c r="H25775" s="711"/>
      <c r="I25775" s="711"/>
      <c r="J25775" s="711"/>
      <c r="K25775" s="711"/>
      <c r="L25775" s="711"/>
      <c r="Q25775" s="11"/>
      <c r="R25775" s="11"/>
      <c r="S25775" s="11"/>
      <c r="T25775" s="11"/>
    </row>
    <row r="25776" spans="8:20" x14ac:dyDescent="0.35">
      <c r="H25776" s="711"/>
      <c r="I25776" s="711"/>
      <c r="J25776" s="711"/>
      <c r="K25776" s="711"/>
      <c r="L25776" s="711"/>
      <c r="Q25776" s="11"/>
      <c r="R25776" s="11"/>
      <c r="S25776" s="11"/>
      <c r="T25776" s="11"/>
    </row>
    <row r="25777" spans="8:20" x14ac:dyDescent="0.35">
      <c r="H25777" s="711"/>
      <c r="I25777" s="711"/>
      <c r="J25777" s="711"/>
      <c r="K25777" s="711"/>
      <c r="L25777" s="711"/>
      <c r="Q25777" s="11"/>
      <c r="R25777" s="11"/>
      <c r="S25777" s="11"/>
      <c r="T25777" s="11"/>
    </row>
    <row r="25778" spans="8:20" x14ac:dyDescent="0.35">
      <c r="H25778" s="711"/>
      <c r="I25778" s="711"/>
      <c r="J25778" s="711"/>
      <c r="K25778" s="711"/>
      <c r="L25778" s="711"/>
      <c r="Q25778" s="11"/>
      <c r="R25778" s="11"/>
      <c r="S25778" s="11"/>
      <c r="T25778" s="11"/>
    </row>
    <row r="25779" spans="8:20" x14ac:dyDescent="0.35">
      <c r="H25779" s="711"/>
      <c r="I25779" s="711"/>
      <c r="J25779" s="711"/>
      <c r="K25779" s="711"/>
      <c r="L25779" s="711"/>
      <c r="Q25779" s="11"/>
      <c r="R25779" s="11"/>
      <c r="S25779" s="11"/>
      <c r="T25779" s="11"/>
    </row>
    <row r="25780" spans="8:20" x14ac:dyDescent="0.35">
      <c r="H25780" s="711"/>
      <c r="I25780" s="711"/>
      <c r="J25780" s="711"/>
      <c r="K25780" s="711"/>
      <c r="L25780" s="711"/>
      <c r="Q25780" s="11"/>
      <c r="R25780" s="11"/>
      <c r="S25780" s="11"/>
      <c r="T25780" s="11"/>
    </row>
    <row r="25781" spans="8:20" x14ac:dyDescent="0.35">
      <c r="H25781" s="711"/>
      <c r="I25781" s="711"/>
      <c r="J25781" s="711"/>
      <c r="K25781" s="711"/>
      <c r="L25781" s="711"/>
      <c r="Q25781" s="11"/>
      <c r="R25781" s="11"/>
      <c r="S25781" s="11"/>
      <c r="T25781" s="11"/>
    </row>
    <row r="25782" spans="8:20" x14ac:dyDescent="0.35">
      <c r="H25782" s="711"/>
      <c r="I25782" s="711"/>
      <c r="J25782" s="711"/>
      <c r="K25782" s="711"/>
      <c r="L25782" s="711"/>
      <c r="Q25782" s="11"/>
      <c r="R25782" s="11"/>
      <c r="S25782" s="11"/>
      <c r="T25782" s="11"/>
    </row>
    <row r="25783" spans="8:20" x14ac:dyDescent="0.35">
      <c r="H25783" s="711"/>
      <c r="I25783" s="711"/>
      <c r="J25783" s="711"/>
      <c r="K25783" s="711"/>
      <c r="L25783" s="711"/>
      <c r="Q25783" s="11"/>
      <c r="R25783" s="11"/>
      <c r="S25783" s="11"/>
      <c r="T25783" s="11"/>
    </row>
    <row r="25784" spans="8:20" x14ac:dyDescent="0.35">
      <c r="H25784" s="711"/>
      <c r="I25784" s="711"/>
      <c r="J25784" s="711"/>
      <c r="K25784" s="711"/>
      <c r="L25784" s="711"/>
      <c r="Q25784" s="11"/>
      <c r="R25784" s="11"/>
      <c r="S25784" s="11"/>
      <c r="T25784" s="11"/>
    </row>
    <row r="25785" spans="8:20" x14ac:dyDescent="0.35">
      <c r="H25785" s="711"/>
      <c r="I25785" s="711"/>
      <c r="J25785" s="711"/>
      <c r="K25785" s="711"/>
      <c r="L25785" s="711"/>
      <c r="Q25785" s="11"/>
      <c r="R25785" s="11"/>
      <c r="S25785" s="11"/>
      <c r="T25785" s="11"/>
    </row>
    <row r="25786" spans="8:20" x14ac:dyDescent="0.35">
      <c r="H25786" s="711"/>
      <c r="I25786" s="711"/>
      <c r="J25786" s="711"/>
      <c r="K25786" s="711"/>
      <c r="L25786" s="711"/>
      <c r="Q25786" s="11"/>
      <c r="R25786" s="11"/>
      <c r="S25786" s="11"/>
      <c r="T25786" s="11"/>
    </row>
    <row r="25787" spans="8:20" x14ac:dyDescent="0.35">
      <c r="H25787" s="711"/>
      <c r="I25787" s="711"/>
      <c r="J25787" s="711"/>
      <c r="K25787" s="711"/>
      <c r="L25787" s="711"/>
      <c r="Q25787" s="11"/>
      <c r="R25787" s="11"/>
      <c r="S25787" s="11"/>
      <c r="T25787" s="11"/>
    </row>
    <row r="25788" spans="8:20" x14ac:dyDescent="0.35">
      <c r="H25788" s="711"/>
      <c r="I25788" s="711"/>
      <c r="J25788" s="711"/>
      <c r="K25788" s="711"/>
      <c r="L25788" s="711"/>
      <c r="Q25788" s="11"/>
      <c r="R25788" s="11"/>
      <c r="S25788" s="11"/>
      <c r="T25788" s="11"/>
    </row>
    <row r="25789" spans="8:20" x14ac:dyDescent="0.35">
      <c r="H25789" s="711"/>
      <c r="I25789" s="711"/>
      <c r="J25789" s="711"/>
      <c r="K25789" s="711"/>
      <c r="L25789" s="711"/>
      <c r="Q25789" s="11"/>
      <c r="R25789" s="11"/>
      <c r="S25789" s="11"/>
      <c r="T25789" s="11"/>
    </row>
    <row r="25790" spans="8:20" x14ac:dyDescent="0.35">
      <c r="H25790" s="711"/>
      <c r="I25790" s="711"/>
      <c r="J25790" s="711"/>
      <c r="K25790" s="711"/>
      <c r="L25790" s="711"/>
      <c r="Q25790" s="11"/>
      <c r="R25790" s="11"/>
      <c r="S25790" s="11"/>
      <c r="T25790" s="11"/>
    </row>
    <row r="25791" spans="8:20" x14ac:dyDescent="0.35">
      <c r="H25791" s="711"/>
      <c r="I25791" s="711"/>
      <c r="J25791" s="711"/>
      <c r="K25791" s="711"/>
      <c r="L25791" s="711"/>
      <c r="Q25791" s="11"/>
      <c r="R25791" s="11"/>
      <c r="S25791" s="11"/>
      <c r="T25791" s="11"/>
    </row>
    <row r="25792" spans="8:20" x14ac:dyDescent="0.35">
      <c r="H25792" s="711"/>
      <c r="I25792" s="711"/>
      <c r="J25792" s="711"/>
      <c r="K25792" s="711"/>
      <c r="L25792" s="711"/>
      <c r="Q25792" s="11"/>
      <c r="R25792" s="11"/>
      <c r="S25792" s="11"/>
      <c r="T25792" s="11"/>
    </row>
    <row r="25793" spans="8:20" x14ac:dyDescent="0.35">
      <c r="H25793" s="711"/>
      <c r="I25793" s="711"/>
      <c r="J25793" s="711"/>
      <c r="K25793" s="711"/>
      <c r="L25793" s="711"/>
      <c r="Q25793" s="11"/>
      <c r="R25793" s="11"/>
      <c r="S25793" s="11"/>
      <c r="T25793" s="11"/>
    </row>
    <row r="25794" spans="8:20" x14ac:dyDescent="0.35">
      <c r="H25794" s="711"/>
      <c r="I25794" s="711"/>
      <c r="J25794" s="711"/>
      <c r="K25794" s="711"/>
      <c r="L25794" s="711"/>
      <c r="Q25794" s="11"/>
      <c r="R25794" s="11"/>
      <c r="S25794" s="11"/>
      <c r="T25794" s="11"/>
    </row>
    <row r="25795" spans="8:20" x14ac:dyDescent="0.35">
      <c r="H25795" s="711"/>
      <c r="I25795" s="711"/>
      <c r="J25795" s="711"/>
      <c r="K25795" s="711"/>
      <c r="L25795" s="711"/>
      <c r="Q25795" s="11"/>
      <c r="R25795" s="11"/>
      <c r="S25795" s="11"/>
      <c r="T25795" s="11"/>
    </row>
    <row r="25796" spans="8:20" x14ac:dyDescent="0.35">
      <c r="H25796" s="711"/>
      <c r="I25796" s="711"/>
      <c r="J25796" s="711"/>
      <c r="K25796" s="711"/>
      <c r="L25796" s="711"/>
      <c r="Q25796" s="11"/>
      <c r="R25796" s="11"/>
      <c r="S25796" s="11"/>
      <c r="T25796" s="11"/>
    </row>
    <row r="25797" spans="8:20" x14ac:dyDescent="0.35">
      <c r="H25797" s="711"/>
      <c r="I25797" s="711"/>
      <c r="J25797" s="711"/>
      <c r="K25797" s="711"/>
      <c r="L25797" s="711"/>
      <c r="Q25797" s="11"/>
      <c r="R25797" s="11"/>
      <c r="S25797" s="11"/>
      <c r="T25797" s="11"/>
    </row>
    <row r="25798" spans="8:20" x14ac:dyDescent="0.35">
      <c r="H25798" s="711"/>
      <c r="I25798" s="711"/>
      <c r="J25798" s="711"/>
      <c r="K25798" s="711"/>
      <c r="L25798" s="711"/>
      <c r="Q25798" s="11"/>
      <c r="R25798" s="11"/>
      <c r="S25798" s="11"/>
      <c r="T25798" s="11"/>
    </row>
    <row r="25799" spans="8:20" x14ac:dyDescent="0.35">
      <c r="H25799" s="711"/>
      <c r="I25799" s="711"/>
      <c r="J25799" s="711"/>
      <c r="K25799" s="711"/>
      <c r="L25799" s="711"/>
      <c r="Q25799" s="11"/>
      <c r="R25799" s="11"/>
      <c r="S25799" s="11"/>
      <c r="T25799" s="11"/>
    </row>
    <row r="25800" spans="8:20" x14ac:dyDescent="0.35">
      <c r="H25800" s="711"/>
      <c r="I25800" s="711"/>
      <c r="J25800" s="711"/>
      <c r="K25800" s="711"/>
      <c r="L25800" s="711"/>
      <c r="Q25800" s="11"/>
      <c r="R25800" s="11"/>
      <c r="S25800" s="11"/>
      <c r="T25800" s="11"/>
    </row>
    <row r="25801" spans="8:20" x14ac:dyDescent="0.35">
      <c r="H25801" s="711"/>
      <c r="I25801" s="711"/>
      <c r="J25801" s="711"/>
      <c r="K25801" s="711"/>
      <c r="L25801" s="711"/>
      <c r="Q25801" s="11"/>
      <c r="R25801" s="11"/>
      <c r="S25801" s="11"/>
      <c r="T25801" s="11"/>
    </row>
    <row r="25802" spans="8:20" x14ac:dyDescent="0.35">
      <c r="H25802" s="711"/>
      <c r="I25802" s="711"/>
      <c r="J25802" s="711"/>
      <c r="K25802" s="711"/>
      <c r="L25802" s="711"/>
      <c r="Q25802" s="11"/>
      <c r="R25802" s="11"/>
      <c r="S25802" s="11"/>
      <c r="T25802" s="11"/>
    </row>
    <row r="25803" spans="8:20" x14ac:dyDescent="0.35">
      <c r="H25803" s="711"/>
      <c r="I25803" s="711"/>
      <c r="J25803" s="711"/>
      <c r="K25803" s="711"/>
      <c r="L25803" s="711"/>
      <c r="Q25803" s="11"/>
      <c r="R25803" s="11"/>
      <c r="S25803" s="11"/>
      <c r="T25803" s="11"/>
    </row>
    <row r="25804" spans="8:20" x14ac:dyDescent="0.35">
      <c r="H25804" s="711"/>
      <c r="I25804" s="711"/>
      <c r="J25804" s="711"/>
      <c r="K25804" s="711"/>
      <c r="L25804" s="711"/>
      <c r="Q25804" s="11"/>
      <c r="R25804" s="11"/>
      <c r="S25804" s="11"/>
      <c r="T25804" s="11"/>
    </row>
    <row r="25805" spans="8:20" x14ac:dyDescent="0.35">
      <c r="H25805" s="711"/>
      <c r="I25805" s="711"/>
      <c r="J25805" s="711"/>
      <c r="K25805" s="711"/>
      <c r="L25805" s="711"/>
      <c r="Q25805" s="11"/>
      <c r="R25805" s="11"/>
      <c r="S25805" s="11"/>
      <c r="T25805" s="11"/>
    </row>
    <row r="25806" spans="8:20" x14ac:dyDescent="0.35">
      <c r="H25806" s="711"/>
      <c r="I25806" s="711"/>
      <c r="J25806" s="711"/>
      <c r="K25806" s="711"/>
      <c r="L25806" s="711"/>
      <c r="Q25806" s="11"/>
      <c r="R25806" s="11"/>
      <c r="S25806" s="11"/>
      <c r="T25806" s="11"/>
    </row>
    <row r="25807" spans="8:20" x14ac:dyDescent="0.35">
      <c r="H25807" s="711"/>
      <c r="I25807" s="711"/>
      <c r="J25807" s="711"/>
      <c r="K25807" s="711"/>
      <c r="L25807" s="711"/>
      <c r="Q25807" s="11"/>
      <c r="R25807" s="11"/>
      <c r="S25807" s="11"/>
      <c r="T25807" s="11"/>
    </row>
    <row r="25808" spans="8:20" x14ac:dyDescent="0.35">
      <c r="H25808" s="711"/>
      <c r="I25808" s="711"/>
      <c r="J25808" s="711"/>
      <c r="K25808" s="711"/>
      <c r="L25808" s="711"/>
      <c r="Q25808" s="11"/>
      <c r="R25808" s="11"/>
      <c r="S25808" s="11"/>
      <c r="T25808" s="11"/>
    </row>
    <row r="25809" spans="8:20" x14ac:dyDescent="0.35">
      <c r="H25809" s="711"/>
      <c r="I25809" s="711"/>
      <c r="J25809" s="711"/>
      <c r="K25809" s="711"/>
      <c r="L25809" s="711"/>
      <c r="Q25809" s="11"/>
      <c r="R25809" s="11"/>
      <c r="S25809" s="11"/>
      <c r="T25809" s="11"/>
    </row>
    <row r="25810" spans="8:20" x14ac:dyDescent="0.35">
      <c r="H25810" s="711"/>
      <c r="I25810" s="711"/>
      <c r="J25810" s="711"/>
      <c r="K25810" s="711"/>
      <c r="L25810" s="711"/>
      <c r="Q25810" s="11"/>
      <c r="R25810" s="11"/>
      <c r="S25810" s="11"/>
      <c r="T25810" s="11"/>
    </row>
    <row r="25811" spans="8:20" x14ac:dyDescent="0.35">
      <c r="H25811" s="711"/>
      <c r="I25811" s="711"/>
      <c r="J25811" s="711"/>
      <c r="K25811" s="711"/>
      <c r="L25811" s="711"/>
      <c r="Q25811" s="11"/>
      <c r="R25811" s="11"/>
      <c r="S25811" s="11"/>
      <c r="T25811" s="11"/>
    </row>
    <row r="25812" spans="8:20" x14ac:dyDescent="0.35">
      <c r="H25812" s="711"/>
      <c r="I25812" s="711"/>
      <c r="J25812" s="711"/>
      <c r="K25812" s="711"/>
      <c r="L25812" s="711"/>
      <c r="Q25812" s="11"/>
      <c r="R25812" s="11"/>
      <c r="S25812" s="11"/>
      <c r="T25812" s="11"/>
    </row>
    <row r="25813" spans="8:20" x14ac:dyDescent="0.35">
      <c r="H25813" s="711"/>
      <c r="I25813" s="711"/>
      <c r="J25813" s="711"/>
      <c r="K25813" s="711"/>
      <c r="L25813" s="711"/>
      <c r="Q25813" s="11"/>
      <c r="R25813" s="11"/>
      <c r="S25813" s="11"/>
      <c r="T25813" s="11"/>
    </row>
    <row r="25814" spans="8:20" x14ac:dyDescent="0.35">
      <c r="H25814" s="711"/>
      <c r="I25814" s="711"/>
      <c r="J25814" s="711"/>
      <c r="K25814" s="711"/>
      <c r="L25814" s="711"/>
      <c r="Q25814" s="11"/>
      <c r="R25814" s="11"/>
      <c r="S25814" s="11"/>
      <c r="T25814" s="11"/>
    </row>
    <row r="25815" spans="8:20" x14ac:dyDescent="0.35">
      <c r="H25815" s="711"/>
      <c r="I25815" s="711"/>
      <c r="J25815" s="711"/>
      <c r="K25815" s="711"/>
      <c r="L25815" s="711"/>
      <c r="Q25815" s="11"/>
      <c r="R25815" s="11"/>
      <c r="S25815" s="11"/>
      <c r="T25815" s="11"/>
    </row>
    <row r="25816" spans="8:20" x14ac:dyDescent="0.35">
      <c r="H25816" s="711"/>
      <c r="I25816" s="711"/>
      <c r="J25816" s="711"/>
      <c r="K25816" s="711"/>
      <c r="L25816" s="711"/>
      <c r="Q25816" s="11"/>
      <c r="R25816" s="11"/>
      <c r="S25816" s="11"/>
      <c r="T25816" s="11"/>
    </row>
    <row r="25817" spans="8:20" x14ac:dyDescent="0.35">
      <c r="H25817" s="711"/>
      <c r="I25817" s="711"/>
      <c r="J25817" s="711"/>
      <c r="K25817" s="711"/>
      <c r="L25817" s="711"/>
      <c r="Q25817" s="11"/>
      <c r="R25817" s="11"/>
      <c r="S25817" s="11"/>
      <c r="T25817" s="11"/>
    </row>
    <row r="25818" spans="8:20" x14ac:dyDescent="0.35">
      <c r="H25818" s="711"/>
      <c r="I25818" s="711"/>
      <c r="J25818" s="711"/>
      <c r="K25818" s="711"/>
      <c r="L25818" s="711"/>
      <c r="Q25818" s="11"/>
      <c r="R25818" s="11"/>
      <c r="S25818" s="11"/>
      <c r="T25818" s="11"/>
    </row>
    <row r="25819" spans="8:20" x14ac:dyDescent="0.35">
      <c r="H25819" s="711"/>
      <c r="I25819" s="711"/>
      <c r="J25819" s="711"/>
      <c r="K25819" s="711"/>
      <c r="L25819" s="711"/>
      <c r="Q25819" s="11"/>
      <c r="R25819" s="11"/>
      <c r="S25819" s="11"/>
      <c r="T25819" s="11"/>
    </row>
    <row r="25820" spans="8:20" x14ac:dyDescent="0.35">
      <c r="H25820" s="711"/>
      <c r="I25820" s="711"/>
      <c r="J25820" s="711"/>
      <c r="K25820" s="711"/>
      <c r="L25820" s="711"/>
      <c r="Q25820" s="11"/>
      <c r="R25820" s="11"/>
      <c r="S25820" s="11"/>
      <c r="T25820" s="11"/>
    </row>
    <row r="25821" spans="8:20" x14ac:dyDescent="0.35">
      <c r="H25821" s="711"/>
      <c r="I25821" s="711"/>
      <c r="J25821" s="711"/>
      <c r="K25821" s="711"/>
      <c r="L25821" s="711"/>
      <c r="Q25821" s="11"/>
      <c r="R25821" s="11"/>
      <c r="S25821" s="11"/>
      <c r="T25821" s="11"/>
    </row>
    <row r="25822" spans="8:20" x14ac:dyDescent="0.35">
      <c r="H25822" s="711"/>
      <c r="I25822" s="711"/>
      <c r="J25822" s="711"/>
      <c r="K25822" s="711"/>
      <c r="L25822" s="711"/>
      <c r="Q25822" s="11"/>
      <c r="R25822" s="11"/>
      <c r="S25822" s="11"/>
      <c r="T25822" s="11"/>
    </row>
    <row r="25823" spans="8:20" x14ac:dyDescent="0.35">
      <c r="H25823" s="711"/>
      <c r="I25823" s="711"/>
      <c r="J25823" s="711"/>
      <c r="K25823" s="711"/>
      <c r="L25823" s="711"/>
      <c r="Q25823" s="11"/>
      <c r="R25823" s="11"/>
      <c r="S25823" s="11"/>
      <c r="T25823" s="11"/>
    </row>
    <row r="25824" spans="8:20" x14ac:dyDescent="0.35">
      <c r="H25824" s="711"/>
      <c r="I25824" s="711"/>
      <c r="J25824" s="711"/>
      <c r="K25824" s="711"/>
      <c r="L25824" s="711"/>
      <c r="Q25824" s="11"/>
      <c r="R25824" s="11"/>
      <c r="S25824" s="11"/>
      <c r="T25824" s="11"/>
    </row>
    <row r="25825" spans="8:20" x14ac:dyDescent="0.35">
      <c r="H25825" s="711"/>
      <c r="I25825" s="711"/>
      <c r="J25825" s="711"/>
      <c r="K25825" s="711"/>
      <c r="L25825" s="711"/>
      <c r="Q25825" s="11"/>
      <c r="R25825" s="11"/>
      <c r="S25825" s="11"/>
      <c r="T25825" s="11"/>
    </row>
    <row r="25826" spans="8:20" x14ac:dyDescent="0.35">
      <c r="H25826" s="711"/>
      <c r="I25826" s="711"/>
      <c r="J25826" s="711"/>
      <c r="K25826" s="711"/>
      <c r="L25826" s="711"/>
      <c r="Q25826" s="11"/>
      <c r="R25826" s="11"/>
      <c r="S25826" s="11"/>
      <c r="T25826" s="11"/>
    </row>
    <row r="25827" spans="8:20" x14ac:dyDescent="0.35">
      <c r="H25827" s="711"/>
      <c r="I25827" s="711"/>
      <c r="J25827" s="711"/>
      <c r="K25827" s="711"/>
      <c r="L25827" s="711"/>
      <c r="Q25827" s="11"/>
      <c r="R25827" s="11"/>
      <c r="S25827" s="11"/>
      <c r="T25827" s="11"/>
    </row>
    <row r="25828" spans="8:20" x14ac:dyDescent="0.35">
      <c r="H25828" s="711"/>
      <c r="I25828" s="711"/>
      <c r="J25828" s="711"/>
      <c r="K25828" s="711"/>
      <c r="L25828" s="711"/>
      <c r="Q25828" s="11"/>
      <c r="R25828" s="11"/>
      <c r="S25828" s="11"/>
      <c r="T25828" s="11"/>
    </row>
    <row r="25829" spans="8:20" x14ac:dyDescent="0.35">
      <c r="H25829" s="711"/>
      <c r="I25829" s="711"/>
      <c r="J25829" s="711"/>
      <c r="K25829" s="711"/>
      <c r="L25829" s="711"/>
      <c r="Q25829" s="11"/>
      <c r="R25829" s="11"/>
      <c r="S25829" s="11"/>
      <c r="T25829" s="11"/>
    </row>
    <row r="25830" spans="8:20" x14ac:dyDescent="0.35">
      <c r="H25830" s="711"/>
      <c r="I25830" s="711"/>
      <c r="J25830" s="711"/>
      <c r="K25830" s="711"/>
      <c r="L25830" s="711"/>
      <c r="Q25830" s="11"/>
      <c r="R25830" s="11"/>
      <c r="S25830" s="11"/>
      <c r="T25830" s="11"/>
    </row>
    <row r="25831" spans="8:20" x14ac:dyDescent="0.35">
      <c r="H25831" s="711"/>
      <c r="I25831" s="711"/>
      <c r="J25831" s="711"/>
      <c r="K25831" s="711"/>
      <c r="L25831" s="711"/>
      <c r="Q25831" s="11"/>
      <c r="R25831" s="11"/>
      <c r="S25831" s="11"/>
      <c r="T25831" s="11"/>
    </row>
    <row r="25832" spans="8:20" x14ac:dyDescent="0.35">
      <c r="H25832" s="711"/>
      <c r="I25832" s="711"/>
      <c r="J25832" s="711"/>
      <c r="K25832" s="711"/>
      <c r="L25832" s="711"/>
      <c r="Q25832" s="11"/>
      <c r="R25832" s="11"/>
      <c r="S25832" s="11"/>
      <c r="T25832" s="11"/>
    </row>
    <row r="25833" spans="8:20" x14ac:dyDescent="0.35">
      <c r="H25833" s="711"/>
      <c r="I25833" s="711"/>
      <c r="J25833" s="711"/>
      <c r="K25833" s="711"/>
      <c r="L25833" s="711"/>
      <c r="Q25833" s="11"/>
      <c r="R25833" s="11"/>
      <c r="S25833" s="11"/>
      <c r="T25833" s="11"/>
    </row>
    <row r="25834" spans="8:20" x14ac:dyDescent="0.35">
      <c r="H25834" s="711"/>
      <c r="I25834" s="711"/>
      <c r="J25834" s="711"/>
      <c r="K25834" s="711"/>
      <c r="L25834" s="711"/>
      <c r="Q25834" s="11"/>
      <c r="R25834" s="11"/>
      <c r="S25834" s="11"/>
      <c r="T25834" s="11"/>
    </row>
    <row r="25835" spans="8:20" x14ac:dyDescent="0.35">
      <c r="H25835" s="711"/>
      <c r="I25835" s="711"/>
      <c r="J25835" s="711"/>
      <c r="K25835" s="711"/>
      <c r="L25835" s="711"/>
      <c r="Q25835" s="11"/>
      <c r="R25835" s="11"/>
      <c r="S25835" s="11"/>
      <c r="T25835" s="11"/>
    </row>
    <row r="25836" spans="8:20" x14ac:dyDescent="0.35">
      <c r="H25836" s="711"/>
      <c r="I25836" s="711"/>
      <c r="J25836" s="711"/>
      <c r="K25836" s="711"/>
      <c r="L25836" s="711"/>
      <c r="Q25836" s="11"/>
      <c r="R25836" s="11"/>
      <c r="S25836" s="11"/>
      <c r="T25836" s="11"/>
    </row>
    <row r="25837" spans="8:20" x14ac:dyDescent="0.35">
      <c r="H25837" s="711"/>
      <c r="I25837" s="711"/>
      <c r="J25837" s="711"/>
      <c r="K25837" s="711"/>
      <c r="L25837" s="711"/>
      <c r="Q25837" s="11"/>
      <c r="R25837" s="11"/>
      <c r="S25837" s="11"/>
      <c r="T25837" s="11"/>
    </row>
    <row r="25838" spans="8:20" x14ac:dyDescent="0.35">
      <c r="H25838" s="711"/>
      <c r="I25838" s="711"/>
      <c r="J25838" s="711"/>
      <c r="K25838" s="711"/>
      <c r="L25838" s="711"/>
      <c r="Q25838" s="11"/>
      <c r="R25838" s="11"/>
      <c r="S25838" s="11"/>
      <c r="T25838" s="11"/>
    </row>
    <row r="25839" spans="8:20" x14ac:dyDescent="0.35">
      <c r="H25839" s="711"/>
      <c r="I25839" s="711"/>
      <c r="J25839" s="711"/>
      <c r="K25839" s="711"/>
      <c r="L25839" s="711"/>
      <c r="Q25839" s="11"/>
      <c r="R25839" s="11"/>
      <c r="S25839" s="11"/>
      <c r="T25839" s="11"/>
    </row>
    <row r="25840" spans="8:20" x14ac:dyDescent="0.35">
      <c r="H25840" s="711"/>
      <c r="I25840" s="711"/>
      <c r="J25840" s="711"/>
      <c r="K25840" s="711"/>
      <c r="L25840" s="711"/>
      <c r="Q25840" s="11"/>
      <c r="R25840" s="11"/>
      <c r="S25840" s="11"/>
      <c r="T25840" s="11"/>
    </row>
    <row r="25841" spans="8:20" x14ac:dyDescent="0.35">
      <c r="H25841" s="711"/>
      <c r="I25841" s="711"/>
      <c r="J25841" s="711"/>
      <c r="K25841" s="711"/>
      <c r="L25841" s="711"/>
      <c r="Q25841" s="11"/>
      <c r="R25841" s="11"/>
      <c r="S25841" s="11"/>
      <c r="T25841" s="11"/>
    </row>
    <row r="25842" spans="8:20" x14ac:dyDescent="0.35">
      <c r="H25842" s="711"/>
      <c r="I25842" s="711"/>
      <c r="J25842" s="711"/>
      <c r="K25842" s="711"/>
      <c r="L25842" s="711"/>
      <c r="Q25842" s="11"/>
      <c r="R25842" s="11"/>
      <c r="S25842" s="11"/>
      <c r="T25842" s="11"/>
    </row>
    <row r="25843" spans="8:20" x14ac:dyDescent="0.35">
      <c r="H25843" s="711"/>
      <c r="I25843" s="711"/>
      <c r="J25843" s="711"/>
      <c r="K25843" s="711"/>
      <c r="L25843" s="711"/>
      <c r="Q25843" s="11"/>
      <c r="R25843" s="11"/>
      <c r="S25843" s="11"/>
      <c r="T25843" s="11"/>
    </row>
    <row r="25844" spans="8:20" x14ac:dyDescent="0.35">
      <c r="H25844" s="711"/>
      <c r="I25844" s="711"/>
      <c r="J25844" s="711"/>
      <c r="K25844" s="711"/>
      <c r="L25844" s="711"/>
      <c r="Q25844" s="11"/>
      <c r="R25844" s="11"/>
      <c r="S25844" s="11"/>
      <c r="T25844" s="11"/>
    </row>
    <row r="25845" spans="8:20" x14ac:dyDescent="0.35">
      <c r="H25845" s="711"/>
      <c r="I25845" s="711"/>
      <c r="J25845" s="711"/>
      <c r="K25845" s="711"/>
      <c r="L25845" s="711"/>
      <c r="Q25845" s="11"/>
      <c r="R25845" s="11"/>
      <c r="S25845" s="11"/>
      <c r="T25845" s="11"/>
    </row>
    <row r="25846" spans="8:20" x14ac:dyDescent="0.35">
      <c r="H25846" s="711"/>
      <c r="I25846" s="711"/>
      <c r="J25846" s="711"/>
      <c r="K25846" s="711"/>
      <c r="L25846" s="711"/>
      <c r="Q25846" s="11"/>
      <c r="R25846" s="11"/>
      <c r="S25846" s="11"/>
      <c r="T25846" s="11"/>
    </row>
    <row r="25847" spans="8:20" x14ac:dyDescent="0.35">
      <c r="H25847" s="711"/>
      <c r="I25847" s="711"/>
      <c r="J25847" s="711"/>
      <c r="K25847" s="711"/>
      <c r="L25847" s="711"/>
      <c r="Q25847" s="11"/>
      <c r="R25847" s="11"/>
      <c r="S25847" s="11"/>
      <c r="T25847" s="11"/>
    </row>
    <row r="25848" spans="8:20" x14ac:dyDescent="0.35">
      <c r="H25848" s="711"/>
      <c r="I25848" s="711"/>
      <c r="J25848" s="711"/>
      <c r="K25848" s="711"/>
      <c r="L25848" s="711"/>
      <c r="Q25848" s="11"/>
      <c r="R25848" s="11"/>
      <c r="S25848" s="11"/>
      <c r="T25848" s="11"/>
    </row>
    <row r="25849" spans="8:20" x14ac:dyDescent="0.35">
      <c r="H25849" s="711"/>
      <c r="I25849" s="711"/>
      <c r="J25849" s="711"/>
      <c r="K25849" s="711"/>
      <c r="L25849" s="711"/>
      <c r="Q25849" s="11"/>
      <c r="R25849" s="11"/>
      <c r="S25849" s="11"/>
      <c r="T25849" s="11"/>
    </row>
    <row r="25850" spans="8:20" x14ac:dyDescent="0.35">
      <c r="H25850" s="711"/>
      <c r="I25850" s="711"/>
      <c r="J25850" s="711"/>
      <c r="K25850" s="711"/>
      <c r="L25850" s="711"/>
      <c r="Q25850" s="11"/>
      <c r="R25850" s="11"/>
      <c r="S25850" s="11"/>
      <c r="T25850" s="11"/>
    </row>
    <row r="25851" spans="8:20" x14ac:dyDescent="0.35">
      <c r="H25851" s="711"/>
      <c r="I25851" s="711"/>
      <c r="J25851" s="711"/>
      <c r="K25851" s="711"/>
      <c r="L25851" s="711"/>
      <c r="Q25851" s="11"/>
      <c r="R25851" s="11"/>
      <c r="S25851" s="11"/>
      <c r="T25851" s="11"/>
    </row>
    <row r="25852" spans="8:20" x14ac:dyDescent="0.35">
      <c r="H25852" s="711"/>
      <c r="I25852" s="711"/>
      <c r="J25852" s="711"/>
      <c r="K25852" s="711"/>
      <c r="L25852" s="711"/>
      <c r="Q25852" s="11"/>
      <c r="R25852" s="11"/>
      <c r="S25852" s="11"/>
      <c r="T25852" s="11"/>
    </row>
    <row r="25853" spans="8:20" x14ac:dyDescent="0.35">
      <c r="H25853" s="711"/>
      <c r="I25853" s="711"/>
      <c r="J25853" s="711"/>
      <c r="K25853" s="711"/>
      <c r="L25853" s="711"/>
      <c r="Q25853" s="11"/>
      <c r="R25853" s="11"/>
      <c r="S25853" s="11"/>
      <c r="T25853" s="11"/>
    </row>
    <row r="25854" spans="8:20" x14ac:dyDescent="0.35">
      <c r="H25854" s="711"/>
      <c r="I25854" s="711"/>
      <c r="J25854" s="711"/>
      <c r="K25854" s="711"/>
      <c r="L25854" s="711"/>
      <c r="Q25854" s="11"/>
      <c r="R25854" s="11"/>
      <c r="S25854" s="11"/>
      <c r="T25854" s="11"/>
    </row>
    <row r="25855" spans="8:20" x14ac:dyDescent="0.35">
      <c r="H25855" s="711"/>
      <c r="I25855" s="711"/>
      <c r="J25855" s="711"/>
      <c r="K25855" s="711"/>
      <c r="L25855" s="711"/>
      <c r="Q25855" s="11"/>
      <c r="R25855" s="11"/>
      <c r="S25855" s="11"/>
      <c r="T25855" s="11"/>
    </row>
    <row r="25856" spans="8:20" x14ac:dyDescent="0.35">
      <c r="H25856" s="711"/>
      <c r="I25856" s="711"/>
      <c r="J25856" s="711"/>
      <c r="K25856" s="711"/>
      <c r="L25856" s="711"/>
      <c r="Q25856" s="11"/>
      <c r="R25856" s="11"/>
      <c r="S25856" s="11"/>
      <c r="T25856" s="11"/>
    </row>
    <row r="25857" spans="8:20" x14ac:dyDescent="0.35">
      <c r="H25857" s="711"/>
      <c r="I25857" s="711"/>
      <c r="J25857" s="711"/>
      <c r="K25857" s="711"/>
      <c r="L25857" s="711"/>
      <c r="Q25857" s="11"/>
      <c r="R25857" s="11"/>
      <c r="S25857" s="11"/>
      <c r="T25857" s="11"/>
    </row>
    <row r="25858" spans="8:20" x14ac:dyDescent="0.35">
      <c r="H25858" s="711"/>
      <c r="I25858" s="711"/>
      <c r="J25858" s="711"/>
      <c r="K25858" s="711"/>
      <c r="L25858" s="711"/>
      <c r="Q25858" s="11"/>
      <c r="R25858" s="11"/>
      <c r="S25858" s="11"/>
      <c r="T25858" s="11"/>
    </row>
    <row r="25859" spans="8:20" x14ac:dyDescent="0.35">
      <c r="H25859" s="711"/>
      <c r="I25859" s="711"/>
      <c r="J25859" s="711"/>
      <c r="K25859" s="711"/>
      <c r="L25859" s="711"/>
      <c r="Q25859" s="11"/>
      <c r="R25859" s="11"/>
      <c r="S25859" s="11"/>
      <c r="T25859" s="11"/>
    </row>
    <row r="25860" spans="8:20" x14ac:dyDescent="0.35">
      <c r="H25860" s="711"/>
      <c r="I25860" s="711"/>
      <c r="J25860" s="711"/>
      <c r="K25860" s="711"/>
      <c r="L25860" s="711"/>
      <c r="Q25860" s="11"/>
      <c r="R25860" s="11"/>
      <c r="S25860" s="11"/>
      <c r="T25860" s="11"/>
    </row>
    <row r="25861" spans="8:20" x14ac:dyDescent="0.35">
      <c r="H25861" s="711"/>
      <c r="I25861" s="711"/>
      <c r="J25861" s="711"/>
      <c r="K25861" s="711"/>
      <c r="L25861" s="711"/>
      <c r="Q25861" s="11"/>
      <c r="R25861" s="11"/>
      <c r="S25861" s="11"/>
      <c r="T25861" s="11"/>
    </row>
    <row r="25862" spans="8:20" x14ac:dyDescent="0.35">
      <c r="H25862" s="711"/>
      <c r="I25862" s="711"/>
      <c r="J25862" s="711"/>
      <c r="K25862" s="711"/>
      <c r="L25862" s="711"/>
      <c r="Q25862" s="11"/>
      <c r="R25862" s="11"/>
      <c r="S25862" s="11"/>
      <c r="T25862" s="11"/>
    </row>
    <row r="25863" spans="8:20" x14ac:dyDescent="0.35">
      <c r="H25863" s="711"/>
      <c r="I25863" s="711"/>
      <c r="J25863" s="711"/>
      <c r="K25863" s="711"/>
      <c r="L25863" s="711"/>
      <c r="Q25863" s="11"/>
      <c r="R25863" s="11"/>
      <c r="S25863" s="11"/>
      <c r="T25863" s="11"/>
    </row>
    <row r="25864" spans="8:20" x14ac:dyDescent="0.35">
      <c r="H25864" s="711"/>
      <c r="I25864" s="711"/>
      <c r="J25864" s="711"/>
      <c r="K25864" s="711"/>
      <c r="L25864" s="711"/>
      <c r="Q25864" s="11"/>
      <c r="R25864" s="11"/>
      <c r="S25864" s="11"/>
      <c r="T25864" s="11"/>
    </row>
    <row r="25865" spans="8:20" x14ac:dyDescent="0.35">
      <c r="H25865" s="711"/>
      <c r="I25865" s="711"/>
      <c r="J25865" s="711"/>
      <c r="K25865" s="711"/>
      <c r="L25865" s="711"/>
      <c r="Q25865" s="11"/>
      <c r="R25865" s="11"/>
      <c r="S25865" s="11"/>
      <c r="T25865" s="11"/>
    </row>
    <row r="25866" spans="8:20" x14ac:dyDescent="0.35">
      <c r="H25866" s="711"/>
      <c r="I25866" s="711"/>
      <c r="J25866" s="711"/>
      <c r="K25866" s="711"/>
      <c r="L25866" s="711"/>
      <c r="Q25866" s="11"/>
      <c r="R25866" s="11"/>
      <c r="S25866" s="11"/>
      <c r="T25866" s="11"/>
    </row>
    <row r="25867" spans="8:20" x14ac:dyDescent="0.35">
      <c r="H25867" s="711"/>
      <c r="I25867" s="711"/>
      <c r="J25867" s="711"/>
      <c r="K25867" s="711"/>
      <c r="L25867" s="711"/>
      <c r="Q25867" s="11"/>
      <c r="R25867" s="11"/>
      <c r="S25867" s="11"/>
      <c r="T25867" s="11"/>
    </row>
    <row r="25868" spans="8:20" x14ac:dyDescent="0.35">
      <c r="H25868" s="711"/>
      <c r="I25868" s="711"/>
      <c r="J25868" s="711"/>
      <c r="K25868" s="711"/>
      <c r="L25868" s="711"/>
      <c r="Q25868" s="11"/>
      <c r="R25868" s="11"/>
      <c r="S25868" s="11"/>
      <c r="T25868" s="11"/>
    </row>
    <row r="25869" spans="8:20" x14ac:dyDescent="0.35">
      <c r="H25869" s="711"/>
      <c r="I25869" s="711"/>
      <c r="J25869" s="711"/>
      <c r="K25869" s="711"/>
      <c r="L25869" s="711"/>
      <c r="Q25869" s="11"/>
      <c r="R25869" s="11"/>
      <c r="S25869" s="11"/>
      <c r="T25869" s="11"/>
    </row>
    <row r="25870" spans="8:20" x14ac:dyDescent="0.35">
      <c r="H25870" s="711"/>
      <c r="I25870" s="711"/>
      <c r="J25870" s="711"/>
      <c r="K25870" s="711"/>
      <c r="L25870" s="711"/>
      <c r="Q25870" s="11"/>
      <c r="R25870" s="11"/>
      <c r="S25870" s="11"/>
      <c r="T25870" s="11"/>
    </row>
    <row r="25871" spans="8:20" x14ac:dyDescent="0.35">
      <c r="H25871" s="711"/>
      <c r="I25871" s="711"/>
      <c r="J25871" s="711"/>
      <c r="K25871" s="711"/>
      <c r="L25871" s="711"/>
      <c r="Q25871" s="11"/>
      <c r="R25871" s="11"/>
      <c r="S25871" s="11"/>
      <c r="T25871" s="11"/>
    </row>
    <row r="25872" spans="8:20" x14ac:dyDescent="0.35">
      <c r="H25872" s="711"/>
      <c r="I25872" s="711"/>
      <c r="J25872" s="711"/>
      <c r="K25872" s="711"/>
      <c r="L25872" s="711"/>
      <c r="Q25872" s="11"/>
      <c r="R25872" s="11"/>
      <c r="S25872" s="11"/>
      <c r="T25872" s="11"/>
    </row>
    <row r="25873" spans="8:20" x14ac:dyDescent="0.35">
      <c r="H25873" s="711"/>
      <c r="I25873" s="711"/>
      <c r="J25873" s="711"/>
      <c r="K25873" s="711"/>
      <c r="L25873" s="711"/>
      <c r="Q25873" s="11"/>
      <c r="R25873" s="11"/>
      <c r="S25873" s="11"/>
      <c r="T25873" s="11"/>
    </row>
    <row r="25874" spans="8:20" x14ac:dyDescent="0.35">
      <c r="H25874" s="711"/>
      <c r="I25874" s="711"/>
      <c r="J25874" s="711"/>
      <c r="K25874" s="711"/>
      <c r="L25874" s="711"/>
      <c r="Q25874" s="11"/>
      <c r="R25874" s="11"/>
      <c r="S25874" s="11"/>
      <c r="T25874" s="11"/>
    </row>
    <row r="25875" spans="8:20" x14ac:dyDescent="0.35">
      <c r="H25875" s="711"/>
      <c r="I25875" s="711"/>
      <c r="J25875" s="711"/>
      <c r="K25875" s="711"/>
      <c r="L25875" s="711"/>
      <c r="Q25875" s="11"/>
      <c r="R25875" s="11"/>
      <c r="S25875" s="11"/>
      <c r="T25875" s="11"/>
    </row>
    <row r="25876" spans="8:20" x14ac:dyDescent="0.35">
      <c r="H25876" s="711"/>
      <c r="I25876" s="711"/>
      <c r="J25876" s="711"/>
      <c r="K25876" s="711"/>
      <c r="L25876" s="711"/>
      <c r="Q25876" s="11"/>
      <c r="R25876" s="11"/>
      <c r="S25876" s="11"/>
      <c r="T25876" s="11"/>
    </row>
    <row r="25877" spans="8:20" x14ac:dyDescent="0.35">
      <c r="H25877" s="711"/>
      <c r="I25877" s="711"/>
      <c r="J25877" s="711"/>
      <c r="K25877" s="711"/>
      <c r="L25877" s="711"/>
      <c r="Q25877" s="11"/>
      <c r="R25877" s="11"/>
      <c r="S25877" s="11"/>
      <c r="T25877" s="11"/>
    </row>
    <row r="25878" spans="8:20" x14ac:dyDescent="0.35">
      <c r="H25878" s="711"/>
      <c r="I25878" s="711"/>
      <c r="J25878" s="711"/>
      <c r="K25878" s="711"/>
      <c r="L25878" s="711"/>
      <c r="Q25878" s="11"/>
      <c r="R25878" s="11"/>
      <c r="S25878" s="11"/>
      <c r="T25878" s="11"/>
    </row>
    <row r="25879" spans="8:20" x14ac:dyDescent="0.35">
      <c r="H25879" s="711"/>
      <c r="I25879" s="711"/>
      <c r="J25879" s="711"/>
      <c r="K25879" s="711"/>
      <c r="L25879" s="711"/>
      <c r="Q25879" s="11"/>
      <c r="R25879" s="11"/>
      <c r="S25879" s="11"/>
      <c r="T25879" s="11"/>
    </row>
    <row r="25880" spans="8:20" x14ac:dyDescent="0.35">
      <c r="H25880" s="711"/>
      <c r="I25880" s="711"/>
      <c r="J25880" s="711"/>
      <c r="K25880" s="711"/>
      <c r="L25880" s="711"/>
      <c r="Q25880" s="11"/>
      <c r="R25880" s="11"/>
      <c r="S25880" s="11"/>
      <c r="T25880" s="11"/>
    </row>
    <row r="25881" spans="8:20" x14ac:dyDescent="0.35">
      <c r="H25881" s="711"/>
      <c r="I25881" s="711"/>
      <c r="J25881" s="711"/>
      <c r="K25881" s="711"/>
      <c r="L25881" s="711"/>
      <c r="Q25881" s="11"/>
      <c r="R25881" s="11"/>
      <c r="S25881" s="11"/>
      <c r="T25881" s="11"/>
    </row>
    <row r="25882" spans="8:20" x14ac:dyDescent="0.35">
      <c r="H25882" s="711"/>
      <c r="I25882" s="711"/>
      <c r="J25882" s="711"/>
      <c r="K25882" s="711"/>
      <c r="L25882" s="711"/>
      <c r="Q25882" s="11"/>
      <c r="R25882" s="11"/>
      <c r="S25882" s="11"/>
      <c r="T25882" s="11"/>
    </row>
    <row r="25883" spans="8:20" x14ac:dyDescent="0.35">
      <c r="H25883" s="711"/>
      <c r="I25883" s="711"/>
      <c r="J25883" s="711"/>
      <c r="K25883" s="711"/>
      <c r="L25883" s="711"/>
      <c r="Q25883" s="11"/>
      <c r="R25883" s="11"/>
      <c r="S25883" s="11"/>
      <c r="T25883" s="11"/>
    </row>
    <row r="25884" spans="8:20" x14ac:dyDescent="0.35">
      <c r="H25884" s="711"/>
      <c r="I25884" s="711"/>
      <c r="J25884" s="711"/>
      <c r="K25884" s="711"/>
      <c r="L25884" s="711"/>
      <c r="Q25884" s="11"/>
      <c r="R25884" s="11"/>
      <c r="S25884" s="11"/>
      <c r="T25884" s="11"/>
    </row>
    <row r="25885" spans="8:20" x14ac:dyDescent="0.35">
      <c r="H25885" s="711"/>
      <c r="I25885" s="711"/>
      <c r="J25885" s="711"/>
      <c r="K25885" s="711"/>
      <c r="L25885" s="711"/>
      <c r="Q25885" s="11"/>
      <c r="R25885" s="11"/>
      <c r="S25885" s="11"/>
      <c r="T25885" s="11"/>
    </row>
    <row r="25886" spans="8:20" x14ac:dyDescent="0.35">
      <c r="H25886" s="711"/>
      <c r="I25886" s="711"/>
      <c r="J25886" s="711"/>
      <c r="K25886" s="711"/>
      <c r="L25886" s="711"/>
      <c r="Q25886" s="11"/>
      <c r="R25886" s="11"/>
      <c r="S25886" s="11"/>
      <c r="T25886" s="11"/>
    </row>
    <row r="25887" spans="8:20" x14ac:dyDescent="0.35">
      <c r="H25887" s="711"/>
      <c r="I25887" s="711"/>
      <c r="J25887" s="711"/>
      <c r="K25887" s="711"/>
      <c r="L25887" s="711"/>
      <c r="Q25887" s="11"/>
      <c r="R25887" s="11"/>
      <c r="S25887" s="11"/>
      <c r="T25887" s="11"/>
    </row>
    <row r="25888" spans="8:20" x14ac:dyDescent="0.35">
      <c r="H25888" s="711"/>
      <c r="I25888" s="711"/>
      <c r="J25888" s="711"/>
      <c r="K25888" s="711"/>
      <c r="L25888" s="711"/>
      <c r="Q25888" s="11"/>
      <c r="R25888" s="11"/>
      <c r="S25888" s="11"/>
      <c r="T25888" s="11"/>
    </row>
    <row r="25889" spans="8:20" x14ac:dyDescent="0.35">
      <c r="H25889" s="711"/>
      <c r="I25889" s="711"/>
      <c r="J25889" s="711"/>
      <c r="K25889" s="711"/>
      <c r="L25889" s="711"/>
      <c r="Q25889" s="11"/>
      <c r="R25889" s="11"/>
      <c r="S25889" s="11"/>
      <c r="T25889" s="11"/>
    </row>
    <row r="25890" spans="8:20" x14ac:dyDescent="0.35">
      <c r="H25890" s="711"/>
      <c r="I25890" s="711"/>
      <c r="J25890" s="711"/>
      <c r="K25890" s="711"/>
      <c r="L25890" s="711"/>
      <c r="Q25890" s="11"/>
      <c r="R25890" s="11"/>
      <c r="S25890" s="11"/>
      <c r="T25890" s="11"/>
    </row>
    <row r="25891" spans="8:20" x14ac:dyDescent="0.35">
      <c r="H25891" s="711"/>
      <c r="I25891" s="711"/>
      <c r="J25891" s="711"/>
      <c r="K25891" s="711"/>
      <c r="L25891" s="711"/>
      <c r="Q25891" s="11"/>
      <c r="R25891" s="11"/>
      <c r="S25891" s="11"/>
      <c r="T25891" s="11"/>
    </row>
    <row r="25892" spans="8:20" x14ac:dyDescent="0.35">
      <c r="H25892" s="711"/>
      <c r="I25892" s="711"/>
      <c r="J25892" s="711"/>
      <c r="K25892" s="711"/>
      <c r="L25892" s="711"/>
      <c r="Q25892" s="11"/>
      <c r="R25892" s="11"/>
      <c r="S25892" s="11"/>
      <c r="T25892" s="11"/>
    </row>
    <row r="25893" spans="8:20" x14ac:dyDescent="0.35">
      <c r="H25893" s="711"/>
      <c r="I25893" s="711"/>
      <c r="J25893" s="711"/>
      <c r="K25893" s="711"/>
      <c r="L25893" s="711"/>
      <c r="Q25893" s="11"/>
      <c r="R25893" s="11"/>
      <c r="S25893" s="11"/>
      <c r="T25893" s="11"/>
    </row>
    <row r="25894" spans="8:20" x14ac:dyDescent="0.35">
      <c r="H25894" s="711"/>
      <c r="I25894" s="711"/>
      <c r="J25894" s="711"/>
      <c r="K25894" s="711"/>
      <c r="L25894" s="711"/>
      <c r="Q25894" s="11"/>
      <c r="R25894" s="11"/>
      <c r="S25894" s="11"/>
      <c r="T25894" s="11"/>
    </row>
    <row r="25895" spans="8:20" x14ac:dyDescent="0.35">
      <c r="H25895" s="711"/>
      <c r="I25895" s="711"/>
      <c r="J25895" s="711"/>
      <c r="K25895" s="711"/>
      <c r="L25895" s="711"/>
      <c r="Q25895" s="11"/>
      <c r="R25895" s="11"/>
      <c r="S25895" s="11"/>
      <c r="T25895" s="11"/>
    </row>
    <row r="25896" spans="8:20" x14ac:dyDescent="0.35">
      <c r="H25896" s="711"/>
      <c r="I25896" s="711"/>
      <c r="J25896" s="711"/>
      <c r="K25896" s="711"/>
      <c r="L25896" s="711"/>
      <c r="Q25896" s="11"/>
      <c r="R25896" s="11"/>
      <c r="S25896" s="11"/>
      <c r="T25896" s="11"/>
    </row>
    <row r="25897" spans="8:20" x14ac:dyDescent="0.35">
      <c r="H25897" s="711"/>
      <c r="I25897" s="711"/>
      <c r="J25897" s="711"/>
      <c r="K25897" s="711"/>
      <c r="L25897" s="711"/>
      <c r="Q25897" s="11"/>
      <c r="R25897" s="11"/>
      <c r="S25897" s="11"/>
      <c r="T25897" s="11"/>
    </row>
    <row r="25898" spans="8:20" x14ac:dyDescent="0.35">
      <c r="H25898" s="711"/>
      <c r="I25898" s="711"/>
      <c r="J25898" s="711"/>
      <c r="K25898" s="711"/>
      <c r="L25898" s="711"/>
      <c r="Q25898" s="11"/>
      <c r="R25898" s="11"/>
      <c r="S25898" s="11"/>
      <c r="T25898" s="11"/>
    </row>
    <row r="25899" spans="8:20" x14ac:dyDescent="0.35">
      <c r="H25899" s="711"/>
      <c r="I25899" s="711"/>
      <c r="J25899" s="711"/>
      <c r="K25899" s="711"/>
      <c r="L25899" s="711"/>
      <c r="Q25899" s="11"/>
      <c r="R25899" s="11"/>
      <c r="S25899" s="11"/>
      <c r="T25899" s="11"/>
    </row>
    <row r="25900" spans="8:20" x14ac:dyDescent="0.35">
      <c r="H25900" s="711"/>
      <c r="I25900" s="711"/>
      <c r="J25900" s="711"/>
      <c r="K25900" s="711"/>
      <c r="L25900" s="711"/>
      <c r="Q25900" s="11"/>
      <c r="R25900" s="11"/>
      <c r="S25900" s="11"/>
      <c r="T25900" s="11"/>
    </row>
    <row r="25901" spans="8:20" x14ac:dyDescent="0.35">
      <c r="H25901" s="711"/>
      <c r="I25901" s="711"/>
      <c r="J25901" s="711"/>
      <c r="K25901" s="711"/>
      <c r="L25901" s="711"/>
      <c r="Q25901" s="11"/>
      <c r="R25901" s="11"/>
      <c r="S25901" s="11"/>
      <c r="T25901" s="11"/>
    </row>
    <row r="25902" spans="8:20" x14ac:dyDescent="0.35">
      <c r="H25902" s="711"/>
      <c r="I25902" s="711"/>
      <c r="J25902" s="711"/>
      <c r="K25902" s="711"/>
      <c r="L25902" s="711"/>
      <c r="Q25902" s="11"/>
      <c r="R25902" s="11"/>
      <c r="S25902" s="11"/>
      <c r="T25902" s="11"/>
    </row>
    <row r="25903" spans="8:20" x14ac:dyDescent="0.35">
      <c r="H25903" s="711"/>
      <c r="I25903" s="711"/>
      <c r="J25903" s="711"/>
      <c r="K25903" s="711"/>
      <c r="L25903" s="711"/>
      <c r="Q25903" s="11"/>
      <c r="R25903" s="11"/>
      <c r="S25903" s="11"/>
      <c r="T25903" s="11"/>
    </row>
    <row r="25904" spans="8:20" x14ac:dyDescent="0.35">
      <c r="H25904" s="711"/>
      <c r="I25904" s="711"/>
      <c r="J25904" s="711"/>
      <c r="K25904" s="711"/>
      <c r="L25904" s="711"/>
      <c r="Q25904" s="11"/>
      <c r="R25904" s="11"/>
      <c r="S25904" s="11"/>
      <c r="T25904" s="11"/>
    </row>
    <row r="25905" spans="8:20" x14ac:dyDescent="0.35">
      <c r="H25905" s="711"/>
      <c r="I25905" s="711"/>
      <c r="J25905" s="711"/>
      <c r="K25905" s="711"/>
      <c r="L25905" s="711"/>
      <c r="Q25905" s="11"/>
      <c r="R25905" s="11"/>
      <c r="S25905" s="11"/>
      <c r="T25905" s="11"/>
    </row>
    <row r="25906" spans="8:20" x14ac:dyDescent="0.35">
      <c r="H25906" s="711"/>
      <c r="I25906" s="711"/>
      <c r="J25906" s="711"/>
      <c r="K25906" s="711"/>
      <c r="L25906" s="711"/>
      <c r="Q25906" s="11"/>
      <c r="R25906" s="11"/>
      <c r="S25906" s="11"/>
      <c r="T25906" s="11"/>
    </row>
    <row r="25907" spans="8:20" x14ac:dyDescent="0.35">
      <c r="H25907" s="711"/>
      <c r="I25907" s="711"/>
      <c r="J25907" s="711"/>
      <c r="K25907" s="711"/>
      <c r="L25907" s="711"/>
      <c r="Q25907" s="11"/>
      <c r="R25907" s="11"/>
      <c r="S25907" s="11"/>
      <c r="T25907" s="11"/>
    </row>
    <row r="25908" spans="8:20" x14ac:dyDescent="0.35">
      <c r="H25908" s="711"/>
      <c r="I25908" s="711"/>
      <c r="J25908" s="711"/>
      <c r="K25908" s="711"/>
      <c r="L25908" s="711"/>
      <c r="Q25908" s="11"/>
      <c r="R25908" s="11"/>
      <c r="S25908" s="11"/>
      <c r="T25908" s="11"/>
    </row>
    <row r="25909" spans="8:20" x14ac:dyDescent="0.35">
      <c r="H25909" s="711"/>
      <c r="I25909" s="711"/>
      <c r="J25909" s="711"/>
      <c r="K25909" s="711"/>
      <c r="L25909" s="711"/>
      <c r="Q25909" s="11"/>
      <c r="R25909" s="11"/>
      <c r="S25909" s="11"/>
      <c r="T25909" s="11"/>
    </row>
    <row r="25910" spans="8:20" x14ac:dyDescent="0.35">
      <c r="H25910" s="711"/>
      <c r="I25910" s="711"/>
      <c r="J25910" s="711"/>
      <c r="K25910" s="711"/>
      <c r="L25910" s="711"/>
      <c r="Q25910" s="11"/>
      <c r="R25910" s="11"/>
      <c r="S25910" s="11"/>
      <c r="T25910" s="11"/>
    </row>
    <row r="25911" spans="8:20" x14ac:dyDescent="0.35">
      <c r="H25911" s="711"/>
      <c r="I25911" s="711"/>
      <c r="J25911" s="711"/>
      <c r="K25911" s="711"/>
      <c r="L25911" s="711"/>
      <c r="Q25911" s="11"/>
      <c r="R25911" s="11"/>
      <c r="S25911" s="11"/>
      <c r="T25911" s="11"/>
    </row>
    <row r="25912" spans="8:20" x14ac:dyDescent="0.35">
      <c r="H25912" s="711"/>
      <c r="I25912" s="711"/>
      <c r="J25912" s="711"/>
      <c r="K25912" s="711"/>
      <c r="L25912" s="711"/>
      <c r="Q25912" s="11"/>
      <c r="R25912" s="11"/>
      <c r="S25912" s="11"/>
      <c r="T25912" s="11"/>
    </row>
    <row r="25913" spans="8:20" x14ac:dyDescent="0.35">
      <c r="H25913" s="711"/>
      <c r="I25913" s="711"/>
      <c r="J25913" s="711"/>
      <c r="K25913" s="711"/>
      <c r="L25913" s="711"/>
      <c r="Q25913" s="11"/>
      <c r="R25913" s="11"/>
      <c r="S25913" s="11"/>
      <c r="T25913" s="11"/>
    </row>
    <row r="25914" spans="8:20" x14ac:dyDescent="0.35">
      <c r="H25914" s="711"/>
      <c r="I25914" s="711"/>
      <c r="J25914" s="711"/>
      <c r="K25914" s="711"/>
      <c r="L25914" s="711"/>
      <c r="Q25914" s="11"/>
      <c r="R25914" s="11"/>
      <c r="S25914" s="11"/>
      <c r="T25914" s="11"/>
    </row>
    <row r="25915" spans="8:20" x14ac:dyDescent="0.35">
      <c r="H25915" s="711"/>
      <c r="I25915" s="711"/>
      <c r="J25915" s="711"/>
      <c r="K25915" s="711"/>
      <c r="L25915" s="711"/>
      <c r="Q25915" s="11"/>
      <c r="R25915" s="11"/>
      <c r="S25915" s="11"/>
      <c r="T25915" s="11"/>
    </row>
    <row r="25916" spans="8:20" x14ac:dyDescent="0.35">
      <c r="H25916" s="711"/>
      <c r="I25916" s="711"/>
      <c r="J25916" s="711"/>
      <c r="K25916" s="711"/>
      <c r="L25916" s="711"/>
      <c r="Q25916" s="11"/>
      <c r="R25916" s="11"/>
      <c r="S25916" s="11"/>
      <c r="T25916" s="11"/>
    </row>
    <row r="25917" spans="8:20" x14ac:dyDescent="0.35">
      <c r="H25917" s="711"/>
      <c r="I25917" s="711"/>
      <c r="J25917" s="711"/>
      <c r="K25917" s="711"/>
      <c r="L25917" s="711"/>
      <c r="Q25917" s="11"/>
      <c r="R25917" s="11"/>
      <c r="S25917" s="11"/>
      <c r="T25917" s="11"/>
    </row>
    <row r="25918" spans="8:20" x14ac:dyDescent="0.35">
      <c r="H25918" s="711"/>
      <c r="I25918" s="711"/>
      <c r="J25918" s="711"/>
      <c r="K25918" s="711"/>
      <c r="L25918" s="711"/>
      <c r="Q25918" s="11"/>
      <c r="R25918" s="11"/>
      <c r="S25918" s="11"/>
      <c r="T25918" s="11"/>
    </row>
    <row r="25919" spans="8:20" x14ac:dyDescent="0.35">
      <c r="H25919" s="711"/>
      <c r="I25919" s="711"/>
      <c r="J25919" s="711"/>
      <c r="K25919" s="711"/>
      <c r="L25919" s="711"/>
      <c r="Q25919" s="11"/>
      <c r="R25919" s="11"/>
      <c r="S25919" s="11"/>
      <c r="T25919" s="11"/>
    </row>
    <row r="25920" spans="8:20" x14ac:dyDescent="0.35">
      <c r="H25920" s="711"/>
      <c r="I25920" s="711"/>
      <c r="J25920" s="711"/>
      <c r="K25920" s="711"/>
      <c r="L25920" s="711"/>
      <c r="Q25920" s="11"/>
      <c r="R25920" s="11"/>
      <c r="S25920" s="11"/>
      <c r="T25920" s="11"/>
    </row>
    <row r="25921" spans="8:20" x14ac:dyDescent="0.35">
      <c r="H25921" s="711"/>
      <c r="I25921" s="711"/>
      <c r="J25921" s="711"/>
      <c r="K25921" s="711"/>
      <c r="L25921" s="711"/>
      <c r="Q25921" s="11"/>
      <c r="R25921" s="11"/>
      <c r="S25921" s="11"/>
      <c r="T25921" s="11"/>
    </row>
    <row r="25922" spans="8:20" x14ac:dyDescent="0.35">
      <c r="H25922" s="711"/>
      <c r="I25922" s="711"/>
      <c r="J25922" s="711"/>
      <c r="K25922" s="711"/>
      <c r="L25922" s="711"/>
      <c r="Q25922" s="11"/>
      <c r="R25922" s="11"/>
      <c r="S25922" s="11"/>
      <c r="T25922" s="11"/>
    </row>
    <row r="25923" spans="8:20" x14ac:dyDescent="0.35">
      <c r="H25923" s="711"/>
      <c r="I25923" s="711"/>
      <c r="J25923" s="711"/>
      <c r="K25923" s="711"/>
      <c r="L25923" s="711"/>
      <c r="Q25923" s="11"/>
      <c r="R25923" s="11"/>
      <c r="S25923" s="11"/>
      <c r="T25923" s="11"/>
    </row>
    <row r="25924" spans="8:20" x14ac:dyDescent="0.35">
      <c r="H25924" s="711"/>
      <c r="I25924" s="711"/>
      <c r="J25924" s="711"/>
      <c r="K25924" s="711"/>
      <c r="L25924" s="711"/>
      <c r="Q25924" s="11"/>
      <c r="R25924" s="11"/>
      <c r="S25924" s="11"/>
      <c r="T25924" s="11"/>
    </row>
    <row r="25925" spans="8:20" x14ac:dyDescent="0.35">
      <c r="H25925" s="711"/>
      <c r="I25925" s="711"/>
      <c r="J25925" s="711"/>
      <c r="K25925" s="711"/>
      <c r="L25925" s="711"/>
      <c r="Q25925" s="11"/>
      <c r="R25925" s="11"/>
      <c r="S25925" s="11"/>
      <c r="T25925" s="11"/>
    </row>
    <row r="25926" spans="8:20" x14ac:dyDescent="0.35">
      <c r="H25926" s="711"/>
      <c r="I25926" s="711"/>
      <c r="J25926" s="711"/>
      <c r="K25926" s="711"/>
      <c r="L25926" s="711"/>
      <c r="Q25926" s="11"/>
      <c r="R25926" s="11"/>
      <c r="S25926" s="11"/>
      <c r="T25926" s="11"/>
    </row>
    <row r="25927" spans="8:20" x14ac:dyDescent="0.35">
      <c r="H25927" s="711"/>
      <c r="I25927" s="711"/>
      <c r="J25927" s="711"/>
      <c r="K25927" s="711"/>
      <c r="L25927" s="711"/>
      <c r="Q25927" s="11"/>
      <c r="R25927" s="11"/>
      <c r="S25927" s="11"/>
      <c r="T25927" s="11"/>
    </row>
    <row r="25928" spans="8:20" x14ac:dyDescent="0.35">
      <c r="H25928" s="711"/>
      <c r="I25928" s="711"/>
      <c r="J25928" s="711"/>
      <c r="K25928" s="711"/>
      <c r="L25928" s="711"/>
      <c r="Q25928" s="11"/>
      <c r="R25928" s="11"/>
      <c r="S25928" s="11"/>
      <c r="T25928" s="11"/>
    </row>
    <row r="25929" spans="8:20" x14ac:dyDescent="0.35">
      <c r="H25929" s="711"/>
      <c r="I25929" s="711"/>
      <c r="J25929" s="711"/>
      <c r="K25929" s="711"/>
      <c r="L25929" s="711"/>
      <c r="Q25929" s="11"/>
      <c r="R25929" s="11"/>
      <c r="S25929" s="11"/>
      <c r="T25929" s="11"/>
    </row>
    <row r="25930" spans="8:20" x14ac:dyDescent="0.35">
      <c r="H25930" s="711"/>
      <c r="I25930" s="711"/>
      <c r="J25930" s="711"/>
      <c r="K25930" s="711"/>
      <c r="L25930" s="711"/>
      <c r="Q25930" s="11"/>
      <c r="R25930" s="11"/>
      <c r="S25930" s="11"/>
      <c r="T25930" s="11"/>
    </row>
    <row r="25931" spans="8:20" x14ac:dyDescent="0.35">
      <c r="H25931" s="711"/>
      <c r="I25931" s="711"/>
      <c r="J25931" s="711"/>
      <c r="K25931" s="711"/>
      <c r="L25931" s="711"/>
      <c r="Q25931" s="11"/>
      <c r="R25931" s="11"/>
      <c r="S25931" s="11"/>
      <c r="T25931" s="11"/>
    </row>
    <row r="25932" spans="8:20" x14ac:dyDescent="0.35">
      <c r="H25932" s="711"/>
      <c r="I25932" s="711"/>
      <c r="J25932" s="711"/>
      <c r="K25932" s="711"/>
      <c r="L25932" s="711"/>
      <c r="Q25932" s="11"/>
      <c r="R25932" s="11"/>
      <c r="S25932" s="11"/>
      <c r="T25932" s="11"/>
    </row>
    <row r="25933" spans="8:20" x14ac:dyDescent="0.35">
      <c r="H25933" s="711"/>
      <c r="I25933" s="711"/>
      <c r="J25933" s="711"/>
      <c r="K25933" s="711"/>
      <c r="L25933" s="711"/>
      <c r="Q25933" s="11"/>
      <c r="R25933" s="11"/>
      <c r="S25933" s="11"/>
      <c r="T25933" s="11"/>
    </row>
    <row r="25934" spans="8:20" x14ac:dyDescent="0.35">
      <c r="H25934" s="711"/>
      <c r="I25934" s="711"/>
      <c r="J25934" s="711"/>
      <c r="K25934" s="711"/>
      <c r="L25934" s="711"/>
      <c r="Q25934" s="11"/>
      <c r="R25934" s="11"/>
      <c r="S25934" s="11"/>
      <c r="T25934" s="11"/>
    </row>
    <row r="25935" spans="8:20" x14ac:dyDescent="0.35">
      <c r="H25935" s="711"/>
      <c r="I25935" s="711"/>
      <c r="J25935" s="711"/>
      <c r="K25935" s="711"/>
      <c r="L25935" s="711"/>
      <c r="Q25935" s="11"/>
      <c r="R25935" s="11"/>
      <c r="S25935" s="11"/>
      <c r="T25935" s="11"/>
    </row>
    <row r="25936" spans="8:20" x14ac:dyDescent="0.35">
      <c r="H25936" s="711"/>
      <c r="I25936" s="711"/>
      <c r="J25936" s="711"/>
      <c r="K25936" s="711"/>
      <c r="L25936" s="711"/>
      <c r="Q25936" s="11"/>
      <c r="R25936" s="11"/>
      <c r="S25936" s="11"/>
      <c r="T25936" s="11"/>
    </row>
    <row r="25937" spans="8:20" x14ac:dyDescent="0.35">
      <c r="H25937" s="711"/>
      <c r="I25937" s="711"/>
      <c r="J25937" s="711"/>
      <c r="K25937" s="711"/>
      <c r="L25937" s="711"/>
      <c r="Q25937" s="11"/>
      <c r="R25937" s="11"/>
      <c r="S25937" s="11"/>
      <c r="T25937" s="11"/>
    </row>
    <row r="25938" spans="8:20" x14ac:dyDescent="0.35">
      <c r="H25938" s="711"/>
      <c r="I25938" s="711"/>
      <c r="J25938" s="711"/>
      <c r="K25938" s="711"/>
      <c r="L25938" s="711"/>
      <c r="Q25938" s="11"/>
      <c r="R25938" s="11"/>
      <c r="S25938" s="11"/>
      <c r="T25938" s="11"/>
    </row>
    <row r="25939" spans="8:20" x14ac:dyDescent="0.35">
      <c r="H25939" s="711"/>
      <c r="I25939" s="711"/>
      <c r="J25939" s="711"/>
      <c r="K25939" s="711"/>
      <c r="L25939" s="711"/>
      <c r="Q25939" s="11"/>
      <c r="R25939" s="11"/>
      <c r="S25939" s="11"/>
      <c r="T25939" s="11"/>
    </row>
    <row r="25940" spans="8:20" x14ac:dyDescent="0.35">
      <c r="H25940" s="711"/>
      <c r="I25940" s="711"/>
      <c r="J25940" s="711"/>
      <c r="K25940" s="711"/>
      <c r="L25940" s="711"/>
      <c r="Q25940" s="11"/>
      <c r="R25940" s="11"/>
      <c r="S25940" s="11"/>
      <c r="T25940" s="11"/>
    </row>
    <row r="25941" spans="8:20" x14ac:dyDescent="0.35">
      <c r="H25941" s="711"/>
      <c r="I25941" s="711"/>
      <c r="J25941" s="711"/>
      <c r="K25941" s="711"/>
      <c r="L25941" s="711"/>
      <c r="Q25941" s="11"/>
      <c r="R25941" s="11"/>
      <c r="S25941" s="11"/>
      <c r="T25941" s="11"/>
    </row>
    <row r="25942" spans="8:20" x14ac:dyDescent="0.35">
      <c r="H25942" s="711"/>
      <c r="I25942" s="711"/>
      <c r="J25942" s="711"/>
      <c r="K25942" s="711"/>
      <c r="L25942" s="711"/>
      <c r="Q25942" s="11"/>
      <c r="R25942" s="11"/>
      <c r="S25942" s="11"/>
      <c r="T25942" s="11"/>
    </row>
    <row r="25943" spans="8:20" x14ac:dyDescent="0.35">
      <c r="H25943" s="711"/>
      <c r="I25943" s="711"/>
      <c r="J25943" s="711"/>
      <c r="K25943" s="711"/>
      <c r="L25943" s="711"/>
      <c r="Q25943" s="11"/>
      <c r="R25943" s="11"/>
      <c r="S25943" s="11"/>
      <c r="T25943" s="11"/>
    </row>
    <row r="25944" spans="8:20" x14ac:dyDescent="0.35">
      <c r="H25944" s="711"/>
      <c r="I25944" s="711"/>
      <c r="J25944" s="711"/>
      <c r="K25944" s="711"/>
      <c r="L25944" s="711"/>
      <c r="Q25944" s="11"/>
      <c r="R25944" s="11"/>
      <c r="S25944" s="11"/>
      <c r="T25944" s="11"/>
    </row>
    <row r="25945" spans="8:20" x14ac:dyDescent="0.35">
      <c r="H25945" s="711"/>
      <c r="I25945" s="711"/>
      <c r="J25945" s="711"/>
      <c r="K25945" s="711"/>
      <c r="L25945" s="711"/>
      <c r="Q25945" s="11"/>
      <c r="R25945" s="11"/>
      <c r="S25945" s="11"/>
      <c r="T25945" s="11"/>
    </row>
    <row r="25946" spans="8:20" x14ac:dyDescent="0.35">
      <c r="H25946" s="711"/>
      <c r="I25946" s="711"/>
      <c r="J25946" s="711"/>
      <c r="K25946" s="711"/>
      <c r="L25946" s="711"/>
      <c r="Q25946" s="11"/>
      <c r="R25946" s="11"/>
      <c r="S25946" s="11"/>
      <c r="T25946" s="11"/>
    </row>
    <row r="25947" spans="8:20" x14ac:dyDescent="0.35">
      <c r="H25947" s="711"/>
      <c r="I25947" s="711"/>
      <c r="J25947" s="711"/>
      <c r="K25947" s="711"/>
      <c r="L25947" s="711"/>
      <c r="Q25947" s="11"/>
      <c r="R25947" s="11"/>
      <c r="S25947" s="11"/>
      <c r="T25947" s="11"/>
    </row>
    <row r="25948" spans="8:20" x14ac:dyDescent="0.35">
      <c r="H25948" s="711"/>
      <c r="I25948" s="711"/>
      <c r="J25948" s="711"/>
      <c r="K25948" s="711"/>
      <c r="L25948" s="711"/>
      <c r="Q25948" s="11"/>
      <c r="R25948" s="11"/>
      <c r="S25948" s="11"/>
      <c r="T25948" s="11"/>
    </row>
    <row r="25949" spans="8:20" x14ac:dyDescent="0.35">
      <c r="H25949" s="711"/>
      <c r="I25949" s="711"/>
      <c r="J25949" s="711"/>
      <c r="K25949" s="711"/>
      <c r="L25949" s="711"/>
      <c r="Q25949" s="11"/>
      <c r="R25949" s="11"/>
      <c r="S25949" s="11"/>
      <c r="T25949" s="11"/>
    </row>
    <row r="25950" spans="8:20" x14ac:dyDescent="0.35">
      <c r="H25950" s="711"/>
      <c r="I25950" s="711"/>
      <c r="J25950" s="711"/>
      <c r="K25950" s="711"/>
      <c r="L25950" s="711"/>
      <c r="Q25950" s="11"/>
      <c r="R25950" s="11"/>
      <c r="S25950" s="11"/>
      <c r="T25950" s="11"/>
    </row>
    <row r="25951" spans="8:20" x14ac:dyDescent="0.35">
      <c r="H25951" s="711"/>
      <c r="I25951" s="711"/>
      <c r="J25951" s="711"/>
      <c r="K25951" s="711"/>
      <c r="L25951" s="711"/>
      <c r="Q25951" s="11"/>
      <c r="R25951" s="11"/>
      <c r="S25951" s="11"/>
      <c r="T25951" s="11"/>
    </row>
    <row r="25952" spans="8:20" x14ac:dyDescent="0.35">
      <c r="H25952" s="711"/>
      <c r="I25952" s="711"/>
      <c r="J25952" s="711"/>
      <c r="K25952" s="711"/>
      <c r="L25952" s="711"/>
      <c r="Q25952" s="11"/>
      <c r="R25952" s="11"/>
      <c r="S25952" s="11"/>
      <c r="T25952" s="11"/>
    </row>
    <row r="25953" spans="8:20" x14ac:dyDescent="0.35">
      <c r="H25953" s="711"/>
      <c r="I25953" s="711"/>
      <c r="J25953" s="711"/>
      <c r="K25953" s="711"/>
      <c r="L25953" s="711"/>
      <c r="Q25953" s="11"/>
      <c r="R25953" s="11"/>
      <c r="S25953" s="11"/>
      <c r="T25953" s="11"/>
    </row>
    <row r="25954" spans="8:20" x14ac:dyDescent="0.35">
      <c r="H25954" s="711"/>
      <c r="I25954" s="711"/>
      <c r="J25954" s="711"/>
      <c r="K25954" s="711"/>
      <c r="L25954" s="711"/>
      <c r="Q25954" s="11"/>
      <c r="R25954" s="11"/>
      <c r="S25954" s="11"/>
      <c r="T25954" s="11"/>
    </row>
    <row r="25955" spans="8:20" x14ac:dyDescent="0.35">
      <c r="H25955" s="711"/>
      <c r="I25955" s="711"/>
      <c r="J25955" s="711"/>
      <c r="K25955" s="711"/>
      <c r="L25955" s="711"/>
      <c r="Q25955" s="11"/>
      <c r="R25955" s="11"/>
      <c r="S25955" s="11"/>
      <c r="T25955" s="11"/>
    </row>
    <row r="25956" spans="8:20" x14ac:dyDescent="0.35">
      <c r="H25956" s="711"/>
      <c r="I25956" s="711"/>
      <c r="J25956" s="711"/>
      <c r="K25956" s="711"/>
      <c r="L25956" s="711"/>
      <c r="Q25956" s="11"/>
      <c r="R25956" s="11"/>
      <c r="S25956" s="11"/>
      <c r="T25956" s="11"/>
    </row>
    <row r="25957" spans="8:20" x14ac:dyDescent="0.35">
      <c r="H25957" s="711"/>
      <c r="I25957" s="711"/>
      <c r="J25957" s="711"/>
      <c r="K25957" s="711"/>
      <c r="L25957" s="711"/>
      <c r="Q25957" s="11"/>
      <c r="R25957" s="11"/>
      <c r="S25957" s="11"/>
      <c r="T25957" s="11"/>
    </row>
    <row r="25958" spans="8:20" x14ac:dyDescent="0.35">
      <c r="H25958" s="711"/>
      <c r="I25958" s="711"/>
      <c r="J25958" s="711"/>
      <c r="K25958" s="711"/>
      <c r="L25958" s="711"/>
      <c r="Q25958" s="11"/>
      <c r="R25958" s="11"/>
      <c r="S25958" s="11"/>
      <c r="T25958" s="11"/>
    </row>
    <row r="25959" spans="8:20" x14ac:dyDescent="0.35">
      <c r="H25959" s="711"/>
      <c r="I25959" s="711"/>
      <c r="J25959" s="711"/>
      <c r="K25959" s="711"/>
      <c r="L25959" s="711"/>
      <c r="Q25959" s="11"/>
      <c r="R25959" s="11"/>
      <c r="S25959" s="11"/>
      <c r="T25959" s="11"/>
    </row>
    <row r="25960" spans="8:20" x14ac:dyDescent="0.35">
      <c r="H25960" s="711"/>
      <c r="I25960" s="711"/>
      <c r="J25960" s="711"/>
      <c r="K25960" s="711"/>
      <c r="L25960" s="711"/>
      <c r="Q25960" s="11"/>
      <c r="R25960" s="11"/>
      <c r="S25960" s="11"/>
      <c r="T25960" s="11"/>
    </row>
    <row r="25961" spans="8:20" x14ac:dyDescent="0.35">
      <c r="H25961" s="711"/>
      <c r="I25961" s="711"/>
      <c r="J25961" s="711"/>
      <c r="K25961" s="711"/>
      <c r="L25961" s="711"/>
      <c r="Q25961" s="11"/>
      <c r="R25961" s="11"/>
      <c r="S25961" s="11"/>
      <c r="T25961" s="11"/>
    </row>
    <row r="25962" spans="8:20" x14ac:dyDescent="0.35">
      <c r="H25962" s="711"/>
      <c r="I25962" s="711"/>
      <c r="J25962" s="711"/>
      <c r="K25962" s="711"/>
      <c r="L25962" s="711"/>
      <c r="Q25962" s="11"/>
      <c r="R25962" s="11"/>
      <c r="S25962" s="11"/>
      <c r="T25962" s="11"/>
    </row>
    <row r="25963" spans="8:20" x14ac:dyDescent="0.35">
      <c r="H25963" s="711"/>
      <c r="I25963" s="711"/>
      <c r="J25963" s="711"/>
      <c r="K25963" s="711"/>
      <c r="L25963" s="711"/>
      <c r="Q25963" s="11"/>
      <c r="R25963" s="11"/>
      <c r="S25963" s="11"/>
      <c r="T25963" s="11"/>
    </row>
    <row r="25964" spans="8:20" x14ac:dyDescent="0.35">
      <c r="H25964" s="711"/>
      <c r="I25964" s="711"/>
      <c r="J25964" s="711"/>
      <c r="K25964" s="711"/>
      <c r="L25964" s="711"/>
      <c r="Q25964" s="11"/>
      <c r="R25964" s="11"/>
      <c r="S25964" s="11"/>
      <c r="T25964" s="11"/>
    </row>
    <row r="25965" spans="8:20" x14ac:dyDescent="0.35">
      <c r="H25965" s="711"/>
      <c r="I25965" s="711"/>
      <c r="J25965" s="711"/>
      <c r="K25965" s="711"/>
      <c r="L25965" s="711"/>
      <c r="Q25965" s="11"/>
      <c r="R25965" s="11"/>
      <c r="S25965" s="11"/>
      <c r="T25965" s="11"/>
    </row>
    <row r="25966" spans="8:20" x14ac:dyDescent="0.35">
      <c r="H25966" s="711"/>
      <c r="I25966" s="711"/>
      <c r="J25966" s="711"/>
      <c r="K25966" s="711"/>
      <c r="L25966" s="711"/>
      <c r="Q25966" s="11"/>
      <c r="R25966" s="11"/>
      <c r="S25966" s="11"/>
      <c r="T25966" s="11"/>
    </row>
    <row r="25967" spans="8:20" x14ac:dyDescent="0.35">
      <c r="H25967" s="711"/>
      <c r="I25967" s="711"/>
      <c r="J25967" s="711"/>
      <c r="K25967" s="711"/>
      <c r="L25967" s="711"/>
      <c r="Q25967" s="11"/>
      <c r="R25967" s="11"/>
      <c r="S25967" s="11"/>
      <c r="T25967" s="11"/>
    </row>
    <row r="25968" spans="8:20" x14ac:dyDescent="0.35">
      <c r="H25968" s="711"/>
      <c r="I25968" s="711"/>
      <c r="J25968" s="711"/>
      <c r="K25968" s="711"/>
      <c r="L25968" s="711"/>
      <c r="Q25968" s="11"/>
      <c r="R25968" s="11"/>
      <c r="S25968" s="11"/>
      <c r="T25968" s="11"/>
    </row>
    <row r="25969" spans="8:20" x14ac:dyDescent="0.35">
      <c r="H25969" s="711"/>
      <c r="I25969" s="711"/>
      <c r="J25969" s="711"/>
      <c r="K25969" s="711"/>
      <c r="L25969" s="711"/>
      <c r="Q25969" s="11"/>
      <c r="R25969" s="11"/>
      <c r="S25969" s="11"/>
      <c r="T25969" s="11"/>
    </row>
    <row r="25970" spans="8:20" x14ac:dyDescent="0.35">
      <c r="H25970" s="711"/>
      <c r="I25970" s="711"/>
      <c r="J25970" s="711"/>
      <c r="K25970" s="711"/>
      <c r="L25970" s="711"/>
      <c r="Q25970" s="11"/>
      <c r="R25970" s="11"/>
      <c r="S25970" s="11"/>
      <c r="T25970" s="11"/>
    </row>
    <row r="25971" spans="8:20" x14ac:dyDescent="0.35">
      <c r="H25971" s="711"/>
      <c r="I25971" s="711"/>
      <c r="J25971" s="711"/>
      <c r="K25971" s="711"/>
      <c r="L25971" s="711"/>
      <c r="Q25971" s="11"/>
      <c r="R25971" s="11"/>
      <c r="S25971" s="11"/>
      <c r="T25971" s="11"/>
    </row>
    <row r="25972" spans="8:20" x14ac:dyDescent="0.35">
      <c r="H25972" s="711"/>
      <c r="I25972" s="711"/>
      <c r="J25972" s="711"/>
      <c r="K25972" s="711"/>
      <c r="L25972" s="711"/>
      <c r="Q25972" s="11"/>
      <c r="R25972" s="11"/>
      <c r="S25972" s="11"/>
      <c r="T25972" s="11"/>
    </row>
    <row r="25973" spans="8:20" x14ac:dyDescent="0.35">
      <c r="H25973" s="711"/>
      <c r="I25973" s="711"/>
      <c r="J25973" s="711"/>
      <c r="K25973" s="711"/>
      <c r="L25973" s="711"/>
      <c r="Q25973" s="11"/>
      <c r="R25973" s="11"/>
      <c r="S25973" s="11"/>
      <c r="T25973" s="11"/>
    </row>
    <row r="25974" spans="8:20" x14ac:dyDescent="0.35">
      <c r="H25974" s="711"/>
      <c r="I25974" s="711"/>
      <c r="J25974" s="711"/>
      <c r="K25974" s="711"/>
      <c r="L25974" s="711"/>
      <c r="Q25974" s="11"/>
      <c r="R25974" s="11"/>
      <c r="S25974" s="11"/>
      <c r="T25974" s="11"/>
    </row>
    <row r="25975" spans="8:20" x14ac:dyDescent="0.35">
      <c r="H25975" s="711"/>
      <c r="I25975" s="711"/>
      <c r="J25975" s="711"/>
      <c r="K25975" s="711"/>
      <c r="L25975" s="711"/>
      <c r="Q25975" s="11"/>
      <c r="R25975" s="11"/>
      <c r="S25975" s="11"/>
      <c r="T25975" s="11"/>
    </row>
    <row r="25976" spans="8:20" x14ac:dyDescent="0.35">
      <c r="H25976" s="711"/>
      <c r="I25976" s="711"/>
      <c r="J25976" s="711"/>
      <c r="K25976" s="711"/>
      <c r="L25976" s="711"/>
      <c r="Q25976" s="11"/>
      <c r="R25976" s="11"/>
      <c r="S25976" s="11"/>
      <c r="T25976" s="11"/>
    </row>
    <row r="25977" spans="8:20" x14ac:dyDescent="0.35">
      <c r="H25977" s="711"/>
      <c r="I25977" s="711"/>
      <c r="J25977" s="711"/>
      <c r="K25977" s="711"/>
      <c r="L25977" s="711"/>
      <c r="Q25977" s="11"/>
      <c r="R25977" s="11"/>
      <c r="S25977" s="11"/>
      <c r="T25977" s="11"/>
    </row>
    <row r="25978" spans="8:20" x14ac:dyDescent="0.35">
      <c r="H25978" s="711"/>
      <c r="I25978" s="711"/>
      <c r="J25978" s="711"/>
      <c r="K25978" s="711"/>
      <c r="L25978" s="711"/>
      <c r="Q25978" s="11"/>
      <c r="R25978" s="11"/>
      <c r="S25978" s="11"/>
      <c r="T25978" s="11"/>
    </row>
    <row r="25979" spans="8:20" x14ac:dyDescent="0.35">
      <c r="H25979" s="711"/>
      <c r="I25979" s="711"/>
      <c r="J25979" s="711"/>
      <c r="K25979" s="711"/>
      <c r="L25979" s="711"/>
      <c r="Q25979" s="11"/>
      <c r="R25979" s="11"/>
      <c r="S25979" s="11"/>
      <c r="T25979" s="11"/>
    </row>
    <row r="25980" spans="8:20" x14ac:dyDescent="0.35">
      <c r="H25980" s="711"/>
      <c r="I25980" s="711"/>
      <c r="J25980" s="711"/>
      <c r="K25980" s="711"/>
      <c r="L25980" s="711"/>
      <c r="Q25980" s="11"/>
      <c r="R25980" s="11"/>
      <c r="S25980" s="11"/>
      <c r="T25980" s="11"/>
    </row>
    <row r="25981" spans="8:20" x14ac:dyDescent="0.35">
      <c r="H25981" s="711"/>
      <c r="I25981" s="711"/>
      <c r="J25981" s="711"/>
      <c r="K25981" s="711"/>
      <c r="L25981" s="711"/>
      <c r="Q25981" s="11"/>
      <c r="R25981" s="11"/>
      <c r="S25981" s="11"/>
      <c r="T25981" s="11"/>
    </row>
    <row r="25982" spans="8:20" x14ac:dyDescent="0.35">
      <c r="H25982" s="711"/>
      <c r="I25982" s="711"/>
      <c r="J25982" s="711"/>
      <c r="K25982" s="711"/>
      <c r="L25982" s="711"/>
      <c r="Q25982" s="11"/>
      <c r="R25982" s="11"/>
      <c r="S25982" s="11"/>
      <c r="T25982" s="11"/>
    </row>
    <row r="25983" spans="8:20" x14ac:dyDescent="0.35">
      <c r="H25983" s="711"/>
      <c r="I25983" s="711"/>
      <c r="J25983" s="711"/>
      <c r="K25983" s="711"/>
      <c r="L25983" s="711"/>
      <c r="Q25983" s="11"/>
      <c r="R25983" s="11"/>
      <c r="S25983" s="11"/>
      <c r="T25983" s="11"/>
    </row>
    <row r="25984" spans="8:20" x14ac:dyDescent="0.35">
      <c r="H25984" s="711"/>
      <c r="I25984" s="711"/>
      <c r="J25984" s="711"/>
      <c r="K25984" s="711"/>
      <c r="L25984" s="711"/>
      <c r="Q25984" s="11"/>
      <c r="R25984" s="11"/>
      <c r="S25984" s="11"/>
      <c r="T25984" s="11"/>
    </row>
    <row r="25985" spans="8:20" x14ac:dyDescent="0.35">
      <c r="H25985" s="711"/>
      <c r="I25985" s="711"/>
      <c r="J25985" s="711"/>
      <c r="K25985" s="711"/>
      <c r="L25985" s="711"/>
      <c r="Q25985" s="11"/>
      <c r="R25985" s="11"/>
      <c r="S25985" s="11"/>
      <c r="T25985" s="11"/>
    </row>
    <row r="25986" spans="8:20" x14ac:dyDescent="0.35">
      <c r="H25986" s="711"/>
      <c r="I25986" s="711"/>
      <c r="J25986" s="711"/>
      <c r="K25986" s="711"/>
      <c r="L25986" s="711"/>
      <c r="Q25986" s="11"/>
      <c r="R25986" s="11"/>
      <c r="S25986" s="11"/>
      <c r="T25986" s="11"/>
    </row>
    <row r="25987" spans="8:20" x14ac:dyDescent="0.35">
      <c r="H25987" s="711"/>
      <c r="I25987" s="711"/>
      <c r="J25987" s="711"/>
      <c r="K25987" s="711"/>
      <c r="L25987" s="711"/>
      <c r="Q25987" s="11"/>
      <c r="R25987" s="11"/>
      <c r="S25987" s="11"/>
      <c r="T25987" s="11"/>
    </row>
    <row r="25988" spans="8:20" x14ac:dyDescent="0.35">
      <c r="H25988" s="711"/>
      <c r="I25988" s="711"/>
      <c r="J25988" s="711"/>
      <c r="K25988" s="711"/>
      <c r="L25988" s="711"/>
      <c r="Q25988" s="11"/>
      <c r="R25988" s="11"/>
      <c r="S25988" s="11"/>
      <c r="T25988" s="11"/>
    </row>
    <row r="25989" spans="8:20" x14ac:dyDescent="0.35">
      <c r="H25989" s="711"/>
      <c r="I25989" s="711"/>
      <c r="J25989" s="711"/>
      <c r="K25989" s="711"/>
      <c r="L25989" s="711"/>
      <c r="Q25989" s="11"/>
      <c r="R25989" s="11"/>
      <c r="S25989" s="11"/>
      <c r="T25989" s="11"/>
    </row>
    <row r="25990" spans="8:20" x14ac:dyDescent="0.35">
      <c r="H25990" s="711"/>
      <c r="I25990" s="711"/>
      <c r="J25990" s="711"/>
      <c r="K25990" s="711"/>
      <c r="L25990" s="711"/>
      <c r="Q25990" s="11"/>
      <c r="R25990" s="11"/>
      <c r="S25990" s="11"/>
      <c r="T25990" s="11"/>
    </row>
    <row r="25991" spans="8:20" x14ac:dyDescent="0.35">
      <c r="H25991" s="711"/>
      <c r="I25991" s="711"/>
      <c r="J25991" s="711"/>
      <c r="K25991" s="711"/>
      <c r="L25991" s="711"/>
      <c r="Q25991" s="11"/>
      <c r="R25991" s="11"/>
      <c r="S25991" s="11"/>
      <c r="T25991" s="11"/>
    </row>
    <row r="25992" spans="8:20" x14ac:dyDescent="0.35">
      <c r="H25992" s="711"/>
      <c r="I25992" s="711"/>
      <c r="J25992" s="711"/>
      <c r="K25992" s="711"/>
      <c r="L25992" s="711"/>
      <c r="Q25992" s="11"/>
      <c r="R25992" s="11"/>
      <c r="S25992" s="11"/>
      <c r="T25992" s="11"/>
    </row>
    <row r="25993" spans="8:20" x14ac:dyDescent="0.35">
      <c r="H25993" s="711"/>
      <c r="I25993" s="711"/>
      <c r="J25993" s="711"/>
      <c r="K25993" s="711"/>
      <c r="L25993" s="711"/>
      <c r="Q25993" s="11"/>
      <c r="R25993" s="11"/>
      <c r="S25993" s="11"/>
      <c r="T25993" s="11"/>
    </row>
    <row r="25994" spans="8:20" x14ac:dyDescent="0.35">
      <c r="H25994" s="711"/>
      <c r="I25994" s="711"/>
      <c r="J25994" s="711"/>
      <c r="K25994" s="711"/>
      <c r="L25994" s="711"/>
      <c r="Q25994" s="11"/>
      <c r="R25994" s="11"/>
      <c r="S25994" s="11"/>
      <c r="T25994" s="11"/>
    </row>
    <row r="25995" spans="8:20" x14ac:dyDescent="0.35">
      <c r="H25995" s="711"/>
      <c r="I25995" s="711"/>
      <c r="J25995" s="711"/>
      <c r="K25995" s="711"/>
      <c r="L25995" s="711"/>
      <c r="Q25995" s="11"/>
      <c r="R25995" s="11"/>
      <c r="S25995" s="11"/>
      <c r="T25995" s="11"/>
    </row>
    <row r="25996" spans="8:20" x14ac:dyDescent="0.35">
      <c r="H25996" s="711"/>
      <c r="I25996" s="711"/>
      <c r="J25996" s="711"/>
      <c r="K25996" s="711"/>
      <c r="L25996" s="711"/>
      <c r="Q25996" s="11"/>
      <c r="R25996" s="11"/>
      <c r="S25996" s="11"/>
      <c r="T25996" s="11"/>
    </row>
    <row r="25997" spans="8:20" x14ac:dyDescent="0.35">
      <c r="H25997" s="711"/>
      <c r="I25997" s="711"/>
      <c r="J25997" s="711"/>
      <c r="K25997" s="711"/>
      <c r="L25997" s="711"/>
      <c r="Q25997" s="11"/>
      <c r="R25997" s="11"/>
      <c r="S25997" s="11"/>
      <c r="T25997" s="11"/>
    </row>
    <row r="25998" spans="8:20" x14ac:dyDescent="0.35">
      <c r="H25998" s="711"/>
      <c r="I25998" s="711"/>
      <c r="J25998" s="711"/>
      <c r="K25998" s="711"/>
      <c r="L25998" s="711"/>
      <c r="Q25998" s="11"/>
      <c r="R25998" s="11"/>
      <c r="S25998" s="11"/>
      <c r="T25998" s="11"/>
    </row>
    <row r="25999" spans="8:20" x14ac:dyDescent="0.35">
      <c r="H25999" s="711"/>
      <c r="I25999" s="711"/>
      <c r="J25999" s="711"/>
      <c r="K25999" s="711"/>
      <c r="L25999" s="711"/>
      <c r="Q25999" s="11"/>
      <c r="R25999" s="11"/>
      <c r="S25999" s="11"/>
      <c r="T25999" s="11"/>
    </row>
    <row r="26000" spans="8:20" x14ac:dyDescent="0.35">
      <c r="H26000" s="711"/>
      <c r="I26000" s="711"/>
      <c r="J26000" s="711"/>
      <c r="K26000" s="711"/>
      <c r="L26000" s="711"/>
      <c r="Q26000" s="11"/>
      <c r="R26000" s="11"/>
      <c r="S26000" s="11"/>
      <c r="T26000" s="11"/>
    </row>
    <row r="26001" spans="8:20" x14ac:dyDescent="0.35">
      <c r="H26001" s="711"/>
      <c r="I26001" s="711"/>
      <c r="J26001" s="711"/>
      <c r="K26001" s="711"/>
      <c r="L26001" s="711"/>
      <c r="Q26001" s="11"/>
      <c r="R26001" s="11"/>
      <c r="S26001" s="11"/>
      <c r="T26001" s="11"/>
    </row>
    <row r="26002" spans="8:20" x14ac:dyDescent="0.35">
      <c r="H26002" s="711"/>
      <c r="I26002" s="711"/>
      <c r="J26002" s="711"/>
      <c r="K26002" s="711"/>
      <c r="L26002" s="711"/>
      <c r="Q26002" s="11"/>
      <c r="R26002" s="11"/>
      <c r="S26002" s="11"/>
      <c r="T26002" s="11"/>
    </row>
    <row r="26003" spans="8:20" x14ac:dyDescent="0.35">
      <c r="H26003" s="711"/>
      <c r="I26003" s="711"/>
      <c r="J26003" s="711"/>
      <c r="K26003" s="711"/>
      <c r="L26003" s="711"/>
      <c r="Q26003" s="11"/>
      <c r="R26003" s="11"/>
      <c r="S26003" s="11"/>
      <c r="T26003" s="11"/>
    </row>
    <row r="26004" spans="8:20" x14ac:dyDescent="0.35">
      <c r="H26004" s="711"/>
      <c r="I26004" s="711"/>
      <c r="J26004" s="711"/>
      <c r="K26004" s="711"/>
      <c r="L26004" s="711"/>
      <c r="Q26004" s="11"/>
      <c r="R26004" s="11"/>
      <c r="S26004" s="11"/>
      <c r="T26004" s="11"/>
    </row>
    <row r="26005" spans="8:20" x14ac:dyDescent="0.35">
      <c r="H26005" s="711"/>
      <c r="I26005" s="711"/>
      <c r="J26005" s="711"/>
      <c r="K26005" s="711"/>
      <c r="L26005" s="711"/>
      <c r="Q26005" s="11"/>
      <c r="R26005" s="11"/>
      <c r="S26005" s="11"/>
      <c r="T26005" s="11"/>
    </row>
    <row r="26006" spans="8:20" x14ac:dyDescent="0.35">
      <c r="H26006" s="711"/>
      <c r="I26006" s="711"/>
      <c r="J26006" s="711"/>
      <c r="K26006" s="711"/>
      <c r="L26006" s="711"/>
      <c r="Q26006" s="11"/>
      <c r="R26006" s="11"/>
      <c r="S26006" s="11"/>
      <c r="T26006" s="11"/>
    </row>
    <row r="26007" spans="8:20" x14ac:dyDescent="0.35">
      <c r="H26007" s="711"/>
      <c r="I26007" s="711"/>
      <c r="J26007" s="711"/>
      <c r="K26007" s="711"/>
      <c r="L26007" s="711"/>
      <c r="Q26007" s="11"/>
      <c r="R26007" s="11"/>
      <c r="S26007" s="11"/>
      <c r="T26007" s="11"/>
    </row>
    <row r="26008" spans="8:20" x14ac:dyDescent="0.35">
      <c r="H26008" s="711"/>
      <c r="I26008" s="711"/>
      <c r="J26008" s="711"/>
      <c r="K26008" s="711"/>
      <c r="L26008" s="711"/>
      <c r="Q26008" s="11"/>
      <c r="R26008" s="11"/>
      <c r="S26008" s="11"/>
      <c r="T26008" s="11"/>
    </row>
    <row r="26009" spans="8:20" x14ac:dyDescent="0.35">
      <c r="H26009" s="711"/>
      <c r="I26009" s="711"/>
      <c r="J26009" s="711"/>
      <c r="K26009" s="711"/>
      <c r="L26009" s="711"/>
      <c r="Q26009" s="11"/>
      <c r="R26009" s="11"/>
      <c r="S26009" s="11"/>
      <c r="T26009" s="11"/>
    </row>
    <row r="26010" spans="8:20" x14ac:dyDescent="0.35">
      <c r="H26010" s="711"/>
      <c r="I26010" s="711"/>
      <c r="J26010" s="711"/>
      <c r="K26010" s="711"/>
      <c r="L26010" s="711"/>
      <c r="Q26010" s="11"/>
      <c r="R26010" s="11"/>
      <c r="S26010" s="11"/>
      <c r="T26010" s="11"/>
    </row>
    <row r="26011" spans="8:20" x14ac:dyDescent="0.35">
      <c r="H26011" s="711"/>
      <c r="I26011" s="711"/>
      <c r="J26011" s="711"/>
      <c r="K26011" s="711"/>
      <c r="L26011" s="711"/>
      <c r="Q26011" s="11"/>
      <c r="R26011" s="11"/>
      <c r="S26011" s="11"/>
      <c r="T26011" s="11"/>
    </row>
    <row r="26012" spans="8:20" x14ac:dyDescent="0.35">
      <c r="H26012" s="711"/>
      <c r="I26012" s="711"/>
      <c r="J26012" s="711"/>
      <c r="K26012" s="711"/>
      <c r="L26012" s="711"/>
      <c r="Q26012" s="11"/>
      <c r="R26012" s="11"/>
      <c r="S26012" s="11"/>
      <c r="T26012" s="11"/>
    </row>
    <row r="26013" spans="8:20" x14ac:dyDescent="0.35">
      <c r="H26013" s="711"/>
      <c r="I26013" s="711"/>
      <c r="J26013" s="711"/>
      <c r="K26013" s="711"/>
      <c r="L26013" s="711"/>
      <c r="Q26013" s="11"/>
      <c r="R26013" s="11"/>
      <c r="S26013" s="11"/>
      <c r="T26013" s="11"/>
    </row>
    <row r="26014" spans="8:20" x14ac:dyDescent="0.35">
      <c r="H26014" s="711"/>
      <c r="I26014" s="711"/>
      <c r="J26014" s="711"/>
      <c r="K26014" s="711"/>
      <c r="L26014" s="711"/>
      <c r="Q26014" s="11"/>
      <c r="R26014" s="11"/>
      <c r="S26014" s="11"/>
      <c r="T26014" s="11"/>
    </row>
    <row r="26015" spans="8:20" x14ac:dyDescent="0.35">
      <c r="H26015" s="711"/>
      <c r="I26015" s="711"/>
      <c r="J26015" s="711"/>
      <c r="K26015" s="711"/>
      <c r="L26015" s="711"/>
      <c r="Q26015" s="11"/>
      <c r="R26015" s="11"/>
      <c r="S26015" s="11"/>
      <c r="T26015" s="11"/>
    </row>
    <row r="26016" spans="8:20" x14ac:dyDescent="0.35">
      <c r="H26016" s="711"/>
      <c r="I26016" s="711"/>
      <c r="J26016" s="711"/>
      <c r="K26016" s="711"/>
      <c r="L26016" s="711"/>
      <c r="Q26016" s="11"/>
      <c r="R26016" s="11"/>
      <c r="S26016" s="11"/>
      <c r="T26016" s="11"/>
    </row>
    <row r="26017" spans="8:20" x14ac:dyDescent="0.35">
      <c r="H26017" s="711"/>
      <c r="I26017" s="711"/>
      <c r="J26017" s="711"/>
      <c r="K26017" s="711"/>
      <c r="L26017" s="711"/>
      <c r="Q26017" s="11"/>
      <c r="R26017" s="11"/>
      <c r="S26017" s="11"/>
      <c r="T26017" s="11"/>
    </row>
    <row r="26018" spans="8:20" x14ac:dyDescent="0.35">
      <c r="H26018" s="711"/>
      <c r="I26018" s="711"/>
      <c r="J26018" s="711"/>
      <c r="K26018" s="711"/>
      <c r="L26018" s="711"/>
      <c r="Q26018" s="11"/>
      <c r="R26018" s="11"/>
      <c r="S26018" s="11"/>
      <c r="T26018" s="11"/>
    </row>
    <row r="26019" spans="8:20" x14ac:dyDescent="0.35">
      <c r="H26019" s="711"/>
      <c r="I26019" s="711"/>
      <c r="J26019" s="711"/>
      <c r="K26019" s="711"/>
      <c r="L26019" s="711"/>
      <c r="Q26019" s="11"/>
      <c r="R26019" s="11"/>
      <c r="S26019" s="11"/>
      <c r="T26019" s="11"/>
    </row>
    <row r="26020" spans="8:20" x14ac:dyDescent="0.35">
      <c r="H26020" s="711"/>
      <c r="I26020" s="711"/>
      <c r="J26020" s="711"/>
      <c r="K26020" s="711"/>
      <c r="L26020" s="711"/>
      <c r="Q26020" s="11"/>
      <c r="R26020" s="11"/>
      <c r="S26020" s="11"/>
      <c r="T26020" s="11"/>
    </row>
    <row r="26021" spans="8:20" x14ac:dyDescent="0.35">
      <c r="H26021" s="711"/>
      <c r="I26021" s="711"/>
      <c r="J26021" s="711"/>
      <c r="K26021" s="711"/>
      <c r="L26021" s="711"/>
      <c r="Q26021" s="11"/>
      <c r="R26021" s="11"/>
      <c r="S26021" s="11"/>
      <c r="T26021" s="11"/>
    </row>
    <row r="26022" spans="8:20" x14ac:dyDescent="0.35">
      <c r="H26022" s="711"/>
      <c r="I26022" s="711"/>
      <c r="J26022" s="711"/>
      <c r="K26022" s="711"/>
      <c r="L26022" s="711"/>
      <c r="Q26022" s="11"/>
      <c r="R26022" s="11"/>
      <c r="S26022" s="11"/>
      <c r="T26022" s="11"/>
    </row>
    <row r="26023" spans="8:20" x14ac:dyDescent="0.35">
      <c r="H26023" s="711"/>
      <c r="I26023" s="711"/>
      <c r="J26023" s="711"/>
      <c r="K26023" s="711"/>
      <c r="L26023" s="711"/>
      <c r="Q26023" s="11"/>
      <c r="R26023" s="11"/>
      <c r="S26023" s="11"/>
      <c r="T26023" s="11"/>
    </row>
    <row r="26024" spans="8:20" x14ac:dyDescent="0.35">
      <c r="H26024" s="711"/>
      <c r="I26024" s="711"/>
      <c r="J26024" s="711"/>
      <c r="K26024" s="711"/>
      <c r="L26024" s="711"/>
      <c r="Q26024" s="11"/>
      <c r="R26024" s="11"/>
      <c r="S26024" s="11"/>
      <c r="T26024" s="11"/>
    </row>
    <row r="26025" spans="8:20" x14ac:dyDescent="0.35">
      <c r="H26025" s="711"/>
      <c r="I26025" s="711"/>
      <c r="J26025" s="711"/>
      <c r="K26025" s="711"/>
      <c r="L26025" s="711"/>
      <c r="Q26025" s="11"/>
      <c r="R26025" s="11"/>
      <c r="S26025" s="11"/>
      <c r="T26025" s="11"/>
    </row>
    <row r="26026" spans="8:20" x14ac:dyDescent="0.35">
      <c r="H26026" s="711"/>
      <c r="I26026" s="711"/>
      <c r="J26026" s="711"/>
      <c r="K26026" s="711"/>
      <c r="L26026" s="711"/>
      <c r="Q26026" s="11"/>
      <c r="R26026" s="11"/>
      <c r="S26026" s="11"/>
      <c r="T26026" s="11"/>
    </row>
    <row r="26027" spans="8:20" x14ac:dyDescent="0.35">
      <c r="H26027" s="711"/>
      <c r="I26027" s="711"/>
      <c r="J26027" s="711"/>
      <c r="K26027" s="711"/>
      <c r="L26027" s="711"/>
      <c r="Q26027" s="11"/>
      <c r="R26027" s="11"/>
      <c r="S26027" s="11"/>
      <c r="T26027" s="11"/>
    </row>
    <row r="26028" spans="8:20" x14ac:dyDescent="0.35">
      <c r="H26028" s="711"/>
      <c r="I26028" s="711"/>
      <c r="J26028" s="711"/>
      <c r="K26028" s="711"/>
      <c r="L26028" s="711"/>
      <c r="Q26028" s="11"/>
      <c r="R26028" s="11"/>
      <c r="S26028" s="11"/>
      <c r="T26028" s="11"/>
    </row>
    <row r="26029" spans="8:20" x14ac:dyDescent="0.35">
      <c r="H26029" s="711"/>
      <c r="I26029" s="711"/>
      <c r="J26029" s="711"/>
      <c r="K26029" s="711"/>
      <c r="L26029" s="711"/>
      <c r="Q26029" s="11"/>
      <c r="R26029" s="11"/>
      <c r="S26029" s="11"/>
      <c r="T26029" s="11"/>
    </row>
    <row r="26030" spans="8:20" x14ac:dyDescent="0.35">
      <c r="H26030" s="711"/>
      <c r="I26030" s="711"/>
      <c r="J26030" s="711"/>
      <c r="K26030" s="711"/>
      <c r="L26030" s="711"/>
      <c r="Q26030" s="11"/>
      <c r="R26030" s="11"/>
      <c r="S26030" s="11"/>
      <c r="T26030" s="11"/>
    </row>
    <row r="26031" spans="8:20" x14ac:dyDescent="0.35">
      <c r="H26031" s="711"/>
      <c r="I26031" s="711"/>
      <c r="J26031" s="711"/>
      <c r="K26031" s="711"/>
      <c r="L26031" s="711"/>
      <c r="Q26031" s="11"/>
      <c r="R26031" s="11"/>
      <c r="S26031" s="11"/>
      <c r="T26031" s="11"/>
    </row>
    <row r="26032" spans="8:20" x14ac:dyDescent="0.35">
      <c r="H26032" s="711"/>
      <c r="I26032" s="711"/>
      <c r="J26032" s="711"/>
      <c r="K26032" s="711"/>
      <c r="L26032" s="711"/>
      <c r="Q26032" s="11"/>
      <c r="R26032" s="11"/>
      <c r="S26032" s="11"/>
      <c r="T26032" s="11"/>
    </row>
    <row r="26033" spans="8:20" x14ac:dyDescent="0.35">
      <c r="H26033" s="711"/>
      <c r="I26033" s="711"/>
      <c r="J26033" s="711"/>
      <c r="K26033" s="711"/>
      <c r="L26033" s="711"/>
      <c r="Q26033" s="11"/>
      <c r="R26033" s="11"/>
      <c r="S26033" s="11"/>
      <c r="T26033" s="11"/>
    </row>
    <row r="26034" spans="8:20" x14ac:dyDescent="0.35">
      <c r="H26034" s="711"/>
      <c r="I26034" s="711"/>
      <c r="J26034" s="711"/>
      <c r="K26034" s="711"/>
      <c r="L26034" s="711"/>
      <c r="Q26034" s="11"/>
      <c r="R26034" s="11"/>
      <c r="S26034" s="11"/>
      <c r="T26034" s="11"/>
    </row>
    <row r="26035" spans="8:20" x14ac:dyDescent="0.35">
      <c r="H26035" s="711"/>
      <c r="I26035" s="711"/>
      <c r="J26035" s="711"/>
      <c r="K26035" s="711"/>
      <c r="L26035" s="711"/>
      <c r="Q26035" s="11"/>
      <c r="R26035" s="11"/>
      <c r="S26035" s="11"/>
      <c r="T26035" s="11"/>
    </row>
    <row r="26036" spans="8:20" x14ac:dyDescent="0.35">
      <c r="H26036" s="711"/>
      <c r="I26036" s="711"/>
      <c r="J26036" s="711"/>
      <c r="K26036" s="711"/>
      <c r="L26036" s="711"/>
      <c r="Q26036" s="11"/>
      <c r="R26036" s="11"/>
      <c r="S26036" s="11"/>
      <c r="T26036" s="11"/>
    </row>
    <row r="26037" spans="8:20" x14ac:dyDescent="0.35">
      <c r="H26037" s="711"/>
      <c r="I26037" s="711"/>
      <c r="J26037" s="711"/>
      <c r="K26037" s="711"/>
      <c r="L26037" s="711"/>
      <c r="Q26037" s="11"/>
      <c r="R26037" s="11"/>
      <c r="S26037" s="11"/>
      <c r="T26037" s="11"/>
    </row>
    <row r="26038" spans="8:20" x14ac:dyDescent="0.35">
      <c r="H26038" s="711"/>
      <c r="I26038" s="711"/>
      <c r="J26038" s="711"/>
      <c r="K26038" s="711"/>
      <c r="L26038" s="711"/>
      <c r="Q26038" s="11"/>
      <c r="R26038" s="11"/>
      <c r="S26038" s="11"/>
      <c r="T26038" s="11"/>
    </row>
    <row r="26039" spans="8:20" x14ac:dyDescent="0.35">
      <c r="H26039" s="711"/>
      <c r="I26039" s="711"/>
      <c r="J26039" s="711"/>
      <c r="K26039" s="711"/>
      <c r="L26039" s="711"/>
      <c r="Q26039" s="11"/>
      <c r="R26039" s="11"/>
      <c r="S26039" s="11"/>
      <c r="T26039" s="11"/>
    </row>
    <row r="26040" spans="8:20" x14ac:dyDescent="0.35">
      <c r="H26040" s="711"/>
      <c r="I26040" s="711"/>
      <c r="J26040" s="711"/>
      <c r="K26040" s="711"/>
      <c r="L26040" s="711"/>
      <c r="Q26040" s="11"/>
      <c r="R26040" s="11"/>
      <c r="S26040" s="11"/>
      <c r="T26040" s="11"/>
    </row>
    <row r="26041" spans="8:20" x14ac:dyDescent="0.35">
      <c r="H26041" s="711"/>
      <c r="I26041" s="711"/>
      <c r="J26041" s="711"/>
      <c r="K26041" s="711"/>
      <c r="L26041" s="711"/>
      <c r="Q26041" s="11"/>
      <c r="R26041" s="11"/>
      <c r="S26041" s="11"/>
      <c r="T26041" s="11"/>
    </row>
    <row r="26042" spans="8:20" x14ac:dyDescent="0.35">
      <c r="H26042" s="711"/>
      <c r="I26042" s="711"/>
      <c r="J26042" s="711"/>
      <c r="K26042" s="711"/>
      <c r="L26042" s="711"/>
      <c r="Q26042" s="11"/>
      <c r="R26042" s="11"/>
      <c r="S26042" s="11"/>
      <c r="T26042" s="11"/>
    </row>
    <row r="26043" spans="8:20" x14ac:dyDescent="0.35">
      <c r="H26043" s="711"/>
      <c r="I26043" s="711"/>
      <c r="J26043" s="711"/>
      <c r="K26043" s="711"/>
      <c r="L26043" s="711"/>
      <c r="Q26043" s="11"/>
      <c r="R26043" s="11"/>
      <c r="S26043" s="11"/>
      <c r="T26043" s="11"/>
    </row>
    <row r="26044" spans="8:20" x14ac:dyDescent="0.35">
      <c r="H26044" s="711"/>
      <c r="I26044" s="711"/>
      <c r="J26044" s="711"/>
      <c r="K26044" s="711"/>
      <c r="L26044" s="711"/>
      <c r="Q26044" s="11"/>
      <c r="R26044" s="11"/>
      <c r="S26044" s="11"/>
      <c r="T26044" s="11"/>
    </row>
    <row r="26045" spans="8:20" x14ac:dyDescent="0.35">
      <c r="H26045" s="711"/>
      <c r="I26045" s="711"/>
      <c r="J26045" s="711"/>
      <c r="K26045" s="711"/>
      <c r="L26045" s="711"/>
      <c r="Q26045" s="11"/>
      <c r="R26045" s="11"/>
      <c r="S26045" s="11"/>
      <c r="T26045" s="11"/>
    </row>
    <row r="26046" spans="8:20" x14ac:dyDescent="0.35">
      <c r="H26046" s="711"/>
      <c r="I26046" s="711"/>
      <c r="J26046" s="711"/>
      <c r="K26046" s="711"/>
      <c r="L26046" s="711"/>
      <c r="Q26046" s="11"/>
      <c r="R26046" s="11"/>
      <c r="S26046" s="11"/>
      <c r="T26046" s="11"/>
    </row>
    <row r="26047" spans="8:20" x14ac:dyDescent="0.35">
      <c r="H26047" s="711"/>
      <c r="I26047" s="711"/>
      <c r="J26047" s="711"/>
      <c r="K26047" s="711"/>
      <c r="L26047" s="711"/>
      <c r="Q26047" s="11"/>
      <c r="R26047" s="11"/>
      <c r="S26047" s="11"/>
      <c r="T26047" s="11"/>
    </row>
    <row r="26048" spans="8:20" x14ac:dyDescent="0.35">
      <c r="H26048" s="711"/>
      <c r="I26048" s="711"/>
      <c r="J26048" s="711"/>
      <c r="K26048" s="711"/>
      <c r="L26048" s="711"/>
      <c r="Q26048" s="11"/>
      <c r="R26048" s="11"/>
      <c r="S26048" s="11"/>
      <c r="T26048" s="11"/>
    </row>
    <row r="26049" spans="8:20" x14ac:dyDescent="0.35">
      <c r="H26049" s="711"/>
      <c r="I26049" s="711"/>
      <c r="J26049" s="711"/>
      <c r="K26049" s="711"/>
      <c r="L26049" s="711"/>
      <c r="Q26049" s="11"/>
      <c r="R26049" s="11"/>
      <c r="S26049" s="11"/>
      <c r="T26049" s="11"/>
    </row>
    <row r="26050" spans="8:20" x14ac:dyDescent="0.35">
      <c r="H26050" s="711"/>
      <c r="I26050" s="711"/>
      <c r="J26050" s="711"/>
      <c r="K26050" s="711"/>
      <c r="L26050" s="711"/>
      <c r="Q26050" s="11"/>
      <c r="R26050" s="11"/>
      <c r="S26050" s="11"/>
      <c r="T26050" s="11"/>
    </row>
    <row r="26051" spans="8:20" x14ac:dyDescent="0.35">
      <c r="H26051" s="711"/>
      <c r="I26051" s="711"/>
      <c r="J26051" s="711"/>
      <c r="K26051" s="711"/>
      <c r="L26051" s="711"/>
      <c r="Q26051" s="11"/>
      <c r="R26051" s="11"/>
      <c r="S26051" s="11"/>
      <c r="T26051" s="11"/>
    </row>
    <row r="26052" spans="8:20" x14ac:dyDescent="0.35">
      <c r="H26052" s="711"/>
      <c r="I26052" s="711"/>
      <c r="J26052" s="711"/>
      <c r="K26052" s="711"/>
      <c r="L26052" s="711"/>
      <c r="Q26052" s="11"/>
      <c r="R26052" s="11"/>
      <c r="S26052" s="11"/>
      <c r="T26052" s="11"/>
    </row>
    <row r="26053" spans="8:20" x14ac:dyDescent="0.35">
      <c r="H26053" s="711"/>
      <c r="I26053" s="711"/>
      <c r="J26053" s="711"/>
      <c r="K26053" s="711"/>
      <c r="L26053" s="711"/>
      <c r="Q26053" s="11"/>
      <c r="R26053" s="11"/>
      <c r="S26053" s="11"/>
      <c r="T26053" s="11"/>
    </row>
    <row r="26054" spans="8:20" x14ac:dyDescent="0.35">
      <c r="H26054" s="711"/>
      <c r="I26054" s="711"/>
      <c r="J26054" s="711"/>
      <c r="K26054" s="711"/>
      <c r="L26054" s="711"/>
      <c r="Q26054" s="11"/>
      <c r="R26054" s="11"/>
      <c r="S26054" s="11"/>
      <c r="T26054" s="11"/>
    </row>
    <row r="26055" spans="8:20" x14ac:dyDescent="0.35">
      <c r="H26055" s="711"/>
      <c r="I26055" s="711"/>
      <c r="J26055" s="711"/>
      <c r="K26055" s="711"/>
      <c r="L26055" s="711"/>
      <c r="Q26055" s="11"/>
      <c r="R26055" s="11"/>
      <c r="S26055" s="11"/>
      <c r="T26055" s="11"/>
    </row>
    <row r="26056" spans="8:20" x14ac:dyDescent="0.35">
      <c r="H26056" s="711"/>
      <c r="I26056" s="711"/>
      <c r="J26056" s="711"/>
      <c r="K26056" s="711"/>
      <c r="L26056" s="711"/>
      <c r="Q26056" s="11"/>
      <c r="R26056" s="11"/>
      <c r="S26056" s="11"/>
      <c r="T26056" s="11"/>
    </row>
    <row r="26057" spans="8:20" x14ac:dyDescent="0.35">
      <c r="H26057" s="711"/>
      <c r="I26057" s="711"/>
      <c r="J26057" s="711"/>
      <c r="K26057" s="711"/>
      <c r="L26057" s="711"/>
      <c r="Q26057" s="11"/>
      <c r="R26057" s="11"/>
      <c r="S26057" s="11"/>
      <c r="T26057" s="11"/>
    </row>
    <row r="26058" spans="8:20" x14ac:dyDescent="0.35">
      <c r="H26058" s="711"/>
      <c r="I26058" s="711"/>
      <c r="J26058" s="711"/>
      <c r="K26058" s="711"/>
      <c r="L26058" s="711"/>
      <c r="Q26058" s="11"/>
      <c r="R26058" s="11"/>
      <c r="S26058" s="11"/>
      <c r="T26058" s="11"/>
    </row>
    <row r="26059" spans="8:20" x14ac:dyDescent="0.35">
      <c r="H26059" s="711"/>
      <c r="I26059" s="711"/>
      <c r="J26059" s="711"/>
      <c r="K26059" s="711"/>
      <c r="L26059" s="711"/>
      <c r="Q26059" s="11"/>
      <c r="R26059" s="11"/>
      <c r="S26059" s="11"/>
      <c r="T26059" s="11"/>
    </row>
    <row r="26060" spans="8:20" x14ac:dyDescent="0.35">
      <c r="H26060" s="711"/>
      <c r="I26060" s="711"/>
      <c r="J26060" s="711"/>
      <c r="K26060" s="711"/>
      <c r="L26060" s="711"/>
      <c r="Q26060" s="11"/>
      <c r="R26060" s="11"/>
      <c r="S26060" s="11"/>
      <c r="T26060" s="11"/>
    </row>
    <row r="26061" spans="8:20" x14ac:dyDescent="0.35">
      <c r="H26061" s="711"/>
      <c r="I26061" s="711"/>
      <c r="J26061" s="711"/>
      <c r="K26061" s="711"/>
      <c r="L26061" s="711"/>
      <c r="Q26061" s="11"/>
      <c r="R26061" s="11"/>
      <c r="S26061" s="11"/>
      <c r="T26061" s="11"/>
    </row>
    <row r="26062" spans="8:20" x14ac:dyDescent="0.35">
      <c r="H26062" s="711"/>
      <c r="I26062" s="711"/>
      <c r="J26062" s="711"/>
      <c r="K26062" s="711"/>
      <c r="L26062" s="711"/>
      <c r="Q26062" s="11"/>
      <c r="R26062" s="11"/>
      <c r="S26062" s="11"/>
      <c r="T26062" s="11"/>
    </row>
    <row r="26063" spans="8:20" x14ac:dyDescent="0.35">
      <c r="H26063" s="711"/>
      <c r="I26063" s="711"/>
      <c r="J26063" s="711"/>
      <c r="K26063" s="711"/>
      <c r="L26063" s="711"/>
      <c r="Q26063" s="11"/>
      <c r="R26063" s="11"/>
      <c r="S26063" s="11"/>
      <c r="T26063" s="11"/>
    </row>
    <row r="26064" spans="8:20" x14ac:dyDescent="0.35">
      <c r="H26064" s="711"/>
      <c r="I26064" s="711"/>
      <c r="J26064" s="711"/>
      <c r="K26064" s="711"/>
      <c r="L26064" s="711"/>
      <c r="Q26064" s="11"/>
      <c r="R26064" s="11"/>
      <c r="S26064" s="11"/>
      <c r="T26064" s="11"/>
    </row>
    <row r="26065" spans="8:20" x14ac:dyDescent="0.35">
      <c r="H26065" s="711"/>
      <c r="I26065" s="711"/>
      <c r="J26065" s="711"/>
      <c r="K26065" s="711"/>
      <c r="L26065" s="711"/>
      <c r="Q26065" s="11"/>
      <c r="R26065" s="11"/>
      <c r="S26065" s="11"/>
      <c r="T26065" s="11"/>
    </row>
    <row r="26066" spans="8:20" x14ac:dyDescent="0.35">
      <c r="H26066" s="711"/>
      <c r="I26066" s="711"/>
      <c r="J26066" s="711"/>
      <c r="K26066" s="711"/>
      <c r="L26066" s="711"/>
      <c r="Q26066" s="11"/>
      <c r="R26066" s="11"/>
      <c r="S26066" s="11"/>
      <c r="T26066" s="11"/>
    </row>
    <row r="26067" spans="8:20" x14ac:dyDescent="0.35">
      <c r="H26067" s="711"/>
      <c r="I26067" s="711"/>
      <c r="J26067" s="711"/>
      <c r="K26067" s="711"/>
      <c r="L26067" s="711"/>
      <c r="Q26067" s="11"/>
      <c r="R26067" s="11"/>
      <c r="S26067" s="11"/>
      <c r="T26067" s="11"/>
    </row>
    <row r="26068" spans="8:20" x14ac:dyDescent="0.35">
      <c r="H26068" s="711"/>
      <c r="I26068" s="711"/>
      <c r="J26068" s="711"/>
      <c r="K26068" s="711"/>
      <c r="L26068" s="711"/>
      <c r="Q26068" s="11"/>
      <c r="R26068" s="11"/>
      <c r="S26068" s="11"/>
      <c r="T26068" s="11"/>
    </row>
    <row r="26069" spans="8:20" x14ac:dyDescent="0.35">
      <c r="H26069" s="711"/>
      <c r="I26069" s="711"/>
      <c r="J26069" s="711"/>
      <c r="K26069" s="711"/>
      <c r="L26069" s="711"/>
      <c r="Q26069" s="11"/>
      <c r="R26069" s="11"/>
      <c r="S26069" s="11"/>
      <c r="T26069" s="11"/>
    </row>
    <row r="26070" spans="8:20" x14ac:dyDescent="0.35">
      <c r="H26070" s="711"/>
      <c r="I26070" s="711"/>
      <c r="J26070" s="711"/>
      <c r="K26070" s="711"/>
      <c r="L26070" s="711"/>
      <c r="Q26070" s="11"/>
      <c r="R26070" s="11"/>
      <c r="S26070" s="11"/>
      <c r="T26070" s="11"/>
    </row>
    <row r="26071" spans="8:20" x14ac:dyDescent="0.35">
      <c r="H26071" s="711"/>
      <c r="I26071" s="711"/>
      <c r="J26071" s="711"/>
      <c r="K26071" s="711"/>
      <c r="L26071" s="711"/>
      <c r="Q26071" s="11"/>
      <c r="R26071" s="11"/>
      <c r="S26071" s="11"/>
      <c r="T26071" s="11"/>
    </row>
    <row r="26072" spans="8:20" x14ac:dyDescent="0.35">
      <c r="H26072" s="711"/>
      <c r="I26072" s="711"/>
      <c r="J26072" s="711"/>
      <c r="K26072" s="711"/>
      <c r="L26072" s="711"/>
      <c r="Q26072" s="11"/>
      <c r="R26072" s="11"/>
      <c r="S26072" s="11"/>
      <c r="T26072" s="11"/>
    </row>
    <row r="26073" spans="8:20" x14ac:dyDescent="0.35">
      <c r="H26073" s="711"/>
      <c r="I26073" s="711"/>
      <c r="J26073" s="711"/>
      <c r="K26073" s="711"/>
      <c r="L26073" s="711"/>
      <c r="Q26073" s="11"/>
      <c r="R26073" s="11"/>
      <c r="S26073" s="11"/>
      <c r="T26073" s="11"/>
    </row>
    <row r="26074" spans="8:20" x14ac:dyDescent="0.35">
      <c r="H26074" s="711"/>
      <c r="I26074" s="711"/>
      <c r="J26074" s="711"/>
      <c r="K26074" s="711"/>
      <c r="L26074" s="711"/>
      <c r="Q26074" s="11"/>
      <c r="R26074" s="11"/>
      <c r="S26074" s="11"/>
      <c r="T26074" s="11"/>
    </row>
    <row r="26075" spans="8:20" x14ac:dyDescent="0.35">
      <c r="H26075" s="711"/>
      <c r="I26075" s="711"/>
      <c r="J26075" s="711"/>
      <c r="K26075" s="711"/>
      <c r="L26075" s="711"/>
      <c r="Q26075" s="11"/>
      <c r="R26075" s="11"/>
      <c r="S26075" s="11"/>
      <c r="T26075" s="11"/>
    </row>
    <row r="26076" spans="8:20" x14ac:dyDescent="0.35">
      <c r="H26076" s="711"/>
      <c r="I26076" s="711"/>
      <c r="J26076" s="711"/>
      <c r="K26076" s="711"/>
      <c r="L26076" s="711"/>
      <c r="Q26076" s="11"/>
      <c r="R26076" s="11"/>
      <c r="S26076" s="11"/>
      <c r="T26076" s="11"/>
    </row>
    <row r="26077" spans="8:20" x14ac:dyDescent="0.35">
      <c r="H26077" s="711"/>
      <c r="I26077" s="711"/>
      <c r="J26077" s="711"/>
      <c r="K26077" s="711"/>
      <c r="L26077" s="711"/>
      <c r="Q26077" s="11"/>
      <c r="R26077" s="11"/>
      <c r="S26077" s="11"/>
      <c r="T26077" s="11"/>
    </row>
    <row r="26078" spans="8:20" x14ac:dyDescent="0.35">
      <c r="H26078" s="711"/>
      <c r="I26078" s="711"/>
      <c r="J26078" s="711"/>
      <c r="K26078" s="711"/>
      <c r="L26078" s="711"/>
      <c r="Q26078" s="11"/>
      <c r="R26078" s="11"/>
      <c r="S26078" s="11"/>
      <c r="T26078" s="11"/>
    </row>
    <row r="26079" spans="8:20" x14ac:dyDescent="0.35">
      <c r="H26079" s="711"/>
      <c r="I26079" s="711"/>
      <c r="J26079" s="711"/>
      <c r="K26079" s="711"/>
      <c r="L26079" s="711"/>
      <c r="Q26079" s="11"/>
      <c r="R26079" s="11"/>
      <c r="S26079" s="11"/>
      <c r="T26079" s="11"/>
    </row>
    <row r="26080" spans="8:20" x14ac:dyDescent="0.35">
      <c r="H26080" s="711"/>
      <c r="I26080" s="711"/>
      <c r="J26080" s="711"/>
      <c r="K26080" s="711"/>
      <c r="L26080" s="711"/>
      <c r="Q26080" s="11"/>
      <c r="R26080" s="11"/>
      <c r="S26080" s="11"/>
      <c r="T26080" s="11"/>
    </row>
    <row r="26081" spans="8:20" x14ac:dyDescent="0.35">
      <c r="H26081" s="711"/>
      <c r="I26081" s="711"/>
      <c r="J26081" s="711"/>
      <c r="K26081" s="711"/>
      <c r="L26081" s="711"/>
      <c r="Q26081" s="11"/>
      <c r="R26081" s="11"/>
      <c r="S26081" s="11"/>
      <c r="T26081" s="11"/>
    </row>
    <row r="26082" spans="8:20" x14ac:dyDescent="0.35">
      <c r="H26082" s="711"/>
      <c r="I26082" s="711"/>
      <c r="J26082" s="711"/>
      <c r="K26082" s="711"/>
      <c r="L26082" s="711"/>
      <c r="Q26082" s="11"/>
      <c r="R26082" s="11"/>
      <c r="S26082" s="11"/>
      <c r="T26082" s="11"/>
    </row>
    <row r="26083" spans="8:20" x14ac:dyDescent="0.35">
      <c r="H26083" s="711"/>
      <c r="I26083" s="711"/>
      <c r="J26083" s="711"/>
      <c r="K26083" s="711"/>
      <c r="L26083" s="711"/>
      <c r="Q26083" s="11"/>
      <c r="R26083" s="11"/>
      <c r="S26083" s="11"/>
      <c r="T26083" s="11"/>
    </row>
    <row r="26084" spans="8:20" x14ac:dyDescent="0.35">
      <c r="H26084" s="711"/>
      <c r="I26084" s="711"/>
      <c r="J26084" s="711"/>
      <c r="K26084" s="711"/>
      <c r="L26084" s="711"/>
      <c r="Q26084" s="11"/>
      <c r="R26084" s="11"/>
      <c r="S26084" s="11"/>
      <c r="T26084" s="11"/>
    </row>
    <row r="26085" spans="8:20" x14ac:dyDescent="0.35">
      <c r="H26085" s="711"/>
      <c r="I26085" s="711"/>
      <c r="J26085" s="711"/>
      <c r="K26085" s="711"/>
      <c r="L26085" s="711"/>
      <c r="Q26085" s="11"/>
      <c r="R26085" s="11"/>
      <c r="S26085" s="11"/>
      <c r="T26085" s="11"/>
    </row>
    <row r="26086" spans="8:20" x14ac:dyDescent="0.35">
      <c r="H26086" s="711"/>
      <c r="I26086" s="711"/>
      <c r="J26086" s="711"/>
      <c r="K26086" s="711"/>
      <c r="L26086" s="711"/>
      <c r="Q26086" s="11"/>
      <c r="R26086" s="11"/>
      <c r="S26086" s="11"/>
      <c r="T26086" s="11"/>
    </row>
    <row r="26087" spans="8:20" x14ac:dyDescent="0.35">
      <c r="H26087" s="711"/>
      <c r="I26087" s="711"/>
      <c r="J26087" s="711"/>
      <c r="K26087" s="711"/>
      <c r="L26087" s="711"/>
      <c r="Q26087" s="11"/>
      <c r="R26087" s="11"/>
      <c r="S26087" s="11"/>
      <c r="T26087" s="11"/>
    </row>
    <row r="26088" spans="8:20" x14ac:dyDescent="0.35">
      <c r="H26088" s="711"/>
      <c r="I26088" s="711"/>
      <c r="J26088" s="711"/>
      <c r="K26088" s="711"/>
      <c r="L26088" s="711"/>
      <c r="Q26088" s="11"/>
      <c r="R26088" s="11"/>
      <c r="S26088" s="11"/>
      <c r="T26088" s="11"/>
    </row>
    <row r="26089" spans="8:20" x14ac:dyDescent="0.35">
      <c r="H26089" s="711"/>
      <c r="I26089" s="711"/>
      <c r="J26089" s="711"/>
      <c r="K26089" s="711"/>
      <c r="L26089" s="711"/>
      <c r="Q26089" s="11"/>
      <c r="R26089" s="11"/>
      <c r="S26089" s="11"/>
      <c r="T26089" s="11"/>
    </row>
    <row r="26090" spans="8:20" x14ac:dyDescent="0.35">
      <c r="H26090" s="711"/>
      <c r="I26090" s="711"/>
      <c r="J26090" s="711"/>
      <c r="K26090" s="711"/>
      <c r="L26090" s="711"/>
      <c r="Q26090" s="11"/>
      <c r="R26090" s="11"/>
      <c r="S26090" s="11"/>
      <c r="T26090" s="11"/>
    </row>
    <row r="26091" spans="8:20" x14ac:dyDescent="0.35">
      <c r="H26091" s="711"/>
      <c r="I26091" s="711"/>
      <c r="J26091" s="711"/>
      <c r="K26091" s="711"/>
      <c r="L26091" s="711"/>
      <c r="Q26091" s="11"/>
      <c r="R26091" s="11"/>
      <c r="S26091" s="11"/>
      <c r="T26091" s="11"/>
    </row>
    <row r="26092" spans="8:20" x14ac:dyDescent="0.35">
      <c r="H26092" s="711"/>
      <c r="I26092" s="711"/>
      <c r="J26092" s="711"/>
      <c r="K26092" s="711"/>
      <c r="L26092" s="711"/>
      <c r="Q26092" s="11"/>
      <c r="R26092" s="11"/>
      <c r="S26092" s="11"/>
      <c r="T26092" s="11"/>
    </row>
    <row r="26093" spans="8:20" x14ac:dyDescent="0.35">
      <c r="H26093" s="711"/>
      <c r="I26093" s="711"/>
      <c r="J26093" s="711"/>
      <c r="K26093" s="711"/>
      <c r="L26093" s="711"/>
      <c r="Q26093" s="11"/>
      <c r="R26093" s="11"/>
      <c r="S26093" s="11"/>
      <c r="T26093" s="11"/>
    </row>
    <row r="26094" spans="8:20" x14ac:dyDescent="0.35">
      <c r="H26094" s="711"/>
      <c r="I26094" s="711"/>
      <c r="J26094" s="711"/>
      <c r="K26094" s="711"/>
      <c r="L26094" s="711"/>
      <c r="Q26094" s="11"/>
      <c r="R26094" s="11"/>
      <c r="S26094" s="11"/>
      <c r="T26094" s="11"/>
    </row>
    <row r="26095" spans="8:20" x14ac:dyDescent="0.35">
      <c r="H26095" s="711"/>
      <c r="I26095" s="711"/>
      <c r="J26095" s="711"/>
      <c r="K26095" s="711"/>
      <c r="L26095" s="711"/>
      <c r="Q26095" s="11"/>
      <c r="R26095" s="11"/>
      <c r="S26095" s="11"/>
      <c r="T26095" s="11"/>
    </row>
    <row r="26096" spans="8:20" x14ac:dyDescent="0.35">
      <c r="H26096" s="711"/>
      <c r="I26096" s="711"/>
      <c r="J26096" s="711"/>
      <c r="K26096" s="711"/>
      <c r="L26096" s="711"/>
      <c r="Q26096" s="11"/>
      <c r="R26096" s="11"/>
      <c r="S26096" s="11"/>
      <c r="T26096" s="11"/>
    </row>
    <row r="26097" spans="8:20" x14ac:dyDescent="0.35">
      <c r="H26097" s="711"/>
      <c r="I26097" s="711"/>
      <c r="J26097" s="711"/>
      <c r="K26097" s="711"/>
      <c r="L26097" s="711"/>
      <c r="Q26097" s="11"/>
      <c r="R26097" s="11"/>
      <c r="S26097" s="11"/>
      <c r="T26097" s="11"/>
    </row>
    <row r="26098" spans="8:20" x14ac:dyDescent="0.35">
      <c r="H26098" s="711"/>
      <c r="I26098" s="711"/>
      <c r="J26098" s="711"/>
      <c r="K26098" s="711"/>
      <c r="L26098" s="711"/>
      <c r="Q26098" s="11"/>
      <c r="R26098" s="11"/>
      <c r="S26098" s="11"/>
      <c r="T26098" s="11"/>
    </row>
    <row r="26099" spans="8:20" x14ac:dyDescent="0.35">
      <c r="H26099" s="711"/>
      <c r="I26099" s="711"/>
      <c r="J26099" s="711"/>
      <c r="K26099" s="711"/>
      <c r="L26099" s="711"/>
      <c r="Q26099" s="11"/>
      <c r="R26099" s="11"/>
      <c r="S26099" s="11"/>
      <c r="T26099" s="11"/>
    </row>
    <row r="26100" spans="8:20" x14ac:dyDescent="0.35">
      <c r="H26100" s="711"/>
      <c r="I26100" s="711"/>
      <c r="J26100" s="711"/>
      <c r="K26100" s="711"/>
      <c r="L26100" s="711"/>
      <c r="Q26100" s="11"/>
      <c r="R26100" s="11"/>
      <c r="S26100" s="11"/>
      <c r="T26100" s="11"/>
    </row>
    <row r="26101" spans="8:20" x14ac:dyDescent="0.35">
      <c r="H26101" s="711"/>
      <c r="I26101" s="711"/>
      <c r="J26101" s="711"/>
      <c r="K26101" s="711"/>
      <c r="L26101" s="711"/>
      <c r="Q26101" s="11"/>
      <c r="R26101" s="11"/>
      <c r="S26101" s="11"/>
      <c r="T26101" s="11"/>
    </row>
    <row r="26102" spans="8:20" x14ac:dyDescent="0.35">
      <c r="H26102" s="711"/>
      <c r="I26102" s="711"/>
      <c r="J26102" s="711"/>
      <c r="K26102" s="711"/>
      <c r="L26102" s="711"/>
      <c r="Q26102" s="11"/>
      <c r="R26102" s="11"/>
      <c r="S26102" s="11"/>
      <c r="T26102" s="11"/>
    </row>
    <row r="26103" spans="8:20" x14ac:dyDescent="0.35">
      <c r="H26103" s="711"/>
      <c r="I26103" s="711"/>
      <c r="J26103" s="711"/>
      <c r="K26103" s="711"/>
      <c r="L26103" s="711"/>
      <c r="Q26103" s="11"/>
      <c r="R26103" s="11"/>
      <c r="S26103" s="11"/>
      <c r="T26103" s="11"/>
    </row>
    <row r="26104" spans="8:20" x14ac:dyDescent="0.35">
      <c r="H26104" s="711"/>
      <c r="I26104" s="711"/>
      <c r="J26104" s="711"/>
      <c r="K26104" s="711"/>
      <c r="L26104" s="711"/>
      <c r="Q26104" s="11"/>
      <c r="R26104" s="11"/>
      <c r="S26104" s="11"/>
      <c r="T26104" s="11"/>
    </row>
    <row r="26105" spans="8:20" x14ac:dyDescent="0.35">
      <c r="H26105" s="711"/>
      <c r="I26105" s="711"/>
      <c r="J26105" s="711"/>
      <c r="K26105" s="711"/>
      <c r="L26105" s="711"/>
      <c r="Q26105" s="11"/>
      <c r="R26105" s="11"/>
      <c r="S26105" s="11"/>
      <c r="T26105" s="11"/>
    </row>
    <row r="26106" spans="8:20" x14ac:dyDescent="0.35">
      <c r="H26106" s="711"/>
      <c r="I26106" s="711"/>
      <c r="J26106" s="711"/>
      <c r="K26106" s="711"/>
      <c r="L26106" s="711"/>
      <c r="Q26106" s="11"/>
      <c r="R26106" s="11"/>
      <c r="S26106" s="11"/>
      <c r="T26106" s="11"/>
    </row>
    <row r="26107" spans="8:20" x14ac:dyDescent="0.35">
      <c r="H26107" s="711"/>
      <c r="I26107" s="711"/>
      <c r="J26107" s="711"/>
      <c r="K26107" s="711"/>
      <c r="L26107" s="711"/>
      <c r="Q26107" s="11"/>
      <c r="R26107" s="11"/>
      <c r="S26107" s="11"/>
      <c r="T26107" s="11"/>
    </row>
    <row r="26108" spans="8:20" x14ac:dyDescent="0.35">
      <c r="H26108" s="711"/>
      <c r="I26108" s="711"/>
      <c r="J26108" s="711"/>
      <c r="K26108" s="711"/>
      <c r="L26108" s="711"/>
      <c r="Q26108" s="11"/>
      <c r="R26108" s="11"/>
      <c r="S26108" s="11"/>
      <c r="T26108" s="11"/>
    </row>
    <row r="26109" spans="8:20" x14ac:dyDescent="0.35">
      <c r="H26109" s="711"/>
      <c r="I26109" s="711"/>
      <c r="J26109" s="711"/>
      <c r="K26109" s="711"/>
      <c r="L26109" s="711"/>
      <c r="Q26109" s="11"/>
      <c r="R26109" s="11"/>
      <c r="S26109" s="11"/>
      <c r="T26109" s="11"/>
    </row>
    <row r="26110" spans="8:20" x14ac:dyDescent="0.35">
      <c r="H26110" s="711"/>
      <c r="I26110" s="711"/>
      <c r="J26110" s="711"/>
      <c r="K26110" s="711"/>
      <c r="L26110" s="711"/>
      <c r="Q26110" s="11"/>
      <c r="R26110" s="11"/>
      <c r="S26110" s="11"/>
      <c r="T26110" s="11"/>
    </row>
    <row r="26111" spans="8:20" x14ac:dyDescent="0.35">
      <c r="H26111" s="711"/>
      <c r="I26111" s="711"/>
      <c r="J26111" s="711"/>
      <c r="K26111" s="711"/>
      <c r="L26111" s="711"/>
      <c r="Q26111" s="11"/>
      <c r="R26111" s="11"/>
      <c r="S26111" s="11"/>
      <c r="T26111" s="11"/>
    </row>
    <row r="26112" spans="8:20" x14ac:dyDescent="0.35">
      <c r="H26112" s="711"/>
      <c r="I26112" s="711"/>
      <c r="J26112" s="711"/>
      <c r="K26112" s="711"/>
      <c r="L26112" s="711"/>
      <c r="Q26112" s="11"/>
      <c r="R26112" s="11"/>
      <c r="S26112" s="11"/>
      <c r="T26112" s="11"/>
    </row>
    <row r="26113" spans="8:20" x14ac:dyDescent="0.35">
      <c r="H26113" s="711"/>
      <c r="I26113" s="711"/>
      <c r="J26113" s="711"/>
      <c r="K26113" s="711"/>
      <c r="L26113" s="711"/>
      <c r="Q26113" s="11"/>
      <c r="R26113" s="11"/>
      <c r="S26113" s="11"/>
      <c r="T26113" s="11"/>
    </row>
    <row r="26114" spans="8:20" x14ac:dyDescent="0.35">
      <c r="H26114" s="711"/>
      <c r="I26114" s="711"/>
      <c r="J26114" s="711"/>
      <c r="K26114" s="711"/>
      <c r="L26114" s="711"/>
      <c r="Q26114" s="11"/>
      <c r="R26114" s="11"/>
      <c r="S26114" s="11"/>
      <c r="T26114" s="11"/>
    </row>
    <row r="26115" spans="8:20" x14ac:dyDescent="0.35">
      <c r="H26115" s="711"/>
      <c r="I26115" s="711"/>
      <c r="J26115" s="711"/>
      <c r="K26115" s="711"/>
      <c r="L26115" s="711"/>
      <c r="Q26115" s="11"/>
      <c r="R26115" s="11"/>
      <c r="S26115" s="11"/>
      <c r="T26115" s="11"/>
    </row>
    <row r="26116" spans="8:20" x14ac:dyDescent="0.35">
      <c r="H26116" s="711"/>
      <c r="I26116" s="711"/>
      <c r="J26116" s="711"/>
      <c r="K26116" s="711"/>
      <c r="L26116" s="711"/>
      <c r="Q26116" s="11"/>
      <c r="R26116" s="11"/>
      <c r="S26116" s="11"/>
      <c r="T26116" s="11"/>
    </row>
    <row r="26117" spans="8:20" x14ac:dyDescent="0.35">
      <c r="H26117" s="711"/>
      <c r="I26117" s="711"/>
      <c r="J26117" s="711"/>
      <c r="K26117" s="711"/>
      <c r="L26117" s="711"/>
      <c r="Q26117" s="11"/>
      <c r="R26117" s="11"/>
      <c r="S26117" s="11"/>
      <c r="T26117" s="11"/>
    </row>
    <row r="26118" spans="8:20" x14ac:dyDescent="0.35">
      <c r="H26118" s="711"/>
      <c r="I26118" s="711"/>
      <c r="J26118" s="711"/>
      <c r="K26118" s="711"/>
      <c r="L26118" s="711"/>
      <c r="Q26118" s="11"/>
      <c r="R26118" s="11"/>
      <c r="S26118" s="11"/>
      <c r="T26118" s="11"/>
    </row>
    <row r="26119" spans="8:20" x14ac:dyDescent="0.35">
      <c r="H26119" s="711"/>
      <c r="I26119" s="711"/>
      <c r="J26119" s="711"/>
      <c r="K26119" s="711"/>
      <c r="L26119" s="711"/>
      <c r="Q26119" s="11"/>
      <c r="R26119" s="11"/>
      <c r="S26119" s="11"/>
      <c r="T26119" s="11"/>
    </row>
    <row r="26120" spans="8:20" x14ac:dyDescent="0.35">
      <c r="H26120" s="711"/>
      <c r="I26120" s="711"/>
      <c r="J26120" s="711"/>
      <c r="K26120" s="711"/>
      <c r="L26120" s="711"/>
      <c r="Q26120" s="11"/>
      <c r="R26120" s="11"/>
      <c r="S26120" s="11"/>
      <c r="T26120" s="11"/>
    </row>
    <row r="26121" spans="8:20" x14ac:dyDescent="0.35">
      <c r="H26121" s="711"/>
      <c r="I26121" s="711"/>
      <c r="J26121" s="711"/>
      <c r="K26121" s="711"/>
      <c r="L26121" s="711"/>
      <c r="Q26121" s="11"/>
      <c r="R26121" s="11"/>
      <c r="S26121" s="11"/>
      <c r="T26121" s="11"/>
    </row>
    <row r="26122" spans="8:20" x14ac:dyDescent="0.35">
      <c r="H26122" s="711"/>
      <c r="I26122" s="711"/>
      <c r="J26122" s="711"/>
      <c r="K26122" s="711"/>
      <c r="L26122" s="711"/>
      <c r="Q26122" s="11"/>
      <c r="R26122" s="11"/>
      <c r="S26122" s="11"/>
      <c r="T26122" s="11"/>
    </row>
    <row r="26123" spans="8:20" x14ac:dyDescent="0.35">
      <c r="H26123" s="711"/>
      <c r="I26123" s="711"/>
      <c r="J26123" s="711"/>
      <c r="K26123" s="711"/>
      <c r="L26123" s="711"/>
      <c r="Q26123" s="11"/>
      <c r="R26123" s="11"/>
      <c r="S26123" s="11"/>
      <c r="T26123" s="11"/>
    </row>
    <row r="26124" spans="8:20" x14ac:dyDescent="0.35">
      <c r="H26124" s="711"/>
      <c r="I26124" s="711"/>
      <c r="J26124" s="711"/>
      <c r="K26124" s="711"/>
      <c r="L26124" s="711"/>
      <c r="Q26124" s="11"/>
      <c r="R26124" s="11"/>
      <c r="S26124" s="11"/>
      <c r="T26124" s="11"/>
    </row>
    <row r="26125" spans="8:20" x14ac:dyDescent="0.35">
      <c r="H26125" s="711"/>
      <c r="I26125" s="711"/>
      <c r="J26125" s="711"/>
      <c r="K26125" s="711"/>
      <c r="L26125" s="711"/>
      <c r="Q26125" s="11"/>
      <c r="R26125" s="11"/>
      <c r="S26125" s="11"/>
      <c r="T26125" s="11"/>
    </row>
    <row r="26126" spans="8:20" x14ac:dyDescent="0.35">
      <c r="H26126" s="711"/>
      <c r="I26126" s="711"/>
      <c r="J26126" s="711"/>
      <c r="K26126" s="711"/>
      <c r="L26126" s="711"/>
      <c r="Q26126" s="11"/>
      <c r="R26126" s="11"/>
      <c r="S26126" s="11"/>
      <c r="T26126" s="11"/>
    </row>
    <row r="26127" spans="8:20" x14ac:dyDescent="0.35">
      <c r="H26127" s="711"/>
      <c r="I26127" s="711"/>
      <c r="J26127" s="711"/>
      <c r="K26127" s="711"/>
      <c r="L26127" s="711"/>
      <c r="Q26127" s="11"/>
      <c r="R26127" s="11"/>
      <c r="S26127" s="11"/>
      <c r="T26127" s="11"/>
    </row>
    <row r="26128" spans="8:20" x14ac:dyDescent="0.35">
      <c r="H26128" s="711"/>
      <c r="I26128" s="711"/>
      <c r="J26128" s="711"/>
      <c r="K26128" s="711"/>
      <c r="L26128" s="711"/>
      <c r="Q26128" s="11"/>
      <c r="R26128" s="11"/>
      <c r="S26128" s="11"/>
      <c r="T26128" s="11"/>
    </row>
    <row r="26129" spans="8:20" x14ac:dyDescent="0.35">
      <c r="H26129" s="711"/>
      <c r="I26129" s="711"/>
      <c r="J26129" s="711"/>
      <c r="K26129" s="711"/>
      <c r="L26129" s="711"/>
      <c r="Q26129" s="11"/>
      <c r="R26129" s="11"/>
      <c r="S26129" s="11"/>
      <c r="T26129" s="11"/>
    </row>
    <row r="26130" spans="8:20" x14ac:dyDescent="0.35">
      <c r="H26130" s="711"/>
      <c r="I26130" s="711"/>
      <c r="J26130" s="711"/>
      <c r="K26130" s="711"/>
      <c r="L26130" s="711"/>
      <c r="Q26130" s="11"/>
      <c r="R26130" s="11"/>
      <c r="S26130" s="11"/>
      <c r="T26130" s="11"/>
    </row>
    <row r="26131" spans="8:20" x14ac:dyDescent="0.35">
      <c r="H26131" s="711"/>
      <c r="I26131" s="711"/>
      <c r="J26131" s="711"/>
      <c r="K26131" s="711"/>
      <c r="L26131" s="711"/>
      <c r="Q26131" s="11"/>
      <c r="R26131" s="11"/>
      <c r="S26131" s="11"/>
      <c r="T26131" s="11"/>
    </row>
    <row r="26132" spans="8:20" x14ac:dyDescent="0.35">
      <c r="H26132" s="711"/>
      <c r="I26132" s="711"/>
      <c r="J26132" s="711"/>
      <c r="K26132" s="711"/>
      <c r="L26132" s="711"/>
      <c r="Q26132" s="11"/>
      <c r="R26132" s="11"/>
      <c r="S26132" s="11"/>
      <c r="T26132" s="11"/>
    </row>
    <row r="26133" spans="8:20" x14ac:dyDescent="0.35">
      <c r="H26133" s="711"/>
      <c r="I26133" s="711"/>
      <c r="J26133" s="711"/>
      <c r="K26133" s="711"/>
      <c r="L26133" s="711"/>
      <c r="Q26133" s="11"/>
      <c r="R26133" s="11"/>
      <c r="S26133" s="11"/>
      <c r="T26133" s="11"/>
    </row>
    <row r="26134" spans="8:20" x14ac:dyDescent="0.35">
      <c r="H26134" s="711"/>
      <c r="I26134" s="711"/>
      <c r="J26134" s="711"/>
      <c r="K26134" s="711"/>
      <c r="L26134" s="711"/>
      <c r="Q26134" s="11"/>
      <c r="R26134" s="11"/>
      <c r="S26134" s="11"/>
      <c r="T26134" s="11"/>
    </row>
    <row r="26135" spans="8:20" x14ac:dyDescent="0.35">
      <c r="H26135" s="711"/>
      <c r="I26135" s="711"/>
      <c r="J26135" s="711"/>
      <c r="K26135" s="711"/>
      <c r="L26135" s="711"/>
      <c r="Q26135" s="11"/>
      <c r="R26135" s="11"/>
      <c r="S26135" s="11"/>
      <c r="T26135" s="11"/>
    </row>
    <row r="26136" spans="8:20" x14ac:dyDescent="0.35">
      <c r="H26136" s="711"/>
      <c r="I26136" s="711"/>
      <c r="J26136" s="711"/>
      <c r="K26136" s="711"/>
      <c r="L26136" s="711"/>
      <c r="Q26136" s="11"/>
      <c r="R26136" s="11"/>
      <c r="S26136" s="11"/>
      <c r="T26136" s="11"/>
    </row>
    <row r="26137" spans="8:20" x14ac:dyDescent="0.35">
      <c r="H26137" s="711"/>
      <c r="I26137" s="711"/>
      <c r="J26137" s="711"/>
      <c r="K26137" s="711"/>
      <c r="L26137" s="711"/>
      <c r="Q26137" s="11"/>
      <c r="R26137" s="11"/>
      <c r="S26137" s="11"/>
      <c r="T26137" s="11"/>
    </row>
    <row r="26138" spans="8:20" x14ac:dyDescent="0.35">
      <c r="H26138" s="711"/>
      <c r="I26138" s="711"/>
      <c r="J26138" s="711"/>
      <c r="K26138" s="711"/>
      <c r="L26138" s="711"/>
      <c r="Q26138" s="11"/>
      <c r="R26138" s="11"/>
      <c r="S26138" s="11"/>
      <c r="T26138" s="11"/>
    </row>
    <row r="26139" spans="8:20" x14ac:dyDescent="0.35">
      <c r="H26139" s="711"/>
      <c r="I26139" s="711"/>
      <c r="J26139" s="711"/>
      <c r="K26139" s="711"/>
      <c r="L26139" s="711"/>
      <c r="Q26139" s="11"/>
      <c r="R26139" s="11"/>
      <c r="S26139" s="11"/>
      <c r="T26139" s="11"/>
    </row>
    <row r="26140" spans="8:20" x14ac:dyDescent="0.35">
      <c r="H26140" s="711"/>
      <c r="I26140" s="711"/>
      <c r="J26140" s="711"/>
      <c r="K26140" s="711"/>
      <c r="L26140" s="711"/>
      <c r="Q26140" s="11"/>
      <c r="R26140" s="11"/>
      <c r="S26140" s="11"/>
      <c r="T26140" s="11"/>
    </row>
    <row r="26141" spans="8:20" x14ac:dyDescent="0.35">
      <c r="H26141" s="711"/>
      <c r="I26141" s="711"/>
      <c r="J26141" s="711"/>
      <c r="K26141" s="711"/>
      <c r="L26141" s="711"/>
      <c r="Q26141" s="11"/>
      <c r="R26141" s="11"/>
      <c r="S26141" s="11"/>
      <c r="T26141" s="11"/>
    </row>
    <row r="26142" spans="8:20" x14ac:dyDescent="0.35">
      <c r="H26142" s="711"/>
      <c r="I26142" s="711"/>
      <c r="J26142" s="711"/>
      <c r="K26142" s="711"/>
      <c r="L26142" s="711"/>
      <c r="Q26142" s="11"/>
      <c r="R26142" s="11"/>
      <c r="S26142" s="11"/>
      <c r="T26142" s="11"/>
    </row>
    <row r="26143" spans="8:20" x14ac:dyDescent="0.35">
      <c r="H26143" s="711"/>
      <c r="I26143" s="711"/>
      <c r="J26143" s="711"/>
      <c r="K26143" s="711"/>
      <c r="L26143" s="711"/>
      <c r="Q26143" s="11"/>
      <c r="R26143" s="11"/>
      <c r="S26143" s="11"/>
      <c r="T26143" s="11"/>
    </row>
    <row r="26144" spans="8:20" x14ac:dyDescent="0.35">
      <c r="H26144" s="711"/>
      <c r="I26144" s="711"/>
      <c r="J26144" s="711"/>
      <c r="K26144" s="711"/>
      <c r="L26144" s="711"/>
      <c r="Q26144" s="11"/>
      <c r="R26144" s="11"/>
      <c r="S26144" s="11"/>
      <c r="T26144" s="11"/>
    </row>
    <row r="26145" spans="8:20" x14ac:dyDescent="0.35">
      <c r="H26145" s="711"/>
      <c r="I26145" s="711"/>
      <c r="J26145" s="711"/>
      <c r="K26145" s="711"/>
      <c r="L26145" s="711"/>
      <c r="Q26145" s="11"/>
      <c r="R26145" s="11"/>
      <c r="S26145" s="11"/>
      <c r="T26145" s="11"/>
    </row>
    <row r="26146" spans="8:20" x14ac:dyDescent="0.35">
      <c r="H26146" s="711"/>
      <c r="I26146" s="711"/>
      <c r="J26146" s="711"/>
      <c r="K26146" s="711"/>
      <c r="L26146" s="711"/>
      <c r="Q26146" s="11"/>
      <c r="R26146" s="11"/>
      <c r="S26146" s="11"/>
      <c r="T26146" s="11"/>
    </row>
    <row r="26147" spans="8:20" x14ac:dyDescent="0.35">
      <c r="H26147" s="711"/>
      <c r="I26147" s="711"/>
      <c r="J26147" s="711"/>
      <c r="K26147" s="711"/>
      <c r="L26147" s="711"/>
      <c r="Q26147" s="11"/>
      <c r="R26147" s="11"/>
      <c r="S26147" s="11"/>
      <c r="T26147" s="11"/>
    </row>
    <row r="26148" spans="8:20" x14ac:dyDescent="0.35">
      <c r="H26148" s="711"/>
      <c r="I26148" s="711"/>
      <c r="J26148" s="711"/>
      <c r="K26148" s="711"/>
      <c r="L26148" s="711"/>
      <c r="Q26148" s="11"/>
      <c r="R26148" s="11"/>
      <c r="S26148" s="11"/>
      <c r="T26148" s="11"/>
    </row>
    <row r="26149" spans="8:20" x14ac:dyDescent="0.35">
      <c r="H26149" s="711"/>
      <c r="I26149" s="711"/>
      <c r="J26149" s="711"/>
      <c r="K26149" s="711"/>
      <c r="L26149" s="711"/>
      <c r="Q26149" s="11"/>
      <c r="R26149" s="11"/>
      <c r="S26149" s="11"/>
      <c r="T26149" s="11"/>
    </row>
    <row r="26150" spans="8:20" x14ac:dyDescent="0.35">
      <c r="H26150" s="711"/>
      <c r="I26150" s="711"/>
      <c r="J26150" s="711"/>
      <c r="K26150" s="711"/>
      <c r="L26150" s="711"/>
      <c r="Q26150" s="11"/>
      <c r="R26150" s="11"/>
      <c r="S26150" s="11"/>
      <c r="T26150" s="11"/>
    </row>
    <row r="26151" spans="8:20" x14ac:dyDescent="0.35">
      <c r="H26151" s="711"/>
      <c r="I26151" s="711"/>
      <c r="J26151" s="711"/>
      <c r="K26151" s="711"/>
      <c r="L26151" s="711"/>
      <c r="Q26151" s="11"/>
      <c r="R26151" s="11"/>
      <c r="S26151" s="11"/>
      <c r="T26151" s="11"/>
    </row>
    <row r="26152" spans="8:20" x14ac:dyDescent="0.35">
      <c r="H26152" s="711"/>
      <c r="I26152" s="711"/>
      <c r="J26152" s="711"/>
      <c r="K26152" s="711"/>
      <c r="L26152" s="711"/>
      <c r="Q26152" s="11"/>
      <c r="R26152" s="11"/>
      <c r="S26152" s="11"/>
      <c r="T26152" s="11"/>
    </row>
    <row r="26153" spans="8:20" x14ac:dyDescent="0.35">
      <c r="H26153" s="711"/>
      <c r="I26153" s="711"/>
      <c r="J26153" s="711"/>
      <c r="K26153" s="711"/>
      <c r="L26153" s="711"/>
      <c r="Q26153" s="11"/>
      <c r="R26153" s="11"/>
      <c r="S26153" s="11"/>
      <c r="T26153" s="11"/>
    </row>
    <row r="26154" spans="8:20" x14ac:dyDescent="0.35">
      <c r="H26154" s="711"/>
      <c r="I26154" s="711"/>
      <c r="J26154" s="711"/>
      <c r="K26154" s="711"/>
      <c r="L26154" s="711"/>
      <c r="Q26154" s="11"/>
      <c r="R26154" s="11"/>
      <c r="S26154" s="11"/>
      <c r="T26154" s="11"/>
    </row>
    <row r="26155" spans="8:20" x14ac:dyDescent="0.35">
      <c r="H26155" s="711"/>
      <c r="I26155" s="711"/>
      <c r="J26155" s="711"/>
      <c r="K26155" s="711"/>
      <c r="L26155" s="711"/>
      <c r="Q26155" s="11"/>
      <c r="R26155" s="11"/>
      <c r="S26155" s="11"/>
      <c r="T26155" s="11"/>
    </row>
    <row r="26156" spans="8:20" x14ac:dyDescent="0.35">
      <c r="H26156" s="711"/>
      <c r="I26156" s="711"/>
      <c r="J26156" s="711"/>
      <c r="K26156" s="711"/>
      <c r="L26156" s="711"/>
      <c r="Q26156" s="11"/>
      <c r="R26156" s="11"/>
      <c r="S26156" s="11"/>
      <c r="T26156" s="11"/>
    </row>
    <row r="26157" spans="8:20" x14ac:dyDescent="0.35">
      <c r="H26157" s="711"/>
      <c r="I26157" s="711"/>
      <c r="J26157" s="711"/>
      <c r="K26157" s="711"/>
      <c r="L26157" s="711"/>
      <c r="Q26157" s="11"/>
      <c r="R26157" s="11"/>
      <c r="S26157" s="11"/>
      <c r="T26157" s="11"/>
    </row>
    <row r="26158" spans="8:20" x14ac:dyDescent="0.35">
      <c r="H26158" s="711"/>
      <c r="I26158" s="711"/>
      <c r="J26158" s="711"/>
      <c r="K26158" s="711"/>
      <c r="L26158" s="711"/>
      <c r="Q26158" s="11"/>
      <c r="R26158" s="11"/>
      <c r="S26158" s="11"/>
      <c r="T26158" s="11"/>
    </row>
    <row r="26159" spans="8:20" x14ac:dyDescent="0.35">
      <c r="H26159" s="711"/>
      <c r="I26159" s="711"/>
      <c r="J26159" s="711"/>
      <c r="K26159" s="711"/>
      <c r="L26159" s="711"/>
      <c r="Q26159" s="11"/>
      <c r="R26159" s="11"/>
      <c r="S26159" s="11"/>
      <c r="T26159" s="11"/>
    </row>
    <row r="26160" spans="8:20" x14ac:dyDescent="0.35">
      <c r="H26160" s="711"/>
      <c r="I26160" s="711"/>
      <c r="J26160" s="711"/>
      <c r="K26160" s="711"/>
      <c r="L26160" s="711"/>
      <c r="Q26160" s="11"/>
      <c r="R26160" s="11"/>
      <c r="S26160" s="11"/>
      <c r="T26160" s="11"/>
    </row>
    <row r="26161" spans="8:20" x14ac:dyDescent="0.35">
      <c r="H26161" s="711"/>
      <c r="I26161" s="711"/>
      <c r="J26161" s="711"/>
      <c r="K26161" s="711"/>
      <c r="L26161" s="711"/>
      <c r="Q26161" s="11"/>
      <c r="R26161" s="11"/>
      <c r="S26161" s="11"/>
      <c r="T26161" s="11"/>
    </row>
    <row r="26162" spans="8:20" x14ac:dyDescent="0.35">
      <c r="H26162" s="711"/>
      <c r="I26162" s="711"/>
      <c r="J26162" s="711"/>
      <c r="K26162" s="711"/>
      <c r="L26162" s="711"/>
      <c r="Q26162" s="11"/>
      <c r="R26162" s="11"/>
      <c r="S26162" s="11"/>
      <c r="T26162" s="11"/>
    </row>
    <row r="26163" spans="8:20" x14ac:dyDescent="0.35">
      <c r="H26163" s="711"/>
      <c r="I26163" s="711"/>
      <c r="J26163" s="711"/>
      <c r="K26163" s="711"/>
      <c r="L26163" s="711"/>
      <c r="Q26163" s="11"/>
      <c r="R26163" s="11"/>
      <c r="S26163" s="11"/>
      <c r="T26163" s="11"/>
    </row>
    <row r="26164" spans="8:20" x14ac:dyDescent="0.35">
      <c r="H26164" s="711"/>
      <c r="I26164" s="711"/>
      <c r="J26164" s="711"/>
      <c r="K26164" s="711"/>
      <c r="L26164" s="711"/>
      <c r="Q26164" s="11"/>
      <c r="R26164" s="11"/>
      <c r="S26164" s="11"/>
      <c r="T26164" s="11"/>
    </row>
    <row r="26165" spans="8:20" x14ac:dyDescent="0.35">
      <c r="H26165" s="711"/>
      <c r="I26165" s="711"/>
      <c r="J26165" s="711"/>
      <c r="K26165" s="711"/>
      <c r="L26165" s="711"/>
      <c r="Q26165" s="11"/>
      <c r="R26165" s="11"/>
      <c r="S26165" s="11"/>
      <c r="T26165" s="11"/>
    </row>
    <row r="26166" spans="8:20" x14ac:dyDescent="0.35">
      <c r="H26166" s="711"/>
      <c r="I26166" s="711"/>
      <c r="J26166" s="711"/>
      <c r="K26166" s="711"/>
      <c r="L26166" s="711"/>
      <c r="Q26166" s="11"/>
      <c r="R26166" s="11"/>
      <c r="S26166" s="11"/>
      <c r="T26166" s="11"/>
    </row>
    <row r="26167" spans="8:20" x14ac:dyDescent="0.35">
      <c r="H26167" s="711"/>
      <c r="I26167" s="711"/>
      <c r="J26167" s="711"/>
      <c r="K26167" s="711"/>
      <c r="L26167" s="711"/>
      <c r="Q26167" s="11"/>
      <c r="R26167" s="11"/>
      <c r="S26167" s="11"/>
      <c r="T26167" s="11"/>
    </row>
    <row r="26168" spans="8:20" x14ac:dyDescent="0.35">
      <c r="H26168" s="711"/>
      <c r="I26168" s="711"/>
      <c r="J26168" s="711"/>
      <c r="K26168" s="711"/>
      <c r="L26168" s="711"/>
      <c r="Q26168" s="11"/>
      <c r="R26168" s="11"/>
      <c r="S26168" s="11"/>
      <c r="T26168" s="11"/>
    </row>
    <row r="26169" spans="8:20" x14ac:dyDescent="0.35">
      <c r="H26169" s="711"/>
      <c r="I26169" s="711"/>
      <c r="J26169" s="711"/>
      <c r="K26169" s="711"/>
      <c r="L26169" s="711"/>
      <c r="Q26169" s="11"/>
      <c r="R26169" s="11"/>
      <c r="S26169" s="11"/>
      <c r="T26169" s="11"/>
    </row>
    <row r="26170" spans="8:20" x14ac:dyDescent="0.35">
      <c r="H26170" s="711"/>
      <c r="I26170" s="711"/>
      <c r="J26170" s="711"/>
      <c r="K26170" s="711"/>
      <c r="L26170" s="711"/>
      <c r="Q26170" s="11"/>
      <c r="R26170" s="11"/>
      <c r="S26170" s="11"/>
      <c r="T26170" s="11"/>
    </row>
    <row r="26171" spans="8:20" x14ac:dyDescent="0.35">
      <c r="H26171" s="711"/>
      <c r="I26171" s="711"/>
      <c r="J26171" s="711"/>
      <c r="K26171" s="711"/>
      <c r="L26171" s="711"/>
      <c r="Q26171" s="11"/>
      <c r="R26171" s="11"/>
      <c r="S26171" s="11"/>
      <c r="T26171" s="11"/>
    </row>
    <row r="26172" spans="8:20" x14ac:dyDescent="0.35">
      <c r="H26172" s="711"/>
      <c r="I26172" s="711"/>
      <c r="J26172" s="711"/>
      <c r="K26172" s="711"/>
      <c r="L26172" s="711"/>
      <c r="Q26172" s="11"/>
      <c r="R26172" s="11"/>
      <c r="S26172" s="11"/>
      <c r="T26172" s="11"/>
    </row>
    <row r="26173" spans="8:20" x14ac:dyDescent="0.35">
      <c r="H26173" s="711"/>
      <c r="I26173" s="711"/>
      <c r="J26173" s="711"/>
      <c r="K26173" s="711"/>
      <c r="L26173" s="711"/>
      <c r="Q26173" s="11"/>
      <c r="R26173" s="11"/>
      <c r="S26173" s="11"/>
      <c r="T26173" s="11"/>
    </row>
    <row r="26174" spans="8:20" x14ac:dyDescent="0.35">
      <c r="H26174" s="711"/>
      <c r="I26174" s="711"/>
      <c r="J26174" s="711"/>
      <c r="K26174" s="711"/>
      <c r="L26174" s="711"/>
      <c r="Q26174" s="11"/>
      <c r="R26174" s="11"/>
      <c r="S26174" s="11"/>
      <c r="T26174" s="11"/>
    </row>
    <row r="26175" spans="8:20" x14ac:dyDescent="0.35">
      <c r="H26175" s="711"/>
      <c r="I26175" s="711"/>
      <c r="J26175" s="711"/>
      <c r="K26175" s="711"/>
      <c r="L26175" s="711"/>
      <c r="Q26175" s="11"/>
      <c r="R26175" s="11"/>
      <c r="S26175" s="11"/>
      <c r="T26175" s="11"/>
    </row>
    <row r="26176" spans="8:20" x14ac:dyDescent="0.35">
      <c r="H26176" s="711"/>
      <c r="I26176" s="711"/>
      <c r="J26176" s="711"/>
      <c r="K26176" s="711"/>
      <c r="L26176" s="711"/>
      <c r="Q26176" s="11"/>
      <c r="R26176" s="11"/>
      <c r="S26176" s="11"/>
      <c r="T26176" s="11"/>
    </row>
    <row r="26177" spans="8:20" x14ac:dyDescent="0.35">
      <c r="H26177" s="711"/>
      <c r="I26177" s="711"/>
      <c r="J26177" s="711"/>
      <c r="K26177" s="711"/>
      <c r="L26177" s="711"/>
      <c r="Q26177" s="11"/>
      <c r="R26177" s="11"/>
      <c r="S26177" s="11"/>
      <c r="T26177" s="11"/>
    </row>
    <row r="26178" spans="8:20" x14ac:dyDescent="0.35">
      <c r="H26178" s="711"/>
      <c r="I26178" s="711"/>
      <c r="J26178" s="711"/>
      <c r="K26178" s="711"/>
      <c r="L26178" s="711"/>
      <c r="Q26178" s="11"/>
      <c r="R26178" s="11"/>
      <c r="S26178" s="11"/>
      <c r="T26178" s="11"/>
    </row>
    <row r="26179" spans="8:20" x14ac:dyDescent="0.35">
      <c r="H26179" s="711"/>
      <c r="I26179" s="711"/>
      <c r="J26179" s="711"/>
      <c r="K26179" s="711"/>
      <c r="L26179" s="711"/>
      <c r="Q26179" s="11"/>
      <c r="R26179" s="11"/>
      <c r="S26179" s="11"/>
      <c r="T26179" s="11"/>
    </row>
    <row r="26180" spans="8:20" x14ac:dyDescent="0.35">
      <c r="H26180" s="711"/>
      <c r="I26180" s="711"/>
      <c r="J26180" s="711"/>
      <c r="K26180" s="711"/>
      <c r="L26180" s="711"/>
      <c r="Q26180" s="11"/>
      <c r="R26180" s="11"/>
      <c r="S26180" s="11"/>
      <c r="T26180" s="11"/>
    </row>
    <row r="26181" spans="8:20" x14ac:dyDescent="0.35">
      <c r="H26181" s="711"/>
      <c r="I26181" s="711"/>
      <c r="J26181" s="711"/>
      <c r="K26181" s="711"/>
      <c r="L26181" s="711"/>
      <c r="Q26181" s="11"/>
      <c r="R26181" s="11"/>
      <c r="S26181" s="11"/>
      <c r="T26181" s="11"/>
    </row>
    <row r="26182" spans="8:20" x14ac:dyDescent="0.35">
      <c r="H26182" s="711"/>
      <c r="I26182" s="711"/>
      <c r="J26182" s="711"/>
      <c r="K26182" s="711"/>
      <c r="L26182" s="711"/>
      <c r="Q26182" s="11"/>
      <c r="R26182" s="11"/>
      <c r="S26182" s="11"/>
      <c r="T26182" s="11"/>
    </row>
    <row r="26183" spans="8:20" x14ac:dyDescent="0.35">
      <c r="H26183" s="711"/>
      <c r="I26183" s="711"/>
      <c r="J26183" s="711"/>
      <c r="K26183" s="711"/>
      <c r="L26183" s="711"/>
      <c r="Q26183" s="11"/>
      <c r="R26183" s="11"/>
      <c r="S26183" s="11"/>
      <c r="T26183" s="11"/>
    </row>
    <row r="26184" spans="8:20" x14ac:dyDescent="0.35">
      <c r="H26184" s="711"/>
      <c r="I26184" s="711"/>
      <c r="J26184" s="711"/>
      <c r="K26184" s="711"/>
      <c r="L26184" s="711"/>
      <c r="Q26184" s="11"/>
      <c r="R26184" s="11"/>
      <c r="S26184" s="11"/>
      <c r="T26184" s="11"/>
    </row>
    <row r="26185" spans="8:20" x14ac:dyDescent="0.35">
      <c r="H26185" s="711"/>
      <c r="I26185" s="711"/>
      <c r="J26185" s="711"/>
      <c r="K26185" s="711"/>
      <c r="L26185" s="711"/>
      <c r="Q26185" s="11"/>
      <c r="R26185" s="11"/>
      <c r="S26185" s="11"/>
      <c r="T26185" s="11"/>
    </row>
    <row r="26186" spans="8:20" x14ac:dyDescent="0.35">
      <c r="H26186" s="711"/>
      <c r="I26186" s="711"/>
      <c r="J26186" s="711"/>
      <c r="K26186" s="711"/>
      <c r="L26186" s="711"/>
      <c r="Q26186" s="11"/>
      <c r="R26186" s="11"/>
      <c r="S26186" s="11"/>
      <c r="T26186" s="11"/>
    </row>
    <row r="26187" spans="8:20" x14ac:dyDescent="0.35">
      <c r="H26187" s="711"/>
      <c r="I26187" s="711"/>
      <c r="J26187" s="711"/>
      <c r="K26187" s="711"/>
      <c r="L26187" s="711"/>
      <c r="Q26187" s="11"/>
      <c r="R26187" s="11"/>
      <c r="S26187" s="11"/>
      <c r="T26187" s="11"/>
    </row>
    <row r="26188" spans="8:20" x14ac:dyDescent="0.35">
      <c r="H26188" s="711"/>
      <c r="I26188" s="711"/>
      <c r="J26188" s="711"/>
      <c r="K26188" s="711"/>
      <c r="L26188" s="711"/>
      <c r="Q26188" s="11"/>
      <c r="R26188" s="11"/>
      <c r="S26188" s="11"/>
      <c r="T26188" s="11"/>
    </row>
    <row r="26189" spans="8:20" x14ac:dyDescent="0.35">
      <c r="H26189" s="711"/>
      <c r="I26189" s="711"/>
      <c r="J26189" s="711"/>
      <c r="K26189" s="711"/>
      <c r="L26189" s="711"/>
      <c r="Q26189" s="11"/>
      <c r="R26189" s="11"/>
      <c r="S26189" s="11"/>
      <c r="T26189" s="11"/>
    </row>
    <row r="26190" spans="8:20" x14ac:dyDescent="0.35">
      <c r="H26190" s="711"/>
      <c r="I26190" s="711"/>
      <c r="J26190" s="711"/>
      <c r="K26190" s="711"/>
      <c r="L26190" s="711"/>
      <c r="Q26190" s="11"/>
      <c r="R26190" s="11"/>
      <c r="S26190" s="11"/>
      <c r="T26190" s="11"/>
    </row>
    <row r="26191" spans="8:20" x14ac:dyDescent="0.35">
      <c r="H26191" s="711"/>
      <c r="I26191" s="711"/>
      <c r="J26191" s="711"/>
      <c r="K26191" s="711"/>
      <c r="L26191" s="711"/>
      <c r="Q26191" s="11"/>
      <c r="R26191" s="11"/>
      <c r="S26191" s="11"/>
      <c r="T26191" s="11"/>
    </row>
    <row r="26192" spans="8:20" x14ac:dyDescent="0.35">
      <c r="H26192" s="711"/>
      <c r="I26192" s="711"/>
      <c r="J26192" s="711"/>
      <c r="K26192" s="711"/>
      <c r="L26192" s="711"/>
      <c r="Q26192" s="11"/>
      <c r="R26192" s="11"/>
      <c r="S26192" s="11"/>
      <c r="T26192" s="11"/>
    </row>
    <row r="26193" spans="8:20" x14ac:dyDescent="0.35">
      <c r="H26193" s="711"/>
      <c r="I26193" s="711"/>
      <c r="J26193" s="711"/>
      <c r="K26193" s="711"/>
      <c r="L26193" s="711"/>
      <c r="Q26193" s="11"/>
      <c r="R26193" s="11"/>
      <c r="S26193" s="11"/>
      <c r="T26193" s="11"/>
    </row>
    <row r="26194" spans="8:20" x14ac:dyDescent="0.35">
      <c r="H26194" s="711"/>
      <c r="I26194" s="711"/>
      <c r="J26194" s="711"/>
      <c r="K26194" s="711"/>
      <c r="L26194" s="711"/>
      <c r="Q26194" s="11"/>
      <c r="R26194" s="11"/>
      <c r="S26194" s="11"/>
      <c r="T26194" s="11"/>
    </row>
    <row r="26195" spans="8:20" x14ac:dyDescent="0.35">
      <c r="H26195" s="711"/>
      <c r="I26195" s="711"/>
      <c r="J26195" s="711"/>
      <c r="K26195" s="711"/>
      <c r="L26195" s="711"/>
      <c r="Q26195" s="11"/>
      <c r="R26195" s="11"/>
      <c r="S26195" s="11"/>
      <c r="T26195" s="11"/>
    </row>
    <row r="26196" spans="8:20" x14ac:dyDescent="0.35">
      <c r="H26196" s="711"/>
      <c r="I26196" s="711"/>
      <c r="J26196" s="711"/>
      <c r="K26196" s="711"/>
      <c r="L26196" s="711"/>
      <c r="Q26196" s="11"/>
      <c r="R26196" s="11"/>
      <c r="S26196" s="11"/>
      <c r="T26196" s="11"/>
    </row>
    <row r="26197" spans="8:20" x14ac:dyDescent="0.35">
      <c r="H26197" s="711"/>
      <c r="I26197" s="711"/>
      <c r="J26197" s="711"/>
      <c r="K26197" s="711"/>
      <c r="L26197" s="711"/>
      <c r="Q26197" s="11"/>
      <c r="R26197" s="11"/>
      <c r="S26197" s="11"/>
      <c r="T26197" s="11"/>
    </row>
    <row r="26198" spans="8:20" x14ac:dyDescent="0.35">
      <c r="H26198" s="711"/>
      <c r="I26198" s="711"/>
      <c r="J26198" s="711"/>
      <c r="K26198" s="711"/>
      <c r="L26198" s="711"/>
      <c r="Q26198" s="11"/>
      <c r="R26198" s="11"/>
      <c r="S26198" s="11"/>
      <c r="T26198" s="11"/>
    </row>
    <row r="26199" spans="8:20" x14ac:dyDescent="0.35">
      <c r="H26199" s="711"/>
      <c r="I26199" s="711"/>
      <c r="J26199" s="711"/>
      <c r="K26199" s="711"/>
      <c r="L26199" s="711"/>
      <c r="Q26199" s="11"/>
      <c r="R26199" s="11"/>
      <c r="S26199" s="11"/>
      <c r="T26199" s="11"/>
    </row>
    <row r="26200" spans="8:20" x14ac:dyDescent="0.35">
      <c r="H26200" s="711"/>
      <c r="I26200" s="711"/>
      <c r="J26200" s="711"/>
      <c r="K26200" s="711"/>
      <c r="L26200" s="711"/>
      <c r="Q26200" s="11"/>
      <c r="R26200" s="11"/>
      <c r="S26200" s="11"/>
      <c r="T26200" s="11"/>
    </row>
    <row r="26201" spans="8:20" x14ac:dyDescent="0.35">
      <c r="H26201" s="711"/>
      <c r="I26201" s="711"/>
      <c r="J26201" s="711"/>
      <c r="K26201" s="711"/>
      <c r="L26201" s="711"/>
      <c r="Q26201" s="11"/>
      <c r="R26201" s="11"/>
      <c r="S26201" s="11"/>
      <c r="T26201" s="11"/>
    </row>
    <row r="26202" spans="8:20" x14ac:dyDescent="0.35">
      <c r="H26202" s="711"/>
      <c r="I26202" s="711"/>
      <c r="J26202" s="711"/>
      <c r="K26202" s="711"/>
      <c r="L26202" s="711"/>
      <c r="Q26202" s="11"/>
      <c r="R26202" s="11"/>
      <c r="S26202" s="11"/>
      <c r="T26202" s="11"/>
    </row>
    <row r="26203" spans="8:20" x14ac:dyDescent="0.35">
      <c r="H26203" s="711"/>
      <c r="I26203" s="711"/>
      <c r="J26203" s="711"/>
      <c r="K26203" s="711"/>
      <c r="L26203" s="711"/>
      <c r="Q26203" s="11"/>
      <c r="R26203" s="11"/>
      <c r="S26203" s="11"/>
      <c r="T26203" s="11"/>
    </row>
    <row r="26204" spans="8:20" x14ac:dyDescent="0.35">
      <c r="H26204" s="711"/>
      <c r="I26204" s="711"/>
      <c r="J26204" s="711"/>
      <c r="K26204" s="711"/>
      <c r="L26204" s="711"/>
      <c r="Q26204" s="11"/>
      <c r="R26204" s="11"/>
      <c r="S26204" s="11"/>
      <c r="T26204" s="11"/>
    </row>
    <row r="26205" spans="8:20" x14ac:dyDescent="0.35">
      <c r="H26205" s="711"/>
      <c r="I26205" s="711"/>
      <c r="J26205" s="711"/>
      <c r="K26205" s="711"/>
      <c r="L26205" s="711"/>
      <c r="Q26205" s="11"/>
      <c r="R26205" s="11"/>
      <c r="S26205" s="11"/>
      <c r="T26205" s="11"/>
    </row>
    <row r="26206" spans="8:20" x14ac:dyDescent="0.35">
      <c r="H26206" s="711"/>
      <c r="I26206" s="711"/>
      <c r="J26206" s="711"/>
      <c r="K26206" s="711"/>
      <c r="L26206" s="711"/>
      <c r="Q26206" s="11"/>
      <c r="R26206" s="11"/>
      <c r="S26206" s="11"/>
      <c r="T26206" s="11"/>
    </row>
    <row r="26207" spans="8:20" x14ac:dyDescent="0.35">
      <c r="H26207" s="711"/>
      <c r="I26207" s="711"/>
      <c r="J26207" s="711"/>
      <c r="K26207" s="711"/>
      <c r="L26207" s="711"/>
      <c r="Q26207" s="11"/>
      <c r="R26207" s="11"/>
      <c r="S26207" s="11"/>
      <c r="T26207" s="11"/>
    </row>
    <row r="26208" spans="8:20" x14ac:dyDescent="0.35">
      <c r="H26208" s="711"/>
      <c r="I26208" s="711"/>
      <c r="J26208" s="711"/>
      <c r="K26208" s="711"/>
      <c r="L26208" s="711"/>
      <c r="Q26208" s="11"/>
      <c r="R26208" s="11"/>
      <c r="S26208" s="11"/>
      <c r="T26208" s="11"/>
    </row>
    <row r="26209" spans="8:20" x14ac:dyDescent="0.35">
      <c r="H26209" s="711"/>
      <c r="I26209" s="711"/>
      <c r="J26209" s="711"/>
      <c r="K26209" s="711"/>
      <c r="L26209" s="711"/>
      <c r="Q26209" s="11"/>
      <c r="R26209" s="11"/>
      <c r="S26209" s="11"/>
      <c r="T26209" s="11"/>
    </row>
    <row r="26210" spans="8:20" x14ac:dyDescent="0.35">
      <c r="H26210" s="711"/>
      <c r="I26210" s="711"/>
      <c r="J26210" s="711"/>
      <c r="K26210" s="711"/>
      <c r="L26210" s="711"/>
      <c r="Q26210" s="11"/>
      <c r="R26210" s="11"/>
      <c r="S26210" s="11"/>
      <c r="T26210" s="11"/>
    </row>
    <row r="26211" spans="8:20" x14ac:dyDescent="0.35">
      <c r="H26211" s="711"/>
      <c r="I26211" s="711"/>
      <c r="J26211" s="711"/>
      <c r="K26211" s="711"/>
      <c r="L26211" s="711"/>
      <c r="Q26211" s="11"/>
      <c r="R26211" s="11"/>
      <c r="S26211" s="11"/>
      <c r="T26211" s="11"/>
    </row>
    <row r="26212" spans="8:20" x14ac:dyDescent="0.35">
      <c r="H26212" s="711"/>
      <c r="I26212" s="711"/>
      <c r="J26212" s="711"/>
      <c r="K26212" s="711"/>
      <c r="L26212" s="711"/>
      <c r="Q26212" s="11"/>
      <c r="R26212" s="11"/>
      <c r="S26212" s="11"/>
      <c r="T26212" s="11"/>
    </row>
    <row r="26213" spans="8:20" x14ac:dyDescent="0.35">
      <c r="H26213" s="711"/>
      <c r="I26213" s="711"/>
      <c r="J26213" s="711"/>
      <c r="K26213" s="711"/>
      <c r="L26213" s="711"/>
      <c r="Q26213" s="11"/>
      <c r="R26213" s="11"/>
      <c r="S26213" s="11"/>
      <c r="T26213" s="11"/>
    </row>
    <row r="26214" spans="8:20" x14ac:dyDescent="0.35">
      <c r="H26214" s="711"/>
      <c r="I26214" s="711"/>
      <c r="J26214" s="711"/>
      <c r="K26214" s="711"/>
      <c r="L26214" s="711"/>
      <c r="Q26214" s="11"/>
      <c r="R26214" s="11"/>
      <c r="S26214" s="11"/>
      <c r="T26214" s="11"/>
    </row>
    <row r="26215" spans="8:20" x14ac:dyDescent="0.35">
      <c r="H26215" s="711"/>
      <c r="I26215" s="711"/>
      <c r="J26215" s="711"/>
      <c r="K26215" s="711"/>
      <c r="L26215" s="711"/>
      <c r="Q26215" s="11"/>
      <c r="R26215" s="11"/>
      <c r="S26215" s="11"/>
      <c r="T26215" s="11"/>
    </row>
    <row r="26216" spans="8:20" x14ac:dyDescent="0.35">
      <c r="H26216" s="711"/>
      <c r="I26216" s="711"/>
      <c r="J26216" s="711"/>
      <c r="K26216" s="711"/>
      <c r="L26216" s="711"/>
      <c r="Q26216" s="11"/>
      <c r="R26216" s="11"/>
      <c r="S26216" s="11"/>
      <c r="T26216" s="11"/>
    </row>
    <row r="26217" spans="8:20" x14ac:dyDescent="0.35">
      <c r="H26217" s="711"/>
      <c r="I26217" s="711"/>
      <c r="J26217" s="711"/>
      <c r="K26217" s="711"/>
      <c r="L26217" s="711"/>
      <c r="Q26217" s="11"/>
      <c r="R26217" s="11"/>
      <c r="S26217" s="11"/>
      <c r="T26217" s="11"/>
    </row>
    <row r="26218" spans="8:20" x14ac:dyDescent="0.35">
      <c r="H26218" s="711"/>
      <c r="I26218" s="711"/>
      <c r="J26218" s="711"/>
      <c r="K26218" s="711"/>
      <c r="L26218" s="711"/>
      <c r="Q26218" s="11"/>
      <c r="R26218" s="11"/>
      <c r="S26218" s="11"/>
      <c r="T26218" s="11"/>
    </row>
    <row r="26219" spans="8:20" x14ac:dyDescent="0.35">
      <c r="H26219" s="711"/>
      <c r="I26219" s="711"/>
      <c r="J26219" s="711"/>
      <c r="K26219" s="711"/>
      <c r="L26219" s="711"/>
      <c r="Q26219" s="11"/>
      <c r="R26219" s="11"/>
      <c r="S26219" s="11"/>
      <c r="T26219" s="11"/>
    </row>
    <row r="26220" spans="8:20" x14ac:dyDescent="0.35">
      <c r="H26220" s="711"/>
      <c r="I26220" s="711"/>
      <c r="J26220" s="711"/>
      <c r="K26220" s="711"/>
      <c r="L26220" s="711"/>
      <c r="Q26220" s="11"/>
      <c r="R26220" s="11"/>
      <c r="S26220" s="11"/>
      <c r="T26220" s="11"/>
    </row>
    <row r="26221" spans="8:20" x14ac:dyDescent="0.35">
      <c r="H26221" s="711"/>
      <c r="I26221" s="711"/>
      <c r="J26221" s="711"/>
      <c r="K26221" s="711"/>
      <c r="L26221" s="711"/>
      <c r="Q26221" s="11"/>
      <c r="R26221" s="11"/>
      <c r="S26221" s="11"/>
      <c r="T26221" s="11"/>
    </row>
    <row r="26222" spans="8:20" x14ac:dyDescent="0.35">
      <c r="H26222" s="711"/>
      <c r="I26222" s="711"/>
      <c r="J26222" s="711"/>
      <c r="K26222" s="711"/>
      <c r="L26222" s="711"/>
      <c r="Q26222" s="11"/>
      <c r="R26222" s="11"/>
      <c r="S26222" s="11"/>
      <c r="T26222" s="11"/>
    </row>
    <row r="26223" spans="8:20" x14ac:dyDescent="0.35">
      <c r="H26223" s="711"/>
      <c r="I26223" s="711"/>
      <c r="J26223" s="711"/>
      <c r="K26223" s="711"/>
      <c r="L26223" s="711"/>
      <c r="Q26223" s="11"/>
      <c r="R26223" s="11"/>
      <c r="S26223" s="11"/>
      <c r="T26223" s="11"/>
    </row>
    <row r="26224" spans="8:20" x14ac:dyDescent="0.35">
      <c r="H26224" s="711"/>
      <c r="I26224" s="711"/>
      <c r="J26224" s="711"/>
      <c r="K26224" s="711"/>
      <c r="L26224" s="711"/>
      <c r="Q26224" s="11"/>
      <c r="R26224" s="11"/>
      <c r="S26224" s="11"/>
      <c r="T26224" s="11"/>
    </row>
    <row r="26225" spans="8:20" x14ac:dyDescent="0.35">
      <c r="H26225" s="711"/>
      <c r="I26225" s="711"/>
      <c r="J26225" s="711"/>
      <c r="K26225" s="711"/>
      <c r="L26225" s="711"/>
      <c r="Q26225" s="11"/>
      <c r="R26225" s="11"/>
      <c r="S26225" s="11"/>
      <c r="T26225" s="11"/>
    </row>
    <row r="26226" spans="8:20" x14ac:dyDescent="0.35">
      <c r="H26226" s="711"/>
      <c r="I26226" s="711"/>
      <c r="J26226" s="711"/>
      <c r="K26226" s="711"/>
      <c r="L26226" s="711"/>
      <c r="Q26226" s="11"/>
      <c r="R26226" s="11"/>
      <c r="S26226" s="11"/>
      <c r="T26226" s="11"/>
    </row>
    <row r="26227" spans="8:20" x14ac:dyDescent="0.35">
      <c r="H26227" s="711"/>
      <c r="I26227" s="711"/>
      <c r="J26227" s="711"/>
      <c r="K26227" s="711"/>
      <c r="L26227" s="711"/>
      <c r="Q26227" s="11"/>
      <c r="R26227" s="11"/>
      <c r="S26227" s="11"/>
      <c r="T26227" s="11"/>
    </row>
    <row r="26228" spans="8:20" x14ac:dyDescent="0.35">
      <c r="H26228" s="711"/>
      <c r="I26228" s="711"/>
      <c r="J26228" s="711"/>
      <c r="K26228" s="711"/>
      <c r="L26228" s="711"/>
      <c r="Q26228" s="11"/>
      <c r="R26228" s="11"/>
      <c r="S26228" s="11"/>
      <c r="T26228" s="11"/>
    </row>
    <row r="26229" spans="8:20" x14ac:dyDescent="0.35">
      <c r="H26229" s="711"/>
      <c r="I26229" s="711"/>
      <c r="J26229" s="711"/>
      <c r="K26229" s="711"/>
      <c r="L26229" s="711"/>
      <c r="Q26229" s="11"/>
      <c r="R26229" s="11"/>
      <c r="S26229" s="11"/>
      <c r="T26229" s="11"/>
    </row>
    <row r="26230" spans="8:20" x14ac:dyDescent="0.35">
      <c r="H26230" s="711"/>
      <c r="I26230" s="711"/>
      <c r="J26230" s="711"/>
      <c r="K26230" s="711"/>
      <c r="L26230" s="711"/>
      <c r="Q26230" s="11"/>
      <c r="R26230" s="11"/>
      <c r="S26230" s="11"/>
      <c r="T26230" s="11"/>
    </row>
    <row r="26231" spans="8:20" x14ac:dyDescent="0.35">
      <c r="H26231" s="711"/>
      <c r="I26231" s="711"/>
      <c r="J26231" s="711"/>
      <c r="K26231" s="711"/>
      <c r="L26231" s="711"/>
      <c r="Q26231" s="11"/>
      <c r="R26231" s="11"/>
      <c r="S26231" s="11"/>
      <c r="T26231" s="11"/>
    </row>
    <row r="26232" spans="8:20" x14ac:dyDescent="0.35">
      <c r="H26232" s="711"/>
      <c r="I26232" s="711"/>
      <c r="J26232" s="711"/>
      <c r="K26232" s="711"/>
      <c r="L26232" s="711"/>
      <c r="Q26232" s="11"/>
      <c r="R26232" s="11"/>
      <c r="S26232" s="11"/>
      <c r="T26232" s="11"/>
    </row>
    <row r="26233" spans="8:20" x14ac:dyDescent="0.35">
      <c r="H26233" s="711"/>
      <c r="I26233" s="711"/>
      <c r="J26233" s="711"/>
      <c r="K26233" s="711"/>
      <c r="L26233" s="711"/>
      <c r="Q26233" s="11"/>
      <c r="R26233" s="11"/>
      <c r="S26233" s="11"/>
      <c r="T26233" s="11"/>
    </row>
    <row r="26234" spans="8:20" x14ac:dyDescent="0.35">
      <c r="H26234" s="711"/>
      <c r="I26234" s="711"/>
      <c r="J26234" s="711"/>
      <c r="K26234" s="711"/>
      <c r="L26234" s="711"/>
      <c r="Q26234" s="11"/>
      <c r="R26234" s="11"/>
      <c r="S26234" s="11"/>
      <c r="T26234" s="11"/>
    </row>
    <row r="26235" spans="8:20" x14ac:dyDescent="0.35">
      <c r="H26235" s="711"/>
      <c r="I26235" s="711"/>
      <c r="J26235" s="711"/>
      <c r="K26235" s="711"/>
      <c r="L26235" s="711"/>
      <c r="Q26235" s="11"/>
      <c r="R26235" s="11"/>
      <c r="S26235" s="11"/>
      <c r="T26235" s="11"/>
    </row>
    <row r="26236" spans="8:20" x14ac:dyDescent="0.35">
      <c r="H26236" s="711"/>
      <c r="I26236" s="711"/>
      <c r="J26236" s="711"/>
      <c r="K26236" s="711"/>
      <c r="L26236" s="711"/>
      <c r="Q26236" s="11"/>
      <c r="R26236" s="11"/>
      <c r="S26236" s="11"/>
      <c r="T26236" s="11"/>
    </row>
    <row r="26237" spans="8:20" x14ac:dyDescent="0.35">
      <c r="H26237" s="711"/>
      <c r="I26237" s="711"/>
      <c r="J26237" s="711"/>
      <c r="K26237" s="711"/>
      <c r="L26237" s="711"/>
      <c r="Q26237" s="11"/>
      <c r="R26237" s="11"/>
      <c r="S26237" s="11"/>
      <c r="T26237" s="11"/>
    </row>
    <row r="26238" spans="8:20" x14ac:dyDescent="0.35">
      <c r="H26238" s="711"/>
      <c r="I26238" s="711"/>
      <c r="J26238" s="711"/>
      <c r="K26238" s="711"/>
      <c r="L26238" s="711"/>
      <c r="Q26238" s="11"/>
      <c r="R26238" s="11"/>
      <c r="S26238" s="11"/>
      <c r="T26238" s="11"/>
    </row>
    <row r="26239" spans="8:20" x14ac:dyDescent="0.35">
      <c r="H26239" s="711"/>
      <c r="I26239" s="711"/>
      <c r="J26239" s="711"/>
      <c r="K26239" s="711"/>
      <c r="L26239" s="711"/>
      <c r="Q26239" s="11"/>
      <c r="R26239" s="11"/>
      <c r="S26239" s="11"/>
      <c r="T26239" s="11"/>
    </row>
    <row r="26240" spans="8:20" x14ac:dyDescent="0.35">
      <c r="H26240" s="711"/>
      <c r="I26240" s="711"/>
      <c r="J26240" s="711"/>
      <c r="K26240" s="711"/>
      <c r="L26240" s="711"/>
      <c r="Q26240" s="11"/>
      <c r="R26240" s="11"/>
      <c r="S26240" s="11"/>
      <c r="T26240" s="11"/>
    </row>
    <row r="26241" spans="8:20" x14ac:dyDescent="0.35">
      <c r="H26241" s="711"/>
      <c r="I26241" s="711"/>
      <c r="J26241" s="711"/>
      <c r="K26241" s="711"/>
      <c r="L26241" s="711"/>
      <c r="Q26241" s="11"/>
      <c r="R26241" s="11"/>
      <c r="S26241" s="11"/>
      <c r="T26241" s="11"/>
    </row>
    <row r="26242" spans="8:20" x14ac:dyDescent="0.35">
      <c r="H26242" s="711"/>
      <c r="I26242" s="711"/>
      <c r="J26242" s="711"/>
      <c r="K26242" s="711"/>
      <c r="L26242" s="711"/>
      <c r="Q26242" s="11"/>
      <c r="R26242" s="11"/>
      <c r="S26242" s="11"/>
      <c r="T26242" s="11"/>
    </row>
    <row r="26243" spans="8:20" x14ac:dyDescent="0.35">
      <c r="H26243" s="711"/>
      <c r="I26243" s="711"/>
      <c r="J26243" s="711"/>
      <c r="K26243" s="711"/>
      <c r="L26243" s="711"/>
      <c r="Q26243" s="11"/>
      <c r="R26243" s="11"/>
      <c r="S26243" s="11"/>
      <c r="T26243" s="11"/>
    </row>
    <row r="26244" spans="8:20" x14ac:dyDescent="0.35">
      <c r="H26244" s="711"/>
      <c r="I26244" s="711"/>
      <c r="J26244" s="711"/>
      <c r="K26244" s="711"/>
      <c r="L26244" s="711"/>
      <c r="Q26244" s="11"/>
      <c r="R26244" s="11"/>
      <c r="S26244" s="11"/>
      <c r="T26244" s="11"/>
    </row>
    <row r="26245" spans="8:20" x14ac:dyDescent="0.35">
      <c r="H26245" s="711"/>
      <c r="I26245" s="711"/>
      <c r="J26245" s="711"/>
      <c r="K26245" s="711"/>
      <c r="L26245" s="711"/>
      <c r="Q26245" s="11"/>
      <c r="R26245" s="11"/>
      <c r="S26245" s="11"/>
      <c r="T26245" s="11"/>
    </row>
    <row r="26246" spans="8:20" x14ac:dyDescent="0.35">
      <c r="H26246" s="711"/>
      <c r="I26246" s="711"/>
      <c r="J26246" s="711"/>
      <c r="K26246" s="711"/>
      <c r="L26246" s="711"/>
      <c r="Q26246" s="11"/>
      <c r="R26246" s="11"/>
      <c r="S26246" s="11"/>
      <c r="T26246" s="11"/>
    </row>
    <row r="26247" spans="8:20" x14ac:dyDescent="0.35">
      <c r="H26247" s="711"/>
      <c r="I26247" s="711"/>
      <c r="J26247" s="711"/>
      <c r="K26247" s="711"/>
      <c r="L26247" s="711"/>
      <c r="Q26247" s="11"/>
      <c r="R26247" s="11"/>
      <c r="S26247" s="11"/>
      <c r="T26247" s="11"/>
    </row>
    <row r="26248" spans="8:20" x14ac:dyDescent="0.35">
      <c r="H26248" s="711"/>
      <c r="I26248" s="711"/>
      <c r="J26248" s="711"/>
      <c r="K26248" s="711"/>
      <c r="L26248" s="711"/>
      <c r="Q26248" s="11"/>
      <c r="R26248" s="11"/>
      <c r="S26248" s="11"/>
      <c r="T26248" s="11"/>
    </row>
    <row r="26249" spans="8:20" x14ac:dyDescent="0.35">
      <c r="H26249" s="711"/>
      <c r="I26249" s="711"/>
      <c r="J26249" s="711"/>
      <c r="K26249" s="711"/>
      <c r="L26249" s="711"/>
      <c r="Q26249" s="11"/>
      <c r="R26249" s="11"/>
      <c r="S26249" s="11"/>
      <c r="T26249" s="11"/>
    </row>
    <row r="26250" spans="8:20" x14ac:dyDescent="0.35">
      <c r="H26250" s="711"/>
      <c r="I26250" s="711"/>
      <c r="J26250" s="711"/>
      <c r="K26250" s="711"/>
      <c r="L26250" s="711"/>
      <c r="Q26250" s="11"/>
      <c r="R26250" s="11"/>
      <c r="S26250" s="11"/>
      <c r="T26250" s="11"/>
    </row>
    <row r="26251" spans="8:20" x14ac:dyDescent="0.35">
      <c r="H26251" s="711"/>
      <c r="I26251" s="711"/>
      <c r="J26251" s="711"/>
      <c r="K26251" s="711"/>
      <c r="L26251" s="711"/>
      <c r="Q26251" s="11"/>
      <c r="R26251" s="11"/>
      <c r="S26251" s="11"/>
      <c r="T26251" s="11"/>
    </row>
    <row r="26252" spans="8:20" x14ac:dyDescent="0.35">
      <c r="H26252" s="711"/>
      <c r="I26252" s="711"/>
      <c r="J26252" s="711"/>
      <c r="K26252" s="711"/>
      <c r="L26252" s="711"/>
      <c r="Q26252" s="11"/>
      <c r="R26252" s="11"/>
      <c r="S26252" s="11"/>
      <c r="T26252" s="11"/>
    </row>
    <row r="26253" spans="8:20" x14ac:dyDescent="0.35">
      <c r="H26253" s="711"/>
      <c r="I26253" s="711"/>
      <c r="J26253" s="711"/>
      <c r="K26253" s="711"/>
      <c r="L26253" s="711"/>
      <c r="Q26253" s="11"/>
      <c r="R26253" s="11"/>
      <c r="S26253" s="11"/>
      <c r="T26253" s="11"/>
    </row>
    <row r="26254" spans="8:20" x14ac:dyDescent="0.35">
      <c r="H26254" s="711"/>
      <c r="I26254" s="711"/>
      <c r="J26254" s="711"/>
      <c r="K26254" s="711"/>
      <c r="L26254" s="711"/>
      <c r="Q26254" s="11"/>
      <c r="R26254" s="11"/>
      <c r="S26254" s="11"/>
      <c r="T26254" s="11"/>
    </row>
    <row r="26255" spans="8:20" x14ac:dyDescent="0.35">
      <c r="H26255" s="711"/>
      <c r="I26255" s="711"/>
      <c r="J26255" s="711"/>
      <c r="K26255" s="711"/>
      <c r="L26255" s="711"/>
      <c r="Q26255" s="11"/>
      <c r="R26255" s="11"/>
      <c r="S26255" s="11"/>
      <c r="T26255" s="11"/>
    </row>
    <row r="26256" spans="8:20" x14ac:dyDescent="0.35">
      <c r="H26256" s="711"/>
      <c r="I26256" s="711"/>
      <c r="J26256" s="711"/>
      <c r="K26256" s="711"/>
      <c r="L26256" s="711"/>
      <c r="Q26256" s="11"/>
      <c r="R26256" s="11"/>
      <c r="S26256" s="11"/>
      <c r="T26256" s="11"/>
    </row>
    <row r="26257" spans="8:20" x14ac:dyDescent="0.35">
      <c r="H26257" s="711"/>
      <c r="I26257" s="711"/>
      <c r="J26257" s="711"/>
      <c r="K26257" s="711"/>
      <c r="L26257" s="711"/>
      <c r="Q26257" s="11"/>
      <c r="R26257" s="11"/>
      <c r="S26257" s="11"/>
      <c r="T26257" s="11"/>
    </row>
    <row r="26258" spans="8:20" x14ac:dyDescent="0.35">
      <c r="H26258" s="711"/>
      <c r="I26258" s="711"/>
      <c r="J26258" s="711"/>
      <c r="K26258" s="711"/>
      <c r="L26258" s="711"/>
      <c r="Q26258" s="11"/>
      <c r="R26258" s="11"/>
      <c r="S26258" s="11"/>
      <c r="T26258" s="11"/>
    </row>
    <row r="26259" spans="8:20" x14ac:dyDescent="0.35">
      <c r="H26259" s="711"/>
      <c r="I26259" s="711"/>
      <c r="J26259" s="711"/>
      <c r="K26259" s="711"/>
      <c r="L26259" s="711"/>
      <c r="Q26259" s="11"/>
      <c r="R26259" s="11"/>
      <c r="S26259" s="11"/>
      <c r="T26259" s="11"/>
    </row>
    <row r="26260" spans="8:20" x14ac:dyDescent="0.35">
      <c r="H26260" s="711"/>
      <c r="I26260" s="711"/>
      <c r="J26260" s="711"/>
      <c r="K26260" s="711"/>
      <c r="L26260" s="711"/>
      <c r="Q26260" s="11"/>
      <c r="R26260" s="11"/>
      <c r="S26260" s="11"/>
      <c r="T26260" s="11"/>
    </row>
    <row r="26261" spans="8:20" x14ac:dyDescent="0.35">
      <c r="H26261" s="711"/>
      <c r="I26261" s="711"/>
      <c r="J26261" s="711"/>
      <c r="K26261" s="711"/>
      <c r="L26261" s="711"/>
      <c r="Q26261" s="11"/>
      <c r="R26261" s="11"/>
      <c r="S26261" s="11"/>
      <c r="T26261" s="11"/>
    </row>
    <row r="26262" spans="8:20" x14ac:dyDescent="0.35">
      <c r="H26262" s="711"/>
      <c r="I26262" s="711"/>
      <c r="J26262" s="711"/>
      <c r="K26262" s="711"/>
      <c r="L26262" s="711"/>
      <c r="Q26262" s="11"/>
      <c r="R26262" s="11"/>
      <c r="S26262" s="11"/>
      <c r="T26262" s="11"/>
    </row>
    <row r="26263" spans="8:20" x14ac:dyDescent="0.35">
      <c r="H26263" s="711"/>
      <c r="I26263" s="711"/>
      <c r="J26263" s="711"/>
      <c r="K26263" s="711"/>
      <c r="L26263" s="711"/>
      <c r="Q26263" s="11"/>
      <c r="R26263" s="11"/>
      <c r="S26263" s="11"/>
      <c r="T26263" s="11"/>
    </row>
    <row r="26264" spans="8:20" x14ac:dyDescent="0.35">
      <c r="H26264" s="711"/>
      <c r="I26264" s="711"/>
      <c r="J26264" s="711"/>
      <c r="K26264" s="711"/>
      <c r="L26264" s="711"/>
      <c r="Q26264" s="11"/>
      <c r="R26264" s="11"/>
      <c r="S26264" s="11"/>
      <c r="T26264" s="11"/>
    </row>
    <row r="26265" spans="8:20" x14ac:dyDescent="0.35">
      <c r="H26265" s="711"/>
      <c r="I26265" s="711"/>
      <c r="J26265" s="711"/>
      <c r="K26265" s="711"/>
      <c r="L26265" s="711"/>
      <c r="Q26265" s="11"/>
      <c r="R26265" s="11"/>
      <c r="S26265" s="11"/>
      <c r="T26265" s="11"/>
    </row>
    <row r="26266" spans="8:20" x14ac:dyDescent="0.35">
      <c r="H26266" s="711"/>
      <c r="I26266" s="711"/>
      <c r="J26266" s="711"/>
      <c r="K26266" s="711"/>
      <c r="L26266" s="711"/>
      <c r="Q26266" s="11"/>
      <c r="R26266" s="11"/>
      <c r="S26266" s="11"/>
      <c r="T26266" s="11"/>
    </row>
    <row r="26267" spans="8:20" x14ac:dyDescent="0.35">
      <c r="H26267" s="711"/>
      <c r="I26267" s="711"/>
      <c r="J26267" s="711"/>
      <c r="K26267" s="711"/>
      <c r="L26267" s="711"/>
      <c r="Q26267" s="11"/>
      <c r="R26267" s="11"/>
      <c r="S26267" s="11"/>
      <c r="T26267" s="11"/>
    </row>
    <row r="26268" spans="8:20" x14ac:dyDescent="0.35">
      <c r="H26268" s="711"/>
      <c r="I26268" s="711"/>
      <c r="J26268" s="711"/>
      <c r="K26268" s="711"/>
      <c r="L26268" s="711"/>
      <c r="Q26268" s="11"/>
      <c r="R26268" s="11"/>
      <c r="S26268" s="11"/>
      <c r="T26268" s="11"/>
    </row>
    <row r="26269" spans="8:20" x14ac:dyDescent="0.35">
      <c r="H26269" s="711"/>
      <c r="I26269" s="711"/>
      <c r="J26269" s="711"/>
      <c r="K26269" s="711"/>
      <c r="L26269" s="711"/>
      <c r="Q26269" s="11"/>
      <c r="R26269" s="11"/>
      <c r="S26269" s="11"/>
      <c r="T26269" s="11"/>
    </row>
    <row r="26270" spans="8:20" x14ac:dyDescent="0.35">
      <c r="H26270" s="711"/>
      <c r="I26270" s="711"/>
      <c r="J26270" s="711"/>
      <c r="K26270" s="711"/>
      <c r="L26270" s="711"/>
      <c r="Q26270" s="11"/>
      <c r="R26270" s="11"/>
      <c r="S26270" s="11"/>
      <c r="T26270" s="11"/>
    </row>
    <row r="26271" spans="8:20" x14ac:dyDescent="0.35">
      <c r="H26271" s="711"/>
      <c r="I26271" s="711"/>
      <c r="J26271" s="711"/>
      <c r="K26271" s="711"/>
      <c r="L26271" s="711"/>
      <c r="Q26271" s="11"/>
      <c r="R26271" s="11"/>
      <c r="S26271" s="11"/>
      <c r="T26271" s="11"/>
    </row>
    <row r="26272" spans="8:20" x14ac:dyDescent="0.35">
      <c r="H26272" s="711"/>
      <c r="I26272" s="711"/>
      <c r="J26272" s="711"/>
      <c r="K26272" s="711"/>
      <c r="L26272" s="711"/>
      <c r="Q26272" s="11"/>
      <c r="R26272" s="11"/>
      <c r="S26272" s="11"/>
      <c r="T26272" s="11"/>
    </row>
    <row r="26273" spans="8:20" x14ac:dyDescent="0.35">
      <c r="H26273" s="711"/>
      <c r="I26273" s="711"/>
      <c r="J26273" s="711"/>
      <c r="K26273" s="711"/>
      <c r="L26273" s="711"/>
      <c r="Q26273" s="11"/>
      <c r="R26273" s="11"/>
      <c r="S26273" s="11"/>
      <c r="T26273" s="11"/>
    </row>
    <row r="26274" spans="8:20" x14ac:dyDescent="0.35">
      <c r="H26274" s="711"/>
      <c r="I26274" s="711"/>
      <c r="J26274" s="711"/>
      <c r="K26274" s="711"/>
      <c r="L26274" s="711"/>
      <c r="Q26274" s="11"/>
      <c r="R26274" s="11"/>
      <c r="S26274" s="11"/>
      <c r="T26274" s="11"/>
    </row>
    <row r="26275" spans="8:20" x14ac:dyDescent="0.35">
      <c r="H26275" s="711"/>
      <c r="I26275" s="711"/>
      <c r="J26275" s="711"/>
      <c r="K26275" s="711"/>
      <c r="L26275" s="711"/>
      <c r="Q26275" s="11"/>
      <c r="R26275" s="11"/>
      <c r="S26275" s="11"/>
      <c r="T26275" s="11"/>
    </row>
    <row r="26276" spans="8:20" x14ac:dyDescent="0.35">
      <c r="H26276" s="711"/>
      <c r="I26276" s="711"/>
      <c r="J26276" s="711"/>
      <c r="K26276" s="711"/>
      <c r="L26276" s="711"/>
      <c r="Q26276" s="11"/>
      <c r="R26276" s="11"/>
      <c r="S26276" s="11"/>
      <c r="T26276" s="11"/>
    </row>
    <row r="26277" spans="8:20" x14ac:dyDescent="0.35">
      <c r="H26277" s="711"/>
      <c r="I26277" s="711"/>
      <c r="J26277" s="711"/>
      <c r="K26277" s="711"/>
      <c r="L26277" s="711"/>
      <c r="Q26277" s="11"/>
      <c r="R26277" s="11"/>
      <c r="S26277" s="11"/>
      <c r="T26277" s="11"/>
    </row>
    <row r="26278" spans="8:20" x14ac:dyDescent="0.35">
      <c r="H26278" s="711"/>
      <c r="I26278" s="711"/>
      <c r="J26278" s="711"/>
      <c r="K26278" s="711"/>
      <c r="L26278" s="711"/>
      <c r="Q26278" s="11"/>
      <c r="R26278" s="11"/>
      <c r="S26278" s="11"/>
      <c r="T26278" s="11"/>
    </row>
    <row r="26279" spans="8:20" x14ac:dyDescent="0.35">
      <c r="H26279" s="711"/>
      <c r="I26279" s="711"/>
      <c r="J26279" s="711"/>
      <c r="K26279" s="711"/>
      <c r="L26279" s="711"/>
      <c r="Q26279" s="11"/>
      <c r="R26279" s="11"/>
      <c r="S26279" s="11"/>
      <c r="T26279" s="11"/>
    </row>
    <row r="26280" spans="8:20" x14ac:dyDescent="0.35">
      <c r="H26280" s="711"/>
      <c r="I26280" s="711"/>
      <c r="J26280" s="711"/>
      <c r="K26280" s="711"/>
      <c r="L26280" s="711"/>
      <c r="Q26280" s="11"/>
      <c r="R26280" s="11"/>
      <c r="S26280" s="11"/>
      <c r="T26280" s="11"/>
    </row>
    <row r="26281" spans="8:20" x14ac:dyDescent="0.35">
      <c r="H26281" s="711"/>
      <c r="I26281" s="711"/>
      <c r="J26281" s="711"/>
      <c r="K26281" s="711"/>
      <c r="L26281" s="711"/>
      <c r="Q26281" s="11"/>
      <c r="R26281" s="11"/>
      <c r="S26281" s="11"/>
      <c r="T26281" s="11"/>
    </row>
    <row r="26282" spans="8:20" x14ac:dyDescent="0.35">
      <c r="H26282" s="711"/>
      <c r="I26282" s="711"/>
      <c r="J26282" s="711"/>
      <c r="K26282" s="711"/>
      <c r="L26282" s="711"/>
      <c r="Q26282" s="11"/>
      <c r="R26282" s="11"/>
      <c r="S26282" s="11"/>
      <c r="T26282" s="11"/>
    </row>
    <row r="26283" spans="8:20" x14ac:dyDescent="0.35">
      <c r="H26283" s="711"/>
      <c r="I26283" s="711"/>
      <c r="J26283" s="711"/>
      <c r="K26283" s="711"/>
      <c r="L26283" s="711"/>
      <c r="Q26283" s="11"/>
      <c r="R26283" s="11"/>
      <c r="S26283" s="11"/>
      <c r="T26283" s="11"/>
    </row>
    <row r="26284" spans="8:20" x14ac:dyDescent="0.35">
      <c r="H26284" s="711"/>
      <c r="I26284" s="711"/>
      <c r="J26284" s="711"/>
      <c r="K26284" s="711"/>
      <c r="L26284" s="711"/>
      <c r="Q26284" s="11"/>
      <c r="R26284" s="11"/>
      <c r="S26284" s="11"/>
      <c r="T26284" s="11"/>
    </row>
    <row r="26285" spans="8:20" x14ac:dyDescent="0.35">
      <c r="H26285" s="711"/>
      <c r="I26285" s="711"/>
      <c r="J26285" s="711"/>
      <c r="K26285" s="711"/>
      <c r="L26285" s="711"/>
      <c r="Q26285" s="11"/>
      <c r="R26285" s="11"/>
      <c r="S26285" s="11"/>
      <c r="T26285" s="11"/>
    </row>
    <row r="26286" spans="8:20" x14ac:dyDescent="0.35">
      <c r="H26286" s="711"/>
      <c r="I26286" s="711"/>
      <c r="J26286" s="711"/>
      <c r="K26286" s="711"/>
      <c r="L26286" s="711"/>
      <c r="Q26286" s="11"/>
      <c r="R26286" s="11"/>
      <c r="S26286" s="11"/>
      <c r="T26286" s="11"/>
    </row>
    <row r="26287" spans="8:20" x14ac:dyDescent="0.35">
      <c r="H26287" s="711"/>
      <c r="I26287" s="711"/>
      <c r="J26287" s="711"/>
      <c r="K26287" s="711"/>
      <c r="L26287" s="711"/>
      <c r="Q26287" s="11"/>
      <c r="R26287" s="11"/>
      <c r="S26287" s="11"/>
      <c r="T26287" s="11"/>
    </row>
    <row r="26288" spans="8:20" x14ac:dyDescent="0.35">
      <c r="H26288" s="711"/>
      <c r="I26288" s="711"/>
      <c r="J26288" s="711"/>
      <c r="K26288" s="711"/>
      <c r="L26288" s="711"/>
      <c r="Q26288" s="11"/>
      <c r="R26288" s="11"/>
      <c r="S26288" s="11"/>
      <c r="T26288" s="11"/>
    </row>
    <row r="26289" spans="8:20" x14ac:dyDescent="0.35">
      <c r="H26289" s="711"/>
      <c r="I26289" s="711"/>
      <c r="J26289" s="711"/>
      <c r="K26289" s="711"/>
      <c r="L26289" s="711"/>
      <c r="Q26289" s="11"/>
      <c r="R26289" s="11"/>
      <c r="S26289" s="11"/>
      <c r="T26289" s="11"/>
    </row>
    <row r="26290" spans="8:20" x14ac:dyDescent="0.35">
      <c r="H26290" s="711"/>
      <c r="I26290" s="711"/>
      <c r="J26290" s="711"/>
      <c r="K26290" s="711"/>
      <c r="L26290" s="711"/>
      <c r="Q26290" s="11"/>
      <c r="R26290" s="11"/>
      <c r="S26290" s="11"/>
      <c r="T26290" s="11"/>
    </row>
    <row r="26291" spans="8:20" x14ac:dyDescent="0.35">
      <c r="H26291" s="711"/>
      <c r="I26291" s="711"/>
      <c r="J26291" s="711"/>
      <c r="K26291" s="711"/>
      <c r="L26291" s="711"/>
      <c r="Q26291" s="11"/>
      <c r="R26291" s="11"/>
      <c r="S26291" s="11"/>
      <c r="T26291" s="11"/>
    </row>
    <row r="26292" spans="8:20" x14ac:dyDescent="0.35">
      <c r="H26292" s="711"/>
      <c r="I26292" s="711"/>
      <c r="J26292" s="711"/>
      <c r="K26292" s="711"/>
      <c r="L26292" s="711"/>
      <c r="Q26292" s="11"/>
      <c r="R26292" s="11"/>
      <c r="S26292" s="11"/>
      <c r="T26292" s="11"/>
    </row>
    <row r="26293" spans="8:20" x14ac:dyDescent="0.35">
      <c r="H26293" s="711"/>
      <c r="I26293" s="711"/>
      <c r="J26293" s="711"/>
      <c r="K26293" s="711"/>
      <c r="L26293" s="711"/>
      <c r="Q26293" s="11"/>
      <c r="R26293" s="11"/>
      <c r="S26293" s="11"/>
      <c r="T26293" s="11"/>
    </row>
    <row r="26294" spans="8:20" x14ac:dyDescent="0.35">
      <c r="H26294" s="711"/>
      <c r="I26294" s="711"/>
      <c r="J26294" s="711"/>
      <c r="K26294" s="711"/>
      <c r="L26294" s="711"/>
      <c r="Q26294" s="11"/>
      <c r="R26294" s="11"/>
      <c r="S26294" s="11"/>
      <c r="T26294" s="11"/>
    </row>
    <row r="26295" spans="8:20" x14ac:dyDescent="0.35">
      <c r="H26295" s="711"/>
      <c r="I26295" s="711"/>
      <c r="J26295" s="711"/>
      <c r="K26295" s="711"/>
      <c r="L26295" s="711"/>
      <c r="Q26295" s="11"/>
      <c r="R26295" s="11"/>
      <c r="S26295" s="11"/>
      <c r="T26295" s="11"/>
    </row>
    <row r="26296" spans="8:20" x14ac:dyDescent="0.35">
      <c r="H26296" s="711"/>
      <c r="I26296" s="711"/>
      <c r="J26296" s="711"/>
      <c r="K26296" s="711"/>
      <c r="L26296" s="711"/>
      <c r="Q26296" s="11"/>
      <c r="R26296" s="11"/>
      <c r="S26296" s="11"/>
      <c r="T26296" s="11"/>
    </row>
    <row r="26297" spans="8:20" x14ac:dyDescent="0.35">
      <c r="H26297" s="711"/>
      <c r="I26297" s="711"/>
      <c r="J26297" s="711"/>
      <c r="K26297" s="711"/>
      <c r="L26297" s="711"/>
      <c r="Q26297" s="11"/>
      <c r="R26297" s="11"/>
      <c r="S26297" s="11"/>
      <c r="T26297" s="11"/>
    </row>
    <row r="26298" spans="8:20" x14ac:dyDescent="0.35">
      <c r="H26298" s="711"/>
      <c r="I26298" s="711"/>
      <c r="J26298" s="711"/>
      <c r="K26298" s="711"/>
      <c r="L26298" s="711"/>
      <c r="Q26298" s="11"/>
      <c r="R26298" s="11"/>
      <c r="S26298" s="11"/>
      <c r="T26298" s="11"/>
    </row>
    <row r="26299" spans="8:20" x14ac:dyDescent="0.35">
      <c r="H26299" s="711"/>
      <c r="I26299" s="711"/>
      <c r="J26299" s="711"/>
      <c r="K26299" s="711"/>
      <c r="L26299" s="711"/>
      <c r="Q26299" s="11"/>
      <c r="R26299" s="11"/>
      <c r="S26299" s="11"/>
      <c r="T26299" s="11"/>
    </row>
    <row r="26300" spans="8:20" x14ac:dyDescent="0.35">
      <c r="H26300" s="711"/>
      <c r="I26300" s="711"/>
      <c r="J26300" s="711"/>
      <c r="K26300" s="711"/>
      <c r="L26300" s="711"/>
      <c r="Q26300" s="11"/>
      <c r="R26300" s="11"/>
      <c r="S26300" s="11"/>
      <c r="T26300" s="11"/>
    </row>
    <row r="26301" spans="8:20" x14ac:dyDescent="0.35">
      <c r="H26301" s="711"/>
      <c r="I26301" s="711"/>
      <c r="J26301" s="711"/>
      <c r="K26301" s="711"/>
      <c r="L26301" s="711"/>
      <c r="Q26301" s="11"/>
      <c r="R26301" s="11"/>
      <c r="S26301" s="11"/>
      <c r="T26301" s="11"/>
    </row>
    <row r="26302" spans="8:20" x14ac:dyDescent="0.35">
      <c r="H26302" s="711"/>
      <c r="I26302" s="711"/>
      <c r="J26302" s="711"/>
      <c r="K26302" s="711"/>
      <c r="L26302" s="711"/>
      <c r="Q26302" s="11"/>
      <c r="R26302" s="11"/>
      <c r="S26302" s="11"/>
      <c r="T26302" s="11"/>
    </row>
    <row r="26303" spans="8:20" x14ac:dyDescent="0.35">
      <c r="H26303" s="711"/>
      <c r="I26303" s="711"/>
      <c r="J26303" s="711"/>
      <c r="K26303" s="711"/>
      <c r="L26303" s="711"/>
      <c r="Q26303" s="11"/>
      <c r="R26303" s="11"/>
      <c r="S26303" s="11"/>
      <c r="T26303" s="11"/>
    </row>
    <row r="26304" spans="8:20" x14ac:dyDescent="0.35">
      <c r="H26304" s="711"/>
      <c r="I26304" s="711"/>
      <c r="J26304" s="711"/>
      <c r="K26304" s="711"/>
      <c r="L26304" s="711"/>
      <c r="Q26304" s="11"/>
      <c r="R26304" s="11"/>
      <c r="S26304" s="11"/>
      <c r="T26304" s="11"/>
    </row>
    <row r="26305" spans="8:20" x14ac:dyDescent="0.35">
      <c r="H26305" s="711"/>
      <c r="I26305" s="711"/>
      <c r="J26305" s="711"/>
      <c r="K26305" s="711"/>
      <c r="L26305" s="711"/>
      <c r="Q26305" s="11"/>
      <c r="R26305" s="11"/>
      <c r="S26305" s="11"/>
      <c r="T26305" s="11"/>
    </row>
    <row r="26306" spans="8:20" x14ac:dyDescent="0.35">
      <c r="H26306" s="711"/>
      <c r="I26306" s="711"/>
      <c r="J26306" s="711"/>
      <c r="K26306" s="711"/>
      <c r="L26306" s="711"/>
      <c r="Q26306" s="11"/>
      <c r="R26306" s="11"/>
      <c r="S26306" s="11"/>
      <c r="T26306" s="11"/>
    </row>
    <row r="26307" spans="8:20" x14ac:dyDescent="0.35">
      <c r="H26307" s="711"/>
      <c r="I26307" s="711"/>
      <c r="J26307" s="711"/>
      <c r="K26307" s="711"/>
      <c r="L26307" s="711"/>
      <c r="Q26307" s="11"/>
      <c r="R26307" s="11"/>
      <c r="S26307" s="11"/>
      <c r="T26307" s="11"/>
    </row>
    <row r="26308" spans="8:20" x14ac:dyDescent="0.35">
      <c r="H26308" s="711"/>
      <c r="I26308" s="711"/>
      <c r="J26308" s="711"/>
      <c r="K26308" s="711"/>
      <c r="L26308" s="711"/>
      <c r="Q26308" s="11"/>
      <c r="R26308" s="11"/>
      <c r="S26308" s="11"/>
      <c r="T26308" s="11"/>
    </row>
    <row r="26309" spans="8:20" x14ac:dyDescent="0.35">
      <c r="H26309" s="711"/>
      <c r="I26309" s="711"/>
      <c r="J26309" s="711"/>
      <c r="K26309" s="711"/>
      <c r="L26309" s="711"/>
      <c r="Q26309" s="11"/>
      <c r="R26309" s="11"/>
      <c r="S26309" s="11"/>
      <c r="T26309" s="11"/>
    </row>
    <row r="26310" spans="8:20" x14ac:dyDescent="0.35">
      <c r="H26310" s="711"/>
      <c r="I26310" s="711"/>
      <c r="J26310" s="711"/>
      <c r="K26310" s="711"/>
      <c r="L26310" s="711"/>
      <c r="Q26310" s="11"/>
      <c r="R26310" s="11"/>
      <c r="S26310" s="11"/>
      <c r="T26310" s="11"/>
    </row>
    <row r="26311" spans="8:20" x14ac:dyDescent="0.35">
      <c r="H26311" s="711"/>
      <c r="I26311" s="711"/>
      <c r="J26311" s="711"/>
      <c r="K26311" s="711"/>
      <c r="L26311" s="711"/>
      <c r="Q26311" s="11"/>
      <c r="R26311" s="11"/>
      <c r="S26311" s="11"/>
      <c r="T26311" s="11"/>
    </row>
    <row r="26312" spans="8:20" x14ac:dyDescent="0.35">
      <c r="H26312" s="711"/>
      <c r="I26312" s="711"/>
      <c r="J26312" s="711"/>
      <c r="K26312" s="711"/>
      <c r="L26312" s="711"/>
      <c r="Q26312" s="11"/>
      <c r="R26312" s="11"/>
      <c r="S26312" s="11"/>
      <c r="T26312" s="11"/>
    </row>
    <row r="26313" spans="8:20" x14ac:dyDescent="0.35">
      <c r="H26313" s="711"/>
      <c r="I26313" s="711"/>
      <c r="J26313" s="711"/>
      <c r="K26313" s="711"/>
      <c r="L26313" s="711"/>
      <c r="Q26313" s="11"/>
      <c r="R26313" s="11"/>
      <c r="S26313" s="11"/>
      <c r="T26313" s="11"/>
    </row>
    <row r="26314" spans="8:20" x14ac:dyDescent="0.35">
      <c r="H26314" s="711"/>
      <c r="I26314" s="711"/>
      <c r="J26314" s="711"/>
      <c r="K26314" s="711"/>
      <c r="L26314" s="711"/>
      <c r="Q26314" s="11"/>
      <c r="R26314" s="11"/>
      <c r="S26314" s="11"/>
      <c r="T26314" s="11"/>
    </row>
    <row r="26315" spans="8:20" x14ac:dyDescent="0.35">
      <c r="H26315" s="711"/>
      <c r="I26315" s="711"/>
      <c r="J26315" s="711"/>
      <c r="K26315" s="711"/>
      <c r="L26315" s="711"/>
      <c r="Q26315" s="11"/>
      <c r="R26315" s="11"/>
      <c r="S26315" s="11"/>
      <c r="T26315" s="11"/>
    </row>
    <row r="26316" spans="8:20" x14ac:dyDescent="0.35">
      <c r="H26316" s="711"/>
      <c r="I26316" s="711"/>
      <c r="J26316" s="711"/>
      <c r="K26316" s="711"/>
      <c r="L26316" s="711"/>
      <c r="Q26316" s="11"/>
      <c r="R26316" s="11"/>
      <c r="S26316" s="11"/>
      <c r="T26316" s="11"/>
    </row>
    <row r="26317" spans="8:20" x14ac:dyDescent="0.35">
      <c r="H26317" s="711"/>
      <c r="I26317" s="711"/>
      <c r="J26317" s="711"/>
      <c r="K26317" s="711"/>
      <c r="L26317" s="711"/>
      <c r="Q26317" s="11"/>
      <c r="R26317" s="11"/>
      <c r="S26317" s="11"/>
      <c r="T26317" s="11"/>
    </row>
    <row r="26318" spans="8:20" x14ac:dyDescent="0.35">
      <c r="H26318" s="711"/>
      <c r="I26318" s="711"/>
      <c r="J26318" s="711"/>
      <c r="K26318" s="711"/>
      <c r="L26318" s="711"/>
      <c r="Q26318" s="11"/>
      <c r="R26318" s="11"/>
      <c r="S26318" s="11"/>
      <c r="T26318" s="11"/>
    </row>
    <row r="26319" spans="8:20" x14ac:dyDescent="0.35">
      <c r="H26319" s="711"/>
      <c r="I26319" s="711"/>
      <c r="J26319" s="711"/>
      <c r="K26319" s="711"/>
      <c r="L26319" s="711"/>
      <c r="Q26319" s="11"/>
      <c r="R26319" s="11"/>
      <c r="S26319" s="11"/>
      <c r="T26319" s="11"/>
    </row>
    <row r="26320" spans="8:20" x14ac:dyDescent="0.35">
      <c r="H26320" s="711"/>
      <c r="I26320" s="711"/>
      <c r="J26320" s="711"/>
      <c r="K26320" s="711"/>
      <c r="L26320" s="711"/>
      <c r="Q26320" s="11"/>
      <c r="R26320" s="11"/>
      <c r="S26320" s="11"/>
      <c r="T26320" s="11"/>
    </row>
    <row r="26321" spans="8:20" x14ac:dyDescent="0.35">
      <c r="H26321" s="711"/>
      <c r="I26321" s="711"/>
      <c r="J26321" s="711"/>
      <c r="K26321" s="711"/>
      <c r="L26321" s="711"/>
      <c r="Q26321" s="11"/>
      <c r="R26321" s="11"/>
      <c r="S26321" s="11"/>
      <c r="T26321" s="11"/>
    </row>
    <row r="26322" spans="8:20" x14ac:dyDescent="0.35">
      <c r="H26322" s="711"/>
      <c r="I26322" s="711"/>
      <c r="J26322" s="711"/>
      <c r="K26322" s="711"/>
      <c r="L26322" s="711"/>
      <c r="Q26322" s="11"/>
      <c r="R26322" s="11"/>
      <c r="S26322" s="11"/>
      <c r="T26322" s="11"/>
    </row>
    <row r="26323" spans="8:20" x14ac:dyDescent="0.35">
      <c r="H26323" s="711"/>
      <c r="I26323" s="711"/>
      <c r="J26323" s="711"/>
      <c r="K26323" s="711"/>
      <c r="L26323" s="711"/>
      <c r="Q26323" s="11"/>
      <c r="R26323" s="11"/>
      <c r="S26323" s="11"/>
      <c r="T26323" s="11"/>
    </row>
    <row r="26324" spans="8:20" x14ac:dyDescent="0.35">
      <c r="H26324" s="711"/>
      <c r="I26324" s="711"/>
      <c r="J26324" s="711"/>
      <c r="K26324" s="711"/>
      <c r="L26324" s="711"/>
      <c r="Q26324" s="11"/>
      <c r="R26324" s="11"/>
      <c r="S26324" s="11"/>
      <c r="T26324" s="11"/>
    </row>
    <row r="26325" spans="8:20" x14ac:dyDescent="0.35">
      <c r="H26325" s="711"/>
      <c r="I26325" s="711"/>
      <c r="J26325" s="711"/>
      <c r="K26325" s="711"/>
      <c r="L26325" s="711"/>
      <c r="Q26325" s="11"/>
      <c r="R26325" s="11"/>
      <c r="S26325" s="11"/>
      <c r="T26325" s="11"/>
    </row>
    <row r="26326" spans="8:20" x14ac:dyDescent="0.35">
      <c r="H26326" s="711"/>
      <c r="I26326" s="711"/>
      <c r="J26326" s="711"/>
      <c r="K26326" s="711"/>
      <c r="L26326" s="711"/>
      <c r="Q26326" s="11"/>
      <c r="R26326" s="11"/>
      <c r="S26326" s="11"/>
      <c r="T26326" s="11"/>
    </row>
    <row r="26327" spans="8:20" x14ac:dyDescent="0.35">
      <c r="H26327" s="711"/>
      <c r="I26327" s="711"/>
      <c r="J26327" s="711"/>
      <c r="K26327" s="711"/>
      <c r="L26327" s="711"/>
      <c r="Q26327" s="11"/>
      <c r="R26327" s="11"/>
      <c r="S26327" s="11"/>
      <c r="T26327" s="11"/>
    </row>
    <row r="26328" spans="8:20" x14ac:dyDescent="0.35">
      <c r="H26328" s="711"/>
      <c r="I26328" s="711"/>
      <c r="J26328" s="711"/>
      <c r="K26328" s="711"/>
      <c r="L26328" s="711"/>
      <c r="Q26328" s="11"/>
      <c r="R26328" s="11"/>
      <c r="S26328" s="11"/>
      <c r="T26328" s="11"/>
    </row>
    <row r="26329" spans="8:20" x14ac:dyDescent="0.35">
      <c r="H26329" s="711"/>
      <c r="I26329" s="711"/>
      <c r="J26329" s="711"/>
      <c r="K26329" s="711"/>
      <c r="L26329" s="711"/>
      <c r="Q26329" s="11"/>
      <c r="R26329" s="11"/>
      <c r="S26329" s="11"/>
      <c r="T26329" s="11"/>
    </row>
    <row r="26330" spans="8:20" x14ac:dyDescent="0.35">
      <c r="H26330" s="711"/>
      <c r="I26330" s="711"/>
      <c r="J26330" s="711"/>
      <c r="K26330" s="711"/>
      <c r="L26330" s="711"/>
      <c r="Q26330" s="11"/>
      <c r="R26330" s="11"/>
      <c r="S26330" s="11"/>
      <c r="T26330" s="11"/>
    </row>
    <row r="26331" spans="8:20" x14ac:dyDescent="0.35">
      <c r="H26331" s="711"/>
      <c r="I26331" s="711"/>
      <c r="J26331" s="711"/>
      <c r="K26331" s="711"/>
      <c r="L26331" s="711"/>
      <c r="Q26331" s="11"/>
      <c r="R26331" s="11"/>
      <c r="S26331" s="11"/>
      <c r="T26331" s="11"/>
    </row>
    <row r="26332" spans="8:20" x14ac:dyDescent="0.35">
      <c r="H26332" s="711"/>
      <c r="I26332" s="711"/>
      <c r="J26332" s="711"/>
      <c r="K26332" s="711"/>
      <c r="L26332" s="711"/>
      <c r="Q26332" s="11"/>
      <c r="R26332" s="11"/>
      <c r="S26332" s="11"/>
      <c r="T26332" s="11"/>
    </row>
    <row r="26333" spans="8:20" x14ac:dyDescent="0.35">
      <c r="H26333" s="711"/>
      <c r="I26333" s="711"/>
      <c r="J26333" s="711"/>
      <c r="K26333" s="711"/>
      <c r="L26333" s="711"/>
      <c r="Q26333" s="11"/>
      <c r="R26333" s="11"/>
      <c r="S26333" s="11"/>
      <c r="T26333" s="11"/>
    </row>
    <row r="26334" spans="8:20" x14ac:dyDescent="0.35">
      <c r="H26334" s="711"/>
      <c r="I26334" s="711"/>
      <c r="J26334" s="711"/>
      <c r="K26334" s="711"/>
      <c r="L26334" s="711"/>
      <c r="Q26334" s="11"/>
      <c r="R26334" s="11"/>
      <c r="S26334" s="11"/>
      <c r="T26334" s="11"/>
    </row>
    <row r="26335" spans="8:20" x14ac:dyDescent="0.35">
      <c r="H26335" s="711"/>
      <c r="I26335" s="711"/>
      <c r="J26335" s="711"/>
      <c r="K26335" s="711"/>
      <c r="L26335" s="711"/>
      <c r="Q26335" s="11"/>
      <c r="R26335" s="11"/>
      <c r="S26335" s="11"/>
      <c r="T26335" s="11"/>
    </row>
    <row r="26336" spans="8:20" x14ac:dyDescent="0.35">
      <c r="H26336" s="711"/>
      <c r="I26336" s="711"/>
      <c r="J26336" s="711"/>
      <c r="K26336" s="711"/>
      <c r="L26336" s="711"/>
      <c r="Q26336" s="11"/>
      <c r="R26336" s="11"/>
      <c r="S26336" s="11"/>
      <c r="T26336" s="11"/>
    </row>
    <row r="26337" spans="8:20" x14ac:dyDescent="0.35">
      <c r="H26337" s="711"/>
      <c r="I26337" s="711"/>
      <c r="J26337" s="711"/>
      <c r="K26337" s="711"/>
      <c r="L26337" s="711"/>
      <c r="Q26337" s="11"/>
      <c r="R26337" s="11"/>
      <c r="S26337" s="11"/>
      <c r="T26337" s="11"/>
    </row>
    <row r="26338" spans="8:20" x14ac:dyDescent="0.35">
      <c r="H26338" s="711"/>
      <c r="I26338" s="711"/>
      <c r="J26338" s="711"/>
      <c r="K26338" s="711"/>
      <c r="L26338" s="711"/>
      <c r="Q26338" s="11"/>
      <c r="R26338" s="11"/>
      <c r="S26338" s="11"/>
      <c r="T26338" s="11"/>
    </row>
    <row r="26339" spans="8:20" x14ac:dyDescent="0.35">
      <c r="H26339" s="711"/>
      <c r="I26339" s="711"/>
      <c r="J26339" s="711"/>
      <c r="K26339" s="711"/>
      <c r="L26339" s="711"/>
      <c r="Q26339" s="11"/>
      <c r="R26339" s="11"/>
      <c r="S26339" s="11"/>
      <c r="T26339" s="11"/>
    </row>
    <row r="26340" spans="8:20" x14ac:dyDescent="0.35">
      <c r="H26340" s="711"/>
      <c r="I26340" s="711"/>
      <c r="J26340" s="711"/>
      <c r="K26340" s="711"/>
      <c r="L26340" s="711"/>
      <c r="Q26340" s="11"/>
      <c r="R26340" s="11"/>
      <c r="S26340" s="11"/>
      <c r="T26340" s="11"/>
    </row>
    <row r="26341" spans="8:20" x14ac:dyDescent="0.35">
      <c r="H26341" s="711"/>
      <c r="I26341" s="711"/>
      <c r="J26341" s="711"/>
      <c r="K26341" s="711"/>
      <c r="L26341" s="711"/>
      <c r="Q26341" s="11"/>
      <c r="R26341" s="11"/>
      <c r="S26341" s="11"/>
      <c r="T26341" s="11"/>
    </row>
    <row r="26342" spans="8:20" x14ac:dyDescent="0.35">
      <c r="H26342" s="711"/>
      <c r="I26342" s="711"/>
      <c r="J26342" s="711"/>
      <c r="K26342" s="711"/>
      <c r="L26342" s="711"/>
      <c r="Q26342" s="11"/>
      <c r="R26342" s="11"/>
      <c r="S26342" s="11"/>
      <c r="T26342" s="11"/>
    </row>
    <row r="26343" spans="8:20" x14ac:dyDescent="0.35">
      <c r="H26343" s="711"/>
      <c r="I26343" s="711"/>
      <c r="J26343" s="711"/>
      <c r="K26343" s="711"/>
      <c r="L26343" s="711"/>
      <c r="Q26343" s="11"/>
      <c r="R26343" s="11"/>
      <c r="S26343" s="11"/>
      <c r="T26343" s="11"/>
    </row>
    <row r="26344" spans="8:20" x14ac:dyDescent="0.35">
      <c r="H26344" s="711"/>
      <c r="I26344" s="711"/>
      <c r="J26344" s="711"/>
      <c r="K26344" s="711"/>
      <c r="L26344" s="711"/>
      <c r="Q26344" s="11"/>
      <c r="R26344" s="11"/>
      <c r="S26344" s="11"/>
      <c r="T26344" s="11"/>
    </row>
    <row r="26345" spans="8:20" x14ac:dyDescent="0.35">
      <c r="H26345" s="711"/>
      <c r="I26345" s="711"/>
      <c r="J26345" s="711"/>
      <c r="K26345" s="711"/>
      <c r="L26345" s="711"/>
      <c r="Q26345" s="11"/>
      <c r="R26345" s="11"/>
      <c r="S26345" s="11"/>
      <c r="T26345" s="11"/>
    </row>
    <row r="26346" spans="8:20" x14ac:dyDescent="0.35">
      <c r="H26346" s="711"/>
      <c r="I26346" s="711"/>
      <c r="J26346" s="711"/>
      <c r="K26346" s="711"/>
      <c r="L26346" s="711"/>
      <c r="Q26346" s="11"/>
      <c r="R26346" s="11"/>
      <c r="S26346" s="11"/>
      <c r="T26346" s="11"/>
    </row>
    <row r="26347" spans="8:20" x14ac:dyDescent="0.35">
      <c r="H26347" s="711"/>
      <c r="I26347" s="711"/>
      <c r="J26347" s="711"/>
      <c r="K26347" s="711"/>
      <c r="L26347" s="711"/>
      <c r="Q26347" s="11"/>
      <c r="R26347" s="11"/>
      <c r="S26347" s="11"/>
      <c r="T26347" s="11"/>
    </row>
    <row r="26348" spans="8:20" x14ac:dyDescent="0.35">
      <c r="H26348" s="711"/>
      <c r="I26348" s="711"/>
      <c r="J26348" s="711"/>
      <c r="K26348" s="711"/>
      <c r="L26348" s="711"/>
      <c r="Q26348" s="11"/>
      <c r="R26348" s="11"/>
      <c r="S26348" s="11"/>
      <c r="T26348" s="11"/>
    </row>
    <row r="26349" spans="8:20" x14ac:dyDescent="0.35">
      <c r="H26349" s="711"/>
      <c r="I26349" s="711"/>
      <c r="J26349" s="711"/>
      <c r="K26349" s="711"/>
      <c r="L26349" s="711"/>
      <c r="Q26349" s="11"/>
      <c r="R26349" s="11"/>
      <c r="S26349" s="11"/>
      <c r="T26349" s="11"/>
    </row>
    <row r="26350" spans="8:20" x14ac:dyDescent="0.35">
      <c r="H26350" s="711"/>
      <c r="I26350" s="711"/>
      <c r="J26350" s="711"/>
      <c r="K26350" s="711"/>
      <c r="L26350" s="711"/>
      <c r="Q26350" s="11"/>
      <c r="R26350" s="11"/>
      <c r="S26350" s="11"/>
      <c r="T26350" s="11"/>
    </row>
    <row r="26351" spans="8:20" x14ac:dyDescent="0.35">
      <c r="H26351" s="711"/>
      <c r="I26351" s="711"/>
      <c r="J26351" s="711"/>
      <c r="K26351" s="711"/>
      <c r="L26351" s="711"/>
      <c r="Q26351" s="11"/>
      <c r="R26351" s="11"/>
      <c r="S26351" s="11"/>
      <c r="T26351" s="11"/>
    </row>
    <row r="26352" spans="8:20" x14ac:dyDescent="0.35">
      <c r="H26352" s="711"/>
      <c r="I26352" s="711"/>
      <c r="J26352" s="711"/>
      <c r="K26352" s="711"/>
      <c r="L26352" s="711"/>
      <c r="Q26352" s="11"/>
      <c r="R26352" s="11"/>
      <c r="S26352" s="11"/>
      <c r="T26352" s="11"/>
    </row>
    <row r="26353" spans="8:20" x14ac:dyDescent="0.35">
      <c r="H26353" s="711"/>
      <c r="I26353" s="711"/>
      <c r="J26353" s="711"/>
      <c r="K26353" s="711"/>
      <c r="L26353" s="711"/>
      <c r="Q26353" s="11"/>
      <c r="R26353" s="11"/>
      <c r="S26353" s="11"/>
      <c r="T26353" s="11"/>
    </row>
    <row r="26354" spans="8:20" x14ac:dyDescent="0.35">
      <c r="H26354" s="711"/>
      <c r="I26354" s="711"/>
      <c r="J26354" s="711"/>
      <c r="K26354" s="711"/>
      <c r="L26354" s="711"/>
      <c r="Q26354" s="11"/>
      <c r="R26354" s="11"/>
      <c r="S26354" s="11"/>
      <c r="T26354" s="11"/>
    </row>
    <row r="26355" spans="8:20" x14ac:dyDescent="0.35">
      <c r="H26355" s="711"/>
      <c r="I26355" s="711"/>
      <c r="J26355" s="711"/>
      <c r="K26355" s="711"/>
      <c r="L26355" s="711"/>
      <c r="Q26355" s="11"/>
      <c r="R26355" s="11"/>
      <c r="S26355" s="11"/>
      <c r="T26355" s="11"/>
    </row>
    <row r="26356" spans="8:20" x14ac:dyDescent="0.35">
      <c r="H26356" s="711"/>
      <c r="I26356" s="711"/>
      <c r="J26356" s="711"/>
      <c r="K26356" s="711"/>
      <c r="L26356" s="711"/>
      <c r="Q26356" s="11"/>
      <c r="R26356" s="11"/>
      <c r="S26356" s="11"/>
      <c r="T26356" s="11"/>
    </row>
    <row r="26357" spans="8:20" x14ac:dyDescent="0.35">
      <c r="H26357" s="711"/>
      <c r="I26357" s="711"/>
      <c r="J26357" s="711"/>
      <c r="K26357" s="711"/>
      <c r="L26357" s="711"/>
      <c r="Q26357" s="11"/>
      <c r="R26357" s="11"/>
      <c r="S26357" s="11"/>
      <c r="T26357" s="11"/>
    </row>
    <row r="26358" spans="8:20" x14ac:dyDescent="0.35">
      <c r="H26358" s="711"/>
      <c r="I26358" s="711"/>
      <c r="J26358" s="711"/>
      <c r="K26358" s="711"/>
      <c r="L26358" s="711"/>
      <c r="Q26358" s="11"/>
      <c r="R26358" s="11"/>
      <c r="S26358" s="11"/>
      <c r="T26358" s="11"/>
    </row>
    <row r="26359" spans="8:20" x14ac:dyDescent="0.35">
      <c r="H26359" s="711"/>
      <c r="I26359" s="711"/>
      <c r="J26359" s="711"/>
      <c r="K26359" s="711"/>
      <c r="L26359" s="711"/>
      <c r="Q26359" s="11"/>
      <c r="R26359" s="11"/>
      <c r="S26359" s="11"/>
      <c r="T26359" s="11"/>
    </row>
    <row r="26360" spans="8:20" x14ac:dyDescent="0.35">
      <c r="H26360" s="711"/>
      <c r="I26360" s="711"/>
      <c r="J26360" s="711"/>
      <c r="K26360" s="711"/>
      <c r="L26360" s="711"/>
      <c r="Q26360" s="11"/>
      <c r="R26360" s="11"/>
      <c r="S26360" s="11"/>
      <c r="T26360" s="11"/>
    </row>
    <row r="26361" spans="8:20" x14ac:dyDescent="0.35">
      <c r="H26361" s="711"/>
      <c r="I26361" s="711"/>
      <c r="J26361" s="711"/>
      <c r="K26361" s="711"/>
      <c r="L26361" s="711"/>
      <c r="Q26361" s="11"/>
      <c r="R26361" s="11"/>
      <c r="S26361" s="11"/>
      <c r="T26361" s="11"/>
    </row>
    <row r="26362" spans="8:20" x14ac:dyDescent="0.35">
      <c r="H26362" s="711"/>
      <c r="I26362" s="711"/>
      <c r="J26362" s="711"/>
      <c r="K26362" s="711"/>
      <c r="L26362" s="711"/>
      <c r="Q26362" s="11"/>
      <c r="R26362" s="11"/>
      <c r="S26362" s="11"/>
      <c r="T26362" s="11"/>
    </row>
    <row r="26363" spans="8:20" x14ac:dyDescent="0.35">
      <c r="H26363" s="711"/>
      <c r="I26363" s="711"/>
      <c r="J26363" s="711"/>
      <c r="K26363" s="711"/>
      <c r="L26363" s="711"/>
      <c r="Q26363" s="11"/>
      <c r="R26363" s="11"/>
      <c r="S26363" s="11"/>
      <c r="T26363" s="11"/>
    </row>
    <row r="26364" spans="8:20" x14ac:dyDescent="0.35">
      <c r="H26364" s="711"/>
      <c r="I26364" s="711"/>
      <c r="J26364" s="711"/>
      <c r="K26364" s="711"/>
      <c r="L26364" s="711"/>
      <c r="Q26364" s="11"/>
      <c r="R26364" s="11"/>
      <c r="S26364" s="11"/>
      <c r="T26364" s="11"/>
    </row>
    <row r="26365" spans="8:20" x14ac:dyDescent="0.35">
      <c r="H26365" s="711"/>
      <c r="I26365" s="711"/>
      <c r="J26365" s="711"/>
      <c r="K26365" s="711"/>
      <c r="L26365" s="711"/>
      <c r="Q26365" s="11"/>
      <c r="R26365" s="11"/>
      <c r="S26365" s="11"/>
      <c r="T26365" s="11"/>
    </row>
    <row r="26366" spans="8:20" x14ac:dyDescent="0.35">
      <c r="H26366" s="711"/>
      <c r="I26366" s="711"/>
      <c r="J26366" s="711"/>
      <c r="K26366" s="711"/>
      <c r="L26366" s="711"/>
      <c r="Q26366" s="11"/>
      <c r="R26366" s="11"/>
      <c r="S26366" s="11"/>
      <c r="T26366" s="11"/>
    </row>
    <row r="26367" spans="8:20" x14ac:dyDescent="0.35">
      <c r="H26367" s="711"/>
      <c r="I26367" s="711"/>
      <c r="J26367" s="711"/>
      <c r="K26367" s="711"/>
      <c r="L26367" s="711"/>
      <c r="Q26367" s="11"/>
      <c r="R26367" s="11"/>
      <c r="S26367" s="11"/>
      <c r="T26367" s="11"/>
    </row>
    <row r="26368" spans="8:20" x14ac:dyDescent="0.35">
      <c r="H26368" s="711"/>
      <c r="I26368" s="711"/>
      <c r="J26368" s="711"/>
      <c r="K26368" s="711"/>
      <c r="L26368" s="711"/>
      <c r="Q26368" s="11"/>
      <c r="R26368" s="11"/>
      <c r="S26368" s="11"/>
      <c r="T26368" s="11"/>
    </row>
    <row r="26369" spans="8:20" x14ac:dyDescent="0.35">
      <c r="H26369" s="711"/>
      <c r="I26369" s="711"/>
      <c r="J26369" s="711"/>
      <c r="K26369" s="711"/>
      <c r="L26369" s="711"/>
      <c r="Q26369" s="11"/>
      <c r="R26369" s="11"/>
      <c r="S26369" s="11"/>
      <c r="T26369" s="11"/>
    </row>
    <row r="26370" spans="8:20" x14ac:dyDescent="0.35">
      <c r="H26370" s="711"/>
      <c r="I26370" s="711"/>
      <c r="J26370" s="711"/>
      <c r="K26370" s="711"/>
      <c r="L26370" s="711"/>
      <c r="Q26370" s="11"/>
      <c r="R26370" s="11"/>
      <c r="S26370" s="11"/>
      <c r="T26370" s="11"/>
    </row>
    <row r="26371" spans="8:20" x14ac:dyDescent="0.35">
      <c r="H26371" s="711"/>
      <c r="I26371" s="711"/>
      <c r="J26371" s="711"/>
      <c r="K26371" s="711"/>
      <c r="L26371" s="711"/>
      <c r="Q26371" s="11"/>
      <c r="R26371" s="11"/>
      <c r="S26371" s="11"/>
      <c r="T26371" s="11"/>
    </row>
    <row r="26372" spans="8:20" x14ac:dyDescent="0.35">
      <c r="H26372" s="711"/>
      <c r="I26372" s="711"/>
      <c r="J26372" s="711"/>
      <c r="K26372" s="711"/>
      <c r="L26372" s="711"/>
      <c r="Q26372" s="11"/>
      <c r="R26372" s="11"/>
      <c r="S26372" s="11"/>
      <c r="T26372" s="11"/>
    </row>
    <row r="26373" spans="8:20" x14ac:dyDescent="0.35">
      <c r="H26373" s="711"/>
      <c r="I26373" s="711"/>
      <c r="J26373" s="711"/>
      <c r="K26373" s="711"/>
      <c r="L26373" s="711"/>
      <c r="Q26373" s="11"/>
      <c r="R26373" s="11"/>
      <c r="S26373" s="11"/>
      <c r="T26373" s="11"/>
    </row>
    <row r="26374" spans="8:20" x14ac:dyDescent="0.35">
      <c r="H26374" s="711"/>
      <c r="I26374" s="711"/>
      <c r="J26374" s="711"/>
      <c r="K26374" s="711"/>
      <c r="L26374" s="711"/>
      <c r="Q26374" s="11"/>
      <c r="R26374" s="11"/>
      <c r="S26374" s="11"/>
      <c r="T26374" s="11"/>
    </row>
    <row r="26375" spans="8:20" x14ac:dyDescent="0.35">
      <c r="H26375" s="711"/>
      <c r="I26375" s="711"/>
      <c r="J26375" s="711"/>
      <c r="K26375" s="711"/>
      <c r="L26375" s="711"/>
      <c r="Q26375" s="11"/>
      <c r="R26375" s="11"/>
      <c r="S26375" s="11"/>
      <c r="T26375" s="11"/>
    </row>
    <row r="26376" spans="8:20" x14ac:dyDescent="0.35">
      <c r="H26376" s="711"/>
      <c r="I26376" s="711"/>
      <c r="J26376" s="711"/>
      <c r="K26376" s="711"/>
      <c r="L26376" s="711"/>
      <c r="Q26376" s="11"/>
      <c r="R26376" s="11"/>
      <c r="S26376" s="11"/>
      <c r="T26376" s="11"/>
    </row>
    <row r="26377" spans="8:20" x14ac:dyDescent="0.35">
      <c r="H26377" s="711"/>
      <c r="I26377" s="711"/>
      <c r="J26377" s="711"/>
      <c r="K26377" s="711"/>
      <c r="L26377" s="711"/>
      <c r="Q26377" s="11"/>
      <c r="R26377" s="11"/>
      <c r="S26377" s="11"/>
      <c r="T26377" s="11"/>
    </row>
    <row r="26378" spans="8:20" x14ac:dyDescent="0.35">
      <c r="H26378" s="711"/>
      <c r="I26378" s="711"/>
      <c r="J26378" s="711"/>
      <c r="K26378" s="711"/>
      <c r="L26378" s="711"/>
      <c r="Q26378" s="11"/>
      <c r="R26378" s="11"/>
      <c r="S26378" s="11"/>
      <c r="T26378" s="11"/>
    </row>
    <row r="26379" spans="8:20" x14ac:dyDescent="0.35">
      <c r="H26379" s="711"/>
      <c r="I26379" s="711"/>
      <c r="J26379" s="711"/>
      <c r="K26379" s="711"/>
      <c r="L26379" s="711"/>
      <c r="Q26379" s="11"/>
      <c r="R26379" s="11"/>
      <c r="S26379" s="11"/>
      <c r="T26379" s="11"/>
    </row>
    <row r="26380" spans="8:20" x14ac:dyDescent="0.35">
      <c r="H26380" s="711"/>
      <c r="I26380" s="711"/>
      <c r="J26380" s="711"/>
      <c r="K26380" s="711"/>
      <c r="L26380" s="711"/>
      <c r="Q26380" s="11"/>
      <c r="R26380" s="11"/>
      <c r="S26380" s="11"/>
      <c r="T26380" s="11"/>
    </row>
    <row r="26381" spans="8:20" x14ac:dyDescent="0.35">
      <c r="H26381" s="711"/>
      <c r="I26381" s="711"/>
      <c r="J26381" s="711"/>
      <c r="K26381" s="711"/>
      <c r="L26381" s="711"/>
      <c r="Q26381" s="11"/>
      <c r="R26381" s="11"/>
      <c r="S26381" s="11"/>
      <c r="T26381" s="11"/>
    </row>
    <row r="26382" spans="8:20" x14ac:dyDescent="0.35">
      <c r="H26382" s="711"/>
      <c r="I26382" s="711"/>
      <c r="J26382" s="711"/>
      <c r="K26382" s="711"/>
      <c r="L26382" s="711"/>
      <c r="Q26382" s="11"/>
      <c r="R26382" s="11"/>
      <c r="S26382" s="11"/>
      <c r="T26382" s="11"/>
    </row>
    <row r="26383" spans="8:20" x14ac:dyDescent="0.35">
      <c r="H26383" s="711"/>
      <c r="I26383" s="711"/>
      <c r="J26383" s="711"/>
      <c r="K26383" s="711"/>
      <c r="L26383" s="711"/>
      <c r="Q26383" s="11"/>
      <c r="R26383" s="11"/>
      <c r="S26383" s="11"/>
      <c r="T26383" s="11"/>
    </row>
    <row r="26384" spans="8:20" x14ac:dyDescent="0.35">
      <c r="H26384" s="711"/>
      <c r="I26384" s="711"/>
      <c r="J26384" s="711"/>
      <c r="K26384" s="711"/>
      <c r="L26384" s="711"/>
      <c r="Q26384" s="11"/>
      <c r="R26384" s="11"/>
      <c r="S26384" s="11"/>
      <c r="T26384" s="11"/>
    </row>
    <row r="26385" spans="8:20" x14ac:dyDescent="0.35">
      <c r="H26385" s="711"/>
      <c r="I26385" s="711"/>
      <c r="J26385" s="711"/>
      <c r="K26385" s="711"/>
      <c r="L26385" s="711"/>
      <c r="Q26385" s="11"/>
      <c r="R26385" s="11"/>
      <c r="S26385" s="11"/>
      <c r="T26385" s="11"/>
    </row>
    <row r="26386" spans="8:20" x14ac:dyDescent="0.35">
      <c r="H26386" s="711"/>
      <c r="I26386" s="711"/>
      <c r="J26386" s="711"/>
      <c r="K26386" s="711"/>
      <c r="L26386" s="711"/>
      <c r="Q26386" s="11"/>
      <c r="R26386" s="11"/>
      <c r="S26386" s="11"/>
      <c r="T26386" s="11"/>
    </row>
    <row r="26387" spans="8:20" x14ac:dyDescent="0.35">
      <c r="H26387" s="711"/>
      <c r="I26387" s="711"/>
      <c r="J26387" s="711"/>
      <c r="K26387" s="711"/>
      <c r="L26387" s="711"/>
      <c r="Q26387" s="11"/>
      <c r="R26387" s="11"/>
      <c r="S26387" s="11"/>
      <c r="T26387" s="11"/>
    </row>
    <row r="26388" spans="8:20" x14ac:dyDescent="0.35">
      <c r="H26388" s="711"/>
      <c r="I26388" s="711"/>
      <c r="J26388" s="711"/>
      <c r="K26388" s="711"/>
      <c r="L26388" s="711"/>
      <c r="Q26388" s="11"/>
      <c r="R26388" s="11"/>
      <c r="S26388" s="11"/>
      <c r="T26388" s="11"/>
    </row>
    <row r="26389" spans="8:20" x14ac:dyDescent="0.35">
      <c r="H26389" s="711"/>
      <c r="I26389" s="711"/>
      <c r="J26389" s="711"/>
      <c r="K26389" s="711"/>
      <c r="L26389" s="711"/>
      <c r="Q26389" s="11"/>
      <c r="R26389" s="11"/>
      <c r="S26389" s="11"/>
      <c r="T26389" s="11"/>
    </row>
    <row r="26390" spans="8:20" x14ac:dyDescent="0.35">
      <c r="H26390" s="711"/>
      <c r="I26390" s="711"/>
      <c r="J26390" s="711"/>
      <c r="K26390" s="711"/>
      <c r="L26390" s="711"/>
      <c r="Q26390" s="11"/>
      <c r="R26390" s="11"/>
      <c r="S26390" s="11"/>
      <c r="T26390" s="11"/>
    </row>
    <row r="26391" spans="8:20" x14ac:dyDescent="0.35">
      <c r="H26391" s="711"/>
      <c r="I26391" s="711"/>
      <c r="J26391" s="711"/>
      <c r="K26391" s="711"/>
      <c r="L26391" s="711"/>
      <c r="Q26391" s="11"/>
      <c r="R26391" s="11"/>
      <c r="S26391" s="11"/>
      <c r="T26391" s="11"/>
    </row>
    <row r="26392" spans="8:20" x14ac:dyDescent="0.35">
      <c r="H26392" s="711"/>
      <c r="I26392" s="711"/>
      <c r="J26392" s="711"/>
      <c r="K26392" s="711"/>
      <c r="L26392" s="711"/>
      <c r="Q26392" s="11"/>
      <c r="R26392" s="11"/>
      <c r="S26392" s="11"/>
      <c r="T26392" s="11"/>
    </row>
    <row r="26393" spans="8:20" x14ac:dyDescent="0.35">
      <c r="H26393" s="711"/>
      <c r="I26393" s="711"/>
      <c r="J26393" s="711"/>
      <c r="K26393" s="711"/>
      <c r="L26393" s="711"/>
      <c r="Q26393" s="11"/>
      <c r="R26393" s="11"/>
      <c r="S26393" s="11"/>
      <c r="T26393" s="11"/>
    </row>
    <row r="26394" spans="8:20" x14ac:dyDescent="0.35">
      <c r="H26394" s="711"/>
      <c r="I26394" s="711"/>
      <c r="J26394" s="711"/>
      <c r="K26394" s="711"/>
      <c r="L26394" s="711"/>
      <c r="Q26394" s="11"/>
      <c r="R26394" s="11"/>
      <c r="S26394" s="11"/>
      <c r="T26394" s="11"/>
    </row>
    <row r="26395" spans="8:20" x14ac:dyDescent="0.35">
      <c r="H26395" s="711"/>
      <c r="I26395" s="711"/>
      <c r="J26395" s="711"/>
      <c r="K26395" s="711"/>
      <c r="L26395" s="711"/>
      <c r="Q26395" s="11"/>
      <c r="R26395" s="11"/>
      <c r="S26395" s="11"/>
      <c r="T26395" s="11"/>
    </row>
    <row r="26396" spans="8:20" x14ac:dyDescent="0.35">
      <c r="H26396" s="711"/>
      <c r="I26396" s="711"/>
      <c r="J26396" s="711"/>
      <c r="K26396" s="711"/>
      <c r="L26396" s="711"/>
      <c r="Q26396" s="11"/>
      <c r="R26396" s="11"/>
      <c r="S26396" s="11"/>
      <c r="T26396" s="11"/>
    </row>
    <row r="26397" spans="8:20" x14ac:dyDescent="0.35">
      <c r="H26397" s="711"/>
      <c r="I26397" s="711"/>
      <c r="J26397" s="711"/>
      <c r="K26397" s="711"/>
      <c r="L26397" s="711"/>
      <c r="Q26397" s="11"/>
      <c r="R26397" s="11"/>
      <c r="S26397" s="11"/>
      <c r="T26397" s="11"/>
    </row>
    <row r="26398" spans="8:20" x14ac:dyDescent="0.35">
      <c r="H26398" s="711"/>
      <c r="I26398" s="711"/>
      <c r="J26398" s="711"/>
      <c r="K26398" s="711"/>
      <c r="L26398" s="711"/>
      <c r="Q26398" s="11"/>
      <c r="R26398" s="11"/>
      <c r="S26398" s="11"/>
      <c r="T26398" s="11"/>
    </row>
    <row r="26399" spans="8:20" x14ac:dyDescent="0.35">
      <c r="H26399" s="711"/>
      <c r="I26399" s="711"/>
      <c r="J26399" s="711"/>
      <c r="K26399" s="711"/>
      <c r="L26399" s="711"/>
      <c r="Q26399" s="11"/>
      <c r="R26399" s="11"/>
      <c r="S26399" s="11"/>
      <c r="T26399" s="11"/>
    </row>
    <row r="26400" spans="8:20" x14ac:dyDescent="0.35">
      <c r="H26400" s="711"/>
      <c r="I26400" s="711"/>
      <c r="J26400" s="711"/>
      <c r="K26400" s="711"/>
      <c r="L26400" s="711"/>
      <c r="Q26400" s="11"/>
      <c r="R26400" s="11"/>
      <c r="S26400" s="11"/>
      <c r="T26400" s="11"/>
    </row>
    <row r="26401" spans="8:20" x14ac:dyDescent="0.35">
      <c r="H26401" s="711"/>
      <c r="I26401" s="711"/>
      <c r="J26401" s="711"/>
      <c r="K26401" s="711"/>
      <c r="L26401" s="711"/>
      <c r="Q26401" s="11"/>
      <c r="R26401" s="11"/>
      <c r="S26401" s="11"/>
      <c r="T26401" s="11"/>
    </row>
    <row r="26402" spans="8:20" x14ac:dyDescent="0.35">
      <c r="H26402" s="711"/>
      <c r="I26402" s="711"/>
      <c r="J26402" s="711"/>
      <c r="K26402" s="711"/>
      <c r="L26402" s="711"/>
      <c r="Q26402" s="11"/>
      <c r="R26402" s="11"/>
      <c r="S26402" s="11"/>
      <c r="T26402" s="11"/>
    </row>
    <row r="26403" spans="8:20" x14ac:dyDescent="0.35">
      <c r="H26403" s="711"/>
      <c r="I26403" s="711"/>
      <c r="J26403" s="711"/>
      <c r="K26403" s="711"/>
      <c r="L26403" s="711"/>
      <c r="Q26403" s="11"/>
      <c r="R26403" s="11"/>
      <c r="S26403" s="11"/>
      <c r="T26403" s="11"/>
    </row>
    <row r="26404" spans="8:20" x14ac:dyDescent="0.35">
      <c r="H26404" s="711"/>
      <c r="I26404" s="711"/>
      <c r="J26404" s="711"/>
      <c r="K26404" s="711"/>
      <c r="L26404" s="711"/>
      <c r="Q26404" s="11"/>
      <c r="R26404" s="11"/>
      <c r="S26404" s="11"/>
      <c r="T26404" s="11"/>
    </row>
    <row r="26405" spans="8:20" x14ac:dyDescent="0.35">
      <c r="H26405" s="711"/>
      <c r="I26405" s="711"/>
      <c r="J26405" s="711"/>
      <c r="K26405" s="711"/>
      <c r="L26405" s="711"/>
      <c r="Q26405" s="11"/>
      <c r="R26405" s="11"/>
      <c r="S26405" s="11"/>
      <c r="T26405" s="11"/>
    </row>
    <row r="26406" spans="8:20" x14ac:dyDescent="0.35">
      <c r="H26406" s="711"/>
      <c r="I26406" s="711"/>
      <c r="J26406" s="711"/>
      <c r="K26406" s="711"/>
      <c r="L26406" s="711"/>
      <c r="Q26406" s="11"/>
      <c r="R26406" s="11"/>
      <c r="S26406" s="11"/>
      <c r="T26406" s="11"/>
    </row>
    <row r="26407" spans="8:20" x14ac:dyDescent="0.35">
      <c r="H26407" s="711"/>
      <c r="I26407" s="711"/>
      <c r="J26407" s="711"/>
      <c r="K26407" s="711"/>
      <c r="L26407" s="711"/>
      <c r="Q26407" s="11"/>
      <c r="R26407" s="11"/>
      <c r="S26407" s="11"/>
      <c r="T26407" s="11"/>
    </row>
    <row r="26408" spans="8:20" x14ac:dyDescent="0.35">
      <c r="H26408" s="711"/>
      <c r="I26408" s="711"/>
      <c r="J26408" s="711"/>
      <c r="K26408" s="711"/>
      <c r="L26408" s="711"/>
      <c r="Q26408" s="11"/>
      <c r="R26408" s="11"/>
      <c r="S26408" s="11"/>
      <c r="T26408" s="11"/>
    </row>
    <row r="26409" spans="8:20" x14ac:dyDescent="0.35">
      <c r="H26409" s="711"/>
      <c r="I26409" s="711"/>
      <c r="J26409" s="711"/>
      <c r="K26409" s="711"/>
      <c r="L26409" s="711"/>
      <c r="Q26409" s="11"/>
      <c r="R26409" s="11"/>
      <c r="S26409" s="11"/>
      <c r="T26409" s="11"/>
    </row>
    <row r="26410" spans="8:20" x14ac:dyDescent="0.35">
      <c r="H26410" s="711"/>
      <c r="I26410" s="711"/>
      <c r="J26410" s="711"/>
      <c r="K26410" s="711"/>
      <c r="L26410" s="711"/>
      <c r="Q26410" s="11"/>
      <c r="R26410" s="11"/>
      <c r="S26410" s="11"/>
      <c r="T26410" s="11"/>
    </row>
    <row r="26411" spans="8:20" x14ac:dyDescent="0.35">
      <c r="H26411" s="711"/>
      <c r="I26411" s="711"/>
      <c r="J26411" s="711"/>
      <c r="K26411" s="711"/>
      <c r="L26411" s="711"/>
      <c r="Q26411" s="11"/>
      <c r="R26411" s="11"/>
      <c r="S26411" s="11"/>
      <c r="T26411" s="11"/>
    </row>
    <row r="26412" spans="8:20" x14ac:dyDescent="0.35">
      <c r="H26412" s="711"/>
      <c r="I26412" s="711"/>
      <c r="J26412" s="711"/>
      <c r="K26412" s="711"/>
      <c r="L26412" s="711"/>
      <c r="Q26412" s="11"/>
      <c r="R26412" s="11"/>
      <c r="S26412" s="11"/>
      <c r="T26412" s="11"/>
    </row>
    <row r="26413" spans="8:20" x14ac:dyDescent="0.35">
      <c r="H26413" s="711"/>
      <c r="I26413" s="711"/>
      <c r="J26413" s="711"/>
      <c r="K26413" s="711"/>
      <c r="L26413" s="711"/>
      <c r="Q26413" s="11"/>
      <c r="R26413" s="11"/>
      <c r="S26413" s="11"/>
      <c r="T26413" s="11"/>
    </row>
    <row r="26414" spans="8:20" x14ac:dyDescent="0.35">
      <c r="H26414" s="711"/>
      <c r="I26414" s="711"/>
      <c r="J26414" s="711"/>
      <c r="K26414" s="711"/>
      <c r="L26414" s="711"/>
      <c r="Q26414" s="11"/>
      <c r="R26414" s="11"/>
      <c r="S26414" s="11"/>
      <c r="T26414" s="11"/>
    </row>
    <row r="26415" spans="8:20" x14ac:dyDescent="0.35">
      <c r="H26415" s="711"/>
      <c r="I26415" s="711"/>
      <c r="J26415" s="711"/>
      <c r="K26415" s="711"/>
      <c r="L26415" s="711"/>
      <c r="Q26415" s="11"/>
      <c r="R26415" s="11"/>
      <c r="S26415" s="11"/>
      <c r="T26415" s="11"/>
    </row>
    <row r="26416" spans="8:20" x14ac:dyDescent="0.35">
      <c r="H26416" s="711"/>
      <c r="I26416" s="711"/>
      <c r="J26416" s="711"/>
      <c r="K26416" s="711"/>
      <c r="L26416" s="711"/>
      <c r="Q26416" s="11"/>
      <c r="R26416" s="11"/>
      <c r="S26416" s="11"/>
      <c r="T26416" s="11"/>
    </row>
    <row r="26417" spans="8:20" x14ac:dyDescent="0.35">
      <c r="H26417" s="711"/>
      <c r="I26417" s="711"/>
      <c r="J26417" s="711"/>
      <c r="K26417" s="711"/>
      <c r="L26417" s="711"/>
      <c r="Q26417" s="11"/>
      <c r="R26417" s="11"/>
      <c r="S26417" s="11"/>
      <c r="T26417" s="11"/>
    </row>
    <row r="26418" spans="8:20" x14ac:dyDescent="0.35">
      <c r="H26418" s="711"/>
      <c r="I26418" s="711"/>
      <c r="J26418" s="711"/>
      <c r="K26418" s="711"/>
      <c r="L26418" s="711"/>
      <c r="Q26418" s="11"/>
      <c r="R26418" s="11"/>
      <c r="S26418" s="11"/>
      <c r="T26418" s="11"/>
    </row>
    <row r="26419" spans="8:20" x14ac:dyDescent="0.35">
      <c r="H26419" s="711"/>
      <c r="I26419" s="711"/>
      <c r="J26419" s="711"/>
      <c r="K26419" s="711"/>
      <c r="L26419" s="711"/>
      <c r="Q26419" s="11"/>
      <c r="R26419" s="11"/>
      <c r="S26419" s="11"/>
      <c r="T26419" s="11"/>
    </row>
    <row r="26420" spans="8:20" x14ac:dyDescent="0.35">
      <c r="H26420" s="711"/>
      <c r="I26420" s="711"/>
      <c r="J26420" s="711"/>
      <c r="K26420" s="711"/>
      <c r="L26420" s="711"/>
      <c r="Q26420" s="11"/>
      <c r="R26420" s="11"/>
      <c r="S26420" s="11"/>
      <c r="T26420" s="11"/>
    </row>
    <row r="26421" spans="8:20" x14ac:dyDescent="0.35">
      <c r="H26421" s="711"/>
      <c r="I26421" s="711"/>
      <c r="J26421" s="711"/>
      <c r="K26421" s="711"/>
      <c r="L26421" s="711"/>
      <c r="Q26421" s="11"/>
      <c r="R26421" s="11"/>
      <c r="S26421" s="11"/>
      <c r="T26421" s="11"/>
    </row>
    <row r="26422" spans="8:20" x14ac:dyDescent="0.35">
      <c r="H26422" s="711"/>
      <c r="I26422" s="711"/>
      <c r="J26422" s="711"/>
      <c r="K26422" s="711"/>
      <c r="L26422" s="711"/>
      <c r="Q26422" s="11"/>
      <c r="R26422" s="11"/>
      <c r="S26422" s="11"/>
      <c r="T26422" s="11"/>
    </row>
    <row r="26423" spans="8:20" x14ac:dyDescent="0.35">
      <c r="H26423" s="711"/>
      <c r="I26423" s="711"/>
      <c r="J26423" s="711"/>
      <c r="K26423" s="711"/>
      <c r="L26423" s="711"/>
      <c r="Q26423" s="11"/>
      <c r="R26423" s="11"/>
      <c r="S26423" s="11"/>
      <c r="T26423" s="11"/>
    </row>
    <row r="26424" spans="8:20" x14ac:dyDescent="0.35">
      <c r="H26424" s="711"/>
      <c r="I26424" s="711"/>
      <c r="J26424" s="711"/>
      <c r="K26424" s="711"/>
      <c r="L26424" s="711"/>
      <c r="Q26424" s="11"/>
      <c r="R26424" s="11"/>
      <c r="S26424" s="11"/>
      <c r="T26424" s="11"/>
    </row>
    <row r="26425" spans="8:20" x14ac:dyDescent="0.35">
      <c r="H26425" s="711"/>
      <c r="I26425" s="711"/>
      <c r="J26425" s="711"/>
      <c r="K26425" s="711"/>
      <c r="L26425" s="711"/>
      <c r="Q26425" s="11"/>
      <c r="R26425" s="11"/>
      <c r="S26425" s="11"/>
      <c r="T26425" s="11"/>
    </row>
    <row r="26426" spans="8:20" x14ac:dyDescent="0.35">
      <c r="H26426" s="711"/>
      <c r="I26426" s="711"/>
      <c r="J26426" s="711"/>
      <c r="K26426" s="711"/>
      <c r="L26426" s="711"/>
      <c r="Q26426" s="11"/>
      <c r="R26426" s="11"/>
      <c r="S26426" s="11"/>
      <c r="T26426" s="11"/>
    </row>
    <row r="26427" spans="8:20" x14ac:dyDescent="0.35">
      <c r="H26427" s="711"/>
      <c r="I26427" s="711"/>
      <c r="J26427" s="711"/>
      <c r="K26427" s="711"/>
      <c r="L26427" s="711"/>
      <c r="Q26427" s="11"/>
      <c r="R26427" s="11"/>
      <c r="S26427" s="11"/>
      <c r="T26427" s="11"/>
    </row>
    <row r="26428" spans="8:20" x14ac:dyDescent="0.35">
      <c r="H26428" s="711"/>
      <c r="I26428" s="711"/>
      <c r="J26428" s="711"/>
      <c r="K26428" s="711"/>
      <c r="L26428" s="711"/>
      <c r="Q26428" s="11"/>
      <c r="R26428" s="11"/>
      <c r="S26428" s="11"/>
      <c r="T26428" s="11"/>
    </row>
    <row r="26429" spans="8:20" x14ac:dyDescent="0.35">
      <c r="H26429" s="711"/>
      <c r="I26429" s="711"/>
      <c r="J26429" s="711"/>
      <c r="K26429" s="711"/>
      <c r="L26429" s="711"/>
      <c r="Q26429" s="11"/>
      <c r="R26429" s="11"/>
      <c r="S26429" s="11"/>
      <c r="T26429" s="11"/>
    </row>
    <row r="26430" spans="8:20" x14ac:dyDescent="0.35">
      <c r="H26430" s="711"/>
      <c r="I26430" s="711"/>
      <c r="J26430" s="711"/>
      <c r="K26430" s="711"/>
      <c r="L26430" s="711"/>
      <c r="Q26430" s="11"/>
      <c r="R26430" s="11"/>
      <c r="S26430" s="11"/>
      <c r="T26430" s="11"/>
    </row>
    <row r="26431" spans="8:20" x14ac:dyDescent="0.35">
      <c r="H26431" s="711"/>
      <c r="I26431" s="711"/>
      <c r="J26431" s="711"/>
      <c r="K26431" s="711"/>
      <c r="L26431" s="711"/>
      <c r="Q26431" s="11"/>
      <c r="R26431" s="11"/>
      <c r="S26431" s="11"/>
      <c r="T26431" s="11"/>
    </row>
    <row r="26432" spans="8:20" x14ac:dyDescent="0.35">
      <c r="H26432" s="711"/>
      <c r="I26432" s="711"/>
      <c r="J26432" s="711"/>
      <c r="K26432" s="711"/>
      <c r="L26432" s="711"/>
      <c r="Q26432" s="11"/>
      <c r="R26432" s="11"/>
      <c r="S26432" s="11"/>
      <c r="T26432" s="11"/>
    </row>
    <row r="26433" spans="8:20" x14ac:dyDescent="0.35">
      <c r="H26433" s="711"/>
      <c r="I26433" s="711"/>
      <c r="J26433" s="711"/>
      <c r="K26433" s="711"/>
      <c r="L26433" s="711"/>
      <c r="Q26433" s="11"/>
      <c r="R26433" s="11"/>
      <c r="S26433" s="11"/>
      <c r="T26433" s="11"/>
    </row>
    <row r="26434" spans="8:20" x14ac:dyDescent="0.35">
      <c r="H26434" s="711"/>
      <c r="I26434" s="711"/>
      <c r="J26434" s="711"/>
      <c r="K26434" s="711"/>
      <c r="L26434" s="711"/>
      <c r="Q26434" s="11"/>
      <c r="R26434" s="11"/>
      <c r="S26434" s="11"/>
      <c r="T26434" s="11"/>
    </row>
    <row r="26435" spans="8:20" x14ac:dyDescent="0.35">
      <c r="H26435" s="711"/>
      <c r="I26435" s="711"/>
      <c r="J26435" s="711"/>
      <c r="K26435" s="711"/>
      <c r="L26435" s="711"/>
      <c r="Q26435" s="11"/>
      <c r="R26435" s="11"/>
      <c r="S26435" s="11"/>
      <c r="T26435" s="11"/>
    </row>
    <row r="26436" spans="8:20" x14ac:dyDescent="0.35">
      <c r="H26436" s="711"/>
      <c r="I26436" s="711"/>
      <c r="J26436" s="711"/>
      <c r="K26436" s="711"/>
      <c r="L26436" s="711"/>
      <c r="Q26436" s="11"/>
      <c r="R26436" s="11"/>
      <c r="S26436" s="11"/>
      <c r="T26436" s="11"/>
    </row>
    <row r="26437" spans="8:20" x14ac:dyDescent="0.35">
      <c r="H26437" s="711"/>
      <c r="I26437" s="711"/>
      <c r="J26437" s="711"/>
      <c r="K26437" s="711"/>
      <c r="L26437" s="711"/>
      <c r="Q26437" s="11"/>
      <c r="R26437" s="11"/>
      <c r="S26437" s="11"/>
      <c r="T26437" s="11"/>
    </row>
    <row r="26438" spans="8:20" x14ac:dyDescent="0.35">
      <c r="H26438" s="711"/>
      <c r="I26438" s="711"/>
      <c r="J26438" s="711"/>
      <c r="K26438" s="711"/>
      <c r="L26438" s="711"/>
      <c r="Q26438" s="11"/>
      <c r="R26438" s="11"/>
      <c r="S26438" s="11"/>
      <c r="T26438" s="11"/>
    </row>
    <row r="26439" spans="8:20" x14ac:dyDescent="0.35">
      <c r="H26439" s="711"/>
      <c r="I26439" s="711"/>
      <c r="J26439" s="711"/>
      <c r="K26439" s="711"/>
      <c r="L26439" s="711"/>
      <c r="Q26439" s="11"/>
      <c r="R26439" s="11"/>
      <c r="S26439" s="11"/>
      <c r="T26439" s="11"/>
    </row>
    <row r="26440" spans="8:20" x14ac:dyDescent="0.35">
      <c r="H26440" s="711"/>
      <c r="I26440" s="711"/>
      <c r="J26440" s="711"/>
      <c r="K26440" s="711"/>
      <c r="L26440" s="711"/>
      <c r="Q26440" s="11"/>
      <c r="R26440" s="11"/>
      <c r="S26440" s="11"/>
      <c r="T26440" s="11"/>
    </row>
    <row r="26441" spans="8:20" x14ac:dyDescent="0.35">
      <c r="H26441" s="711"/>
      <c r="I26441" s="711"/>
      <c r="J26441" s="711"/>
      <c r="K26441" s="711"/>
      <c r="L26441" s="711"/>
      <c r="Q26441" s="11"/>
      <c r="R26441" s="11"/>
      <c r="S26441" s="11"/>
      <c r="T26441" s="11"/>
    </row>
    <row r="26442" spans="8:20" x14ac:dyDescent="0.35">
      <c r="H26442" s="711"/>
      <c r="I26442" s="711"/>
      <c r="J26442" s="711"/>
      <c r="K26442" s="711"/>
      <c r="L26442" s="711"/>
      <c r="Q26442" s="11"/>
      <c r="R26442" s="11"/>
      <c r="S26442" s="11"/>
      <c r="T26442" s="11"/>
    </row>
    <row r="26443" spans="8:20" x14ac:dyDescent="0.35">
      <c r="H26443" s="711"/>
      <c r="I26443" s="711"/>
      <c r="J26443" s="711"/>
      <c r="K26443" s="711"/>
      <c r="L26443" s="711"/>
      <c r="Q26443" s="11"/>
      <c r="R26443" s="11"/>
      <c r="S26443" s="11"/>
      <c r="T26443" s="11"/>
    </row>
    <row r="26444" spans="8:20" x14ac:dyDescent="0.35">
      <c r="H26444" s="711"/>
      <c r="I26444" s="711"/>
      <c r="J26444" s="711"/>
      <c r="K26444" s="711"/>
      <c r="L26444" s="711"/>
      <c r="Q26444" s="11"/>
      <c r="R26444" s="11"/>
      <c r="S26444" s="11"/>
      <c r="T26444" s="11"/>
    </row>
    <row r="26445" spans="8:20" x14ac:dyDescent="0.35">
      <c r="H26445" s="711"/>
      <c r="I26445" s="711"/>
      <c r="J26445" s="711"/>
      <c r="K26445" s="711"/>
      <c r="L26445" s="711"/>
      <c r="Q26445" s="11"/>
      <c r="R26445" s="11"/>
      <c r="S26445" s="11"/>
      <c r="T26445" s="11"/>
    </row>
    <row r="26446" spans="8:20" x14ac:dyDescent="0.35">
      <c r="H26446" s="711"/>
      <c r="I26446" s="711"/>
      <c r="J26446" s="711"/>
      <c r="K26446" s="711"/>
      <c r="L26446" s="711"/>
      <c r="Q26446" s="11"/>
      <c r="R26446" s="11"/>
      <c r="S26446" s="11"/>
      <c r="T26446" s="11"/>
    </row>
    <row r="26447" spans="8:20" x14ac:dyDescent="0.35">
      <c r="H26447" s="711"/>
      <c r="I26447" s="711"/>
      <c r="J26447" s="711"/>
      <c r="K26447" s="711"/>
      <c r="L26447" s="711"/>
      <c r="Q26447" s="11"/>
      <c r="R26447" s="11"/>
      <c r="S26447" s="11"/>
      <c r="T26447" s="11"/>
    </row>
    <row r="26448" spans="8:20" x14ac:dyDescent="0.35">
      <c r="H26448" s="711"/>
      <c r="I26448" s="711"/>
      <c r="J26448" s="711"/>
      <c r="K26448" s="711"/>
      <c r="L26448" s="711"/>
      <c r="Q26448" s="11"/>
      <c r="R26448" s="11"/>
      <c r="S26448" s="11"/>
      <c r="T26448" s="11"/>
    </row>
    <row r="26449" spans="8:20" x14ac:dyDescent="0.35">
      <c r="H26449" s="711"/>
      <c r="I26449" s="711"/>
      <c r="J26449" s="711"/>
      <c r="K26449" s="711"/>
      <c r="L26449" s="711"/>
      <c r="Q26449" s="11"/>
      <c r="R26449" s="11"/>
      <c r="S26449" s="11"/>
      <c r="T26449" s="11"/>
    </row>
    <row r="26450" spans="8:20" x14ac:dyDescent="0.35">
      <c r="H26450" s="711"/>
      <c r="I26450" s="711"/>
      <c r="J26450" s="711"/>
      <c r="K26450" s="711"/>
      <c r="L26450" s="711"/>
      <c r="Q26450" s="11"/>
      <c r="R26450" s="11"/>
      <c r="S26450" s="11"/>
      <c r="T26450" s="11"/>
    </row>
    <row r="26451" spans="8:20" x14ac:dyDescent="0.35">
      <c r="H26451" s="711"/>
      <c r="I26451" s="711"/>
      <c r="J26451" s="711"/>
      <c r="K26451" s="711"/>
      <c r="L26451" s="711"/>
      <c r="Q26451" s="11"/>
      <c r="R26451" s="11"/>
      <c r="S26451" s="11"/>
      <c r="T26451" s="11"/>
    </row>
    <row r="26452" spans="8:20" x14ac:dyDescent="0.35">
      <c r="H26452" s="711"/>
      <c r="I26452" s="711"/>
      <c r="J26452" s="711"/>
      <c r="K26452" s="711"/>
      <c r="L26452" s="711"/>
      <c r="Q26452" s="11"/>
      <c r="R26452" s="11"/>
      <c r="S26452" s="11"/>
      <c r="T26452" s="11"/>
    </row>
    <row r="26453" spans="8:20" x14ac:dyDescent="0.35">
      <c r="H26453" s="711"/>
      <c r="I26453" s="711"/>
      <c r="J26453" s="711"/>
      <c r="K26453" s="711"/>
      <c r="L26453" s="711"/>
      <c r="Q26453" s="11"/>
      <c r="R26453" s="11"/>
      <c r="S26453" s="11"/>
      <c r="T26453" s="11"/>
    </row>
    <row r="26454" spans="8:20" x14ac:dyDescent="0.35">
      <c r="H26454" s="711"/>
      <c r="I26454" s="711"/>
      <c r="J26454" s="711"/>
      <c r="K26454" s="711"/>
      <c r="L26454" s="711"/>
      <c r="Q26454" s="11"/>
      <c r="R26454" s="11"/>
      <c r="S26454" s="11"/>
      <c r="T26454" s="11"/>
    </row>
    <row r="26455" spans="8:20" x14ac:dyDescent="0.35">
      <c r="H26455" s="711"/>
      <c r="I26455" s="711"/>
      <c r="J26455" s="711"/>
      <c r="K26455" s="711"/>
      <c r="L26455" s="711"/>
      <c r="Q26455" s="11"/>
      <c r="R26455" s="11"/>
      <c r="S26455" s="11"/>
      <c r="T26455" s="11"/>
    </row>
    <row r="26456" spans="8:20" x14ac:dyDescent="0.35">
      <c r="H26456" s="711"/>
      <c r="I26456" s="711"/>
      <c r="J26456" s="711"/>
      <c r="K26456" s="711"/>
      <c r="L26456" s="711"/>
      <c r="Q26456" s="11"/>
      <c r="R26456" s="11"/>
      <c r="S26456" s="11"/>
      <c r="T26456" s="11"/>
    </row>
    <row r="26457" spans="8:20" x14ac:dyDescent="0.35">
      <c r="H26457" s="711"/>
      <c r="I26457" s="711"/>
      <c r="J26457" s="711"/>
      <c r="K26457" s="711"/>
      <c r="L26457" s="711"/>
      <c r="Q26457" s="11"/>
      <c r="R26457" s="11"/>
      <c r="S26457" s="11"/>
      <c r="T26457" s="11"/>
    </row>
    <row r="26458" spans="8:20" x14ac:dyDescent="0.35">
      <c r="H26458" s="711"/>
      <c r="I26458" s="711"/>
      <c r="J26458" s="711"/>
      <c r="K26458" s="711"/>
      <c r="L26458" s="711"/>
      <c r="Q26458" s="11"/>
      <c r="R26458" s="11"/>
      <c r="S26458" s="11"/>
      <c r="T26458" s="11"/>
    </row>
    <row r="26459" spans="8:20" x14ac:dyDescent="0.35">
      <c r="H26459" s="711"/>
      <c r="I26459" s="711"/>
      <c r="J26459" s="711"/>
      <c r="K26459" s="711"/>
      <c r="L26459" s="711"/>
      <c r="Q26459" s="11"/>
      <c r="R26459" s="11"/>
      <c r="S26459" s="11"/>
      <c r="T26459" s="11"/>
    </row>
    <row r="26460" spans="8:20" x14ac:dyDescent="0.35">
      <c r="H26460" s="711"/>
      <c r="I26460" s="711"/>
      <c r="J26460" s="711"/>
      <c r="K26460" s="711"/>
      <c r="L26460" s="711"/>
      <c r="Q26460" s="11"/>
      <c r="R26460" s="11"/>
      <c r="S26460" s="11"/>
      <c r="T26460" s="11"/>
    </row>
    <row r="26461" spans="8:20" x14ac:dyDescent="0.35">
      <c r="H26461" s="711"/>
      <c r="I26461" s="711"/>
      <c r="J26461" s="711"/>
      <c r="K26461" s="711"/>
      <c r="L26461" s="711"/>
      <c r="Q26461" s="11"/>
      <c r="R26461" s="11"/>
      <c r="S26461" s="11"/>
      <c r="T26461" s="11"/>
    </row>
    <row r="26462" spans="8:20" x14ac:dyDescent="0.35">
      <c r="H26462" s="711"/>
      <c r="I26462" s="711"/>
      <c r="J26462" s="711"/>
      <c r="K26462" s="711"/>
      <c r="L26462" s="711"/>
      <c r="Q26462" s="11"/>
      <c r="R26462" s="11"/>
      <c r="S26462" s="11"/>
      <c r="T26462" s="11"/>
    </row>
    <row r="26463" spans="8:20" x14ac:dyDescent="0.35">
      <c r="H26463" s="711"/>
      <c r="I26463" s="711"/>
      <c r="J26463" s="711"/>
      <c r="K26463" s="711"/>
      <c r="L26463" s="711"/>
      <c r="Q26463" s="11"/>
      <c r="R26463" s="11"/>
      <c r="S26463" s="11"/>
      <c r="T26463" s="11"/>
    </row>
    <row r="26464" spans="8:20" x14ac:dyDescent="0.35">
      <c r="H26464" s="711"/>
      <c r="I26464" s="711"/>
      <c r="J26464" s="711"/>
      <c r="K26464" s="711"/>
      <c r="L26464" s="711"/>
      <c r="Q26464" s="11"/>
      <c r="R26464" s="11"/>
      <c r="S26464" s="11"/>
      <c r="T26464" s="11"/>
    </row>
    <row r="26465" spans="8:20" x14ac:dyDescent="0.35">
      <c r="H26465" s="711"/>
      <c r="I26465" s="711"/>
      <c r="J26465" s="711"/>
      <c r="K26465" s="711"/>
      <c r="L26465" s="711"/>
      <c r="Q26465" s="11"/>
      <c r="R26465" s="11"/>
      <c r="S26465" s="11"/>
      <c r="T26465" s="11"/>
    </row>
    <row r="26466" spans="8:20" x14ac:dyDescent="0.35">
      <c r="H26466" s="711"/>
      <c r="I26466" s="711"/>
      <c r="J26466" s="711"/>
      <c r="K26466" s="711"/>
      <c r="L26466" s="711"/>
      <c r="Q26466" s="11"/>
      <c r="R26466" s="11"/>
      <c r="S26466" s="11"/>
      <c r="T26466" s="11"/>
    </row>
    <row r="26467" spans="8:20" x14ac:dyDescent="0.35">
      <c r="H26467" s="711"/>
      <c r="I26467" s="711"/>
      <c r="J26467" s="711"/>
      <c r="K26467" s="711"/>
      <c r="L26467" s="711"/>
      <c r="Q26467" s="11"/>
      <c r="R26467" s="11"/>
      <c r="S26467" s="11"/>
      <c r="T26467" s="11"/>
    </row>
    <row r="26468" spans="8:20" x14ac:dyDescent="0.35">
      <c r="H26468" s="711"/>
      <c r="I26468" s="711"/>
      <c r="J26468" s="711"/>
      <c r="K26468" s="711"/>
      <c r="L26468" s="711"/>
      <c r="Q26468" s="11"/>
      <c r="R26468" s="11"/>
      <c r="S26468" s="11"/>
      <c r="T26468" s="11"/>
    </row>
    <row r="26469" spans="8:20" x14ac:dyDescent="0.35">
      <c r="H26469" s="711"/>
      <c r="I26469" s="711"/>
      <c r="J26469" s="711"/>
      <c r="K26469" s="711"/>
      <c r="L26469" s="711"/>
      <c r="Q26469" s="11"/>
      <c r="R26469" s="11"/>
      <c r="S26469" s="11"/>
      <c r="T26469" s="11"/>
    </row>
    <row r="26470" spans="8:20" x14ac:dyDescent="0.35">
      <c r="H26470" s="711"/>
      <c r="I26470" s="711"/>
      <c r="J26470" s="711"/>
      <c r="K26470" s="711"/>
      <c r="L26470" s="711"/>
      <c r="Q26470" s="11"/>
      <c r="R26470" s="11"/>
      <c r="S26470" s="11"/>
      <c r="T26470" s="11"/>
    </row>
    <row r="26471" spans="8:20" x14ac:dyDescent="0.35">
      <c r="H26471" s="711"/>
      <c r="I26471" s="711"/>
      <c r="J26471" s="711"/>
      <c r="K26471" s="711"/>
      <c r="L26471" s="711"/>
      <c r="Q26471" s="11"/>
      <c r="R26471" s="11"/>
      <c r="S26471" s="11"/>
      <c r="T26471" s="11"/>
    </row>
    <row r="26472" spans="8:20" x14ac:dyDescent="0.35">
      <c r="H26472" s="711"/>
      <c r="I26472" s="711"/>
      <c r="J26472" s="711"/>
      <c r="K26472" s="711"/>
      <c r="L26472" s="711"/>
      <c r="Q26472" s="11"/>
      <c r="R26472" s="11"/>
      <c r="S26472" s="11"/>
      <c r="T26472" s="11"/>
    </row>
    <row r="26473" spans="8:20" x14ac:dyDescent="0.35">
      <c r="H26473" s="711"/>
      <c r="I26473" s="711"/>
      <c r="J26473" s="711"/>
      <c r="K26473" s="711"/>
      <c r="L26473" s="711"/>
      <c r="Q26473" s="11"/>
      <c r="R26473" s="11"/>
      <c r="S26473" s="11"/>
      <c r="T26473" s="11"/>
    </row>
    <row r="26474" spans="8:20" x14ac:dyDescent="0.35">
      <c r="H26474" s="711"/>
      <c r="I26474" s="711"/>
      <c r="J26474" s="711"/>
      <c r="K26474" s="711"/>
      <c r="L26474" s="711"/>
      <c r="Q26474" s="11"/>
      <c r="R26474" s="11"/>
      <c r="S26474" s="11"/>
      <c r="T26474" s="11"/>
    </row>
    <row r="26475" spans="8:20" x14ac:dyDescent="0.35">
      <c r="H26475" s="711"/>
      <c r="I26475" s="711"/>
      <c r="J26475" s="711"/>
      <c r="K26475" s="711"/>
      <c r="L26475" s="711"/>
      <c r="Q26475" s="11"/>
      <c r="R26475" s="11"/>
      <c r="S26475" s="11"/>
      <c r="T26475" s="11"/>
    </row>
    <row r="26476" spans="8:20" x14ac:dyDescent="0.35">
      <c r="H26476" s="711"/>
      <c r="I26476" s="711"/>
      <c r="J26476" s="711"/>
      <c r="K26476" s="711"/>
      <c r="L26476" s="711"/>
      <c r="Q26476" s="11"/>
      <c r="R26476" s="11"/>
      <c r="S26476" s="11"/>
      <c r="T26476" s="11"/>
    </row>
    <row r="26477" spans="8:20" x14ac:dyDescent="0.35">
      <c r="H26477" s="711"/>
      <c r="I26477" s="711"/>
      <c r="J26477" s="711"/>
      <c r="K26477" s="711"/>
      <c r="L26477" s="711"/>
      <c r="Q26477" s="11"/>
      <c r="R26477" s="11"/>
      <c r="S26477" s="11"/>
      <c r="T26477" s="11"/>
    </row>
    <row r="26478" spans="8:20" x14ac:dyDescent="0.35">
      <c r="H26478" s="711"/>
      <c r="I26478" s="711"/>
      <c r="J26478" s="711"/>
      <c r="K26478" s="711"/>
      <c r="L26478" s="711"/>
      <c r="Q26478" s="11"/>
      <c r="R26478" s="11"/>
      <c r="S26478" s="11"/>
      <c r="T26478" s="11"/>
    </row>
    <row r="26479" spans="8:20" x14ac:dyDescent="0.35">
      <c r="H26479" s="711"/>
      <c r="I26479" s="711"/>
      <c r="J26479" s="711"/>
      <c r="K26479" s="711"/>
      <c r="L26479" s="711"/>
      <c r="Q26479" s="11"/>
      <c r="R26479" s="11"/>
      <c r="S26479" s="11"/>
      <c r="T26479" s="11"/>
    </row>
    <row r="26480" spans="8:20" x14ac:dyDescent="0.35">
      <c r="H26480" s="711"/>
      <c r="I26480" s="711"/>
      <c r="J26480" s="711"/>
      <c r="K26480" s="711"/>
      <c r="L26480" s="711"/>
      <c r="Q26480" s="11"/>
      <c r="R26480" s="11"/>
      <c r="S26480" s="11"/>
      <c r="T26480" s="11"/>
    </row>
    <row r="26481" spans="8:20" x14ac:dyDescent="0.35">
      <c r="H26481" s="711"/>
      <c r="I26481" s="711"/>
      <c r="J26481" s="711"/>
      <c r="K26481" s="711"/>
      <c r="L26481" s="711"/>
      <c r="Q26481" s="11"/>
      <c r="R26481" s="11"/>
      <c r="S26481" s="11"/>
      <c r="T26481" s="11"/>
    </row>
    <row r="26482" spans="8:20" x14ac:dyDescent="0.35">
      <c r="H26482" s="711"/>
      <c r="I26482" s="711"/>
      <c r="J26482" s="711"/>
      <c r="K26482" s="711"/>
      <c r="L26482" s="711"/>
      <c r="Q26482" s="11"/>
      <c r="R26482" s="11"/>
      <c r="S26482" s="11"/>
      <c r="T26482" s="11"/>
    </row>
    <row r="26483" spans="8:20" x14ac:dyDescent="0.35">
      <c r="H26483" s="711"/>
      <c r="I26483" s="711"/>
      <c r="J26483" s="711"/>
      <c r="K26483" s="711"/>
      <c r="L26483" s="711"/>
      <c r="Q26483" s="11"/>
      <c r="R26483" s="11"/>
      <c r="S26483" s="11"/>
      <c r="T26483" s="11"/>
    </row>
    <row r="26484" spans="8:20" x14ac:dyDescent="0.35">
      <c r="H26484" s="711"/>
      <c r="I26484" s="711"/>
      <c r="J26484" s="711"/>
      <c r="K26484" s="711"/>
      <c r="L26484" s="711"/>
      <c r="Q26484" s="11"/>
      <c r="R26484" s="11"/>
      <c r="S26484" s="11"/>
      <c r="T26484" s="11"/>
    </row>
    <row r="26485" spans="8:20" x14ac:dyDescent="0.35">
      <c r="H26485" s="711"/>
      <c r="I26485" s="711"/>
      <c r="J26485" s="711"/>
      <c r="K26485" s="711"/>
      <c r="L26485" s="711"/>
      <c r="Q26485" s="11"/>
      <c r="R26485" s="11"/>
      <c r="S26485" s="11"/>
      <c r="T26485" s="11"/>
    </row>
    <row r="26486" spans="8:20" x14ac:dyDescent="0.35">
      <c r="H26486" s="711"/>
      <c r="I26486" s="711"/>
      <c r="J26486" s="711"/>
      <c r="K26486" s="711"/>
      <c r="L26486" s="711"/>
      <c r="Q26486" s="11"/>
      <c r="R26486" s="11"/>
      <c r="S26486" s="11"/>
      <c r="T26486" s="11"/>
    </row>
    <row r="26487" spans="8:20" x14ac:dyDescent="0.35">
      <c r="H26487" s="711"/>
      <c r="I26487" s="711"/>
      <c r="J26487" s="711"/>
      <c r="K26487" s="711"/>
      <c r="L26487" s="711"/>
      <c r="Q26487" s="11"/>
      <c r="R26487" s="11"/>
      <c r="S26487" s="11"/>
      <c r="T26487" s="11"/>
    </row>
    <row r="26488" spans="8:20" x14ac:dyDescent="0.35">
      <c r="H26488" s="711"/>
      <c r="I26488" s="711"/>
      <c r="J26488" s="711"/>
      <c r="K26488" s="711"/>
      <c r="L26488" s="711"/>
      <c r="Q26488" s="11"/>
      <c r="R26488" s="11"/>
      <c r="S26488" s="11"/>
      <c r="T26488" s="11"/>
    </row>
    <row r="26489" spans="8:20" x14ac:dyDescent="0.35">
      <c r="H26489" s="711"/>
      <c r="I26489" s="711"/>
      <c r="J26489" s="711"/>
      <c r="K26489" s="711"/>
      <c r="L26489" s="711"/>
      <c r="Q26489" s="11"/>
      <c r="R26489" s="11"/>
      <c r="S26489" s="11"/>
      <c r="T26489" s="11"/>
    </row>
    <row r="26490" spans="8:20" x14ac:dyDescent="0.35">
      <c r="H26490" s="711"/>
      <c r="I26490" s="711"/>
      <c r="J26490" s="711"/>
      <c r="K26490" s="711"/>
      <c r="L26490" s="711"/>
      <c r="Q26490" s="11"/>
      <c r="R26490" s="11"/>
      <c r="S26490" s="11"/>
      <c r="T26490" s="11"/>
    </row>
    <row r="26491" spans="8:20" x14ac:dyDescent="0.35">
      <c r="H26491" s="711"/>
      <c r="I26491" s="711"/>
      <c r="J26491" s="711"/>
      <c r="K26491" s="711"/>
      <c r="L26491" s="711"/>
      <c r="Q26491" s="11"/>
      <c r="R26491" s="11"/>
      <c r="S26491" s="11"/>
      <c r="T26491" s="11"/>
    </row>
    <row r="26492" spans="8:20" x14ac:dyDescent="0.35">
      <c r="H26492" s="711"/>
      <c r="I26492" s="711"/>
      <c r="J26492" s="711"/>
      <c r="K26492" s="711"/>
      <c r="L26492" s="711"/>
      <c r="Q26492" s="11"/>
      <c r="R26492" s="11"/>
      <c r="S26492" s="11"/>
      <c r="T26492" s="11"/>
    </row>
    <row r="26493" spans="8:20" x14ac:dyDescent="0.35">
      <c r="H26493" s="711"/>
      <c r="I26493" s="711"/>
      <c r="J26493" s="711"/>
      <c r="K26493" s="711"/>
      <c r="L26493" s="711"/>
      <c r="Q26493" s="11"/>
      <c r="R26493" s="11"/>
      <c r="S26493" s="11"/>
      <c r="T26493" s="11"/>
    </row>
    <row r="26494" spans="8:20" x14ac:dyDescent="0.35">
      <c r="H26494" s="711"/>
      <c r="I26494" s="711"/>
      <c r="J26494" s="711"/>
      <c r="K26494" s="711"/>
      <c r="L26494" s="711"/>
      <c r="Q26494" s="11"/>
      <c r="R26494" s="11"/>
      <c r="S26494" s="11"/>
      <c r="T26494" s="11"/>
    </row>
    <row r="26495" spans="8:20" x14ac:dyDescent="0.35">
      <c r="H26495" s="711"/>
      <c r="I26495" s="711"/>
      <c r="J26495" s="711"/>
      <c r="K26495" s="711"/>
      <c r="L26495" s="711"/>
      <c r="Q26495" s="11"/>
      <c r="R26495" s="11"/>
      <c r="S26495" s="11"/>
      <c r="T26495" s="11"/>
    </row>
    <row r="26496" spans="8:20" x14ac:dyDescent="0.35">
      <c r="H26496" s="711"/>
      <c r="I26496" s="711"/>
      <c r="J26496" s="711"/>
      <c r="K26496" s="711"/>
      <c r="L26496" s="711"/>
      <c r="Q26496" s="11"/>
      <c r="R26496" s="11"/>
      <c r="S26496" s="11"/>
      <c r="T26496" s="11"/>
    </row>
    <row r="26497" spans="8:20" x14ac:dyDescent="0.35">
      <c r="H26497" s="711"/>
      <c r="I26497" s="711"/>
      <c r="J26497" s="711"/>
      <c r="K26497" s="711"/>
      <c r="L26497" s="711"/>
      <c r="Q26497" s="11"/>
      <c r="R26497" s="11"/>
      <c r="S26497" s="11"/>
      <c r="T26497" s="11"/>
    </row>
    <row r="26498" spans="8:20" x14ac:dyDescent="0.35">
      <c r="H26498" s="711"/>
      <c r="I26498" s="711"/>
      <c r="J26498" s="711"/>
      <c r="K26498" s="711"/>
      <c r="L26498" s="711"/>
      <c r="Q26498" s="11"/>
      <c r="R26498" s="11"/>
      <c r="S26498" s="11"/>
      <c r="T26498" s="11"/>
    </row>
    <row r="26499" spans="8:20" x14ac:dyDescent="0.35">
      <c r="H26499" s="711"/>
      <c r="I26499" s="711"/>
      <c r="J26499" s="711"/>
      <c r="K26499" s="711"/>
      <c r="L26499" s="711"/>
      <c r="Q26499" s="11"/>
      <c r="R26499" s="11"/>
      <c r="S26499" s="11"/>
      <c r="T26499" s="11"/>
    </row>
    <row r="26500" spans="8:20" x14ac:dyDescent="0.35">
      <c r="H26500" s="711"/>
      <c r="I26500" s="711"/>
      <c r="J26500" s="711"/>
      <c r="K26500" s="711"/>
      <c r="L26500" s="711"/>
      <c r="Q26500" s="11"/>
      <c r="R26500" s="11"/>
      <c r="S26500" s="11"/>
      <c r="T26500" s="11"/>
    </row>
    <row r="26501" spans="8:20" x14ac:dyDescent="0.35">
      <c r="H26501" s="711"/>
      <c r="I26501" s="711"/>
      <c r="J26501" s="711"/>
      <c r="K26501" s="711"/>
      <c r="L26501" s="711"/>
      <c r="Q26501" s="11"/>
      <c r="R26501" s="11"/>
      <c r="S26501" s="11"/>
      <c r="T26501" s="11"/>
    </row>
    <row r="26502" spans="8:20" x14ac:dyDescent="0.35">
      <c r="H26502" s="711"/>
      <c r="I26502" s="711"/>
      <c r="J26502" s="711"/>
      <c r="K26502" s="711"/>
      <c r="L26502" s="711"/>
      <c r="Q26502" s="11"/>
      <c r="R26502" s="11"/>
      <c r="S26502" s="11"/>
      <c r="T26502" s="11"/>
    </row>
    <row r="26503" spans="8:20" x14ac:dyDescent="0.35">
      <c r="H26503" s="711"/>
      <c r="I26503" s="711"/>
      <c r="J26503" s="711"/>
      <c r="K26503" s="711"/>
      <c r="L26503" s="711"/>
      <c r="Q26503" s="11"/>
      <c r="R26503" s="11"/>
      <c r="S26503" s="11"/>
      <c r="T26503" s="11"/>
    </row>
    <row r="26504" spans="8:20" x14ac:dyDescent="0.35">
      <c r="H26504" s="711"/>
      <c r="I26504" s="711"/>
      <c r="J26504" s="711"/>
      <c r="K26504" s="711"/>
      <c r="L26504" s="711"/>
      <c r="Q26504" s="11"/>
      <c r="R26504" s="11"/>
      <c r="S26504" s="11"/>
      <c r="T26504" s="11"/>
    </row>
    <row r="26505" spans="8:20" x14ac:dyDescent="0.35">
      <c r="H26505" s="711"/>
      <c r="I26505" s="711"/>
      <c r="J26505" s="711"/>
      <c r="K26505" s="711"/>
      <c r="L26505" s="711"/>
      <c r="Q26505" s="11"/>
      <c r="R26505" s="11"/>
      <c r="S26505" s="11"/>
      <c r="T26505" s="11"/>
    </row>
    <row r="26506" spans="8:20" x14ac:dyDescent="0.35">
      <c r="H26506" s="711"/>
      <c r="I26506" s="711"/>
      <c r="J26506" s="711"/>
      <c r="K26506" s="711"/>
      <c r="L26506" s="711"/>
      <c r="Q26506" s="11"/>
      <c r="R26506" s="11"/>
      <c r="S26506" s="11"/>
      <c r="T26506" s="11"/>
    </row>
    <row r="26507" spans="8:20" x14ac:dyDescent="0.35">
      <c r="H26507" s="711"/>
      <c r="I26507" s="711"/>
      <c r="J26507" s="711"/>
      <c r="K26507" s="711"/>
      <c r="L26507" s="711"/>
      <c r="Q26507" s="11"/>
      <c r="R26507" s="11"/>
      <c r="S26507" s="11"/>
      <c r="T26507" s="11"/>
    </row>
    <row r="26508" spans="8:20" x14ac:dyDescent="0.35">
      <c r="H26508" s="711"/>
      <c r="I26508" s="711"/>
      <c r="J26508" s="711"/>
      <c r="K26508" s="711"/>
      <c r="L26508" s="711"/>
      <c r="Q26508" s="11"/>
      <c r="R26508" s="11"/>
      <c r="S26508" s="11"/>
      <c r="T26508" s="11"/>
    </row>
    <row r="26509" spans="8:20" x14ac:dyDescent="0.35">
      <c r="H26509" s="711"/>
      <c r="I26509" s="711"/>
      <c r="J26509" s="711"/>
      <c r="K26509" s="711"/>
      <c r="L26509" s="711"/>
      <c r="Q26509" s="11"/>
      <c r="R26509" s="11"/>
      <c r="S26509" s="11"/>
      <c r="T26509" s="11"/>
    </row>
    <row r="26510" spans="8:20" x14ac:dyDescent="0.35">
      <c r="H26510" s="711"/>
      <c r="I26510" s="711"/>
      <c r="J26510" s="711"/>
      <c r="K26510" s="711"/>
      <c r="L26510" s="711"/>
      <c r="Q26510" s="11"/>
      <c r="R26510" s="11"/>
      <c r="S26510" s="11"/>
      <c r="T26510" s="11"/>
    </row>
    <row r="26511" spans="8:20" x14ac:dyDescent="0.35">
      <c r="H26511" s="711"/>
      <c r="I26511" s="711"/>
      <c r="J26511" s="711"/>
      <c r="K26511" s="711"/>
      <c r="L26511" s="711"/>
      <c r="Q26511" s="11"/>
      <c r="R26511" s="11"/>
      <c r="S26511" s="11"/>
      <c r="T26511" s="11"/>
    </row>
    <row r="26512" spans="8:20" x14ac:dyDescent="0.35">
      <c r="H26512" s="711"/>
      <c r="I26512" s="711"/>
      <c r="J26512" s="711"/>
      <c r="K26512" s="711"/>
      <c r="L26512" s="711"/>
      <c r="Q26512" s="11"/>
      <c r="R26512" s="11"/>
      <c r="S26512" s="11"/>
      <c r="T26512" s="11"/>
    </row>
    <row r="26513" spans="8:20" x14ac:dyDescent="0.35">
      <c r="H26513" s="711"/>
      <c r="I26513" s="711"/>
      <c r="J26513" s="711"/>
      <c r="K26513" s="711"/>
      <c r="L26513" s="711"/>
      <c r="Q26513" s="11"/>
      <c r="R26513" s="11"/>
      <c r="S26513" s="11"/>
      <c r="T26513" s="11"/>
    </row>
    <row r="26514" spans="8:20" x14ac:dyDescent="0.35">
      <c r="H26514" s="711"/>
      <c r="I26514" s="711"/>
      <c r="J26514" s="711"/>
      <c r="K26514" s="711"/>
      <c r="L26514" s="711"/>
      <c r="Q26514" s="11"/>
      <c r="R26514" s="11"/>
      <c r="S26514" s="11"/>
      <c r="T26514" s="11"/>
    </row>
    <row r="26515" spans="8:20" x14ac:dyDescent="0.35">
      <c r="H26515" s="711"/>
      <c r="I26515" s="711"/>
      <c r="J26515" s="711"/>
      <c r="K26515" s="711"/>
      <c r="L26515" s="711"/>
      <c r="Q26515" s="11"/>
      <c r="R26515" s="11"/>
      <c r="S26515" s="11"/>
      <c r="T26515" s="11"/>
    </row>
    <row r="26516" spans="8:20" x14ac:dyDescent="0.35">
      <c r="H26516" s="711"/>
      <c r="I26516" s="711"/>
      <c r="J26516" s="711"/>
      <c r="K26516" s="711"/>
      <c r="L26516" s="711"/>
      <c r="Q26516" s="11"/>
      <c r="R26516" s="11"/>
      <c r="S26516" s="11"/>
      <c r="T26516" s="11"/>
    </row>
    <row r="26517" spans="8:20" x14ac:dyDescent="0.35">
      <c r="H26517" s="711"/>
      <c r="I26517" s="711"/>
      <c r="J26517" s="711"/>
      <c r="K26517" s="711"/>
      <c r="L26517" s="711"/>
      <c r="Q26517" s="11"/>
      <c r="R26517" s="11"/>
      <c r="S26517" s="11"/>
      <c r="T26517" s="11"/>
    </row>
    <row r="26518" spans="8:20" x14ac:dyDescent="0.35">
      <c r="H26518" s="711"/>
      <c r="I26518" s="711"/>
      <c r="J26518" s="711"/>
      <c r="K26518" s="711"/>
      <c r="L26518" s="711"/>
      <c r="Q26518" s="11"/>
      <c r="R26518" s="11"/>
      <c r="S26518" s="11"/>
      <c r="T26518" s="11"/>
    </row>
    <row r="26519" spans="8:20" x14ac:dyDescent="0.35">
      <c r="H26519" s="711"/>
      <c r="I26519" s="711"/>
      <c r="J26519" s="711"/>
      <c r="K26519" s="711"/>
      <c r="L26519" s="711"/>
      <c r="Q26519" s="11"/>
      <c r="R26519" s="11"/>
      <c r="S26519" s="11"/>
      <c r="T26519" s="11"/>
    </row>
    <row r="26520" spans="8:20" x14ac:dyDescent="0.35">
      <c r="H26520" s="711"/>
      <c r="I26520" s="711"/>
      <c r="J26520" s="711"/>
      <c r="K26520" s="711"/>
      <c r="L26520" s="711"/>
      <c r="Q26520" s="11"/>
      <c r="R26520" s="11"/>
      <c r="S26520" s="11"/>
      <c r="T26520" s="11"/>
    </row>
    <row r="26521" spans="8:20" x14ac:dyDescent="0.35">
      <c r="H26521" s="711"/>
      <c r="I26521" s="711"/>
      <c r="J26521" s="711"/>
      <c r="K26521" s="711"/>
      <c r="L26521" s="711"/>
      <c r="Q26521" s="11"/>
      <c r="R26521" s="11"/>
      <c r="S26521" s="11"/>
      <c r="T26521" s="11"/>
    </row>
    <row r="26522" spans="8:20" x14ac:dyDescent="0.35">
      <c r="H26522" s="711"/>
      <c r="I26522" s="711"/>
      <c r="J26522" s="711"/>
      <c r="K26522" s="711"/>
      <c r="L26522" s="711"/>
      <c r="Q26522" s="11"/>
      <c r="R26522" s="11"/>
      <c r="S26522" s="11"/>
      <c r="T26522" s="11"/>
    </row>
    <row r="26523" spans="8:20" x14ac:dyDescent="0.35">
      <c r="H26523" s="711"/>
      <c r="I26523" s="711"/>
      <c r="J26523" s="711"/>
      <c r="K26523" s="711"/>
      <c r="L26523" s="711"/>
      <c r="Q26523" s="11"/>
      <c r="R26523" s="11"/>
      <c r="S26523" s="11"/>
      <c r="T26523" s="11"/>
    </row>
    <row r="26524" spans="8:20" x14ac:dyDescent="0.35">
      <c r="H26524" s="711"/>
      <c r="I26524" s="711"/>
      <c r="J26524" s="711"/>
      <c r="K26524" s="711"/>
      <c r="L26524" s="711"/>
      <c r="Q26524" s="11"/>
      <c r="R26524" s="11"/>
      <c r="S26524" s="11"/>
      <c r="T26524" s="11"/>
    </row>
    <row r="26525" spans="8:20" x14ac:dyDescent="0.35">
      <c r="H26525" s="711"/>
      <c r="I26525" s="711"/>
      <c r="J26525" s="711"/>
      <c r="K26525" s="711"/>
      <c r="L26525" s="711"/>
      <c r="Q26525" s="11"/>
      <c r="R26525" s="11"/>
      <c r="S26525" s="11"/>
      <c r="T26525" s="11"/>
    </row>
    <row r="26526" spans="8:20" x14ac:dyDescent="0.35">
      <c r="H26526" s="711"/>
      <c r="I26526" s="711"/>
      <c r="J26526" s="711"/>
      <c r="K26526" s="711"/>
      <c r="L26526" s="711"/>
      <c r="Q26526" s="11"/>
      <c r="R26526" s="11"/>
      <c r="S26526" s="11"/>
      <c r="T26526" s="11"/>
    </row>
    <row r="26527" spans="8:20" x14ac:dyDescent="0.35">
      <c r="H26527" s="711"/>
      <c r="I26527" s="711"/>
      <c r="J26527" s="711"/>
      <c r="K26527" s="711"/>
      <c r="L26527" s="711"/>
      <c r="Q26527" s="11"/>
      <c r="R26527" s="11"/>
      <c r="S26527" s="11"/>
      <c r="T26527" s="11"/>
    </row>
    <row r="26528" spans="8:20" x14ac:dyDescent="0.35">
      <c r="H26528" s="711"/>
      <c r="I26528" s="711"/>
      <c r="J26528" s="711"/>
      <c r="K26528" s="711"/>
      <c r="L26528" s="711"/>
      <c r="Q26528" s="11"/>
      <c r="R26528" s="11"/>
      <c r="S26528" s="11"/>
      <c r="T26528" s="11"/>
    </row>
    <row r="26529" spans="8:20" x14ac:dyDescent="0.35">
      <c r="H26529" s="711"/>
      <c r="I26529" s="711"/>
      <c r="J26529" s="711"/>
      <c r="K26529" s="711"/>
      <c r="L26529" s="711"/>
      <c r="Q26529" s="11"/>
      <c r="R26529" s="11"/>
      <c r="S26529" s="11"/>
      <c r="T26529" s="11"/>
    </row>
    <row r="26530" spans="8:20" x14ac:dyDescent="0.35">
      <c r="H26530" s="711"/>
      <c r="I26530" s="711"/>
      <c r="J26530" s="711"/>
      <c r="K26530" s="711"/>
      <c r="L26530" s="711"/>
      <c r="Q26530" s="11"/>
      <c r="R26530" s="11"/>
      <c r="S26530" s="11"/>
      <c r="T26530" s="11"/>
    </row>
    <row r="26531" spans="8:20" x14ac:dyDescent="0.35">
      <c r="H26531" s="711"/>
      <c r="I26531" s="711"/>
      <c r="J26531" s="711"/>
      <c r="K26531" s="711"/>
      <c r="L26531" s="711"/>
      <c r="Q26531" s="11"/>
      <c r="R26531" s="11"/>
      <c r="S26531" s="11"/>
      <c r="T26531" s="11"/>
    </row>
    <row r="26532" spans="8:20" x14ac:dyDescent="0.35">
      <c r="H26532" s="711"/>
      <c r="I26532" s="711"/>
      <c r="J26532" s="711"/>
      <c r="K26532" s="711"/>
      <c r="L26532" s="711"/>
      <c r="Q26532" s="11"/>
      <c r="R26532" s="11"/>
      <c r="S26532" s="11"/>
      <c r="T26532" s="11"/>
    </row>
    <row r="26533" spans="8:20" x14ac:dyDescent="0.35">
      <c r="H26533" s="711"/>
      <c r="I26533" s="711"/>
      <c r="J26533" s="711"/>
      <c r="K26533" s="711"/>
      <c r="L26533" s="711"/>
      <c r="Q26533" s="11"/>
      <c r="R26533" s="11"/>
      <c r="S26533" s="11"/>
      <c r="T26533" s="11"/>
    </row>
    <row r="26534" spans="8:20" x14ac:dyDescent="0.35">
      <c r="H26534" s="711"/>
      <c r="I26534" s="711"/>
      <c r="J26534" s="711"/>
      <c r="K26534" s="711"/>
      <c r="L26534" s="711"/>
      <c r="Q26534" s="11"/>
      <c r="R26534" s="11"/>
      <c r="S26534" s="11"/>
      <c r="T26534" s="11"/>
    </row>
    <row r="26535" spans="8:20" x14ac:dyDescent="0.35">
      <c r="H26535" s="711"/>
      <c r="I26535" s="711"/>
      <c r="J26535" s="711"/>
      <c r="K26535" s="711"/>
      <c r="L26535" s="711"/>
      <c r="Q26535" s="11"/>
      <c r="R26535" s="11"/>
      <c r="S26535" s="11"/>
      <c r="T26535" s="11"/>
    </row>
    <row r="26536" spans="8:20" x14ac:dyDescent="0.35">
      <c r="H26536" s="711"/>
      <c r="I26536" s="711"/>
      <c r="J26536" s="711"/>
      <c r="K26536" s="711"/>
      <c r="L26536" s="711"/>
      <c r="Q26536" s="11"/>
      <c r="R26536" s="11"/>
      <c r="S26536" s="11"/>
      <c r="T26536" s="11"/>
    </row>
    <row r="26537" spans="8:20" x14ac:dyDescent="0.35">
      <c r="H26537" s="711"/>
      <c r="I26537" s="711"/>
      <c r="J26537" s="711"/>
      <c r="K26537" s="711"/>
      <c r="L26537" s="711"/>
      <c r="Q26537" s="11"/>
      <c r="R26537" s="11"/>
      <c r="S26537" s="11"/>
      <c r="T26537" s="11"/>
    </row>
    <row r="26538" spans="8:20" x14ac:dyDescent="0.35">
      <c r="H26538" s="711"/>
      <c r="I26538" s="711"/>
      <c r="J26538" s="711"/>
      <c r="K26538" s="711"/>
      <c r="L26538" s="711"/>
      <c r="Q26538" s="11"/>
      <c r="R26538" s="11"/>
      <c r="S26538" s="11"/>
      <c r="T26538" s="11"/>
    </row>
    <row r="26539" spans="8:20" x14ac:dyDescent="0.35">
      <c r="H26539" s="711"/>
      <c r="I26539" s="711"/>
      <c r="J26539" s="711"/>
      <c r="K26539" s="711"/>
      <c r="L26539" s="711"/>
      <c r="Q26539" s="11"/>
      <c r="R26539" s="11"/>
      <c r="S26539" s="11"/>
      <c r="T26539" s="11"/>
    </row>
    <row r="26540" spans="8:20" x14ac:dyDescent="0.35">
      <c r="H26540" s="711"/>
      <c r="I26540" s="711"/>
      <c r="J26540" s="711"/>
      <c r="K26540" s="711"/>
      <c r="L26540" s="711"/>
      <c r="Q26540" s="11"/>
      <c r="R26540" s="11"/>
      <c r="S26540" s="11"/>
      <c r="T26540" s="11"/>
    </row>
    <row r="26541" spans="8:20" x14ac:dyDescent="0.35">
      <c r="H26541" s="711"/>
      <c r="I26541" s="711"/>
      <c r="J26541" s="711"/>
      <c r="K26541" s="711"/>
      <c r="L26541" s="711"/>
      <c r="Q26541" s="11"/>
      <c r="R26541" s="11"/>
      <c r="S26541" s="11"/>
      <c r="T26541" s="11"/>
    </row>
    <row r="26542" spans="8:20" x14ac:dyDescent="0.35">
      <c r="H26542" s="711"/>
      <c r="I26542" s="711"/>
      <c r="J26542" s="711"/>
      <c r="K26542" s="711"/>
      <c r="L26542" s="711"/>
      <c r="Q26542" s="11"/>
      <c r="R26542" s="11"/>
      <c r="S26542" s="11"/>
      <c r="T26542" s="11"/>
    </row>
    <row r="26543" spans="8:20" x14ac:dyDescent="0.35">
      <c r="H26543" s="711"/>
      <c r="I26543" s="711"/>
      <c r="J26543" s="711"/>
      <c r="K26543" s="711"/>
      <c r="L26543" s="711"/>
      <c r="Q26543" s="11"/>
      <c r="R26543" s="11"/>
      <c r="S26543" s="11"/>
      <c r="T26543" s="11"/>
    </row>
    <row r="26544" spans="8:20" x14ac:dyDescent="0.35">
      <c r="H26544" s="711"/>
      <c r="I26544" s="711"/>
      <c r="J26544" s="711"/>
      <c r="K26544" s="711"/>
      <c r="L26544" s="711"/>
      <c r="Q26544" s="11"/>
      <c r="R26544" s="11"/>
      <c r="S26544" s="11"/>
      <c r="T26544" s="11"/>
    </row>
    <row r="26545" spans="8:20" x14ac:dyDescent="0.35">
      <c r="H26545" s="711"/>
      <c r="I26545" s="711"/>
      <c r="J26545" s="711"/>
      <c r="K26545" s="711"/>
      <c r="L26545" s="711"/>
      <c r="Q26545" s="11"/>
      <c r="R26545" s="11"/>
      <c r="S26545" s="11"/>
      <c r="T26545" s="11"/>
    </row>
    <row r="26546" spans="8:20" x14ac:dyDescent="0.35">
      <c r="H26546" s="711"/>
      <c r="I26546" s="711"/>
      <c r="J26546" s="711"/>
      <c r="K26546" s="711"/>
      <c r="L26546" s="711"/>
      <c r="Q26546" s="11"/>
      <c r="R26546" s="11"/>
      <c r="S26546" s="11"/>
      <c r="T26546" s="11"/>
    </row>
    <row r="26547" spans="8:20" x14ac:dyDescent="0.35">
      <c r="H26547" s="711"/>
      <c r="I26547" s="711"/>
      <c r="J26547" s="711"/>
      <c r="K26547" s="711"/>
      <c r="L26547" s="711"/>
      <c r="Q26547" s="11"/>
      <c r="R26547" s="11"/>
      <c r="S26547" s="11"/>
      <c r="T26547" s="11"/>
    </row>
    <row r="26548" spans="8:20" x14ac:dyDescent="0.35">
      <c r="H26548" s="711"/>
      <c r="I26548" s="711"/>
      <c r="J26548" s="711"/>
      <c r="K26548" s="711"/>
      <c r="L26548" s="711"/>
      <c r="Q26548" s="11"/>
      <c r="R26548" s="11"/>
      <c r="S26548" s="11"/>
      <c r="T26548" s="11"/>
    </row>
    <row r="26549" spans="8:20" x14ac:dyDescent="0.35">
      <c r="H26549" s="711"/>
      <c r="I26549" s="711"/>
      <c r="J26549" s="711"/>
      <c r="K26549" s="711"/>
      <c r="L26549" s="711"/>
      <c r="Q26549" s="11"/>
      <c r="R26549" s="11"/>
      <c r="S26549" s="11"/>
      <c r="T26549" s="11"/>
    </row>
    <row r="26550" spans="8:20" x14ac:dyDescent="0.35">
      <c r="H26550" s="711"/>
      <c r="I26550" s="711"/>
      <c r="J26550" s="711"/>
      <c r="K26550" s="711"/>
      <c r="L26550" s="711"/>
      <c r="Q26550" s="11"/>
      <c r="R26550" s="11"/>
      <c r="S26550" s="11"/>
      <c r="T26550" s="11"/>
    </row>
    <row r="26551" spans="8:20" x14ac:dyDescent="0.35">
      <c r="H26551" s="711"/>
      <c r="I26551" s="711"/>
      <c r="J26551" s="711"/>
      <c r="K26551" s="711"/>
      <c r="L26551" s="711"/>
      <c r="Q26551" s="11"/>
      <c r="R26551" s="11"/>
      <c r="S26551" s="11"/>
      <c r="T26551" s="11"/>
    </row>
    <row r="26552" spans="8:20" x14ac:dyDescent="0.35">
      <c r="H26552" s="711"/>
      <c r="I26552" s="711"/>
      <c r="J26552" s="711"/>
      <c r="K26552" s="711"/>
      <c r="L26552" s="711"/>
      <c r="Q26552" s="11"/>
      <c r="R26552" s="11"/>
      <c r="S26552" s="11"/>
      <c r="T26552" s="11"/>
    </row>
    <row r="26553" spans="8:20" x14ac:dyDescent="0.35">
      <c r="H26553" s="711"/>
      <c r="I26553" s="711"/>
      <c r="J26553" s="711"/>
      <c r="K26553" s="711"/>
      <c r="L26553" s="711"/>
      <c r="Q26553" s="11"/>
      <c r="R26553" s="11"/>
      <c r="S26553" s="11"/>
      <c r="T26553" s="11"/>
    </row>
    <row r="26554" spans="8:20" x14ac:dyDescent="0.35">
      <c r="H26554" s="711"/>
      <c r="I26554" s="711"/>
      <c r="J26554" s="711"/>
      <c r="K26554" s="711"/>
      <c r="L26554" s="711"/>
      <c r="Q26554" s="11"/>
      <c r="R26554" s="11"/>
      <c r="S26554" s="11"/>
      <c r="T26554" s="11"/>
    </row>
    <row r="26555" spans="8:20" x14ac:dyDescent="0.35">
      <c r="H26555" s="711"/>
      <c r="I26555" s="711"/>
      <c r="J26555" s="711"/>
      <c r="K26555" s="711"/>
      <c r="L26555" s="711"/>
      <c r="Q26555" s="11"/>
      <c r="R26555" s="11"/>
      <c r="S26555" s="11"/>
      <c r="T26555" s="11"/>
    </row>
    <row r="26556" spans="8:20" x14ac:dyDescent="0.35">
      <c r="H26556" s="711"/>
      <c r="I26556" s="711"/>
      <c r="J26556" s="711"/>
      <c r="K26556" s="711"/>
      <c r="L26556" s="711"/>
      <c r="Q26556" s="11"/>
      <c r="R26556" s="11"/>
      <c r="S26556" s="11"/>
      <c r="T26556" s="11"/>
    </row>
    <row r="26557" spans="8:20" x14ac:dyDescent="0.35">
      <c r="H26557" s="711"/>
      <c r="I26557" s="711"/>
      <c r="J26557" s="711"/>
      <c r="K26557" s="711"/>
      <c r="L26557" s="711"/>
      <c r="Q26557" s="11"/>
      <c r="R26557" s="11"/>
      <c r="S26557" s="11"/>
      <c r="T26557" s="11"/>
    </row>
    <row r="26558" spans="8:20" x14ac:dyDescent="0.35">
      <c r="H26558" s="711"/>
      <c r="I26558" s="711"/>
      <c r="J26558" s="711"/>
      <c r="K26558" s="711"/>
      <c r="L26558" s="711"/>
      <c r="Q26558" s="11"/>
      <c r="R26558" s="11"/>
      <c r="S26558" s="11"/>
      <c r="T26558" s="11"/>
    </row>
    <row r="26559" spans="8:20" x14ac:dyDescent="0.35">
      <c r="H26559" s="711"/>
      <c r="I26559" s="711"/>
      <c r="J26559" s="711"/>
      <c r="K26559" s="711"/>
      <c r="L26559" s="711"/>
      <c r="Q26559" s="11"/>
      <c r="R26559" s="11"/>
      <c r="S26559" s="11"/>
      <c r="T26559" s="11"/>
    </row>
    <row r="26560" spans="8:20" x14ac:dyDescent="0.35">
      <c r="H26560" s="711"/>
      <c r="I26560" s="711"/>
      <c r="J26560" s="711"/>
      <c r="K26560" s="711"/>
      <c r="L26560" s="711"/>
      <c r="Q26560" s="11"/>
      <c r="R26560" s="11"/>
      <c r="S26560" s="11"/>
      <c r="T26560" s="11"/>
    </row>
    <row r="26561" spans="8:20" x14ac:dyDescent="0.35">
      <c r="H26561" s="711"/>
      <c r="I26561" s="711"/>
      <c r="J26561" s="711"/>
      <c r="K26561" s="711"/>
      <c r="L26561" s="711"/>
      <c r="Q26561" s="11"/>
      <c r="R26561" s="11"/>
      <c r="S26561" s="11"/>
      <c r="T26561" s="11"/>
    </row>
    <row r="26562" spans="8:20" x14ac:dyDescent="0.35">
      <c r="H26562" s="711"/>
      <c r="I26562" s="711"/>
      <c r="J26562" s="711"/>
      <c r="K26562" s="711"/>
      <c r="L26562" s="711"/>
      <c r="Q26562" s="11"/>
      <c r="R26562" s="11"/>
      <c r="S26562" s="11"/>
      <c r="T26562" s="11"/>
    </row>
    <row r="26563" spans="8:20" x14ac:dyDescent="0.35">
      <c r="H26563" s="711"/>
      <c r="I26563" s="711"/>
      <c r="J26563" s="711"/>
      <c r="K26563" s="711"/>
      <c r="L26563" s="711"/>
      <c r="Q26563" s="11"/>
      <c r="R26563" s="11"/>
      <c r="S26563" s="11"/>
      <c r="T26563" s="11"/>
    </row>
    <row r="26564" spans="8:20" x14ac:dyDescent="0.35">
      <c r="H26564" s="711"/>
      <c r="I26564" s="711"/>
      <c r="J26564" s="711"/>
      <c r="K26564" s="711"/>
      <c r="L26564" s="711"/>
      <c r="Q26564" s="11"/>
      <c r="R26564" s="11"/>
      <c r="S26564" s="11"/>
      <c r="T26564" s="11"/>
    </row>
    <row r="26565" spans="8:20" x14ac:dyDescent="0.35">
      <c r="H26565" s="711"/>
      <c r="I26565" s="711"/>
      <c r="J26565" s="711"/>
      <c r="K26565" s="711"/>
      <c r="L26565" s="711"/>
      <c r="Q26565" s="11"/>
      <c r="R26565" s="11"/>
      <c r="S26565" s="11"/>
      <c r="T26565" s="11"/>
    </row>
    <row r="26566" spans="8:20" x14ac:dyDescent="0.35">
      <c r="H26566" s="711"/>
      <c r="I26566" s="711"/>
      <c r="J26566" s="711"/>
      <c r="K26566" s="711"/>
      <c r="L26566" s="711"/>
      <c r="Q26566" s="11"/>
      <c r="R26566" s="11"/>
      <c r="S26566" s="11"/>
      <c r="T26566" s="11"/>
    </row>
    <row r="26567" spans="8:20" x14ac:dyDescent="0.35">
      <c r="H26567" s="711"/>
      <c r="I26567" s="711"/>
      <c r="J26567" s="711"/>
      <c r="K26567" s="711"/>
      <c r="L26567" s="711"/>
      <c r="Q26567" s="11"/>
      <c r="R26567" s="11"/>
      <c r="S26567" s="11"/>
      <c r="T26567" s="11"/>
    </row>
    <row r="26568" spans="8:20" x14ac:dyDescent="0.35">
      <c r="H26568" s="711"/>
      <c r="I26568" s="711"/>
      <c r="J26568" s="711"/>
      <c r="K26568" s="711"/>
      <c r="L26568" s="711"/>
      <c r="Q26568" s="11"/>
      <c r="R26568" s="11"/>
      <c r="S26568" s="11"/>
      <c r="T26568" s="11"/>
    </row>
    <row r="26569" spans="8:20" x14ac:dyDescent="0.35">
      <c r="H26569" s="711"/>
      <c r="I26569" s="711"/>
      <c r="J26569" s="711"/>
      <c r="K26569" s="711"/>
      <c r="L26569" s="711"/>
      <c r="Q26569" s="11"/>
      <c r="R26569" s="11"/>
      <c r="S26569" s="11"/>
      <c r="T26569" s="11"/>
    </row>
    <row r="26570" spans="8:20" x14ac:dyDescent="0.35">
      <c r="H26570" s="711"/>
      <c r="I26570" s="711"/>
      <c r="J26570" s="711"/>
      <c r="K26570" s="711"/>
      <c r="L26570" s="711"/>
      <c r="Q26570" s="11"/>
      <c r="R26570" s="11"/>
      <c r="S26570" s="11"/>
      <c r="T26570" s="11"/>
    </row>
    <row r="26571" spans="8:20" x14ac:dyDescent="0.35">
      <c r="H26571" s="711"/>
      <c r="I26571" s="711"/>
      <c r="J26571" s="711"/>
      <c r="K26571" s="711"/>
      <c r="L26571" s="711"/>
      <c r="Q26571" s="11"/>
      <c r="R26571" s="11"/>
      <c r="S26571" s="11"/>
      <c r="T26571" s="11"/>
    </row>
    <row r="26572" spans="8:20" x14ac:dyDescent="0.35">
      <c r="H26572" s="711"/>
      <c r="I26572" s="711"/>
      <c r="J26572" s="711"/>
      <c r="K26572" s="711"/>
      <c r="L26572" s="711"/>
      <c r="Q26572" s="11"/>
      <c r="R26572" s="11"/>
      <c r="S26572" s="11"/>
      <c r="T26572" s="11"/>
    </row>
    <row r="26573" spans="8:20" x14ac:dyDescent="0.35">
      <c r="H26573" s="711"/>
      <c r="I26573" s="711"/>
      <c r="J26573" s="711"/>
      <c r="K26573" s="711"/>
      <c r="L26573" s="711"/>
      <c r="Q26573" s="11"/>
      <c r="R26573" s="11"/>
      <c r="S26573" s="11"/>
      <c r="T26573" s="11"/>
    </row>
    <row r="26574" spans="8:20" x14ac:dyDescent="0.35">
      <c r="H26574" s="711"/>
      <c r="I26574" s="711"/>
      <c r="J26574" s="711"/>
      <c r="K26574" s="711"/>
      <c r="L26574" s="711"/>
      <c r="Q26574" s="11"/>
      <c r="R26574" s="11"/>
      <c r="S26574" s="11"/>
      <c r="T26574" s="11"/>
    </row>
    <row r="26575" spans="8:20" x14ac:dyDescent="0.35">
      <c r="H26575" s="711"/>
      <c r="I26575" s="711"/>
      <c r="J26575" s="711"/>
      <c r="K26575" s="711"/>
      <c r="L26575" s="711"/>
      <c r="Q26575" s="11"/>
      <c r="R26575" s="11"/>
      <c r="S26575" s="11"/>
      <c r="T26575" s="11"/>
    </row>
    <row r="26576" spans="8:20" x14ac:dyDescent="0.35">
      <c r="H26576" s="711"/>
      <c r="I26576" s="711"/>
      <c r="J26576" s="711"/>
      <c r="K26576" s="711"/>
      <c r="L26576" s="711"/>
      <c r="Q26576" s="11"/>
      <c r="R26576" s="11"/>
      <c r="S26576" s="11"/>
      <c r="T26576" s="11"/>
    </row>
    <row r="26577" spans="8:20" x14ac:dyDescent="0.35">
      <c r="H26577" s="711"/>
      <c r="I26577" s="711"/>
      <c r="J26577" s="711"/>
      <c r="K26577" s="711"/>
      <c r="L26577" s="711"/>
      <c r="Q26577" s="11"/>
      <c r="R26577" s="11"/>
      <c r="S26577" s="11"/>
      <c r="T26577" s="11"/>
    </row>
    <row r="26578" spans="8:20" x14ac:dyDescent="0.35">
      <c r="H26578" s="711"/>
      <c r="I26578" s="711"/>
      <c r="J26578" s="711"/>
      <c r="K26578" s="711"/>
      <c r="L26578" s="711"/>
      <c r="Q26578" s="11"/>
      <c r="R26578" s="11"/>
      <c r="S26578" s="11"/>
      <c r="T26578" s="11"/>
    </row>
    <row r="26579" spans="8:20" x14ac:dyDescent="0.35">
      <c r="H26579" s="711"/>
      <c r="I26579" s="711"/>
      <c r="J26579" s="711"/>
      <c r="K26579" s="711"/>
      <c r="L26579" s="711"/>
      <c r="Q26579" s="11"/>
      <c r="R26579" s="11"/>
      <c r="S26579" s="11"/>
      <c r="T26579" s="11"/>
    </row>
    <row r="26580" spans="8:20" x14ac:dyDescent="0.35">
      <c r="H26580" s="711"/>
      <c r="I26580" s="711"/>
      <c r="J26580" s="711"/>
      <c r="K26580" s="711"/>
      <c r="L26580" s="711"/>
      <c r="Q26580" s="11"/>
      <c r="R26580" s="11"/>
      <c r="S26580" s="11"/>
      <c r="T26580" s="11"/>
    </row>
    <row r="26581" spans="8:20" x14ac:dyDescent="0.35">
      <c r="H26581" s="711"/>
      <c r="I26581" s="711"/>
      <c r="J26581" s="711"/>
      <c r="K26581" s="711"/>
      <c r="L26581" s="711"/>
      <c r="Q26581" s="11"/>
      <c r="R26581" s="11"/>
      <c r="S26581" s="11"/>
      <c r="T26581" s="11"/>
    </row>
    <row r="26582" spans="8:20" x14ac:dyDescent="0.35">
      <c r="H26582" s="711"/>
      <c r="I26582" s="711"/>
      <c r="J26582" s="711"/>
      <c r="K26582" s="711"/>
      <c r="L26582" s="711"/>
      <c r="Q26582" s="11"/>
      <c r="R26582" s="11"/>
      <c r="S26582" s="11"/>
      <c r="T26582" s="11"/>
    </row>
    <row r="26583" spans="8:20" x14ac:dyDescent="0.35">
      <c r="H26583" s="711"/>
      <c r="I26583" s="711"/>
      <c r="J26583" s="711"/>
      <c r="K26583" s="711"/>
      <c r="L26583" s="711"/>
      <c r="Q26583" s="11"/>
      <c r="R26583" s="11"/>
      <c r="S26583" s="11"/>
      <c r="T26583" s="11"/>
    </row>
    <row r="26584" spans="8:20" x14ac:dyDescent="0.35">
      <c r="H26584" s="711"/>
      <c r="I26584" s="711"/>
      <c r="J26584" s="711"/>
      <c r="K26584" s="711"/>
      <c r="L26584" s="711"/>
      <c r="Q26584" s="11"/>
      <c r="R26584" s="11"/>
      <c r="S26584" s="11"/>
      <c r="T26584" s="11"/>
    </row>
    <row r="26585" spans="8:20" x14ac:dyDescent="0.35">
      <c r="H26585" s="711"/>
      <c r="I26585" s="711"/>
      <c r="J26585" s="711"/>
      <c r="K26585" s="711"/>
      <c r="L26585" s="711"/>
      <c r="Q26585" s="11"/>
      <c r="R26585" s="11"/>
      <c r="S26585" s="11"/>
      <c r="T26585" s="11"/>
    </row>
    <row r="26586" spans="8:20" x14ac:dyDescent="0.35">
      <c r="H26586" s="711"/>
      <c r="I26586" s="711"/>
      <c r="J26586" s="711"/>
      <c r="K26586" s="711"/>
      <c r="L26586" s="711"/>
      <c r="Q26586" s="11"/>
      <c r="R26586" s="11"/>
      <c r="S26586" s="11"/>
      <c r="T26586" s="11"/>
    </row>
    <row r="26587" spans="8:20" x14ac:dyDescent="0.35">
      <c r="H26587" s="711"/>
      <c r="I26587" s="711"/>
      <c r="J26587" s="711"/>
      <c r="K26587" s="711"/>
      <c r="L26587" s="711"/>
      <c r="Q26587" s="11"/>
      <c r="R26587" s="11"/>
      <c r="S26587" s="11"/>
      <c r="T26587" s="11"/>
    </row>
    <row r="26588" spans="8:20" x14ac:dyDescent="0.35">
      <c r="H26588" s="711"/>
      <c r="I26588" s="711"/>
      <c r="J26588" s="711"/>
      <c r="K26588" s="711"/>
      <c r="L26588" s="711"/>
      <c r="Q26588" s="11"/>
      <c r="R26588" s="11"/>
      <c r="S26588" s="11"/>
      <c r="T26588" s="11"/>
    </row>
    <row r="26589" spans="8:20" x14ac:dyDescent="0.35">
      <c r="H26589" s="711"/>
      <c r="I26589" s="711"/>
      <c r="J26589" s="711"/>
      <c r="K26589" s="711"/>
      <c r="L26589" s="711"/>
      <c r="Q26589" s="11"/>
      <c r="R26589" s="11"/>
      <c r="S26589" s="11"/>
      <c r="T26589" s="11"/>
    </row>
    <row r="26590" spans="8:20" x14ac:dyDescent="0.35">
      <c r="H26590" s="711"/>
      <c r="I26590" s="711"/>
      <c r="J26590" s="711"/>
      <c r="K26590" s="711"/>
      <c r="L26590" s="711"/>
      <c r="Q26590" s="11"/>
      <c r="R26590" s="11"/>
      <c r="S26590" s="11"/>
      <c r="T26590" s="11"/>
    </row>
    <row r="26591" spans="8:20" x14ac:dyDescent="0.35">
      <c r="H26591" s="711"/>
      <c r="I26591" s="711"/>
      <c r="J26591" s="711"/>
      <c r="K26591" s="711"/>
      <c r="L26591" s="711"/>
      <c r="Q26591" s="11"/>
      <c r="R26591" s="11"/>
      <c r="S26591" s="11"/>
      <c r="T26591" s="11"/>
    </row>
    <row r="26592" spans="8:20" x14ac:dyDescent="0.35">
      <c r="H26592" s="711"/>
      <c r="I26592" s="711"/>
      <c r="J26592" s="711"/>
      <c r="K26592" s="711"/>
      <c r="L26592" s="711"/>
      <c r="Q26592" s="11"/>
      <c r="R26592" s="11"/>
      <c r="S26592" s="11"/>
      <c r="T26592" s="11"/>
    </row>
    <row r="26593" spans="8:20" x14ac:dyDescent="0.35">
      <c r="H26593" s="711"/>
      <c r="I26593" s="711"/>
      <c r="J26593" s="711"/>
      <c r="K26593" s="711"/>
      <c r="L26593" s="711"/>
      <c r="Q26593" s="11"/>
      <c r="R26593" s="11"/>
      <c r="S26593" s="11"/>
      <c r="T26593" s="11"/>
    </row>
    <row r="26594" spans="8:20" x14ac:dyDescent="0.35">
      <c r="H26594" s="711"/>
      <c r="I26594" s="711"/>
      <c r="J26594" s="711"/>
      <c r="K26594" s="711"/>
      <c r="L26594" s="711"/>
      <c r="Q26594" s="11"/>
      <c r="R26594" s="11"/>
      <c r="S26594" s="11"/>
      <c r="T26594" s="11"/>
    </row>
    <row r="26595" spans="8:20" x14ac:dyDescent="0.35">
      <c r="H26595" s="711"/>
      <c r="I26595" s="711"/>
      <c r="J26595" s="711"/>
      <c r="K26595" s="711"/>
      <c r="L26595" s="711"/>
      <c r="Q26595" s="11"/>
      <c r="R26595" s="11"/>
      <c r="S26595" s="11"/>
      <c r="T26595" s="11"/>
    </row>
    <row r="26596" spans="8:20" x14ac:dyDescent="0.35">
      <c r="H26596" s="711"/>
      <c r="I26596" s="711"/>
      <c r="J26596" s="711"/>
      <c r="K26596" s="711"/>
      <c r="L26596" s="711"/>
      <c r="Q26596" s="11"/>
      <c r="R26596" s="11"/>
      <c r="S26596" s="11"/>
      <c r="T26596" s="11"/>
    </row>
    <row r="26597" spans="8:20" x14ac:dyDescent="0.35">
      <c r="H26597" s="711"/>
      <c r="I26597" s="711"/>
      <c r="J26597" s="711"/>
      <c r="K26597" s="711"/>
      <c r="L26597" s="711"/>
      <c r="Q26597" s="11"/>
      <c r="R26597" s="11"/>
      <c r="S26597" s="11"/>
      <c r="T26597" s="11"/>
    </row>
    <row r="26598" spans="8:20" x14ac:dyDescent="0.35">
      <c r="H26598" s="711"/>
      <c r="I26598" s="711"/>
      <c r="J26598" s="711"/>
      <c r="K26598" s="711"/>
      <c r="L26598" s="711"/>
      <c r="Q26598" s="11"/>
      <c r="R26598" s="11"/>
      <c r="S26598" s="11"/>
      <c r="T26598" s="11"/>
    </row>
    <row r="26599" spans="8:20" x14ac:dyDescent="0.35">
      <c r="H26599" s="711"/>
      <c r="I26599" s="711"/>
      <c r="J26599" s="711"/>
      <c r="K26599" s="711"/>
      <c r="L26599" s="711"/>
      <c r="Q26599" s="11"/>
      <c r="R26599" s="11"/>
      <c r="S26599" s="11"/>
      <c r="T26599" s="11"/>
    </row>
    <row r="26600" spans="8:20" x14ac:dyDescent="0.35">
      <c r="H26600" s="711"/>
      <c r="I26600" s="711"/>
      <c r="J26600" s="711"/>
      <c r="K26600" s="711"/>
      <c r="L26600" s="711"/>
      <c r="Q26600" s="11"/>
      <c r="R26600" s="11"/>
      <c r="S26600" s="11"/>
      <c r="T26600" s="11"/>
    </row>
    <row r="26601" spans="8:20" x14ac:dyDescent="0.35">
      <c r="H26601" s="711"/>
      <c r="I26601" s="711"/>
      <c r="J26601" s="711"/>
      <c r="K26601" s="711"/>
      <c r="L26601" s="711"/>
      <c r="Q26601" s="11"/>
      <c r="R26601" s="11"/>
      <c r="S26601" s="11"/>
      <c r="T26601" s="11"/>
    </row>
    <row r="26602" spans="8:20" x14ac:dyDescent="0.35">
      <c r="H26602" s="711"/>
      <c r="I26602" s="711"/>
      <c r="J26602" s="711"/>
      <c r="K26602" s="711"/>
      <c r="L26602" s="711"/>
      <c r="Q26602" s="11"/>
      <c r="R26602" s="11"/>
      <c r="S26602" s="11"/>
      <c r="T26602" s="11"/>
    </row>
    <row r="26603" spans="8:20" x14ac:dyDescent="0.35">
      <c r="H26603" s="711"/>
      <c r="I26603" s="711"/>
      <c r="J26603" s="711"/>
      <c r="K26603" s="711"/>
      <c r="L26603" s="711"/>
      <c r="Q26603" s="11"/>
      <c r="R26603" s="11"/>
      <c r="S26603" s="11"/>
      <c r="T26603" s="11"/>
    </row>
    <row r="26604" spans="8:20" x14ac:dyDescent="0.35">
      <c r="H26604" s="711"/>
      <c r="I26604" s="711"/>
      <c r="J26604" s="711"/>
      <c r="K26604" s="711"/>
      <c r="L26604" s="711"/>
      <c r="Q26604" s="11"/>
      <c r="R26604" s="11"/>
      <c r="S26604" s="11"/>
      <c r="T26604" s="11"/>
    </row>
    <row r="26605" spans="8:20" x14ac:dyDescent="0.35">
      <c r="H26605" s="711"/>
      <c r="I26605" s="711"/>
      <c r="J26605" s="711"/>
      <c r="K26605" s="711"/>
      <c r="L26605" s="711"/>
      <c r="Q26605" s="11"/>
      <c r="R26605" s="11"/>
      <c r="S26605" s="11"/>
      <c r="T26605" s="11"/>
    </row>
    <row r="26606" spans="8:20" x14ac:dyDescent="0.35">
      <c r="H26606" s="711"/>
      <c r="I26606" s="711"/>
      <c r="J26606" s="711"/>
      <c r="K26606" s="711"/>
      <c r="L26606" s="711"/>
      <c r="Q26606" s="11"/>
      <c r="R26606" s="11"/>
      <c r="S26606" s="11"/>
      <c r="T26606" s="11"/>
    </row>
    <row r="26607" spans="8:20" x14ac:dyDescent="0.35">
      <c r="H26607" s="711"/>
      <c r="I26607" s="711"/>
      <c r="J26607" s="711"/>
      <c r="K26607" s="711"/>
      <c r="L26607" s="711"/>
      <c r="Q26607" s="11"/>
      <c r="R26607" s="11"/>
      <c r="S26607" s="11"/>
      <c r="T26607" s="11"/>
    </row>
    <row r="26608" spans="8:20" x14ac:dyDescent="0.35">
      <c r="H26608" s="711"/>
      <c r="I26608" s="711"/>
      <c r="J26608" s="711"/>
      <c r="K26608" s="711"/>
      <c r="L26608" s="711"/>
      <c r="Q26608" s="11"/>
      <c r="R26608" s="11"/>
      <c r="S26608" s="11"/>
      <c r="T26608" s="11"/>
    </row>
    <row r="26609" spans="8:20" x14ac:dyDescent="0.35">
      <c r="H26609" s="711"/>
      <c r="I26609" s="711"/>
      <c r="J26609" s="711"/>
      <c r="K26609" s="711"/>
      <c r="L26609" s="711"/>
      <c r="Q26609" s="11"/>
      <c r="R26609" s="11"/>
      <c r="S26609" s="11"/>
      <c r="T26609" s="11"/>
    </row>
    <row r="26610" spans="8:20" x14ac:dyDescent="0.35">
      <c r="H26610" s="711"/>
      <c r="I26610" s="711"/>
      <c r="J26610" s="711"/>
      <c r="K26610" s="711"/>
      <c r="L26610" s="711"/>
      <c r="Q26610" s="11"/>
      <c r="R26610" s="11"/>
      <c r="S26610" s="11"/>
      <c r="T26610" s="11"/>
    </row>
    <row r="26611" spans="8:20" x14ac:dyDescent="0.35">
      <c r="H26611" s="711"/>
      <c r="I26611" s="711"/>
      <c r="J26611" s="711"/>
      <c r="K26611" s="711"/>
      <c r="L26611" s="711"/>
      <c r="Q26611" s="11"/>
      <c r="R26611" s="11"/>
      <c r="S26611" s="11"/>
      <c r="T26611" s="11"/>
    </row>
    <row r="26612" spans="8:20" x14ac:dyDescent="0.35">
      <c r="H26612" s="711"/>
      <c r="I26612" s="711"/>
      <c r="J26612" s="711"/>
      <c r="K26612" s="711"/>
      <c r="L26612" s="711"/>
      <c r="Q26612" s="11"/>
      <c r="R26612" s="11"/>
      <c r="S26612" s="11"/>
      <c r="T26612" s="11"/>
    </row>
    <row r="26613" spans="8:20" x14ac:dyDescent="0.35">
      <c r="H26613" s="711"/>
      <c r="I26613" s="711"/>
      <c r="J26613" s="711"/>
      <c r="K26613" s="711"/>
      <c r="L26613" s="711"/>
      <c r="Q26613" s="11"/>
      <c r="R26613" s="11"/>
      <c r="S26613" s="11"/>
      <c r="T26613" s="11"/>
    </row>
    <row r="26614" spans="8:20" x14ac:dyDescent="0.35">
      <c r="H26614" s="711"/>
      <c r="I26614" s="711"/>
      <c r="J26614" s="711"/>
      <c r="K26614" s="711"/>
      <c r="L26614" s="711"/>
      <c r="Q26614" s="11"/>
      <c r="R26614" s="11"/>
      <c r="S26614" s="11"/>
      <c r="T26614" s="11"/>
    </row>
    <row r="26615" spans="8:20" x14ac:dyDescent="0.35">
      <c r="H26615" s="711"/>
      <c r="I26615" s="711"/>
      <c r="J26615" s="711"/>
      <c r="K26615" s="711"/>
      <c r="L26615" s="711"/>
      <c r="Q26615" s="11"/>
      <c r="R26615" s="11"/>
      <c r="S26615" s="11"/>
      <c r="T26615" s="11"/>
    </row>
    <row r="26616" spans="8:20" x14ac:dyDescent="0.35">
      <c r="H26616" s="711"/>
      <c r="I26616" s="711"/>
      <c r="J26616" s="711"/>
      <c r="K26616" s="711"/>
      <c r="L26616" s="711"/>
      <c r="Q26616" s="11"/>
      <c r="R26616" s="11"/>
      <c r="S26616" s="11"/>
      <c r="T26616" s="11"/>
    </row>
    <row r="26617" spans="8:20" x14ac:dyDescent="0.35">
      <c r="H26617" s="711"/>
      <c r="I26617" s="711"/>
      <c r="J26617" s="711"/>
      <c r="K26617" s="711"/>
      <c r="L26617" s="711"/>
      <c r="Q26617" s="11"/>
      <c r="R26617" s="11"/>
      <c r="S26617" s="11"/>
      <c r="T26617" s="11"/>
    </row>
    <row r="26618" spans="8:20" x14ac:dyDescent="0.35">
      <c r="H26618" s="711"/>
      <c r="I26618" s="711"/>
      <c r="J26618" s="711"/>
      <c r="K26618" s="711"/>
      <c r="L26618" s="711"/>
      <c r="Q26618" s="11"/>
      <c r="R26618" s="11"/>
      <c r="S26618" s="11"/>
      <c r="T26618" s="11"/>
    </row>
    <row r="26619" spans="8:20" x14ac:dyDescent="0.35">
      <c r="H26619" s="711"/>
      <c r="I26619" s="711"/>
      <c r="J26619" s="711"/>
      <c r="K26619" s="711"/>
      <c r="L26619" s="711"/>
      <c r="Q26619" s="11"/>
      <c r="R26619" s="11"/>
      <c r="S26619" s="11"/>
      <c r="T26619" s="11"/>
    </row>
    <row r="26620" spans="8:20" x14ac:dyDescent="0.35">
      <c r="H26620" s="711"/>
      <c r="I26620" s="711"/>
      <c r="J26620" s="711"/>
      <c r="K26620" s="711"/>
      <c r="L26620" s="711"/>
      <c r="Q26620" s="11"/>
      <c r="R26620" s="11"/>
      <c r="S26620" s="11"/>
      <c r="T26620" s="11"/>
    </row>
    <row r="26621" spans="8:20" x14ac:dyDescent="0.35">
      <c r="H26621" s="711"/>
      <c r="I26621" s="711"/>
      <c r="J26621" s="711"/>
      <c r="K26621" s="711"/>
      <c r="L26621" s="711"/>
      <c r="Q26621" s="11"/>
      <c r="R26621" s="11"/>
      <c r="S26621" s="11"/>
      <c r="T26621" s="11"/>
    </row>
    <row r="26622" spans="8:20" x14ac:dyDescent="0.35">
      <c r="H26622" s="711"/>
      <c r="I26622" s="711"/>
      <c r="J26622" s="711"/>
      <c r="K26622" s="711"/>
      <c r="L26622" s="711"/>
      <c r="Q26622" s="11"/>
      <c r="R26622" s="11"/>
      <c r="S26622" s="11"/>
      <c r="T26622" s="11"/>
    </row>
    <row r="26623" spans="8:20" x14ac:dyDescent="0.35">
      <c r="H26623" s="711"/>
      <c r="I26623" s="711"/>
      <c r="J26623" s="711"/>
      <c r="K26623" s="711"/>
      <c r="L26623" s="711"/>
      <c r="Q26623" s="11"/>
      <c r="R26623" s="11"/>
      <c r="S26623" s="11"/>
      <c r="T26623" s="11"/>
    </row>
    <row r="26624" spans="8:20" x14ac:dyDescent="0.35">
      <c r="H26624" s="711"/>
      <c r="I26624" s="711"/>
      <c r="J26624" s="711"/>
      <c r="K26624" s="711"/>
      <c r="L26624" s="711"/>
      <c r="Q26624" s="11"/>
      <c r="R26624" s="11"/>
      <c r="S26624" s="11"/>
      <c r="T26624" s="11"/>
    </row>
    <row r="26625" spans="8:20" x14ac:dyDescent="0.35">
      <c r="H26625" s="711"/>
      <c r="I26625" s="711"/>
      <c r="J26625" s="711"/>
      <c r="K26625" s="711"/>
      <c r="L26625" s="711"/>
      <c r="Q26625" s="11"/>
      <c r="R26625" s="11"/>
      <c r="S26625" s="11"/>
      <c r="T26625" s="11"/>
    </row>
    <row r="26626" spans="8:20" x14ac:dyDescent="0.35">
      <c r="H26626" s="711"/>
      <c r="I26626" s="711"/>
      <c r="J26626" s="711"/>
      <c r="K26626" s="711"/>
      <c r="L26626" s="711"/>
      <c r="Q26626" s="11"/>
      <c r="R26626" s="11"/>
      <c r="S26626" s="11"/>
      <c r="T26626" s="11"/>
    </row>
    <row r="26627" spans="8:20" x14ac:dyDescent="0.35">
      <c r="H26627" s="711"/>
      <c r="I26627" s="711"/>
      <c r="J26627" s="711"/>
      <c r="K26627" s="711"/>
      <c r="L26627" s="711"/>
      <c r="Q26627" s="11"/>
      <c r="R26627" s="11"/>
      <c r="S26627" s="11"/>
      <c r="T26627" s="11"/>
    </row>
    <row r="26628" spans="8:20" x14ac:dyDescent="0.35">
      <c r="H26628" s="711"/>
      <c r="I26628" s="711"/>
      <c r="J26628" s="711"/>
      <c r="K26628" s="711"/>
      <c r="L26628" s="711"/>
      <c r="Q26628" s="11"/>
      <c r="R26628" s="11"/>
      <c r="S26628" s="11"/>
      <c r="T26628" s="11"/>
    </row>
    <row r="26629" spans="8:20" x14ac:dyDescent="0.35">
      <c r="H26629" s="711"/>
      <c r="I26629" s="711"/>
      <c r="J26629" s="711"/>
      <c r="K26629" s="711"/>
      <c r="L26629" s="711"/>
      <c r="Q26629" s="11"/>
      <c r="R26629" s="11"/>
      <c r="S26629" s="11"/>
      <c r="T26629" s="11"/>
    </row>
    <row r="26630" spans="8:20" x14ac:dyDescent="0.35">
      <c r="H26630" s="711"/>
      <c r="I26630" s="711"/>
      <c r="J26630" s="711"/>
      <c r="K26630" s="711"/>
      <c r="L26630" s="711"/>
      <c r="Q26630" s="11"/>
      <c r="R26630" s="11"/>
      <c r="S26630" s="11"/>
      <c r="T26630" s="11"/>
    </row>
    <row r="26631" spans="8:20" x14ac:dyDescent="0.35">
      <c r="H26631" s="711"/>
      <c r="I26631" s="711"/>
      <c r="J26631" s="711"/>
      <c r="K26631" s="711"/>
      <c r="L26631" s="711"/>
      <c r="Q26631" s="11"/>
      <c r="R26631" s="11"/>
      <c r="S26631" s="11"/>
      <c r="T26631" s="11"/>
    </row>
    <row r="26632" spans="8:20" x14ac:dyDescent="0.35">
      <c r="H26632" s="711"/>
      <c r="I26632" s="711"/>
      <c r="J26632" s="711"/>
      <c r="K26632" s="711"/>
      <c r="L26632" s="711"/>
      <c r="Q26632" s="11"/>
      <c r="R26632" s="11"/>
      <c r="S26632" s="11"/>
      <c r="T26632" s="11"/>
    </row>
    <row r="26633" spans="8:20" x14ac:dyDescent="0.35">
      <c r="H26633" s="711"/>
      <c r="I26633" s="711"/>
      <c r="J26633" s="711"/>
      <c r="K26633" s="711"/>
      <c r="L26633" s="711"/>
      <c r="Q26633" s="11"/>
      <c r="R26633" s="11"/>
      <c r="S26633" s="11"/>
      <c r="T26633" s="11"/>
    </row>
    <row r="26634" spans="8:20" x14ac:dyDescent="0.35">
      <c r="H26634" s="711"/>
      <c r="I26634" s="711"/>
      <c r="J26634" s="711"/>
      <c r="K26634" s="711"/>
      <c r="L26634" s="711"/>
      <c r="Q26634" s="11"/>
      <c r="R26634" s="11"/>
      <c r="S26634" s="11"/>
      <c r="T26634" s="11"/>
    </row>
    <row r="26635" spans="8:20" x14ac:dyDescent="0.35">
      <c r="H26635" s="711"/>
      <c r="I26635" s="711"/>
      <c r="J26635" s="711"/>
      <c r="K26635" s="711"/>
      <c r="L26635" s="711"/>
      <c r="Q26635" s="11"/>
      <c r="R26635" s="11"/>
      <c r="S26635" s="11"/>
      <c r="T26635" s="11"/>
    </row>
    <row r="26636" spans="8:20" x14ac:dyDescent="0.35">
      <c r="H26636" s="711"/>
      <c r="I26636" s="711"/>
      <c r="J26636" s="711"/>
      <c r="K26636" s="711"/>
      <c r="L26636" s="711"/>
      <c r="Q26636" s="11"/>
      <c r="R26636" s="11"/>
      <c r="S26636" s="11"/>
      <c r="T26636" s="11"/>
    </row>
    <row r="26637" spans="8:20" x14ac:dyDescent="0.35">
      <c r="H26637" s="711"/>
      <c r="I26637" s="711"/>
      <c r="J26637" s="711"/>
      <c r="K26637" s="711"/>
      <c r="L26637" s="711"/>
      <c r="Q26637" s="11"/>
      <c r="R26637" s="11"/>
      <c r="S26637" s="11"/>
      <c r="T26637" s="11"/>
    </row>
    <row r="26638" spans="8:20" x14ac:dyDescent="0.35">
      <c r="H26638" s="711"/>
      <c r="I26638" s="711"/>
      <c r="J26638" s="711"/>
      <c r="K26638" s="711"/>
      <c r="L26638" s="711"/>
      <c r="Q26638" s="11"/>
      <c r="R26638" s="11"/>
      <c r="S26638" s="11"/>
      <c r="T26638" s="11"/>
    </row>
    <row r="26639" spans="8:20" x14ac:dyDescent="0.35">
      <c r="H26639" s="711"/>
      <c r="I26639" s="711"/>
      <c r="J26639" s="711"/>
      <c r="K26639" s="711"/>
      <c r="L26639" s="711"/>
      <c r="Q26639" s="11"/>
      <c r="R26639" s="11"/>
      <c r="S26639" s="11"/>
      <c r="T26639" s="11"/>
    </row>
    <row r="26640" spans="8:20" x14ac:dyDescent="0.35">
      <c r="H26640" s="711"/>
      <c r="I26640" s="711"/>
      <c r="J26640" s="711"/>
      <c r="K26640" s="711"/>
      <c r="L26640" s="711"/>
      <c r="Q26640" s="11"/>
      <c r="R26640" s="11"/>
      <c r="S26640" s="11"/>
      <c r="T26640" s="11"/>
    </row>
    <row r="26641" spans="8:20" x14ac:dyDescent="0.35">
      <c r="H26641" s="711"/>
      <c r="I26641" s="711"/>
      <c r="J26641" s="711"/>
      <c r="K26641" s="711"/>
      <c r="L26641" s="711"/>
      <c r="Q26641" s="11"/>
      <c r="R26641" s="11"/>
      <c r="S26641" s="11"/>
      <c r="T26641" s="11"/>
    </row>
    <row r="26642" spans="8:20" x14ac:dyDescent="0.35">
      <c r="H26642" s="711"/>
      <c r="I26642" s="711"/>
      <c r="J26642" s="711"/>
      <c r="K26642" s="711"/>
      <c r="L26642" s="711"/>
      <c r="Q26642" s="11"/>
      <c r="R26642" s="11"/>
      <c r="S26642" s="11"/>
      <c r="T26642" s="11"/>
    </row>
    <row r="26643" spans="8:20" x14ac:dyDescent="0.35">
      <c r="H26643" s="711"/>
      <c r="I26643" s="711"/>
      <c r="J26643" s="711"/>
      <c r="K26643" s="711"/>
      <c r="L26643" s="711"/>
      <c r="Q26643" s="11"/>
      <c r="R26643" s="11"/>
      <c r="S26643" s="11"/>
      <c r="T26643" s="11"/>
    </row>
    <row r="26644" spans="8:20" x14ac:dyDescent="0.35">
      <c r="H26644" s="711"/>
      <c r="I26644" s="711"/>
      <c r="J26644" s="711"/>
      <c r="K26644" s="711"/>
      <c r="L26644" s="711"/>
      <c r="Q26644" s="11"/>
      <c r="R26644" s="11"/>
      <c r="S26644" s="11"/>
      <c r="T26644" s="11"/>
    </row>
    <row r="26645" spans="8:20" x14ac:dyDescent="0.35">
      <c r="H26645" s="711"/>
      <c r="I26645" s="711"/>
      <c r="J26645" s="711"/>
      <c r="K26645" s="711"/>
      <c r="L26645" s="711"/>
      <c r="Q26645" s="11"/>
      <c r="R26645" s="11"/>
      <c r="S26645" s="11"/>
      <c r="T26645" s="11"/>
    </row>
    <row r="26646" spans="8:20" x14ac:dyDescent="0.35">
      <c r="H26646" s="711"/>
      <c r="I26646" s="711"/>
      <c r="J26646" s="711"/>
      <c r="K26646" s="711"/>
      <c r="L26646" s="711"/>
      <c r="Q26646" s="11"/>
      <c r="R26646" s="11"/>
      <c r="S26646" s="11"/>
      <c r="T26646" s="11"/>
    </row>
    <row r="26647" spans="8:20" x14ac:dyDescent="0.35">
      <c r="H26647" s="711"/>
      <c r="I26647" s="711"/>
      <c r="J26647" s="711"/>
      <c r="K26647" s="711"/>
      <c r="L26647" s="711"/>
      <c r="Q26647" s="11"/>
      <c r="R26647" s="11"/>
      <c r="S26647" s="11"/>
      <c r="T26647" s="11"/>
    </row>
    <row r="26648" spans="8:20" x14ac:dyDescent="0.35">
      <c r="H26648" s="711"/>
      <c r="I26648" s="711"/>
      <c r="J26648" s="711"/>
      <c r="K26648" s="711"/>
      <c r="L26648" s="711"/>
      <c r="Q26648" s="11"/>
      <c r="R26648" s="11"/>
      <c r="S26648" s="11"/>
      <c r="T26648" s="11"/>
    </row>
    <row r="26649" spans="8:20" x14ac:dyDescent="0.35">
      <c r="H26649" s="711"/>
      <c r="I26649" s="711"/>
      <c r="J26649" s="711"/>
      <c r="K26649" s="711"/>
      <c r="L26649" s="711"/>
      <c r="Q26649" s="11"/>
      <c r="R26649" s="11"/>
      <c r="S26649" s="11"/>
      <c r="T26649" s="11"/>
    </row>
    <row r="26650" spans="8:20" x14ac:dyDescent="0.35">
      <c r="H26650" s="711"/>
      <c r="I26650" s="711"/>
      <c r="J26650" s="711"/>
      <c r="K26650" s="711"/>
      <c r="L26650" s="711"/>
      <c r="Q26650" s="11"/>
      <c r="R26650" s="11"/>
      <c r="S26650" s="11"/>
      <c r="T26650" s="11"/>
    </row>
    <row r="26651" spans="8:20" x14ac:dyDescent="0.35">
      <c r="H26651" s="711"/>
      <c r="I26651" s="711"/>
      <c r="J26651" s="711"/>
      <c r="K26651" s="711"/>
      <c r="L26651" s="711"/>
      <c r="Q26651" s="11"/>
      <c r="R26651" s="11"/>
      <c r="S26651" s="11"/>
      <c r="T26651" s="11"/>
    </row>
    <row r="26652" spans="8:20" x14ac:dyDescent="0.35">
      <c r="H26652" s="711"/>
      <c r="I26652" s="711"/>
      <c r="J26652" s="711"/>
      <c r="K26652" s="711"/>
      <c r="L26652" s="711"/>
      <c r="Q26652" s="11"/>
      <c r="R26652" s="11"/>
      <c r="S26652" s="11"/>
      <c r="T26652" s="11"/>
    </row>
    <row r="26653" spans="8:20" x14ac:dyDescent="0.35">
      <c r="H26653" s="711"/>
      <c r="I26653" s="711"/>
      <c r="J26653" s="711"/>
      <c r="K26653" s="711"/>
      <c r="L26653" s="711"/>
      <c r="Q26653" s="11"/>
      <c r="R26653" s="11"/>
      <c r="S26653" s="11"/>
      <c r="T26653" s="11"/>
    </row>
    <row r="26654" spans="8:20" x14ac:dyDescent="0.35">
      <c r="H26654" s="711"/>
      <c r="I26654" s="711"/>
      <c r="J26654" s="711"/>
      <c r="K26654" s="711"/>
      <c r="L26654" s="711"/>
      <c r="Q26654" s="11"/>
      <c r="R26654" s="11"/>
      <c r="S26654" s="11"/>
      <c r="T26654" s="11"/>
    </row>
    <row r="26655" spans="8:20" x14ac:dyDescent="0.35">
      <c r="H26655" s="711"/>
      <c r="I26655" s="711"/>
      <c r="J26655" s="711"/>
      <c r="K26655" s="711"/>
      <c r="L26655" s="711"/>
      <c r="Q26655" s="11"/>
      <c r="R26655" s="11"/>
      <c r="S26655" s="11"/>
      <c r="T26655" s="11"/>
    </row>
    <row r="26656" spans="8:20" x14ac:dyDescent="0.35">
      <c r="H26656" s="711"/>
      <c r="I26656" s="711"/>
      <c r="J26656" s="711"/>
      <c r="K26656" s="711"/>
      <c r="L26656" s="711"/>
      <c r="Q26656" s="11"/>
      <c r="R26656" s="11"/>
      <c r="S26656" s="11"/>
      <c r="T26656" s="11"/>
    </row>
    <row r="26657" spans="8:20" x14ac:dyDescent="0.35">
      <c r="H26657" s="711"/>
      <c r="I26657" s="711"/>
      <c r="J26657" s="711"/>
      <c r="K26657" s="711"/>
      <c r="L26657" s="711"/>
      <c r="Q26657" s="11"/>
      <c r="R26657" s="11"/>
      <c r="S26657" s="11"/>
      <c r="T26657" s="11"/>
    </row>
    <row r="26658" spans="8:20" x14ac:dyDescent="0.35">
      <c r="H26658" s="711"/>
      <c r="I26658" s="711"/>
      <c r="J26658" s="711"/>
      <c r="K26658" s="711"/>
      <c r="L26658" s="711"/>
      <c r="Q26658" s="11"/>
      <c r="R26658" s="11"/>
      <c r="S26658" s="11"/>
      <c r="T26658" s="11"/>
    </row>
    <row r="26659" spans="8:20" x14ac:dyDescent="0.35">
      <c r="H26659" s="711"/>
      <c r="I26659" s="711"/>
      <c r="J26659" s="711"/>
      <c r="K26659" s="711"/>
      <c r="L26659" s="711"/>
      <c r="Q26659" s="11"/>
      <c r="R26659" s="11"/>
      <c r="S26659" s="11"/>
      <c r="T26659" s="11"/>
    </row>
    <row r="26660" spans="8:20" x14ac:dyDescent="0.35">
      <c r="H26660" s="711"/>
      <c r="I26660" s="711"/>
      <c r="J26660" s="711"/>
      <c r="K26660" s="711"/>
      <c r="L26660" s="711"/>
      <c r="Q26660" s="11"/>
      <c r="R26660" s="11"/>
      <c r="S26660" s="11"/>
      <c r="T26660" s="11"/>
    </row>
    <row r="26661" spans="8:20" x14ac:dyDescent="0.35">
      <c r="H26661" s="711"/>
      <c r="I26661" s="711"/>
      <c r="J26661" s="711"/>
      <c r="K26661" s="711"/>
      <c r="L26661" s="711"/>
      <c r="Q26661" s="11"/>
      <c r="R26661" s="11"/>
      <c r="S26661" s="11"/>
      <c r="T26661" s="11"/>
    </row>
    <row r="26662" spans="8:20" x14ac:dyDescent="0.35">
      <c r="H26662" s="711"/>
      <c r="I26662" s="711"/>
      <c r="J26662" s="711"/>
      <c r="K26662" s="711"/>
      <c r="L26662" s="711"/>
      <c r="Q26662" s="11"/>
      <c r="R26662" s="11"/>
      <c r="S26662" s="11"/>
      <c r="T26662" s="11"/>
    </row>
    <row r="26663" spans="8:20" x14ac:dyDescent="0.35">
      <c r="H26663" s="711"/>
      <c r="I26663" s="711"/>
      <c r="J26663" s="711"/>
      <c r="K26663" s="711"/>
      <c r="L26663" s="711"/>
      <c r="Q26663" s="11"/>
      <c r="R26663" s="11"/>
      <c r="S26663" s="11"/>
      <c r="T26663" s="11"/>
    </row>
    <row r="26664" spans="8:20" x14ac:dyDescent="0.35">
      <c r="H26664" s="711"/>
      <c r="I26664" s="711"/>
      <c r="J26664" s="711"/>
      <c r="K26664" s="711"/>
      <c r="L26664" s="711"/>
      <c r="Q26664" s="11"/>
      <c r="R26664" s="11"/>
      <c r="S26664" s="11"/>
      <c r="T26664" s="11"/>
    </row>
    <row r="26665" spans="8:20" x14ac:dyDescent="0.35">
      <c r="H26665" s="711"/>
      <c r="I26665" s="711"/>
      <c r="J26665" s="711"/>
      <c r="K26665" s="711"/>
      <c r="L26665" s="711"/>
      <c r="Q26665" s="11"/>
      <c r="R26665" s="11"/>
      <c r="S26665" s="11"/>
      <c r="T26665" s="11"/>
    </row>
    <row r="26666" spans="8:20" x14ac:dyDescent="0.35">
      <c r="H26666" s="711"/>
      <c r="I26666" s="711"/>
      <c r="J26666" s="711"/>
      <c r="K26666" s="711"/>
      <c r="L26666" s="711"/>
      <c r="Q26666" s="11"/>
      <c r="R26666" s="11"/>
      <c r="S26666" s="11"/>
      <c r="T26666" s="11"/>
    </row>
    <row r="26667" spans="8:20" x14ac:dyDescent="0.35">
      <c r="H26667" s="711"/>
      <c r="I26667" s="711"/>
      <c r="J26667" s="711"/>
      <c r="K26667" s="711"/>
      <c r="L26667" s="711"/>
      <c r="Q26667" s="11"/>
      <c r="R26667" s="11"/>
      <c r="S26667" s="11"/>
      <c r="T26667" s="11"/>
    </row>
    <row r="26668" spans="8:20" x14ac:dyDescent="0.35">
      <c r="H26668" s="711"/>
      <c r="I26668" s="711"/>
      <c r="J26668" s="711"/>
      <c r="K26668" s="711"/>
      <c r="L26668" s="711"/>
      <c r="Q26668" s="11"/>
      <c r="R26668" s="11"/>
      <c r="S26668" s="11"/>
      <c r="T26668" s="11"/>
    </row>
    <row r="26669" spans="8:20" x14ac:dyDescent="0.35">
      <c r="H26669" s="711"/>
      <c r="I26669" s="711"/>
      <c r="J26669" s="711"/>
      <c r="K26669" s="711"/>
      <c r="L26669" s="711"/>
      <c r="Q26669" s="11"/>
      <c r="R26669" s="11"/>
      <c r="S26669" s="11"/>
      <c r="T26669" s="11"/>
    </row>
    <row r="26670" spans="8:20" x14ac:dyDescent="0.35">
      <c r="H26670" s="711"/>
      <c r="I26670" s="711"/>
      <c r="J26670" s="711"/>
      <c r="K26670" s="711"/>
      <c r="L26670" s="711"/>
      <c r="Q26670" s="11"/>
      <c r="R26670" s="11"/>
      <c r="S26670" s="11"/>
      <c r="T26670" s="11"/>
    </row>
    <row r="26671" spans="8:20" x14ac:dyDescent="0.35">
      <c r="H26671" s="711"/>
      <c r="I26671" s="711"/>
      <c r="J26671" s="711"/>
      <c r="K26671" s="711"/>
      <c r="L26671" s="711"/>
      <c r="Q26671" s="11"/>
      <c r="R26671" s="11"/>
      <c r="S26671" s="11"/>
      <c r="T26671" s="11"/>
    </row>
    <row r="26672" spans="8:20" x14ac:dyDescent="0.35">
      <c r="H26672" s="711"/>
      <c r="I26672" s="711"/>
      <c r="J26672" s="711"/>
      <c r="K26672" s="711"/>
      <c r="L26672" s="711"/>
      <c r="Q26672" s="11"/>
      <c r="R26672" s="11"/>
      <c r="S26672" s="11"/>
      <c r="T26672" s="11"/>
    </row>
    <row r="26673" spans="8:20" x14ac:dyDescent="0.35">
      <c r="H26673" s="711"/>
      <c r="I26673" s="711"/>
      <c r="J26673" s="711"/>
      <c r="K26673" s="711"/>
      <c r="L26673" s="711"/>
      <c r="Q26673" s="11"/>
      <c r="R26673" s="11"/>
      <c r="S26673" s="11"/>
      <c r="T26673" s="11"/>
    </row>
    <row r="26674" spans="8:20" x14ac:dyDescent="0.35">
      <c r="H26674" s="711"/>
      <c r="I26674" s="711"/>
      <c r="J26674" s="711"/>
      <c r="K26674" s="711"/>
      <c r="L26674" s="711"/>
      <c r="Q26674" s="11"/>
      <c r="R26674" s="11"/>
      <c r="S26674" s="11"/>
      <c r="T26674" s="11"/>
    </row>
    <row r="26675" spans="8:20" x14ac:dyDescent="0.35">
      <c r="H26675" s="711"/>
      <c r="I26675" s="711"/>
      <c r="J26675" s="711"/>
      <c r="K26675" s="711"/>
      <c r="L26675" s="711"/>
      <c r="Q26675" s="11"/>
      <c r="R26675" s="11"/>
      <c r="S26675" s="11"/>
      <c r="T26675" s="11"/>
    </row>
    <row r="26676" spans="8:20" x14ac:dyDescent="0.35">
      <c r="H26676" s="711"/>
      <c r="I26676" s="711"/>
      <c r="J26676" s="711"/>
      <c r="K26676" s="711"/>
      <c r="L26676" s="711"/>
      <c r="Q26676" s="11"/>
      <c r="R26676" s="11"/>
      <c r="S26676" s="11"/>
      <c r="T26676" s="11"/>
    </row>
    <row r="26677" spans="8:20" x14ac:dyDescent="0.35">
      <c r="H26677" s="711"/>
      <c r="I26677" s="711"/>
      <c r="J26677" s="711"/>
      <c r="K26677" s="711"/>
      <c r="L26677" s="711"/>
      <c r="Q26677" s="11"/>
      <c r="R26677" s="11"/>
      <c r="S26677" s="11"/>
      <c r="T26677" s="11"/>
    </row>
    <row r="26678" spans="8:20" x14ac:dyDescent="0.35">
      <c r="H26678" s="711"/>
      <c r="I26678" s="711"/>
      <c r="J26678" s="711"/>
      <c r="K26678" s="711"/>
      <c r="L26678" s="711"/>
      <c r="Q26678" s="11"/>
      <c r="R26678" s="11"/>
      <c r="S26678" s="11"/>
      <c r="T26678" s="11"/>
    </row>
    <row r="26679" spans="8:20" x14ac:dyDescent="0.35">
      <c r="H26679" s="711"/>
      <c r="I26679" s="711"/>
      <c r="J26679" s="711"/>
      <c r="K26679" s="711"/>
      <c r="L26679" s="711"/>
      <c r="Q26679" s="11"/>
      <c r="R26679" s="11"/>
      <c r="S26679" s="11"/>
      <c r="T26679" s="11"/>
    </row>
    <row r="26680" spans="8:20" x14ac:dyDescent="0.35">
      <c r="H26680" s="711"/>
      <c r="I26680" s="711"/>
      <c r="J26680" s="711"/>
      <c r="K26680" s="711"/>
      <c r="L26680" s="711"/>
      <c r="Q26680" s="11"/>
      <c r="R26680" s="11"/>
      <c r="S26680" s="11"/>
      <c r="T26680" s="11"/>
    </row>
    <row r="26681" spans="8:20" x14ac:dyDescent="0.35">
      <c r="H26681" s="711"/>
      <c r="I26681" s="711"/>
      <c r="J26681" s="711"/>
      <c r="K26681" s="711"/>
      <c r="L26681" s="711"/>
      <c r="Q26681" s="11"/>
      <c r="R26681" s="11"/>
      <c r="S26681" s="11"/>
      <c r="T26681" s="11"/>
    </row>
    <row r="26682" spans="8:20" x14ac:dyDescent="0.35">
      <c r="H26682" s="711"/>
      <c r="I26682" s="711"/>
      <c r="J26682" s="711"/>
      <c r="K26682" s="711"/>
      <c r="L26682" s="711"/>
      <c r="Q26682" s="11"/>
      <c r="R26682" s="11"/>
      <c r="S26682" s="11"/>
      <c r="T26682" s="11"/>
    </row>
    <row r="26683" spans="8:20" x14ac:dyDescent="0.35">
      <c r="H26683" s="711"/>
      <c r="I26683" s="711"/>
      <c r="J26683" s="711"/>
      <c r="K26683" s="711"/>
      <c r="L26683" s="711"/>
      <c r="Q26683" s="11"/>
      <c r="R26683" s="11"/>
      <c r="S26683" s="11"/>
      <c r="T26683" s="11"/>
    </row>
    <row r="26684" spans="8:20" x14ac:dyDescent="0.35">
      <c r="H26684" s="711"/>
      <c r="I26684" s="711"/>
      <c r="J26684" s="711"/>
      <c r="K26684" s="711"/>
      <c r="L26684" s="711"/>
      <c r="Q26684" s="11"/>
      <c r="R26684" s="11"/>
      <c r="S26684" s="11"/>
      <c r="T26684" s="11"/>
    </row>
    <row r="26685" spans="8:20" x14ac:dyDescent="0.35">
      <c r="H26685" s="711"/>
      <c r="I26685" s="711"/>
      <c r="J26685" s="711"/>
      <c r="K26685" s="711"/>
      <c r="L26685" s="711"/>
      <c r="Q26685" s="11"/>
      <c r="R26685" s="11"/>
      <c r="S26685" s="11"/>
      <c r="T26685" s="11"/>
    </row>
    <row r="26686" spans="8:20" x14ac:dyDescent="0.35">
      <c r="H26686" s="711"/>
      <c r="I26686" s="711"/>
      <c r="J26686" s="711"/>
      <c r="K26686" s="711"/>
      <c r="L26686" s="711"/>
      <c r="Q26686" s="11"/>
      <c r="R26686" s="11"/>
      <c r="S26686" s="11"/>
      <c r="T26686" s="11"/>
    </row>
    <row r="26687" spans="8:20" x14ac:dyDescent="0.35">
      <c r="H26687" s="711"/>
      <c r="I26687" s="711"/>
      <c r="J26687" s="711"/>
      <c r="K26687" s="711"/>
      <c r="L26687" s="711"/>
      <c r="Q26687" s="11"/>
      <c r="R26687" s="11"/>
      <c r="S26687" s="11"/>
      <c r="T26687" s="11"/>
    </row>
    <row r="26688" spans="8:20" x14ac:dyDescent="0.35">
      <c r="H26688" s="711"/>
      <c r="I26688" s="711"/>
      <c r="J26688" s="711"/>
      <c r="K26688" s="711"/>
      <c r="L26688" s="711"/>
      <c r="Q26688" s="11"/>
      <c r="R26688" s="11"/>
      <c r="S26688" s="11"/>
      <c r="T26688" s="11"/>
    </row>
    <row r="26689" spans="8:20" x14ac:dyDescent="0.35">
      <c r="H26689" s="711"/>
      <c r="I26689" s="711"/>
      <c r="J26689" s="711"/>
      <c r="K26689" s="711"/>
      <c r="L26689" s="711"/>
      <c r="Q26689" s="11"/>
      <c r="R26689" s="11"/>
      <c r="S26689" s="11"/>
      <c r="T26689" s="11"/>
    </row>
    <row r="26690" spans="8:20" x14ac:dyDescent="0.35">
      <c r="H26690" s="711"/>
      <c r="I26690" s="711"/>
      <c r="J26690" s="711"/>
      <c r="K26690" s="711"/>
      <c r="L26690" s="711"/>
      <c r="Q26690" s="11"/>
      <c r="R26690" s="11"/>
      <c r="S26690" s="11"/>
      <c r="T26690" s="11"/>
    </row>
    <row r="26691" spans="8:20" x14ac:dyDescent="0.35">
      <c r="H26691" s="711"/>
      <c r="I26691" s="711"/>
      <c r="J26691" s="711"/>
      <c r="K26691" s="711"/>
      <c r="L26691" s="711"/>
      <c r="Q26691" s="11"/>
      <c r="R26691" s="11"/>
      <c r="S26691" s="11"/>
      <c r="T26691" s="11"/>
    </row>
    <row r="26692" spans="8:20" x14ac:dyDescent="0.35">
      <c r="H26692" s="711"/>
      <c r="I26692" s="711"/>
      <c r="J26692" s="711"/>
      <c r="K26692" s="711"/>
      <c r="L26692" s="711"/>
      <c r="Q26692" s="11"/>
      <c r="R26692" s="11"/>
      <c r="S26692" s="11"/>
      <c r="T26692" s="11"/>
    </row>
    <row r="26693" spans="8:20" x14ac:dyDescent="0.35">
      <c r="H26693" s="711"/>
      <c r="I26693" s="711"/>
      <c r="J26693" s="711"/>
      <c r="K26693" s="711"/>
      <c r="L26693" s="711"/>
      <c r="Q26693" s="11"/>
      <c r="R26693" s="11"/>
      <c r="S26693" s="11"/>
      <c r="T26693" s="11"/>
    </row>
    <row r="26694" spans="8:20" x14ac:dyDescent="0.35">
      <c r="H26694" s="711"/>
      <c r="I26694" s="711"/>
      <c r="J26694" s="711"/>
      <c r="K26694" s="711"/>
      <c r="L26694" s="711"/>
      <c r="Q26694" s="11"/>
      <c r="R26694" s="11"/>
      <c r="S26694" s="11"/>
      <c r="T26694" s="11"/>
    </row>
    <row r="26695" spans="8:20" x14ac:dyDescent="0.35">
      <c r="H26695" s="711"/>
      <c r="I26695" s="711"/>
      <c r="J26695" s="711"/>
      <c r="K26695" s="711"/>
      <c r="L26695" s="711"/>
      <c r="Q26695" s="11"/>
      <c r="R26695" s="11"/>
      <c r="S26695" s="11"/>
      <c r="T26695" s="11"/>
    </row>
    <row r="26696" spans="8:20" x14ac:dyDescent="0.35">
      <c r="H26696" s="711"/>
      <c r="I26696" s="711"/>
      <c r="J26696" s="711"/>
      <c r="K26696" s="711"/>
      <c r="L26696" s="711"/>
      <c r="Q26696" s="11"/>
      <c r="R26696" s="11"/>
      <c r="S26696" s="11"/>
      <c r="T26696" s="11"/>
    </row>
    <row r="26697" spans="8:20" x14ac:dyDescent="0.35">
      <c r="H26697" s="711"/>
      <c r="I26697" s="711"/>
      <c r="J26697" s="711"/>
      <c r="K26697" s="711"/>
      <c r="L26697" s="711"/>
      <c r="Q26697" s="11"/>
      <c r="R26697" s="11"/>
      <c r="S26697" s="11"/>
      <c r="T26697" s="11"/>
    </row>
    <row r="26698" spans="8:20" x14ac:dyDescent="0.35">
      <c r="H26698" s="711"/>
      <c r="I26698" s="711"/>
      <c r="J26698" s="711"/>
      <c r="K26698" s="711"/>
      <c r="L26698" s="711"/>
      <c r="Q26698" s="11"/>
      <c r="R26698" s="11"/>
      <c r="S26698" s="11"/>
      <c r="T26698" s="11"/>
    </row>
    <row r="26699" spans="8:20" x14ac:dyDescent="0.35">
      <c r="H26699" s="711"/>
      <c r="I26699" s="711"/>
      <c r="J26699" s="711"/>
      <c r="K26699" s="711"/>
      <c r="L26699" s="711"/>
      <c r="Q26699" s="11"/>
      <c r="R26699" s="11"/>
      <c r="S26699" s="11"/>
      <c r="T26699" s="11"/>
    </row>
    <row r="26700" spans="8:20" x14ac:dyDescent="0.35">
      <c r="H26700" s="711"/>
      <c r="I26700" s="711"/>
      <c r="J26700" s="711"/>
      <c r="K26700" s="711"/>
      <c r="L26700" s="711"/>
      <c r="Q26700" s="11"/>
      <c r="R26700" s="11"/>
      <c r="S26700" s="11"/>
      <c r="T26700" s="11"/>
    </row>
    <row r="26701" spans="8:20" x14ac:dyDescent="0.35">
      <c r="H26701" s="711"/>
      <c r="I26701" s="711"/>
      <c r="J26701" s="711"/>
      <c r="K26701" s="711"/>
      <c r="L26701" s="711"/>
      <c r="Q26701" s="11"/>
      <c r="R26701" s="11"/>
      <c r="S26701" s="11"/>
      <c r="T26701" s="11"/>
    </row>
    <row r="26702" spans="8:20" x14ac:dyDescent="0.35">
      <c r="H26702" s="711"/>
      <c r="I26702" s="711"/>
      <c r="J26702" s="711"/>
      <c r="K26702" s="711"/>
      <c r="L26702" s="711"/>
      <c r="Q26702" s="11"/>
      <c r="R26702" s="11"/>
      <c r="S26702" s="11"/>
      <c r="T26702" s="11"/>
    </row>
    <row r="26703" spans="8:20" x14ac:dyDescent="0.35">
      <c r="H26703" s="711"/>
      <c r="I26703" s="711"/>
      <c r="J26703" s="711"/>
      <c r="K26703" s="711"/>
      <c r="L26703" s="711"/>
      <c r="Q26703" s="11"/>
      <c r="R26703" s="11"/>
      <c r="S26703" s="11"/>
      <c r="T26703" s="11"/>
    </row>
    <row r="26704" spans="8:20" x14ac:dyDescent="0.35">
      <c r="H26704" s="711"/>
      <c r="I26704" s="711"/>
      <c r="J26704" s="711"/>
      <c r="K26704" s="711"/>
      <c r="L26704" s="711"/>
      <c r="Q26704" s="11"/>
      <c r="R26704" s="11"/>
      <c r="S26704" s="11"/>
      <c r="T26704" s="11"/>
    </row>
    <row r="26705" spans="8:20" x14ac:dyDescent="0.35">
      <c r="H26705" s="711"/>
      <c r="I26705" s="711"/>
      <c r="J26705" s="711"/>
      <c r="K26705" s="711"/>
      <c r="L26705" s="711"/>
      <c r="Q26705" s="11"/>
      <c r="R26705" s="11"/>
      <c r="S26705" s="11"/>
      <c r="T26705" s="11"/>
    </row>
    <row r="26706" spans="8:20" x14ac:dyDescent="0.35">
      <c r="H26706" s="711"/>
      <c r="I26706" s="711"/>
      <c r="J26706" s="711"/>
      <c r="K26706" s="711"/>
      <c r="L26706" s="711"/>
      <c r="Q26706" s="11"/>
      <c r="R26706" s="11"/>
      <c r="S26706" s="11"/>
      <c r="T26706" s="11"/>
    </row>
    <row r="26707" spans="8:20" x14ac:dyDescent="0.35">
      <c r="H26707" s="711"/>
      <c r="I26707" s="711"/>
      <c r="J26707" s="711"/>
      <c r="K26707" s="711"/>
      <c r="L26707" s="711"/>
      <c r="Q26707" s="11"/>
      <c r="R26707" s="11"/>
      <c r="S26707" s="11"/>
      <c r="T26707" s="11"/>
    </row>
    <row r="26708" spans="8:20" x14ac:dyDescent="0.35">
      <c r="H26708" s="711"/>
      <c r="I26708" s="711"/>
      <c r="J26708" s="711"/>
      <c r="K26708" s="711"/>
      <c r="L26708" s="711"/>
      <c r="Q26708" s="11"/>
      <c r="R26708" s="11"/>
      <c r="S26708" s="11"/>
      <c r="T26708" s="11"/>
    </row>
    <row r="26709" spans="8:20" x14ac:dyDescent="0.35">
      <c r="H26709" s="711"/>
      <c r="I26709" s="711"/>
      <c r="J26709" s="711"/>
      <c r="K26709" s="711"/>
      <c r="L26709" s="711"/>
      <c r="Q26709" s="11"/>
      <c r="R26709" s="11"/>
      <c r="S26709" s="11"/>
      <c r="T26709" s="11"/>
    </row>
    <row r="26710" spans="8:20" x14ac:dyDescent="0.35">
      <c r="H26710" s="711"/>
      <c r="I26710" s="711"/>
      <c r="J26710" s="711"/>
      <c r="K26710" s="711"/>
      <c r="L26710" s="711"/>
      <c r="Q26710" s="11"/>
      <c r="R26710" s="11"/>
      <c r="S26710" s="11"/>
      <c r="T26710" s="11"/>
    </row>
    <row r="26711" spans="8:20" x14ac:dyDescent="0.35">
      <c r="H26711" s="711"/>
      <c r="I26711" s="711"/>
      <c r="J26711" s="711"/>
      <c r="K26711" s="711"/>
      <c r="L26711" s="711"/>
      <c r="Q26711" s="11"/>
      <c r="R26711" s="11"/>
      <c r="S26711" s="11"/>
      <c r="T26711" s="11"/>
    </row>
    <row r="26712" spans="8:20" x14ac:dyDescent="0.35">
      <c r="H26712" s="711"/>
      <c r="I26712" s="711"/>
      <c r="J26712" s="711"/>
      <c r="K26712" s="711"/>
      <c r="L26712" s="711"/>
      <c r="Q26712" s="11"/>
      <c r="R26712" s="11"/>
      <c r="S26712" s="11"/>
      <c r="T26712" s="11"/>
    </row>
    <row r="26713" spans="8:20" x14ac:dyDescent="0.35">
      <c r="H26713" s="711"/>
      <c r="I26713" s="711"/>
      <c r="J26713" s="711"/>
      <c r="K26713" s="711"/>
      <c r="L26713" s="711"/>
      <c r="Q26713" s="11"/>
      <c r="R26713" s="11"/>
      <c r="S26713" s="11"/>
      <c r="T26713" s="11"/>
    </row>
    <row r="26714" spans="8:20" x14ac:dyDescent="0.35">
      <c r="H26714" s="711"/>
      <c r="I26714" s="711"/>
      <c r="J26714" s="711"/>
      <c r="K26714" s="711"/>
      <c r="L26714" s="711"/>
      <c r="Q26714" s="11"/>
      <c r="R26714" s="11"/>
      <c r="S26714" s="11"/>
      <c r="T26714" s="11"/>
    </row>
    <row r="26715" spans="8:20" x14ac:dyDescent="0.35">
      <c r="H26715" s="711"/>
      <c r="I26715" s="711"/>
      <c r="J26715" s="711"/>
      <c r="K26715" s="711"/>
      <c r="L26715" s="711"/>
      <c r="Q26715" s="11"/>
      <c r="R26715" s="11"/>
      <c r="S26715" s="11"/>
      <c r="T26715" s="11"/>
    </row>
    <row r="26716" spans="8:20" x14ac:dyDescent="0.35">
      <c r="H26716" s="711"/>
      <c r="I26716" s="711"/>
      <c r="J26716" s="711"/>
      <c r="K26716" s="711"/>
      <c r="L26716" s="711"/>
      <c r="Q26716" s="11"/>
      <c r="R26716" s="11"/>
      <c r="S26716" s="11"/>
      <c r="T26716" s="11"/>
    </row>
    <row r="26717" spans="8:20" x14ac:dyDescent="0.35">
      <c r="H26717" s="711"/>
      <c r="I26717" s="711"/>
      <c r="J26717" s="711"/>
      <c r="K26717" s="711"/>
      <c r="L26717" s="711"/>
      <c r="Q26717" s="11"/>
      <c r="R26717" s="11"/>
      <c r="S26717" s="11"/>
      <c r="T26717" s="11"/>
    </row>
    <row r="26718" spans="8:20" x14ac:dyDescent="0.35">
      <c r="H26718" s="711"/>
      <c r="I26718" s="711"/>
      <c r="J26718" s="711"/>
      <c r="K26718" s="711"/>
      <c r="L26718" s="711"/>
      <c r="Q26718" s="11"/>
      <c r="R26718" s="11"/>
      <c r="S26718" s="11"/>
      <c r="T26718" s="11"/>
    </row>
    <row r="26719" spans="8:20" x14ac:dyDescent="0.35">
      <c r="H26719" s="711"/>
      <c r="I26719" s="711"/>
      <c r="J26719" s="711"/>
      <c r="K26719" s="711"/>
      <c r="L26719" s="711"/>
      <c r="Q26719" s="11"/>
      <c r="R26719" s="11"/>
      <c r="S26719" s="11"/>
      <c r="T26719" s="11"/>
    </row>
    <row r="26720" spans="8:20" x14ac:dyDescent="0.35">
      <c r="H26720" s="711"/>
      <c r="I26720" s="711"/>
      <c r="J26720" s="711"/>
      <c r="K26720" s="711"/>
      <c r="L26720" s="711"/>
      <c r="Q26720" s="11"/>
      <c r="R26720" s="11"/>
      <c r="S26720" s="11"/>
      <c r="T26720" s="11"/>
    </row>
    <row r="26721" spans="8:20" x14ac:dyDescent="0.35">
      <c r="H26721" s="711"/>
      <c r="I26721" s="711"/>
      <c r="J26721" s="711"/>
      <c r="K26721" s="711"/>
      <c r="L26721" s="711"/>
      <c r="Q26721" s="11"/>
      <c r="R26721" s="11"/>
      <c r="S26721" s="11"/>
      <c r="T26721" s="11"/>
    </row>
    <row r="26722" spans="8:20" x14ac:dyDescent="0.35">
      <c r="H26722" s="711"/>
      <c r="I26722" s="711"/>
      <c r="J26722" s="711"/>
      <c r="K26722" s="711"/>
      <c r="L26722" s="711"/>
      <c r="Q26722" s="11"/>
      <c r="R26722" s="11"/>
      <c r="S26722" s="11"/>
      <c r="T26722" s="11"/>
    </row>
    <row r="26723" spans="8:20" x14ac:dyDescent="0.35">
      <c r="H26723" s="711"/>
      <c r="I26723" s="711"/>
      <c r="J26723" s="711"/>
      <c r="K26723" s="711"/>
      <c r="L26723" s="711"/>
      <c r="Q26723" s="11"/>
      <c r="R26723" s="11"/>
      <c r="S26723" s="11"/>
      <c r="T26723" s="11"/>
    </row>
    <row r="26724" spans="8:20" x14ac:dyDescent="0.35">
      <c r="H26724" s="711"/>
      <c r="I26724" s="711"/>
      <c r="J26724" s="711"/>
      <c r="K26724" s="711"/>
      <c r="L26724" s="711"/>
      <c r="Q26724" s="11"/>
      <c r="R26724" s="11"/>
      <c r="S26724" s="11"/>
      <c r="T26724" s="11"/>
    </row>
    <row r="26725" spans="8:20" x14ac:dyDescent="0.35">
      <c r="H26725" s="711"/>
      <c r="I26725" s="711"/>
      <c r="J26725" s="711"/>
      <c r="K26725" s="711"/>
      <c r="L26725" s="711"/>
      <c r="Q26725" s="11"/>
      <c r="R26725" s="11"/>
      <c r="S26725" s="11"/>
      <c r="T26725" s="11"/>
    </row>
    <row r="26726" spans="8:20" x14ac:dyDescent="0.35">
      <c r="H26726" s="711"/>
      <c r="I26726" s="711"/>
      <c r="J26726" s="711"/>
      <c r="K26726" s="711"/>
      <c r="L26726" s="711"/>
      <c r="Q26726" s="11"/>
      <c r="R26726" s="11"/>
      <c r="S26726" s="11"/>
      <c r="T26726" s="11"/>
    </row>
    <row r="26727" spans="8:20" x14ac:dyDescent="0.35">
      <c r="H26727" s="711"/>
      <c r="I26727" s="711"/>
      <c r="J26727" s="711"/>
      <c r="K26727" s="711"/>
      <c r="L26727" s="711"/>
      <c r="Q26727" s="11"/>
      <c r="R26727" s="11"/>
      <c r="S26727" s="11"/>
      <c r="T26727" s="11"/>
    </row>
    <row r="26728" spans="8:20" x14ac:dyDescent="0.35">
      <c r="H26728" s="711"/>
      <c r="I26728" s="711"/>
      <c r="J26728" s="711"/>
      <c r="K26728" s="711"/>
      <c r="L26728" s="711"/>
      <c r="Q26728" s="11"/>
      <c r="R26728" s="11"/>
      <c r="S26728" s="11"/>
      <c r="T26728" s="11"/>
    </row>
    <row r="26729" spans="8:20" x14ac:dyDescent="0.35">
      <c r="H26729" s="711"/>
      <c r="I26729" s="711"/>
      <c r="J26729" s="711"/>
      <c r="K26729" s="711"/>
      <c r="L26729" s="711"/>
      <c r="Q26729" s="11"/>
      <c r="R26729" s="11"/>
      <c r="S26729" s="11"/>
      <c r="T26729" s="11"/>
    </row>
    <row r="26730" spans="8:20" x14ac:dyDescent="0.35">
      <c r="H26730" s="711"/>
      <c r="I26730" s="711"/>
      <c r="J26730" s="711"/>
      <c r="K26730" s="711"/>
      <c r="L26730" s="711"/>
      <c r="Q26730" s="11"/>
      <c r="R26730" s="11"/>
      <c r="S26730" s="11"/>
      <c r="T26730" s="11"/>
    </row>
    <row r="26731" spans="8:20" x14ac:dyDescent="0.35">
      <c r="H26731" s="711"/>
      <c r="I26731" s="711"/>
      <c r="J26731" s="711"/>
      <c r="K26731" s="711"/>
      <c r="L26731" s="711"/>
      <c r="Q26731" s="11"/>
      <c r="R26731" s="11"/>
      <c r="S26731" s="11"/>
      <c r="T26731" s="11"/>
    </row>
    <row r="26732" spans="8:20" x14ac:dyDescent="0.35">
      <c r="H26732" s="711"/>
      <c r="I26732" s="711"/>
      <c r="J26732" s="711"/>
      <c r="K26732" s="711"/>
      <c r="L26732" s="711"/>
      <c r="Q26732" s="11"/>
      <c r="R26732" s="11"/>
      <c r="S26732" s="11"/>
      <c r="T26732" s="11"/>
    </row>
    <row r="26733" spans="8:20" x14ac:dyDescent="0.35">
      <c r="H26733" s="711"/>
      <c r="I26733" s="711"/>
      <c r="J26733" s="711"/>
      <c r="K26733" s="711"/>
      <c r="L26733" s="711"/>
      <c r="Q26733" s="11"/>
      <c r="R26733" s="11"/>
      <c r="S26733" s="11"/>
      <c r="T26733" s="11"/>
    </row>
    <row r="26734" spans="8:20" x14ac:dyDescent="0.35">
      <c r="H26734" s="711"/>
      <c r="I26734" s="711"/>
      <c r="J26734" s="711"/>
      <c r="K26734" s="711"/>
      <c r="L26734" s="711"/>
      <c r="Q26734" s="11"/>
      <c r="R26734" s="11"/>
      <c r="S26734" s="11"/>
      <c r="T26734" s="11"/>
    </row>
    <row r="26735" spans="8:20" x14ac:dyDescent="0.35">
      <c r="H26735" s="711"/>
      <c r="I26735" s="711"/>
      <c r="J26735" s="711"/>
      <c r="K26735" s="711"/>
      <c r="L26735" s="711"/>
      <c r="Q26735" s="11"/>
      <c r="R26735" s="11"/>
      <c r="S26735" s="11"/>
      <c r="T26735" s="11"/>
    </row>
    <row r="26736" spans="8:20" x14ac:dyDescent="0.35">
      <c r="H26736" s="711"/>
      <c r="I26736" s="711"/>
      <c r="J26736" s="711"/>
      <c r="K26736" s="711"/>
      <c r="L26736" s="711"/>
      <c r="Q26736" s="11"/>
      <c r="R26736" s="11"/>
      <c r="S26736" s="11"/>
      <c r="T26736" s="11"/>
    </row>
    <row r="26737" spans="8:20" x14ac:dyDescent="0.35">
      <c r="H26737" s="711"/>
      <c r="I26737" s="711"/>
      <c r="J26737" s="711"/>
      <c r="K26737" s="711"/>
      <c r="L26737" s="711"/>
      <c r="Q26737" s="11"/>
      <c r="R26737" s="11"/>
      <c r="S26737" s="11"/>
      <c r="T26737" s="11"/>
    </row>
    <row r="26738" spans="8:20" x14ac:dyDescent="0.35">
      <c r="H26738" s="711"/>
      <c r="I26738" s="711"/>
      <c r="J26738" s="711"/>
      <c r="K26738" s="711"/>
      <c r="L26738" s="711"/>
      <c r="Q26738" s="11"/>
      <c r="R26738" s="11"/>
      <c r="S26738" s="11"/>
      <c r="T26738" s="11"/>
    </row>
    <row r="26739" spans="8:20" x14ac:dyDescent="0.35">
      <c r="H26739" s="711"/>
      <c r="I26739" s="711"/>
      <c r="J26739" s="711"/>
      <c r="K26739" s="711"/>
      <c r="L26739" s="711"/>
      <c r="Q26739" s="11"/>
      <c r="R26739" s="11"/>
      <c r="S26739" s="11"/>
      <c r="T26739" s="11"/>
    </row>
    <row r="26740" spans="8:20" x14ac:dyDescent="0.35">
      <c r="H26740" s="711"/>
      <c r="I26740" s="711"/>
      <c r="J26740" s="711"/>
      <c r="K26740" s="711"/>
      <c r="L26740" s="711"/>
      <c r="Q26740" s="11"/>
      <c r="R26740" s="11"/>
      <c r="S26740" s="11"/>
      <c r="T26740" s="11"/>
    </row>
    <row r="26741" spans="8:20" x14ac:dyDescent="0.35">
      <c r="H26741" s="711"/>
      <c r="I26741" s="711"/>
      <c r="J26741" s="711"/>
      <c r="K26741" s="711"/>
      <c r="L26741" s="711"/>
      <c r="Q26741" s="11"/>
      <c r="R26741" s="11"/>
      <c r="S26741" s="11"/>
      <c r="T26741" s="11"/>
    </row>
    <row r="26742" spans="8:20" x14ac:dyDescent="0.35">
      <c r="H26742" s="711"/>
      <c r="I26742" s="711"/>
      <c r="J26742" s="711"/>
      <c r="K26742" s="711"/>
      <c r="L26742" s="711"/>
      <c r="Q26742" s="11"/>
      <c r="R26742" s="11"/>
      <c r="S26742" s="11"/>
      <c r="T26742" s="11"/>
    </row>
    <row r="26743" spans="8:20" x14ac:dyDescent="0.35">
      <c r="H26743" s="711"/>
      <c r="I26743" s="711"/>
      <c r="J26743" s="711"/>
      <c r="K26743" s="711"/>
      <c r="L26743" s="711"/>
      <c r="Q26743" s="11"/>
      <c r="R26743" s="11"/>
      <c r="S26743" s="11"/>
      <c r="T26743" s="11"/>
    </row>
    <row r="26744" spans="8:20" x14ac:dyDescent="0.35">
      <c r="H26744" s="711"/>
      <c r="I26744" s="711"/>
      <c r="J26744" s="711"/>
      <c r="K26744" s="711"/>
      <c r="L26744" s="711"/>
      <c r="Q26744" s="11"/>
      <c r="R26744" s="11"/>
      <c r="S26744" s="11"/>
      <c r="T26744" s="11"/>
    </row>
    <row r="26745" spans="8:20" x14ac:dyDescent="0.35">
      <c r="H26745" s="711"/>
      <c r="I26745" s="711"/>
      <c r="J26745" s="711"/>
      <c r="K26745" s="711"/>
      <c r="L26745" s="711"/>
      <c r="Q26745" s="11"/>
      <c r="R26745" s="11"/>
      <c r="S26745" s="11"/>
      <c r="T26745" s="11"/>
    </row>
    <row r="26746" spans="8:20" x14ac:dyDescent="0.35">
      <c r="H26746" s="711"/>
      <c r="I26746" s="711"/>
      <c r="J26746" s="711"/>
      <c r="K26746" s="711"/>
      <c r="L26746" s="711"/>
      <c r="Q26746" s="11"/>
      <c r="R26746" s="11"/>
      <c r="S26746" s="11"/>
      <c r="T26746" s="11"/>
    </row>
    <row r="26747" spans="8:20" x14ac:dyDescent="0.35">
      <c r="H26747" s="711"/>
      <c r="I26747" s="711"/>
      <c r="J26747" s="711"/>
      <c r="K26747" s="711"/>
      <c r="L26747" s="711"/>
      <c r="Q26747" s="11"/>
      <c r="R26747" s="11"/>
      <c r="S26747" s="11"/>
      <c r="T26747" s="11"/>
    </row>
    <row r="26748" spans="8:20" x14ac:dyDescent="0.35">
      <c r="H26748" s="711"/>
      <c r="I26748" s="711"/>
      <c r="J26748" s="711"/>
      <c r="K26748" s="711"/>
      <c r="L26748" s="711"/>
      <c r="Q26748" s="11"/>
      <c r="R26748" s="11"/>
      <c r="S26748" s="11"/>
      <c r="T26748" s="11"/>
    </row>
    <row r="26749" spans="8:20" x14ac:dyDescent="0.35">
      <c r="H26749" s="711"/>
      <c r="I26749" s="711"/>
      <c r="J26749" s="711"/>
      <c r="K26749" s="711"/>
      <c r="L26749" s="711"/>
      <c r="Q26749" s="11"/>
      <c r="R26749" s="11"/>
      <c r="S26749" s="11"/>
      <c r="T26749" s="11"/>
    </row>
    <row r="26750" spans="8:20" x14ac:dyDescent="0.35">
      <c r="H26750" s="711"/>
      <c r="I26750" s="711"/>
      <c r="J26750" s="711"/>
      <c r="K26750" s="711"/>
      <c r="L26750" s="711"/>
      <c r="Q26750" s="11"/>
      <c r="R26750" s="11"/>
      <c r="S26750" s="11"/>
      <c r="T26750" s="11"/>
    </row>
    <row r="26751" spans="8:20" x14ac:dyDescent="0.35">
      <c r="H26751" s="711"/>
      <c r="I26751" s="711"/>
      <c r="J26751" s="711"/>
      <c r="K26751" s="711"/>
      <c r="L26751" s="711"/>
      <c r="Q26751" s="11"/>
      <c r="R26751" s="11"/>
      <c r="S26751" s="11"/>
      <c r="T26751" s="11"/>
    </row>
    <row r="26752" spans="8:20" x14ac:dyDescent="0.35">
      <c r="H26752" s="711"/>
      <c r="I26752" s="711"/>
      <c r="J26752" s="711"/>
      <c r="K26752" s="711"/>
      <c r="L26752" s="711"/>
      <c r="Q26752" s="11"/>
      <c r="R26752" s="11"/>
      <c r="S26752" s="11"/>
      <c r="T26752" s="11"/>
    </row>
    <row r="26753" spans="8:20" x14ac:dyDescent="0.35">
      <c r="H26753" s="711"/>
      <c r="I26753" s="711"/>
      <c r="J26753" s="711"/>
      <c r="K26753" s="711"/>
      <c r="L26753" s="711"/>
      <c r="Q26753" s="11"/>
      <c r="R26753" s="11"/>
      <c r="S26753" s="11"/>
      <c r="T26753" s="11"/>
    </row>
    <row r="26754" spans="8:20" x14ac:dyDescent="0.35">
      <c r="H26754" s="711"/>
      <c r="I26754" s="711"/>
      <c r="J26754" s="711"/>
      <c r="K26754" s="711"/>
      <c r="L26754" s="711"/>
      <c r="Q26754" s="11"/>
      <c r="R26754" s="11"/>
      <c r="S26754" s="11"/>
      <c r="T26754" s="11"/>
    </row>
    <row r="26755" spans="8:20" x14ac:dyDescent="0.35">
      <c r="H26755" s="711"/>
      <c r="I26755" s="711"/>
      <c r="J26755" s="711"/>
      <c r="K26755" s="711"/>
      <c r="L26755" s="711"/>
      <c r="Q26755" s="11"/>
      <c r="R26755" s="11"/>
      <c r="S26755" s="11"/>
      <c r="T26755" s="11"/>
    </row>
    <row r="26756" spans="8:20" x14ac:dyDescent="0.35">
      <c r="H26756" s="711"/>
      <c r="I26756" s="711"/>
      <c r="J26756" s="711"/>
      <c r="K26756" s="711"/>
      <c r="L26756" s="711"/>
      <c r="Q26756" s="11"/>
      <c r="R26756" s="11"/>
      <c r="S26756" s="11"/>
      <c r="T26756" s="11"/>
    </row>
    <row r="26757" spans="8:20" x14ac:dyDescent="0.35">
      <c r="H26757" s="711"/>
      <c r="I26757" s="711"/>
      <c r="J26757" s="711"/>
      <c r="K26757" s="711"/>
      <c r="L26757" s="711"/>
      <c r="Q26757" s="11"/>
      <c r="R26757" s="11"/>
      <c r="S26757" s="11"/>
      <c r="T26757" s="11"/>
    </row>
    <row r="26758" spans="8:20" x14ac:dyDescent="0.35">
      <c r="H26758" s="711"/>
      <c r="I26758" s="711"/>
      <c r="J26758" s="711"/>
      <c r="K26758" s="711"/>
      <c r="L26758" s="711"/>
      <c r="Q26758" s="11"/>
      <c r="R26758" s="11"/>
      <c r="S26758" s="11"/>
      <c r="T26758" s="11"/>
    </row>
    <row r="26759" spans="8:20" x14ac:dyDescent="0.35">
      <c r="H26759" s="711"/>
      <c r="I26759" s="711"/>
      <c r="J26759" s="711"/>
      <c r="K26759" s="711"/>
      <c r="L26759" s="711"/>
      <c r="Q26759" s="11"/>
      <c r="R26759" s="11"/>
      <c r="S26759" s="11"/>
      <c r="T26759" s="11"/>
    </row>
    <row r="26760" spans="8:20" x14ac:dyDescent="0.35">
      <c r="H26760" s="711"/>
      <c r="I26760" s="711"/>
      <c r="J26760" s="711"/>
      <c r="K26760" s="711"/>
      <c r="L26760" s="711"/>
      <c r="Q26760" s="11"/>
      <c r="R26760" s="11"/>
      <c r="S26760" s="11"/>
      <c r="T26760" s="11"/>
    </row>
    <row r="26761" spans="8:20" x14ac:dyDescent="0.35">
      <c r="H26761" s="711"/>
      <c r="I26761" s="711"/>
      <c r="J26761" s="711"/>
      <c r="K26761" s="711"/>
      <c r="L26761" s="711"/>
      <c r="Q26761" s="11"/>
      <c r="R26761" s="11"/>
      <c r="S26761" s="11"/>
      <c r="T26761" s="11"/>
    </row>
    <row r="26762" spans="8:20" x14ac:dyDescent="0.35">
      <c r="H26762" s="711"/>
      <c r="I26762" s="711"/>
      <c r="J26762" s="711"/>
      <c r="K26762" s="711"/>
      <c r="L26762" s="711"/>
      <c r="Q26762" s="11"/>
      <c r="R26762" s="11"/>
      <c r="S26762" s="11"/>
      <c r="T26762" s="11"/>
    </row>
    <row r="26763" spans="8:20" x14ac:dyDescent="0.35">
      <c r="H26763" s="711"/>
      <c r="I26763" s="711"/>
      <c r="J26763" s="711"/>
      <c r="K26763" s="711"/>
      <c r="L26763" s="711"/>
      <c r="Q26763" s="11"/>
      <c r="R26763" s="11"/>
      <c r="S26763" s="11"/>
      <c r="T26763" s="11"/>
    </row>
    <row r="26764" spans="8:20" x14ac:dyDescent="0.35">
      <c r="H26764" s="711"/>
      <c r="I26764" s="711"/>
      <c r="J26764" s="711"/>
      <c r="K26764" s="711"/>
      <c r="L26764" s="711"/>
      <c r="Q26764" s="11"/>
      <c r="R26764" s="11"/>
      <c r="S26764" s="11"/>
      <c r="T26764" s="11"/>
    </row>
    <row r="26765" spans="8:20" x14ac:dyDescent="0.35">
      <c r="H26765" s="711"/>
      <c r="I26765" s="711"/>
      <c r="J26765" s="711"/>
      <c r="K26765" s="711"/>
      <c r="L26765" s="711"/>
      <c r="Q26765" s="11"/>
      <c r="R26765" s="11"/>
      <c r="S26765" s="11"/>
      <c r="T26765" s="11"/>
    </row>
    <row r="26766" spans="8:20" x14ac:dyDescent="0.35">
      <c r="H26766" s="711"/>
      <c r="I26766" s="711"/>
      <c r="J26766" s="711"/>
      <c r="K26766" s="711"/>
      <c r="L26766" s="711"/>
      <c r="Q26766" s="11"/>
      <c r="R26766" s="11"/>
      <c r="S26766" s="11"/>
      <c r="T26766" s="11"/>
    </row>
    <row r="26767" spans="8:20" x14ac:dyDescent="0.35">
      <c r="H26767" s="711"/>
      <c r="I26767" s="711"/>
      <c r="J26767" s="711"/>
      <c r="K26767" s="711"/>
      <c r="L26767" s="711"/>
      <c r="Q26767" s="11"/>
      <c r="R26767" s="11"/>
      <c r="S26767" s="11"/>
      <c r="T26767" s="11"/>
    </row>
    <row r="26768" spans="8:20" x14ac:dyDescent="0.35">
      <c r="H26768" s="711"/>
      <c r="I26768" s="711"/>
      <c r="J26768" s="711"/>
      <c r="K26768" s="711"/>
      <c r="L26768" s="711"/>
      <c r="Q26768" s="11"/>
      <c r="R26768" s="11"/>
      <c r="S26768" s="11"/>
      <c r="T26768" s="11"/>
    </row>
    <row r="26769" spans="8:20" x14ac:dyDescent="0.35">
      <c r="H26769" s="711"/>
      <c r="I26769" s="711"/>
      <c r="J26769" s="711"/>
      <c r="K26769" s="711"/>
      <c r="L26769" s="711"/>
      <c r="Q26769" s="11"/>
      <c r="R26769" s="11"/>
      <c r="S26769" s="11"/>
      <c r="T26769" s="11"/>
    </row>
    <row r="26770" spans="8:20" x14ac:dyDescent="0.35">
      <c r="H26770" s="711"/>
      <c r="I26770" s="711"/>
      <c r="J26770" s="711"/>
      <c r="K26770" s="711"/>
      <c r="L26770" s="711"/>
      <c r="Q26770" s="11"/>
      <c r="R26770" s="11"/>
      <c r="S26770" s="11"/>
      <c r="T26770" s="11"/>
    </row>
    <row r="26771" spans="8:20" x14ac:dyDescent="0.35">
      <c r="H26771" s="711"/>
      <c r="I26771" s="711"/>
      <c r="J26771" s="711"/>
      <c r="K26771" s="711"/>
      <c r="L26771" s="711"/>
      <c r="Q26771" s="11"/>
      <c r="R26771" s="11"/>
      <c r="S26771" s="11"/>
      <c r="T26771" s="11"/>
    </row>
    <row r="26772" spans="8:20" x14ac:dyDescent="0.35">
      <c r="H26772" s="711"/>
      <c r="I26772" s="711"/>
      <c r="J26772" s="711"/>
      <c r="K26772" s="711"/>
      <c r="L26772" s="711"/>
      <c r="Q26772" s="11"/>
      <c r="R26772" s="11"/>
      <c r="S26772" s="11"/>
      <c r="T26772" s="11"/>
    </row>
    <row r="26773" spans="8:20" x14ac:dyDescent="0.35">
      <c r="H26773" s="711"/>
      <c r="I26773" s="711"/>
      <c r="J26773" s="711"/>
      <c r="K26773" s="711"/>
      <c r="L26773" s="711"/>
      <c r="Q26773" s="11"/>
      <c r="R26773" s="11"/>
      <c r="S26773" s="11"/>
      <c r="T26773" s="11"/>
    </row>
    <row r="26774" spans="8:20" x14ac:dyDescent="0.35">
      <c r="H26774" s="711"/>
      <c r="I26774" s="711"/>
      <c r="J26774" s="711"/>
      <c r="K26774" s="711"/>
      <c r="L26774" s="711"/>
      <c r="Q26774" s="11"/>
      <c r="R26774" s="11"/>
      <c r="S26774" s="11"/>
      <c r="T26774" s="11"/>
    </row>
    <row r="26775" spans="8:20" x14ac:dyDescent="0.35">
      <c r="H26775" s="711"/>
      <c r="I26775" s="711"/>
      <c r="J26775" s="711"/>
      <c r="K26775" s="711"/>
      <c r="L26775" s="711"/>
      <c r="Q26775" s="11"/>
      <c r="R26775" s="11"/>
      <c r="S26775" s="11"/>
      <c r="T26775" s="11"/>
    </row>
    <row r="26776" spans="8:20" x14ac:dyDescent="0.35">
      <c r="H26776" s="711"/>
      <c r="I26776" s="711"/>
      <c r="J26776" s="711"/>
      <c r="K26776" s="711"/>
      <c r="L26776" s="711"/>
      <c r="Q26776" s="11"/>
      <c r="R26776" s="11"/>
      <c r="S26776" s="11"/>
      <c r="T26776" s="11"/>
    </row>
    <row r="26777" spans="8:20" x14ac:dyDescent="0.35">
      <c r="H26777" s="711"/>
      <c r="I26777" s="711"/>
      <c r="J26777" s="711"/>
      <c r="K26777" s="711"/>
      <c r="L26777" s="711"/>
      <c r="Q26777" s="11"/>
      <c r="R26777" s="11"/>
      <c r="S26777" s="11"/>
      <c r="T26777" s="11"/>
    </row>
    <row r="26778" spans="8:20" x14ac:dyDescent="0.35">
      <c r="H26778" s="711"/>
      <c r="I26778" s="711"/>
      <c r="J26778" s="711"/>
      <c r="K26778" s="711"/>
      <c r="L26778" s="711"/>
      <c r="Q26778" s="11"/>
      <c r="R26778" s="11"/>
      <c r="S26778" s="11"/>
      <c r="T26778" s="11"/>
    </row>
    <row r="26779" spans="8:20" x14ac:dyDescent="0.35">
      <c r="H26779" s="711"/>
      <c r="I26779" s="711"/>
      <c r="J26779" s="711"/>
      <c r="K26779" s="711"/>
      <c r="L26779" s="711"/>
      <c r="Q26779" s="11"/>
      <c r="R26779" s="11"/>
      <c r="S26779" s="11"/>
      <c r="T26779" s="11"/>
    </row>
    <row r="26780" spans="8:20" x14ac:dyDescent="0.35">
      <c r="H26780" s="711"/>
      <c r="I26780" s="711"/>
      <c r="J26780" s="711"/>
      <c r="K26780" s="711"/>
      <c r="L26780" s="711"/>
      <c r="Q26780" s="11"/>
      <c r="R26780" s="11"/>
      <c r="S26780" s="11"/>
      <c r="T26780" s="11"/>
    </row>
    <row r="26781" spans="8:20" x14ac:dyDescent="0.35">
      <c r="H26781" s="711"/>
      <c r="I26781" s="711"/>
      <c r="J26781" s="711"/>
      <c r="K26781" s="711"/>
      <c r="L26781" s="711"/>
      <c r="Q26781" s="11"/>
      <c r="R26781" s="11"/>
      <c r="S26781" s="11"/>
      <c r="T26781" s="11"/>
    </row>
    <row r="26782" spans="8:20" x14ac:dyDescent="0.35">
      <c r="H26782" s="711"/>
      <c r="I26782" s="711"/>
      <c r="J26782" s="711"/>
      <c r="K26782" s="711"/>
      <c r="L26782" s="711"/>
      <c r="Q26782" s="11"/>
      <c r="R26782" s="11"/>
      <c r="S26782" s="11"/>
      <c r="T26782" s="11"/>
    </row>
    <row r="26783" spans="8:20" x14ac:dyDescent="0.35">
      <c r="H26783" s="711"/>
      <c r="I26783" s="711"/>
      <c r="J26783" s="711"/>
      <c r="K26783" s="711"/>
      <c r="L26783" s="711"/>
      <c r="Q26783" s="11"/>
      <c r="R26783" s="11"/>
      <c r="S26783" s="11"/>
      <c r="T26783" s="11"/>
    </row>
    <row r="26784" spans="8:20" x14ac:dyDescent="0.35">
      <c r="H26784" s="711"/>
      <c r="I26784" s="711"/>
      <c r="J26784" s="711"/>
      <c r="K26784" s="711"/>
      <c r="L26784" s="711"/>
      <c r="Q26784" s="11"/>
      <c r="R26784" s="11"/>
      <c r="S26784" s="11"/>
      <c r="T26784" s="11"/>
    </row>
    <row r="26785" spans="8:20" x14ac:dyDescent="0.35">
      <c r="H26785" s="711"/>
      <c r="I26785" s="711"/>
      <c r="J26785" s="711"/>
      <c r="K26785" s="711"/>
      <c r="L26785" s="711"/>
      <c r="Q26785" s="11"/>
      <c r="R26785" s="11"/>
      <c r="S26785" s="11"/>
      <c r="T26785" s="11"/>
    </row>
    <row r="26786" spans="8:20" x14ac:dyDescent="0.35">
      <c r="H26786" s="711"/>
      <c r="I26786" s="711"/>
      <c r="J26786" s="711"/>
      <c r="K26786" s="711"/>
      <c r="L26786" s="711"/>
      <c r="Q26786" s="11"/>
      <c r="R26786" s="11"/>
      <c r="S26786" s="11"/>
      <c r="T26786" s="11"/>
    </row>
    <row r="26787" spans="8:20" x14ac:dyDescent="0.35">
      <c r="H26787" s="711"/>
      <c r="I26787" s="711"/>
      <c r="J26787" s="711"/>
      <c r="K26787" s="711"/>
      <c r="L26787" s="711"/>
      <c r="Q26787" s="11"/>
      <c r="R26787" s="11"/>
      <c r="S26787" s="11"/>
      <c r="T26787" s="11"/>
    </row>
    <row r="26788" spans="8:20" x14ac:dyDescent="0.35">
      <c r="H26788" s="711"/>
      <c r="I26788" s="711"/>
      <c r="J26788" s="711"/>
      <c r="K26788" s="711"/>
      <c r="L26788" s="711"/>
      <c r="Q26788" s="11"/>
      <c r="R26788" s="11"/>
      <c r="S26788" s="11"/>
      <c r="T26788" s="11"/>
    </row>
    <row r="26789" spans="8:20" x14ac:dyDescent="0.35">
      <c r="H26789" s="711"/>
      <c r="I26789" s="711"/>
      <c r="J26789" s="711"/>
      <c r="K26789" s="711"/>
      <c r="L26789" s="711"/>
      <c r="Q26789" s="11"/>
      <c r="R26789" s="11"/>
      <c r="S26789" s="11"/>
      <c r="T26789" s="11"/>
    </row>
    <row r="26790" spans="8:20" x14ac:dyDescent="0.35">
      <c r="H26790" s="711"/>
      <c r="I26790" s="711"/>
      <c r="J26790" s="711"/>
      <c r="K26790" s="711"/>
      <c r="L26790" s="711"/>
      <c r="Q26790" s="11"/>
      <c r="R26790" s="11"/>
      <c r="S26790" s="11"/>
      <c r="T26790" s="11"/>
    </row>
    <row r="26791" spans="8:20" x14ac:dyDescent="0.35">
      <c r="H26791" s="711"/>
      <c r="I26791" s="711"/>
      <c r="J26791" s="711"/>
      <c r="K26791" s="711"/>
      <c r="L26791" s="711"/>
      <c r="Q26791" s="11"/>
      <c r="R26791" s="11"/>
      <c r="S26791" s="11"/>
      <c r="T26791" s="11"/>
    </row>
    <row r="26792" spans="8:20" x14ac:dyDescent="0.35">
      <c r="H26792" s="711"/>
      <c r="I26792" s="711"/>
      <c r="J26792" s="711"/>
      <c r="K26792" s="711"/>
      <c r="L26792" s="711"/>
      <c r="Q26792" s="11"/>
      <c r="R26792" s="11"/>
      <c r="S26792" s="11"/>
      <c r="T26792" s="11"/>
    </row>
    <row r="26793" spans="8:20" x14ac:dyDescent="0.35">
      <c r="H26793" s="711"/>
      <c r="I26793" s="711"/>
      <c r="J26793" s="711"/>
      <c r="K26793" s="711"/>
      <c r="L26793" s="711"/>
      <c r="Q26793" s="11"/>
      <c r="R26793" s="11"/>
      <c r="S26793" s="11"/>
      <c r="T26793" s="11"/>
    </row>
    <row r="26794" spans="8:20" x14ac:dyDescent="0.35">
      <c r="H26794" s="711"/>
      <c r="I26794" s="711"/>
      <c r="J26794" s="711"/>
      <c r="K26794" s="711"/>
      <c r="L26794" s="711"/>
      <c r="Q26794" s="11"/>
      <c r="R26794" s="11"/>
      <c r="S26794" s="11"/>
      <c r="T26794" s="11"/>
    </row>
    <row r="26795" spans="8:20" x14ac:dyDescent="0.35">
      <c r="H26795" s="711"/>
      <c r="I26795" s="711"/>
      <c r="J26795" s="711"/>
      <c r="K26795" s="711"/>
      <c r="L26795" s="711"/>
      <c r="Q26795" s="11"/>
      <c r="R26795" s="11"/>
      <c r="S26795" s="11"/>
      <c r="T26795" s="11"/>
    </row>
    <row r="26796" spans="8:20" x14ac:dyDescent="0.35">
      <c r="H26796" s="711"/>
      <c r="I26796" s="711"/>
      <c r="J26796" s="711"/>
      <c r="K26796" s="711"/>
      <c r="L26796" s="711"/>
      <c r="Q26796" s="11"/>
      <c r="R26796" s="11"/>
      <c r="S26796" s="11"/>
      <c r="T26796" s="11"/>
    </row>
    <row r="26797" spans="8:20" x14ac:dyDescent="0.35">
      <c r="H26797" s="711"/>
      <c r="I26797" s="711"/>
      <c r="J26797" s="711"/>
      <c r="K26797" s="711"/>
      <c r="L26797" s="711"/>
      <c r="Q26797" s="11"/>
      <c r="R26797" s="11"/>
      <c r="S26797" s="11"/>
      <c r="T26797" s="11"/>
    </row>
    <row r="26798" spans="8:20" x14ac:dyDescent="0.35">
      <c r="H26798" s="711"/>
      <c r="I26798" s="711"/>
      <c r="J26798" s="711"/>
      <c r="K26798" s="711"/>
      <c r="L26798" s="711"/>
      <c r="Q26798" s="11"/>
      <c r="R26798" s="11"/>
      <c r="S26798" s="11"/>
      <c r="T26798" s="11"/>
    </row>
    <row r="26799" spans="8:20" x14ac:dyDescent="0.35">
      <c r="H26799" s="711"/>
      <c r="I26799" s="711"/>
      <c r="J26799" s="711"/>
      <c r="K26799" s="711"/>
      <c r="L26799" s="711"/>
      <c r="Q26799" s="11"/>
      <c r="R26799" s="11"/>
      <c r="S26799" s="11"/>
      <c r="T26799" s="11"/>
    </row>
    <row r="26800" spans="8:20" x14ac:dyDescent="0.35">
      <c r="H26800" s="711"/>
      <c r="I26800" s="711"/>
      <c r="J26800" s="711"/>
      <c r="K26800" s="711"/>
      <c r="L26800" s="711"/>
      <c r="Q26800" s="11"/>
      <c r="R26800" s="11"/>
      <c r="S26800" s="11"/>
      <c r="T26800" s="11"/>
    </row>
    <row r="26801" spans="8:20" x14ac:dyDescent="0.35">
      <c r="H26801" s="711"/>
      <c r="I26801" s="711"/>
      <c r="J26801" s="711"/>
      <c r="K26801" s="711"/>
      <c r="L26801" s="711"/>
      <c r="Q26801" s="11"/>
      <c r="R26801" s="11"/>
      <c r="S26801" s="11"/>
      <c r="T26801" s="11"/>
    </row>
    <row r="26802" spans="8:20" x14ac:dyDescent="0.35">
      <c r="H26802" s="711"/>
      <c r="I26802" s="711"/>
      <c r="J26802" s="711"/>
      <c r="K26802" s="711"/>
      <c r="L26802" s="711"/>
      <c r="Q26802" s="11"/>
      <c r="R26802" s="11"/>
      <c r="S26802" s="11"/>
      <c r="T26802" s="11"/>
    </row>
    <row r="26803" spans="8:20" x14ac:dyDescent="0.35">
      <c r="H26803" s="711"/>
      <c r="I26803" s="711"/>
      <c r="J26803" s="711"/>
      <c r="K26803" s="711"/>
      <c r="L26803" s="711"/>
      <c r="Q26803" s="11"/>
      <c r="R26803" s="11"/>
      <c r="S26803" s="11"/>
      <c r="T26803" s="11"/>
    </row>
    <row r="26804" spans="8:20" x14ac:dyDescent="0.35">
      <c r="H26804" s="711"/>
      <c r="I26804" s="711"/>
      <c r="J26804" s="711"/>
      <c r="K26804" s="711"/>
      <c r="L26804" s="711"/>
      <c r="Q26804" s="11"/>
      <c r="R26804" s="11"/>
      <c r="S26804" s="11"/>
      <c r="T26804" s="11"/>
    </row>
    <row r="26805" spans="8:20" x14ac:dyDescent="0.35">
      <c r="H26805" s="711"/>
      <c r="I26805" s="711"/>
      <c r="J26805" s="711"/>
      <c r="K26805" s="711"/>
      <c r="L26805" s="711"/>
      <c r="Q26805" s="11"/>
      <c r="R26805" s="11"/>
      <c r="S26805" s="11"/>
      <c r="T26805" s="11"/>
    </row>
    <row r="26806" spans="8:20" x14ac:dyDescent="0.35">
      <c r="H26806" s="711"/>
      <c r="I26806" s="711"/>
      <c r="J26806" s="711"/>
      <c r="K26806" s="711"/>
      <c r="L26806" s="711"/>
      <c r="Q26806" s="11"/>
      <c r="R26806" s="11"/>
      <c r="S26806" s="11"/>
      <c r="T26806" s="11"/>
    </row>
    <row r="26807" spans="8:20" x14ac:dyDescent="0.35">
      <c r="H26807" s="711"/>
      <c r="I26807" s="711"/>
      <c r="J26807" s="711"/>
      <c r="K26807" s="711"/>
      <c r="L26807" s="711"/>
      <c r="Q26807" s="11"/>
      <c r="R26807" s="11"/>
      <c r="S26807" s="11"/>
      <c r="T26807" s="11"/>
    </row>
    <row r="26808" spans="8:20" x14ac:dyDescent="0.35">
      <c r="H26808" s="711"/>
      <c r="I26808" s="711"/>
      <c r="J26808" s="711"/>
      <c r="K26808" s="711"/>
      <c r="L26808" s="711"/>
      <c r="Q26808" s="11"/>
      <c r="R26808" s="11"/>
      <c r="S26808" s="11"/>
      <c r="T26808" s="11"/>
    </row>
    <row r="26809" spans="8:20" x14ac:dyDescent="0.35">
      <c r="H26809" s="711"/>
      <c r="I26809" s="711"/>
      <c r="J26809" s="711"/>
      <c r="K26809" s="711"/>
      <c r="L26809" s="711"/>
      <c r="Q26809" s="11"/>
      <c r="R26809" s="11"/>
      <c r="S26809" s="11"/>
      <c r="T26809" s="11"/>
    </row>
    <row r="26810" spans="8:20" x14ac:dyDescent="0.35">
      <c r="H26810" s="711"/>
      <c r="I26810" s="711"/>
      <c r="J26810" s="711"/>
      <c r="K26810" s="711"/>
      <c r="L26810" s="711"/>
      <c r="Q26810" s="11"/>
      <c r="R26810" s="11"/>
      <c r="S26810" s="11"/>
      <c r="T26810" s="11"/>
    </row>
    <row r="26811" spans="8:20" x14ac:dyDescent="0.35">
      <c r="H26811" s="711"/>
      <c r="I26811" s="711"/>
      <c r="J26811" s="711"/>
      <c r="K26811" s="711"/>
      <c r="L26811" s="711"/>
      <c r="Q26811" s="11"/>
      <c r="R26811" s="11"/>
      <c r="S26811" s="11"/>
      <c r="T26811" s="11"/>
    </row>
    <row r="26812" spans="8:20" x14ac:dyDescent="0.35">
      <c r="H26812" s="711"/>
      <c r="I26812" s="711"/>
      <c r="J26812" s="711"/>
      <c r="K26812" s="711"/>
      <c r="L26812" s="711"/>
      <c r="Q26812" s="11"/>
      <c r="R26812" s="11"/>
      <c r="S26812" s="11"/>
      <c r="T26812" s="11"/>
    </row>
    <row r="26813" spans="8:20" x14ac:dyDescent="0.35">
      <c r="H26813" s="711"/>
      <c r="I26813" s="711"/>
      <c r="J26813" s="711"/>
      <c r="K26813" s="711"/>
      <c r="L26813" s="711"/>
      <c r="Q26813" s="11"/>
      <c r="R26813" s="11"/>
      <c r="S26813" s="11"/>
      <c r="T26813" s="11"/>
    </row>
    <row r="26814" spans="8:20" x14ac:dyDescent="0.35">
      <c r="H26814" s="711"/>
      <c r="I26814" s="711"/>
      <c r="J26814" s="711"/>
      <c r="K26814" s="711"/>
      <c r="L26814" s="711"/>
      <c r="Q26814" s="11"/>
      <c r="R26814" s="11"/>
      <c r="S26814" s="11"/>
      <c r="T26814" s="11"/>
    </row>
    <row r="26815" spans="8:20" x14ac:dyDescent="0.35">
      <c r="H26815" s="711"/>
      <c r="I26815" s="711"/>
      <c r="J26815" s="711"/>
      <c r="K26815" s="711"/>
      <c r="L26815" s="711"/>
      <c r="Q26815" s="11"/>
      <c r="R26815" s="11"/>
      <c r="S26815" s="11"/>
      <c r="T26815" s="11"/>
    </row>
    <row r="26816" spans="8:20" x14ac:dyDescent="0.35">
      <c r="H26816" s="711"/>
      <c r="I26816" s="711"/>
      <c r="J26816" s="711"/>
      <c r="K26816" s="711"/>
      <c r="L26816" s="711"/>
      <c r="Q26816" s="11"/>
      <c r="R26816" s="11"/>
      <c r="S26816" s="11"/>
      <c r="T26816" s="11"/>
    </row>
    <row r="26817" spans="8:20" x14ac:dyDescent="0.35">
      <c r="H26817" s="711"/>
      <c r="I26817" s="711"/>
      <c r="J26817" s="711"/>
      <c r="K26817" s="711"/>
      <c r="L26817" s="711"/>
      <c r="Q26817" s="11"/>
      <c r="R26817" s="11"/>
      <c r="S26817" s="11"/>
      <c r="T26817" s="11"/>
    </row>
    <row r="26818" spans="8:20" x14ac:dyDescent="0.35">
      <c r="H26818" s="711"/>
      <c r="I26818" s="711"/>
      <c r="J26818" s="711"/>
      <c r="K26818" s="711"/>
      <c r="L26818" s="711"/>
      <c r="Q26818" s="11"/>
      <c r="R26818" s="11"/>
      <c r="S26818" s="11"/>
      <c r="T26818" s="11"/>
    </row>
    <row r="26819" spans="8:20" x14ac:dyDescent="0.35">
      <c r="H26819" s="711"/>
      <c r="I26819" s="711"/>
      <c r="J26819" s="711"/>
      <c r="K26819" s="711"/>
      <c r="L26819" s="711"/>
      <c r="Q26819" s="11"/>
      <c r="R26819" s="11"/>
      <c r="S26819" s="11"/>
      <c r="T26819" s="11"/>
    </row>
    <row r="26820" spans="8:20" x14ac:dyDescent="0.35">
      <c r="H26820" s="711"/>
      <c r="I26820" s="711"/>
      <c r="J26820" s="711"/>
      <c r="K26820" s="711"/>
      <c r="L26820" s="711"/>
      <c r="Q26820" s="11"/>
      <c r="R26820" s="11"/>
      <c r="S26820" s="11"/>
      <c r="T26820" s="11"/>
    </row>
    <row r="26821" spans="8:20" x14ac:dyDescent="0.35">
      <c r="H26821" s="711"/>
      <c r="I26821" s="711"/>
      <c r="J26821" s="711"/>
      <c r="K26821" s="711"/>
      <c r="L26821" s="711"/>
      <c r="Q26821" s="11"/>
      <c r="R26821" s="11"/>
      <c r="S26821" s="11"/>
      <c r="T26821" s="11"/>
    </row>
    <row r="26822" spans="8:20" x14ac:dyDescent="0.35">
      <c r="H26822" s="711"/>
      <c r="I26822" s="711"/>
      <c r="J26822" s="711"/>
      <c r="K26822" s="711"/>
      <c r="L26822" s="711"/>
      <c r="Q26822" s="11"/>
      <c r="R26822" s="11"/>
      <c r="S26822" s="11"/>
      <c r="T26822" s="11"/>
    </row>
    <row r="26823" spans="8:20" x14ac:dyDescent="0.35">
      <c r="H26823" s="711"/>
      <c r="I26823" s="711"/>
      <c r="J26823" s="711"/>
      <c r="K26823" s="711"/>
      <c r="L26823" s="711"/>
      <c r="Q26823" s="11"/>
      <c r="R26823" s="11"/>
      <c r="S26823" s="11"/>
      <c r="T26823" s="11"/>
    </row>
    <row r="26824" spans="8:20" x14ac:dyDescent="0.35">
      <c r="H26824" s="711"/>
      <c r="I26824" s="711"/>
      <c r="J26824" s="711"/>
      <c r="K26824" s="711"/>
      <c r="L26824" s="711"/>
      <c r="Q26824" s="11"/>
      <c r="R26824" s="11"/>
      <c r="S26824" s="11"/>
      <c r="T26824" s="11"/>
    </row>
    <row r="26825" spans="8:20" x14ac:dyDescent="0.35">
      <c r="H26825" s="711"/>
      <c r="I26825" s="711"/>
      <c r="J26825" s="711"/>
      <c r="K26825" s="711"/>
      <c r="L26825" s="711"/>
      <c r="Q26825" s="11"/>
      <c r="R26825" s="11"/>
      <c r="S26825" s="11"/>
      <c r="T26825" s="11"/>
    </row>
    <row r="26826" spans="8:20" x14ac:dyDescent="0.35">
      <c r="H26826" s="711"/>
      <c r="I26826" s="711"/>
      <c r="J26826" s="711"/>
      <c r="K26826" s="711"/>
      <c r="L26826" s="711"/>
      <c r="Q26826" s="11"/>
      <c r="R26826" s="11"/>
      <c r="S26826" s="11"/>
      <c r="T26826" s="11"/>
    </row>
    <row r="26827" spans="8:20" x14ac:dyDescent="0.35">
      <c r="H26827" s="711"/>
      <c r="I26827" s="711"/>
      <c r="J26827" s="711"/>
      <c r="K26827" s="711"/>
      <c r="L26827" s="711"/>
      <c r="Q26827" s="11"/>
      <c r="R26827" s="11"/>
      <c r="S26827" s="11"/>
      <c r="T26827" s="11"/>
    </row>
    <row r="26828" spans="8:20" x14ac:dyDescent="0.35">
      <c r="H26828" s="711"/>
      <c r="I26828" s="711"/>
      <c r="J26828" s="711"/>
      <c r="K26828" s="711"/>
      <c r="L26828" s="711"/>
      <c r="Q26828" s="11"/>
      <c r="R26828" s="11"/>
      <c r="S26828" s="11"/>
      <c r="T26828" s="11"/>
    </row>
    <row r="26829" spans="8:20" x14ac:dyDescent="0.35">
      <c r="H26829" s="711"/>
      <c r="I26829" s="711"/>
      <c r="J26829" s="711"/>
      <c r="K26829" s="711"/>
      <c r="L26829" s="711"/>
      <c r="Q26829" s="11"/>
      <c r="R26829" s="11"/>
      <c r="S26829" s="11"/>
      <c r="T26829" s="11"/>
    </row>
    <row r="26830" spans="8:20" x14ac:dyDescent="0.35">
      <c r="H26830" s="711"/>
      <c r="I26830" s="711"/>
      <c r="J26830" s="711"/>
      <c r="K26830" s="711"/>
      <c r="L26830" s="711"/>
      <c r="Q26830" s="11"/>
      <c r="R26830" s="11"/>
      <c r="S26830" s="11"/>
      <c r="T26830" s="11"/>
    </row>
    <row r="26831" spans="8:20" x14ac:dyDescent="0.35">
      <c r="H26831" s="711"/>
      <c r="I26831" s="711"/>
      <c r="J26831" s="711"/>
      <c r="K26831" s="711"/>
      <c r="L26831" s="711"/>
      <c r="Q26831" s="11"/>
      <c r="R26831" s="11"/>
      <c r="S26831" s="11"/>
      <c r="T26831" s="11"/>
    </row>
    <row r="26832" spans="8:20" x14ac:dyDescent="0.35">
      <c r="H26832" s="711"/>
      <c r="I26832" s="711"/>
      <c r="J26832" s="711"/>
      <c r="K26832" s="711"/>
      <c r="L26832" s="711"/>
      <c r="Q26832" s="11"/>
      <c r="R26832" s="11"/>
      <c r="S26832" s="11"/>
      <c r="T26832" s="11"/>
    </row>
    <row r="26833" spans="8:20" x14ac:dyDescent="0.35">
      <c r="H26833" s="711"/>
      <c r="I26833" s="711"/>
      <c r="J26833" s="711"/>
      <c r="K26833" s="711"/>
      <c r="L26833" s="711"/>
      <c r="Q26833" s="11"/>
      <c r="R26833" s="11"/>
      <c r="S26833" s="11"/>
      <c r="T26833" s="11"/>
    </row>
    <row r="26834" spans="8:20" x14ac:dyDescent="0.35">
      <c r="H26834" s="711"/>
      <c r="I26834" s="711"/>
      <c r="J26834" s="711"/>
      <c r="K26834" s="711"/>
      <c r="L26834" s="711"/>
      <c r="Q26834" s="11"/>
      <c r="R26834" s="11"/>
      <c r="S26834" s="11"/>
      <c r="T26834" s="11"/>
    </row>
    <row r="26835" spans="8:20" x14ac:dyDescent="0.35">
      <c r="H26835" s="711"/>
      <c r="I26835" s="711"/>
      <c r="J26835" s="711"/>
      <c r="K26835" s="711"/>
      <c r="L26835" s="711"/>
      <c r="Q26835" s="11"/>
      <c r="R26835" s="11"/>
      <c r="S26835" s="11"/>
      <c r="T26835" s="11"/>
    </row>
    <row r="26836" spans="8:20" x14ac:dyDescent="0.35">
      <c r="H26836" s="711"/>
      <c r="I26836" s="711"/>
      <c r="J26836" s="711"/>
      <c r="K26836" s="711"/>
      <c r="L26836" s="711"/>
      <c r="Q26836" s="11"/>
      <c r="R26836" s="11"/>
      <c r="S26836" s="11"/>
      <c r="T26836" s="11"/>
    </row>
    <row r="26837" spans="8:20" x14ac:dyDescent="0.35">
      <c r="H26837" s="711"/>
      <c r="I26837" s="711"/>
      <c r="J26837" s="711"/>
      <c r="K26837" s="711"/>
      <c r="L26837" s="711"/>
      <c r="Q26837" s="11"/>
      <c r="R26837" s="11"/>
      <c r="S26837" s="11"/>
      <c r="T26837" s="11"/>
    </row>
    <row r="26838" spans="8:20" x14ac:dyDescent="0.35">
      <c r="H26838" s="711"/>
      <c r="I26838" s="711"/>
      <c r="J26838" s="711"/>
      <c r="K26838" s="711"/>
      <c r="L26838" s="711"/>
      <c r="Q26838" s="11"/>
      <c r="R26838" s="11"/>
      <c r="S26838" s="11"/>
      <c r="T26838" s="11"/>
    </row>
    <row r="26839" spans="8:20" x14ac:dyDescent="0.35">
      <c r="H26839" s="711"/>
      <c r="I26839" s="711"/>
      <c r="J26839" s="711"/>
      <c r="K26839" s="711"/>
      <c r="L26839" s="711"/>
      <c r="Q26839" s="11"/>
      <c r="R26839" s="11"/>
      <c r="S26839" s="11"/>
      <c r="T26839" s="11"/>
    </row>
    <row r="26840" spans="8:20" x14ac:dyDescent="0.35">
      <c r="H26840" s="711"/>
      <c r="I26840" s="711"/>
      <c r="J26840" s="711"/>
      <c r="K26840" s="711"/>
      <c r="L26840" s="711"/>
      <c r="Q26840" s="11"/>
      <c r="R26840" s="11"/>
      <c r="S26840" s="11"/>
      <c r="T26840" s="11"/>
    </row>
    <row r="26841" spans="8:20" x14ac:dyDescent="0.35">
      <c r="H26841" s="711"/>
      <c r="I26841" s="711"/>
      <c r="J26841" s="711"/>
      <c r="K26841" s="711"/>
      <c r="L26841" s="711"/>
      <c r="Q26841" s="11"/>
      <c r="R26841" s="11"/>
      <c r="S26841" s="11"/>
      <c r="T26841" s="11"/>
    </row>
    <row r="26842" spans="8:20" x14ac:dyDescent="0.35">
      <c r="H26842" s="711"/>
      <c r="I26842" s="711"/>
      <c r="J26842" s="711"/>
      <c r="K26842" s="711"/>
      <c r="L26842" s="711"/>
      <c r="Q26842" s="11"/>
      <c r="R26842" s="11"/>
      <c r="S26842" s="11"/>
      <c r="T26842" s="11"/>
    </row>
    <row r="26843" spans="8:20" x14ac:dyDescent="0.35">
      <c r="H26843" s="711"/>
      <c r="I26843" s="711"/>
      <c r="J26843" s="711"/>
      <c r="K26843" s="711"/>
      <c r="L26843" s="711"/>
      <c r="Q26843" s="11"/>
      <c r="R26843" s="11"/>
      <c r="S26843" s="11"/>
      <c r="T26843" s="11"/>
    </row>
    <row r="26844" spans="8:20" x14ac:dyDescent="0.35">
      <c r="H26844" s="711"/>
      <c r="I26844" s="711"/>
      <c r="J26844" s="711"/>
      <c r="K26844" s="711"/>
      <c r="L26844" s="711"/>
      <c r="Q26844" s="11"/>
      <c r="R26844" s="11"/>
      <c r="S26844" s="11"/>
      <c r="T26844" s="11"/>
    </row>
    <row r="26845" spans="8:20" x14ac:dyDescent="0.35">
      <c r="H26845" s="711"/>
      <c r="I26845" s="711"/>
      <c r="J26845" s="711"/>
      <c r="K26845" s="711"/>
      <c r="L26845" s="711"/>
      <c r="Q26845" s="11"/>
      <c r="R26845" s="11"/>
      <c r="S26845" s="11"/>
      <c r="T26845" s="11"/>
    </row>
    <row r="26846" spans="8:20" x14ac:dyDescent="0.35">
      <c r="H26846" s="711"/>
      <c r="I26846" s="711"/>
      <c r="J26846" s="711"/>
      <c r="K26846" s="711"/>
      <c r="L26846" s="711"/>
      <c r="Q26846" s="11"/>
      <c r="R26846" s="11"/>
      <c r="S26846" s="11"/>
      <c r="T26846" s="11"/>
    </row>
    <row r="26847" spans="8:20" x14ac:dyDescent="0.35">
      <c r="H26847" s="711"/>
      <c r="I26847" s="711"/>
      <c r="J26847" s="711"/>
      <c r="K26847" s="711"/>
      <c r="L26847" s="711"/>
      <c r="Q26847" s="11"/>
      <c r="R26847" s="11"/>
      <c r="S26847" s="11"/>
      <c r="T26847" s="11"/>
    </row>
    <row r="26848" spans="8:20" x14ac:dyDescent="0.35">
      <c r="H26848" s="711"/>
      <c r="I26848" s="711"/>
      <c r="J26848" s="711"/>
      <c r="K26848" s="711"/>
      <c r="L26848" s="711"/>
      <c r="Q26848" s="11"/>
      <c r="R26848" s="11"/>
      <c r="S26848" s="11"/>
      <c r="T26848" s="11"/>
    </row>
    <row r="26849" spans="8:20" x14ac:dyDescent="0.35">
      <c r="H26849" s="711"/>
      <c r="I26849" s="711"/>
      <c r="J26849" s="711"/>
      <c r="K26849" s="711"/>
      <c r="L26849" s="711"/>
      <c r="Q26849" s="11"/>
      <c r="R26849" s="11"/>
      <c r="S26849" s="11"/>
      <c r="T26849" s="11"/>
    </row>
    <row r="26850" spans="8:20" x14ac:dyDescent="0.35">
      <c r="H26850" s="711"/>
      <c r="I26850" s="711"/>
      <c r="J26850" s="711"/>
      <c r="K26850" s="711"/>
      <c r="L26850" s="711"/>
      <c r="Q26850" s="11"/>
      <c r="R26850" s="11"/>
      <c r="S26850" s="11"/>
      <c r="T26850" s="11"/>
    </row>
    <row r="26851" spans="8:20" x14ac:dyDescent="0.35">
      <c r="H26851" s="711"/>
      <c r="I26851" s="711"/>
      <c r="J26851" s="711"/>
      <c r="K26851" s="711"/>
      <c r="L26851" s="711"/>
      <c r="Q26851" s="11"/>
      <c r="R26851" s="11"/>
      <c r="S26851" s="11"/>
      <c r="T26851" s="11"/>
    </row>
    <row r="26852" spans="8:20" x14ac:dyDescent="0.35">
      <c r="H26852" s="711"/>
      <c r="I26852" s="711"/>
      <c r="J26852" s="711"/>
      <c r="K26852" s="711"/>
      <c r="L26852" s="711"/>
      <c r="Q26852" s="11"/>
      <c r="R26852" s="11"/>
      <c r="S26852" s="11"/>
      <c r="T26852" s="11"/>
    </row>
    <row r="26853" spans="8:20" x14ac:dyDescent="0.35">
      <c r="H26853" s="711"/>
      <c r="I26853" s="711"/>
      <c r="J26853" s="711"/>
      <c r="K26853" s="711"/>
      <c r="L26853" s="711"/>
      <c r="Q26853" s="11"/>
      <c r="R26853" s="11"/>
      <c r="S26853" s="11"/>
      <c r="T26853" s="11"/>
    </row>
    <row r="26854" spans="8:20" x14ac:dyDescent="0.35">
      <c r="H26854" s="711"/>
      <c r="I26854" s="711"/>
      <c r="J26854" s="711"/>
      <c r="K26854" s="711"/>
      <c r="L26854" s="711"/>
      <c r="Q26854" s="11"/>
      <c r="R26854" s="11"/>
      <c r="S26854" s="11"/>
      <c r="T26854" s="11"/>
    </row>
    <row r="26855" spans="8:20" x14ac:dyDescent="0.35">
      <c r="H26855" s="711"/>
      <c r="I26855" s="711"/>
      <c r="J26855" s="711"/>
      <c r="K26855" s="711"/>
      <c r="L26855" s="711"/>
      <c r="Q26855" s="11"/>
      <c r="R26855" s="11"/>
      <c r="S26855" s="11"/>
      <c r="T26855" s="11"/>
    </row>
    <row r="26856" spans="8:20" x14ac:dyDescent="0.35">
      <c r="H26856" s="711"/>
      <c r="I26856" s="711"/>
      <c r="J26856" s="711"/>
      <c r="K26856" s="711"/>
      <c r="L26856" s="711"/>
      <c r="Q26856" s="11"/>
      <c r="R26856" s="11"/>
      <c r="S26856" s="11"/>
      <c r="T26856" s="11"/>
    </row>
    <row r="26857" spans="8:20" x14ac:dyDescent="0.35">
      <c r="H26857" s="711"/>
      <c r="I26857" s="711"/>
      <c r="J26857" s="711"/>
      <c r="K26857" s="711"/>
      <c r="L26857" s="711"/>
      <c r="Q26857" s="11"/>
      <c r="R26857" s="11"/>
      <c r="S26857" s="11"/>
      <c r="T26857" s="11"/>
    </row>
    <row r="26858" spans="8:20" x14ac:dyDescent="0.35">
      <c r="H26858" s="711"/>
      <c r="I26858" s="711"/>
      <c r="J26858" s="711"/>
      <c r="K26858" s="711"/>
      <c r="L26858" s="711"/>
      <c r="Q26858" s="11"/>
      <c r="R26858" s="11"/>
      <c r="S26858" s="11"/>
      <c r="T26858" s="11"/>
    </row>
    <row r="26859" spans="8:20" x14ac:dyDescent="0.35">
      <c r="H26859" s="711"/>
      <c r="I26859" s="711"/>
      <c r="J26859" s="711"/>
      <c r="K26859" s="711"/>
      <c r="L26859" s="711"/>
      <c r="Q26859" s="11"/>
      <c r="R26859" s="11"/>
      <c r="S26859" s="11"/>
      <c r="T26859" s="11"/>
    </row>
    <row r="26860" spans="8:20" x14ac:dyDescent="0.35">
      <c r="H26860" s="711"/>
      <c r="I26860" s="711"/>
      <c r="J26860" s="711"/>
      <c r="K26860" s="711"/>
      <c r="L26860" s="711"/>
      <c r="Q26860" s="11"/>
      <c r="R26860" s="11"/>
      <c r="S26860" s="11"/>
      <c r="T26860" s="11"/>
    </row>
    <row r="26861" spans="8:20" x14ac:dyDescent="0.35">
      <c r="H26861" s="711"/>
      <c r="I26861" s="711"/>
      <c r="J26861" s="711"/>
      <c r="K26861" s="711"/>
      <c r="L26861" s="711"/>
      <c r="Q26861" s="11"/>
      <c r="R26861" s="11"/>
      <c r="S26861" s="11"/>
      <c r="T26861" s="11"/>
    </row>
    <row r="26862" spans="8:20" x14ac:dyDescent="0.35">
      <c r="H26862" s="711"/>
      <c r="I26862" s="711"/>
      <c r="J26862" s="711"/>
      <c r="K26862" s="711"/>
      <c r="L26862" s="711"/>
      <c r="Q26862" s="11"/>
      <c r="R26862" s="11"/>
      <c r="S26862" s="11"/>
      <c r="T26862" s="11"/>
    </row>
    <row r="26863" spans="8:20" x14ac:dyDescent="0.35">
      <c r="H26863" s="711"/>
      <c r="I26863" s="711"/>
      <c r="J26863" s="711"/>
      <c r="K26863" s="711"/>
      <c r="L26863" s="711"/>
      <c r="Q26863" s="11"/>
      <c r="R26863" s="11"/>
      <c r="S26863" s="11"/>
      <c r="T26863" s="11"/>
    </row>
    <row r="26864" spans="8:20" x14ac:dyDescent="0.35">
      <c r="H26864" s="711"/>
      <c r="I26864" s="711"/>
      <c r="J26864" s="711"/>
      <c r="K26864" s="711"/>
      <c r="L26864" s="711"/>
      <c r="Q26864" s="11"/>
      <c r="R26864" s="11"/>
      <c r="S26864" s="11"/>
      <c r="T26864" s="11"/>
    </row>
    <row r="26865" spans="8:20" x14ac:dyDescent="0.35">
      <c r="H26865" s="711"/>
      <c r="I26865" s="711"/>
      <c r="J26865" s="711"/>
      <c r="K26865" s="711"/>
      <c r="L26865" s="711"/>
      <c r="Q26865" s="11"/>
      <c r="R26865" s="11"/>
      <c r="S26865" s="11"/>
      <c r="T26865" s="11"/>
    </row>
    <row r="26866" spans="8:20" x14ac:dyDescent="0.35">
      <c r="H26866" s="711"/>
      <c r="I26866" s="711"/>
      <c r="J26866" s="711"/>
      <c r="K26866" s="711"/>
      <c r="L26866" s="711"/>
      <c r="Q26866" s="11"/>
      <c r="R26866" s="11"/>
      <c r="S26866" s="11"/>
      <c r="T26866" s="11"/>
    </row>
    <row r="26867" spans="8:20" x14ac:dyDescent="0.35">
      <c r="H26867" s="711"/>
      <c r="I26867" s="711"/>
      <c r="J26867" s="711"/>
      <c r="K26867" s="711"/>
      <c r="L26867" s="711"/>
      <c r="Q26867" s="11"/>
      <c r="R26867" s="11"/>
      <c r="S26867" s="11"/>
      <c r="T26867" s="11"/>
    </row>
    <row r="26868" spans="8:20" x14ac:dyDescent="0.35">
      <c r="H26868" s="711"/>
      <c r="I26868" s="711"/>
      <c r="J26868" s="711"/>
      <c r="K26868" s="711"/>
      <c r="L26868" s="711"/>
      <c r="Q26868" s="11"/>
      <c r="R26868" s="11"/>
      <c r="S26868" s="11"/>
      <c r="T26868" s="11"/>
    </row>
    <row r="26869" spans="8:20" x14ac:dyDescent="0.35">
      <c r="H26869" s="711"/>
      <c r="I26869" s="711"/>
      <c r="J26869" s="711"/>
      <c r="K26869" s="711"/>
      <c r="L26869" s="711"/>
      <c r="Q26869" s="11"/>
      <c r="R26869" s="11"/>
      <c r="S26869" s="11"/>
      <c r="T26869" s="11"/>
    </row>
    <row r="26870" spans="8:20" x14ac:dyDescent="0.35">
      <c r="H26870" s="711"/>
      <c r="I26870" s="711"/>
      <c r="J26870" s="711"/>
      <c r="K26870" s="711"/>
      <c r="L26870" s="711"/>
      <c r="Q26870" s="11"/>
      <c r="R26870" s="11"/>
      <c r="S26870" s="11"/>
      <c r="T26870" s="11"/>
    </row>
    <row r="26871" spans="8:20" x14ac:dyDescent="0.35">
      <c r="H26871" s="711"/>
      <c r="I26871" s="711"/>
      <c r="J26871" s="711"/>
      <c r="K26871" s="711"/>
      <c r="L26871" s="711"/>
      <c r="Q26871" s="11"/>
      <c r="R26871" s="11"/>
      <c r="S26871" s="11"/>
      <c r="T26871" s="11"/>
    </row>
    <row r="26872" spans="8:20" x14ac:dyDescent="0.35">
      <c r="H26872" s="711"/>
      <c r="I26872" s="711"/>
      <c r="J26872" s="711"/>
      <c r="K26872" s="711"/>
      <c r="L26872" s="711"/>
      <c r="Q26872" s="11"/>
      <c r="R26872" s="11"/>
      <c r="S26872" s="11"/>
      <c r="T26872" s="11"/>
    </row>
    <row r="26873" spans="8:20" x14ac:dyDescent="0.35">
      <c r="H26873" s="711"/>
      <c r="I26873" s="711"/>
      <c r="J26873" s="711"/>
      <c r="K26873" s="711"/>
      <c r="L26873" s="711"/>
      <c r="Q26873" s="11"/>
      <c r="R26873" s="11"/>
      <c r="S26873" s="11"/>
      <c r="T26873" s="11"/>
    </row>
    <row r="26874" spans="8:20" x14ac:dyDescent="0.35">
      <c r="H26874" s="711"/>
      <c r="I26874" s="711"/>
      <c r="J26874" s="711"/>
      <c r="K26874" s="711"/>
      <c r="L26874" s="711"/>
      <c r="Q26874" s="11"/>
      <c r="R26874" s="11"/>
      <c r="S26874" s="11"/>
      <c r="T26874" s="11"/>
    </row>
    <row r="26875" spans="8:20" x14ac:dyDescent="0.35">
      <c r="H26875" s="711"/>
      <c r="I26875" s="711"/>
      <c r="J26875" s="711"/>
      <c r="K26875" s="711"/>
      <c r="L26875" s="711"/>
      <c r="Q26875" s="11"/>
      <c r="R26875" s="11"/>
      <c r="S26875" s="11"/>
      <c r="T26875" s="11"/>
    </row>
    <row r="26876" spans="8:20" x14ac:dyDescent="0.35">
      <c r="H26876" s="711"/>
      <c r="I26876" s="711"/>
      <c r="J26876" s="711"/>
      <c r="K26876" s="711"/>
      <c r="L26876" s="711"/>
      <c r="Q26876" s="11"/>
      <c r="R26876" s="11"/>
      <c r="S26876" s="11"/>
      <c r="T26876" s="11"/>
    </row>
    <row r="26877" spans="8:20" x14ac:dyDescent="0.35">
      <c r="H26877" s="711"/>
      <c r="I26877" s="711"/>
      <c r="J26877" s="711"/>
      <c r="K26877" s="711"/>
      <c r="L26877" s="711"/>
      <c r="Q26877" s="11"/>
      <c r="R26877" s="11"/>
      <c r="S26877" s="11"/>
      <c r="T26877" s="11"/>
    </row>
    <row r="26878" spans="8:20" x14ac:dyDescent="0.35">
      <c r="H26878" s="711"/>
      <c r="I26878" s="711"/>
      <c r="J26878" s="711"/>
      <c r="K26878" s="711"/>
      <c r="L26878" s="711"/>
      <c r="Q26878" s="11"/>
      <c r="R26878" s="11"/>
      <c r="S26878" s="11"/>
      <c r="T26878" s="11"/>
    </row>
    <row r="26879" spans="8:20" x14ac:dyDescent="0.35">
      <c r="H26879" s="711"/>
      <c r="I26879" s="711"/>
      <c r="J26879" s="711"/>
      <c r="K26879" s="711"/>
      <c r="L26879" s="711"/>
      <c r="Q26879" s="11"/>
      <c r="R26879" s="11"/>
      <c r="S26879" s="11"/>
      <c r="T26879" s="11"/>
    </row>
    <row r="26880" spans="8:20" x14ac:dyDescent="0.35">
      <c r="H26880" s="711"/>
      <c r="I26880" s="711"/>
      <c r="J26880" s="711"/>
      <c r="K26880" s="711"/>
      <c r="L26880" s="711"/>
      <c r="Q26880" s="11"/>
      <c r="R26880" s="11"/>
      <c r="S26880" s="11"/>
      <c r="T26880" s="11"/>
    </row>
    <row r="26881" spans="8:20" x14ac:dyDescent="0.35">
      <c r="H26881" s="711"/>
      <c r="I26881" s="711"/>
      <c r="J26881" s="711"/>
      <c r="K26881" s="711"/>
      <c r="L26881" s="711"/>
      <c r="Q26881" s="11"/>
      <c r="R26881" s="11"/>
      <c r="S26881" s="11"/>
      <c r="T26881" s="11"/>
    </row>
    <row r="26882" spans="8:20" x14ac:dyDescent="0.35">
      <c r="H26882" s="711"/>
      <c r="I26882" s="711"/>
      <c r="J26882" s="711"/>
      <c r="K26882" s="711"/>
      <c r="L26882" s="711"/>
      <c r="Q26882" s="11"/>
      <c r="R26882" s="11"/>
      <c r="S26882" s="11"/>
      <c r="T26882" s="11"/>
    </row>
    <row r="26883" spans="8:20" x14ac:dyDescent="0.35">
      <c r="H26883" s="711"/>
      <c r="I26883" s="711"/>
      <c r="J26883" s="711"/>
      <c r="K26883" s="711"/>
      <c r="L26883" s="711"/>
      <c r="Q26883" s="11"/>
      <c r="R26883" s="11"/>
      <c r="S26883" s="11"/>
      <c r="T26883" s="11"/>
    </row>
    <row r="26884" spans="8:20" x14ac:dyDescent="0.35">
      <c r="H26884" s="711"/>
      <c r="I26884" s="711"/>
      <c r="J26884" s="711"/>
      <c r="K26884" s="711"/>
      <c r="L26884" s="711"/>
      <c r="Q26884" s="11"/>
      <c r="R26884" s="11"/>
      <c r="S26884" s="11"/>
      <c r="T26884" s="11"/>
    </row>
    <row r="26885" spans="8:20" x14ac:dyDescent="0.35">
      <c r="H26885" s="711"/>
      <c r="I26885" s="711"/>
      <c r="J26885" s="711"/>
      <c r="K26885" s="711"/>
      <c r="L26885" s="711"/>
      <c r="Q26885" s="11"/>
      <c r="R26885" s="11"/>
      <c r="S26885" s="11"/>
      <c r="T26885" s="11"/>
    </row>
    <row r="26886" spans="8:20" x14ac:dyDescent="0.35">
      <c r="H26886" s="711"/>
      <c r="I26886" s="711"/>
      <c r="J26886" s="711"/>
      <c r="K26886" s="711"/>
      <c r="L26886" s="711"/>
      <c r="Q26886" s="11"/>
      <c r="R26886" s="11"/>
      <c r="S26886" s="11"/>
      <c r="T26886" s="11"/>
    </row>
    <row r="26887" spans="8:20" x14ac:dyDescent="0.35">
      <c r="H26887" s="711"/>
      <c r="I26887" s="711"/>
      <c r="J26887" s="711"/>
      <c r="K26887" s="711"/>
      <c r="L26887" s="711"/>
      <c r="Q26887" s="11"/>
      <c r="R26887" s="11"/>
      <c r="S26887" s="11"/>
      <c r="T26887" s="11"/>
    </row>
    <row r="26888" spans="8:20" x14ac:dyDescent="0.35">
      <c r="H26888" s="711"/>
      <c r="I26888" s="711"/>
      <c r="J26888" s="711"/>
      <c r="K26888" s="711"/>
      <c r="L26888" s="711"/>
      <c r="Q26888" s="11"/>
      <c r="R26888" s="11"/>
      <c r="S26888" s="11"/>
      <c r="T26888" s="11"/>
    </row>
    <row r="26889" spans="8:20" x14ac:dyDescent="0.35">
      <c r="H26889" s="711"/>
      <c r="I26889" s="711"/>
      <c r="J26889" s="711"/>
      <c r="K26889" s="711"/>
      <c r="L26889" s="711"/>
      <c r="Q26889" s="11"/>
      <c r="R26889" s="11"/>
      <c r="S26889" s="11"/>
      <c r="T26889" s="11"/>
    </row>
    <row r="26890" spans="8:20" x14ac:dyDescent="0.35">
      <c r="H26890" s="711"/>
      <c r="I26890" s="711"/>
      <c r="J26890" s="711"/>
      <c r="K26890" s="711"/>
      <c r="L26890" s="711"/>
      <c r="Q26890" s="11"/>
      <c r="R26890" s="11"/>
      <c r="S26890" s="11"/>
      <c r="T26890" s="11"/>
    </row>
    <row r="26891" spans="8:20" x14ac:dyDescent="0.35">
      <c r="H26891" s="711"/>
      <c r="I26891" s="711"/>
      <c r="J26891" s="711"/>
      <c r="K26891" s="711"/>
      <c r="L26891" s="711"/>
      <c r="Q26891" s="11"/>
      <c r="R26891" s="11"/>
      <c r="S26891" s="11"/>
      <c r="T26891" s="11"/>
    </row>
    <row r="26892" spans="8:20" x14ac:dyDescent="0.35">
      <c r="H26892" s="711"/>
      <c r="I26892" s="711"/>
      <c r="J26892" s="711"/>
      <c r="K26892" s="711"/>
      <c r="L26892" s="711"/>
      <c r="Q26892" s="11"/>
      <c r="R26892" s="11"/>
      <c r="S26892" s="11"/>
      <c r="T26892" s="11"/>
    </row>
    <row r="26893" spans="8:20" x14ac:dyDescent="0.35">
      <c r="H26893" s="711"/>
      <c r="I26893" s="711"/>
      <c r="J26893" s="711"/>
      <c r="K26893" s="711"/>
      <c r="L26893" s="711"/>
      <c r="Q26893" s="11"/>
      <c r="R26893" s="11"/>
      <c r="S26893" s="11"/>
      <c r="T26893" s="11"/>
    </row>
    <row r="26894" spans="8:20" x14ac:dyDescent="0.35">
      <c r="H26894" s="711"/>
      <c r="I26894" s="711"/>
      <c r="J26894" s="711"/>
      <c r="K26894" s="711"/>
      <c r="L26894" s="711"/>
      <c r="Q26894" s="11"/>
      <c r="R26894" s="11"/>
      <c r="S26894" s="11"/>
      <c r="T26894" s="11"/>
    </row>
    <row r="26895" spans="8:20" x14ac:dyDescent="0.35">
      <c r="H26895" s="711"/>
      <c r="I26895" s="711"/>
      <c r="J26895" s="711"/>
      <c r="K26895" s="711"/>
      <c r="L26895" s="711"/>
      <c r="Q26895" s="11"/>
      <c r="R26895" s="11"/>
      <c r="S26895" s="11"/>
      <c r="T26895" s="11"/>
    </row>
    <row r="26896" spans="8:20" x14ac:dyDescent="0.35">
      <c r="H26896" s="711"/>
      <c r="I26896" s="711"/>
      <c r="J26896" s="711"/>
      <c r="K26896" s="711"/>
      <c r="L26896" s="711"/>
      <c r="Q26896" s="11"/>
      <c r="R26896" s="11"/>
      <c r="S26896" s="11"/>
      <c r="T26896" s="11"/>
    </row>
    <row r="26897" spans="8:20" x14ac:dyDescent="0.35">
      <c r="H26897" s="711"/>
      <c r="I26897" s="711"/>
      <c r="J26897" s="711"/>
      <c r="K26897" s="711"/>
      <c r="L26897" s="711"/>
      <c r="Q26897" s="11"/>
      <c r="R26897" s="11"/>
      <c r="S26897" s="11"/>
      <c r="T26897" s="11"/>
    </row>
    <row r="26898" spans="8:20" x14ac:dyDescent="0.35">
      <c r="H26898" s="711"/>
      <c r="I26898" s="711"/>
      <c r="J26898" s="711"/>
      <c r="K26898" s="711"/>
      <c r="L26898" s="711"/>
      <c r="Q26898" s="11"/>
      <c r="R26898" s="11"/>
      <c r="S26898" s="11"/>
      <c r="T26898" s="11"/>
    </row>
    <row r="26899" spans="8:20" x14ac:dyDescent="0.35">
      <c r="H26899" s="711"/>
      <c r="I26899" s="711"/>
      <c r="J26899" s="711"/>
      <c r="K26899" s="711"/>
      <c r="L26899" s="711"/>
      <c r="Q26899" s="11"/>
      <c r="R26899" s="11"/>
      <c r="S26899" s="11"/>
      <c r="T26899" s="11"/>
    </row>
    <row r="26900" spans="8:20" x14ac:dyDescent="0.35">
      <c r="H26900" s="711"/>
      <c r="I26900" s="711"/>
      <c r="J26900" s="711"/>
      <c r="K26900" s="711"/>
      <c r="L26900" s="711"/>
      <c r="Q26900" s="11"/>
      <c r="R26900" s="11"/>
      <c r="S26900" s="11"/>
      <c r="T26900" s="11"/>
    </row>
    <row r="26901" spans="8:20" x14ac:dyDescent="0.35">
      <c r="H26901" s="711"/>
      <c r="I26901" s="711"/>
      <c r="J26901" s="711"/>
      <c r="K26901" s="711"/>
      <c r="L26901" s="711"/>
      <c r="Q26901" s="11"/>
      <c r="R26901" s="11"/>
      <c r="S26901" s="11"/>
      <c r="T26901" s="11"/>
    </row>
    <row r="26902" spans="8:20" x14ac:dyDescent="0.35">
      <c r="H26902" s="711"/>
      <c r="I26902" s="711"/>
      <c r="J26902" s="711"/>
      <c r="K26902" s="711"/>
      <c r="L26902" s="711"/>
      <c r="Q26902" s="11"/>
      <c r="R26902" s="11"/>
      <c r="S26902" s="11"/>
      <c r="T26902" s="11"/>
    </row>
    <row r="26903" spans="8:20" x14ac:dyDescent="0.35">
      <c r="H26903" s="711"/>
      <c r="I26903" s="711"/>
      <c r="J26903" s="711"/>
      <c r="K26903" s="711"/>
      <c r="L26903" s="711"/>
      <c r="Q26903" s="11"/>
      <c r="R26903" s="11"/>
      <c r="S26903" s="11"/>
      <c r="T26903" s="11"/>
    </row>
    <row r="26904" spans="8:20" x14ac:dyDescent="0.35">
      <c r="H26904" s="711"/>
      <c r="I26904" s="711"/>
      <c r="J26904" s="711"/>
      <c r="K26904" s="711"/>
      <c r="L26904" s="711"/>
      <c r="Q26904" s="11"/>
      <c r="R26904" s="11"/>
      <c r="S26904" s="11"/>
      <c r="T26904" s="11"/>
    </row>
    <row r="26905" spans="8:20" x14ac:dyDescent="0.35">
      <c r="H26905" s="711"/>
      <c r="I26905" s="711"/>
      <c r="J26905" s="711"/>
      <c r="K26905" s="711"/>
      <c r="L26905" s="711"/>
      <c r="Q26905" s="11"/>
      <c r="R26905" s="11"/>
      <c r="S26905" s="11"/>
      <c r="T26905" s="11"/>
    </row>
    <row r="26906" spans="8:20" x14ac:dyDescent="0.35">
      <c r="H26906" s="711"/>
      <c r="I26906" s="711"/>
      <c r="J26906" s="711"/>
      <c r="K26906" s="711"/>
      <c r="L26906" s="711"/>
      <c r="Q26906" s="11"/>
      <c r="R26906" s="11"/>
      <c r="S26906" s="11"/>
      <c r="T26906" s="11"/>
    </row>
    <row r="26907" spans="8:20" x14ac:dyDescent="0.35">
      <c r="H26907" s="711"/>
      <c r="I26907" s="711"/>
      <c r="J26907" s="711"/>
      <c r="K26907" s="711"/>
      <c r="L26907" s="711"/>
      <c r="Q26907" s="11"/>
      <c r="R26907" s="11"/>
      <c r="S26907" s="11"/>
      <c r="T26907" s="11"/>
    </row>
    <row r="26908" spans="8:20" x14ac:dyDescent="0.35">
      <c r="H26908" s="711"/>
      <c r="I26908" s="711"/>
      <c r="J26908" s="711"/>
      <c r="K26908" s="711"/>
      <c r="L26908" s="711"/>
      <c r="Q26908" s="11"/>
      <c r="R26908" s="11"/>
      <c r="S26908" s="11"/>
      <c r="T26908" s="11"/>
    </row>
    <row r="26909" spans="8:20" x14ac:dyDescent="0.35">
      <c r="H26909" s="711"/>
      <c r="I26909" s="711"/>
      <c r="J26909" s="711"/>
      <c r="K26909" s="711"/>
      <c r="L26909" s="711"/>
      <c r="Q26909" s="11"/>
      <c r="R26909" s="11"/>
      <c r="S26909" s="11"/>
      <c r="T26909" s="11"/>
    </row>
    <row r="26910" spans="8:20" x14ac:dyDescent="0.35">
      <c r="H26910" s="711"/>
      <c r="I26910" s="711"/>
      <c r="J26910" s="711"/>
      <c r="K26910" s="711"/>
      <c r="L26910" s="711"/>
      <c r="Q26910" s="11"/>
      <c r="R26910" s="11"/>
      <c r="S26910" s="11"/>
      <c r="T26910" s="11"/>
    </row>
    <row r="26911" spans="8:20" x14ac:dyDescent="0.35">
      <c r="H26911" s="711"/>
      <c r="I26911" s="711"/>
      <c r="J26911" s="711"/>
      <c r="K26911" s="711"/>
      <c r="L26911" s="711"/>
      <c r="Q26911" s="11"/>
      <c r="R26911" s="11"/>
      <c r="S26911" s="11"/>
      <c r="T26911" s="11"/>
    </row>
    <row r="26912" spans="8:20" x14ac:dyDescent="0.35">
      <c r="H26912" s="711"/>
      <c r="I26912" s="711"/>
      <c r="J26912" s="711"/>
      <c r="K26912" s="711"/>
      <c r="L26912" s="711"/>
      <c r="Q26912" s="11"/>
      <c r="R26912" s="11"/>
      <c r="S26912" s="11"/>
      <c r="T26912" s="11"/>
    </row>
    <row r="26913" spans="8:20" x14ac:dyDescent="0.35">
      <c r="H26913" s="711"/>
      <c r="I26913" s="711"/>
      <c r="J26913" s="711"/>
      <c r="K26913" s="711"/>
      <c r="L26913" s="711"/>
      <c r="Q26913" s="11"/>
      <c r="R26913" s="11"/>
      <c r="S26913" s="11"/>
      <c r="T26913" s="11"/>
    </row>
    <row r="26914" spans="8:20" x14ac:dyDescent="0.35">
      <c r="H26914" s="711"/>
      <c r="I26914" s="711"/>
      <c r="J26914" s="711"/>
      <c r="K26914" s="711"/>
      <c r="L26914" s="711"/>
      <c r="Q26914" s="11"/>
      <c r="R26914" s="11"/>
      <c r="S26914" s="11"/>
      <c r="T26914" s="11"/>
    </row>
    <row r="26915" spans="8:20" x14ac:dyDescent="0.35">
      <c r="H26915" s="711"/>
      <c r="I26915" s="711"/>
      <c r="J26915" s="711"/>
      <c r="K26915" s="711"/>
      <c r="L26915" s="711"/>
      <c r="Q26915" s="11"/>
      <c r="R26915" s="11"/>
      <c r="S26915" s="11"/>
      <c r="T26915" s="11"/>
    </row>
    <row r="26916" spans="8:20" x14ac:dyDescent="0.35">
      <c r="H26916" s="711"/>
      <c r="I26916" s="711"/>
      <c r="J26916" s="711"/>
      <c r="K26916" s="711"/>
      <c r="L26916" s="711"/>
      <c r="Q26916" s="11"/>
      <c r="R26916" s="11"/>
      <c r="S26916" s="11"/>
      <c r="T26916" s="11"/>
    </row>
    <row r="26917" spans="8:20" x14ac:dyDescent="0.35">
      <c r="H26917" s="711"/>
      <c r="I26917" s="711"/>
      <c r="J26917" s="711"/>
      <c r="K26917" s="711"/>
      <c r="L26917" s="711"/>
      <c r="Q26917" s="11"/>
      <c r="R26917" s="11"/>
      <c r="S26917" s="11"/>
      <c r="T26917" s="11"/>
    </row>
    <row r="26918" spans="8:20" x14ac:dyDescent="0.35">
      <c r="H26918" s="711"/>
      <c r="I26918" s="711"/>
      <c r="J26918" s="711"/>
      <c r="K26918" s="711"/>
      <c r="L26918" s="711"/>
      <c r="Q26918" s="11"/>
      <c r="R26918" s="11"/>
      <c r="S26918" s="11"/>
      <c r="T26918" s="11"/>
    </row>
    <row r="26919" spans="8:20" x14ac:dyDescent="0.35">
      <c r="H26919" s="711"/>
      <c r="I26919" s="711"/>
      <c r="J26919" s="711"/>
      <c r="K26919" s="711"/>
      <c r="L26919" s="711"/>
      <c r="Q26919" s="11"/>
      <c r="R26919" s="11"/>
      <c r="S26919" s="11"/>
      <c r="T26919" s="11"/>
    </row>
    <row r="26920" spans="8:20" x14ac:dyDescent="0.35">
      <c r="H26920" s="711"/>
      <c r="I26920" s="711"/>
      <c r="J26920" s="711"/>
      <c r="K26920" s="711"/>
      <c r="L26920" s="711"/>
      <c r="Q26920" s="11"/>
      <c r="R26920" s="11"/>
      <c r="S26920" s="11"/>
      <c r="T26920" s="11"/>
    </row>
    <row r="26921" spans="8:20" x14ac:dyDescent="0.35">
      <c r="H26921" s="711"/>
      <c r="I26921" s="711"/>
      <c r="J26921" s="711"/>
      <c r="K26921" s="711"/>
      <c r="L26921" s="711"/>
      <c r="Q26921" s="11"/>
      <c r="R26921" s="11"/>
      <c r="S26921" s="11"/>
      <c r="T26921" s="11"/>
    </row>
    <row r="26922" spans="8:20" x14ac:dyDescent="0.35">
      <c r="H26922" s="711"/>
      <c r="I26922" s="711"/>
      <c r="J26922" s="711"/>
      <c r="K26922" s="711"/>
      <c r="L26922" s="711"/>
      <c r="Q26922" s="11"/>
      <c r="R26922" s="11"/>
      <c r="S26922" s="11"/>
      <c r="T26922" s="11"/>
    </row>
    <row r="26923" spans="8:20" x14ac:dyDescent="0.35">
      <c r="H26923" s="711"/>
      <c r="I26923" s="711"/>
      <c r="J26923" s="711"/>
      <c r="K26923" s="711"/>
      <c r="L26923" s="711"/>
      <c r="Q26923" s="11"/>
      <c r="R26923" s="11"/>
      <c r="S26923" s="11"/>
      <c r="T26923" s="11"/>
    </row>
    <row r="26924" spans="8:20" x14ac:dyDescent="0.35">
      <c r="H26924" s="711"/>
      <c r="I26924" s="711"/>
      <c r="J26924" s="711"/>
      <c r="K26924" s="711"/>
      <c r="L26924" s="711"/>
      <c r="Q26924" s="11"/>
      <c r="R26924" s="11"/>
      <c r="S26924" s="11"/>
      <c r="T26924" s="11"/>
    </row>
    <row r="26925" spans="8:20" x14ac:dyDescent="0.35">
      <c r="H26925" s="711"/>
      <c r="I26925" s="711"/>
      <c r="J26925" s="711"/>
      <c r="K26925" s="711"/>
      <c r="L26925" s="711"/>
      <c r="Q26925" s="11"/>
      <c r="R26925" s="11"/>
      <c r="S26925" s="11"/>
      <c r="T26925" s="11"/>
    </row>
    <row r="26926" spans="8:20" x14ac:dyDescent="0.35">
      <c r="H26926" s="711"/>
      <c r="I26926" s="711"/>
      <c r="J26926" s="711"/>
      <c r="K26926" s="711"/>
      <c r="L26926" s="711"/>
      <c r="Q26926" s="11"/>
      <c r="R26926" s="11"/>
      <c r="S26926" s="11"/>
      <c r="T26926" s="11"/>
    </row>
    <row r="26927" spans="8:20" x14ac:dyDescent="0.35">
      <c r="H26927" s="711"/>
      <c r="I26927" s="711"/>
      <c r="J26927" s="711"/>
      <c r="K26927" s="711"/>
      <c r="L26927" s="711"/>
      <c r="Q26927" s="11"/>
      <c r="R26927" s="11"/>
      <c r="S26927" s="11"/>
      <c r="T26927" s="11"/>
    </row>
    <row r="26928" spans="8:20" x14ac:dyDescent="0.35">
      <c r="H26928" s="711"/>
      <c r="I26928" s="711"/>
      <c r="J26928" s="711"/>
      <c r="K26928" s="711"/>
      <c r="L26928" s="711"/>
      <c r="Q26928" s="11"/>
      <c r="R26928" s="11"/>
      <c r="S26928" s="11"/>
      <c r="T26928" s="11"/>
    </row>
    <row r="26929" spans="8:20" x14ac:dyDescent="0.35">
      <c r="H26929" s="711"/>
      <c r="I26929" s="711"/>
      <c r="J26929" s="711"/>
      <c r="K26929" s="711"/>
      <c r="L26929" s="711"/>
      <c r="Q26929" s="11"/>
      <c r="R26929" s="11"/>
      <c r="S26929" s="11"/>
      <c r="T26929" s="11"/>
    </row>
    <row r="26930" spans="8:20" x14ac:dyDescent="0.35">
      <c r="H26930" s="711"/>
      <c r="I26930" s="711"/>
      <c r="J26930" s="711"/>
      <c r="K26930" s="711"/>
      <c r="L26930" s="711"/>
      <c r="Q26930" s="11"/>
      <c r="R26930" s="11"/>
      <c r="S26930" s="11"/>
      <c r="T26930" s="11"/>
    </row>
    <row r="26931" spans="8:20" x14ac:dyDescent="0.35">
      <c r="H26931" s="711"/>
      <c r="I26931" s="711"/>
      <c r="J26931" s="711"/>
      <c r="K26931" s="711"/>
      <c r="L26931" s="711"/>
      <c r="Q26931" s="11"/>
      <c r="R26931" s="11"/>
      <c r="S26931" s="11"/>
      <c r="T26931" s="11"/>
    </row>
    <row r="26932" spans="8:20" x14ac:dyDescent="0.35">
      <c r="H26932" s="711"/>
      <c r="I26932" s="711"/>
      <c r="J26932" s="711"/>
      <c r="K26932" s="711"/>
      <c r="L26932" s="711"/>
      <c r="Q26932" s="11"/>
      <c r="R26932" s="11"/>
      <c r="S26932" s="11"/>
      <c r="T26932" s="11"/>
    </row>
    <row r="26933" spans="8:20" x14ac:dyDescent="0.35">
      <c r="H26933" s="711"/>
      <c r="I26933" s="711"/>
      <c r="J26933" s="711"/>
      <c r="K26933" s="711"/>
      <c r="L26933" s="711"/>
      <c r="Q26933" s="11"/>
      <c r="R26933" s="11"/>
      <c r="S26933" s="11"/>
      <c r="T26933" s="11"/>
    </row>
    <row r="26934" spans="8:20" x14ac:dyDescent="0.35">
      <c r="H26934" s="711"/>
      <c r="I26934" s="711"/>
      <c r="J26934" s="711"/>
      <c r="K26934" s="711"/>
      <c r="L26934" s="711"/>
      <c r="Q26934" s="11"/>
      <c r="R26934" s="11"/>
      <c r="S26934" s="11"/>
      <c r="T26934" s="11"/>
    </row>
    <row r="26935" spans="8:20" x14ac:dyDescent="0.35">
      <c r="H26935" s="711"/>
      <c r="I26935" s="711"/>
      <c r="J26935" s="711"/>
      <c r="K26935" s="711"/>
      <c r="L26935" s="711"/>
      <c r="Q26935" s="11"/>
      <c r="R26935" s="11"/>
      <c r="S26935" s="11"/>
      <c r="T26935" s="11"/>
    </row>
    <row r="26936" spans="8:20" x14ac:dyDescent="0.35">
      <c r="H26936" s="711"/>
      <c r="I26936" s="711"/>
      <c r="J26936" s="711"/>
      <c r="K26936" s="711"/>
      <c r="L26936" s="711"/>
      <c r="Q26936" s="11"/>
      <c r="R26936" s="11"/>
      <c r="S26936" s="11"/>
      <c r="T26936" s="11"/>
    </row>
    <row r="26937" spans="8:20" x14ac:dyDescent="0.35">
      <c r="H26937" s="711"/>
      <c r="I26937" s="711"/>
      <c r="J26937" s="711"/>
      <c r="K26937" s="711"/>
      <c r="L26937" s="711"/>
      <c r="Q26937" s="11"/>
      <c r="R26937" s="11"/>
      <c r="S26937" s="11"/>
      <c r="T26937" s="11"/>
    </row>
    <row r="26938" spans="8:20" x14ac:dyDescent="0.35">
      <c r="H26938" s="711"/>
      <c r="I26938" s="711"/>
      <c r="J26938" s="711"/>
      <c r="K26938" s="711"/>
      <c r="L26938" s="711"/>
      <c r="Q26938" s="11"/>
      <c r="R26938" s="11"/>
      <c r="S26938" s="11"/>
      <c r="T26938" s="11"/>
    </row>
    <row r="26939" spans="8:20" x14ac:dyDescent="0.35">
      <c r="H26939" s="711"/>
      <c r="I26939" s="711"/>
      <c r="J26939" s="711"/>
      <c r="K26939" s="711"/>
      <c r="L26939" s="711"/>
      <c r="Q26939" s="11"/>
      <c r="R26939" s="11"/>
      <c r="S26939" s="11"/>
      <c r="T26939" s="11"/>
    </row>
    <row r="26940" spans="8:20" x14ac:dyDescent="0.35">
      <c r="H26940" s="711"/>
      <c r="I26940" s="711"/>
      <c r="J26940" s="711"/>
      <c r="K26940" s="711"/>
      <c r="L26940" s="711"/>
      <c r="Q26940" s="11"/>
      <c r="R26940" s="11"/>
      <c r="S26940" s="11"/>
      <c r="T26940" s="11"/>
    </row>
    <row r="26941" spans="8:20" x14ac:dyDescent="0.35">
      <c r="H26941" s="711"/>
      <c r="I26941" s="711"/>
      <c r="J26941" s="711"/>
      <c r="K26941" s="711"/>
      <c r="L26941" s="711"/>
      <c r="Q26941" s="11"/>
      <c r="R26941" s="11"/>
      <c r="S26941" s="11"/>
      <c r="T26941" s="11"/>
    </row>
    <row r="26942" spans="8:20" x14ac:dyDescent="0.35">
      <c r="H26942" s="711"/>
      <c r="I26942" s="711"/>
      <c r="J26942" s="711"/>
      <c r="K26942" s="711"/>
      <c r="L26942" s="711"/>
      <c r="Q26942" s="11"/>
      <c r="R26942" s="11"/>
      <c r="S26942" s="11"/>
      <c r="T26942" s="11"/>
    </row>
    <row r="26943" spans="8:20" x14ac:dyDescent="0.35">
      <c r="H26943" s="711"/>
      <c r="I26943" s="711"/>
      <c r="J26943" s="711"/>
      <c r="K26943" s="711"/>
      <c r="L26943" s="711"/>
      <c r="Q26943" s="11"/>
      <c r="R26943" s="11"/>
      <c r="S26943" s="11"/>
      <c r="T26943" s="11"/>
    </row>
    <row r="26944" spans="8:20" x14ac:dyDescent="0.35">
      <c r="H26944" s="711"/>
      <c r="I26944" s="711"/>
      <c r="J26944" s="711"/>
      <c r="K26944" s="711"/>
      <c r="L26944" s="711"/>
      <c r="Q26944" s="11"/>
      <c r="R26944" s="11"/>
      <c r="S26944" s="11"/>
      <c r="T26944" s="11"/>
    </row>
    <row r="26945" spans="8:20" x14ac:dyDescent="0.35">
      <c r="H26945" s="711"/>
      <c r="I26945" s="711"/>
      <c r="J26945" s="711"/>
      <c r="K26945" s="711"/>
      <c r="L26945" s="711"/>
      <c r="Q26945" s="11"/>
      <c r="R26945" s="11"/>
      <c r="S26945" s="11"/>
      <c r="T26945" s="11"/>
    </row>
    <row r="26946" spans="8:20" x14ac:dyDescent="0.35">
      <c r="H26946" s="711"/>
      <c r="I26946" s="711"/>
      <c r="J26946" s="711"/>
      <c r="K26946" s="711"/>
      <c r="L26946" s="711"/>
      <c r="Q26946" s="11"/>
      <c r="R26946" s="11"/>
      <c r="S26946" s="11"/>
      <c r="T26946" s="11"/>
    </row>
    <row r="26947" spans="8:20" x14ac:dyDescent="0.35">
      <c r="H26947" s="711"/>
      <c r="I26947" s="711"/>
      <c r="J26947" s="711"/>
      <c r="K26947" s="711"/>
      <c r="L26947" s="711"/>
      <c r="Q26947" s="11"/>
      <c r="R26947" s="11"/>
      <c r="S26947" s="11"/>
      <c r="T26947" s="11"/>
    </row>
    <row r="26948" spans="8:20" x14ac:dyDescent="0.35">
      <c r="H26948" s="711"/>
      <c r="I26948" s="711"/>
      <c r="J26948" s="711"/>
      <c r="K26948" s="711"/>
      <c r="L26948" s="711"/>
      <c r="Q26948" s="11"/>
      <c r="R26948" s="11"/>
      <c r="S26948" s="11"/>
      <c r="T26948" s="11"/>
    </row>
    <row r="26949" spans="8:20" x14ac:dyDescent="0.35">
      <c r="H26949" s="711"/>
      <c r="I26949" s="711"/>
      <c r="J26949" s="711"/>
      <c r="K26949" s="711"/>
      <c r="L26949" s="711"/>
      <c r="Q26949" s="11"/>
      <c r="R26949" s="11"/>
      <c r="S26949" s="11"/>
      <c r="T26949" s="11"/>
    </row>
    <row r="26950" spans="8:20" x14ac:dyDescent="0.35">
      <c r="H26950" s="711"/>
      <c r="I26950" s="711"/>
      <c r="J26950" s="711"/>
      <c r="K26950" s="711"/>
      <c r="L26950" s="711"/>
      <c r="Q26950" s="11"/>
      <c r="R26950" s="11"/>
      <c r="S26950" s="11"/>
      <c r="T26950" s="11"/>
    </row>
    <row r="26951" spans="8:20" x14ac:dyDescent="0.35">
      <c r="H26951" s="711"/>
      <c r="I26951" s="711"/>
      <c r="J26951" s="711"/>
      <c r="K26951" s="711"/>
      <c r="L26951" s="711"/>
      <c r="Q26951" s="11"/>
      <c r="R26951" s="11"/>
      <c r="S26951" s="11"/>
      <c r="T26951" s="11"/>
    </row>
    <row r="26952" spans="8:20" x14ac:dyDescent="0.35">
      <c r="H26952" s="711"/>
      <c r="I26952" s="711"/>
      <c r="J26952" s="711"/>
      <c r="K26952" s="711"/>
      <c r="L26952" s="711"/>
      <c r="Q26952" s="11"/>
      <c r="R26952" s="11"/>
      <c r="S26952" s="11"/>
      <c r="T26952" s="11"/>
    </row>
    <row r="26953" spans="8:20" x14ac:dyDescent="0.35">
      <c r="H26953" s="711"/>
      <c r="I26953" s="711"/>
      <c r="J26953" s="711"/>
      <c r="K26953" s="711"/>
      <c r="L26953" s="711"/>
      <c r="Q26953" s="11"/>
      <c r="R26953" s="11"/>
      <c r="S26953" s="11"/>
      <c r="T26953" s="11"/>
    </row>
    <row r="26954" spans="8:20" x14ac:dyDescent="0.35">
      <c r="H26954" s="711"/>
      <c r="I26954" s="711"/>
      <c r="J26954" s="711"/>
      <c r="K26954" s="711"/>
      <c r="L26954" s="711"/>
      <c r="Q26954" s="11"/>
      <c r="R26954" s="11"/>
      <c r="S26954" s="11"/>
      <c r="T26954" s="11"/>
    </row>
    <row r="26955" spans="8:20" x14ac:dyDescent="0.35">
      <c r="H26955" s="711"/>
      <c r="I26955" s="711"/>
      <c r="J26955" s="711"/>
      <c r="K26955" s="711"/>
      <c r="L26955" s="711"/>
      <c r="Q26955" s="11"/>
      <c r="R26955" s="11"/>
      <c r="S26955" s="11"/>
      <c r="T26955" s="11"/>
    </row>
    <row r="26956" spans="8:20" x14ac:dyDescent="0.35">
      <c r="H26956" s="711"/>
      <c r="I26956" s="711"/>
      <c r="J26956" s="711"/>
      <c r="K26956" s="711"/>
      <c r="L26956" s="711"/>
      <c r="Q26956" s="11"/>
      <c r="R26956" s="11"/>
      <c r="S26956" s="11"/>
      <c r="T26956" s="11"/>
    </row>
    <row r="26957" spans="8:20" x14ac:dyDescent="0.35">
      <c r="H26957" s="711"/>
      <c r="I26957" s="711"/>
      <c r="J26957" s="711"/>
      <c r="K26957" s="711"/>
      <c r="L26957" s="711"/>
      <c r="Q26957" s="11"/>
      <c r="R26957" s="11"/>
      <c r="S26957" s="11"/>
      <c r="T26957" s="11"/>
    </row>
    <row r="26958" spans="8:20" x14ac:dyDescent="0.35">
      <c r="H26958" s="711"/>
      <c r="I26958" s="711"/>
      <c r="J26958" s="711"/>
      <c r="K26958" s="711"/>
      <c r="L26958" s="711"/>
      <c r="Q26958" s="11"/>
      <c r="R26958" s="11"/>
      <c r="S26958" s="11"/>
      <c r="T26958" s="11"/>
    </row>
    <row r="26959" spans="8:20" x14ac:dyDescent="0.35">
      <c r="H26959" s="711"/>
      <c r="I26959" s="711"/>
      <c r="J26959" s="711"/>
      <c r="K26959" s="711"/>
      <c r="L26959" s="711"/>
      <c r="Q26959" s="11"/>
      <c r="R26959" s="11"/>
      <c r="S26959" s="11"/>
      <c r="T26959" s="11"/>
    </row>
    <row r="26960" spans="8:20" x14ac:dyDescent="0.35">
      <c r="H26960" s="711"/>
      <c r="I26960" s="711"/>
      <c r="J26960" s="711"/>
      <c r="K26960" s="711"/>
      <c r="L26960" s="711"/>
      <c r="Q26960" s="11"/>
      <c r="R26960" s="11"/>
      <c r="S26960" s="11"/>
      <c r="T26960" s="11"/>
    </row>
    <row r="26961" spans="8:20" x14ac:dyDescent="0.35">
      <c r="H26961" s="711"/>
      <c r="I26961" s="711"/>
      <c r="J26961" s="711"/>
      <c r="K26961" s="711"/>
      <c r="L26961" s="711"/>
      <c r="Q26961" s="11"/>
      <c r="R26961" s="11"/>
      <c r="S26961" s="11"/>
      <c r="T26961" s="11"/>
    </row>
    <row r="26962" spans="8:20" x14ac:dyDescent="0.35">
      <c r="H26962" s="711"/>
      <c r="I26962" s="711"/>
      <c r="J26962" s="711"/>
      <c r="K26962" s="711"/>
      <c r="L26962" s="711"/>
      <c r="Q26962" s="11"/>
      <c r="R26962" s="11"/>
      <c r="S26962" s="11"/>
      <c r="T26962" s="11"/>
    </row>
    <row r="26963" spans="8:20" x14ac:dyDescent="0.35">
      <c r="H26963" s="711"/>
      <c r="I26963" s="711"/>
      <c r="J26963" s="711"/>
      <c r="K26963" s="711"/>
      <c r="L26963" s="711"/>
      <c r="Q26963" s="11"/>
      <c r="R26963" s="11"/>
      <c r="S26963" s="11"/>
      <c r="T26963" s="11"/>
    </row>
    <row r="26964" spans="8:20" x14ac:dyDescent="0.35">
      <c r="H26964" s="711"/>
      <c r="I26964" s="711"/>
      <c r="J26964" s="711"/>
      <c r="K26964" s="711"/>
      <c r="L26964" s="711"/>
      <c r="Q26964" s="11"/>
      <c r="R26964" s="11"/>
      <c r="S26964" s="11"/>
      <c r="T26964" s="11"/>
    </row>
    <row r="26965" spans="8:20" x14ac:dyDescent="0.35">
      <c r="H26965" s="711"/>
      <c r="I26965" s="711"/>
      <c r="J26965" s="711"/>
      <c r="K26965" s="711"/>
      <c r="L26965" s="711"/>
      <c r="Q26965" s="11"/>
      <c r="R26965" s="11"/>
      <c r="S26965" s="11"/>
      <c r="T26965" s="11"/>
    </row>
    <row r="26966" spans="8:20" x14ac:dyDescent="0.35">
      <c r="H26966" s="711"/>
      <c r="I26966" s="711"/>
      <c r="J26966" s="711"/>
      <c r="K26966" s="711"/>
      <c r="L26966" s="711"/>
      <c r="Q26966" s="11"/>
      <c r="R26966" s="11"/>
      <c r="S26966" s="11"/>
      <c r="T26966" s="11"/>
    </row>
    <row r="26967" spans="8:20" x14ac:dyDescent="0.35">
      <c r="H26967" s="711"/>
      <c r="I26967" s="711"/>
      <c r="J26967" s="711"/>
      <c r="K26967" s="711"/>
      <c r="L26967" s="711"/>
      <c r="Q26967" s="11"/>
      <c r="R26967" s="11"/>
      <c r="S26967" s="11"/>
      <c r="T26967" s="11"/>
    </row>
    <row r="26968" spans="8:20" x14ac:dyDescent="0.35">
      <c r="H26968" s="711"/>
      <c r="I26968" s="711"/>
      <c r="J26968" s="711"/>
      <c r="K26968" s="711"/>
      <c r="L26968" s="711"/>
      <c r="Q26968" s="11"/>
      <c r="R26968" s="11"/>
      <c r="S26968" s="11"/>
      <c r="T26968" s="11"/>
    </row>
    <row r="26969" spans="8:20" x14ac:dyDescent="0.35">
      <c r="H26969" s="711"/>
      <c r="I26969" s="711"/>
      <c r="J26969" s="711"/>
      <c r="K26969" s="711"/>
      <c r="L26969" s="711"/>
      <c r="Q26969" s="11"/>
      <c r="R26969" s="11"/>
      <c r="S26969" s="11"/>
      <c r="T26969" s="11"/>
    </row>
    <row r="26970" spans="8:20" x14ac:dyDescent="0.35">
      <c r="H26970" s="711"/>
      <c r="I26970" s="711"/>
      <c r="J26970" s="711"/>
      <c r="K26970" s="711"/>
      <c r="L26970" s="711"/>
      <c r="Q26970" s="11"/>
      <c r="R26970" s="11"/>
      <c r="S26970" s="11"/>
      <c r="T26970" s="11"/>
    </row>
    <row r="26971" spans="8:20" x14ac:dyDescent="0.35">
      <c r="H26971" s="711"/>
      <c r="I26971" s="711"/>
      <c r="J26971" s="711"/>
      <c r="K26971" s="711"/>
      <c r="L26971" s="711"/>
      <c r="Q26971" s="11"/>
      <c r="R26971" s="11"/>
      <c r="S26971" s="11"/>
      <c r="T26971" s="11"/>
    </row>
    <row r="26972" spans="8:20" x14ac:dyDescent="0.35">
      <c r="H26972" s="711"/>
      <c r="I26972" s="711"/>
      <c r="J26972" s="711"/>
      <c r="K26972" s="711"/>
      <c r="L26972" s="711"/>
      <c r="Q26972" s="11"/>
      <c r="R26972" s="11"/>
      <c r="S26972" s="11"/>
      <c r="T26972" s="11"/>
    </row>
    <row r="26973" spans="8:20" x14ac:dyDescent="0.35">
      <c r="H26973" s="711"/>
      <c r="I26973" s="711"/>
      <c r="J26973" s="711"/>
      <c r="K26973" s="711"/>
      <c r="L26973" s="711"/>
      <c r="Q26973" s="11"/>
      <c r="R26973" s="11"/>
      <c r="S26973" s="11"/>
      <c r="T26973" s="11"/>
    </row>
    <row r="26974" spans="8:20" x14ac:dyDescent="0.35">
      <c r="H26974" s="711"/>
      <c r="I26974" s="711"/>
      <c r="J26974" s="711"/>
      <c r="K26974" s="711"/>
      <c r="L26974" s="711"/>
      <c r="Q26974" s="11"/>
      <c r="R26974" s="11"/>
      <c r="S26974" s="11"/>
      <c r="T26974" s="11"/>
    </row>
    <row r="26975" spans="8:20" x14ac:dyDescent="0.35">
      <c r="H26975" s="711"/>
      <c r="I26975" s="711"/>
      <c r="J26975" s="711"/>
      <c r="K26975" s="711"/>
      <c r="L26975" s="711"/>
      <c r="Q26975" s="11"/>
      <c r="R26975" s="11"/>
      <c r="S26975" s="11"/>
      <c r="T26975" s="11"/>
    </row>
    <row r="26976" spans="8:20" x14ac:dyDescent="0.35">
      <c r="H26976" s="711"/>
      <c r="I26976" s="711"/>
      <c r="J26976" s="711"/>
      <c r="K26976" s="711"/>
      <c r="L26976" s="711"/>
      <c r="Q26976" s="11"/>
      <c r="R26976" s="11"/>
      <c r="S26976" s="11"/>
      <c r="T26976" s="11"/>
    </row>
    <row r="26977" spans="8:20" x14ac:dyDescent="0.35">
      <c r="H26977" s="711"/>
      <c r="I26977" s="711"/>
      <c r="J26977" s="711"/>
      <c r="K26977" s="711"/>
      <c r="L26977" s="711"/>
      <c r="Q26977" s="11"/>
      <c r="R26977" s="11"/>
      <c r="S26977" s="11"/>
      <c r="T26977" s="11"/>
    </row>
    <row r="26978" spans="8:20" x14ac:dyDescent="0.35">
      <c r="H26978" s="711"/>
      <c r="I26978" s="711"/>
      <c r="J26978" s="711"/>
      <c r="K26978" s="711"/>
      <c r="L26978" s="711"/>
      <c r="Q26978" s="11"/>
      <c r="R26978" s="11"/>
      <c r="S26978" s="11"/>
      <c r="T26978" s="11"/>
    </row>
    <row r="26979" spans="8:20" x14ac:dyDescent="0.35">
      <c r="H26979" s="711"/>
      <c r="I26979" s="711"/>
      <c r="J26979" s="711"/>
      <c r="K26979" s="711"/>
      <c r="L26979" s="711"/>
      <c r="Q26979" s="11"/>
      <c r="R26979" s="11"/>
      <c r="S26979" s="11"/>
      <c r="T26979" s="11"/>
    </row>
    <row r="26980" spans="8:20" x14ac:dyDescent="0.35">
      <c r="H26980" s="711"/>
      <c r="I26980" s="711"/>
      <c r="J26980" s="711"/>
      <c r="K26980" s="711"/>
      <c r="L26980" s="711"/>
      <c r="Q26980" s="11"/>
      <c r="R26980" s="11"/>
      <c r="S26980" s="11"/>
      <c r="T26980" s="11"/>
    </row>
    <row r="26981" spans="8:20" x14ac:dyDescent="0.35">
      <c r="H26981" s="711"/>
      <c r="I26981" s="711"/>
      <c r="J26981" s="711"/>
      <c r="K26981" s="711"/>
      <c r="L26981" s="711"/>
      <c r="Q26981" s="11"/>
      <c r="R26981" s="11"/>
      <c r="S26981" s="11"/>
      <c r="T26981" s="11"/>
    </row>
    <row r="26982" spans="8:20" x14ac:dyDescent="0.35">
      <c r="H26982" s="711"/>
      <c r="I26982" s="711"/>
      <c r="J26982" s="711"/>
      <c r="K26982" s="711"/>
      <c r="L26982" s="711"/>
      <c r="Q26982" s="11"/>
      <c r="R26982" s="11"/>
      <c r="S26982" s="11"/>
      <c r="T26982" s="11"/>
    </row>
    <row r="26983" spans="8:20" x14ac:dyDescent="0.35">
      <c r="H26983" s="711"/>
      <c r="I26983" s="711"/>
      <c r="J26983" s="711"/>
      <c r="K26983" s="711"/>
      <c r="L26983" s="711"/>
      <c r="Q26983" s="11"/>
      <c r="R26983" s="11"/>
      <c r="S26983" s="11"/>
      <c r="T26983" s="11"/>
    </row>
    <row r="26984" spans="8:20" x14ac:dyDescent="0.35">
      <c r="H26984" s="711"/>
      <c r="I26984" s="711"/>
      <c r="J26984" s="711"/>
      <c r="K26984" s="711"/>
      <c r="L26984" s="711"/>
      <c r="Q26984" s="11"/>
      <c r="R26984" s="11"/>
      <c r="S26984" s="11"/>
      <c r="T26984" s="11"/>
    </row>
    <row r="26985" spans="8:20" x14ac:dyDescent="0.35">
      <c r="H26985" s="711"/>
      <c r="I26985" s="711"/>
      <c r="J26985" s="711"/>
      <c r="K26985" s="711"/>
      <c r="L26985" s="711"/>
      <c r="Q26985" s="11"/>
      <c r="R26985" s="11"/>
      <c r="S26985" s="11"/>
      <c r="T26985" s="11"/>
    </row>
    <row r="26986" spans="8:20" x14ac:dyDescent="0.35">
      <c r="H26986" s="711"/>
      <c r="I26986" s="711"/>
      <c r="J26986" s="711"/>
      <c r="K26986" s="711"/>
      <c r="L26986" s="711"/>
      <c r="Q26986" s="11"/>
      <c r="R26986" s="11"/>
      <c r="S26986" s="11"/>
      <c r="T26986" s="11"/>
    </row>
    <row r="26987" spans="8:20" x14ac:dyDescent="0.35">
      <c r="H26987" s="711"/>
      <c r="I26987" s="711"/>
      <c r="J26987" s="711"/>
      <c r="K26987" s="711"/>
      <c r="L26987" s="711"/>
      <c r="Q26987" s="11"/>
      <c r="R26987" s="11"/>
      <c r="S26987" s="11"/>
      <c r="T26987" s="11"/>
    </row>
    <row r="26988" spans="8:20" x14ac:dyDescent="0.35">
      <c r="H26988" s="711"/>
      <c r="I26988" s="711"/>
      <c r="J26988" s="711"/>
      <c r="K26988" s="711"/>
      <c r="L26988" s="711"/>
      <c r="Q26988" s="11"/>
      <c r="R26988" s="11"/>
      <c r="S26988" s="11"/>
      <c r="T26988" s="11"/>
    </row>
    <row r="26989" spans="8:20" x14ac:dyDescent="0.35">
      <c r="H26989" s="711"/>
      <c r="I26989" s="711"/>
      <c r="J26989" s="711"/>
      <c r="K26989" s="711"/>
      <c r="L26989" s="711"/>
      <c r="Q26989" s="11"/>
      <c r="R26989" s="11"/>
      <c r="S26989" s="11"/>
      <c r="T26989" s="11"/>
    </row>
    <row r="26990" spans="8:20" x14ac:dyDescent="0.35">
      <c r="H26990" s="711"/>
      <c r="I26990" s="711"/>
      <c r="J26990" s="711"/>
      <c r="K26990" s="711"/>
      <c r="L26990" s="711"/>
      <c r="Q26990" s="11"/>
      <c r="R26990" s="11"/>
      <c r="S26990" s="11"/>
      <c r="T26990" s="11"/>
    </row>
    <row r="26991" spans="8:20" x14ac:dyDescent="0.35">
      <c r="H26991" s="711"/>
      <c r="I26991" s="711"/>
      <c r="J26991" s="711"/>
      <c r="K26991" s="711"/>
      <c r="L26991" s="711"/>
      <c r="Q26991" s="11"/>
      <c r="R26991" s="11"/>
      <c r="S26991" s="11"/>
      <c r="T26991" s="11"/>
    </row>
    <row r="26992" spans="8:20" x14ac:dyDescent="0.35">
      <c r="H26992" s="711"/>
      <c r="I26992" s="711"/>
      <c r="J26992" s="711"/>
      <c r="K26992" s="711"/>
      <c r="L26992" s="711"/>
      <c r="Q26992" s="11"/>
      <c r="R26992" s="11"/>
      <c r="S26992" s="11"/>
      <c r="T26992" s="11"/>
    </row>
    <row r="26993" spans="8:20" x14ac:dyDescent="0.35">
      <c r="H26993" s="711"/>
      <c r="I26993" s="711"/>
      <c r="J26993" s="711"/>
      <c r="K26993" s="711"/>
      <c r="L26993" s="711"/>
      <c r="Q26993" s="11"/>
      <c r="R26993" s="11"/>
      <c r="S26993" s="11"/>
      <c r="T26993" s="11"/>
    </row>
    <row r="26994" spans="8:20" x14ac:dyDescent="0.35">
      <c r="H26994" s="711"/>
      <c r="I26994" s="711"/>
      <c r="J26994" s="711"/>
      <c r="K26994" s="711"/>
      <c r="L26994" s="711"/>
      <c r="Q26994" s="11"/>
      <c r="R26994" s="11"/>
      <c r="S26994" s="11"/>
      <c r="T26994" s="11"/>
    </row>
    <row r="26995" spans="8:20" x14ac:dyDescent="0.35">
      <c r="H26995" s="711"/>
      <c r="I26995" s="711"/>
      <c r="J26995" s="711"/>
      <c r="K26995" s="711"/>
      <c r="L26995" s="711"/>
      <c r="Q26995" s="11"/>
      <c r="R26995" s="11"/>
      <c r="S26995" s="11"/>
      <c r="T26995" s="11"/>
    </row>
    <row r="26996" spans="8:20" x14ac:dyDescent="0.35">
      <c r="H26996" s="711"/>
      <c r="I26996" s="711"/>
      <c r="J26996" s="711"/>
      <c r="K26996" s="711"/>
      <c r="L26996" s="711"/>
      <c r="Q26996" s="11"/>
      <c r="R26996" s="11"/>
      <c r="S26996" s="11"/>
      <c r="T26996" s="11"/>
    </row>
    <row r="26997" spans="8:20" x14ac:dyDescent="0.35">
      <c r="H26997" s="711"/>
      <c r="I26997" s="711"/>
      <c r="J26997" s="711"/>
      <c r="K26997" s="711"/>
      <c r="L26997" s="711"/>
      <c r="Q26997" s="11"/>
      <c r="R26997" s="11"/>
      <c r="S26997" s="11"/>
      <c r="T26997" s="11"/>
    </row>
    <row r="26998" spans="8:20" x14ac:dyDescent="0.35">
      <c r="H26998" s="711"/>
      <c r="I26998" s="711"/>
      <c r="J26998" s="711"/>
      <c r="K26998" s="711"/>
      <c r="L26998" s="711"/>
      <c r="Q26998" s="11"/>
      <c r="R26998" s="11"/>
      <c r="S26998" s="11"/>
      <c r="T26998" s="11"/>
    </row>
    <row r="26999" spans="8:20" x14ac:dyDescent="0.35">
      <c r="H26999" s="711"/>
      <c r="I26999" s="711"/>
      <c r="J26999" s="711"/>
      <c r="K26999" s="711"/>
      <c r="L26999" s="711"/>
      <c r="Q26999" s="11"/>
      <c r="R26999" s="11"/>
      <c r="S26999" s="11"/>
      <c r="T26999" s="11"/>
    </row>
    <row r="27000" spans="8:20" x14ac:dyDescent="0.35">
      <c r="H27000" s="711"/>
      <c r="I27000" s="711"/>
      <c r="J27000" s="711"/>
      <c r="K27000" s="711"/>
      <c r="L27000" s="711"/>
      <c r="Q27000" s="11"/>
      <c r="R27000" s="11"/>
      <c r="S27000" s="11"/>
      <c r="T27000" s="11"/>
    </row>
    <row r="27001" spans="8:20" x14ac:dyDescent="0.35">
      <c r="H27001" s="711"/>
      <c r="I27001" s="711"/>
      <c r="J27001" s="711"/>
      <c r="K27001" s="711"/>
      <c r="L27001" s="711"/>
      <c r="Q27001" s="11"/>
      <c r="R27001" s="11"/>
      <c r="S27001" s="11"/>
      <c r="T27001" s="11"/>
    </row>
    <row r="27002" spans="8:20" x14ac:dyDescent="0.35">
      <c r="H27002" s="711"/>
      <c r="I27002" s="711"/>
      <c r="J27002" s="711"/>
      <c r="K27002" s="711"/>
      <c r="L27002" s="711"/>
      <c r="Q27002" s="11"/>
      <c r="R27002" s="11"/>
      <c r="S27002" s="11"/>
      <c r="T27002" s="11"/>
    </row>
    <row r="27003" spans="8:20" x14ac:dyDescent="0.35">
      <c r="H27003" s="711"/>
      <c r="I27003" s="711"/>
      <c r="J27003" s="711"/>
      <c r="K27003" s="711"/>
      <c r="L27003" s="711"/>
      <c r="Q27003" s="11"/>
      <c r="R27003" s="11"/>
      <c r="S27003" s="11"/>
      <c r="T27003" s="11"/>
    </row>
    <row r="27004" spans="8:20" x14ac:dyDescent="0.35">
      <c r="H27004" s="711"/>
      <c r="I27004" s="711"/>
      <c r="J27004" s="711"/>
      <c r="K27004" s="711"/>
      <c r="L27004" s="711"/>
      <c r="Q27004" s="11"/>
      <c r="R27004" s="11"/>
      <c r="S27004" s="11"/>
      <c r="T27004" s="11"/>
    </row>
    <row r="27005" spans="8:20" x14ac:dyDescent="0.35">
      <c r="H27005" s="711"/>
      <c r="I27005" s="711"/>
      <c r="J27005" s="711"/>
      <c r="K27005" s="711"/>
      <c r="L27005" s="711"/>
      <c r="Q27005" s="11"/>
      <c r="R27005" s="11"/>
      <c r="S27005" s="11"/>
      <c r="T27005" s="11"/>
    </row>
    <row r="27006" spans="8:20" x14ac:dyDescent="0.35">
      <c r="H27006" s="711"/>
      <c r="I27006" s="711"/>
      <c r="J27006" s="711"/>
      <c r="K27006" s="711"/>
      <c r="L27006" s="711"/>
      <c r="Q27006" s="11"/>
      <c r="R27006" s="11"/>
      <c r="S27006" s="11"/>
      <c r="T27006" s="11"/>
    </row>
    <row r="27007" spans="8:20" x14ac:dyDescent="0.35">
      <c r="H27007" s="711"/>
      <c r="I27007" s="711"/>
      <c r="J27007" s="711"/>
      <c r="K27007" s="711"/>
      <c r="L27007" s="711"/>
      <c r="Q27007" s="11"/>
      <c r="R27007" s="11"/>
      <c r="S27007" s="11"/>
      <c r="T27007" s="11"/>
    </row>
    <row r="27008" spans="8:20" x14ac:dyDescent="0.35">
      <c r="H27008" s="711"/>
      <c r="I27008" s="711"/>
      <c r="J27008" s="711"/>
      <c r="K27008" s="711"/>
      <c r="L27008" s="711"/>
      <c r="Q27008" s="11"/>
      <c r="R27008" s="11"/>
      <c r="S27008" s="11"/>
      <c r="T27008" s="11"/>
    </row>
    <row r="27009" spans="8:20" x14ac:dyDescent="0.35">
      <c r="H27009" s="711"/>
      <c r="I27009" s="711"/>
      <c r="J27009" s="711"/>
      <c r="K27009" s="711"/>
      <c r="L27009" s="711"/>
      <c r="Q27009" s="11"/>
      <c r="R27009" s="11"/>
      <c r="S27009" s="11"/>
      <c r="T27009" s="11"/>
    </row>
    <row r="27010" spans="8:20" x14ac:dyDescent="0.35">
      <c r="H27010" s="711"/>
      <c r="I27010" s="711"/>
      <c r="J27010" s="711"/>
      <c r="K27010" s="711"/>
      <c r="L27010" s="711"/>
      <c r="Q27010" s="11"/>
      <c r="R27010" s="11"/>
      <c r="S27010" s="11"/>
      <c r="T27010" s="11"/>
    </row>
    <row r="27011" spans="8:20" x14ac:dyDescent="0.35">
      <c r="H27011" s="711"/>
      <c r="I27011" s="711"/>
      <c r="J27011" s="711"/>
      <c r="K27011" s="711"/>
      <c r="L27011" s="711"/>
      <c r="Q27011" s="11"/>
      <c r="R27011" s="11"/>
      <c r="S27011" s="11"/>
      <c r="T27011" s="11"/>
    </row>
    <row r="27012" spans="8:20" x14ac:dyDescent="0.35">
      <c r="H27012" s="711"/>
      <c r="I27012" s="711"/>
      <c r="J27012" s="711"/>
      <c r="K27012" s="711"/>
      <c r="L27012" s="711"/>
      <c r="Q27012" s="11"/>
      <c r="R27012" s="11"/>
      <c r="S27012" s="11"/>
      <c r="T27012" s="11"/>
    </row>
    <row r="27013" spans="8:20" x14ac:dyDescent="0.35">
      <c r="H27013" s="711"/>
      <c r="I27013" s="711"/>
      <c r="J27013" s="711"/>
      <c r="K27013" s="711"/>
      <c r="L27013" s="711"/>
      <c r="Q27013" s="11"/>
      <c r="R27013" s="11"/>
      <c r="S27013" s="11"/>
      <c r="T27013" s="11"/>
    </row>
    <row r="27014" spans="8:20" x14ac:dyDescent="0.35">
      <c r="H27014" s="711"/>
      <c r="I27014" s="711"/>
      <c r="J27014" s="711"/>
      <c r="K27014" s="711"/>
      <c r="L27014" s="711"/>
      <c r="Q27014" s="11"/>
      <c r="R27014" s="11"/>
      <c r="S27014" s="11"/>
      <c r="T27014" s="11"/>
    </row>
    <row r="27015" spans="8:20" x14ac:dyDescent="0.35">
      <c r="H27015" s="711"/>
      <c r="I27015" s="711"/>
      <c r="J27015" s="711"/>
      <c r="K27015" s="711"/>
      <c r="L27015" s="711"/>
      <c r="Q27015" s="11"/>
      <c r="R27015" s="11"/>
      <c r="S27015" s="11"/>
      <c r="T27015" s="11"/>
    </row>
    <row r="27016" spans="8:20" x14ac:dyDescent="0.35">
      <c r="H27016" s="711"/>
      <c r="I27016" s="711"/>
      <c r="J27016" s="711"/>
      <c r="K27016" s="711"/>
      <c r="L27016" s="711"/>
      <c r="Q27016" s="11"/>
      <c r="R27016" s="11"/>
      <c r="S27016" s="11"/>
      <c r="T27016" s="11"/>
    </row>
    <row r="27017" spans="8:20" x14ac:dyDescent="0.35">
      <c r="H27017" s="711"/>
      <c r="I27017" s="711"/>
      <c r="J27017" s="711"/>
      <c r="K27017" s="711"/>
      <c r="L27017" s="711"/>
      <c r="Q27017" s="11"/>
      <c r="R27017" s="11"/>
      <c r="S27017" s="11"/>
      <c r="T27017" s="11"/>
    </row>
    <row r="27018" spans="8:20" x14ac:dyDescent="0.35">
      <c r="H27018" s="711"/>
      <c r="I27018" s="711"/>
      <c r="J27018" s="711"/>
      <c r="K27018" s="711"/>
      <c r="L27018" s="711"/>
      <c r="Q27018" s="11"/>
      <c r="R27018" s="11"/>
      <c r="S27018" s="11"/>
      <c r="T27018" s="11"/>
    </row>
    <row r="27019" spans="8:20" x14ac:dyDescent="0.35">
      <c r="H27019" s="711"/>
      <c r="I27019" s="711"/>
      <c r="J27019" s="711"/>
      <c r="K27019" s="711"/>
      <c r="L27019" s="711"/>
      <c r="Q27019" s="11"/>
      <c r="R27019" s="11"/>
      <c r="S27019" s="11"/>
      <c r="T27019" s="11"/>
    </row>
    <row r="27020" spans="8:20" x14ac:dyDescent="0.35">
      <c r="H27020" s="711"/>
      <c r="I27020" s="711"/>
      <c r="J27020" s="711"/>
      <c r="K27020" s="711"/>
      <c r="L27020" s="711"/>
      <c r="Q27020" s="11"/>
      <c r="R27020" s="11"/>
      <c r="S27020" s="11"/>
      <c r="T27020" s="11"/>
    </row>
    <row r="27021" spans="8:20" x14ac:dyDescent="0.35">
      <c r="H27021" s="711"/>
      <c r="I27021" s="711"/>
      <c r="J27021" s="711"/>
      <c r="K27021" s="711"/>
      <c r="L27021" s="711"/>
      <c r="Q27021" s="11"/>
      <c r="R27021" s="11"/>
      <c r="S27021" s="11"/>
      <c r="T27021" s="11"/>
    </row>
    <row r="27022" spans="8:20" x14ac:dyDescent="0.35">
      <c r="H27022" s="711"/>
      <c r="I27022" s="711"/>
      <c r="J27022" s="711"/>
      <c r="K27022" s="711"/>
      <c r="L27022" s="711"/>
      <c r="Q27022" s="11"/>
      <c r="R27022" s="11"/>
      <c r="S27022" s="11"/>
      <c r="T27022" s="11"/>
    </row>
    <row r="27023" spans="8:20" x14ac:dyDescent="0.35">
      <c r="H27023" s="711"/>
      <c r="I27023" s="711"/>
      <c r="J27023" s="711"/>
      <c r="K27023" s="711"/>
      <c r="L27023" s="711"/>
      <c r="Q27023" s="11"/>
      <c r="R27023" s="11"/>
      <c r="S27023" s="11"/>
      <c r="T27023" s="11"/>
    </row>
    <row r="27024" spans="8:20" x14ac:dyDescent="0.35">
      <c r="H27024" s="711"/>
      <c r="I27024" s="711"/>
      <c r="J27024" s="711"/>
      <c r="K27024" s="711"/>
      <c r="L27024" s="711"/>
      <c r="Q27024" s="11"/>
      <c r="R27024" s="11"/>
      <c r="S27024" s="11"/>
      <c r="T27024" s="11"/>
    </row>
    <row r="27025" spans="8:20" x14ac:dyDescent="0.35">
      <c r="H27025" s="711"/>
      <c r="I27025" s="711"/>
      <c r="J27025" s="711"/>
      <c r="K27025" s="711"/>
      <c r="L27025" s="711"/>
      <c r="Q27025" s="11"/>
      <c r="R27025" s="11"/>
      <c r="S27025" s="11"/>
      <c r="T27025" s="11"/>
    </row>
    <row r="27026" spans="8:20" x14ac:dyDescent="0.35">
      <c r="H27026" s="711"/>
      <c r="I27026" s="711"/>
      <c r="J27026" s="711"/>
      <c r="K27026" s="711"/>
      <c r="L27026" s="711"/>
      <c r="Q27026" s="11"/>
      <c r="R27026" s="11"/>
      <c r="S27026" s="11"/>
      <c r="T27026" s="11"/>
    </row>
    <row r="27027" spans="8:20" x14ac:dyDescent="0.35">
      <c r="H27027" s="711"/>
      <c r="I27027" s="711"/>
      <c r="J27027" s="711"/>
      <c r="K27027" s="711"/>
      <c r="L27027" s="711"/>
      <c r="Q27027" s="11"/>
      <c r="R27027" s="11"/>
      <c r="S27027" s="11"/>
      <c r="T27027" s="11"/>
    </row>
    <row r="27028" spans="8:20" x14ac:dyDescent="0.35">
      <c r="H27028" s="711"/>
      <c r="I27028" s="711"/>
      <c r="J27028" s="711"/>
      <c r="K27028" s="711"/>
      <c r="L27028" s="711"/>
      <c r="Q27028" s="11"/>
      <c r="R27028" s="11"/>
      <c r="S27028" s="11"/>
      <c r="T27028" s="11"/>
    </row>
    <row r="27029" spans="8:20" x14ac:dyDescent="0.35">
      <c r="H27029" s="711"/>
      <c r="I27029" s="711"/>
      <c r="J27029" s="711"/>
      <c r="K27029" s="711"/>
      <c r="L27029" s="711"/>
      <c r="Q27029" s="11"/>
      <c r="R27029" s="11"/>
      <c r="S27029" s="11"/>
      <c r="T27029" s="11"/>
    </row>
    <row r="27030" spans="8:20" x14ac:dyDescent="0.35">
      <c r="H27030" s="711"/>
      <c r="I27030" s="711"/>
      <c r="J27030" s="711"/>
      <c r="K27030" s="711"/>
      <c r="L27030" s="711"/>
      <c r="Q27030" s="11"/>
      <c r="R27030" s="11"/>
      <c r="S27030" s="11"/>
      <c r="T27030" s="11"/>
    </row>
    <row r="27031" spans="8:20" x14ac:dyDescent="0.35">
      <c r="H27031" s="711"/>
      <c r="I27031" s="711"/>
      <c r="J27031" s="711"/>
      <c r="K27031" s="711"/>
      <c r="L27031" s="711"/>
      <c r="Q27031" s="11"/>
      <c r="R27031" s="11"/>
      <c r="S27031" s="11"/>
      <c r="T27031" s="11"/>
    </row>
    <row r="27032" spans="8:20" x14ac:dyDescent="0.35">
      <c r="H27032" s="711"/>
      <c r="I27032" s="711"/>
      <c r="J27032" s="711"/>
      <c r="K27032" s="711"/>
      <c r="L27032" s="711"/>
      <c r="Q27032" s="11"/>
      <c r="R27032" s="11"/>
      <c r="S27032" s="11"/>
      <c r="T27032" s="11"/>
    </row>
    <row r="27033" spans="8:20" x14ac:dyDescent="0.35">
      <c r="H27033" s="711"/>
      <c r="I27033" s="711"/>
      <c r="J27033" s="711"/>
      <c r="K27033" s="711"/>
      <c r="L27033" s="711"/>
      <c r="Q27033" s="11"/>
      <c r="R27033" s="11"/>
      <c r="S27033" s="11"/>
      <c r="T27033" s="11"/>
    </row>
    <row r="27034" spans="8:20" x14ac:dyDescent="0.35">
      <c r="H27034" s="711"/>
      <c r="I27034" s="711"/>
      <c r="J27034" s="711"/>
      <c r="K27034" s="711"/>
      <c r="L27034" s="711"/>
      <c r="Q27034" s="11"/>
      <c r="R27034" s="11"/>
      <c r="S27034" s="11"/>
      <c r="T27034" s="11"/>
    </row>
    <row r="27035" spans="8:20" x14ac:dyDescent="0.35">
      <c r="H27035" s="711"/>
      <c r="I27035" s="711"/>
      <c r="J27035" s="711"/>
      <c r="K27035" s="711"/>
      <c r="L27035" s="711"/>
      <c r="Q27035" s="11"/>
      <c r="R27035" s="11"/>
      <c r="S27035" s="11"/>
      <c r="T27035" s="11"/>
    </row>
    <row r="27036" spans="8:20" x14ac:dyDescent="0.35">
      <c r="H27036" s="711"/>
      <c r="I27036" s="711"/>
      <c r="J27036" s="711"/>
      <c r="K27036" s="711"/>
      <c r="L27036" s="711"/>
      <c r="Q27036" s="11"/>
      <c r="R27036" s="11"/>
      <c r="S27036" s="11"/>
      <c r="T27036" s="11"/>
    </row>
    <row r="27037" spans="8:20" x14ac:dyDescent="0.35">
      <c r="H27037" s="711"/>
      <c r="I27037" s="711"/>
      <c r="J27037" s="711"/>
      <c r="K27037" s="711"/>
      <c r="L27037" s="711"/>
      <c r="Q27037" s="11"/>
      <c r="R27037" s="11"/>
      <c r="S27037" s="11"/>
      <c r="T27037" s="11"/>
    </row>
    <row r="27038" spans="8:20" x14ac:dyDescent="0.35">
      <c r="H27038" s="711"/>
      <c r="I27038" s="711"/>
      <c r="J27038" s="711"/>
      <c r="K27038" s="711"/>
      <c r="L27038" s="711"/>
      <c r="Q27038" s="11"/>
      <c r="R27038" s="11"/>
      <c r="S27038" s="11"/>
      <c r="T27038" s="11"/>
    </row>
    <row r="27039" spans="8:20" x14ac:dyDescent="0.35">
      <c r="H27039" s="711"/>
      <c r="I27039" s="711"/>
      <c r="J27039" s="711"/>
      <c r="K27039" s="711"/>
      <c r="L27039" s="711"/>
      <c r="Q27039" s="11"/>
      <c r="R27039" s="11"/>
      <c r="S27039" s="11"/>
      <c r="T27039" s="11"/>
    </row>
    <row r="27040" spans="8:20" x14ac:dyDescent="0.35">
      <c r="H27040" s="711"/>
      <c r="I27040" s="711"/>
      <c r="J27040" s="711"/>
      <c r="K27040" s="711"/>
      <c r="L27040" s="711"/>
      <c r="Q27040" s="11"/>
      <c r="R27040" s="11"/>
      <c r="S27040" s="11"/>
      <c r="T27040" s="11"/>
    </row>
    <row r="27041" spans="8:20" x14ac:dyDescent="0.35">
      <c r="H27041" s="711"/>
      <c r="I27041" s="711"/>
      <c r="J27041" s="711"/>
      <c r="K27041" s="711"/>
      <c r="L27041" s="711"/>
      <c r="Q27041" s="11"/>
      <c r="R27041" s="11"/>
      <c r="S27041" s="11"/>
      <c r="T27041" s="11"/>
    </row>
    <row r="27042" spans="8:20" x14ac:dyDescent="0.35">
      <c r="H27042" s="711"/>
      <c r="I27042" s="711"/>
      <c r="J27042" s="711"/>
      <c r="K27042" s="711"/>
      <c r="L27042" s="711"/>
      <c r="Q27042" s="11"/>
      <c r="R27042" s="11"/>
      <c r="S27042" s="11"/>
      <c r="T27042" s="11"/>
    </row>
    <row r="27043" spans="8:20" x14ac:dyDescent="0.35">
      <c r="H27043" s="711"/>
      <c r="I27043" s="711"/>
      <c r="J27043" s="711"/>
      <c r="K27043" s="711"/>
      <c r="L27043" s="711"/>
      <c r="Q27043" s="11"/>
      <c r="R27043" s="11"/>
      <c r="S27043" s="11"/>
      <c r="T27043" s="11"/>
    </row>
    <row r="27044" spans="8:20" x14ac:dyDescent="0.35">
      <c r="H27044" s="711"/>
      <c r="I27044" s="711"/>
      <c r="J27044" s="711"/>
      <c r="K27044" s="711"/>
      <c r="L27044" s="711"/>
      <c r="Q27044" s="11"/>
      <c r="R27044" s="11"/>
      <c r="S27044" s="11"/>
      <c r="T27044" s="11"/>
    </row>
    <row r="27045" spans="8:20" x14ac:dyDescent="0.35">
      <c r="H27045" s="711"/>
      <c r="I27045" s="711"/>
      <c r="J27045" s="711"/>
      <c r="K27045" s="711"/>
      <c r="L27045" s="711"/>
      <c r="Q27045" s="11"/>
      <c r="R27045" s="11"/>
      <c r="S27045" s="11"/>
      <c r="T27045" s="11"/>
    </row>
    <row r="27046" spans="8:20" x14ac:dyDescent="0.35">
      <c r="H27046" s="711"/>
      <c r="I27046" s="711"/>
      <c r="J27046" s="711"/>
      <c r="K27046" s="711"/>
      <c r="L27046" s="711"/>
      <c r="Q27046" s="11"/>
      <c r="R27046" s="11"/>
      <c r="S27046" s="11"/>
      <c r="T27046" s="11"/>
    </row>
    <row r="27047" spans="8:20" x14ac:dyDescent="0.35">
      <c r="H27047" s="711"/>
      <c r="I27047" s="711"/>
      <c r="J27047" s="711"/>
      <c r="K27047" s="711"/>
      <c r="L27047" s="711"/>
      <c r="Q27047" s="11"/>
      <c r="R27047" s="11"/>
      <c r="S27047" s="11"/>
      <c r="T27047" s="11"/>
    </row>
    <row r="27048" spans="8:20" x14ac:dyDescent="0.35">
      <c r="H27048" s="711"/>
      <c r="I27048" s="711"/>
      <c r="J27048" s="711"/>
      <c r="K27048" s="711"/>
      <c r="L27048" s="711"/>
      <c r="Q27048" s="11"/>
      <c r="R27048" s="11"/>
      <c r="S27048" s="11"/>
      <c r="T27048" s="11"/>
    </row>
    <row r="27049" spans="8:20" x14ac:dyDescent="0.35">
      <c r="H27049" s="711"/>
      <c r="I27049" s="711"/>
      <c r="J27049" s="711"/>
      <c r="K27049" s="711"/>
      <c r="L27049" s="711"/>
      <c r="Q27049" s="11"/>
      <c r="R27049" s="11"/>
      <c r="S27049" s="11"/>
      <c r="T27049" s="11"/>
    </row>
    <row r="27050" spans="8:20" x14ac:dyDescent="0.35">
      <c r="H27050" s="711"/>
      <c r="I27050" s="711"/>
      <c r="J27050" s="711"/>
      <c r="K27050" s="711"/>
      <c r="L27050" s="711"/>
      <c r="Q27050" s="11"/>
      <c r="R27050" s="11"/>
      <c r="S27050" s="11"/>
      <c r="T27050" s="11"/>
    </row>
    <row r="27051" spans="8:20" x14ac:dyDescent="0.35">
      <c r="H27051" s="711"/>
      <c r="I27051" s="711"/>
      <c r="J27051" s="711"/>
      <c r="K27051" s="711"/>
      <c r="L27051" s="711"/>
      <c r="Q27051" s="11"/>
      <c r="R27051" s="11"/>
      <c r="S27051" s="11"/>
      <c r="T27051" s="11"/>
    </row>
    <row r="27052" spans="8:20" x14ac:dyDescent="0.35">
      <c r="H27052" s="711"/>
      <c r="I27052" s="711"/>
      <c r="J27052" s="711"/>
      <c r="K27052" s="711"/>
      <c r="L27052" s="711"/>
      <c r="Q27052" s="11"/>
      <c r="R27052" s="11"/>
      <c r="S27052" s="11"/>
      <c r="T27052" s="11"/>
    </row>
    <row r="27053" spans="8:20" x14ac:dyDescent="0.35">
      <c r="H27053" s="711"/>
      <c r="I27053" s="711"/>
      <c r="J27053" s="711"/>
      <c r="K27053" s="711"/>
      <c r="L27053" s="711"/>
      <c r="Q27053" s="11"/>
      <c r="R27053" s="11"/>
      <c r="S27053" s="11"/>
      <c r="T27053" s="11"/>
    </row>
    <row r="27054" spans="8:20" x14ac:dyDescent="0.35">
      <c r="H27054" s="711"/>
      <c r="I27054" s="711"/>
      <c r="J27054" s="711"/>
      <c r="K27054" s="711"/>
      <c r="L27054" s="711"/>
      <c r="Q27054" s="11"/>
      <c r="R27054" s="11"/>
      <c r="S27054" s="11"/>
      <c r="T27054" s="11"/>
    </row>
    <row r="27055" spans="8:20" x14ac:dyDescent="0.35">
      <c r="H27055" s="711"/>
      <c r="I27055" s="711"/>
      <c r="J27055" s="711"/>
      <c r="K27055" s="711"/>
      <c r="L27055" s="711"/>
      <c r="Q27055" s="11"/>
      <c r="R27055" s="11"/>
      <c r="S27055" s="11"/>
      <c r="T27055" s="11"/>
    </row>
    <row r="27056" spans="8:20" x14ac:dyDescent="0.35">
      <c r="H27056" s="711"/>
      <c r="I27056" s="711"/>
      <c r="J27056" s="711"/>
      <c r="K27056" s="711"/>
      <c r="L27056" s="711"/>
      <c r="Q27056" s="11"/>
      <c r="R27056" s="11"/>
      <c r="S27056" s="11"/>
      <c r="T27056" s="11"/>
    </row>
    <row r="27057" spans="8:20" x14ac:dyDescent="0.35">
      <c r="H27057" s="711"/>
      <c r="I27057" s="711"/>
      <c r="J27057" s="711"/>
      <c r="K27057" s="711"/>
      <c r="L27057" s="711"/>
      <c r="Q27057" s="11"/>
      <c r="R27057" s="11"/>
      <c r="S27057" s="11"/>
      <c r="T27057" s="11"/>
    </row>
    <row r="27058" spans="8:20" x14ac:dyDescent="0.35">
      <c r="H27058" s="711"/>
      <c r="I27058" s="711"/>
      <c r="J27058" s="711"/>
      <c r="K27058" s="711"/>
      <c r="L27058" s="711"/>
      <c r="Q27058" s="11"/>
      <c r="R27058" s="11"/>
      <c r="S27058" s="11"/>
      <c r="T27058" s="11"/>
    </row>
    <row r="27059" spans="8:20" x14ac:dyDescent="0.35">
      <c r="H27059" s="711"/>
      <c r="I27059" s="711"/>
      <c r="J27059" s="711"/>
      <c r="K27059" s="711"/>
      <c r="L27059" s="711"/>
      <c r="Q27059" s="11"/>
      <c r="R27059" s="11"/>
      <c r="S27059" s="11"/>
      <c r="T27059" s="11"/>
    </row>
    <row r="27060" spans="8:20" x14ac:dyDescent="0.35">
      <c r="H27060" s="711"/>
      <c r="I27060" s="711"/>
      <c r="J27060" s="711"/>
      <c r="K27060" s="711"/>
      <c r="L27060" s="711"/>
      <c r="Q27060" s="11"/>
      <c r="R27060" s="11"/>
      <c r="S27060" s="11"/>
      <c r="T27060" s="11"/>
    </row>
    <row r="27061" spans="8:20" x14ac:dyDescent="0.35">
      <c r="H27061" s="711"/>
      <c r="I27061" s="711"/>
      <c r="J27061" s="711"/>
      <c r="K27061" s="711"/>
      <c r="L27061" s="711"/>
      <c r="Q27061" s="11"/>
      <c r="R27061" s="11"/>
      <c r="S27061" s="11"/>
      <c r="T27061" s="11"/>
    </row>
    <row r="27062" spans="8:20" x14ac:dyDescent="0.35">
      <c r="H27062" s="711"/>
      <c r="I27062" s="711"/>
      <c r="J27062" s="711"/>
      <c r="K27062" s="711"/>
      <c r="L27062" s="711"/>
      <c r="Q27062" s="11"/>
      <c r="R27062" s="11"/>
      <c r="S27062" s="11"/>
      <c r="T27062" s="11"/>
    </row>
    <row r="27063" spans="8:20" x14ac:dyDescent="0.35">
      <c r="H27063" s="711"/>
      <c r="I27063" s="711"/>
      <c r="J27063" s="711"/>
      <c r="K27063" s="711"/>
      <c r="L27063" s="711"/>
      <c r="Q27063" s="11"/>
      <c r="R27063" s="11"/>
      <c r="S27063" s="11"/>
      <c r="T27063" s="11"/>
    </row>
    <row r="27064" spans="8:20" x14ac:dyDescent="0.35">
      <c r="H27064" s="711"/>
      <c r="I27064" s="711"/>
      <c r="J27064" s="711"/>
      <c r="K27064" s="711"/>
      <c r="L27064" s="711"/>
      <c r="Q27064" s="11"/>
      <c r="R27064" s="11"/>
      <c r="S27064" s="11"/>
      <c r="T27064" s="11"/>
    </row>
    <row r="27065" spans="8:20" x14ac:dyDescent="0.35">
      <c r="H27065" s="711"/>
      <c r="I27065" s="711"/>
      <c r="J27065" s="711"/>
      <c r="K27065" s="711"/>
      <c r="L27065" s="711"/>
      <c r="Q27065" s="11"/>
      <c r="R27065" s="11"/>
      <c r="S27065" s="11"/>
      <c r="T27065" s="11"/>
    </row>
    <row r="27066" spans="8:20" x14ac:dyDescent="0.35">
      <c r="H27066" s="711"/>
      <c r="I27066" s="711"/>
      <c r="J27066" s="711"/>
      <c r="K27066" s="711"/>
      <c r="L27066" s="711"/>
      <c r="Q27066" s="11"/>
      <c r="R27066" s="11"/>
      <c r="S27066" s="11"/>
      <c r="T27066" s="11"/>
    </row>
    <row r="27067" spans="8:20" x14ac:dyDescent="0.35">
      <c r="H27067" s="711"/>
      <c r="I27067" s="711"/>
      <c r="J27067" s="711"/>
      <c r="K27067" s="711"/>
      <c r="L27067" s="711"/>
      <c r="Q27067" s="11"/>
      <c r="R27067" s="11"/>
      <c r="S27067" s="11"/>
      <c r="T27067" s="11"/>
    </row>
    <row r="27068" spans="8:20" x14ac:dyDescent="0.35">
      <c r="H27068" s="711"/>
      <c r="I27068" s="711"/>
      <c r="J27068" s="711"/>
      <c r="K27068" s="711"/>
      <c r="L27068" s="711"/>
      <c r="Q27068" s="11"/>
      <c r="R27068" s="11"/>
      <c r="S27068" s="11"/>
      <c r="T27068" s="11"/>
    </row>
    <row r="27069" spans="8:20" x14ac:dyDescent="0.35">
      <c r="H27069" s="711"/>
      <c r="I27069" s="711"/>
      <c r="J27069" s="711"/>
      <c r="K27069" s="711"/>
      <c r="L27069" s="711"/>
      <c r="Q27069" s="11"/>
      <c r="R27069" s="11"/>
      <c r="S27069" s="11"/>
      <c r="T27069" s="11"/>
    </row>
    <row r="27070" spans="8:20" x14ac:dyDescent="0.35">
      <c r="H27070" s="711"/>
      <c r="I27070" s="711"/>
      <c r="J27070" s="711"/>
      <c r="K27070" s="711"/>
      <c r="L27070" s="711"/>
      <c r="Q27070" s="11"/>
      <c r="R27070" s="11"/>
      <c r="S27070" s="11"/>
      <c r="T27070" s="11"/>
    </row>
    <row r="27071" spans="8:20" x14ac:dyDescent="0.35">
      <c r="H27071" s="711"/>
      <c r="I27071" s="711"/>
      <c r="J27071" s="711"/>
      <c r="K27071" s="711"/>
      <c r="L27071" s="711"/>
      <c r="Q27071" s="11"/>
      <c r="R27071" s="11"/>
      <c r="S27071" s="11"/>
      <c r="T27071" s="11"/>
    </row>
    <row r="27072" spans="8:20" x14ac:dyDescent="0.35">
      <c r="H27072" s="711"/>
      <c r="I27072" s="711"/>
      <c r="J27072" s="711"/>
      <c r="K27072" s="711"/>
      <c r="L27072" s="711"/>
      <c r="Q27072" s="11"/>
      <c r="R27072" s="11"/>
      <c r="S27072" s="11"/>
      <c r="T27072" s="11"/>
    </row>
    <row r="27073" spans="8:20" x14ac:dyDescent="0.35">
      <c r="H27073" s="711"/>
      <c r="I27073" s="711"/>
      <c r="J27073" s="711"/>
      <c r="K27073" s="711"/>
      <c r="L27073" s="711"/>
      <c r="Q27073" s="11"/>
      <c r="R27073" s="11"/>
      <c r="S27073" s="11"/>
      <c r="T27073" s="11"/>
    </row>
    <row r="27074" spans="8:20" x14ac:dyDescent="0.35">
      <c r="H27074" s="711"/>
      <c r="I27074" s="711"/>
      <c r="J27074" s="711"/>
      <c r="K27074" s="711"/>
      <c r="L27074" s="711"/>
      <c r="Q27074" s="11"/>
      <c r="R27074" s="11"/>
      <c r="S27074" s="11"/>
      <c r="T27074" s="11"/>
    </row>
    <row r="27075" spans="8:20" x14ac:dyDescent="0.35">
      <c r="H27075" s="711"/>
      <c r="I27075" s="711"/>
      <c r="J27075" s="711"/>
      <c r="K27075" s="711"/>
      <c r="L27075" s="711"/>
      <c r="Q27075" s="11"/>
      <c r="R27075" s="11"/>
      <c r="S27075" s="11"/>
      <c r="T27075" s="11"/>
    </row>
    <row r="27076" spans="8:20" x14ac:dyDescent="0.35">
      <c r="H27076" s="711"/>
      <c r="I27076" s="711"/>
      <c r="J27076" s="711"/>
      <c r="K27076" s="711"/>
      <c r="L27076" s="711"/>
      <c r="Q27076" s="11"/>
      <c r="R27076" s="11"/>
      <c r="S27076" s="11"/>
      <c r="T27076" s="11"/>
    </row>
    <row r="27077" spans="8:20" x14ac:dyDescent="0.35">
      <c r="H27077" s="711"/>
      <c r="I27077" s="711"/>
      <c r="J27077" s="711"/>
      <c r="K27077" s="711"/>
      <c r="L27077" s="711"/>
      <c r="Q27077" s="11"/>
      <c r="R27077" s="11"/>
      <c r="S27077" s="11"/>
      <c r="T27077" s="11"/>
    </row>
    <row r="27078" spans="8:20" x14ac:dyDescent="0.35">
      <c r="H27078" s="711"/>
      <c r="I27078" s="711"/>
      <c r="J27078" s="711"/>
      <c r="K27078" s="711"/>
      <c r="L27078" s="711"/>
      <c r="Q27078" s="11"/>
      <c r="R27078" s="11"/>
      <c r="S27078" s="11"/>
      <c r="T27078" s="11"/>
    </row>
    <row r="27079" spans="8:20" x14ac:dyDescent="0.35">
      <c r="H27079" s="711"/>
      <c r="I27079" s="711"/>
      <c r="J27079" s="711"/>
      <c r="K27079" s="711"/>
      <c r="L27079" s="711"/>
      <c r="Q27079" s="11"/>
      <c r="R27079" s="11"/>
      <c r="S27079" s="11"/>
      <c r="T27079" s="11"/>
    </row>
    <row r="27080" spans="8:20" x14ac:dyDescent="0.35">
      <c r="H27080" s="711"/>
      <c r="I27080" s="711"/>
      <c r="J27080" s="711"/>
      <c r="K27080" s="711"/>
      <c r="L27080" s="711"/>
      <c r="Q27080" s="11"/>
      <c r="R27080" s="11"/>
      <c r="S27080" s="11"/>
      <c r="T27080" s="11"/>
    </row>
    <row r="27081" spans="8:20" x14ac:dyDescent="0.35">
      <c r="H27081" s="711"/>
      <c r="I27081" s="711"/>
      <c r="J27081" s="711"/>
      <c r="K27081" s="711"/>
      <c r="L27081" s="711"/>
      <c r="Q27081" s="11"/>
      <c r="R27081" s="11"/>
      <c r="S27081" s="11"/>
      <c r="T27081" s="11"/>
    </row>
    <row r="27082" spans="8:20" x14ac:dyDescent="0.35">
      <c r="H27082" s="711"/>
      <c r="I27082" s="711"/>
      <c r="J27082" s="711"/>
      <c r="K27082" s="711"/>
      <c r="L27082" s="711"/>
      <c r="Q27082" s="11"/>
      <c r="R27082" s="11"/>
      <c r="S27082" s="11"/>
      <c r="T27082" s="11"/>
    </row>
    <row r="27083" spans="8:20" x14ac:dyDescent="0.35">
      <c r="H27083" s="711"/>
      <c r="I27083" s="711"/>
      <c r="J27083" s="711"/>
      <c r="K27083" s="711"/>
      <c r="L27083" s="711"/>
      <c r="Q27083" s="11"/>
      <c r="R27083" s="11"/>
      <c r="S27083" s="11"/>
      <c r="T27083" s="11"/>
    </row>
    <row r="27084" spans="8:20" x14ac:dyDescent="0.35">
      <c r="H27084" s="711"/>
      <c r="I27084" s="711"/>
      <c r="J27084" s="711"/>
      <c r="K27084" s="711"/>
      <c r="L27084" s="711"/>
      <c r="Q27084" s="11"/>
      <c r="R27084" s="11"/>
      <c r="S27084" s="11"/>
      <c r="T27084" s="11"/>
    </row>
    <row r="27085" spans="8:20" x14ac:dyDescent="0.35">
      <c r="H27085" s="711"/>
      <c r="I27085" s="711"/>
      <c r="J27085" s="711"/>
      <c r="K27085" s="711"/>
      <c r="L27085" s="711"/>
      <c r="Q27085" s="11"/>
      <c r="R27085" s="11"/>
      <c r="S27085" s="11"/>
      <c r="T27085" s="11"/>
    </row>
    <row r="27086" spans="8:20" x14ac:dyDescent="0.35">
      <c r="H27086" s="711"/>
      <c r="I27086" s="711"/>
      <c r="J27086" s="711"/>
      <c r="K27086" s="711"/>
      <c r="L27086" s="711"/>
      <c r="Q27086" s="11"/>
      <c r="R27086" s="11"/>
      <c r="S27086" s="11"/>
      <c r="T27086" s="11"/>
    </row>
    <row r="27087" spans="8:20" x14ac:dyDescent="0.35">
      <c r="H27087" s="711"/>
      <c r="I27087" s="711"/>
      <c r="J27087" s="711"/>
      <c r="K27087" s="711"/>
      <c r="L27087" s="711"/>
      <c r="Q27087" s="11"/>
      <c r="R27087" s="11"/>
      <c r="S27087" s="11"/>
      <c r="T27087" s="11"/>
    </row>
    <row r="27088" spans="8:20" x14ac:dyDescent="0.35">
      <c r="H27088" s="711"/>
      <c r="I27088" s="711"/>
      <c r="J27088" s="711"/>
      <c r="K27088" s="711"/>
      <c r="L27088" s="711"/>
      <c r="Q27088" s="11"/>
      <c r="R27088" s="11"/>
      <c r="S27088" s="11"/>
      <c r="T27088" s="11"/>
    </row>
    <row r="27089" spans="8:20" x14ac:dyDescent="0.35">
      <c r="H27089" s="711"/>
      <c r="I27089" s="711"/>
      <c r="J27089" s="711"/>
      <c r="K27089" s="711"/>
      <c r="L27089" s="711"/>
      <c r="Q27089" s="11"/>
      <c r="R27089" s="11"/>
      <c r="S27089" s="11"/>
      <c r="T27089" s="11"/>
    </row>
    <row r="27090" spans="8:20" x14ac:dyDescent="0.35">
      <c r="H27090" s="711"/>
      <c r="I27090" s="711"/>
      <c r="J27090" s="711"/>
      <c r="K27090" s="711"/>
      <c r="L27090" s="711"/>
      <c r="Q27090" s="11"/>
      <c r="R27090" s="11"/>
      <c r="S27090" s="11"/>
      <c r="T27090" s="11"/>
    </row>
    <row r="27091" spans="8:20" x14ac:dyDescent="0.35">
      <c r="H27091" s="711"/>
      <c r="I27091" s="711"/>
      <c r="J27091" s="711"/>
      <c r="K27091" s="711"/>
      <c r="L27091" s="711"/>
      <c r="Q27091" s="11"/>
      <c r="R27091" s="11"/>
      <c r="S27091" s="11"/>
      <c r="T27091" s="11"/>
    </row>
    <row r="27092" spans="8:20" x14ac:dyDescent="0.35">
      <c r="H27092" s="711"/>
      <c r="I27092" s="711"/>
      <c r="J27092" s="711"/>
      <c r="K27092" s="711"/>
      <c r="L27092" s="711"/>
      <c r="Q27092" s="11"/>
      <c r="R27092" s="11"/>
      <c r="S27092" s="11"/>
      <c r="T27092" s="11"/>
    </row>
    <row r="27093" spans="8:20" x14ac:dyDescent="0.35">
      <c r="H27093" s="711"/>
      <c r="I27093" s="711"/>
      <c r="J27093" s="711"/>
      <c r="K27093" s="711"/>
      <c r="L27093" s="711"/>
      <c r="Q27093" s="11"/>
      <c r="R27093" s="11"/>
      <c r="S27093" s="11"/>
      <c r="T27093" s="11"/>
    </row>
    <row r="27094" spans="8:20" x14ac:dyDescent="0.35">
      <c r="H27094" s="711"/>
      <c r="I27094" s="711"/>
      <c r="J27094" s="711"/>
      <c r="K27094" s="711"/>
      <c r="L27094" s="711"/>
      <c r="Q27094" s="11"/>
      <c r="R27094" s="11"/>
      <c r="S27094" s="11"/>
      <c r="T27094" s="11"/>
    </row>
    <row r="27095" spans="8:20" x14ac:dyDescent="0.35">
      <c r="H27095" s="711"/>
      <c r="I27095" s="711"/>
      <c r="J27095" s="711"/>
      <c r="K27095" s="711"/>
      <c r="L27095" s="711"/>
      <c r="Q27095" s="11"/>
      <c r="R27095" s="11"/>
      <c r="S27095" s="11"/>
      <c r="T27095" s="11"/>
    </row>
    <row r="27096" spans="8:20" x14ac:dyDescent="0.35">
      <c r="H27096" s="711"/>
      <c r="I27096" s="711"/>
      <c r="J27096" s="711"/>
      <c r="K27096" s="711"/>
      <c r="L27096" s="711"/>
      <c r="Q27096" s="11"/>
      <c r="R27096" s="11"/>
      <c r="S27096" s="11"/>
      <c r="T27096" s="11"/>
    </row>
    <row r="27097" spans="8:20" x14ac:dyDescent="0.35">
      <c r="H27097" s="711"/>
      <c r="I27097" s="711"/>
      <c r="J27097" s="711"/>
      <c r="K27097" s="711"/>
      <c r="L27097" s="711"/>
      <c r="Q27097" s="11"/>
      <c r="R27097" s="11"/>
      <c r="S27097" s="11"/>
      <c r="T27097" s="11"/>
    </row>
    <row r="27098" spans="8:20" x14ac:dyDescent="0.35">
      <c r="H27098" s="711"/>
      <c r="I27098" s="711"/>
      <c r="J27098" s="711"/>
      <c r="K27098" s="711"/>
      <c r="L27098" s="711"/>
      <c r="Q27098" s="11"/>
      <c r="R27098" s="11"/>
      <c r="S27098" s="11"/>
      <c r="T27098" s="11"/>
    </row>
    <row r="27099" spans="8:20" x14ac:dyDescent="0.35">
      <c r="H27099" s="711"/>
      <c r="I27099" s="711"/>
      <c r="J27099" s="711"/>
      <c r="K27099" s="711"/>
      <c r="L27099" s="711"/>
      <c r="Q27099" s="11"/>
      <c r="R27099" s="11"/>
      <c r="S27099" s="11"/>
      <c r="T27099" s="11"/>
    </row>
    <row r="27100" spans="8:20" x14ac:dyDescent="0.35">
      <c r="H27100" s="711"/>
      <c r="I27100" s="711"/>
      <c r="J27100" s="711"/>
      <c r="K27100" s="711"/>
      <c r="L27100" s="711"/>
      <c r="Q27100" s="11"/>
      <c r="R27100" s="11"/>
      <c r="S27100" s="11"/>
      <c r="T27100" s="11"/>
    </row>
    <row r="27101" spans="8:20" x14ac:dyDescent="0.35">
      <c r="H27101" s="711"/>
      <c r="I27101" s="711"/>
      <c r="J27101" s="711"/>
      <c r="K27101" s="711"/>
      <c r="L27101" s="711"/>
      <c r="Q27101" s="11"/>
      <c r="R27101" s="11"/>
      <c r="S27101" s="11"/>
      <c r="T27101" s="11"/>
    </row>
    <row r="27102" spans="8:20" x14ac:dyDescent="0.35">
      <c r="H27102" s="711"/>
      <c r="I27102" s="711"/>
      <c r="J27102" s="711"/>
      <c r="K27102" s="711"/>
      <c r="L27102" s="711"/>
      <c r="Q27102" s="11"/>
      <c r="R27102" s="11"/>
      <c r="S27102" s="11"/>
      <c r="T27102" s="11"/>
    </row>
    <row r="27103" spans="8:20" x14ac:dyDescent="0.35">
      <c r="H27103" s="711"/>
      <c r="I27103" s="711"/>
      <c r="J27103" s="711"/>
      <c r="K27103" s="711"/>
      <c r="L27103" s="711"/>
      <c r="Q27103" s="11"/>
      <c r="R27103" s="11"/>
      <c r="S27103" s="11"/>
      <c r="T27103" s="11"/>
    </row>
    <row r="27104" spans="8:20" x14ac:dyDescent="0.35">
      <c r="H27104" s="711"/>
      <c r="I27104" s="711"/>
      <c r="J27104" s="711"/>
      <c r="K27104" s="711"/>
      <c r="L27104" s="711"/>
      <c r="Q27104" s="11"/>
      <c r="R27104" s="11"/>
      <c r="S27104" s="11"/>
      <c r="T27104" s="11"/>
    </row>
    <row r="27105" spans="8:20" x14ac:dyDescent="0.35">
      <c r="H27105" s="711"/>
      <c r="I27105" s="711"/>
      <c r="J27105" s="711"/>
      <c r="K27105" s="711"/>
      <c r="L27105" s="711"/>
      <c r="Q27105" s="11"/>
      <c r="R27105" s="11"/>
      <c r="S27105" s="11"/>
      <c r="T27105" s="11"/>
    </row>
    <row r="27106" spans="8:20" x14ac:dyDescent="0.35">
      <c r="H27106" s="711"/>
      <c r="I27106" s="711"/>
      <c r="J27106" s="711"/>
      <c r="K27106" s="711"/>
      <c r="L27106" s="711"/>
      <c r="Q27106" s="11"/>
      <c r="R27106" s="11"/>
      <c r="S27106" s="11"/>
      <c r="T27106" s="11"/>
    </row>
    <row r="27107" spans="8:20" x14ac:dyDescent="0.35">
      <c r="H27107" s="711"/>
      <c r="I27107" s="711"/>
      <c r="J27107" s="711"/>
      <c r="K27107" s="711"/>
      <c r="L27107" s="711"/>
      <c r="Q27107" s="11"/>
      <c r="R27107" s="11"/>
      <c r="S27107" s="11"/>
      <c r="T27107" s="11"/>
    </row>
    <row r="27108" spans="8:20" x14ac:dyDescent="0.35">
      <c r="H27108" s="711"/>
      <c r="I27108" s="711"/>
      <c r="J27108" s="711"/>
      <c r="K27108" s="711"/>
      <c r="L27108" s="711"/>
      <c r="Q27108" s="11"/>
      <c r="R27108" s="11"/>
      <c r="S27108" s="11"/>
      <c r="T27108" s="11"/>
    </row>
    <row r="27109" spans="8:20" x14ac:dyDescent="0.35">
      <c r="H27109" s="711"/>
      <c r="I27109" s="711"/>
      <c r="J27109" s="711"/>
      <c r="K27109" s="711"/>
      <c r="L27109" s="711"/>
      <c r="Q27109" s="11"/>
      <c r="R27109" s="11"/>
      <c r="S27109" s="11"/>
      <c r="T27109" s="11"/>
    </row>
    <row r="27110" spans="8:20" x14ac:dyDescent="0.35">
      <c r="H27110" s="711"/>
      <c r="I27110" s="711"/>
      <c r="J27110" s="711"/>
      <c r="K27110" s="711"/>
      <c r="L27110" s="711"/>
      <c r="Q27110" s="11"/>
      <c r="R27110" s="11"/>
      <c r="S27110" s="11"/>
      <c r="T27110" s="11"/>
    </row>
    <row r="27111" spans="8:20" x14ac:dyDescent="0.35">
      <c r="H27111" s="711"/>
      <c r="I27111" s="711"/>
      <c r="J27111" s="711"/>
      <c r="K27111" s="711"/>
      <c r="L27111" s="711"/>
      <c r="Q27111" s="11"/>
      <c r="R27111" s="11"/>
      <c r="S27111" s="11"/>
      <c r="T27111" s="11"/>
    </row>
    <row r="27112" spans="8:20" x14ac:dyDescent="0.35">
      <c r="H27112" s="711"/>
      <c r="I27112" s="711"/>
      <c r="J27112" s="711"/>
      <c r="K27112" s="711"/>
      <c r="L27112" s="711"/>
      <c r="Q27112" s="11"/>
      <c r="R27112" s="11"/>
      <c r="S27112" s="11"/>
      <c r="T27112" s="11"/>
    </row>
    <row r="27113" spans="8:20" x14ac:dyDescent="0.35">
      <c r="H27113" s="711"/>
      <c r="I27113" s="711"/>
      <c r="J27113" s="711"/>
      <c r="K27113" s="711"/>
      <c r="L27113" s="711"/>
      <c r="Q27113" s="11"/>
      <c r="R27113" s="11"/>
      <c r="S27113" s="11"/>
      <c r="T27113" s="11"/>
    </row>
    <row r="27114" spans="8:20" x14ac:dyDescent="0.35">
      <c r="H27114" s="711"/>
      <c r="I27114" s="711"/>
      <c r="J27114" s="711"/>
      <c r="K27114" s="711"/>
      <c r="L27114" s="711"/>
      <c r="Q27114" s="11"/>
      <c r="R27114" s="11"/>
      <c r="S27114" s="11"/>
      <c r="T27114" s="11"/>
    </row>
    <row r="27115" spans="8:20" x14ac:dyDescent="0.35">
      <c r="H27115" s="711"/>
      <c r="I27115" s="711"/>
      <c r="J27115" s="711"/>
      <c r="K27115" s="711"/>
      <c r="L27115" s="711"/>
      <c r="Q27115" s="11"/>
      <c r="R27115" s="11"/>
      <c r="S27115" s="11"/>
      <c r="T27115" s="11"/>
    </row>
    <row r="27116" spans="8:20" x14ac:dyDescent="0.35">
      <c r="H27116" s="711"/>
      <c r="I27116" s="711"/>
      <c r="J27116" s="711"/>
      <c r="K27116" s="711"/>
      <c r="L27116" s="711"/>
      <c r="Q27116" s="11"/>
      <c r="R27116" s="11"/>
      <c r="S27116" s="11"/>
      <c r="T27116" s="11"/>
    </row>
    <row r="27117" spans="8:20" x14ac:dyDescent="0.35">
      <c r="H27117" s="711"/>
      <c r="I27117" s="711"/>
      <c r="J27117" s="711"/>
      <c r="K27117" s="711"/>
      <c r="L27117" s="711"/>
      <c r="Q27117" s="11"/>
      <c r="R27117" s="11"/>
      <c r="S27117" s="11"/>
      <c r="T27117" s="11"/>
    </row>
    <row r="27118" spans="8:20" x14ac:dyDescent="0.35">
      <c r="H27118" s="711"/>
      <c r="I27118" s="711"/>
      <c r="J27118" s="711"/>
      <c r="K27118" s="711"/>
      <c r="L27118" s="711"/>
      <c r="Q27118" s="11"/>
      <c r="R27118" s="11"/>
      <c r="S27118" s="11"/>
      <c r="T27118" s="11"/>
    </row>
    <row r="27119" spans="8:20" x14ac:dyDescent="0.35">
      <c r="H27119" s="711"/>
      <c r="I27119" s="711"/>
      <c r="J27119" s="711"/>
      <c r="K27119" s="711"/>
      <c r="L27119" s="711"/>
      <c r="Q27119" s="11"/>
      <c r="R27119" s="11"/>
      <c r="S27119" s="11"/>
      <c r="T27119" s="11"/>
    </row>
    <row r="27120" spans="8:20" x14ac:dyDescent="0.35">
      <c r="H27120" s="711"/>
      <c r="I27120" s="711"/>
      <c r="J27120" s="711"/>
      <c r="K27120" s="711"/>
      <c r="L27120" s="711"/>
      <c r="Q27120" s="11"/>
      <c r="R27120" s="11"/>
      <c r="S27120" s="11"/>
      <c r="T27120" s="11"/>
    </row>
    <row r="27121" spans="8:20" x14ac:dyDescent="0.35">
      <c r="H27121" s="711"/>
      <c r="I27121" s="711"/>
      <c r="J27121" s="711"/>
      <c r="K27121" s="711"/>
      <c r="L27121" s="711"/>
      <c r="Q27121" s="11"/>
      <c r="R27121" s="11"/>
      <c r="S27121" s="11"/>
      <c r="T27121" s="11"/>
    </row>
    <row r="27122" spans="8:20" x14ac:dyDescent="0.35">
      <c r="H27122" s="711"/>
      <c r="I27122" s="711"/>
      <c r="J27122" s="711"/>
      <c r="K27122" s="711"/>
      <c r="L27122" s="711"/>
      <c r="Q27122" s="11"/>
      <c r="R27122" s="11"/>
      <c r="S27122" s="11"/>
      <c r="T27122" s="11"/>
    </row>
    <row r="27123" spans="8:20" x14ac:dyDescent="0.35">
      <c r="H27123" s="711"/>
      <c r="I27123" s="711"/>
      <c r="J27123" s="711"/>
      <c r="K27123" s="711"/>
      <c r="L27123" s="711"/>
      <c r="Q27123" s="11"/>
      <c r="R27123" s="11"/>
      <c r="S27123" s="11"/>
      <c r="T27123" s="11"/>
    </row>
    <row r="27124" spans="8:20" x14ac:dyDescent="0.35">
      <c r="H27124" s="711"/>
      <c r="I27124" s="711"/>
      <c r="J27124" s="711"/>
      <c r="K27124" s="711"/>
      <c r="L27124" s="711"/>
      <c r="Q27124" s="11"/>
      <c r="R27124" s="11"/>
      <c r="S27124" s="11"/>
      <c r="T27124" s="11"/>
    </row>
    <row r="27125" spans="8:20" x14ac:dyDescent="0.35">
      <c r="H27125" s="711"/>
      <c r="I27125" s="711"/>
      <c r="J27125" s="711"/>
      <c r="K27125" s="711"/>
      <c r="L27125" s="711"/>
      <c r="Q27125" s="11"/>
      <c r="R27125" s="11"/>
      <c r="S27125" s="11"/>
      <c r="T27125" s="11"/>
    </row>
    <row r="27126" spans="8:20" x14ac:dyDescent="0.35">
      <c r="H27126" s="711"/>
      <c r="I27126" s="711"/>
      <c r="J27126" s="711"/>
      <c r="K27126" s="711"/>
      <c r="L27126" s="711"/>
      <c r="Q27126" s="11"/>
      <c r="R27126" s="11"/>
      <c r="S27126" s="11"/>
      <c r="T27126" s="11"/>
    </row>
    <row r="27127" spans="8:20" x14ac:dyDescent="0.35">
      <c r="H27127" s="711"/>
      <c r="I27127" s="711"/>
      <c r="J27127" s="711"/>
      <c r="K27127" s="711"/>
      <c r="L27127" s="711"/>
      <c r="Q27127" s="11"/>
      <c r="R27127" s="11"/>
      <c r="S27127" s="11"/>
      <c r="T27127" s="11"/>
    </row>
    <row r="27128" spans="8:20" x14ac:dyDescent="0.35">
      <c r="H27128" s="711"/>
      <c r="I27128" s="711"/>
      <c r="J27128" s="711"/>
      <c r="K27128" s="711"/>
      <c r="L27128" s="711"/>
      <c r="Q27128" s="11"/>
      <c r="R27128" s="11"/>
      <c r="S27128" s="11"/>
      <c r="T27128" s="11"/>
    </row>
    <row r="27129" spans="8:20" x14ac:dyDescent="0.35">
      <c r="H27129" s="711"/>
      <c r="I27129" s="711"/>
      <c r="J27129" s="711"/>
      <c r="K27129" s="711"/>
      <c r="L27129" s="711"/>
      <c r="Q27129" s="11"/>
      <c r="R27129" s="11"/>
      <c r="S27129" s="11"/>
      <c r="T27129" s="11"/>
    </row>
    <row r="27130" spans="8:20" x14ac:dyDescent="0.35">
      <c r="H27130" s="711"/>
      <c r="I27130" s="711"/>
      <c r="J27130" s="711"/>
      <c r="K27130" s="711"/>
      <c r="L27130" s="711"/>
      <c r="Q27130" s="11"/>
      <c r="R27130" s="11"/>
      <c r="S27130" s="11"/>
      <c r="T27130" s="11"/>
    </row>
    <row r="27131" spans="8:20" x14ac:dyDescent="0.35">
      <c r="H27131" s="711"/>
      <c r="I27131" s="711"/>
      <c r="J27131" s="711"/>
      <c r="K27131" s="711"/>
      <c r="L27131" s="711"/>
      <c r="Q27131" s="11"/>
      <c r="R27131" s="11"/>
      <c r="S27131" s="11"/>
      <c r="T27131" s="11"/>
    </row>
    <row r="27132" spans="8:20" x14ac:dyDescent="0.35">
      <c r="H27132" s="711"/>
      <c r="I27132" s="711"/>
      <c r="J27132" s="711"/>
      <c r="K27132" s="711"/>
      <c r="L27132" s="711"/>
      <c r="Q27132" s="11"/>
      <c r="R27132" s="11"/>
      <c r="S27132" s="11"/>
      <c r="T27132" s="11"/>
    </row>
    <row r="27133" spans="8:20" x14ac:dyDescent="0.35">
      <c r="H27133" s="711"/>
      <c r="I27133" s="711"/>
      <c r="J27133" s="711"/>
      <c r="K27133" s="711"/>
      <c r="L27133" s="711"/>
      <c r="Q27133" s="11"/>
      <c r="R27133" s="11"/>
      <c r="S27133" s="11"/>
      <c r="T27133" s="11"/>
    </row>
    <row r="27134" spans="8:20" x14ac:dyDescent="0.35">
      <c r="H27134" s="711"/>
      <c r="I27134" s="711"/>
      <c r="J27134" s="711"/>
      <c r="K27134" s="711"/>
      <c r="L27134" s="711"/>
      <c r="Q27134" s="11"/>
      <c r="R27134" s="11"/>
      <c r="S27134" s="11"/>
      <c r="T27134" s="11"/>
    </row>
    <row r="27135" spans="8:20" x14ac:dyDescent="0.35">
      <c r="H27135" s="711"/>
      <c r="I27135" s="711"/>
      <c r="J27135" s="711"/>
      <c r="K27135" s="711"/>
      <c r="L27135" s="711"/>
      <c r="Q27135" s="11"/>
      <c r="R27135" s="11"/>
      <c r="S27135" s="11"/>
      <c r="T27135" s="11"/>
    </row>
    <row r="27136" spans="8:20" x14ac:dyDescent="0.35">
      <c r="H27136" s="711"/>
      <c r="I27136" s="711"/>
      <c r="J27136" s="711"/>
      <c r="K27136" s="711"/>
      <c r="L27136" s="711"/>
      <c r="Q27136" s="11"/>
      <c r="R27136" s="11"/>
      <c r="S27136" s="11"/>
      <c r="T27136" s="11"/>
    </row>
    <row r="27137" spans="8:20" x14ac:dyDescent="0.35">
      <c r="H27137" s="711"/>
      <c r="I27137" s="711"/>
      <c r="J27137" s="711"/>
      <c r="K27137" s="711"/>
      <c r="L27137" s="711"/>
      <c r="Q27137" s="11"/>
      <c r="R27137" s="11"/>
      <c r="S27137" s="11"/>
      <c r="T27137" s="11"/>
    </row>
    <row r="27138" spans="8:20" x14ac:dyDescent="0.35">
      <c r="H27138" s="711"/>
      <c r="I27138" s="711"/>
      <c r="J27138" s="711"/>
      <c r="K27138" s="711"/>
      <c r="L27138" s="711"/>
      <c r="Q27138" s="11"/>
      <c r="R27138" s="11"/>
      <c r="S27138" s="11"/>
      <c r="T27138" s="11"/>
    </row>
    <row r="27139" spans="8:20" x14ac:dyDescent="0.35">
      <c r="H27139" s="711"/>
      <c r="I27139" s="711"/>
      <c r="J27139" s="711"/>
      <c r="K27139" s="711"/>
      <c r="L27139" s="711"/>
      <c r="Q27139" s="11"/>
      <c r="R27139" s="11"/>
      <c r="S27139" s="11"/>
      <c r="T27139" s="11"/>
    </row>
    <row r="27140" spans="8:20" x14ac:dyDescent="0.35">
      <c r="H27140" s="711"/>
      <c r="I27140" s="711"/>
      <c r="J27140" s="711"/>
      <c r="K27140" s="711"/>
      <c r="L27140" s="711"/>
      <c r="Q27140" s="11"/>
      <c r="R27140" s="11"/>
      <c r="S27140" s="11"/>
      <c r="T27140" s="11"/>
    </row>
    <row r="27141" spans="8:20" x14ac:dyDescent="0.35">
      <c r="H27141" s="711"/>
      <c r="I27141" s="711"/>
      <c r="J27141" s="711"/>
      <c r="K27141" s="711"/>
      <c r="L27141" s="711"/>
      <c r="Q27141" s="11"/>
      <c r="R27141" s="11"/>
      <c r="S27141" s="11"/>
      <c r="T27141" s="11"/>
    </row>
    <row r="27142" spans="8:20" x14ac:dyDescent="0.35">
      <c r="H27142" s="711"/>
      <c r="I27142" s="711"/>
      <c r="J27142" s="711"/>
      <c r="K27142" s="711"/>
      <c r="L27142" s="711"/>
      <c r="Q27142" s="11"/>
      <c r="R27142" s="11"/>
      <c r="S27142" s="11"/>
      <c r="T27142" s="11"/>
    </row>
    <row r="27143" spans="8:20" x14ac:dyDescent="0.35">
      <c r="H27143" s="711"/>
      <c r="I27143" s="711"/>
      <c r="J27143" s="711"/>
      <c r="K27143" s="711"/>
      <c r="L27143" s="711"/>
      <c r="Q27143" s="11"/>
      <c r="R27143" s="11"/>
      <c r="S27143" s="11"/>
      <c r="T27143" s="11"/>
    </row>
    <row r="27144" spans="8:20" x14ac:dyDescent="0.35">
      <c r="H27144" s="711"/>
      <c r="I27144" s="711"/>
      <c r="J27144" s="711"/>
      <c r="K27144" s="711"/>
      <c r="L27144" s="711"/>
      <c r="Q27144" s="11"/>
      <c r="R27144" s="11"/>
      <c r="S27144" s="11"/>
      <c r="T27144" s="11"/>
    </row>
    <row r="27145" spans="8:20" x14ac:dyDescent="0.35">
      <c r="H27145" s="711"/>
      <c r="I27145" s="711"/>
      <c r="J27145" s="711"/>
      <c r="K27145" s="711"/>
      <c r="L27145" s="711"/>
      <c r="Q27145" s="11"/>
      <c r="R27145" s="11"/>
      <c r="S27145" s="11"/>
      <c r="T27145" s="11"/>
    </row>
    <row r="27146" spans="8:20" x14ac:dyDescent="0.35">
      <c r="H27146" s="711"/>
      <c r="I27146" s="711"/>
      <c r="J27146" s="711"/>
      <c r="K27146" s="711"/>
      <c r="L27146" s="711"/>
      <c r="Q27146" s="11"/>
      <c r="R27146" s="11"/>
      <c r="S27146" s="11"/>
      <c r="T27146" s="11"/>
    </row>
    <row r="27147" spans="8:20" x14ac:dyDescent="0.35">
      <c r="H27147" s="711"/>
      <c r="I27147" s="711"/>
      <c r="J27147" s="711"/>
      <c r="K27147" s="711"/>
      <c r="L27147" s="711"/>
      <c r="Q27147" s="11"/>
      <c r="R27147" s="11"/>
      <c r="S27147" s="11"/>
      <c r="T27147" s="11"/>
    </row>
    <row r="27148" spans="8:20" x14ac:dyDescent="0.35">
      <c r="H27148" s="711"/>
      <c r="I27148" s="711"/>
      <c r="J27148" s="711"/>
      <c r="K27148" s="711"/>
      <c r="L27148" s="711"/>
      <c r="Q27148" s="11"/>
      <c r="R27148" s="11"/>
      <c r="S27148" s="11"/>
      <c r="T27148" s="11"/>
    </row>
    <row r="27149" spans="8:20" x14ac:dyDescent="0.35">
      <c r="H27149" s="711"/>
      <c r="I27149" s="711"/>
      <c r="J27149" s="711"/>
      <c r="K27149" s="711"/>
      <c r="L27149" s="711"/>
      <c r="Q27149" s="11"/>
      <c r="R27149" s="11"/>
      <c r="S27149" s="11"/>
      <c r="T27149" s="11"/>
    </row>
    <row r="27150" spans="8:20" x14ac:dyDescent="0.35">
      <c r="H27150" s="711"/>
      <c r="I27150" s="711"/>
      <c r="J27150" s="711"/>
      <c r="K27150" s="711"/>
      <c r="L27150" s="711"/>
      <c r="Q27150" s="11"/>
      <c r="R27150" s="11"/>
      <c r="S27150" s="11"/>
      <c r="T27150" s="11"/>
    </row>
    <row r="27151" spans="8:20" x14ac:dyDescent="0.35">
      <c r="H27151" s="711"/>
      <c r="I27151" s="711"/>
      <c r="J27151" s="711"/>
      <c r="K27151" s="711"/>
      <c r="L27151" s="711"/>
      <c r="Q27151" s="11"/>
      <c r="R27151" s="11"/>
      <c r="S27151" s="11"/>
      <c r="T27151" s="11"/>
    </row>
    <row r="27152" spans="8:20" x14ac:dyDescent="0.35">
      <c r="H27152" s="711"/>
      <c r="I27152" s="711"/>
      <c r="J27152" s="711"/>
      <c r="K27152" s="711"/>
      <c r="L27152" s="711"/>
      <c r="Q27152" s="11"/>
      <c r="R27152" s="11"/>
      <c r="S27152" s="11"/>
      <c r="T27152" s="11"/>
    </row>
    <row r="27153" spans="8:20" x14ac:dyDescent="0.35">
      <c r="H27153" s="711"/>
      <c r="I27153" s="711"/>
      <c r="J27153" s="711"/>
      <c r="K27153" s="711"/>
      <c r="L27153" s="711"/>
      <c r="Q27153" s="11"/>
      <c r="R27153" s="11"/>
      <c r="S27153" s="11"/>
      <c r="T27153" s="11"/>
    </row>
    <row r="27154" spans="8:20" x14ac:dyDescent="0.35">
      <c r="H27154" s="711"/>
      <c r="I27154" s="711"/>
      <c r="J27154" s="711"/>
      <c r="K27154" s="711"/>
      <c r="L27154" s="711"/>
      <c r="Q27154" s="11"/>
      <c r="R27154" s="11"/>
      <c r="S27154" s="11"/>
      <c r="T27154" s="11"/>
    </row>
    <row r="27155" spans="8:20" x14ac:dyDescent="0.35">
      <c r="H27155" s="711"/>
      <c r="I27155" s="711"/>
      <c r="J27155" s="711"/>
      <c r="K27155" s="711"/>
      <c r="L27155" s="711"/>
      <c r="Q27155" s="11"/>
      <c r="R27155" s="11"/>
      <c r="S27155" s="11"/>
      <c r="T27155" s="11"/>
    </row>
    <row r="27156" spans="8:20" x14ac:dyDescent="0.35">
      <c r="H27156" s="711"/>
      <c r="I27156" s="711"/>
      <c r="J27156" s="711"/>
      <c r="K27156" s="711"/>
      <c r="L27156" s="711"/>
      <c r="Q27156" s="11"/>
      <c r="R27156" s="11"/>
      <c r="S27156" s="11"/>
      <c r="T27156" s="11"/>
    </row>
    <row r="27157" spans="8:20" x14ac:dyDescent="0.35">
      <c r="H27157" s="711"/>
      <c r="I27157" s="711"/>
      <c r="J27157" s="711"/>
      <c r="K27157" s="711"/>
      <c r="L27157" s="711"/>
      <c r="Q27157" s="11"/>
      <c r="R27157" s="11"/>
      <c r="S27157" s="11"/>
      <c r="T27157" s="11"/>
    </row>
    <row r="27158" spans="8:20" x14ac:dyDescent="0.35">
      <c r="H27158" s="711"/>
      <c r="I27158" s="711"/>
      <c r="J27158" s="711"/>
      <c r="K27158" s="711"/>
      <c r="L27158" s="711"/>
      <c r="Q27158" s="11"/>
      <c r="R27158" s="11"/>
      <c r="S27158" s="11"/>
      <c r="T27158" s="11"/>
    </row>
    <row r="27159" spans="8:20" x14ac:dyDescent="0.35">
      <c r="H27159" s="711"/>
      <c r="I27159" s="711"/>
      <c r="J27159" s="711"/>
      <c r="K27159" s="711"/>
      <c r="L27159" s="711"/>
      <c r="Q27159" s="11"/>
      <c r="R27159" s="11"/>
      <c r="S27159" s="11"/>
      <c r="T27159" s="11"/>
    </row>
    <row r="27160" spans="8:20" x14ac:dyDescent="0.35">
      <c r="H27160" s="711"/>
      <c r="I27160" s="711"/>
      <c r="J27160" s="711"/>
      <c r="K27160" s="711"/>
      <c r="L27160" s="711"/>
      <c r="Q27160" s="11"/>
      <c r="R27160" s="11"/>
      <c r="S27160" s="11"/>
      <c r="T27160" s="11"/>
    </row>
    <row r="27161" spans="8:20" x14ac:dyDescent="0.35">
      <c r="H27161" s="711"/>
      <c r="I27161" s="711"/>
      <c r="J27161" s="711"/>
      <c r="K27161" s="711"/>
      <c r="L27161" s="711"/>
      <c r="Q27161" s="11"/>
      <c r="R27161" s="11"/>
      <c r="S27161" s="11"/>
      <c r="T27161" s="11"/>
    </row>
    <row r="27162" spans="8:20" x14ac:dyDescent="0.35">
      <c r="H27162" s="711"/>
      <c r="I27162" s="711"/>
      <c r="J27162" s="711"/>
      <c r="K27162" s="711"/>
      <c r="L27162" s="711"/>
      <c r="Q27162" s="11"/>
      <c r="R27162" s="11"/>
      <c r="S27162" s="11"/>
      <c r="T27162" s="11"/>
    </row>
    <row r="27163" spans="8:20" x14ac:dyDescent="0.35">
      <c r="H27163" s="711"/>
      <c r="I27163" s="711"/>
      <c r="J27163" s="711"/>
      <c r="K27163" s="711"/>
      <c r="L27163" s="711"/>
      <c r="Q27163" s="11"/>
      <c r="R27163" s="11"/>
      <c r="S27163" s="11"/>
      <c r="T27163" s="11"/>
    </row>
    <row r="27164" spans="8:20" x14ac:dyDescent="0.35">
      <c r="H27164" s="711"/>
      <c r="I27164" s="711"/>
      <c r="J27164" s="711"/>
      <c r="K27164" s="711"/>
      <c r="L27164" s="711"/>
      <c r="Q27164" s="11"/>
      <c r="R27164" s="11"/>
      <c r="S27164" s="11"/>
      <c r="T27164" s="11"/>
    </row>
    <row r="27165" spans="8:20" x14ac:dyDescent="0.35">
      <c r="H27165" s="711"/>
      <c r="I27165" s="711"/>
      <c r="J27165" s="711"/>
      <c r="K27165" s="711"/>
      <c r="L27165" s="711"/>
      <c r="Q27165" s="11"/>
      <c r="R27165" s="11"/>
      <c r="S27165" s="11"/>
      <c r="T27165" s="11"/>
    </row>
    <row r="27166" spans="8:20" x14ac:dyDescent="0.35">
      <c r="H27166" s="711"/>
      <c r="I27166" s="711"/>
      <c r="J27166" s="711"/>
      <c r="K27166" s="711"/>
      <c r="L27166" s="711"/>
      <c r="Q27166" s="11"/>
      <c r="R27166" s="11"/>
      <c r="S27166" s="11"/>
      <c r="T27166" s="11"/>
    </row>
    <row r="27167" spans="8:20" x14ac:dyDescent="0.35">
      <c r="H27167" s="711"/>
      <c r="I27167" s="711"/>
      <c r="J27167" s="711"/>
      <c r="K27167" s="711"/>
      <c r="L27167" s="711"/>
      <c r="Q27167" s="11"/>
      <c r="R27167" s="11"/>
      <c r="S27167" s="11"/>
      <c r="T27167" s="11"/>
    </row>
    <row r="27168" spans="8:20" x14ac:dyDescent="0.35">
      <c r="H27168" s="711"/>
      <c r="I27168" s="711"/>
      <c r="J27168" s="711"/>
      <c r="K27168" s="711"/>
      <c r="L27168" s="711"/>
      <c r="Q27168" s="11"/>
      <c r="R27168" s="11"/>
      <c r="S27168" s="11"/>
      <c r="T27168" s="11"/>
    </row>
    <row r="27169" spans="8:20" x14ac:dyDescent="0.35">
      <c r="H27169" s="711"/>
      <c r="I27169" s="711"/>
      <c r="J27169" s="711"/>
      <c r="K27169" s="711"/>
      <c r="L27169" s="711"/>
      <c r="Q27169" s="11"/>
      <c r="R27169" s="11"/>
      <c r="S27169" s="11"/>
      <c r="T27169" s="11"/>
    </row>
    <row r="27170" spans="8:20" x14ac:dyDescent="0.35">
      <c r="H27170" s="711"/>
      <c r="I27170" s="711"/>
      <c r="J27170" s="711"/>
      <c r="K27170" s="711"/>
      <c r="L27170" s="711"/>
      <c r="Q27170" s="11"/>
      <c r="R27170" s="11"/>
      <c r="S27170" s="11"/>
      <c r="T27170" s="11"/>
    </row>
    <row r="27171" spans="8:20" x14ac:dyDescent="0.35">
      <c r="H27171" s="711"/>
      <c r="I27171" s="711"/>
      <c r="J27171" s="711"/>
      <c r="K27171" s="711"/>
      <c r="L27171" s="711"/>
      <c r="Q27171" s="11"/>
      <c r="R27171" s="11"/>
      <c r="S27171" s="11"/>
      <c r="T27171" s="11"/>
    </row>
    <row r="27172" spans="8:20" x14ac:dyDescent="0.35">
      <c r="H27172" s="711"/>
      <c r="I27172" s="711"/>
      <c r="J27172" s="711"/>
      <c r="K27172" s="711"/>
      <c r="L27172" s="711"/>
      <c r="Q27172" s="11"/>
      <c r="R27172" s="11"/>
      <c r="S27172" s="11"/>
      <c r="T27172" s="11"/>
    </row>
    <row r="27173" spans="8:20" x14ac:dyDescent="0.35">
      <c r="H27173" s="711"/>
      <c r="I27173" s="711"/>
      <c r="J27173" s="711"/>
      <c r="K27173" s="711"/>
      <c r="L27173" s="711"/>
      <c r="Q27173" s="11"/>
      <c r="R27173" s="11"/>
      <c r="S27173" s="11"/>
      <c r="T27173" s="11"/>
    </row>
    <row r="27174" spans="8:20" x14ac:dyDescent="0.35">
      <c r="H27174" s="711"/>
      <c r="I27174" s="711"/>
      <c r="J27174" s="711"/>
      <c r="K27174" s="711"/>
      <c r="L27174" s="711"/>
      <c r="Q27174" s="11"/>
      <c r="R27174" s="11"/>
      <c r="S27174" s="11"/>
      <c r="T27174" s="11"/>
    </row>
    <row r="27175" spans="8:20" x14ac:dyDescent="0.35">
      <c r="H27175" s="711"/>
      <c r="I27175" s="711"/>
      <c r="J27175" s="711"/>
      <c r="K27175" s="711"/>
      <c r="L27175" s="711"/>
      <c r="Q27175" s="11"/>
      <c r="R27175" s="11"/>
      <c r="S27175" s="11"/>
      <c r="T27175" s="11"/>
    </row>
    <row r="27176" spans="8:20" x14ac:dyDescent="0.35">
      <c r="H27176" s="711"/>
      <c r="I27176" s="711"/>
      <c r="J27176" s="711"/>
      <c r="K27176" s="711"/>
      <c r="L27176" s="711"/>
      <c r="Q27176" s="11"/>
      <c r="R27176" s="11"/>
      <c r="S27176" s="11"/>
      <c r="T27176" s="11"/>
    </row>
    <row r="27177" spans="8:20" x14ac:dyDescent="0.35">
      <c r="H27177" s="711"/>
      <c r="I27177" s="711"/>
      <c r="J27177" s="711"/>
      <c r="K27177" s="711"/>
      <c r="L27177" s="711"/>
      <c r="Q27177" s="11"/>
      <c r="R27177" s="11"/>
      <c r="S27177" s="11"/>
      <c r="T27177" s="11"/>
    </row>
    <row r="27178" spans="8:20" x14ac:dyDescent="0.35">
      <c r="H27178" s="711"/>
      <c r="I27178" s="711"/>
      <c r="J27178" s="711"/>
      <c r="K27178" s="711"/>
      <c r="L27178" s="711"/>
      <c r="Q27178" s="11"/>
      <c r="R27178" s="11"/>
      <c r="S27178" s="11"/>
      <c r="T27178" s="11"/>
    </row>
    <row r="27179" spans="8:20" x14ac:dyDescent="0.35">
      <c r="H27179" s="711"/>
      <c r="I27179" s="711"/>
      <c r="J27179" s="711"/>
      <c r="K27179" s="711"/>
      <c r="L27179" s="711"/>
      <c r="Q27179" s="11"/>
      <c r="R27179" s="11"/>
      <c r="S27179" s="11"/>
      <c r="T27179" s="11"/>
    </row>
    <row r="27180" spans="8:20" x14ac:dyDescent="0.35">
      <c r="H27180" s="711"/>
      <c r="I27180" s="711"/>
      <c r="J27180" s="711"/>
      <c r="K27180" s="711"/>
      <c r="L27180" s="711"/>
      <c r="Q27180" s="11"/>
      <c r="R27180" s="11"/>
      <c r="S27180" s="11"/>
      <c r="T27180" s="11"/>
    </row>
    <row r="27181" spans="8:20" x14ac:dyDescent="0.35">
      <c r="H27181" s="711"/>
      <c r="I27181" s="711"/>
      <c r="J27181" s="711"/>
      <c r="K27181" s="711"/>
      <c r="L27181" s="711"/>
      <c r="Q27181" s="11"/>
      <c r="R27181" s="11"/>
      <c r="S27181" s="11"/>
      <c r="T27181" s="11"/>
    </row>
    <row r="27182" spans="8:20" x14ac:dyDescent="0.35">
      <c r="H27182" s="711"/>
      <c r="I27182" s="711"/>
      <c r="J27182" s="711"/>
      <c r="K27182" s="711"/>
      <c r="L27182" s="711"/>
      <c r="Q27182" s="11"/>
      <c r="R27182" s="11"/>
      <c r="S27182" s="11"/>
      <c r="T27182" s="11"/>
    </row>
    <row r="27183" spans="8:20" x14ac:dyDescent="0.35">
      <c r="H27183" s="711"/>
      <c r="I27183" s="711"/>
      <c r="J27183" s="711"/>
      <c r="K27183" s="711"/>
      <c r="L27183" s="711"/>
      <c r="Q27183" s="11"/>
      <c r="R27183" s="11"/>
      <c r="S27183" s="11"/>
      <c r="T27183" s="11"/>
    </row>
    <row r="27184" spans="8:20" x14ac:dyDescent="0.35">
      <c r="H27184" s="711"/>
      <c r="I27184" s="711"/>
      <c r="J27184" s="711"/>
      <c r="K27184" s="711"/>
      <c r="L27184" s="711"/>
      <c r="Q27184" s="11"/>
      <c r="R27184" s="11"/>
      <c r="S27184" s="11"/>
      <c r="T27184" s="11"/>
    </row>
    <row r="27185" spans="8:20" x14ac:dyDescent="0.35">
      <c r="H27185" s="711"/>
      <c r="I27185" s="711"/>
      <c r="J27185" s="711"/>
      <c r="K27185" s="711"/>
      <c r="L27185" s="711"/>
      <c r="Q27185" s="11"/>
      <c r="R27185" s="11"/>
      <c r="S27185" s="11"/>
      <c r="T27185" s="11"/>
    </row>
    <row r="27186" spans="8:20" x14ac:dyDescent="0.35">
      <c r="H27186" s="711"/>
      <c r="I27186" s="711"/>
      <c r="J27186" s="711"/>
      <c r="K27186" s="711"/>
      <c r="L27186" s="711"/>
      <c r="Q27186" s="11"/>
      <c r="R27186" s="11"/>
      <c r="S27186" s="11"/>
      <c r="T27186" s="11"/>
    </row>
    <row r="27187" spans="8:20" x14ac:dyDescent="0.35">
      <c r="H27187" s="711"/>
      <c r="I27187" s="711"/>
      <c r="J27187" s="711"/>
      <c r="K27187" s="711"/>
      <c r="L27187" s="711"/>
      <c r="Q27187" s="11"/>
      <c r="R27187" s="11"/>
      <c r="S27187" s="11"/>
      <c r="T27187" s="11"/>
    </row>
    <row r="27188" spans="8:20" x14ac:dyDescent="0.35">
      <c r="H27188" s="711"/>
      <c r="I27188" s="711"/>
      <c r="J27188" s="711"/>
      <c r="K27188" s="711"/>
      <c r="L27188" s="711"/>
      <c r="Q27188" s="11"/>
      <c r="R27188" s="11"/>
      <c r="S27188" s="11"/>
      <c r="T27188" s="11"/>
    </row>
    <row r="27189" spans="8:20" x14ac:dyDescent="0.35">
      <c r="H27189" s="711"/>
      <c r="I27189" s="711"/>
      <c r="J27189" s="711"/>
      <c r="K27189" s="711"/>
      <c r="L27189" s="711"/>
      <c r="Q27189" s="11"/>
      <c r="R27189" s="11"/>
      <c r="S27189" s="11"/>
      <c r="T27189" s="11"/>
    </row>
    <row r="27190" spans="8:20" x14ac:dyDescent="0.35">
      <c r="H27190" s="711"/>
      <c r="I27190" s="711"/>
      <c r="J27190" s="711"/>
      <c r="K27190" s="711"/>
      <c r="L27190" s="711"/>
      <c r="Q27190" s="11"/>
      <c r="R27190" s="11"/>
      <c r="S27190" s="11"/>
      <c r="T27190" s="11"/>
    </row>
    <row r="27191" spans="8:20" x14ac:dyDescent="0.35">
      <c r="H27191" s="711"/>
      <c r="I27191" s="711"/>
      <c r="J27191" s="711"/>
      <c r="K27191" s="711"/>
      <c r="L27191" s="711"/>
      <c r="Q27191" s="11"/>
      <c r="R27191" s="11"/>
      <c r="S27191" s="11"/>
      <c r="T27191" s="11"/>
    </row>
    <row r="27192" spans="8:20" x14ac:dyDescent="0.35">
      <c r="H27192" s="711"/>
      <c r="I27192" s="711"/>
      <c r="J27192" s="711"/>
      <c r="K27192" s="711"/>
      <c r="L27192" s="711"/>
      <c r="Q27192" s="11"/>
      <c r="R27192" s="11"/>
      <c r="S27192" s="11"/>
      <c r="T27192" s="11"/>
    </row>
    <row r="27193" spans="8:20" x14ac:dyDescent="0.35">
      <c r="H27193" s="711"/>
      <c r="I27193" s="711"/>
      <c r="J27193" s="711"/>
      <c r="K27193" s="711"/>
      <c r="L27193" s="711"/>
      <c r="Q27193" s="11"/>
      <c r="R27193" s="11"/>
      <c r="S27193" s="11"/>
      <c r="T27193" s="11"/>
    </row>
    <row r="27194" spans="8:20" x14ac:dyDescent="0.35">
      <c r="H27194" s="711"/>
      <c r="I27194" s="711"/>
      <c r="J27194" s="711"/>
      <c r="K27194" s="711"/>
      <c r="L27194" s="711"/>
      <c r="Q27194" s="11"/>
      <c r="R27194" s="11"/>
      <c r="S27194" s="11"/>
      <c r="T27194" s="11"/>
    </row>
    <row r="27195" spans="8:20" x14ac:dyDescent="0.35">
      <c r="H27195" s="711"/>
      <c r="I27195" s="711"/>
      <c r="J27195" s="711"/>
      <c r="K27195" s="711"/>
      <c r="L27195" s="711"/>
      <c r="Q27195" s="11"/>
      <c r="R27195" s="11"/>
      <c r="S27195" s="11"/>
      <c r="T27195" s="11"/>
    </row>
    <row r="27196" spans="8:20" x14ac:dyDescent="0.35">
      <c r="H27196" s="711"/>
      <c r="I27196" s="711"/>
      <c r="J27196" s="711"/>
      <c r="K27196" s="711"/>
      <c r="L27196" s="711"/>
      <c r="Q27196" s="11"/>
      <c r="R27196" s="11"/>
      <c r="S27196" s="11"/>
      <c r="T27196" s="11"/>
    </row>
    <row r="27197" spans="8:20" x14ac:dyDescent="0.35">
      <c r="H27197" s="711"/>
      <c r="I27197" s="711"/>
      <c r="J27197" s="711"/>
      <c r="K27197" s="711"/>
      <c r="L27197" s="711"/>
      <c r="Q27197" s="11"/>
      <c r="R27197" s="11"/>
      <c r="S27197" s="11"/>
      <c r="T27197" s="11"/>
    </row>
    <row r="27198" spans="8:20" x14ac:dyDescent="0.35">
      <c r="H27198" s="711"/>
      <c r="I27198" s="711"/>
      <c r="J27198" s="711"/>
      <c r="K27198" s="711"/>
      <c r="L27198" s="711"/>
      <c r="Q27198" s="11"/>
      <c r="R27198" s="11"/>
      <c r="S27198" s="11"/>
      <c r="T27198" s="11"/>
    </row>
    <row r="27199" spans="8:20" x14ac:dyDescent="0.35">
      <c r="H27199" s="711"/>
      <c r="I27199" s="711"/>
      <c r="J27199" s="711"/>
      <c r="K27199" s="711"/>
      <c r="L27199" s="711"/>
      <c r="Q27199" s="11"/>
      <c r="R27199" s="11"/>
      <c r="S27199" s="11"/>
      <c r="T27199" s="11"/>
    </row>
    <row r="27200" spans="8:20" x14ac:dyDescent="0.35">
      <c r="H27200" s="711"/>
      <c r="I27200" s="711"/>
      <c r="J27200" s="711"/>
      <c r="K27200" s="711"/>
      <c r="L27200" s="711"/>
      <c r="Q27200" s="11"/>
      <c r="R27200" s="11"/>
      <c r="S27200" s="11"/>
      <c r="T27200" s="11"/>
    </row>
    <row r="27201" spans="8:20" x14ac:dyDescent="0.35">
      <c r="H27201" s="711"/>
      <c r="I27201" s="711"/>
      <c r="J27201" s="711"/>
      <c r="K27201" s="711"/>
      <c r="L27201" s="711"/>
      <c r="Q27201" s="11"/>
      <c r="R27201" s="11"/>
      <c r="S27201" s="11"/>
      <c r="T27201" s="11"/>
    </row>
    <row r="27202" spans="8:20" x14ac:dyDescent="0.35">
      <c r="H27202" s="711"/>
      <c r="I27202" s="711"/>
      <c r="J27202" s="711"/>
      <c r="K27202" s="711"/>
      <c r="L27202" s="711"/>
      <c r="Q27202" s="11"/>
      <c r="R27202" s="11"/>
      <c r="S27202" s="11"/>
      <c r="T27202" s="11"/>
    </row>
    <row r="27203" spans="8:20" x14ac:dyDescent="0.35">
      <c r="H27203" s="711"/>
      <c r="I27203" s="711"/>
      <c r="J27203" s="711"/>
      <c r="K27203" s="711"/>
      <c r="L27203" s="711"/>
      <c r="Q27203" s="11"/>
      <c r="R27203" s="11"/>
      <c r="S27203" s="11"/>
      <c r="T27203" s="11"/>
    </row>
    <row r="27204" spans="8:20" x14ac:dyDescent="0.35">
      <c r="H27204" s="711"/>
      <c r="I27204" s="711"/>
      <c r="J27204" s="711"/>
      <c r="K27204" s="711"/>
      <c r="L27204" s="711"/>
      <c r="Q27204" s="11"/>
      <c r="R27204" s="11"/>
      <c r="S27204" s="11"/>
      <c r="T27204" s="11"/>
    </row>
    <row r="27205" spans="8:20" x14ac:dyDescent="0.35">
      <c r="H27205" s="711"/>
      <c r="I27205" s="711"/>
      <c r="J27205" s="711"/>
      <c r="K27205" s="711"/>
      <c r="L27205" s="711"/>
      <c r="Q27205" s="11"/>
      <c r="R27205" s="11"/>
      <c r="S27205" s="11"/>
      <c r="T27205" s="11"/>
    </row>
    <row r="27206" spans="8:20" x14ac:dyDescent="0.35">
      <c r="H27206" s="711"/>
      <c r="I27206" s="711"/>
      <c r="J27206" s="711"/>
      <c r="K27206" s="711"/>
      <c r="L27206" s="711"/>
      <c r="Q27206" s="11"/>
      <c r="R27206" s="11"/>
      <c r="S27206" s="11"/>
      <c r="T27206" s="11"/>
    </row>
    <row r="27207" spans="8:20" x14ac:dyDescent="0.35">
      <c r="H27207" s="711"/>
      <c r="I27207" s="711"/>
      <c r="J27207" s="711"/>
      <c r="K27207" s="711"/>
      <c r="L27207" s="711"/>
      <c r="Q27207" s="11"/>
      <c r="R27207" s="11"/>
      <c r="S27207" s="11"/>
      <c r="T27207" s="11"/>
    </row>
    <row r="27208" spans="8:20" x14ac:dyDescent="0.35">
      <c r="H27208" s="711"/>
      <c r="I27208" s="711"/>
      <c r="J27208" s="711"/>
      <c r="K27208" s="711"/>
      <c r="L27208" s="711"/>
      <c r="Q27208" s="11"/>
      <c r="R27208" s="11"/>
      <c r="S27208" s="11"/>
      <c r="T27208" s="11"/>
    </row>
    <row r="27209" spans="8:20" x14ac:dyDescent="0.35">
      <c r="H27209" s="711"/>
      <c r="I27209" s="711"/>
      <c r="J27209" s="711"/>
      <c r="K27209" s="711"/>
      <c r="L27209" s="711"/>
      <c r="Q27209" s="11"/>
      <c r="R27209" s="11"/>
      <c r="S27209" s="11"/>
      <c r="T27209" s="11"/>
    </row>
    <row r="27210" spans="8:20" x14ac:dyDescent="0.35">
      <c r="H27210" s="711"/>
      <c r="I27210" s="711"/>
      <c r="J27210" s="711"/>
      <c r="K27210" s="711"/>
      <c r="L27210" s="711"/>
      <c r="Q27210" s="11"/>
      <c r="R27210" s="11"/>
      <c r="S27210" s="11"/>
      <c r="T27210" s="11"/>
    </row>
    <row r="27211" spans="8:20" x14ac:dyDescent="0.35">
      <c r="H27211" s="711"/>
      <c r="I27211" s="711"/>
      <c r="J27211" s="711"/>
      <c r="K27211" s="711"/>
      <c r="L27211" s="711"/>
      <c r="Q27211" s="11"/>
      <c r="R27211" s="11"/>
      <c r="S27211" s="11"/>
      <c r="T27211" s="11"/>
    </row>
    <row r="27212" spans="8:20" x14ac:dyDescent="0.35">
      <c r="H27212" s="711"/>
      <c r="I27212" s="711"/>
      <c r="J27212" s="711"/>
      <c r="K27212" s="711"/>
      <c r="L27212" s="711"/>
      <c r="Q27212" s="11"/>
      <c r="R27212" s="11"/>
      <c r="S27212" s="11"/>
      <c r="T27212" s="11"/>
    </row>
    <row r="27213" spans="8:20" x14ac:dyDescent="0.35">
      <c r="H27213" s="711"/>
      <c r="I27213" s="711"/>
      <c r="J27213" s="711"/>
      <c r="K27213" s="711"/>
      <c r="L27213" s="711"/>
      <c r="Q27213" s="11"/>
      <c r="R27213" s="11"/>
      <c r="S27213" s="11"/>
      <c r="T27213" s="11"/>
    </row>
    <row r="27214" spans="8:20" x14ac:dyDescent="0.35">
      <c r="H27214" s="711"/>
      <c r="I27214" s="711"/>
      <c r="J27214" s="711"/>
      <c r="K27214" s="711"/>
      <c r="L27214" s="711"/>
      <c r="Q27214" s="11"/>
      <c r="R27214" s="11"/>
      <c r="S27214" s="11"/>
      <c r="T27214" s="11"/>
    </row>
    <row r="27215" spans="8:20" x14ac:dyDescent="0.35">
      <c r="H27215" s="711"/>
      <c r="I27215" s="711"/>
      <c r="J27215" s="711"/>
      <c r="K27215" s="711"/>
      <c r="L27215" s="711"/>
      <c r="Q27215" s="11"/>
      <c r="R27215" s="11"/>
      <c r="S27215" s="11"/>
      <c r="T27215" s="11"/>
    </row>
    <row r="27216" spans="8:20" x14ac:dyDescent="0.35">
      <c r="H27216" s="711"/>
      <c r="I27216" s="711"/>
      <c r="J27216" s="711"/>
      <c r="K27216" s="711"/>
      <c r="L27216" s="711"/>
      <c r="Q27216" s="11"/>
      <c r="R27216" s="11"/>
      <c r="S27216" s="11"/>
      <c r="T27216" s="11"/>
    </row>
    <row r="27217" spans="8:20" x14ac:dyDescent="0.35">
      <c r="H27217" s="711"/>
      <c r="I27217" s="711"/>
      <c r="J27217" s="711"/>
      <c r="K27217" s="711"/>
      <c r="L27217" s="711"/>
      <c r="Q27217" s="11"/>
      <c r="R27217" s="11"/>
      <c r="S27217" s="11"/>
      <c r="T27217" s="11"/>
    </row>
    <row r="27218" spans="8:20" x14ac:dyDescent="0.35">
      <c r="H27218" s="711"/>
      <c r="I27218" s="711"/>
      <c r="J27218" s="711"/>
      <c r="K27218" s="711"/>
      <c r="L27218" s="711"/>
      <c r="Q27218" s="11"/>
      <c r="R27218" s="11"/>
      <c r="S27218" s="11"/>
      <c r="T27218" s="11"/>
    </row>
    <row r="27219" spans="8:20" x14ac:dyDescent="0.35">
      <c r="H27219" s="711"/>
      <c r="I27219" s="711"/>
      <c r="J27219" s="711"/>
      <c r="K27219" s="711"/>
      <c r="L27219" s="711"/>
      <c r="Q27219" s="11"/>
      <c r="R27219" s="11"/>
      <c r="S27219" s="11"/>
      <c r="T27219" s="11"/>
    </row>
    <row r="27220" spans="8:20" x14ac:dyDescent="0.35">
      <c r="H27220" s="711"/>
      <c r="I27220" s="711"/>
      <c r="J27220" s="711"/>
      <c r="K27220" s="711"/>
      <c r="L27220" s="711"/>
      <c r="Q27220" s="11"/>
      <c r="R27220" s="11"/>
      <c r="S27220" s="11"/>
      <c r="T27220" s="11"/>
    </row>
    <row r="27221" spans="8:20" x14ac:dyDescent="0.35">
      <c r="H27221" s="711"/>
      <c r="I27221" s="711"/>
      <c r="J27221" s="711"/>
      <c r="K27221" s="711"/>
      <c r="L27221" s="711"/>
      <c r="Q27221" s="11"/>
      <c r="R27221" s="11"/>
      <c r="S27221" s="11"/>
      <c r="T27221" s="11"/>
    </row>
    <row r="27222" spans="8:20" x14ac:dyDescent="0.35">
      <c r="H27222" s="711"/>
      <c r="I27222" s="711"/>
      <c r="J27222" s="711"/>
      <c r="K27222" s="711"/>
      <c r="L27222" s="711"/>
      <c r="Q27222" s="11"/>
      <c r="R27222" s="11"/>
      <c r="S27222" s="11"/>
      <c r="T27222" s="11"/>
    </row>
    <row r="27223" spans="8:20" x14ac:dyDescent="0.35">
      <c r="H27223" s="711"/>
      <c r="I27223" s="711"/>
      <c r="J27223" s="711"/>
      <c r="K27223" s="711"/>
      <c r="L27223" s="711"/>
      <c r="Q27223" s="11"/>
      <c r="R27223" s="11"/>
      <c r="S27223" s="11"/>
      <c r="T27223" s="11"/>
    </row>
    <row r="27224" spans="8:20" x14ac:dyDescent="0.35">
      <c r="H27224" s="711"/>
      <c r="I27224" s="711"/>
      <c r="J27224" s="711"/>
      <c r="K27224" s="711"/>
      <c r="L27224" s="711"/>
      <c r="Q27224" s="11"/>
      <c r="R27224" s="11"/>
      <c r="S27224" s="11"/>
      <c r="T27224" s="11"/>
    </row>
    <row r="27225" spans="8:20" x14ac:dyDescent="0.35">
      <c r="H27225" s="711"/>
      <c r="I27225" s="711"/>
      <c r="J27225" s="711"/>
      <c r="K27225" s="711"/>
      <c r="L27225" s="711"/>
      <c r="Q27225" s="11"/>
      <c r="R27225" s="11"/>
      <c r="S27225" s="11"/>
      <c r="T27225" s="11"/>
    </row>
    <row r="27226" spans="8:20" x14ac:dyDescent="0.35">
      <c r="H27226" s="711"/>
      <c r="I27226" s="711"/>
      <c r="J27226" s="711"/>
      <c r="K27226" s="711"/>
      <c r="L27226" s="711"/>
      <c r="Q27226" s="11"/>
      <c r="R27226" s="11"/>
      <c r="S27226" s="11"/>
      <c r="T27226" s="11"/>
    </row>
    <row r="27227" spans="8:20" x14ac:dyDescent="0.35">
      <c r="H27227" s="711"/>
      <c r="I27227" s="711"/>
      <c r="J27227" s="711"/>
      <c r="K27227" s="711"/>
      <c r="L27227" s="711"/>
      <c r="Q27227" s="11"/>
      <c r="R27227" s="11"/>
      <c r="S27227" s="11"/>
      <c r="T27227" s="11"/>
    </row>
    <row r="27228" spans="8:20" x14ac:dyDescent="0.35">
      <c r="H27228" s="711"/>
      <c r="I27228" s="711"/>
      <c r="J27228" s="711"/>
      <c r="K27228" s="711"/>
      <c r="L27228" s="711"/>
      <c r="Q27228" s="11"/>
      <c r="R27228" s="11"/>
      <c r="S27228" s="11"/>
      <c r="T27228" s="11"/>
    </row>
    <row r="27229" spans="8:20" x14ac:dyDescent="0.35">
      <c r="H27229" s="711"/>
      <c r="I27229" s="711"/>
      <c r="J27229" s="711"/>
      <c r="K27229" s="711"/>
      <c r="L27229" s="711"/>
      <c r="Q27229" s="11"/>
      <c r="R27229" s="11"/>
      <c r="S27229" s="11"/>
      <c r="T27229" s="11"/>
    </row>
    <row r="27230" spans="8:20" x14ac:dyDescent="0.35">
      <c r="H27230" s="711"/>
      <c r="I27230" s="711"/>
      <c r="J27230" s="711"/>
      <c r="K27230" s="711"/>
      <c r="L27230" s="711"/>
      <c r="Q27230" s="11"/>
      <c r="R27230" s="11"/>
      <c r="S27230" s="11"/>
      <c r="T27230" s="11"/>
    </row>
    <row r="27231" spans="8:20" x14ac:dyDescent="0.35">
      <c r="H27231" s="711"/>
      <c r="I27231" s="711"/>
      <c r="J27231" s="711"/>
      <c r="K27231" s="711"/>
      <c r="L27231" s="711"/>
      <c r="Q27231" s="11"/>
      <c r="R27231" s="11"/>
      <c r="S27231" s="11"/>
      <c r="T27231" s="11"/>
    </row>
    <row r="27232" spans="8:20" x14ac:dyDescent="0.35">
      <c r="H27232" s="711"/>
      <c r="I27232" s="711"/>
      <c r="J27232" s="711"/>
      <c r="K27232" s="711"/>
      <c r="L27232" s="711"/>
      <c r="Q27232" s="11"/>
      <c r="R27232" s="11"/>
      <c r="S27232" s="11"/>
      <c r="T27232" s="11"/>
    </row>
    <row r="27233" spans="8:20" x14ac:dyDescent="0.35">
      <c r="H27233" s="711"/>
      <c r="I27233" s="711"/>
      <c r="J27233" s="711"/>
      <c r="K27233" s="711"/>
      <c r="L27233" s="711"/>
      <c r="Q27233" s="11"/>
      <c r="R27233" s="11"/>
      <c r="S27233" s="11"/>
      <c r="T27233" s="11"/>
    </row>
    <row r="27234" spans="8:20" x14ac:dyDescent="0.35">
      <c r="H27234" s="711"/>
      <c r="I27234" s="711"/>
      <c r="J27234" s="711"/>
      <c r="K27234" s="711"/>
      <c r="L27234" s="711"/>
      <c r="Q27234" s="11"/>
      <c r="R27234" s="11"/>
      <c r="S27234" s="11"/>
      <c r="T27234" s="11"/>
    </row>
    <row r="27235" spans="8:20" x14ac:dyDescent="0.35">
      <c r="H27235" s="711"/>
      <c r="I27235" s="711"/>
      <c r="J27235" s="711"/>
      <c r="K27235" s="711"/>
      <c r="L27235" s="711"/>
      <c r="Q27235" s="11"/>
      <c r="R27235" s="11"/>
      <c r="S27235" s="11"/>
      <c r="T27235" s="11"/>
    </row>
    <row r="27236" spans="8:20" x14ac:dyDescent="0.35">
      <c r="H27236" s="711"/>
      <c r="I27236" s="711"/>
      <c r="J27236" s="711"/>
      <c r="K27236" s="711"/>
      <c r="L27236" s="711"/>
      <c r="Q27236" s="11"/>
      <c r="R27236" s="11"/>
      <c r="S27236" s="11"/>
      <c r="T27236" s="11"/>
    </row>
    <row r="27237" spans="8:20" x14ac:dyDescent="0.35">
      <c r="H27237" s="711"/>
      <c r="I27237" s="711"/>
      <c r="J27237" s="711"/>
      <c r="K27237" s="711"/>
      <c r="L27237" s="711"/>
      <c r="Q27237" s="11"/>
      <c r="R27237" s="11"/>
      <c r="S27237" s="11"/>
      <c r="T27237" s="11"/>
    </row>
    <row r="27238" spans="8:20" x14ac:dyDescent="0.35">
      <c r="H27238" s="711"/>
      <c r="I27238" s="711"/>
      <c r="J27238" s="711"/>
      <c r="K27238" s="711"/>
      <c r="L27238" s="711"/>
      <c r="Q27238" s="11"/>
      <c r="R27238" s="11"/>
      <c r="S27238" s="11"/>
      <c r="T27238" s="11"/>
    </row>
    <row r="27239" spans="8:20" x14ac:dyDescent="0.35">
      <c r="H27239" s="711"/>
      <c r="I27239" s="711"/>
      <c r="J27239" s="711"/>
      <c r="K27239" s="711"/>
      <c r="L27239" s="711"/>
      <c r="Q27239" s="11"/>
      <c r="R27239" s="11"/>
      <c r="S27239" s="11"/>
      <c r="T27239" s="11"/>
    </row>
    <row r="27240" spans="8:20" x14ac:dyDescent="0.35">
      <c r="H27240" s="711"/>
      <c r="I27240" s="711"/>
      <c r="J27240" s="711"/>
      <c r="K27240" s="711"/>
      <c r="L27240" s="711"/>
      <c r="Q27240" s="11"/>
      <c r="R27240" s="11"/>
      <c r="S27240" s="11"/>
      <c r="T27240" s="11"/>
    </row>
    <row r="27241" spans="8:20" x14ac:dyDescent="0.35">
      <c r="H27241" s="711"/>
      <c r="I27241" s="711"/>
      <c r="J27241" s="711"/>
      <c r="K27241" s="711"/>
      <c r="L27241" s="711"/>
      <c r="Q27241" s="11"/>
      <c r="R27241" s="11"/>
      <c r="S27241" s="11"/>
      <c r="T27241" s="11"/>
    </row>
    <row r="27242" spans="8:20" x14ac:dyDescent="0.35">
      <c r="H27242" s="711"/>
      <c r="I27242" s="711"/>
      <c r="J27242" s="711"/>
      <c r="K27242" s="711"/>
      <c r="L27242" s="711"/>
      <c r="Q27242" s="11"/>
      <c r="R27242" s="11"/>
      <c r="S27242" s="11"/>
      <c r="T27242" s="11"/>
    </row>
    <row r="27243" spans="8:20" x14ac:dyDescent="0.35">
      <c r="H27243" s="711"/>
      <c r="I27243" s="711"/>
      <c r="J27243" s="711"/>
      <c r="K27243" s="711"/>
      <c r="L27243" s="711"/>
      <c r="Q27243" s="11"/>
      <c r="R27243" s="11"/>
      <c r="S27243" s="11"/>
      <c r="T27243" s="11"/>
    </row>
    <row r="27244" spans="8:20" x14ac:dyDescent="0.35">
      <c r="H27244" s="711"/>
      <c r="I27244" s="711"/>
      <c r="J27244" s="711"/>
      <c r="K27244" s="711"/>
      <c r="L27244" s="711"/>
      <c r="Q27244" s="11"/>
      <c r="R27244" s="11"/>
      <c r="S27244" s="11"/>
      <c r="T27244" s="11"/>
    </row>
    <row r="27245" spans="8:20" x14ac:dyDescent="0.35">
      <c r="H27245" s="711"/>
      <c r="I27245" s="711"/>
      <c r="J27245" s="711"/>
      <c r="K27245" s="711"/>
      <c r="L27245" s="711"/>
      <c r="Q27245" s="11"/>
      <c r="R27245" s="11"/>
      <c r="S27245" s="11"/>
      <c r="T27245" s="11"/>
    </row>
    <row r="27246" spans="8:20" x14ac:dyDescent="0.35">
      <c r="H27246" s="711"/>
      <c r="I27246" s="711"/>
      <c r="J27246" s="711"/>
      <c r="K27246" s="711"/>
      <c r="L27246" s="711"/>
      <c r="Q27246" s="11"/>
      <c r="R27246" s="11"/>
      <c r="S27246" s="11"/>
      <c r="T27246" s="11"/>
    </row>
    <row r="27247" spans="8:20" x14ac:dyDescent="0.35">
      <c r="H27247" s="711"/>
      <c r="I27247" s="711"/>
      <c r="J27247" s="711"/>
      <c r="K27247" s="711"/>
      <c r="L27247" s="711"/>
      <c r="Q27247" s="11"/>
      <c r="R27247" s="11"/>
      <c r="S27247" s="11"/>
      <c r="T27247" s="11"/>
    </row>
    <row r="27248" spans="8:20" x14ac:dyDescent="0.35">
      <c r="H27248" s="711"/>
      <c r="I27248" s="711"/>
      <c r="J27248" s="711"/>
      <c r="K27248" s="711"/>
      <c r="L27248" s="711"/>
      <c r="Q27248" s="11"/>
      <c r="R27248" s="11"/>
      <c r="S27248" s="11"/>
      <c r="T27248" s="11"/>
    </row>
    <row r="27249" spans="8:20" x14ac:dyDescent="0.35">
      <c r="H27249" s="711"/>
      <c r="I27249" s="711"/>
      <c r="J27249" s="711"/>
      <c r="K27249" s="711"/>
      <c r="L27249" s="711"/>
      <c r="Q27249" s="11"/>
      <c r="R27249" s="11"/>
      <c r="S27249" s="11"/>
      <c r="T27249" s="11"/>
    </row>
    <row r="27250" spans="8:20" x14ac:dyDescent="0.35">
      <c r="H27250" s="711"/>
      <c r="I27250" s="711"/>
      <c r="J27250" s="711"/>
      <c r="K27250" s="711"/>
      <c r="L27250" s="711"/>
      <c r="Q27250" s="11"/>
      <c r="R27250" s="11"/>
      <c r="S27250" s="11"/>
      <c r="T27250" s="11"/>
    </row>
    <row r="27251" spans="8:20" x14ac:dyDescent="0.35">
      <c r="H27251" s="711"/>
      <c r="I27251" s="711"/>
      <c r="J27251" s="711"/>
      <c r="K27251" s="711"/>
      <c r="L27251" s="711"/>
      <c r="Q27251" s="11"/>
      <c r="R27251" s="11"/>
      <c r="S27251" s="11"/>
      <c r="T27251" s="11"/>
    </row>
    <row r="27252" spans="8:20" x14ac:dyDescent="0.35">
      <c r="H27252" s="711"/>
      <c r="I27252" s="711"/>
      <c r="J27252" s="711"/>
      <c r="K27252" s="711"/>
      <c r="L27252" s="711"/>
      <c r="Q27252" s="11"/>
      <c r="R27252" s="11"/>
      <c r="S27252" s="11"/>
      <c r="T27252" s="11"/>
    </row>
    <row r="27253" spans="8:20" x14ac:dyDescent="0.35">
      <c r="H27253" s="711"/>
      <c r="I27253" s="711"/>
      <c r="J27253" s="711"/>
      <c r="K27253" s="711"/>
      <c r="L27253" s="711"/>
      <c r="Q27253" s="11"/>
      <c r="R27253" s="11"/>
      <c r="S27253" s="11"/>
      <c r="T27253" s="11"/>
    </row>
    <row r="27254" spans="8:20" x14ac:dyDescent="0.35">
      <c r="H27254" s="711"/>
      <c r="I27254" s="711"/>
      <c r="J27254" s="711"/>
      <c r="K27254" s="711"/>
      <c r="L27254" s="711"/>
      <c r="Q27254" s="11"/>
      <c r="R27254" s="11"/>
      <c r="S27254" s="11"/>
      <c r="T27254" s="11"/>
    </row>
    <row r="27255" spans="8:20" x14ac:dyDescent="0.35">
      <c r="H27255" s="711"/>
      <c r="I27255" s="711"/>
      <c r="J27255" s="711"/>
      <c r="K27255" s="711"/>
      <c r="L27255" s="711"/>
      <c r="Q27255" s="11"/>
      <c r="R27255" s="11"/>
      <c r="S27255" s="11"/>
      <c r="T27255" s="11"/>
    </row>
    <row r="27256" spans="8:20" x14ac:dyDescent="0.35">
      <c r="H27256" s="711"/>
      <c r="I27256" s="711"/>
      <c r="J27256" s="711"/>
      <c r="K27256" s="711"/>
      <c r="L27256" s="711"/>
      <c r="Q27256" s="11"/>
      <c r="R27256" s="11"/>
      <c r="S27256" s="11"/>
      <c r="T27256" s="11"/>
    </row>
    <row r="27257" spans="8:20" x14ac:dyDescent="0.35">
      <c r="H27257" s="711"/>
      <c r="I27257" s="711"/>
      <c r="J27257" s="711"/>
      <c r="K27257" s="711"/>
      <c r="L27257" s="711"/>
      <c r="Q27257" s="11"/>
      <c r="R27257" s="11"/>
      <c r="S27257" s="11"/>
      <c r="T27257" s="11"/>
    </row>
    <row r="27258" spans="8:20" x14ac:dyDescent="0.35">
      <c r="H27258" s="711"/>
      <c r="I27258" s="711"/>
      <c r="J27258" s="711"/>
      <c r="K27258" s="711"/>
      <c r="L27258" s="711"/>
      <c r="Q27258" s="11"/>
      <c r="R27258" s="11"/>
      <c r="S27258" s="11"/>
      <c r="T27258" s="11"/>
    </row>
    <row r="27259" spans="8:20" x14ac:dyDescent="0.35">
      <c r="H27259" s="711"/>
      <c r="I27259" s="711"/>
      <c r="J27259" s="711"/>
      <c r="K27259" s="711"/>
      <c r="L27259" s="711"/>
      <c r="Q27259" s="11"/>
      <c r="R27259" s="11"/>
      <c r="S27259" s="11"/>
      <c r="T27259" s="11"/>
    </row>
    <row r="27260" spans="8:20" x14ac:dyDescent="0.35">
      <c r="H27260" s="711"/>
      <c r="I27260" s="711"/>
      <c r="J27260" s="711"/>
      <c r="K27260" s="711"/>
      <c r="L27260" s="711"/>
      <c r="Q27260" s="11"/>
      <c r="R27260" s="11"/>
      <c r="S27260" s="11"/>
      <c r="T27260" s="11"/>
    </row>
    <row r="27261" spans="8:20" x14ac:dyDescent="0.35">
      <c r="H27261" s="711"/>
      <c r="I27261" s="711"/>
      <c r="J27261" s="711"/>
      <c r="K27261" s="711"/>
      <c r="L27261" s="711"/>
      <c r="Q27261" s="11"/>
      <c r="R27261" s="11"/>
      <c r="S27261" s="11"/>
      <c r="T27261" s="11"/>
    </row>
    <row r="27262" spans="8:20" x14ac:dyDescent="0.35">
      <c r="H27262" s="711"/>
      <c r="I27262" s="711"/>
      <c r="J27262" s="711"/>
      <c r="K27262" s="711"/>
      <c r="L27262" s="711"/>
      <c r="Q27262" s="11"/>
      <c r="R27262" s="11"/>
      <c r="S27262" s="11"/>
      <c r="T27262" s="11"/>
    </row>
    <row r="27263" spans="8:20" x14ac:dyDescent="0.35">
      <c r="H27263" s="711"/>
      <c r="I27263" s="711"/>
      <c r="J27263" s="711"/>
      <c r="K27263" s="711"/>
      <c r="L27263" s="711"/>
      <c r="Q27263" s="11"/>
      <c r="R27263" s="11"/>
      <c r="S27263" s="11"/>
      <c r="T27263" s="11"/>
    </row>
    <row r="27264" spans="8:20" x14ac:dyDescent="0.35">
      <c r="H27264" s="711"/>
      <c r="I27264" s="711"/>
      <c r="J27264" s="711"/>
      <c r="K27264" s="711"/>
      <c r="L27264" s="711"/>
      <c r="Q27264" s="11"/>
      <c r="R27264" s="11"/>
      <c r="S27264" s="11"/>
      <c r="T27264" s="11"/>
    </row>
    <row r="27265" spans="8:20" x14ac:dyDescent="0.35">
      <c r="H27265" s="711"/>
      <c r="I27265" s="711"/>
      <c r="J27265" s="711"/>
      <c r="K27265" s="711"/>
      <c r="L27265" s="711"/>
      <c r="Q27265" s="11"/>
      <c r="R27265" s="11"/>
      <c r="S27265" s="11"/>
      <c r="T27265" s="11"/>
    </row>
    <row r="27266" spans="8:20" x14ac:dyDescent="0.35">
      <c r="H27266" s="711"/>
      <c r="I27266" s="711"/>
      <c r="J27266" s="711"/>
      <c r="K27266" s="711"/>
      <c r="L27266" s="711"/>
      <c r="Q27266" s="11"/>
      <c r="R27266" s="11"/>
      <c r="S27266" s="11"/>
      <c r="T27266" s="11"/>
    </row>
    <row r="27267" spans="8:20" x14ac:dyDescent="0.35">
      <c r="H27267" s="711"/>
      <c r="I27267" s="711"/>
      <c r="J27267" s="711"/>
      <c r="K27267" s="711"/>
      <c r="L27267" s="711"/>
      <c r="Q27267" s="11"/>
      <c r="R27267" s="11"/>
      <c r="S27267" s="11"/>
      <c r="T27267" s="11"/>
    </row>
    <row r="27268" spans="8:20" x14ac:dyDescent="0.35">
      <c r="H27268" s="711"/>
      <c r="I27268" s="711"/>
      <c r="J27268" s="711"/>
      <c r="K27268" s="711"/>
      <c r="L27268" s="711"/>
      <c r="Q27268" s="11"/>
      <c r="R27268" s="11"/>
      <c r="S27268" s="11"/>
      <c r="T27268" s="11"/>
    </row>
    <row r="27269" spans="8:20" x14ac:dyDescent="0.35">
      <c r="H27269" s="711"/>
      <c r="I27269" s="711"/>
      <c r="J27269" s="711"/>
      <c r="K27269" s="711"/>
      <c r="L27269" s="711"/>
      <c r="Q27269" s="11"/>
      <c r="R27269" s="11"/>
      <c r="S27269" s="11"/>
      <c r="T27269" s="11"/>
    </row>
    <row r="27270" spans="8:20" x14ac:dyDescent="0.35">
      <c r="H27270" s="711"/>
      <c r="I27270" s="711"/>
      <c r="J27270" s="711"/>
      <c r="K27270" s="711"/>
      <c r="L27270" s="711"/>
      <c r="Q27270" s="11"/>
      <c r="R27270" s="11"/>
      <c r="S27270" s="11"/>
      <c r="T27270" s="11"/>
    </row>
    <row r="27271" spans="8:20" x14ac:dyDescent="0.35">
      <c r="H27271" s="711"/>
      <c r="I27271" s="711"/>
      <c r="J27271" s="711"/>
      <c r="K27271" s="711"/>
      <c r="L27271" s="711"/>
      <c r="Q27271" s="11"/>
      <c r="R27271" s="11"/>
      <c r="S27271" s="11"/>
      <c r="T27271" s="11"/>
    </row>
    <row r="27272" spans="8:20" x14ac:dyDescent="0.35">
      <c r="H27272" s="711"/>
      <c r="I27272" s="711"/>
      <c r="J27272" s="711"/>
      <c r="K27272" s="711"/>
      <c r="L27272" s="711"/>
      <c r="Q27272" s="11"/>
      <c r="R27272" s="11"/>
      <c r="S27272" s="11"/>
      <c r="T27272" s="11"/>
    </row>
    <row r="27273" spans="8:20" x14ac:dyDescent="0.35">
      <c r="H27273" s="711"/>
      <c r="I27273" s="711"/>
      <c r="J27273" s="711"/>
      <c r="K27273" s="711"/>
      <c r="L27273" s="711"/>
      <c r="Q27273" s="11"/>
      <c r="R27273" s="11"/>
      <c r="S27273" s="11"/>
      <c r="T27273" s="11"/>
    </row>
    <row r="27274" spans="8:20" x14ac:dyDescent="0.35">
      <c r="H27274" s="711"/>
      <c r="I27274" s="711"/>
      <c r="J27274" s="711"/>
      <c r="K27274" s="711"/>
      <c r="L27274" s="711"/>
      <c r="Q27274" s="11"/>
      <c r="R27274" s="11"/>
      <c r="S27274" s="11"/>
      <c r="T27274" s="11"/>
    </row>
    <row r="27275" spans="8:20" x14ac:dyDescent="0.35">
      <c r="H27275" s="711"/>
      <c r="I27275" s="711"/>
      <c r="J27275" s="711"/>
      <c r="K27275" s="711"/>
      <c r="L27275" s="711"/>
      <c r="Q27275" s="11"/>
      <c r="R27275" s="11"/>
      <c r="S27275" s="11"/>
      <c r="T27275" s="11"/>
    </row>
    <row r="27276" spans="8:20" x14ac:dyDescent="0.35">
      <c r="H27276" s="711"/>
      <c r="I27276" s="711"/>
      <c r="J27276" s="711"/>
      <c r="K27276" s="711"/>
      <c r="L27276" s="711"/>
      <c r="Q27276" s="11"/>
      <c r="R27276" s="11"/>
      <c r="S27276" s="11"/>
      <c r="T27276" s="11"/>
    </row>
    <row r="27277" spans="8:20" x14ac:dyDescent="0.35">
      <c r="H27277" s="711"/>
      <c r="I27277" s="711"/>
      <c r="J27277" s="711"/>
      <c r="K27277" s="711"/>
      <c r="L27277" s="711"/>
      <c r="Q27277" s="11"/>
      <c r="R27277" s="11"/>
      <c r="S27277" s="11"/>
      <c r="T27277" s="11"/>
    </row>
    <row r="27278" spans="8:20" x14ac:dyDescent="0.35">
      <c r="H27278" s="711"/>
      <c r="I27278" s="711"/>
      <c r="J27278" s="711"/>
      <c r="K27278" s="711"/>
      <c r="L27278" s="711"/>
      <c r="Q27278" s="11"/>
      <c r="R27278" s="11"/>
      <c r="S27278" s="11"/>
      <c r="T27278" s="11"/>
    </row>
    <row r="27279" spans="8:20" x14ac:dyDescent="0.35">
      <c r="H27279" s="711"/>
      <c r="I27279" s="711"/>
      <c r="J27279" s="711"/>
      <c r="K27279" s="711"/>
      <c r="L27279" s="711"/>
      <c r="Q27279" s="11"/>
      <c r="R27279" s="11"/>
      <c r="S27279" s="11"/>
      <c r="T27279" s="11"/>
    </row>
    <row r="27280" spans="8:20" x14ac:dyDescent="0.35">
      <c r="H27280" s="711"/>
      <c r="I27280" s="711"/>
      <c r="J27280" s="711"/>
      <c r="K27280" s="711"/>
      <c r="L27280" s="711"/>
      <c r="Q27280" s="11"/>
      <c r="R27280" s="11"/>
      <c r="S27280" s="11"/>
      <c r="T27280" s="11"/>
    </row>
    <row r="27281" spans="8:20" x14ac:dyDescent="0.35">
      <c r="H27281" s="711"/>
      <c r="I27281" s="711"/>
      <c r="J27281" s="711"/>
      <c r="K27281" s="711"/>
      <c r="L27281" s="711"/>
      <c r="Q27281" s="11"/>
      <c r="R27281" s="11"/>
      <c r="S27281" s="11"/>
      <c r="T27281" s="11"/>
    </row>
    <row r="27282" spans="8:20" x14ac:dyDescent="0.35">
      <c r="H27282" s="711"/>
      <c r="I27282" s="711"/>
      <c r="J27282" s="711"/>
      <c r="K27282" s="711"/>
      <c r="L27282" s="711"/>
      <c r="Q27282" s="11"/>
      <c r="R27282" s="11"/>
      <c r="S27282" s="11"/>
      <c r="T27282" s="11"/>
    </row>
    <row r="27283" spans="8:20" x14ac:dyDescent="0.35">
      <c r="H27283" s="711"/>
      <c r="I27283" s="711"/>
      <c r="J27283" s="711"/>
      <c r="K27283" s="711"/>
      <c r="L27283" s="711"/>
      <c r="Q27283" s="11"/>
      <c r="R27283" s="11"/>
      <c r="S27283" s="11"/>
      <c r="T27283" s="11"/>
    </row>
    <row r="27284" spans="8:20" x14ac:dyDescent="0.35">
      <c r="H27284" s="711"/>
      <c r="I27284" s="711"/>
      <c r="J27284" s="711"/>
      <c r="K27284" s="711"/>
      <c r="L27284" s="711"/>
      <c r="Q27284" s="11"/>
      <c r="R27284" s="11"/>
      <c r="S27284" s="11"/>
      <c r="T27284" s="11"/>
    </row>
    <row r="27285" spans="8:20" x14ac:dyDescent="0.35">
      <c r="H27285" s="711"/>
      <c r="I27285" s="711"/>
      <c r="J27285" s="711"/>
      <c r="K27285" s="711"/>
      <c r="L27285" s="711"/>
      <c r="Q27285" s="11"/>
      <c r="R27285" s="11"/>
      <c r="S27285" s="11"/>
      <c r="T27285" s="11"/>
    </row>
    <row r="27286" spans="8:20" x14ac:dyDescent="0.35">
      <c r="H27286" s="711"/>
      <c r="I27286" s="711"/>
      <c r="J27286" s="711"/>
      <c r="K27286" s="711"/>
      <c r="L27286" s="711"/>
      <c r="Q27286" s="11"/>
      <c r="R27286" s="11"/>
      <c r="S27286" s="11"/>
      <c r="T27286" s="11"/>
    </row>
    <row r="27287" spans="8:20" x14ac:dyDescent="0.35">
      <c r="H27287" s="711"/>
      <c r="I27287" s="711"/>
      <c r="J27287" s="711"/>
      <c r="K27287" s="711"/>
      <c r="L27287" s="711"/>
      <c r="Q27287" s="11"/>
      <c r="R27287" s="11"/>
      <c r="S27287" s="11"/>
      <c r="T27287" s="11"/>
    </row>
    <row r="27288" spans="8:20" x14ac:dyDescent="0.35">
      <c r="H27288" s="711"/>
      <c r="I27288" s="711"/>
      <c r="J27288" s="711"/>
      <c r="K27288" s="711"/>
      <c r="L27288" s="711"/>
      <c r="Q27288" s="11"/>
      <c r="R27288" s="11"/>
      <c r="S27288" s="11"/>
      <c r="T27288" s="11"/>
    </row>
    <row r="27289" spans="8:20" x14ac:dyDescent="0.35">
      <c r="H27289" s="711"/>
      <c r="I27289" s="711"/>
      <c r="J27289" s="711"/>
      <c r="K27289" s="711"/>
      <c r="L27289" s="711"/>
      <c r="Q27289" s="11"/>
      <c r="R27289" s="11"/>
      <c r="S27289" s="11"/>
      <c r="T27289" s="11"/>
    </row>
    <row r="27290" spans="8:20" x14ac:dyDescent="0.35">
      <c r="H27290" s="711"/>
      <c r="I27290" s="711"/>
      <c r="J27290" s="711"/>
      <c r="K27290" s="711"/>
      <c r="L27290" s="711"/>
      <c r="Q27290" s="11"/>
      <c r="R27290" s="11"/>
      <c r="S27290" s="11"/>
      <c r="T27290" s="11"/>
    </row>
    <row r="27291" spans="8:20" x14ac:dyDescent="0.35">
      <c r="H27291" s="711"/>
      <c r="I27291" s="711"/>
      <c r="J27291" s="711"/>
      <c r="K27291" s="711"/>
      <c r="L27291" s="711"/>
      <c r="Q27291" s="11"/>
      <c r="R27291" s="11"/>
      <c r="S27291" s="11"/>
      <c r="T27291" s="11"/>
    </row>
    <row r="27292" spans="8:20" x14ac:dyDescent="0.35">
      <c r="H27292" s="711"/>
      <c r="I27292" s="711"/>
      <c r="J27292" s="711"/>
      <c r="K27292" s="711"/>
      <c r="L27292" s="711"/>
      <c r="Q27292" s="11"/>
      <c r="R27292" s="11"/>
      <c r="S27292" s="11"/>
      <c r="T27292" s="11"/>
    </row>
    <row r="27293" spans="8:20" x14ac:dyDescent="0.35">
      <c r="H27293" s="711"/>
      <c r="I27293" s="711"/>
      <c r="J27293" s="711"/>
      <c r="K27293" s="711"/>
      <c r="L27293" s="711"/>
      <c r="Q27293" s="11"/>
      <c r="R27293" s="11"/>
      <c r="S27293" s="11"/>
      <c r="T27293" s="11"/>
    </row>
    <row r="27294" spans="8:20" x14ac:dyDescent="0.35">
      <c r="H27294" s="711"/>
      <c r="I27294" s="711"/>
      <c r="J27294" s="711"/>
      <c r="K27294" s="711"/>
      <c r="L27294" s="711"/>
      <c r="Q27294" s="11"/>
      <c r="R27294" s="11"/>
      <c r="S27294" s="11"/>
      <c r="T27294" s="11"/>
    </row>
    <row r="27295" spans="8:20" x14ac:dyDescent="0.35">
      <c r="H27295" s="711"/>
      <c r="I27295" s="711"/>
      <c r="J27295" s="711"/>
      <c r="K27295" s="711"/>
      <c r="L27295" s="711"/>
      <c r="Q27295" s="11"/>
      <c r="R27295" s="11"/>
      <c r="S27295" s="11"/>
      <c r="T27295" s="11"/>
    </row>
    <row r="27296" spans="8:20" x14ac:dyDescent="0.35">
      <c r="H27296" s="711"/>
      <c r="I27296" s="711"/>
      <c r="J27296" s="711"/>
      <c r="K27296" s="711"/>
      <c r="L27296" s="711"/>
      <c r="Q27296" s="11"/>
      <c r="R27296" s="11"/>
      <c r="S27296" s="11"/>
      <c r="T27296" s="11"/>
    </row>
    <row r="27297" spans="8:20" x14ac:dyDescent="0.35">
      <c r="H27297" s="711"/>
      <c r="I27297" s="711"/>
      <c r="J27297" s="711"/>
      <c r="K27297" s="711"/>
      <c r="L27297" s="711"/>
      <c r="Q27297" s="11"/>
      <c r="R27297" s="11"/>
      <c r="S27297" s="11"/>
      <c r="T27297" s="11"/>
    </row>
    <row r="27298" spans="8:20" x14ac:dyDescent="0.35">
      <c r="H27298" s="711"/>
      <c r="I27298" s="711"/>
      <c r="J27298" s="711"/>
      <c r="K27298" s="711"/>
      <c r="L27298" s="711"/>
      <c r="Q27298" s="11"/>
      <c r="R27298" s="11"/>
      <c r="S27298" s="11"/>
      <c r="T27298" s="11"/>
    </row>
    <row r="27299" spans="8:20" x14ac:dyDescent="0.35">
      <c r="H27299" s="711"/>
      <c r="I27299" s="711"/>
      <c r="J27299" s="711"/>
      <c r="K27299" s="711"/>
      <c r="L27299" s="711"/>
      <c r="Q27299" s="11"/>
      <c r="R27299" s="11"/>
      <c r="S27299" s="11"/>
      <c r="T27299" s="11"/>
    </row>
    <row r="27300" spans="8:20" x14ac:dyDescent="0.35">
      <c r="H27300" s="711"/>
      <c r="I27300" s="711"/>
      <c r="J27300" s="711"/>
      <c r="K27300" s="711"/>
      <c r="L27300" s="711"/>
      <c r="Q27300" s="11"/>
      <c r="R27300" s="11"/>
      <c r="S27300" s="11"/>
      <c r="T27300" s="11"/>
    </row>
    <row r="27301" spans="8:20" x14ac:dyDescent="0.35">
      <c r="H27301" s="711"/>
      <c r="I27301" s="711"/>
      <c r="J27301" s="711"/>
      <c r="K27301" s="711"/>
      <c r="L27301" s="711"/>
      <c r="Q27301" s="11"/>
      <c r="R27301" s="11"/>
      <c r="S27301" s="11"/>
      <c r="T27301" s="11"/>
    </row>
    <row r="27302" spans="8:20" x14ac:dyDescent="0.35">
      <c r="H27302" s="711"/>
      <c r="I27302" s="711"/>
      <c r="J27302" s="711"/>
      <c r="K27302" s="711"/>
      <c r="L27302" s="711"/>
      <c r="Q27302" s="11"/>
      <c r="R27302" s="11"/>
      <c r="S27302" s="11"/>
      <c r="T27302" s="11"/>
    </row>
    <row r="27303" spans="8:20" x14ac:dyDescent="0.35">
      <c r="H27303" s="711"/>
      <c r="I27303" s="711"/>
      <c r="J27303" s="711"/>
      <c r="K27303" s="711"/>
      <c r="L27303" s="711"/>
      <c r="Q27303" s="11"/>
      <c r="R27303" s="11"/>
      <c r="S27303" s="11"/>
      <c r="T27303" s="11"/>
    </row>
    <row r="27304" spans="8:20" x14ac:dyDescent="0.35">
      <c r="H27304" s="711"/>
      <c r="I27304" s="711"/>
      <c r="J27304" s="711"/>
      <c r="K27304" s="711"/>
      <c r="L27304" s="711"/>
      <c r="Q27304" s="11"/>
      <c r="R27304" s="11"/>
      <c r="S27304" s="11"/>
      <c r="T27304" s="11"/>
    </row>
    <row r="27305" spans="8:20" x14ac:dyDescent="0.35">
      <c r="H27305" s="711"/>
      <c r="I27305" s="711"/>
      <c r="J27305" s="711"/>
      <c r="K27305" s="711"/>
      <c r="L27305" s="711"/>
      <c r="Q27305" s="11"/>
      <c r="R27305" s="11"/>
      <c r="S27305" s="11"/>
      <c r="T27305" s="11"/>
    </row>
    <row r="27306" spans="8:20" x14ac:dyDescent="0.35">
      <c r="H27306" s="711"/>
      <c r="I27306" s="711"/>
      <c r="J27306" s="711"/>
      <c r="K27306" s="711"/>
      <c r="L27306" s="711"/>
      <c r="Q27306" s="11"/>
      <c r="R27306" s="11"/>
      <c r="S27306" s="11"/>
      <c r="T27306" s="11"/>
    </row>
    <row r="27307" spans="8:20" x14ac:dyDescent="0.35">
      <c r="H27307" s="711"/>
      <c r="I27307" s="711"/>
      <c r="J27307" s="711"/>
      <c r="K27307" s="711"/>
      <c r="L27307" s="711"/>
      <c r="Q27307" s="11"/>
      <c r="R27307" s="11"/>
      <c r="S27307" s="11"/>
      <c r="T27307" s="11"/>
    </row>
    <row r="27308" spans="8:20" x14ac:dyDescent="0.35">
      <c r="H27308" s="711"/>
      <c r="I27308" s="711"/>
      <c r="J27308" s="711"/>
      <c r="K27308" s="711"/>
      <c r="L27308" s="711"/>
      <c r="Q27308" s="11"/>
      <c r="R27308" s="11"/>
      <c r="S27308" s="11"/>
      <c r="T27308" s="11"/>
    </row>
    <row r="27309" spans="8:20" x14ac:dyDescent="0.35">
      <c r="H27309" s="711"/>
      <c r="I27309" s="711"/>
      <c r="J27309" s="711"/>
      <c r="K27309" s="711"/>
      <c r="L27309" s="711"/>
      <c r="Q27309" s="11"/>
      <c r="R27309" s="11"/>
      <c r="S27309" s="11"/>
      <c r="T27309" s="11"/>
    </row>
    <row r="27310" spans="8:20" x14ac:dyDescent="0.35">
      <c r="H27310" s="711"/>
      <c r="I27310" s="711"/>
      <c r="J27310" s="711"/>
      <c r="K27310" s="711"/>
      <c r="L27310" s="711"/>
      <c r="Q27310" s="11"/>
      <c r="R27310" s="11"/>
      <c r="S27310" s="11"/>
      <c r="T27310" s="11"/>
    </row>
    <row r="27311" spans="8:20" x14ac:dyDescent="0.35">
      <c r="H27311" s="711"/>
      <c r="I27311" s="711"/>
      <c r="J27311" s="711"/>
      <c r="K27311" s="711"/>
      <c r="L27311" s="711"/>
      <c r="Q27311" s="11"/>
      <c r="R27311" s="11"/>
      <c r="S27311" s="11"/>
      <c r="T27311" s="11"/>
    </row>
    <row r="27312" spans="8:20" x14ac:dyDescent="0.35">
      <c r="H27312" s="711"/>
      <c r="I27312" s="711"/>
      <c r="J27312" s="711"/>
      <c r="K27312" s="711"/>
      <c r="L27312" s="711"/>
      <c r="Q27312" s="11"/>
      <c r="R27312" s="11"/>
      <c r="S27312" s="11"/>
      <c r="T27312" s="11"/>
    </row>
    <row r="27313" spans="8:20" x14ac:dyDescent="0.35">
      <c r="H27313" s="711"/>
      <c r="I27313" s="711"/>
      <c r="J27313" s="711"/>
      <c r="K27313" s="711"/>
      <c r="L27313" s="711"/>
      <c r="Q27313" s="11"/>
      <c r="R27313" s="11"/>
      <c r="S27313" s="11"/>
      <c r="T27313" s="11"/>
    </row>
    <row r="27314" spans="8:20" x14ac:dyDescent="0.35">
      <c r="H27314" s="711"/>
      <c r="I27314" s="711"/>
      <c r="J27314" s="711"/>
      <c r="K27314" s="711"/>
      <c r="L27314" s="711"/>
      <c r="Q27314" s="11"/>
      <c r="R27314" s="11"/>
      <c r="S27314" s="11"/>
      <c r="T27314" s="11"/>
    </row>
    <row r="27315" spans="8:20" x14ac:dyDescent="0.35">
      <c r="H27315" s="711"/>
      <c r="I27315" s="711"/>
      <c r="J27315" s="711"/>
      <c r="K27315" s="711"/>
      <c r="L27315" s="711"/>
      <c r="Q27315" s="11"/>
      <c r="R27315" s="11"/>
      <c r="S27315" s="11"/>
      <c r="T27315" s="11"/>
    </row>
    <row r="27316" spans="8:20" x14ac:dyDescent="0.35">
      <c r="H27316" s="711"/>
      <c r="I27316" s="711"/>
      <c r="J27316" s="711"/>
      <c r="K27316" s="711"/>
      <c r="L27316" s="711"/>
      <c r="Q27316" s="11"/>
      <c r="R27316" s="11"/>
      <c r="S27316" s="11"/>
      <c r="T27316" s="11"/>
    </row>
    <row r="27317" spans="8:20" x14ac:dyDescent="0.35">
      <c r="H27317" s="711"/>
      <c r="I27317" s="711"/>
      <c r="J27317" s="711"/>
      <c r="K27317" s="711"/>
      <c r="L27317" s="711"/>
      <c r="Q27317" s="11"/>
      <c r="R27317" s="11"/>
      <c r="S27317" s="11"/>
      <c r="T27317" s="11"/>
    </row>
    <row r="27318" spans="8:20" x14ac:dyDescent="0.35">
      <c r="H27318" s="711"/>
      <c r="I27318" s="711"/>
      <c r="J27318" s="711"/>
      <c r="K27318" s="711"/>
      <c r="L27318" s="711"/>
      <c r="Q27318" s="11"/>
      <c r="R27318" s="11"/>
      <c r="S27318" s="11"/>
      <c r="T27318" s="11"/>
    </row>
    <row r="27319" spans="8:20" x14ac:dyDescent="0.35">
      <c r="H27319" s="711"/>
      <c r="I27319" s="711"/>
      <c r="J27319" s="711"/>
      <c r="K27319" s="711"/>
      <c r="L27319" s="711"/>
      <c r="Q27319" s="11"/>
      <c r="R27319" s="11"/>
      <c r="S27319" s="11"/>
      <c r="T27319" s="11"/>
    </row>
    <row r="27320" spans="8:20" x14ac:dyDescent="0.35">
      <c r="H27320" s="711"/>
      <c r="I27320" s="711"/>
      <c r="J27320" s="711"/>
      <c r="K27320" s="711"/>
      <c r="L27320" s="711"/>
      <c r="Q27320" s="11"/>
      <c r="R27320" s="11"/>
      <c r="S27320" s="11"/>
      <c r="T27320" s="11"/>
    </row>
    <row r="27321" spans="8:20" x14ac:dyDescent="0.35">
      <c r="H27321" s="711"/>
      <c r="I27321" s="711"/>
      <c r="J27321" s="711"/>
      <c r="K27321" s="711"/>
      <c r="L27321" s="711"/>
      <c r="Q27321" s="11"/>
      <c r="R27321" s="11"/>
      <c r="S27321" s="11"/>
      <c r="T27321" s="11"/>
    </row>
    <row r="27322" spans="8:20" x14ac:dyDescent="0.35">
      <c r="H27322" s="711"/>
      <c r="I27322" s="711"/>
      <c r="J27322" s="711"/>
      <c r="K27322" s="711"/>
      <c r="L27322" s="711"/>
      <c r="Q27322" s="11"/>
      <c r="R27322" s="11"/>
      <c r="S27322" s="11"/>
      <c r="T27322" s="11"/>
    </row>
    <row r="27323" spans="8:20" x14ac:dyDescent="0.35">
      <c r="H27323" s="711"/>
      <c r="I27323" s="711"/>
      <c r="J27323" s="711"/>
      <c r="K27323" s="711"/>
      <c r="L27323" s="711"/>
      <c r="Q27323" s="11"/>
      <c r="R27323" s="11"/>
      <c r="S27323" s="11"/>
      <c r="T27323" s="11"/>
    </row>
    <row r="27324" spans="8:20" x14ac:dyDescent="0.35">
      <c r="H27324" s="711"/>
      <c r="I27324" s="711"/>
      <c r="J27324" s="711"/>
      <c r="K27324" s="711"/>
      <c r="L27324" s="711"/>
      <c r="Q27324" s="11"/>
      <c r="R27324" s="11"/>
      <c r="S27324" s="11"/>
      <c r="T27324" s="11"/>
    </row>
    <row r="27325" spans="8:20" x14ac:dyDescent="0.35">
      <c r="H27325" s="711"/>
      <c r="I27325" s="711"/>
      <c r="J27325" s="711"/>
      <c r="K27325" s="711"/>
      <c r="L27325" s="711"/>
      <c r="Q27325" s="11"/>
      <c r="R27325" s="11"/>
      <c r="S27325" s="11"/>
      <c r="T27325" s="11"/>
    </row>
    <row r="27326" spans="8:20" x14ac:dyDescent="0.35">
      <c r="H27326" s="711"/>
      <c r="I27326" s="711"/>
      <c r="J27326" s="711"/>
      <c r="K27326" s="711"/>
      <c r="L27326" s="711"/>
      <c r="Q27326" s="11"/>
      <c r="R27326" s="11"/>
      <c r="S27326" s="11"/>
      <c r="T27326" s="11"/>
    </row>
    <row r="27327" spans="8:20" x14ac:dyDescent="0.35">
      <c r="H27327" s="711"/>
      <c r="I27327" s="711"/>
      <c r="J27327" s="711"/>
      <c r="K27327" s="711"/>
      <c r="L27327" s="711"/>
      <c r="Q27327" s="11"/>
      <c r="R27327" s="11"/>
      <c r="S27327" s="11"/>
      <c r="T27327" s="11"/>
    </row>
    <row r="27328" spans="8:20" x14ac:dyDescent="0.35">
      <c r="H27328" s="711"/>
      <c r="I27328" s="711"/>
      <c r="J27328" s="711"/>
      <c r="K27328" s="711"/>
      <c r="L27328" s="711"/>
      <c r="Q27328" s="11"/>
      <c r="R27328" s="11"/>
      <c r="S27328" s="11"/>
      <c r="T27328" s="11"/>
    </row>
    <row r="27329" spans="8:20" x14ac:dyDescent="0.35">
      <c r="H27329" s="711"/>
      <c r="I27329" s="711"/>
      <c r="J27329" s="711"/>
      <c r="K27329" s="711"/>
      <c r="L27329" s="711"/>
      <c r="Q27329" s="11"/>
      <c r="R27329" s="11"/>
      <c r="S27329" s="11"/>
      <c r="T27329" s="11"/>
    </row>
    <row r="27330" spans="8:20" x14ac:dyDescent="0.35">
      <c r="H27330" s="711"/>
      <c r="I27330" s="711"/>
      <c r="J27330" s="711"/>
      <c r="K27330" s="711"/>
      <c r="L27330" s="711"/>
      <c r="Q27330" s="11"/>
      <c r="R27330" s="11"/>
      <c r="S27330" s="11"/>
      <c r="T27330" s="11"/>
    </row>
    <row r="27331" spans="8:20" x14ac:dyDescent="0.35">
      <c r="H27331" s="711"/>
      <c r="I27331" s="711"/>
      <c r="J27331" s="711"/>
      <c r="K27331" s="711"/>
      <c r="L27331" s="711"/>
      <c r="Q27331" s="11"/>
      <c r="R27331" s="11"/>
      <c r="S27331" s="11"/>
      <c r="T27331" s="11"/>
    </row>
    <row r="27332" spans="8:20" x14ac:dyDescent="0.35">
      <c r="H27332" s="711"/>
      <c r="I27332" s="711"/>
      <c r="J27332" s="711"/>
      <c r="K27332" s="711"/>
      <c r="L27332" s="711"/>
      <c r="Q27332" s="11"/>
      <c r="R27332" s="11"/>
      <c r="S27332" s="11"/>
      <c r="T27332" s="11"/>
    </row>
    <row r="27333" spans="8:20" x14ac:dyDescent="0.35">
      <c r="H27333" s="711"/>
      <c r="I27333" s="711"/>
      <c r="J27333" s="711"/>
      <c r="K27333" s="711"/>
      <c r="L27333" s="711"/>
      <c r="Q27333" s="11"/>
      <c r="R27333" s="11"/>
      <c r="S27333" s="11"/>
      <c r="T27333" s="11"/>
    </row>
    <row r="27334" spans="8:20" x14ac:dyDescent="0.35">
      <c r="H27334" s="711"/>
      <c r="I27334" s="711"/>
      <c r="J27334" s="711"/>
      <c r="K27334" s="711"/>
      <c r="L27334" s="711"/>
      <c r="Q27334" s="11"/>
      <c r="R27334" s="11"/>
      <c r="S27334" s="11"/>
      <c r="T27334" s="11"/>
    </row>
    <row r="27335" spans="8:20" x14ac:dyDescent="0.35">
      <c r="H27335" s="711"/>
      <c r="I27335" s="711"/>
      <c r="J27335" s="711"/>
      <c r="K27335" s="711"/>
      <c r="L27335" s="711"/>
      <c r="Q27335" s="11"/>
      <c r="R27335" s="11"/>
      <c r="S27335" s="11"/>
      <c r="T27335" s="11"/>
    </row>
    <row r="27336" spans="8:20" x14ac:dyDescent="0.35">
      <c r="H27336" s="711"/>
      <c r="I27336" s="711"/>
      <c r="J27336" s="711"/>
      <c r="K27336" s="711"/>
      <c r="L27336" s="711"/>
      <c r="Q27336" s="11"/>
      <c r="R27336" s="11"/>
      <c r="S27336" s="11"/>
      <c r="T27336" s="11"/>
    </row>
    <row r="27337" spans="8:20" x14ac:dyDescent="0.35">
      <c r="H27337" s="711"/>
      <c r="I27337" s="711"/>
      <c r="J27337" s="711"/>
      <c r="K27337" s="711"/>
      <c r="L27337" s="711"/>
      <c r="Q27337" s="11"/>
      <c r="R27337" s="11"/>
      <c r="S27337" s="11"/>
      <c r="T27337" s="11"/>
    </row>
    <row r="27338" spans="8:20" x14ac:dyDescent="0.35">
      <c r="H27338" s="711"/>
      <c r="I27338" s="711"/>
      <c r="J27338" s="711"/>
      <c r="K27338" s="711"/>
      <c r="L27338" s="711"/>
      <c r="Q27338" s="11"/>
      <c r="R27338" s="11"/>
      <c r="S27338" s="11"/>
      <c r="T27338" s="11"/>
    </row>
    <row r="27339" spans="8:20" x14ac:dyDescent="0.35">
      <c r="H27339" s="711"/>
      <c r="I27339" s="711"/>
      <c r="J27339" s="711"/>
      <c r="K27339" s="711"/>
      <c r="L27339" s="711"/>
      <c r="Q27339" s="11"/>
      <c r="R27339" s="11"/>
      <c r="S27339" s="11"/>
      <c r="T27339" s="11"/>
    </row>
    <row r="27340" spans="8:20" x14ac:dyDescent="0.35">
      <c r="H27340" s="711"/>
      <c r="I27340" s="711"/>
      <c r="J27340" s="711"/>
      <c r="K27340" s="711"/>
      <c r="L27340" s="711"/>
      <c r="Q27340" s="11"/>
      <c r="R27340" s="11"/>
      <c r="S27340" s="11"/>
      <c r="T27340" s="11"/>
    </row>
    <row r="27341" spans="8:20" x14ac:dyDescent="0.35">
      <c r="H27341" s="711"/>
      <c r="I27341" s="711"/>
      <c r="J27341" s="711"/>
      <c r="K27341" s="711"/>
      <c r="L27341" s="711"/>
      <c r="Q27341" s="11"/>
      <c r="R27341" s="11"/>
      <c r="S27341" s="11"/>
      <c r="T27341" s="11"/>
    </row>
    <row r="27342" spans="8:20" x14ac:dyDescent="0.35">
      <c r="H27342" s="711"/>
      <c r="I27342" s="711"/>
      <c r="J27342" s="711"/>
      <c r="K27342" s="711"/>
      <c r="L27342" s="711"/>
      <c r="Q27342" s="11"/>
      <c r="R27342" s="11"/>
      <c r="S27342" s="11"/>
      <c r="T27342" s="11"/>
    </row>
    <row r="27343" spans="8:20" x14ac:dyDescent="0.35">
      <c r="H27343" s="711"/>
      <c r="I27343" s="711"/>
      <c r="J27343" s="711"/>
      <c r="K27343" s="711"/>
      <c r="L27343" s="711"/>
      <c r="Q27343" s="11"/>
      <c r="R27343" s="11"/>
      <c r="S27343" s="11"/>
      <c r="T27343" s="11"/>
    </row>
    <row r="27344" spans="8:20" x14ac:dyDescent="0.35">
      <c r="H27344" s="711"/>
      <c r="I27344" s="711"/>
      <c r="J27344" s="711"/>
      <c r="K27344" s="711"/>
      <c r="L27344" s="711"/>
      <c r="Q27344" s="11"/>
      <c r="R27344" s="11"/>
      <c r="S27344" s="11"/>
      <c r="T27344" s="11"/>
    </row>
    <row r="27345" spans="8:20" x14ac:dyDescent="0.35">
      <c r="H27345" s="711"/>
      <c r="I27345" s="711"/>
      <c r="J27345" s="711"/>
      <c r="K27345" s="711"/>
      <c r="L27345" s="711"/>
      <c r="Q27345" s="11"/>
      <c r="R27345" s="11"/>
      <c r="S27345" s="11"/>
      <c r="T27345" s="11"/>
    </row>
    <row r="27346" spans="8:20" x14ac:dyDescent="0.35">
      <c r="H27346" s="711"/>
      <c r="I27346" s="711"/>
      <c r="J27346" s="711"/>
      <c r="K27346" s="711"/>
      <c r="L27346" s="711"/>
      <c r="Q27346" s="11"/>
      <c r="R27346" s="11"/>
      <c r="S27346" s="11"/>
      <c r="T27346" s="11"/>
    </row>
    <row r="27347" spans="8:20" x14ac:dyDescent="0.35">
      <c r="H27347" s="711"/>
      <c r="I27347" s="711"/>
      <c r="J27347" s="711"/>
      <c r="K27347" s="711"/>
      <c r="L27347" s="711"/>
      <c r="Q27347" s="11"/>
      <c r="R27347" s="11"/>
      <c r="S27347" s="11"/>
      <c r="T27347" s="11"/>
    </row>
    <row r="27348" spans="8:20" x14ac:dyDescent="0.35">
      <c r="H27348" s="711"/>
      <c r="I27348" s="711"/>
      <c r="J27348" s="711"/>
      <c r="K27348" s="711"/>
      <c r="L27348" s="711"/>
      <c r="Q27348" s="11"/>
      <c r="R27348" s="11"/>
      <c r="S27348" s="11"/>
      <c r="T27348" s="11"/>
    </row>
    <row r="27349" spans="8:20" x14ac:dyDescent="0.35">
      <c r="H27349" s="711"/>
      <c r="I27349" s="711"/>
      <c r="J27349" s="711"/>
      <c r="K27349" s="711"/>
      <c r="L27349" s="711"/>
      <c r="Q27349" s="11"/>
      <c r="R27349" s="11"/>
      <c r="S27349" s="11"/>
      <c r="T27349" s="11"/>
    </row>
    <row r="27350" spans="8:20" x14ac:dyDescent="0.35">
      <c r="H27350" s="711"/>
      <c r="I27350" s="711"/>
      <c r="J27350" s="711"/>
      <c r="K27350" s="711"/>
      <c r="L27350" s="711"/>
      <c r="Q27350" s="11"/>
      <c r="R27350" s="11"/>
      <c r="S27350" s="11"/>
      <c r="T27350" s="11"/>
    </row>
    <row r="27351" spans="8:20" x14ac:dyDescent="0.35">
      <c r="H27351" s="711"/>
      <c r="I27351" s="711"/>
      <c r="J27351" s="711"/>
      <c r="K27351" s="711"/>
      <c r="L27351" s="711"/>
      <c r="Q27351" s="11"/>
      <c r="R27351" s="11"/>
      <c r="S27351" s="11"/>
      <c r="T27351" s="11"/>
    </row>
    <row r="27352" spans="8:20" x14ac:dyDescent="0.35">
      <c r="H27352" s="711"/>
      <c r="I27352" s="711"/>
      <c r="J27352" s="711"/>
      <c r="K27352" s="711"/>
      <c r="L27352" s="711"/>
      <c r="Q27352" s="11"/>
      <c r="R27352" s="11"/>
      <c r="S27352" s="11"/>
      <c r="T27352" s="11"/>
    </row>
    <row r="27353" spans="8:20" x14ac:dyDescent="0.35">
      <c r="H27353" s="711"/>
      <c r="I27353" s="711"/>
      <c r="J27353" s="711"/>
      <c r="K27353" s="711"/>
      <c r="L27353" s="711"/>
      <c r="Q27353" s="11"/>
      <c r="R27353" s="11"/>
      <c r="S27353" s="11"/>
      <c r="T27353" s="11"/>
    </row>
    <row r="27354" spans="8:20" x14ac:dyDescent="0.35">
      <c r="H27354" s="711"/>
      <c r="I27354" s="711"/>
      <c r="J27354" s="711"/>
      <c r="K27354" s="711"/>
      <c r="L27354" s="711"/>
      <c r="Q27354" s="11"/>
      <c r="R27354" s="11"/>
      <c r="S27354" s="11"/>
      <c r="T27354" s="11"/>
    </row>
    <row r="27355" spans="8:20" x14ac:dyDescent="0.35">
      <c r="H27355" s="711"/>
      <c r="I27355" s="711"/>
      <c r="J27355" s="711"/>
      <c r="K27355" s="711"/>
      <c r="L27355" s="711"/>
      <c r="Q27355" s="11"/>
      <c r="R27355" s="11"/>
      <c r="S27355" s="11"/>
      <c r="T27355" s="11"/>
    </row>
    <row r="27356" spans="8:20" x14ac:dyDescent="0.35">
      <c r="H27356" s="711"/>
      <c r="I27356" s="711"/>
      <c r="J27356" s="711"/>
      <c r="K27356" s="711"/>
      <c r="L27356" s="711"/>
      <c r="Q27356" s="11"/>
      <c r="R27356" s="11"/>
      <c r="S27356" s="11"/>
      <c r="T27356" s="11"/>
    </row>
    <row r="27357" spans="8:20" x14ac:dyDescent="0.35">
      <c r="H27357" s="711"/>
      <c r="I27357" s="711"/>
      <c r="J27357" s="711"/>
      <c r="K27357" s="711"/>
      <c r="L27357" s="711"/>
      <c r="Q27357" s="11"/>
      <c r="R27357" s="11"/>
      <c r="S27357" s="11"/>
      <c r="T27357" s="11"/>
    </row>
    <row r="27358" spans="8:20" x14ac:dyDescent="0.35">
      <c r="H27358" s="711"/>
      <c r="I27358" s="711"/>
      <c r="J27358" s="711"/>
      <c r="K27358" s="711"/>
      <c r="L27358" s="711"/>
      <c r="Q27358" s="11"/>
      <c r="R27358" s="11"/>
      <c r="S27358" s="11"/>
      <c r="T27358" s="11"/>
    </row>
    <row r="27359" spans="8:20" x14ac:dyDescent="0.35">
      <c r="H27359" s="711"/>
      <c r="I27359" s="711"/>
      <c r="J27359" s="711"/>
      <c r="K27359" s="711"/>
      <c r="L27359" s="711"/>
      <c r="Q27359" s="11"/>
      <c r="R27359" s="11"/>
      <c r="S27359" s="11"/>
      <c r="T27359" s="11"/>
    </row>
    <row r="27360" spans="8:20" x14ac:dyDescent="0.35">
      <c r="H27360" s="711"/>
      <c r="I27360" s="711"/>
      <c r="J27360" s="711"/>
      <c r="K27360" s="711"/>
      <c r="L27360" s="711"/>
      <c r="Q27360" s="11"/>
      <c r="R27360" s="11"/>
      <c r="S27360" s="11"/>
      <c r="T27360" s="11"/>
    </row>
    <row r="27361" spans="8:20" x14ac:dyDescent="0.35">
      <c r="H27361" s="711"/>
      <c r="I27361" s="711"/>
      <c r="J27361" s="711"/>
      <c r="K27361" s="711"/>
      <c r="L27361" s="711"/>
      <c r="Q27361" s="11"/>
      <c r="R27361" s="11"/>
      <c r="S27361" s="11"/>
      <c r="T27361" s="11"/>
    </row>
    <row r="27362" spans="8:20" x14ac:dyDescent="0.35">
      <c r="H27362" s="711"/>
      <c r="I27362" s="711"/>
      <c r="J27362" s="711"/>
      <c r="K27362" s="711"/>
      <c r="L27362" s="711"/>
      <c r="Q27362" s="11"/>
      <c r="R27362" s="11"/>
      <c r="S27362" s="11"/>
      <c r="T27362" s="11"/>
    </row>
    <row r="27363" spans="8:20" x14ac:dyDescent="0.35">
      <c r="H27363" s="711"/>
      <c r="I27363" s="711"/>
      <c r="J27363" s="711"/>
      <c r="K27363" s="711"/>
      <c r="L27363" s="711"/>
      <c r="Q27363" s="11"/>
      <c r="R27363" s="11"/>
      <c r="S27363" s="11"/>
      <c r="T27363" s="11"/>
    </row>
    <row r="27364" spans="8:20" x14ac:dyDescent="0.35">
      <c r="H27364" s="711"/>
      <c r="I27364" s="711"/>
      <c r="J27364" s="711"/>
      <c r="K27364" s="711"/>
      <c r="L27364" s="711"/>
      <c r="Q27364" s="11"/>
      <c r="R27364" s="11"/>
      <c r="S27364" s="11"/>
      <c r="T27364" s="11"/>
    </row>
    <row r="27365" spans="8:20" x14ac:dyDescent="0.35">
      <c r="H27365" s="711"/>
      <c r="I27365" s="711"/>
      <c r="J27365" s="711"/>
      <c r="K27365" s="711"/>
      <c r="L27365" s="711"/>
      <c r="Q27365" s="11"/>
      <c r="R27365" s="11"/>
      <c r="S27365" s="11"/>
      <c r="T27365" s="11"/>
    </row>
    <row r="27366" spans="8:20" x14ac:dyDescent="0.35">
      <c r="H27366" s="711"/>
      <c r="I27366" s="711"/>
      <c r="J27366" s="711"/>
      <c r="K27366" s="711"/>
      <c r="L27366" s="711"/>
      <c r="Q27366" s="11"/>
      <c r="R27366" s="11"/>
      <c r="S27366" s="11"/>
      <c r="T27366" s="11"/>
    </row>
    <row r="27367" spans="8:20" x14ac:dyDescent="0.35">
      <c r="H27367" s="711"/>
      <c r="I27367" s="711"/>
      <c r="J27367" s="711"/>
      <c r="K27367" s="711"/>
      <c r="L27367" s="711"/>
      <c r="Q27367" s="11"/>
      <c r="R27367" s="11"/>
      <c r="S27367" s="11"/>
      <c r="T27367" s="11"/>
    </row>
    <row r="27368" spans="8:20" x14ac:dyDescent="0.35">
      <c r="H27368" s="711"/>
      <c r="I27368" s="711"/>
      <c r="J27368" s="711"/>
      <c r="K27368" s="711"/>
      <c r="L27368" s="711"/>
      <c r="Q27368" s="11"/>
      <c r="R27368" s="11"/>
      <c r="S27368" s="11"/>
      <c r="T27368" s="11"/>
    </row>
    <row r="27369" spans="8:20" x14ac:dyDescent="0.35">
      <c r="H27369" s="711"/>
      <c r="I27369" s="711"/>
      <c r="J27369" s="711"/>
      <c r="K27369" s="711"/>
      <c r="L27369" s="711"/>
      <c r="Q27369" s="11"/>
      <c r="R27369" s="11"/>
      <c r="S27369" s="11"/>
      <c r="T27369" s="11"/>
    </row>
    <row r="27370" spans="8:20" x14ac:dyDescent="0.35">
      <c r="H27370" s="711"/>
      <c r="I27370" s="711"/>
      <c r="J27370" s="711"/>
      <c r="K27370" s="711"/>
      <c r="L27370" s="711"/>
      <c r="Q27370" s="11"/>
      <c r="R27370" s="11"/>
      <c r="S27370" s="11"/>
      <c r="T27370" s="11"/>
    </row>
    <row r="27371" spans="8:20" x14ac:dyDescent="0.35">
      <c r="H27371" s="711"/>
      <c r="I27371" s="711"/>
      <c r="J27371" s="711"/>
      <c r="K27371" s="711"/>
      <c r="L27371" s="711"/>
      <c r="Q27371" s="11"/>
      <c r="R27371" s="11"/>
      <c r="S27371" s="11"/>
      <c r="T27371" s="11"/>
    </row>
    <row r="27372" spans="8:20" x14ac:dyDescent="0.35">
      <c r="H27372" s="711"/>
      <c r="I27372" s="711"/>
      <c r="J27372" s="711"/>
      <c r="K27372" s="711"/>
      <c r="L27372" s="711"/>
      <c r="Q27372" s="11"/>
      <c r="R27372" s="11"/>
      <c r="S27372" s="11"/>
      <c r="T27372" s="11"/>
    </row>
    <row r="27373" spans="8:20" x14ac:dyDescent="0.35">
      <c r="H27373" s="711"/>
      <c r="I27373" s="711"/>
      <c r="J27373" s="711"/>
      <c r="K27373" s="711"/>
      <c r="L27373" s="711"/>
      <c r="Q27373" s="11"/>
      <c r="R27373" s="11"/>
      <c r="S27373" s="11"/>
      <c r="T27373" s="11"/>
    </row>
    <row r="27374" spans="8:20" x14ac:dyDescent="0.35">
      <c r="H27374" s="711"/>
      <c r="I27374" s="711"/>
      <c r="J27374" s="711"/>
      <c r="K27374" s="711"/>
      <c r="L27374" s="711"/>
      <c r="Q27374" s="11"/>
      <c r="R27374" s="11"/>
      <c r="S27374" s="11"/>
      <c r="T27374" s="11"/>
    </row>
    <row r="27375" spans="8:20" x14ac:dyDescent="0.35">
      <c r="H27375" s="711"/>
      <c r="I27375" s="711"/>
      <c r="J27375" s="711"/>
      <c r="K27375" s="711"/>
      <c r="L27375" s="711"/>
      <c r="Q27375" s="11"/>
      <c r="R27375" s="11"/>
      <c r="S27375" s="11"/>
      <c r="T27375" s="11"/>
    </row>
    <row r="27376" spans="8:20" x14ac:dyDescent="0.35">
      <c r="H27376" s="711"/>
      <c r="I27376" s="711"/>
      <c r="J27376" s="711"/>
      <c r="K27376" s="711"/>
      <c r="L27376" s="711"/>
      <c r="Q27376" s="11"/>
      <c r="R27376" s="11"/>
      <c r="S27376" s="11"/>
      <c r="T27376" s="11"/>
    </row>
    <row r="27377" spans="8:20" x14ac:dyDescent="0.35">
      <c r="H27377" s="711"/>
      <c r="I27377" s="711"/>
      <c r="J27377" s="711"/>
      <c r="K27377" s="711"/>
      <c r="L27377" s="711"/>
      <c r="Q27377" s="11"/>
      <c r="R27377" s="11"/>
      <c r="S27377" s="11"/>
      <c r="T27377" s="11"/>
    </row>
    <row r="27378" spans="8:20" x14ac:dyDescent="0.35">
      <c r="H27378" s="711"/>
      <c r="I27378" s="711"/>
      <c r="J27378" s="711"/>
      <c r="K27378" s="711"/>
      <c r="L27378" s="711"/>
      <c r="Q27378" s="11"/>
      <c r="R27378" s="11"/>
      <c r="S27378" s="11"/>
      <c r="T27378" s="11"/>
    </row>
    <row r="27379" spans="8:20" x14ac:dyDescent="0.35">
      <c r="H27379" s="711"/>
      <c r="I27379" s="711"/>
      <c r="J27379" s="711"/>
      <c r="K27379" s="711"/>
      <c r="L27379" s="711"/>
      <c r="Q27379" s="11"/>
      <c r="R27379" s="11"/>
      <c r="S27379" s="11"/>
      <c r="T27379" s="11"/>
    </row>
    <row r="27380" spans="8:20" x14ac:dyDescent="0.35">
      <c r="H27380" s="711"/>
      <c r="I27380" s="711"/>
      <c r="J27380" s="711"/>
      <c r="K27380" s="711"/>
      <c r="L27380" s="711"/>
      <c r="Q27380" s="11"/>
      <c r="R27380" s="11"/>
      <c r="S27380" s="11"/>
      <c r="T27380" s="11"/>
    </row>
    <row r="27381" spans="8:20" x14ac:dyDescent="0.35">
      <c r="H27381" s="711"/>
      <c r="I27381" s="711"/>
      <c r="J27381" s="711"/>
      <c r="K27381" s="711"/>
      <c r="L27381" s="711"/>
      <c r="Q27381" s="11"/>
      <c r="R27381" s="11"/>
      <c r="S27381" s="11"/>
      <c r="T27381" s="11"/>
    </row>
    <row r="27382" spans="8:20" x14ac:dyDescent="0.35">
      <c r="H27382" s="711"/>
      <c r="I27382" s="711"/>
      <c r="J27382" s="711"/>
      <c r="K27382" s="711"/>
      <c r="L27382" s="711"/>
      <c r="Q27382" s="11"/>
      <c r="R27382" s="11"/>
      <c r="S27382" s="11"/>
      <c r="T27382" s="11"/>
    </row>
    <row r="27383" spans="8:20" x14ac:dyDescent="0.35">
      <c r="H27383" s="711"/>
      <c r="I27383" s="711"/>
      <c r="J27383" s="711"/>
      <c r="K27383" s="711"/>
      <c r="L27383" s="711"/>
      <c r="Q27383" s="11"/>
      <c r="R27383" s="11"/>
      <c r="S27383" s="11"/>
      <c r="T27383" s="11"/>
    </row>
    <row r="27384" spans="8:20" x14ac:dyDescent="0.35">
      <c r="H27384" s="711"/>
      <c r="I27384" s="711"/>
      <c r="J27384" s="711"/>
      <c r="K27384" s="711"/>
      <c r="L27384" s="711"/>
      <c r="Q27384" s="11"/>
      <c r="R27384" s="11"/>
      <c r="S27384" s="11"/>
      <c r="T27384" s="11"/>
    </row>
    <row r="27385" spans="8:20" x14ac:dyDescent="0.35">
      <c r="H27385" s="711"/>
      <c r="I27385" s="711"/>
      <c r="J27385" s="711"/>
      <c r="K27385" s="711"/>
      <c r="L27385" s="711"/>
      <c r="Q27385" s="11"/>
      <c r="R27385" s="11"/>
      <c r="S27385" s="11"/>
      <c r="T27385" s="11"/>
    </row>
    <row r="27386" spans="8:20" x14ac:dyDescent="0.35">
      <c r="H27386" s="711"/>
      <c r="I27386" s="711"/>
      <c r="J27386" s="711"/>
      <c r="K27386" s="711"/>
      <c r="L27386" s="711"/>
      <c r="Q27386" s="11"/>
      <c r="R27386" s="11"/>
      <c r="S27386" s="11"/>
      <c r="T27386" s="11"/>
    </row>
    <row r="27387" spans="8:20" x14ac:dyDescent="0.35">
      <c r="H27387" s="711"/>
      <c r="I27387" s="711"/>
      <c r="J27387" s="711"/>
      <c r="K27387" s="711"/>
      <c r="L27387" s="711"/>
      <c r="Q27387" s="11"/>
      <c r="R27387" s="11"/>
      <c r="S27387" s="11"/>
      <c r="T27387" s="11"/>
    </row>
    <row r="27388" spans="8:20" x14ac:dyDescent="0.35">
      <c r="H27388" s="711"/>
      <c r="I27388" s="711"/>
      <c r="J27388" s="711"/>
      <c r="K27388" s="711"/>
      <c r="L27388" s="711"/>
      <c r="Q27388" s="11"/>
      <c r="R27388" s="11"/>
      <c r="S27388" s="11"/>
      <c r="T27388" s="11"/>
    </row>
    <row r="27389" spans="8:20" x14ac:dyDescent="0.35">
      <c r="H27389" s="711"/>
      <c r="I27389" s="711"/>
      <c r="J27389" s="711"/>
      <c r="K27389" s="711"/>
      <c r="L27389" s="711"/>
      <c r="Q27389" s="11"/>
      <c r="R27389" s="11"/>
      <c r="S27389" s="11"/>
      <c r="T27389" s="11"/>
    </row>
    <row r="27390" spans="8:20" x14ac:dyDescent="0.35">
      <c r="H27390" s="711"/>
      <c r="I27390" s="711"/>
      <c r="J27390" s="711"/>
      <c r="K27390" s="711"/>
      <c r="L27390" s="711"/>
      <c r="Q27390" s="11"/>
      <c r="R27390" s="11"/>
      <c r="S27390" s="11"/>
      <c r="T27390" s="11"/>
    </row>
    <row r="27391" spans="8:20" x14ac:dyDescent="0.35">
      <c r="H27391" s="711"/>
      <c r="I27391" s="711"/>
      <c r="J27391" s="711"/>
      <c r="K27391" s="711"/>
      <c r="L27391" s="711"/>
      <c r="Q27391" s="11"/>
      <c r="R27391" s="11"/>
      <c r="S27391" s="11"/>
      <c r="T27391" s="11"/>
    </row>
    <row r="27392" spans="8:20" x14ac:dyDescent="0.35">
      <c r="H27392" s="711"/>
      <c r="I27392" s="711"/>
      <c r="J27392" s="711"/>
      <c r="K27392" s="711"/>
      <c r="L27392" s="711"/>
      <c r="Q27392" s="11"/>
      <c r="R27392" s="11"/>
      <c r="S27392" s="11"/>
      <c r="T27392" s="11"/>
    </row>
    <row r="27393" spans="8:20" x14ac:dyDescent="0.35">
      <c r="H27393" s="711"/>
      <c r="I27393" s="711"/>
      <c r="J27393" s="711"/>
      <c r="K27393" s="711"/>
      <c r="L27393" s="711"/>
      <c r="Q27393" s="11"/>
      <c r="R27393" s="11"/>
      <c r="S27393" s="11"/>
      <c r="T27393" s="11"/>
    </row>
    <row r="27394" spans="8:20" x14ac:dyDescent="0.35">
      <c r="H27394" s="711"/>
      <c r="I27394" s="711"/>
      <c r="J27394" s="711"/>
      <c r="K27394" s="711"/>
      <c r="L27394" s="711"/>
      <c r="Q27394" s="11"/>
      <c r="R27394" s="11"/>
      <c r="S27394" s="11"/>
      <c r="T27394" s="11"/>
    </row>
    <row r="27395" spans="8:20" x14ac:dyDescent="0.35">
      <c r="H27395" s="711"/>
      <c r="I27395" s="711"/>
      <c r="J27395" s="711"/>
      <c r="K27395" s="711"/>
      <c r="L27395" s="711"/>
      <c r="Q27395" s="11"/>
      <c r="R27395" s="11"/>
      <c r="S27395" s="11"/>
      <c r="T27395" s="11"/>
    </row>
    <row r="27396" spans="8:20" x14ac:dyDescent="0.35">
      <c r="H27396" s="711"/>
      <c r="I27396" s="711"/>
      <c r="J27396" s="711"/>
      <c r="K27396" s="711"/>
      <c r="L27396" s="711"/>
      <c r="Q27396" s="11"/>
      <c r="R27396" s="11"/>
      <c r="S27396" s="11"/>
      <c r="T27396" s="11"/>
    </row>
    <row r="27397" spans="8:20" x14ac:dyDescent="0.35">
      <c r="H27397" s="711"/>
      <c r="I27397" s="711"/>
      <c r="J27397" s="711"/>
      <c r="K27397" s="711"/>
      <c r="L27397" s="711"/>
      <c r="Q27397" s="11"/>
      <c r="R27397" s="11"/>
      <c r="S27397" s="11"/>
      <c r="T27397" s="11"/>
    </row>
    <row r="27398" spans="8:20" x14ac:dyDescent="0.35">
      <c r="H27398" s="711"/>
      <c r="I27398" s="711"/>
      <c r="J27398" s="711"/>
      <c r="K27398" s="711"/>
      <c r="L27398" s="711"/>
      <c r="Q27398" s="11"/>
      <c r="R27398" s="11"/>
      <c r="S27398" s="11"/>
      <c r="T27398" s="11"/>
    </row>
    <row r="27399" spans="8:20" x14ac:dyDescent="0.35">
      <c r="H27399" s="711"/>
      <c r="I27399" s="711"/>
      <c r="J27399" s="711"/>
      <c r="K27399" s="711"/>
      <c r="L27399" s="711"/>
      <c r="Q27399" s="11"/>
      <c r="R27399" s="11"/>
      <c r="S27399" s="11"/>
      <c r="T27399" s="11"/>
    </row>
    <row r="27400" spans="8:20" x14ac:dyDescent="0.35">
      <c r="H27400" s="711"/>
      <c r="I27400" s="711"/>
      <c r="J27400" s="711"/>
      <c r="K27400" s="711"/>
      <c r="L27400" s="711"/>
      <c r="Q27400" s="11"/>
      <c r="R27400" s="11"/>
      <c r="S27400" s="11"/>
      <c r="T27400" s="11"/>
    </row>
    <row r="27401" spans="8:20" x14ac:dyDescent="0.35">
      <c r="H27401" s="711"/>
      <c r="I27401" s="711"/>
      <c r="J27401" s="711"/>
      <c r="K27401" s="711"/>
      <c r="L27401" s="711"/>
      <c r="Q27401" s="11"/>
      <c r="R27401" s="11"/>
      <c r="S27401" s="11"/>
      <c r="T27401" s="11"/>
    </row>
    <row r="27402" spans="8:20" x14ac:dyDescent="0.35">
      <c r="H27402" s="711"/>
      <c r="I27402" s="711"/>
      <c r="J27402" s="711"/>
      <c r="K27402" s="711"/>
      <c r="L27402" s="711"/>
      <c r="Q27402" s="11"/>
      <c r="R27402" s="11"/>
      <c r="S27402" s="11"/>
      <c r="T27402" s="11"/>
    </row>
    <row r="27403" spans="8:20" x14ac:dyDescent="0.35">
      <c r="H27403" s="711"/>
      <c r="I27403" s="711"/>
      <c r="J27403" s="711"/>
      <c r="K27403" s="711"/>
      <c r="L27403" s="711"/>
      <c r="Q27403" s="11"/>
      <c r="R27403" s="11"/>
      <c r="S27403" s="11"/>
      <c r="T27403" s="11"/>
    </row>
    <row r="27404" spans="8:20" x14ac:dyDescent="0.35">
      <c r="H27404" s="711"/>
      <c r="I27404" s="711"/>
      <c r="J27404" s="711"/>
      <c r="K27404" s="711"/>
      <c r="L27404" s="711"/>
      <c r="Q27404" s="11"/>
      <c r="R27404" s="11"/>
      <c r="S27404" s="11"/>
      <c r="T27404" s="11"/>
    </row>
    <row r="27405" spans="8:20" x14ac:dyDescent="0.35">
      <c r="H27405" s="711"/>
      <c r="I27405" s="711"/>
      <c r="J27405" s="711"/>
      <c r="K27405" s="711"/>
      <c r="L27405" s="711"/>
      <c r="Q27405" s="11"/>
      <c r="R27405" s="11"/>
      <c r="S27405" s="11"/>
      <c r="T27405" s="11"/>
    </row>
    <row r="27406" spans="8:20" x14ac:dyDescent="0.35">
      <c r="H27406" s="711"/>
      <c r="I27406" s="711"/>
      <c r="J27406" s="711"/>
      <c r="K27406" s="711"/>
      <c r="L27406" s="711"/>
      <c r="Q27406" s="11"/>
      <c r="R27406" s="11"/>
      <c r="S27406" s="11"/>
      <c r="T27406" s="11"/>
    </row>
    <row r="27407" spans="8:20" x14ac:dyDescent="0.35">
      <c r="H27407" s="711"/>
      <c r="I27407" s="711"/>
      <c r="J27407" s="711"/>
      <c r="K27407" s="711"/>
      <c r="L27407" s="711"/>
      <c r="Q27407" s="11"/>
      <c r="R27407" s="11"/>
      <c r="S27407" s="11"/>
      <c r="T27407" s="11"/>
    </row>
    <row r="27408" spans="8:20" x14ac:dyDescent="0.35">
      <c r="H27408" s="711"/>
      <c r="I27408" s="711"/>
      <c r="J27408" s="711"/>
      <c r="K27408" s="711"/>
      <c r="L27408" s="711"/>
      <c r="Q27408" s="11"/>
      <c r="R27408" s="11"/>
      <c r="S27408" s="11"/>
      <c r="T27408" s="11"/>
    </row>
    <row r="27409" spans="8:20" x14ac:dyDescent="0.35">
      <c r="H27409" s="711"/>
      <c r="I27409" s="711"/>
      <c r="J27409" s="711"/>
      <c r="K27409" s="711"/>
      <c r="L27409" s="711"/>
      <c r="Q27409" s="11"/>
      <c r="R27409" s="11"/>
      <c r="S27409" s="11"/>
      <c r="T27409" s="11"/>
    </row>
    <row r="27410" spans="8:20" x14ac:dyDescent="0.35">
      <c r="H27410" s="711"/>
      <c r="I27410" s="711"/>
      <c r="J27410" s="711"/>
      <c r="K27410" s="711"/>
      <c r="L27410" s="711"/>
      <c r="Q27410" s="11"/>
      <c r="R27410" s="11"/>
      <c r="S27410" s="11"/>
      <c r="T27410" s="11"/>
    </row>
    <row r="27411" spans="8:20" x14ac:dyDescent="0.35">
      <c r="H27411" s="711"/>
      <c r="I27411" s="711"/>
      <c r="J27411" s="711"/>
      <c r="K27411" s="711"/>
      <c r="L27411" s="711"/>
      <c r="Q27411" s="11"/>
      <c r="R27411" s="11"/>
      <c r="S27411" s="11"/>
      <c r="T27411" s="11"/>
    </row>
    <row r="27412" spans="8:20" x14ac:dyDescent="0.35">
      <c r="H27412" s="711"/>
      <c r="I27412" s="711"/>
      <c r="J27412" s="711"/>
      <c r="K27412" s="711"/>
      <c r="L27412" s="711"/>
      <c r="Q27412" s="11"/>
      <c r="R27412" s="11"/>
      <c r="S27412" s="11"/>
      <c r="T27412" s="11"/>
    </row>
    <row r="27413" spans="8:20" x14ac:dyDescent="0.35">
      <c r="H27413" s="711"/>
      <c r="I27413" s="711"/>
      <c r="J27413" s="711"/>
      <c r="K27413" s="711"/>
      <c r="L27413" s="711"/>
      <c r="Q27413" s="11"/>
      <c r="R27413" s="11"/>
      <c r="S27413" s="11"/>
      <c r="T27413" s="11"/>
    </row>
    <row r="27414" spans="8:20" x14ac:dyDescent="0.35">
      <c r="H27414" s="711"/>
      <c r="I27414" s="711"/>
      <c r="J27414" s="711"/>
      <c r="K27414" s="711"/>
      <c r="L27414" s="711"/>
      <c r="Q27414" s="11"/>
      <c r="R27414" s="11"/>
      <c r="S27414" s="11"/>
      <c r="T27414" s="11"/>
    </row>
    <row r="27415" spans="8:20" x14ac:dyDescent="0.35">
      <c r="H27415" s="711"/>
      <c r="I27415" s="711"/>
      <c r="J27415" s="711"/>
      <c r="K27415" s="711"/>
      <c r="L27415" s="711"/>
      <c r="Q27415" s="11"/>
      <c r="R27415" s="11"/>
      <c r="S27415" s="11"/>
      <c r="T27415" s="11"/>
    </row>
    <row r="27416" spans="8:20" x14ac:dyDescent="0.35">
      <c r="H27416" s="711"/>
      <c r="I27416" s="711"/>
      <c r="J27416" s="711"/>
      <c r="K27416" s="711"/>
      <c r="L27416" s="711"/>
      <c r="Q27416" s="11"/>
      <c r="R27416" s="11"/>
      <c r="S27416" s="11"/>
      <c r="T27416" s="11"/>
    </row>
    <row r="27417" spans="8:20" x14ac:dyDescent="0.35">
      <c r="H27417" s="711"/>
      <c r="I27417" s="711"/>
      <c r="J27417" s="711"/>
      <c r="K27417" s="711"/>
      <c r="L27417" s="711"/>
      <c r="Q27417" s="11"/>
      <c r="R27417" s="11"/>
      <c r="S27417" s="11"/>
      <c r="T27417" s="11"/>
    </row>
    <row r="27418" spans="8:20" x14ac:dyDescent="0.35">
      <c r="H27418" s="711"/>
      <c r="I27418" s="711"/>
      <c r="J27418" s="711"/>
      <c r="K27418" s="711"/>
      <c r="L27418" s="711"/>
      <c r="Q27418" s="11"/>
      <c r="R27418" s="11"/>
      <c r="S27418" s="11"/>
      <c r="T27418" s="11"/>
    </row>
    <row r="27419" spans="8:20" x14ac:dyDescent="0.35">
      <c r="H27419" s="711"/>
      <c r="I27419" s="711"/>
      <c r="J27419" s="711"/>
      <c r="K27419" s="711"/>
      <c r="L27419" s="711"/>
      <c r="Q27419" s="11"/>
      <c r="R27419" s="11"/>
      <c r="S27419" s="11"/>
      <c r="T27419" s="11"/>
    </row>
    <row r="27420" spans="8:20" x14ac:dyDescent="0.35">
      <c r="H27420" s="711"/>
      <c r="I27420" s="711"/>
      <c r="J27420" s="711"/>
      <c r="K27420" s="711"/>
      <c r="L27420" s="711"/>
      <c r="Q27420" s="11"/>
      <c r="R27420" s="11"/>
      <c r="S27420" s="11"/>
      <c r="T27420" s="11"/>
    </row>
    <row r="27421" spans="8:20" x14ac:dyDescent="0.35">
      <c r="H27421" s="711"/>
      <c r="I27421" s="711"/>
      <c r="J27421" s="711"/>
      <c r="K27421" s="711"/>
      <c r="L27421" s="711"/>
      <c r="Q27421" s="11"/>
      <c r="R27421" s="11"/>
      <c r="S27421" s="11"/>
      <c r="T27421" s="11"/>
    </row>
    <row r="27422" spans="8:20" x14ac:dyDescent="0.35">
      <c r="H27422" s="711"/>
      <c r="I27422" s="711"/>
      <c r="J27422" s="711"/>
      <c r="K27422" s="711"/>
      <c r="L27422" s="711"/>
      <c r="Q27422" s="11"/>
      <c r="R27422" s="11"/>
      <c r="S27422" s="11"/>
      <c r="T27422" s="11"/>
    </row>
    <row r="27423" spans="8:20" x14ac:dyDescent="0.35">
      <c r="H27423" s="711"/>
      <c r="I27423" s="711"/>
      <c r="J27423" s="711"/>
      <c r="K27423" s="711"/>
      <c r="L27423" s="711"/>
      <c r="Q27423" s="11"/>
      <c r="R27423" s="11"/>
      <c r="S27423" s="11"/>
      <c r="T27423" s="11"/>
    </row>
    <row r="27424" spans="8:20" x14ac:dyDescent="0.35">
      <c r="H27424" s="711"/>
      <c r="I27424" s="711"/>
      <c r="J27424" s="711"/>
      <c r="K27424" s="711"/>
      <c r="L27424" s="711"/>
      <c r="Q27424" s="11"/>
      <c r="R27424" s="11"/>
      <c r="S27424" s="11"/>
      <c r="T27424" s="11"/>
    </row>
    <row r="27425" spans="8:20" x14ac:dyDescent="0.35">
      <c r="H27425" s="711"/>
      <c r="I27425" s="711"/>
      <c r="J27425" s="711"/>
      <c r="K27425" s="711"/>
      <c r="L27425" s="711"/>
      <c r="Q27425" s="11"/>
      <c r="R27425" s="11"/>
      <c r="S27425" s="11"/>
      <c r="T27425" s="11"/>
    </row>
    <row r="27426" spans="8:20" x14ac:dyDescent="0.35">
      <c r="H27426" s="711"/>
      <c r="I27426" s="711"/>
      <c r="J27426" s="711"/>
      <c r="K27426" s="711"/>
      <c r="L27426" s="711"/>
      <c r="Q27426" s="11"/>
      <c r="R27426" s="11"/>
      <c r="S27426" s="11"/>
      <c r="T27426" s="11"/>
    </row>
    <row r="27427" spans="8:20" x14ac:dyDescent="0.35">
      <c r="H27427" s="711"/>
      <c r="I27427" s="711"/>
      <c r="J27427" s="711"/>
      <c r="K27427" s="711"/>
      <c r="L27427" s="711"/>
      <c r="Q27427" s="11"/>
      <c r="R27427" s="11"/>
      <c r="S27427" s="11"/>
      <c r="T27427" s="11"/>
    </row>
    <row r="27428" spans="8:20" x14ac:dyDescent="0.35">
      <c r="H27428" s="711"/>
      <c r="I27428" s="711"/>
      <c r="J27428" s="711"/>
      <c r="K27428" s="711"/>
      <c r="L27428" s="711"/>
      <c r="Q27428" s="11"/>
      <c r="R27428" s="11"/>
      <c r="S27428" s="11"/>
      <c r="T27428" s="11"/>
    </row>
    <row r="27429" spans="8:20" x14ac:dyDescent="0.35">
      <c r="H27429" s="711"/>
      <c r="I27429" s="711"/>
      <c r="J27429" s="711"/>
      <c r="K27429" s="711"/>
      <c r="L27429" s="711"/>
      <c r="Q27429" s="11"/>
      <c r="R27429" s="11"/>
      <c r="S27429" s="11"/>
      <c r="T27429" s="11"/>
    </row>
    <row r="27430" spans="8:20" x14ac:dyDescent="0.35">
      <c r="H27430" s="711"/>
      <c r="I27430" s="711"/>
      <c r="J27430" s="711"/>
      <c r="K27430" s="711"/>
      <c r="L27430" s="711"/>
      <c r="Q27430" s="11"/>
      <c r="R27430" s="11"/>
      <c r="S27430" s="11"/>
      <c r="T27430" s="11"/>
    </row>
    <row r="27431" spans="8:20" x14ac:dyDescent="0.35">
      <c r="H27431" s="711"/>
      <c r="I27431" s="711"/>
      <c r="J27431" s="711"/>
      <c r="K27431" s="711"/>
      <c r="L27431" s="711"/>
      <c r="Q27431" s="11"/>
      <c r="R27431" s="11"/>
      <c r="S27431" s="11"/>
      <c r="T27431" s="11"/>
    </row>
    <row r="27432" spans="8:20" x14ac:dyDescent="0.35">
      <c r="H27432" s="711"/>
      <c r="I27432" s="711"/>
      <c r="J27432" s="711"/>
      <c r="K27432" s="711"/>
      <c r="L27432" s="711"/>
      <c r="Q27432" s="11"/>
      <c r="R27432" s="11"/>
      <c r="S27432" s="11"/>
      <c r="T27432" s="11"/>
    </row>
    <row r="27433" spans="8:20" x14ac:dyDescent="0.35">
      <c r="H27433" s="711"/>
      <c r="I27433" s="711"/>
      <c r="J27433" s="711"/>
      <c r="K27433" s="711"/>
      <c r="L27433" s="711"/>
      <c r="Q27433" s="11"/>
      <c r="R27433" s="11"/>
      <c r="S27433" s="11"/>
      <c r="T27433" s="11"/>
    </row>
    <row r="27434" spans="8:20" x14ac:dyDescent="0.35">
      <c r="H27434" s="711"/>
      <c r="I27434" s="711"/>
      <c r="J27434" s="711"/>
      <c r="K27434" s="711"/>
      <c r="L27434" s="711"/>
      <c r="Q27434" s="11"/>
      <c r="R27434" s="11"/>
      <c r="S27434" s="11"/>
      <c r="T27434" s="11"/>
    </row>
    <row r="27435" spans="8:20" x14ac:dyDescent="0.35">
      <c r="H27435" s="711"/>
      <c r="I27435" s="711"/>
      <c r="J27435" s="711"/>
      <c r="K27435" s="711"/>
      <c r="L27435" s="711"/>
      <c r="Q27435" s="11"/>
      <c r="R27435" s="11"/>
      <c r="S27435" s="11"/>
      <c r="T27435" s="11"/>
    </row>
    <row r="27436" spans="8:20" x14ac:dyDescent="0.35">
      <c r="H27436" s="711"/>
      <c r="I27436" s="711"/>
      <c r="J27436" s="711"/>
      <c r="K27436" s="711"/>
      <c r="L27436" s="711"/>
      <c r="Q27436" s="11"/>
      <c r="R27436" s="11"/>
      <c r="S27436" s="11"/>
      <c r="T27436" s="11"/>
    </row>
    <row r="27437" spans="8:20" x14ac:dyDescent="0.35">
      <c r="H27437" s="711"/>
      <c r="I27437" s="711"/>
      <c r="J27437" s="711"/>
      <c r="K27437" s="711"/>
      <c r="L27437" s="711"/>
      <c r="Q27437" s="11"/>
      <c r="R27437" s="11"/>
      <c r="S27437" s="11"/>
      <c r="T27437" s="11"/>
    </row>
    <row r="27438" spans="8:20" x14ac:dyDescent="0.35">
      <c r="H27438" s="711"/>
      <c r="I27438" s="711"/>
      <c r="J27438" s="711"/>
      <c r="K27438" s="711"/>
      <c r="L27438" s="711"/>
      <c r="Q27438" s="11"/>
      <c r="R27438" s="11"/>
      <c r="S27438" s="11"/>
      <c r="T27438" s="11"/>
    </row>
    <row r="27439" spans="8:20" x14ac:dyDescent="0.35">
      <c r="H27439" s="711"/>
      <c r="I27439" s="711"/>
      <c r="J27439" s="711"/>
      <c r="K27439" s="711"/>
      <c r="L27439" s="711"/>
      <c r="Q27439" s="11"/>
      <c r="R27439" s="11"/>
      <c r="S27439" s="11"/>
      <c r="T27439" s="11"/>
    </row>
    <row r="27440" spans="8:20" x14ac:dyDescent="0.35">
      <c r="H27440" s="711"/>
      <c r="I27440" s="711"/>
      <c r="J27440" s="711"/>
      <c r="K27440" s="711"/>
      <c r="L27440" s="711"/>
      <c r="Q27440" s="11"/>
      <c r="R27440" s="11"/>
      <c r="S27440" s="11"/>
      <c r="T27440" s="11"/>
    </row>
    <row r="27441" spans="8:20" x14ac:dyDescent="0.35">
      <c r="H27441" s="711"/>
      <c r="I27441" s="711"/>
      <c r="J27441" s="711"/>
      <c r="K27441" s="711"/>
      <c r="L27441" s="711"/>
      <c r="Q27441" s="11"/>
      <c r="R27441" s="11"/>
      <c r="S27441" s="11"/>
      <c r="T27441" s="11"/>
    </row>
    <row r="27442" spans="8:20" x14ac:dyDescent="0.35">
      <c r="H27442" s="711"/>
      <c r="I27442" s="711"/>
      <c r="J27442" s="711"/>
      <c r="K27442" s="711"/>
      <c r="L27442" s="711"/>
      <c r="Q27442" s="11"/>
      <c r="R27442" s="11"/>
      <c r="S27442" s="11"/>
      <c r="T27442" s="11"/>
    </row>
    <row r="27443" spans="8:20" x14ac:dyDescent="0.35">
      <c r="H27443" s="711"/>
      <c r="I27443" s="711"/>
      <c r="J27443" s="711"/>
      <c r="K27443" s="711"/>
      <c r="L27443" s="711"/>
      <c r="Q27443" s="11"/>
      <c r="R27443" s="11"/>
      <c r="S27443" s="11"/>
      <c r="T27443" s="11"/>
    </row>
    <row r="27444" spans="8:20" x14ac:dyDescent="0.35">
      <c r="H27444" s="711"/>
      <c r="I27444" s="711"/>
      <c r="J27444" s="711"/>
      <c r="K27444" s="711"/>
      <c r="L27444" s="711"/>
      <c r="Q27444" s="11"/>
      <c r="R27444" s="11"/>
      <c r="S27444" s="11"/>
      <c r="T27444" s="11"/>
    </row>
    <row r="27445" spans="8:20" x14ac:dyDescent="0.35">
      <c r="H27445" s="711"/>
      <c r="I27445" s="711"/>
      <c r="J27445" s="711"/>
      <c r="K27445" s="711"/>
      <c r="L27445" s="711"/>
      <c r="Q27445" s="11"/>
      <c r="R27445" s="11"/>
      <c r="S27445" s="11"/>
      <c r="T27445" s="11"/>
    </row>
    <row r="27446" spans="8:20" x14ac:dyDescent="0.35">
      <c r="H27446" s="711"/>
      <c r="I27446" s="711"/>
      <c r="J27446" s="711"/>
      <c r="K27446" s="711"/>
      <c r="L27446" s="711"/>
      <c r="Q27446" s="11"/>
      <c r="R27446" s="11"/>
      <c r="S27446" s="11"/>
      <c r="T27446" s="11"/>
    </row>
    <row r="27447" spans="8:20" x14ac:dyDescent="0.35">
      <c r="H27447" s="711"/>
      <c r="I27447" s="711"/>
      <c r="J27447" s="711"/>
      <c r="K27447" s="711"/>
      <c r="L27447" s="711"/>
      <c r="Q27447" s="11"/>
      <c r="R27447" s="11"/>
      <c r="S27447" s="11"/>
      <c r="T27447" s="11"/>
    </row>
    <row r="27448" spans="8:20" x14ac:dyDescent="0.35">
      <c r="H27448" s="711"/>
      <c r="I27448" s="711"/>
      <c r="J27448" s="711"/>
      <c r="K27448" s="711"/>
      <c r="L27448" s="711"/>
      <c r="Q27448" s="11"/>
      <c r="R27448" s="11"/>
      <c r="S27448" s="11"/>
      <c r="T27448" s="11"/>
    </row>
    <row r="27449" spans="8:20" x14ac:dyDescent="0.35">
      <c r="H27449" s="711"/>
      <c r="I27449" s="711"/>
      <c r="J27449" s="711"/>
      <c r="K27449" s="711"/>
      <c r="L27449" s="711"/>
      <c r="Q27449" s="11"/>
      <c r="R27449" s="11"/>
      <c r="S27449" s="11"/>
      <c r="T27449" s="11"/>
    </row>
    <row r="27450" spans="8:20" x14ac:dyDescent="0.35">
      <c r="H27450" s="711"/>
      <c r="I27450" s="711"/>
      <c r="J27450" s="711"/>
      <c r="K27450" s="711"/>
      <c r="L27450" s="711"/>
      <c r="Q27450" s="11"/>
      <c r="R27450" s="11"/>
      <c r="S27450" s="11"/>
      <c r="T27450" s="11"/>
    </row>
    <row r="27451" spans="8:20" x14ac:dyDescent="0.35">
      <c r="H27451" s="711"/>
      <c r="I27451" s="711"/>
      <c r="J27451" s="711"/>
      <c r="K27451" s="711"/>
      <c r="L27451" s="711"/>
      <c r="Q27451" s="11"/>
      <c r="R27451" s="11"/>
      <c r="S27451" s="11"/>
      <c r="T27451" s="11"/>
    </row>
    <row r="27452" spans="8:20" x14ac:dyDescent="0.35">
      <c r="H27452" s="711"/>
      <c r="I27452" s="711"/>
      <c r="J27452" s="711"/>
      <c r="K27452" s="711"/>
      <c r="L27452" s="711"/>
      <c r="Q27452" s="11"/>
      <c r="R27452" s="11"/>
      <c r="S27452" s="11"/>
      <c r="T27452" s="11"/>
    </row>
    <row r="27453" spans="8:20" x14ac:dyDescent="0.35">
      <c r="H27453" s="711"/>
      <c r="I27453" s="711"/>
      <c r="J27453" s="711"/>
      <c r="K27453" s="711"/>
      <c r="L27453" s="711"/>
      <c r="Q27453" s="11"/>
      <c r="R27453" s="11"/>
      <c r="S27453" s="11"/>
      <c r="T27453" s="11"/>
    </row>
    <row r="27454" spans="8:20" x14ac:dyDescent="0.35">
      <c r="H27454" s="711"/>
      <c r="I27454" s="711"/>
      <c r="J27454" s="711"/>
      <c r="K27454" s="711"/>
      <c r="L27454" s="711"/>
      <c r="Q27454" s="11"/>
      <c r="R27454" s="11"/>
      <c r="S27454" s="11"/>
      <c r="T27454" s="11"/>
    </row>
    <row r="27455" spans="8:20" x14ac:dyDescent="0.35">
      <c r="H27455" s="711"/>
      <c r="I27455" s="711"/>
      <c r="J27455" s="711"/>
      <c r="K27455" s="711"/>
      <c r="L27455" s="711"/>
      <c r="Q27455" s="11"/>
      <c r="R27455" s="11"/>
      <c r="S27455" s="11"/>
      <c r="T27455" s="11"/>
    </row>
    <row r="27456" spans="8:20" x14ac:dyDescent="0.35">
      <c r="H27456" s="711"/>
      <c r="I27456" s="711"/>
      <c r="J27456" s="711"/>
      <c r="K27456" s="711"/>
      <c r="L27456" s="711"/>
      <c r="Q27456" s="11"/>
      <c r="R27456" s="11"/>
      <c r="S27456" s="11"/>
      <c r="T27456" s="11"/>
    </row>
    <row r="27457" spans="8:20" x14ac:dyDescent="0.35">
      <c r="H27457" s="711"/>
      <c r="I27457" s="711"/>
      <c r="J27457" s="711"/>
      <c r="K27457" s="711"/>
      <c r="L27457" s="711"/>
      <c r="Q27457" s="11"/>
      <c r="R27457" s="11"/>
      <c r="S27457" s="11"/>
      <c r="T27457" s="11"/>
    </row>
    <row r="27458" spans="8:20" x14ac:dyDescent="0.35">
      <c r="H27458" s="711"/>
      <c r="I27458" s="711"/>
      <c r="J27458" s="711"/>
      <c r="K27458" s="711"/>
      <c r="L27458" s="711"/>
      <c r="Q27458" s="11"/>
      <c r="R27458" s="11"/>
      <c r="S27458" s="11"/>
      <c r="T27458" s="11"/>
    </row>
    <row r="27459" spans="8:20" x14ac:dyDescent="0.35">
      <c r="H27459" s="711"/>
      <c r="I27459" s="711"/>
      <c r="J27459" s="711"/>
      <c r="K27459" s="711"/>
      <c r="L27459" s="711"/>
      <c r="Q27459" s="11"/>
      <c r="R27459" s="11"/>
      <c r="S27459" s="11"/>
      <c r="T27459" s="11"/>
    </row>
    <row r="27460" spans="8:20" x14ac:dyDescent="0.35">
      <c r="H27460" s="711"/>
      <c r="I27460" s="711"/>
      <c r="J27460" s="711"/>
      <c r="K27460" s="711"/>
      <c r="L27460" s="711"/>
      <c r="Q27460" s="11"/>
      <c r="R27460" s="11"/>
      <c r="S27460" s="11"/>
      <c r="T27460" s="11"/>
    </row>
    <row r="27461" spans="8:20" x14ac:dyDescent="0.35">
      <c r="H27461" s="711"/>
      <c r="I27461" s="711"/>
      <c r="J27461" s="711"/>
      <c r="K27461" s="711"/>
      <c r="L27461" s="711"/>
      <c r="Q27461" s="11"/>
      <c r="R27461" s="11"/>
      <c r="S27461" s="11"/>
      <c r="T27461" s="11"/>
    </row>
    <row r="27462" spans="8:20" x14ac:dyDescent="0.35">
      <c r="H27462" s="711"/>
      <c r="I27462" s="711"/>
      <c r="J27462" s="711"/>
      <c r="K27462" s="711"/>
      <c r="L27462" s="711"/>
      <c r="Q27462" s="11"/>
      <c r="R27462" s="11"/>
      <c r="S27462" s="11"/>
      <c r="T27462" s="11"/>
    </row>
    <row r="27463" spans="8:20" x14ac:dyDescent="0.35">
      <c r="H27463" s="711"/>
      <c r="I27463" s="711"/>
      <c r="J27463" s="711"/>
      <c r="K27463" s="711"/>
      <c r="L27463" s="711"/>
      <c r="Q27463" s="11"/>
      <c r="R27463" s="11"/>
      <c r="S27463" s="11"/>
      <c r="T27463" s="11"/>
    </row>
    <row r="27464" spans="8:20" x14ac:dyDescent="0.35">
      <c r="H27464" s="711"/>
      <c r="I27464" s="711"/>
      <c r="J27464" s="711"/>
      <c r="K27464" s="711"/>
      <c r="L27464" s="711"/>
      <c r="Q27464" s="11"/>
      <c r="R27464" s="11"/>
      <c r="S27464" s="11"/>
      <c r="T27464" s="11"/>
    </row>
    <row r="27465" spans="8:20" x14ac:dyDescent="0.35">
      <c r="H27465" s="711"/>
      <c r="I27465" s="711"/>
      <c r="J27465" s="711"/>
      <c r="K27465" s="711"/>
      <c r="L27465" s="711"/>
      <c r="Q27465" s="11"/>
      <c r="R27465" s="11"/>
      <c r="S27465" s="11"/>
      <c r="T27465" s="11"/>
    </row>
    <row r="27466" spans="8:20" x14ac:dyDescent="0.35">
      <c r="H27466" s="711"/>
      <c r="I27466" s="711"/>
      <c r="J27466" s="711"/>
      <c r="K27466" s="711"/>
      <c r="L27466" s="711"/>
      <c r="Q27466" s="11"/>
      <c r="R27466" s="11"/>
      <c r="S27466" s="11"/>
      <c r="T27466" s="11"/>
    </row>
    <row r="27467" spans="8:20" x14ac:dyDescent="0.35">
      <c r="H27467" s="711"/>
      <c r="I27467" s="711"/>
      <c r="J27467" s="711"/>
      <c r="K27467" s="711"/>
      <c r="L27467" s="711"/>
      <c r="Q27467" s="11"/>
      <c r="R27467" s="11"/>
      <c r="S27467" s="11"/>
      <c r="T27467" s="11"/>
    </row>
    <row r="27468" spans="8:20" x14ac:dyDescent="0.35">
      <c r="H27468" s="711"/>
      <c r="I27468" s="711"/>
      <c r="J27468" s="711"/>
      <c r="K27468" s="711"/>
      <c r="L27468" s="711"/>
      <c r="Q27468" s="11"/>
      <c r="R27468" s="11"/>
      <c r="S27468" s="11"/>
      <c r="T27468" s="11"/>
    </row>
    <row r="27469" spans="8:20" x14ac:dyDescent="0.35">
      <c r="H27469" s="711"/>
      <c r="I27469" s="711"/>
      <c r="J27469" s="711"/>
      <c r="K27469" s="711"/>
      <c r="L27469" s="711"/>
      <c r="Q27469" s="11"/>
      <c r="R27469" s="11"/>
      <c r="S27469" s="11"/>
      <c r="T27469" s="11"/>
    </row>
    <row r="27470" spans="8:20" x14ac:dyDescent="0.35">
      <c r="H27470" s="711"/>
      <c r="I27470" s="711"/>
      <c r="J27470" s="711"/>
      <c r="K27470" s="711"/>
      <c r="L27470" s="711"/>
      <c r="Q27470" s="11"/>
      <c r="R27470" s="11"/>
      <c r="S27470" s="11"/>
      <c r="T27470" s="11"/>
    </row>
    <row r="27471" spans="8:20" x14ac:dyDescent="0.35">
      <c r="H27471" s="711"/>
      <c r="I27471" s="711"/>
      <c r="J27471" s="711"/>
      <c r="K27471" s="711"/>
      <c r="L27471" s="711"/>
      <c r="Q27471" s="11"/>
      <c r="R27471" s="11"/>
      <c r="S27471" s="11"/>
      <c r="T27471" s="11"/>
    </row>
    <row r="27472" spans="8:20" x14ac:dyDescent="0.35">
      <c r="H27472" s="711"/>
      <c r="I27472" s="711"/>
      <c r="J27472" s="711"/>
      <c r="K27472" s="711"/>
      <c r="L27472" s="711"/>
      <c r="Q27472" s="11"/>
      <c r="R27472" s="11"/>
      <c r="S27472" s="11"/>
      <c r="T27472" s="11"/>
    </row>
    <row r="27473" spans="8:20" x14ac:dyDescent="0.35">
      <c r="H27473" s="711"/>
      <c r="I27473" s="711"/>
      <c r="J27473" s="711"/>
      <c r="K27473" s="711"/>
      <c r="L27473" s="711"/>
      <c r="Q27473" s="11"/>
      <c r="R27473" s="11"/>
      <c r="S27473" s="11"/>
      <c r="T27473" s="11"/>
    </row>
    <row r="27474" spans="8:20" x14ac:dyDescent="0.35">
      <c r="H27474" s="711"/>
      <c r="I27474" s="711"/>
      <c r="J27474" s="711"/>
      <c r="K27474" s="711"/>
      <c r="L27474" s="711"/>
      <c r="Q27474" s="11"/>
      <c r="R27474" s="11"/>
      <c r="S27474" s="11"/>
      <c r="T27474" s="11"/>
    </row>
    <row r="27475" spans="8:20" x14ac:dyDescent="0.35">
      <c r="H27475" s="711"/>
      <c r="I27475" s="711"/>
      <c r="J27475" s="711"/>
      <c r="K27475" s="711"/>
      <c r="L27475" s="711"/>
      <c r="Q27475" s="11"/>
      <c r="R27475" s="11"/>
      <c r="S27475" s="11"/>
      <c r="T27475" s="11"/>
    </row>
    <row r="27476" spans="8:20" x14ac:dyDescent="0.35">
      <c r="H27476" s="711"/>
      <c r="I27476" s="711"/>
      <c r="J27476" s="711"/>
      <c r="K27476" s="711"/>
      <c r="L27476" s="711"/>
      <c r="Q27476" s="11"/>
      <c r="R27476" s="11"/>
      <c r="S27476" s="11"/>
      <c r="T27476" s="11"/>
    </row>
    <row r="27477" spans="8:20" x14ac:dyDescent="0.35">
      <c r="H27477" s="711"/>
      <c r="I27477" s="711"/>
      <c r="J27477" s="711"/>
      <c r="K27477" s="711"/>
      <c r="L27477" s="711"/>
      <c r="Q27477" s="11"/>
      <c r="R27477" s="11"/>
      <c r="S27477" s="11"/>
      <c r="T27477" s="11"/>
    </row>
    <row r="27478" spans="8:20" x14ac:dyDescent="0.35">
      <c r="H27478" s="711"/>
      <c r="I27478" s="711"/>
      <c r="J27478" s="711"/>
      <c r="K27478" s="711"/>
      <c r="L27478" s="711"/>
      <c r="Q27478" s="11"/>
      <c r="R27478" s="11"/>
      <c r="S27478" s="11"/>
      <c r="T27478" s="11"/>
    </row>
    <row r="27479" spans="8:20" x14ac:dyDescent="0.35">
      <c r="H27479" s="711"/>
      <c r="I27479" s="711"/>
      <c r="J27479" s="711"/>
      <c r="K27479" s="711"/>
      <c r="L27479" s="711"/>
      <c r="Q27479" s="11"/>
      <c r="R27479" s="11"/>
      <c r="S27479" s="11"/>
      <c r="T27479" s="11"/>
    </row>
    <row r="27480" spans="8:20" x14ac:dyDescent="0.35">
      <c r="H27480" s="711"/>
      <c r="I27480" s="711"/>
      <c r="J27480" s="711"/>
      <c r="K27480" s="711"/>
      <c r="L27480" s="711"/>
      <c r="Q27480" s="11"/>
      <c r="R27480" s="11"/>
      <c r="S27480" s="11"/>
      <c r="T27480" s="11"/>
    </row>
    <row r="27481" spans="8:20" x14ac:dyDescent="0.35">
      <c r="H27481" s="711"/>
      <c r="I27481" s="711"/>
      <c r="J27481" s="711"/>
      <c r="K27481" s="711"/>
      <c r="L27481" s="711"/>
      <c r="Q27481" s="11"/>
      <c r="R27481" s="11"/>
      <c r="S27481" s="11"/>
      <c r="T27481" s="11"/>
    </row>
    <row r="27482" spans="8:20" x14ac:dyDescent="0.35">
      <c r="H27482" s="711"/>
      <c r="I27482" s="711"/>
      <c r="J27482" s="711"/>
      <c r="K27482" s="711"/>
      <c r="L27482" s="711"/>
      <c r="Q27482" s="11"/>
      <c r="R27482" s="11"/>
      <c r="S27482" s="11"/>
      <c r="T27482" s="11"/>
    </row>
    <row r="27483" spans="8:20" x14ac:dyDescent="0.35">
      <c r="H27483" s="711"/>
      <c r="I27483" s="711"/>
      <c r="J27483" s="711"/>
      <c r="K27483" s="711"/>
      <c r="L27483" s="711"/>
      <c r="Q27483" s="11"/>
      <c r="R27483" s="11"/>
      <c r="S27483" s="11"/>
      <c r="T27483" s="11"/>
    </row>
    <row r="27484" spans="8:20" x14ac:dyDescent="0.35">
      <c r="H27484" s="711"/>
      <c r="I27484" s="711"/>
      <c r="J27484" s="711"/>
      <c r="K27484" s="711"/>
      <c r="L27484" s="711"/>
      <c r="Q27484" s="11"/>
      <c r="R27484" s="11"/>
      <c r="S27484" s="11"/>
      <c r="T27484" s="11"/>
    </row>
    <row r="27485" spans="8:20" x14ac:dyDescent="0.35">
      <c r="H27485" s="711"/>
      <c r="I27485" s="711"/>
      <c r="J27485" s="711"/>
      <c r="K27485" s="711"/>
      <c r="L27485" s="711"/>
      <c r="Q27485" s="11"/>
      <c r="R27485" s="11"/>
      <c r="S27485" s="11"/>
      <c r="T27485" s="11"/>
    </row>
    <row r="27486" spans="8:20" x14ac:dyDescent="0.35">
      <c r="H27486" s="711"/>
      <c r="I27486" s="711"/>
      <c r="J27486" s="711"/>
      <c r="K27486" s="711"/>
      <c r="L27486" s="711"/>
      <c r="Q27486" s="11"/>
      <c r="R27486" s="11"/>
      <c r="S27486" s="11"/>
      <c r="T27486" s="11"/>
    </row>
    <row r="27487" spans="8:20" x14ac:dyDescent="0.35">
      <c r="H27487" s="711"/>
      <c r="I27487" s="711"/>
      <c r="J27487" s="711"/>
      <c r="K27487" s="711"/>
      <c r="L27487" s="711"/>
      <c r="Q27487" s="11"/>
      <c r="R27487" s="11"/>
      <c r="S27487" s="11"/>
      <c r="T27487" s="11"/>
    </row>
    <row r="27488" spans="8:20" x14ac:dyDescent="0.35">
      <c r="H27488" s="711"/>
      <c r="I27488" s="711"/>
      <c r="J27488" s="711"/>
      <c r="K27488" s="711"/>
      <c r="L27488" s="711"/>
      <c r="Q27488" s="11"/>
      <c r="R27488" s="11"/>
      <c r="S27488" s="11"/>
      <c r="T27488" s="11"/>
    </row>
    <row r="27489" spans="8:20" x14ac:dyDescent="0.35">
      <c r="H27489" s="711"/>
      <c r="I27489" s="711"/>
      <c r="J27489" s="711"/>
      <c r="K27489" s="711"/>
      <c r="L27489" s="711"/>
      <c r="Q27489" s="11"/>
      <c r="R27489" s="11"/>
      <c r="S27489" s="11"/>
      <c r="T27489" s="11"/>
    </row>
    <row r="27490" spans="8:20" x14ac:dyDescent="0.35">
      <c r="H27490" s="711"/>
      <c r="I27490" s="711"/>
      <c r="J27490" s="711"/>
      <c r="K27490" s="711"/>
      <c r="L27490" s="711"/>
      <c r="Q27490" s="11"/>
      <c r="R27490" s="11"/>
      <c r="S27490" s="11"/>
      <c r="T27490" s="11"/>
    </row>
    <row r="27491" spans="8:20" x14ac:dyDescent="0.35">
      <c r="H27491" s="711"/>
      <c r="I27491" s="711"/>
      <c r="J27491" s="711"/>
      <c r="K27491" s="711"/>
      <c r="L27491" s="711"/>
      <c r="Q27491" s="11"/>
      <c r="R27491" s="11"/>
      <c r="S27491" s="11"/>
      <c r="T27491" s="11"/>
    </row>
    <row r="27492" spans="8:20" x14ac:dyDescent="0.35">
      <c r="H27492" s="711"/>
      <c r="I27492" s="711"/>
      <c r="J27492" s="711"/>
      <c r="K27492" s="711"/>
      <c r="L27492" s="711"/>
      <c r="Q27492" s="11"/>
      <c r="R27492" s="11"/>
      <c r="S27492" s="11"/>
      <c r="T27492" s="11"/>
    </row>
    <row r="27493" spans="8:20" x14ac:dyDescent="0.35">
      <c r="H27493" s="711"/>
      <c r="I27493" s="711"/>
      <c r="J27493" s="711"/>
      <c r="K27493" s="711"/>
      <c r="L27493" s="711"/>
      <c r="Q27493" s="11"/>
      <c r="R27493" s="11"/>
      <c r="S27493" s="11"/>
      <c r="T27493" s="11"/>
    </row>
    <row r="27494" spans="8:20" x14ac:dyDescent="0.35">
      <c r="H27494" s="711"/>
      <c r="I27494" s="711"/>
      <c r="J27494" s="711"/>
      <c r="K27494" s="711"/>
      <c r="L27494" s="711"/>
      <c r="Q27494" s="11"/>
      <c r="R27494" s="11"/>
      <c r="S27494" s="11"/>
      <c r="T27494" s="11"/>
    </row>
    <row r="27495" spans="8:20" x14ac:dyDescent="0.35">
      <c r="H27495" s="711"/>
      <c r="I27495" s="711"/>
      <c r="J27495" s="711"/>
      <c r="K27495" s="711"/>
      <c r="L27495" s="711"/>
      <c r="Q27495" s="11"/>
      <c r="R27495" s="11"/>
      <c r="S27495" s="11"/>
      <c r="T27495" s="11"/>
    </row>
    <row r="27496" spans="8:20" x14ac:dyDescent="0.35">
      <c r="H27496" s="711"/>
      <c r="I27496" s="711"/>
      <c r="J27496" s="711"/>
      <c r="K27496" s="711"/>
      <c r="L27496" s="711"/>
      <c r="Q27496" s="11"/>
      <c r="R27496" s="11"/>
      <c r="S27496" s="11"/>
      <c r="T27496" s="11"/>
    </row>
    <row r="27497" spans="8:20" x14ac:dyDescent="0.35">
      <c r="H27497" s="711"/>
      <c r="I27497" s="711"/>
      <c r="J27497" s="711"/>
      <c r="K27497" s="711"/>
      <c r="L27497" s="711"/>
      <c r="Q27497" s="11"/>
      <c r="R27497" s="11"/>
      <c r="S27497" s="11"/>
      <c r="T27497" s="11"/>
    </row>
    <row r="27498" spans="8:20" x14ac:dyDescent="0.35">
      <c r="H27498" s="711"/>
      <c r="I27498" s="711"/>
      <c r="J27498" s="711"/>
      <c r="K27498" s="711"/>
      <c r="L27498" s="711"/>
      <c r="Q27498" s="11"/>
      <c r="R27498" s="11"/>
      <c r="S27498" s="11"/>
      <c r="T27498" s="11"/>
    </row>
    <row r="27499" spans="8:20" x14ac:dyDescent="0.35">
      <c r="H27499" s="711"/>
      <c r="I27499" s="711"/>
      <c r="J27499" s="711"/>
      <c r="K27499" s="711"/>
      <c r="L27499" s="711"/>
      <c r="Q27499" s="11"/>
      <c r="R27499" s="11"/>
      <c r="S27499" s="11"/>
      <c r="T27499" s="11"/>
    </row>
    <row r="27500" spans="8:20" x14ac:dyDescent="0.35">
      <c r="H27500" s="711"/>
      <c r="I27500" s="711"/>
      <c r="J27500" s="711"/>
      <c r="K27500" s="711"/>
      <c r="L27500" s="711"/>
      <c r="Q27500" s="11"/>
      <c r="R27500" s="11"/>
      <c r="S27500" s="11"/>
      <c r="T27500" s="11"/>
    </row>
    <row r="27501" spans="8:20" x14ac:dyDescent="0.35">
      <c r="H27501" s="711"/>
      <c r="I27501" s="711"/>
      <c r="J27501" s="711"/>
      <c r="K27501" s="711"/>
      <c r="L27501" s="711"/>
      <c r="Q27501" s="11"/>
      <c r="R27501" s="11"/>
      <c r="S27501" s="11"/>
      <c r="T27501" s="11"/>
    </row>
    <row r="27502" spans="8:20" x14ac:dyDescent="0.35">
      <c r="H27502" s="711"/>
      <c r="I27502" s="711"/>
      <c r="J27502" s="711"/>
      <c r="K27502" s="711"/>
      <c r="L27502" s="711"/>
      <c r="Q27502" s="11"/>
      <c r="R27502" s="11"/>
      <c r="S27502" s="11"/>
      <c r="T27502" s="11"/>
    </row>
    <row r="27503" spans="8:20" x14ac:dyDescent="0.35">
      <c r="H27503" s="711"/>
      <c r="I27503" s="711"/>
      <c r="J27503" s="711"/>
      <c r="K27503" s="711"/>
      <c r="L27503" s="711"/>
      <c r="Q27503" s="11"/>
      <c r="R27503" s="11"/>
      <c r="S27503" s="11"/>
      <c r="T27503" s="11"/>
    </row>
    <row r="27504" spans="8:20" x14ac:dyDescent="0.35">
      <c r="H27504" s="711"/>
      <c r="I27504" s="711"/>
      <c r="J27504" s="711"/>
      <c r="K27504" s="711"/>
      <c r="L27504" s="711"/>
      <c r="Q27504" s="11"/>
      <c r="R27504" s="11"/>
      <c r="S27504" s="11"/>
      <c r="T27504" s="11"/>
    </row>
    <row r="27505" spans="8:20" x14ac:dyDescent="0.35">
      <c r="H27505" s="711"/>
      <c r="I27505" s="711"/>
      <c r="J27505" s="711"/>
      <c r="K27505" s="711"/>
      <c r="L27505" s="711"/>
      <c r="Q27505" s="11"/>
      <c r="R27505" s="11"/>
      <c r="S27505" s="11"/>
      <c r="T27505" s="11"/>
    </row>
    <row r="27506" spans="8:20" x14ac:dyDescent="0.35">
      <c r="H27506" s="711"/>
      <c r="I27506" s="711"/>
      <c r="J27506" s="711"/>
      <c r="K27506" s="711"/>
      <c r="L27506" s="711"/>
      <c r="Q27506" s="11"/>
      <c r="R27506" s="11"/>
      <c r="S27506" s="11"/>
      <c r="T27506" s="11"/>
    </row>
    <row r="27507" spans="8:20" x14ac:dyDescent="0.35">
      <c r="H27507" s="711"/>
      <c r="I27507" s="711"/>
      <c r="J27507" s="711"/>
      <c r="K27507" s="711"/>
      <c r="L27507" s="711"/>
      <c r="Q27507" s="11"/>
      <c r="R27507" s="11"/>
      <c r="S27507" s="11"/>
      <c r="T27507" s="11"/>
    </row>
    <row r="27508" spans="8:20" x14ac:dyDescent="0.35">
      <c r="H27508" s="711"/>
      <c r="I27508" s="711"/>
      <c r="J27508" s="711"/>
      <c r="K27508" s="711"/>
      <c r="L27508" s="711"/>
      <c r="Q27508" s="11"/>
      <c r="R27508" s="11"/>
      <c r="S27508" s="11"/>
      <c r="T27508" s="11"/>
    </row>
    <row r="27509" spans="8:20" x14ac:dyDescent="0.35">
      <c r="H27509" s="711"/>
      <c r="I27509" s="711"/>
      <c r="J27509" s="711"/>
      <c r="K27509" s="711"/>
      <c r="L27509" s="711"/>
      <c r="Q27509" s="11"/>
      <c r="R27509" s="11"/>
      <c r="S27509" s="11"/>
      <c r="T27509" s="11"/>
    </row>
    <row r="27510" spans="8:20" x14ac:dyDescent="0.35">
      <c r="H27510" s="711"/>
      <c r="I27510" s="711"/>
      <c r="J27510" s="711"/>
      <c r="K27510" s="711"/>
      <c r="L27510" s="711"/>
      <c r="Q27510" s="11"/>
      <c r="R27510" s="11"/>
      <c r="S27510" s="11"/>
      <c r="T27510" s="11"/>
    </row>
    <row r="27511" spans="8:20" x14ac:dyDescent="0.35">
      <c r="H27511" s="711"/>
      <c r="I27511" s="711"/>
      <c r="J27511" s="711"/>
      <c r="K27511" s="711"/>
      <c r="L27511" s="711"/>
      <c r="Q27511" s="11"/>
      <c r="R27511" s="11"/>
      <c r="S27511" s="11"/>
      <c r="T27511" s="11"/>
    </row>
    <row r="27512" spans="8:20" x14ac:dyDescent="0.35">
      <c r="H27512" s="711"/>
      <c r="I27512" s="711"/>
      <c r="J27512" s="711"/>
      <c r="K27512" s="711"/>
      <c r="L27512" s="711"/>
      <c r="Q27512" s="11"/>
      <c r="R27512" s="11"/>
      <c r="S27512" s="11"/>
      <c r="T27512" s="11"/>
    </row>
    <row r="27513" spans="8:20" x14ac:dyDescent="0.35">
      <c r="H27513" s="711"/>
      <c r="I27513" s="711"/>
      <c r="J27513" s="711"/>
      <c r="K27513" s="711"/>
      <c r="L27513" s="711"/>
      <c r="Q27513" s="11"/>
      <c r="R27513" s="11"/>
      <c r="S27513" s="11"/>
      <c r="T27513" s="11"/>
    </row>
    <row r="27514" spans="8:20" x14ac:dyDescent="0.35">
      <c r="H27514" s="711"/>
      <c r="I27514" s="711"/>
      <c r="J27514" s="711"/>
      <c r="K27514" s="711"/>
      <c r="L27514" s="711"/>
      <c r="Q27514" s="11"/>
      <c r="R27514" s="11"/>
      <c r="S27514" s="11"/>
      <c r="T27514" s="11"/>
    </row>
    <row r="27515" spans="8:20" x14ac:dyDescent="0.35">
      <c r="H27515" s="711"/>
      <c r="I27515" s="711"/>
      <c r="J27515" s="711"/>
      <c r="K27515" s="711"/>
      <c r="L27515" s="711"/>
      <c r="Q27515" s="11"/>
      <c r="R27515" s="11"/>
      <c r="S27515" s="11"/>
      <c r="T27515" s="11"/>
    </row>
    <row r="27516" spans="8:20" x14ac:dyDescent="0.35">
      <c r="H27516" s="711"/>
      <c r="I27516" s="711"/>
      <c r="J27516" s="711"/>
      <c r="K27516" s="711"/>
      <c r="L27516" s="711"/>
      <c r="Q27516" s="11"/>
      <c r="R27516" s="11"/>
      <c r="S27516" s="11"/>
      <c r="T27516" s="11"/>
    </row>
    <row r="27517" spans="8:20" x14ac:dyDescent="0.35">
      <c r="H27517" s="711"/>
      <c r="I27517" s="711"/>
      <c r="J27517" s="711"/>
      <c r="K27517" s="711"/>
      <c r="L27517" s="711"/>
      <c r="Q27517" s="11"/>
      <c r="R27517" s="11"/>
      <c r="S27517" s="11"/>
      <c r="T27517" s="11"/>
    </row>
    <row r="27518" spans="8:20" x14ac:dyDescent="0.35">
      <c r="H27518" s="711"/>
      <c r="I27518" s="711"/>
      <c r="J27518" s="711"/>
      <c r="K27518" s="711"/>
      <c r="L27518" s="711"/>
      <c r="Q27518" s="11"/>
      <c r="R27518" s="11"/>
      <c r="S27518" s="11"/>
      <c r="T27518" s="11"/>
    </row>
    <row r="27519" spans="8:20" x14ac:dyDescent="0.35">
      <c r="H27519" s="711"/>
      <c r="I27519" s="711"/>
      <c r="J27519" s="711"/>
      <c r="K27519" s="711"/>
      <c r="L27519" s="711"/>
      <c r="Q27519" s="11"/>
      <c r="R27519" s="11"/>
      <c r="S27519" s="11"/>
      <c r="T27519" s="11"/>
    </row>
    <row r="27520" spans="8:20" x14ac:dyDescent="0.35">
      <c r="H27520" s="711"/>
      <c r="I27520" s="711"/>
      <c r="J27520" s="711"/>
      <c r="K27520" s="711"/>
      <c r="L27520" s="711"/>
      <c r="Q27520" s="11"/>
      <c r="R27520" s="11"/>
      <c r="S27520" s="11"/>
      <c r="T27520" s="11"/>
    </row>
    <row r="27521" spans="8:20" x14ac:dyDescent="0.35">
      <c r="H27521" s="711"/>
      <c r="I27521" s="711"/>
      <c r="J27521" s="711"/>
      <c r="K27521" s="711"/>
      <c r="L27521" s="711"/>
      <c r="Q27521" s="11"/>
      <c r="R27521" s="11"/>
      <c r="S27521" s="11"/>
      <c r="T27521" s="11"/>
    </row>
    <row r="27522" spans="8:20" x14ac:dyDescent="0.35">
      <c r="H27522" s="711"/>
      <c r="I27522" s="711"/>
      <c r="J27522" s="711"/>
      <c r="K27522" s="711"/>
      <c r="L27522" s="711"/>
      <c r="Q27522" s="11"/>
      <c r="R27522" s="11"/>
      <c r="S27522" s="11"/>
      <c r="T27522" s="11"/>
    </row>
    <row r="27523" spans="8:20" x14ac:dyDescent="0.35">
      <c r="H27523" s="711"/>
      <c r="I27523" s="711"/>
      <c r="J27523" s="711"/>
      <c r="K27523" s="711"/>
      <c r="L27523" s="711"/>
      <c r="Q27523" s="11"/>
      <c r="R27523" s="11"/>
      <c r="S27523" s="11"/>
      <c r="T27523" s="11"/>
    </row>
    <row r="27524" spans="8:20" x14ac:dyDescent="0.35">
      <c r="H27524" s="711"/>
      <c r="I27524" s="711"/>
      <c r="J27524" s="711"/>
      <c r="K27524" s="711"/>
      <c r="L27524" s="711"/>
      <c r="Q27524" s="11"/>
      <c r="R27524" s="11"/>
      <c r="S27524" s="11"/>
      <c r="T27524" s="11"/>
    </row>
    <row r="27525" spans="8:20" x14ac:dyDescent="0.35">
      <c r="H27525" s="711"/>
      <c r="I27525" s="711"/>
      <c r="J27525" s="711"/>
      <c r="K27525" s="711"/>
      <c r="L27525" s="711"/>
      <c r="Q27525" s="11"/>
      <c r="R27525" s="11"/>
      <c r="S27525" s="11"/>
      <c r="T27525" s="11"/>
    </row>
    <row r="27526" spans="8:20" x14ac:dyDescent="0.35">
      <c r="H27526" s="711"/>
      <c r="I27526" s="711"/>
      <c r="J27526" s="711"/>
      <c r="K27526" s="711"/>
      <c r="L27526" s="711"/>
      <c r="Q27526" s="11"/>
      <c r="R27526" s="11"/>
      <c r="S27526" s="11"/>
      <c r="T27526" s="11"/>
    </row>
    <row r="27527" spans="8:20" x14ac:dyDescent="0.35">
      <c r="H27527" s="711"/>
      <c r="I27527" s="711"/>
      <c r="J27527" s="711"/>
      <c r="K27527" s="711"/>
      <c r="L27527" s="711"/>
      <c r="Q27527" s="11"/>
      <c r="R27527" s="11"/>
      <c r="S27527" s="11"/>
      <c r="T27527" s="11"/>
    </row>
    <row r="27528" spans="8:20" x14ac:dyDescent="0.35">
      <c r="H27528" s="711"/>
      <c r="I27528" s="711"/>
      <c r="J27528" s="711"/>
      <c r="K27528" s="711"/>
      <c r="L27528" s="711"/>
      <c r="Q27528" s="11"/>
      <c r="R27528" s="11"/>
      <c r="S27528" s="11"/>
      <c r="T27528" s="11"/>
    </row>
    <row r="27529" spans="8:20" x14ac:dyDescent="0.35">
      <c r="H27529" s="711"/>
      <c r="I27529" s="711"/>
      <c r="J27529" s="711"/>
      <c r="K27529" s="711"/>
      <c r="L27529" s="711"/>
      <c r="Q27529" s="11"/>
      <c r="R27529" s="11"/>
      <c r="S27529" s="11"/>
      <c r="T27529" s="11"/>
    </row>
    <row r="27530" spans="8:20" x14ac:dyDescent="0.35">
      <c r="H27530" s="711"/>
      <c r="I27530" s="711"/>
      <c r="J27530" s="711"/>
      <c r="K27530" s="711"/>
      <c r="L27530" s="711"/>
      <c r="Q27530" s="11"/>
      <c r="R27530" s="11"/>
      <c r="S27530" s="11"/>
      <c r="T27530" s="11"/>
    </row>
    <row r="27531" spans="8:20" x14ac:dyDescent="0.35">
      <c r="H27531" s="711"/>
      <c r="I27531" s="711"/>
      <c r="J27531" s="711"/>
      <c r="K27531" s="711"/>
      <c r="L27531" s="711"/>
      <c r="Q27531" s="11"/>
      <c r="R27531" s="11"/>
      <c r="S27531" s="11"/>
      <c r="T27531" s="11"/>
    </row>
    <row r="27532" spans="8:20" x14ac:dyDescent="0.35">
      <c r="H27532" s="711"/>
      <c r="I27532" s="711"/>
      <c r="J27532" s="711"/>
      <c r="K27532" s="711"/>
      <c r="L27532" s="711"/>
      <c r="Q27532" s="11"/>
      <c r="R27532" s="11"/>
      <c r="S27532" s="11"/>
      <c r="T27532" s="11"/>
    </row>
    <row r="27533" spans="8:20" x14ac:dyDescent="0.35">
      <c r="H27533" s="711"/>
      <c r="I27533" s="711"/>
      <c r="J27533" s="711"/>
      <c r="K27533" s="711"/>
      <c r="L27533" s="711"/>
      <c r="Q27533" s="11"/>
      <c r="R27533" s="11"/>
      <c r="S27533" s="11"/>
      <c r="T27533" s="11"/>
    </row>
    <row r="27534" spans="8:20" x14ac:dyDescent="0.35">
      <c r="H27534" s="711"/>
      <c r="I27534" s="711"/>
      <c r="J27534" s="711"/>
      <c r="K27534" s="711"/>
      <c r="L27534" s="711"/>
      <c r="Q27534" s="11"/>
      <c r="R27534" s="11"/>
      <c r="S27534" s="11"/>
      <c r="T27534" s="11"/>
    </row>
    <row r="27535" spans="8:20" x14ac:dyDescent="0.35">
      <c r="H27535" s="711"/>
      <c r="I27535" s="711"/>
      <c r="J27535" s="711"/>
      <c r="K27535" s="711"/>
      <c r="L27535" s="711"/>
      <c r="Q27535" s="11"/>
      <c r="R27535" s="11"/>
      <c r="S27535" s="11"/>
      <c r="T27535" s="11"/>
    </row>
    <row r="27536" spans="8:20" x14ac:dyDescent="0.35">
      <c r="H27536" s="711"/>
      <c r="I27536" s="711"/>
      <c r="J27536" s="711"/>
      <c r="K27536" s="711"/>
      <c r="L27536" s="711"/>
      <c r="Q27536" s="11"/>
      <c r="R27536" s="11"/>
      <c r="S27536" s="11"/>
      <c r="T27536" s="11"/>
    </row>
    <row r="27537" spans="8:20" x14ac:dyDescent="0.35">
      <c r="H27537" s="711"/>
      <c r="I27537" s="711"/>
      <c r="J27537" s="711"/>
      <c r="K27537" s="711"/>
      <c r="L27537" s="711"/>
      <c r="Q27537" s="11"/>
      <c r="R27537" s="11"/>
      <c r="S27537" s="11"/>
      <c r="T27537" s="11"/>
    </row>
    <row r="27538" spans="8:20" x14ac:dyDescent="0.35">
      <c r="H27538" s="711"/>
      <c r="I27538" s="711"/>
      <c r="J27538" s="711"/>
      <c r="K27538" s="711"/>
      <c r="L27538" s="711"/>
      <c r="Q27538" s="11"/>
      <c r="R27538" s="11"/>
      <c r="S27538" s="11"/>
      <c r="T27538" s="11"/>
    </row>
    <row r="27539" spans="8:20" x14ac:dyDescent="0.35">
      <c r="H27539" s="711"/>
      <c r="I27539" s="711"/>
      <c r="J27539" s="711"/>
      <c r="K27539" s="711"/>
      <c r="L27539" s="711"/>
      <c r="Q27539" s="11"/>
      <c r="R27539" s="11"/>
      <c r="S27539" s="11"/>
      <c r="T27539" s="11"/>
    </row>
    <row r="27540" spans="8:20" x14ac:dyDescent="0.35">
      <c r="H27540" s="711"/>
      <c r="I27540" s="711"/>
      <c r="J27540" s="711"/>
      <c r="K27540" s="711"/>
      <c r="L27540" s="711"/>
      <c r="Q27540" s="11"/>
      <c r="R27540" s="11"/>
      <c r="S27540" s="11"/>
      <c r="T27540" s="11"/>
    </row>
    <row r="27541" spans="8:20" x14ac:dyDescent="0.35">
      <c r="H27541" s="711"/>
      <c r="I27541" s="711"/>
      <c r="J27541" s="711"/>
      <c r="K27541" s="711"/>
      <c r="L27541" s="711"/>
      <c r="Q27541" s="11"/>
      <c r="R27541" s="11"/>
      <c r="S27541" s="11"/>
      <c r="T27541" s="11"/>
    </row>
    <row r="27542" spans="8:20" x14ac:dyDescent="0.35">
      <c r="H27542" s="711"/>
      <c r="I27542" s="711"/>
      <c r="J27542" s="711"/>
      <c r="K27542" s="711"/>
      <c r="L27542" s="711"/>
      <c r="Q27542" s="11"/>
      <c r="R27542" s="11"/>
      <c r="S27542" s="11"/>
      <c r="T27542" s="11"/>
    </row>
    <row r="27543" spans="8:20" x14ac:dyDescent="0.35">
      <c r="H27543" s="711"/>
      <c r="I27543" s="711"/>
      <c r="J27543" s="711"/>
      <c r="K27543" s="711"/>
      <c r="L27543" s="711"/>
      <c r="Q27543" s="11"/>
      <c r="R27543" s="11"/>
      <c r="S27543" s="11"/>
      <c r="T27543" s="11"/>
    </row>
    <row r="27544" spans="8:20" x14ac:dyDescent="0.35">
      <c r="H27544" s="711"/>
      <c r="I27544" s="711"/>
      <c r="J27544" s="711"/>
      <c r="K27544" s="711"/>
      <c r="L27544" s="711"/>
      <c r="Q27544" s="11"/>
      <c r="R27544" s="11"/>
      <c r="S27544" s="11"/>
      <c r="T27544" s="11"/>
    </row>
    <row r="27545" spans="8:20" x14ac:dyDescent="0.35">
      <c r="H27545" s="711"/>
      <c r="I27545" s="711"/>
      <c r="J27545" s="711"/>
      <c r="K27545" s="711"/>
      <c r="L27545" s="711"/>
      <c r="Q27545" s="11"/>
      <c r="R27545" s="11"/>
      <c r="S27545" s="11"/>
      <c r="T27545" s="11"/>
    </row>
    <row r="27546" spans="8:20" x14ac:dyDescent="0.35">
      <c r="H27546" s="711"/>
      <c r="I27546" s="711"/>
      <c r="J27546" s="711"/>
      <c r="K27546" s="711"/>
      <c r="L27546" s="711"/>
      <c r="Q27546" s="11"/>
      <c r="R27546" s="11"/>
      <c r="S27546" s="11"/>
      <c r="T27546" s="11"/>
    </row>
    <row r="27547" spans="8:20" x14ac:dyDescent="0.35">
      <c r="H27547" s="711"/>
      <c r="I27547" s="711"/>
      <c r="J27547" s="711"/>
      <c r="K27547" s="711"/>
      <c r="L27547" s="711"/>
      <c r="Q27547" s="11"/>
      <c r="R27547" s="11"/>
      <c r="S27547" s="11"/>
      <c r="T27547" s="11"/>
    </row>
    <row r="27548" spans="8:20" x14ac:dyDescent="0.35">
      <c r="H27548" s="711"/>
      <c r="I27548" s="711"/>
      <c r="J27548" s="711"/>
      <c r="K27548" s="711"/>
      <c r="L27548" s="711"/>
      <c r="Q27548" s="11"/>
      <c r="R27548" s="11"/>
      <c r="S27548" s="11"/>
      <c r="T27548" s="11"/>
    </row>
    <row r="27549" spans="8:20" x14ac:dyDescent="0.35">
      <c r="H27549" s="711"/>
      <c r="I27549" s="711"/>
      <c r="J27549" s="711"/>
      <c r="K27549" s="711"/>
      <c r="L27549" s="711"/>
      <c r="Q27549" s="11"/>
      <c r="R27549" s="11"/>
      <c r="S27549" s="11"/>
      <c r="T27549" s="11"/>
    </row>
    <row r="27550" spans="8:20" x14ac:dyDescent="0.35">
      <c r="H27550" s="711"/>
      <c r="I27550" s="711"/>
      <c r="J27550" s="711"/>
      <c r="K27550" s="711"/>
      <c r="L27550" s="711"/>
      <c r="Q27550" s="11"/>
      <c r="R27550" s="11"/>
      <c r="S27550" s="11"/>
      <c r="T27550" s="11"/>
    </row>
    <row r="27551" spans="8:20" x14ac:dyDescent="0.35">
      <c r="H27551" s="711"/>
      <c r="I27551" s="711"/>
      <c r="J27551" s="711"/>
      <c r="K27551" s="711"/>
      <c r="L27551" s="711"/>
      <c r="Q27551" s="11"/>
      <c r="R27551" s="11"/>
      <c r="S27551" s="11"/>
      <c r="T27551" s="11"/>
    </row>
    <row r="27552" spans="8:20" x14ac:dyDescent="0.35">
      <c r="H27552" s="711"/>
      <c r="I27552" s="711"/>
      <c r="J27552" s="711"/>
      <c r="K27552" s="711"/>
      <c r="L27552" s="711"/>
      <c r="Q27552" s="11"/>
      <c r="R27552" s="11"/>
      <c r="S27552" s="11"/>
      <c r="T27552" s="11"/>
    </row>
    <row r="27553" spans="8:20" x14ac:dyDescent="0.35">
      <c r="H27553" s="711"/>
      <c r="I27553" s="711"/>
      <c r="J27553" s="711"/>
      <c r="K27553" s="711"/>
      <c r="L27553" s="711"/>
      <c r="Q27553" s="11"/>
      <c r="R27553" s="11"/>
      <c r="S27553" s="11"/>
      <c r="T27553" s="11"/>
    </row>
    <row r="27554" spans="8:20" x14ac:dyDescent="0.35">
      <c r="H27554" s="711"/>
      <c r="I27554" s="711"/>
      <c r="J27554" s="711"/>
      <c r="K27554" s="711"/>
      <c r="L27554" s="711"/>
      <c r="Q27554" s="11"/>
      <c r="R27554" s="11"/>
      <c r="S27554" s="11"/>
      <c r="T27554" s="11"/>
    </row>
    <row r="27555" spans="8:20" x14ac:dyDescent="0.35">
      <c r="H27555" s="711"/>
      <c r="I27555" s="711"/>
      <c r="J27555" s="711"/>
      <c r="K27555" s="711"/>
      <c r="L27555" s="711"/>
      <c r="Q27555" s="11"/>
      <c r="R27555" s="11"/>
      <c r="S27555" s="11"/>
      <c r="T27555" s="11"/>
    </row>
    <row r="27556" spans="8:20" x14ac:dyDescent="0.35">
      <c r="H27556" s="711"/>
      <c r="I27556" s="711"/>
      <c r="J27556" s="711"/>
      <c r="K27556" s="711"/>
      <c r="L27556" s="711"/>
      <c r="Q27556" s="11"/>
      <c r="R27556" s="11"/>
      <c r="S27556" s="11"/>
      <c r="T27556" s="11"/>
    </row>
    <row r="27557" spans="8:20" x14ac:dyDescent="0.35">
      <c r="H27557" s="711"/>
      <c r="I27557" s="711"/>
      <c r="J27557" s="711"/>
      <c r="K27557" s="711"/>
      <c r="L27557" s="711"/>
      <c r="Q27557" s="11"/>
      <c r="R27557" s="11"/>
      <c r="S27557" s="11"/>
      <c r="T27557" s="11"/>
    </row>
    <row r="27558" spans="8:20" x14ac:dyDescent="0.35">
      <c r="H27558" s="711"/>
      <c r="I27558" s="711"/>
      <c r="J27558" s="711"/>
      <c r="K27558" s="711"/>
      <c r="L27558" s="711"/>
      <c r="Q27558" s="11"/>
      <c r="R27558" s="11"/>
      <c r="S27558" s="11"/>
      <c r="T27558" s="11"/>
    </row>
    <row r="27559" spans="8:20" x14ac:dyDescent="0.35">
      <c r="H27559" s="711"/>
      <c r="I27559" s="711"/>
      <c r="J27559" s="711"/>
      <c r="K27559" s="711"/>
      <c r="L27559" s="711"/>
      <c r="Q27559" s="11"/>
      <c r="R27559" s="11"/>
      <c r="S27559" s="11"/>
      <c r="T27559" s="11"/>
    </row>
    <row r="27560" spans="8:20" x14ac:dyDescent="0.35">
      <c r="H27560" s="711"/>
      <c r="I27560" s="711"/>
      <c r="J27560" s="711"/>
      <c r="K27560" s="711"/>
      <c r="L27560" s="711"/>
      <c r="Q27560" s="11"/>
      <c r="R27560" s="11"/>
      <c r="S27560" s="11"/>
      <c r="T27560" s="11"/>
    </row>
    <row r="27561" spans="8:20" x14ac:dyDescent="0.35">
      <c r="H27561" s="711"/>
      <c r="I27561" s="711"/>
      <c r="J27561" s="711"/>
      <c r="K27561" s="711"/>
      <c r="L27561" s="711"/>
      <c r="Q27561" s="11"/>
      <c r="R27561" s="11"/>
      <c r="S27561" s="11"/>
      <c r="T27561" s="11"/>
    </row>
    <row r="27562" spans="8:20" x14ac:dyDescent="0.35">
      <c r="H27562" s="711"/>
      <c r="I27562" s="711"/>
      <c r="J27562" s="711"/>
      <c r="K27562" s="711"/>
      <c r="L27562" s="711"/>
      <c r="Q27562" s="11"/>
      <c r="R27562" s="11"/>
      <c r="S27562" s="11"/>
      <c r="T27562" s="11"/>
    </row>
    <row r="27563" spans="8:20" x14ac:dyDescent="0.35">
      <c r="H27563" s="711"/>
      <c r="I27563" s="711"/>
      <c r="J27563" s="711"/>
      <c r="K27563" s="711"/>
      <c r="L27563" s="711"/>
      <c r="Q27563" s="11"/>
      <c r="R27563" s="11"/>
      <c r="S27563" s="11"/>
      <c r="T27563" s="11"/>
    </row>
    <row r="27564" spans="8:20" x14ac:dyDescent="0.35">
      <c r="H27564" s="711"/>
      <c r="I27564" s="711"/>
      <c r="J27564" s="711"/>
      <c r="K27564" s="711"/>
      <c r="L27564" s="711"/>
      <c r="Q27564" s="11"/>
      <c r="R27564" s="11"/>
      <c r="S27564" s="11"/>
      <c r="T27564" s="11"/>
    </row>
    <row r="27565" spans="8:20" x14ac:dyDescent="0.35">
      <c r="H27565" s="711"/>
      <c r="I27565" s="711"/>
      <c r="J27565" s="711"/>
      <c r="K27565" s="711"/>
      <c r="L27565" s="711"/>
      <c r="Q27565" s="11"/>
      <c r="R27565" s="11"/>
      <c r="S27565" s="11"/>
      <c r="T27565" s="11"/>
    </row>
    <row r="27566" spans="8:20" x14ac:dyDescent="0.35">
      <c r="H27566" s="711"/>
      <c r="I27566" s="711"/>
      <c r="J27566" s="711"/>
      <c r="K27566" s="711"/>
      <c r="L27566" s="711"/>
      <c r="Q27566" s="11"/>
      <c r="R27566" s="11"/>
      <c r="S27566" s="11"/>
      <c r="T27566" s="11"/>
    </row>
    <row r="27567" spans="8:20" x14ac:dyDescent="0.35">
      <c r="H27567" s="711"/>
      <c r="I27567" s="711"/>
      <c r="J27567" s="711"/>
      <c r="K27567" s="711"/>
      <c r="L27567" s="711"/>
      <c r="Q27567" s="11"/>
      <c r="R27567" s="11"/>
      <c r="S27567" s="11"/>
      <c r="T27567" s="11"/>
    </row>
    <row r="27568" spans="8:20" x14ac:dyDescent="0.35">
      <c r="H27568" s="711"/>
      <c r="I27568" s="711"/>
      <c r="J27568" s="711"/>
      <c r="K27568" s="711"/>
      <c r="L27568" s="711"/>
      <c r="Q27568" s="11"/>
      <c r="R27568" s="11"/>
      <c r="S27568" s="11"/>
      <c r="T27568" s="11"/>
    </row>
    <row r="27569" spans="8:20" x14ac:dyDescent="0.35">
      <c r="H27569" s="711"/>
      <c r="I27569" s="711"/>
      <c r="J27569" s="711"/>
      <c r="K27569" s="711"/>
      <c r="L27569" s="711"/>
      <c r="Q27569" s="11"/>
      <c r="R27569" s="11"/>
      <c r="S27569" s="11"/>
      <c r="T27569" s="11"/>
    </row>
    <row r="27570" spans="8:20" x14ac:dyDescent="0.35">
      <c r="H27570" s="711"/>
      <c r="I27570" s="711"/>
      <c r="J27570" s="711"/>
      <c r="K27570" s="711"/>
      <c r="L27570" s="711"/>
      <c r="Q27570" s="11"/>
      <c r="R27570" s="11"/>
      <c r="S27570" s="11"/>
      <c r="T27570" s="11"/>
    </row>
    <row r="27571" spans="8:20" x14ac:dyDescent="0.35">
      <c r="H27571" s="711"/>
      <c r="I27571" s="711"/>
      <c r="J27571" s="711"/>
      <c r="K27571" s="711"/>
      <c r="L27571" s="711"/>
      <c r="Q27571" s="11"/>
      <c r="R27571" s="11"/>
      <c r="S27571" s="11"/>
      <c r="T27571" s="11"/>
    </row>
    <row r="27572" spans="8:20" x14ac:dyDescent="0.35">
      <c r="H27572" s="711"/>
      <c r="I27572" s="711"/>
      <c r="J27572" s="711"/>
      <c r="K27572" s="711"/>
      <c r="L27572" s="711"/>
      <c r="Q27572" s="11"/>
      <c r="R27572" s="11"/>
      <c r="S27572" s="11"/>
      <c r="T27572" s="11"/>
    </row>
    <row r="27573" spans="8:20" x14ac:dyDescent="0.35">
      <c r="H27573" s="711"/>
      <c r="I27573" s="711"/>
      <c r="J27573" s="711"/>
      <c r="K27573" s="711"/>
      <c r="L27573" s="711"/>
      <c r="Q27573" s="11"/>
      <c r="R27573" s="11"/>
      <c r="S27573" s="11"/>
      <c r="T27573" s="11"/>
    </row>
    <row r="27574" spans="8:20" x14ac:dyDescent="0.35">
      <c r="H27574" s="711"/>
      <c r="I27574" s="711"/>
      <c r="J27574" s="711"/>
      <c r="K27574" s="711"/>
      <c r="L27574" s="711"/>
      <c r="Q27574" s="11"/>
      <c r="R27574" s="11"/>
      <c r="S27574" s="11"/>
      <c r="T27574" s="11"/>
    </row>
    <row r="27575" spans="8:20" x14ac:dyDescent="0.35">
      <c r="H27575" s="711"/>
      <c r="I27575" s="711"/>
      <c r="J27575" s="711"/>
      <c r="K27575" s="711"/>
      <c r="L27575" s="711"/>
      <c r="Q27575" s="11"/>
      <c r="R27575" s="11"/>
      <c r="S27575" s="11"/>
      <c r="T27575" s="11"/>
    </row>
    <row r="27576" spans="8:20" x14ac:dyDescent="0.35">
      <c r="H27576" s="711"/>
      <c r="I27576" s="711"/>
      <c r="J27576" s="711"/>
      <c r="K27576" s="711"/>
      <c r="L27576" s="711"/>
      <c r="Q27576" s="11"/>
      <c r="R27576" s="11"/>
      <c r="S27576" s="11"/>
      <c r="T27576" s="11"/>
    </row>
    <row r="27577" spans="8:20" x14ac:dyDescent="0.35">
      <c r="H27577" s="711"/>
      <c r="I27577" s="711"/>
      <c r="J27577" s="711"/>
      <c r="K27577" s="711"/>
      <c r="L27577" s="711"/>
      <c r="Q27577" s="11"/>
      <c r="R27577" s="11"/>
      <c r="S27577" s="11"/>
      <c r="T27577" s="11"/>
    </row>
    <row r="27578" spans="8:20" x14ac:dyDescent="0.35">
      <c r="H27578" s="711"/>
      <c r="I27578" s="711"/>
      <c r="J27578" s="711"/>
      <c r="K27578" s="711"/>
      <c r="L27578" s="711"/>
      <c r="Q27578" s="11"/>
      <c r="R27578" s="11"/>
      <c r="S27578" s="11"/>
      <c r="T27578" s="11"/>
    </row>
    <row r="27579" spans="8:20" x14ac:dyDescent="0.35">
      <c r="H27579" s="711"/>
      <c r="I27579" s="711"/>
      <c r="J27579" s="711"/>
      <c r="K27579" s="711"/>
      <c r="L27579" s="711"/>
      <c r="Q27579" s="11"/>
      <c r="R27579" s="11"/>
      <c r="S27579" s="11"/>
      <c r="T27579" s="11"/>
    </row>
    <row r="27580" spans="8:20" x14ac:dyDescent="0.35">
      <c r="H27580" s="711"/>
      <c r="I27580" s="711"/>
      <c r="J27580" s="711"/>
      <c r="K27580" s="711"/>
      <c r="L27580" s="711"/>
      <c r="Q27580" s="11"/>
      <c r="R27580" s="11"/>
      <c r="S27580" s="11"/>
      <c r="T27580" s="11"/>
    </row>
    <row r="27581" spans="8:20" x14ac:dyDescent="0.35">
      <c r="H27581" s="711"/>
      <c r="I27581" s="711"/>
      <c r="J27581" s="711"/>
      <c r="K27581" s="711"/>
      <c r="L27581" s="711"/>
      <c r="Q27581" s="11"/>
      <c r="R27581" s="11"/>
      <c r="S27581" s="11"/>
      <c r="T27581" s="11"/>
    </row>
    <row r="27582" spans="8:20" x14ac:dyDescent="0.35">
      <c r="H27582" s="711"/>
      <c r="I27582" s="711"/>
      <c r="J27582" s="711"/>
      <c r="K27582" s="711"/>
      <c r="L27582" s="711"/>
      <c r="Q27582" s="11"/>
      <c r="R27582" s="11"/>
      <c r="S27582" s="11"/>
      <c r="T27582" s="11"/>
    </row>
    <row r="27583" spans="8:20" x14ac:dyDescent="0.35">
      <c r="H27583" s="711"/>
      <c r="I27583" s="711"/>
      <c r="J27583" s="711"/>
      <c r="K27583" s="711"/>
      <c r="L27583" s="711"/>
      <c r="Q27583" s="11"/>
      <c r="R27583" s="11"/>
      <c r="S27583" s="11"/>
      <c r="T27583" s="11"/>
    </row>
    <row r="27584" spans="8:20" x14ac:dyDescent="0.35">
      <c r="H27584" s="711"/>
      <c r="I27584" s="711"/>
      <c r="J27584" s="711"/>
      <c r="K27584" s="711"/>
      <c r="L27584" s="711"/>
      <c r="Q27584" s="11"/>
      <c r="R27584" s="11"/>
      <c r="S27584" s="11"/>
      <c r="T27584" s="11"/>
    </row>
    <row r="27585" spans="8:20" x14ac:dyDescent="0.35">
      <c r="H27585" s="711"/>
      <c r="I27585" s="711"/>
      <c r="J27585" s="711"/>
      <c r="K27585" s="711"/>
      <c r="L27585" s="711"/>
      <c r="Q27585" s="11"/>
      <c r="R27585" s="11"/>
      <c r="S27585" s="11"/>
      <c r="T27585" s="11"/>
    </row>
    <row r="27586" spans="8:20" x14ac:dyDescent="0.35">
      <c r="H27586" s="711"/>
      <c r="I27586" s="711"/>
      <c r="J27586" s="711"/>
      <c r="K27586" s="711"/>
      <c r="L27586" s="711"/>
      <c r="Q27586" s="11"/>
      <c r="R27586" s="11"/>
      <c r="S27586" s="11"/>
      <c r="T27586" s="11"/>
    </row>
    <row r="27587" spans="8:20" x14ac:dyDescent="0.35">
      <c r="H27587" s="711"/>
      <c r="I27587" s="711"/>
      <c r="J27587" s="711"/>
      <c r="K27587" s="711"/>
      <c r="L27587" s="711"/>
      <c r="Q27587" s="11"/>
      <c r="R27587" s="11"/>
      <c r="S27587" s="11"/>
      <c r="T27587" s="11"/>
    </row>
    <row r="27588" spans="8:20" x14ac:dyDescent="0.35">
      <c r="H27588" s="711"/>
      <c r="I27588" s="711"/>
      <c r="J27588" s="711"/>
      <c r="K27588" s="711"/>
      <c r="L27588" s="711"/>
      <c r="Q27588" s="11"/>
      <c r="R27588" s="11"/>
      <c r="S27588" s="11"/>
      <c r="T27588" s="11"/>
    </row>
    <row r="27589" spans="8:20" x14ac:dyDescent="0.35">
      <c r="H27589" s="711"/>
      <c r="I27589" s="711"/>
      <c r="J27589" s="711"/>
      <c r="K27589" s="711"/>
      <c r="L27589" s="711"/>
      <c r="Q27589" s="11"/>
      <c r="R27589" s="11"/>
      <c r="S27589" s="11"/>
      <c r="T27589" s="11"/>
    </row>
    <row r="27590" spans="8:20" x14ac:dyDescent="0.35">
      <c r="H27590" s="711"/>
      <c r="I27590" s="711"/>
      <c r="J27590" s="711"/>
      <c r="K27590" s="711"/>
      <c r="L27590" s="711"/>
      <c r="Q27590" s="11"/>
      <c r="R27590" s="11"/>
      <c r="S27590" s="11"/>
      <c r="T27590" s="11"/>
    </row>
    <row r="27591" spans="8:20" x14ac:dyDescent="0.35">
      <c r="H27591" s="711"/>
      <c r="I27591" s="711"/>
      <c r="J27591" s="711"/>
      <c r="K27591" s="711"/>
      <c r="L27591" s="711"/>
      <c r="Q27591" s="11"/>
      <c r="R27591" s="11"/>
      <c r="S27591" s="11"/>
      <c r="T27591" s="11"/>
    </row>
    <row r="27592" spans="8:20" x14ac:dyDescent="0.35">
      <c r="H27592" s="711"/>
      <c r="I27592" s="711"/>
      <c r="J27592" s="711"/>
      <c r="K27592" s="711"/>
      <c r="L27592" s="711"/>
      <c r="Q27592" s="11"/>
      <c r="R27592" s="11"/>
      <c r="S27592" s="11"/>
      <c r="T27592" s="11"/>
    </row>
    <row r="27593" spans="8:20" x14ac:dyDescent="0.35">
      <c r="H27593" s="711"/>
      <c r="I27593" s="711"/>
      <c r="J27593" s="711"/>
      <c r="K27593" s="711"/>
      <c r="L27593" s="711"/>
      <c r="Q27593" s="11"/>
      <c r="R27593" s="11"/>
      <c r="S27593" s="11"/>
      <c r="T27593" s="11"/>
    </row>
    <row r="27594" spans="8:20" x14ac:dyDescent="0.35">
      <c r="H27594" s="711"/>
      <c r="I27594" s="711"/>
      <c r="J27594" s="711"/>
      <c r="K27594" s="711"/>
      <c r="L27594" s="711"/>
      <c r="Q27594" s="11"/>
      <c r="R27594" s="11"/>
      <c r="S27594" s="11"/>
      <c r="T27594" s="11"/>
    </row>
    <row r="27595" spans="8:20" x14ac:dyDescent="0.35">
      <c r="H27595" s="711"/>
      <c r="I27595" s="711"/>
      <c r="J27595" s="711"/>
      <c r="K27595" s="711"/>
      <c r="L27595" s="711"/>
      <c r="Q27595" s="11"/>
      <c r="R27595" s="11"/>
      <c r="S27595" s="11"/>
      <c r="T27595" s="11"/>
    </row>
    <row r="27596" spans="8:20" x14ac:dyDescent="0.35">
      <c r="H27596" s="711"/>
      <c r="I27596" s="711"/>
      <c r="J27596" s="711"/>
      <c r="K27596" s="711"/>
      <c r="L27596" s="711"/>
      <c r="Q27596" s="11"/>
      <c r="R27596" s="11"/>
      <c r="S27596" s="11"/>
      <c r="T27596" s="11"/>
    </row>
    <row r="27597" spans="8:20" x14ac:dyDescent="0.35">
      <c r="H27597" s="711"/>
      <c r="I27597" s="711"/>
      <c r="J27597" s="711"/>
      <c r="K27597" s="711"/>
      <c r="L27597" s="711"/>
      <c r="Q27597" s="11"/>
      <c r="R27597" s="11"/>
      <c r="S27597" s="11"/>
      <c r="T27597" s="11"/>
    </row>
    <row r="27598" spans="8:20" x14ac:dyDescent="0.35">
      <c r="H27598" s="711"/>
      <c r="I27598" s="711"/>
      <c r="J27598" s="711"/>
      <c r="K27598" s="711"/>
      <c r="L27598" s="711"/>
      <c r="Q27598" s="11"/>
      <c r="R27598" s="11"/>
      <c r="S27598" s="11"/>
      <c r="T27598" s="11"/>
    </row>
    <row r="27599" spans="8:20" x14ac:dyDescent="0.35">
      <c r="H27599" s="711"/>
      <c r="I27599" s="711"/>
      <c r="J27599" s="711"/>
      <c r="K27599" s="711"/>
      <c r="L27599" s="711"/>
      <c r="Q27599" s="11"/>
      <c r="R27599" s="11"/>
      <c r="S27599" s="11"/>
      <c r="T27599" s="11"/>
    </row>
    <row r="27600" spans="8:20" x14ac:dyDescent="0.35">
      <c r="H27600" s="711"/>
      <c r="I27600" s="711"/>
      <c r="J27600" s="711"/>
      <c r="K27600" s="711"/>
      <c r="L27600" s="711"/>
      <c r="Q27600" s="11"/>
      <c r="R27600" s="11"/>
      <c r="S27600" s="11"/>
      <c r="T27600" s="11"/>
    </row>
    <row r="27601" spans="8:20" x14ac:dyDescent="0.35">
      <c r="H27601" s="711"/>
      <c r="I27601" s="711"/>
      <c r="J27601" s="711"/>
      <c r="K27601" s="711"/>
      <c r="L27601" s="711"/>
      <c r="Q27601" s="11"/>
      <c r="R27601" s="11"/>
      <c r="S27601" s="11"/>
      <c r="T27601" s="11"/>
    </row>
    <row r="27602" spans="8:20" x14ac:dyDescent="0.35">
      <c r="H27602" s="711"/>
      <c r="I27602" s="711"/>
      <c r="J27602" s="711"/>
      <c r="K27602" s="711"/>
      <c r="L27602" s="711"/>
      <c r="Q27602" s="11"/>
      <c r="R27602" s="11"/>
      <c r="S27602" s="11"/>
      <c r="T27602" s="11"/>
    </row>
    <row r="27603" spans="8:20" x14ac:dyDescent="0.35">
      <c r="H27603" s="711"/>
      <c r="I27603" s="711"/>
      <c r="J27603" s="711"/>
      <c r="K27603" s="711"/>
      <c r="L27603" s="711"/>
      <c r="Q27603" s="11"/>
      <c r="R27603" s="11"/>
      <c r="S27603" s="11"/>
      <c r="T27603" s="11"/>
    </row>
    <row r="27604" spans="8:20" x14ac:dyDescent="0.35">
      <c r="H27604" s="711"/>
      <c r="I27604" s="711"/>
      <c r="J27604" s="711"/>
      <c r="K27604" s="711"/>
      <c r="L27604" s="711"/>
      <c r="Q27604" s="11"/>
      <c r="R27604" s="11"/>
      <c r="S27604" s="11"/>
      <c r="T27604" s="11"/>
    </row>
    <row r="27605" spans="8:20" x14ac:dyDescent="0.35">
      <c r="H27605" s="711"/>
      <c r="I27605" s="711"/>
      <c r="J27605" s="711"/>
      <c r="K27605" s="711"/>
      <c r="L27605" s="711"/>
      <c r="Q27605" s="11"/>
      <c r="R27605" s="11"/>
      <c r="S27605" s="11"/>
      <c r="T27605" s="11"/>
    </row>
    <row r="27606" spans="8:20" x14ac:dyDescent="0.35">
      <c r="H27606" s="711"/>
      <c r="I27606" s="711"/>
      <c r="J27606" s="711"/>
      <c r="K27606" s="711"/>
      <c r="L27606" s="711"/>
      <c r="Q27606" s="11"/>
      <c r="R27606" s="11"/>
      <c r="S27606" s="11"/>
      <c r="T27606" s="11"/>
    </row>
    <row r="27607" spans="8:20" x14ac:dyDescent="0.35">
      <c r="H27607" s="711"/>
      <c r="I27607" s="711"/>
      <c r="J27607" s="711"/>
      <c r="K27607" s="711"/>
      <c r="L27607" s="711"/>
      <c r="Q27607" s="11"/>
      <c r="R27607" s="11"/>
      <c r="S27607" s="11"/>
      <c r="T27607" s="11"/>
    </row>
    <row r="27608" spans="8:20" x14ac:dyDescent="0.35">
      <c r="H27608" s="711"/>
      <c r="I27608" s="711"/>
      <c r="J27608" s="711"/>
      <c r="K27608" s="711"/>
      <c r="L27608" s="711"/>
      <c r="Q27608" s="11"/>
      <c r="R27608" s="11"/>
      <c r="S27608" s="11"/>
      <c r="T27608" s="11"/>
    </row>
    <row r="27609" spans="8:20" x14ac:dyDescent="0.35">
      <c r="H27609" s="711"/>
      <c r="I27609" s="711"/>
      <c r="J27609" s="711"/>
      <c r="K27609" s="711"/>
      <c r="L27609" s="711"/>
      <c r="Q27609" s="11"/>
      <c r="R27609" s="11"/>
      <c r="S27609" s="11"/>
      <c r="T27609" s="11"/>
    </row>
    <row r="27610" spans="8:20" x14ac:dyDescent="0.35">
      <c r="H27610" s="711"/>
      <c r="I27610" s="711"/>
      <c r="J27610" s="711"/>
      <c r="K27610" s="711"/>
      <c r="L27610" s="711"/>
      <c r="Q27610" s="11"/>
      <c r="R27610" s="11"/>
      <c r="S27610" s="11"/>
      <c r="T27610" s="11"/>
    </row>
    <row r="27611" spans="8:20" x14ac:dyDescent="0.35">
      <c r="H27611" s="711"/>
      <c r="I27611" s="711"/>
      <c r="J27611" s="711"/>
      <c r="K27611" s="711"/>
      <c r="L27611" s="711"/>
      <c r="Q27611" s="11"/>
      <c r="R27611" s="11"/>
      <c r="S27611" s="11"/>
      <c r="T27611" s="11"/>
    </row>
    <row r="27612" spans="8:20" x14ac:dyDescent="0.35">
      <c r="H27612" s="711"/>
      <c r="I27612" s="711"/>
      <c r="J27612" s="711"/>
      <c r="K27612" s="711"/>
      <c r="L27612" s="711"/>
      <c r="Q27612" s="11"/>
      <c r="R27612" s="11"/>
      <c r="S27612" s="11"/>
      <c r="T27612" s="11"/>
    </row>
    <row r="27613" spans="8:20" x14ac:dyDescent="0.35">
      <c r="H27613" s="711"/>
      <c r="I27613" s="711"/>
      <c r="J27613" s="711"/>
      <c r="K27613" s="711"/>
      <c r="L27613" s="711"/>
      <c r="Q27613" s="11"/>
      <c r="R27613" s="11"/>
      <c r="S27613" s="11"/>
      <c r="T27613" s="11"/>
    </row>
    <row r="27614" spans="8:20" x14ac:dyDescent="0.35">
      <c r="H27614" s="711"/>
      <c r="I27614" s="711"/>
      <c r="J27614" s="711"/>
      <c r="K27614" s="711"/>
      <c r="L27614" s="711"/>
      <c r="Q27614" s="11"/>
      <c r="R27614" s="11"/>
      <c r="S27614" s="11"/>
      <c r="T27614" s="11"/>
    </row>
    <row r="27615" spans="8:20" x14ac:dyDescent="0.35">
      <c r="H27615" s="711"/>
      <c r="I27615" s="711"/>
      <c r="J27615" s="711"/>
      <c r="K27615" s="711"/>
      <c r="L27615" s="711"/>
      <c r="Q27615" s="11"/>
      <c r="R27615" s="11"/>
      <c r="S27615" s="11"/>
      <c r="T27615" s="11"/>
    </row>
    <row r="27616" spans="8:20" x14ac:dyDescent="0.35">
      <c r="H27616" s="711"/>
      <c r="I27616" s="711"/>
      <c r="J27616" s="711"/>
      <c r="K27616" s="711"/>
      <c r="L27616" s="711"/>
      <c r="Q27616" s="11"/>
      <c r="R27616" s="11"/>
      <c r="S27616" s="11"/>
      <c r="T27616" s="11"/>
    </row>
    <row r="27617" spans="8:20" x14ac:dyDescent="0.35">
      <c r="H27617" s="711"/>
      <c r="I27617" s="711"/>
      <c r="J27617" s="711"/>
      <c r="K27617" s="711"/>
      <c r="L27617" s="711"/>
      <c r="Q27617" s="11"/>
      <c r="R27617" s="11"/>
      <c r="S27617" s="11"/>
      <c r="T27617" s="11"/>
    </row>
    <row r="27618" spans="8:20" x14ac:dyDescent="0.35">
      <c r="H27618" s="711"/>
      <c r="I27618" s="711"/>
      <c r="J27618" s="711"/>
      <c r="K27618" s="711"/>
      <c r="L27618" s="711"/>
      <c r="Q27618" s="11"/>
      <c r="R27618" s="11"/>
      <c r="S27618" s="11"/>
      <c r="T27618" s="11"/>
    </row>
    <row r="27619" spans="8:20" x14ac:dyDescent="0.35">
      <c r="H27619" s="711"/>
      <c r="I27619" s="711"/>
      <c r="J27619" s="711"/>
      <c r="K27619" s="711"/>
      <c r="L27619" s="711"/>
      <c r="Q27619" s="11"/>
      <c r="R27619" s="11"/>
      <c r="S27619" s="11"/>
      <c r="T27619" s="11"/>
    </row>
    <row r="27620" spans="8:20" x14ac:dyDescent="0.35">
      <c r="H27620" s="711"/>
      <c r="I27620" s="711"/>
      <c r="J27620" s="711"/>
      <c r="K27620" s="711"/>
      <c r="L27620" s="711"/>
      <c r="Q27620" s="11"/>
      <c r="R27620" s="11"/>
      <c r="S27620" s="11"/>
      <c r="T27620" s="11"/>
    </row>
    <row r="27621" spans="8:20" x14ac:dyDescent="0.35">
      <c r="H27621" s="711"/>
      <c r="I27621" s="711"/>
      <c r="J27621" s="711"/>
      <c r="K27621" s="711"/>
      <c r="L27621" s="711"/>
      <c r="Q27621" s="11"/>
      <c r="R27621" s="11"/>
      <c r="S27621" s="11"/>
      <c r="T27621" s="11"/>
    </row>
    <row r="27622" spans="8:20" x14ac:dyDescent="0.35">
      <c r="H27622" s="711"/>
      <c r="I27622" s="711"/>
      <c r="J27622" s="711"/>
      <c r="K27622" s="711"/>
      <c r="L27622" s="711"/>
      <c r="Q27622" s="11"/>
      <c r="R27622" s="11"/>
      <c r="S27622" s="11"/>
      <c r="T27622" s="11"/>
    </row>
    <row r="27623" spans="8:20" x14ac:dyDescent="0.35">
      <c r="H27623" s="711"/>
      <c r="I27623" s="711"/>
      <c r="J27623" s="711"/>
      <c r="K27623" s="711"/>
      <c r="L27623" s="711"/>
      <c r="Q27623" s="11"/>
      <c r="R27623" s="11"/>
      <c r="S27623" s="11"/>
      <c r="T27623" s="11"/>
    </row>
    <row r="27624" spans="8:20" x14ac:dyDescent="0.35">
      <c r="H27624" s="711"/>
      <c r="I27624" s="711"/>
      <c r="J27624" s="711"/>
      <c r="K27624" s="711"/>
      <c r="L27624" s="711"/>
      <c r="Q27624" s="11"/>
      <c r="R27624" s="11"/>
      <c r="S27624" s="11"/>
      <c r="T27624" s="11"/>
    </row>
    <row r="27625" spans="8:20" x14ac:dyDescent="0.35">
      <c r="H27625" s="711"/>
      <c r="I27625" s="711"/>
      <c r="J27625" s="711"/>
      <c r="K27625" s="711"/>
      <c r="L27625" s="711"/>
      <c r="Q27625" s="11"/>
      <c r="R27625" s="11"/>
      <c r="S27625" s="11"/>
      <c r="T27625" s="11"/>
    </row>
    <row r="27626" spans="8:20" x14ac:dyDescent="0.35">
      <c r="H27626" s="711"/>
      <c r="I27626" s="711"/>
      <c r="J27626" s="711"/>
      <c r="K27626" s="711"/>
      <c r="L27626" s="711"/>
      <c r="Q27626" s="11"/>
      <c r="R27626" s="11"/>
      <c r="S27626" s="11"/>
      <c r="T27626" s="11"/>
    </row>
    <row r="27627" spans="8:20" x14ac:dyDescent="0.35">
      <c r="H27627" s="711"/>
      <c r="I27627" s="711"/>
      <c r="J27627" s="711"/>
      <c r="K27627" s="711"/>
      <c r="L27627" s="711"/>
      <c r="Q27627" s="11"/>
      <c r="R27627" s="11"/>
      <c r="S27627" s="11"/>
      <c r="T27627" s="11"/>
    </row>
    <row r="27628" spans="8:20" x14ac:dyDescent="0.35">
      <c r="H27628" s="711"/>
      <c r="I27628" s="711"/>
      <c r="J27628" s="711"/>
      <c r="K27628" s="711"/>
      <c r="L27628" s="711"/>
      <c r="Q27628" s="11"/>
      <c r="R27628" s="11"/>
      <c r="S27628" s="11"/>
      <c r="T27628" s="11"/>
    </row>
    <row r="27629" spans="8:20" x14ac:dyDescent="0.35">
      <c r="H27629" s="711"/>
      <c r="I27629" s="711"/>
      <c r="J27629" s="711"/>
      <c r="K27629" s="711"/>
      <c r="L27629" s="711"/>
      <c r="Q27629" s="11"/>
      <c r="R27629" s="11"/>
      <c r="S27629" s="11"/>
      <c r="T27629" s="11"/>
    </row>
    <row r="27630" spans="8:20" x14ac:dyDescent="0.35">
      <c r="H27630" s="711"/>
      <c r="I27630" s="711"/>
      <c r="J27630" s="711"/>
      <c r="K27630" s="711"/>
      <c r="L27630" s="711"/>
      <c r="Q27630" s="11"/>
      <c r="R27630" s="11"/>
      <c r="S27630" s="11"/>
      <c r="T27630" s="11"/>
    </row>
    <row r="27631" spans="8:20" x14ac:dyDescent="0.35">
      <c r="H27631" s="711"/>
      <c r="I27631" s="711"/>
      <c r="J27631" s="711"/>
      <c r="K27631" s="711"/>
      <c r="L27631" s="711"/>
      <c r="Q27631" s="11"/>
      <c r="R27631" s="11"/>
      <c r="S27631" s="11"/>
      <c r="T27631" s="11"/>
    </row>
    <row r="27632" spans="8:20" x14ac:dyDescent="0.35">
      <c r="H27632" s="711"/>
      <c r="I27632" s="711"/>
      <c r="J27632" s="711"/>
      <c r="K27632" s="711"/>
      <c r="L27632" s="711"/>
      <c r="Q27632" s="11"/>
      <c r="R27632" s="11"/>
      <c r="S27632" s="11"/>
      <c r="T27632" s="11"/>
    </row>
    <row r="27633" spans="8:20" x14ac:dyDescent="0.35">
      <c r="H27633" s="711"/>
      <c r="I27633" s="711"/>
      <c r="J27633" s="711"/>
      <c r="K27633" s="711"/>
      <c r="L27633" s="711"/>
      <c r="Q27633" s="11"/>
      <c r="R27633" s="11"/>
      <c r="S27633" s="11"/>
      <c r="T27633" s="11"/>
    </row>
    <row r="27634" spans="8:20" x14ac:dyDescent="0.35">
      <c r="H27634" s="711"/>
      <c r="I27634" s="711"/>
      <c r="J27634" s="711"/>
      <c r="K27634" s="711"/>
      <c r="L27634" s="711"/>
      <c r="Q27634" s="11"/>
      <c r="R27634" s="11"/>
      <c r="S27634" s="11"/>
      <c r="T27634" s="11"/>
    </row>
    <row r="27635" spans="8:20" x14ac:dyDescent="0.35">
      <c r="H27635" s="711"/>
      <c r="I27635" s="711"/>
      <c r="J27635" s="711"/>
      <c r="K27635" s="711"/>
      <c r="L27635" s="711"/>
      <c r="Q27635" s="11"/>
      <c r="R27635" s="11"/>
      <c r="S27635" s="11"/>
      <c r="T27635" s="11"/>
    </row>
    <row r="27636" spans="8:20" x14ac:dyDescent="0.35">
      <c r="H27636" s="711"/>
      <c r="I27636" s="711"/>
      <c r="J27636" s="711"/>
      <c r="K27636" s="711"/>
      <c r="L27636" s="711"/>
      <c r="Q27636" s="11"/>
      <c r="R27636" s="11"/>
      <c r="S27636" s="11"/>
      <c r="T27636" s="11"/>
    </row>
    <row r="27637" spans="8:20" x14ac:dyDescent="0.35">
      <c r="H27637" s="711"/>
      <c r="I27637" s="711"/>
      <c r="J27637" s="711"/>
      <c r="K27637" s="711"/>
      <c r="L27637" s="711"/>
      <c r="Q27637" s="11"/>
      <c r="R27637" s="11"/>
      <c r="S27637" s="11"/>
      <c r="T27637" s="11"/>
    </row>
    <row r="27638" spans="8:20" x14ac:dyDescent="0.35">
      <c r="H27638" s="711"/>
      <c r="I27638" s="711"/>
      <c r="J27638" s="711"/>
      <c r="K27638" s="711"/>
      <c r="L27638" s="711"/>
      <c r="Q27638" s="11"/>
      <c r="R27638" s="11"/>
      <c r="S27638" s="11"/>
      <c r="T27638" s="11"/>
    </row>
    <row r="27639" spans="8:20" x14ac:dyDescent="0.35">
      <c r="H27639" s="711"/>
      <c r="I27639" s="711"/>
      <c r="J27639" s="711"/>
      <c r="K27639" s="711"/>
      <c r="L27639" s="711"/>
      <c r="Q27639" s="11"/>
      <c r="R27639" s="11"/>
      <c r="S27639" s="11"/>
      <c r="T27639" s="11"/>
    </row>
    <row r="27640" spans="8:20" x14ac:dyDescent="0.35">
      <c r="H27640" s="711"/>
      <c r="I27640" s="711"/>
      <c r="J27640" s="711"/>
      <c r="K27640" s="711"/>
      <c r="L27640" s="711"/>
      <c r="Q27640" s="11"/>
      <c r="R27640" s="11"/>
      <c r="S27640" s="11"/>
      <c r="T27640" s="11"/>
    </row>
    <row r="27641" spans="8:20" x14ac:dyDescent="0.35">
      <c r="H27641" s="711"/>
      <c r="I27641" s="711"/>
      <c r="J27641" s="711"/>
      <c r="K27641" s="711"/>
      <c r="L27641" s="711"/>
      <c r="Q27641" s="11"/>
      <c r="R27641" s="11"/>
      <c r="S27641" s="11"/>
      <c r="T27641" s="11"/>
    </row>
    <row r="27642" spans="8:20" x14ac:dyDescent="0.35">
      <c r="H27642" s="711"/>
      <c r="I27642" s="711"/>
      <c r="J27642" s="711"/>
      <c r="K27642" s="711"/>
      <c r="L27642" s="711"/>
      <c r="Q27642" s="11"/>
      <c r="R27642" s="11"/>
      <c r="S27642" s="11"/>
      <c r="T27642" s="11"/>
    </row>
    <row r="27643" spans="8:20" x14ac:dyDescent="0.35">
      <c r="H27643" s="711"/>
      <c r="I27643" s="711"/>
      <c r="J27643" s="711"/>
      <c r="K27643" s="711"/>
      <c r="L27643" s="711"/>
      <c r="Q27643" s="11"/>
      <c r="R27643" s="11"/>
      <c r="S27643" s="11"/>
      <c r="T27643" s="11"/>
    </row>
    <row r="27644" spans="8:20" x14ac:dyDescent="0.35">
      <c r="H27644" s="711"/>
      <c r="I27644" s="711"/>
      <c r="J27644" s="711"/>
      <c r="K27644" s="711"/>
      <c r="L27644" s="711"/>
      <c r="Q27644" s="11"/>
      <c r="R27644" s="11"/>
      <c r="S27644" s="11"/>
      <c r="T27644" s="11"/>
    </row>
    <row r="27645" spans="8:20" x14ac:dyDescent="0.35">
      <c r="H27645" s="711"/>
      <c r="I27645" s="711"/>
      <c r="J27645" s="711"/>
      <c r="K27645" s="711"/>
      <c r="L27645" s="711"/>
      <c r="Q27645" s="11"/>
      <c r="R27645" s="11"/>
      <c r="S27645" s="11"/>
      <c r="T27645" s="11"/>
    </row>
    <row r="27646" spans="8:20" x14ac:dyDescent="0.35">
      <c r="H27646" s="711"/>
      <c r="I27646" s="711"/>
      <c r="J27646" s="711"/>
      <c r="K27646" s="711"/>
      <c r="L27646" s="711"/>
      <c r="Q27646" s="11"/>
      <c r="R27646" s="11"/>
      <c r="S27646" s="11"/>
      <c r="T27646" s="11"/>
    </row>
    <row r="27647" spans="8:20" x14ac:dyDescent="0.35">
      <c r="H27647" s="711"/>
      <c r="I27647" s="711"/>
      <c r="J27647" s="711"/>
      <c r="K27647" s="711"/>
      <c r="L27647" s="711"/>
      <c r="Q27647" s="11"/>
      <c r="R27647" s="11"/>
      <c r="S27647" s="11"/>
      <c r="T27647" s="11"/>
    </row>
    <row r="27648" spans="8:20" x14ac:dyDescent="0.35">
      <c r="H27648" s="711"/>
      <c r="I27648" s="711"/>
      <c r="J27648" s="711"/>
      <c r="K27648" s="711"/>
      <c r="L27648" s="711"/>
      <c r="Q27648" s="11"/>
      <c r="R27648" s="11"/>
      <c r="S27648" s="11"/>
      <c r="T27648" s="11"/>
    </row>
    <row r="27649" spans="8:20" x14ac:dyDescent="0.35">
      <c r="H27649" s="711"/>
      <c r="I27649" s="711"/>
      <c r="J27649" s="711"/>
      <c r="K27649" s="711"/>
      <c r="L27649" s="711"/>
      <c r="Q27649" s="11"/>
      <c r="R27649" s="11"/>
      <c r="S27649" s="11"/>
      <c r="T27649" s="11"/>
    </row>
    <row r="27650" spans="8:20" x14ac:dyDescent="0.35">
      <c r="H27650" s="711"/>
      <c r="I27650" s="711"/>
      <c r="J27650" s="711"/>
      <c r="K27650" s="711"/>
      <c r="L27650" s="711"/>
      <c r="Q27650" s="11"/>
      <c r="R27650" s="11"/>
      <c r="S27650" s="11"/>
      <c r="T27650" s="11"/>
    </row>
    <row r="27651" spans="8:20" x14ac:dyDescent="0.35">
      <c r="H27651" s="711"/>
      <c r="I27651" s="711"/>
      <c r="J27651" s="711"/>
      <c r="K27651" s="711"/>
      <c r="L27651" s="711"/>
      <c r="Q27651" s="11"/>
      <c r="R27651" s="11"/>
      <c r="S27651" s="11"/>
      <c r="T27651" s="11"/>
    </row>
    <row r="27652" spans="8:20" x14ac:dyDescent="0.35">
      <c r="H27652" s="711"/>
      <c r="I27652" s="711"/>
      <c r="J27652" s="711"/>
      <c r="K27652" s="711"/>
      <c r="L27652" s="711"/>
      <c r="Q27652" s="11"/>
      <c r="R27652" s="11"/>
      <c r="S27652" s="11"/>
      <c r="T27652" s="11"/>
    </row>
    <row r="27653" spans="8:20" x14ac:dyDescent="0.35">
      <c r="H27653" s="711"/>
      <c r="I27653" s="711"/>
      <c r="J27653" s="711"/>
      <c r="K27653" s="711"/>
      <c r="L27653" s="711"/>
      <c r="Q27653" s="11"/>
      <c r="R27653" s="11"/>
      <c r="S27653" s="11"/>
      <c r="T27653" s="11"/>
    </row>
    <row r="27654" spans="8:20" x14ac:dyDescent="0.35">
      <c r="H27654" s="711"/>
      <c r="I27654" s="711"/>
      <c r="J27654" s="711"/>
      <c r="K27654" s="711"/>
      <c r="L27654" s="711"/>
      <c r="Q27654" s="11"/>
      <c r="R27654" s="11"/>
      <c r="S27654" s="11"/>
      <c r="T27654" s="11"/>
    </row>
    <row r="27655" spans="8:20" x14ac:dyDescent="0.35">
      <c r="H27655" s="711"/>
      <c r="I27655" s="711"/>
      <c r="J27655" s="711"/>
      <c r="K27655" s="711"/>
      <c r="L27655" s="711"/>
      <c r="Q27655" s="11"/>
      <c r="R27655" s="11"/>
      <c r="S27655" s="11"/>
      <c r="T27655" s="11"/>
    </row>
    <row r="27656" spans="8:20" x14ac:dyDescent="0.35">
      <c r="H27656" s="711"/>
      <c r="I27656" s="711"/>
      <c r="J27656" s="711"/>
      <c r="K27656" s="711"/>
      <c r="L27656" s="711"/>
      <c r="Q27656" s="11"/>
      <c r="R27656" s="11"/>
      <c r="S27656" s="11"/>
      <c r="T27656" s="11"/>
    </row>
    <row r="27657" spans="8:20" x14ac:dyDescent="0.35">
      <c r="H27657" s="711"/>
      <c r="I27657" s="711"/>
      <c r="J27657" s="711"/>
      <c r="K27657" s="711"/>
      <c r="L27657" s="711"/>
      <c r="Q27657" s="11"/>
      <c r="R27657" s="11"/>
      <c r="S27657" s="11"/>
      <c r="T27657" s="11"/>
    </row>
    <row r="27658" spans="8:20" x14ac:dyDescent="0.35">
      <c r="H27658" s="711"/>
      <c r="I27658" s="711"/>
      <c r="J27658" s="711"/>
      <c r="K27658" s="711"/>
      <c r="L27658" s="711"/>
      <c r="Q27658" s="11"/>
      <c r="R27658" s="11"/>
      <c r="S27658" s="11"/>
      <c r="T27658" s="11"/>
    </row>
    <row r="27659" spans="8:20" x14ac:dyDescent="0.35">
      <c r="H27659" s="711"/>
      <c r="I27659" s="711"/>
      <c r="J27659" s="711"/>
      <c r="K27659" s="711"/>
      <c r="L27659" s="711"/>
      <c r="Q27659" s="11"/>
      <c r="R27659" s="11"/>
      <c r="S27659" s="11"/>
      <c r="T27659" s="11"/>
    </row>
    <row r="27660" spans="8:20" x14ac:dyDescent="0.35">
      <c r="H27660" s="711"/>
      <c r="I27660" s="711"/>
      <c r="J27660" s="711"/>
      <c r="K27660" s="711"/>
      <c r="L27660" s="711"/>
      <c r="Q27660" s="11"/>
      <c r="R27660" s="11"/>
      <c r="S27660" s="11"/>
      <c r="T27660" s="11"/>
    </row>
    <row r="27661" spans="8:20" x14ac:dyDescent="0.35">
      <c r="H27661" s="711"/>
      <c r="I27661" s="711"/>
      <c r="J27661" s="711"/>
      <c r="K27661" s="711"/>
      <c r="L27661" s="711"/>
      <c r="Q27661" s="11"/>
      <c r="R27661" s="11"/>
      <c r="S27661" s="11"/>
      <c r="T27661" s="11"/>
    </row>
    <row r="27662" spans="8:20" x14ac:dyDescent="0.35">
      <c r="H27662" s="711"/>
      <c r="I27662" s="711"/>
      <c r="J27662" s="711"/>
      <c r="K27662" s="711"/>
      <c r="L27662" s="711"/>
      <c r="Q27662" s="11"/>
      <c r="R27662" s="11"/>
      <c r="S27662" s="11"/>
      <c r="T27662" s="11"/>
    </row>
    <row r="27663" spans="8:20" x14ac:dyDescent="0.35">
      <c r="H27663" s="711"/>
      <c r="I27663" s="711"/>
      <c r="J27663" s="711"/>
      <c r="K27663" s="711"/>
      <c r="L27663" s="711"/>
      <c r="Q27663" s="11"/>
      <c r="R27663" s="11"/>
      <c r="S27663" s="11"/>
      <c r="T27663" s="11"/>
    </row>
    <row r="27664" spans="8:20" x14ac:dyDescent="0.35">
      <c r="H27664" s="711"/>
      <c r="I27664" s="711"/>
      <c r="J27664" s="711"/>
      <c r="K27664" s="711"/>
      <c r="L27664" s="711"/>
      <c r="Q27664" s="11"/>
      <c r="R27664" s="11"/>
      <c r="S27664" s="11"/>
      <c r="T27664" s="11"/>
    </row>
    <row r="27665" spans="8:20" x14ac:dyDescent="0.35">
      <c r="H27665" s="711"/>
      <c r="I27665" s="711"/>
      <c r="J27665" s="711"/>
      <c r="K27665" s="711"/>
      <c r="L27665" s="711"/>
      <c r="Q27665" s="11"/>
      <c r="R27665" s="11"/>
      <c r="S27665" s="11"/>
      <c r="T27665" s="11"/>
    </row>
    <row r="27666" spans="8:20" x14ac:dyDescent="0.35">
      <c r="H27666" s="711"/>
      <c r="I27666" s="711"/>
      <c r="J27666" s="711"/>
      <c r="K27666" s="711"/>
      <c r="L27666" s="711"/>
      <c r="Q27666" s="11"/>
      <c r="R27666" s="11"/>
      <c r="S27666" s="11"/>
      <c r="T27666" s="11"/>
    </row>
    <row r="27667" spans="8:20" x14ac:dyDescent="0.35">
      <c r="H27667" s="711"/>
      <c r="I27667" s="711"/>
      <c r="J27667" s="711"/>
      <c r="K27667" s="711"/>
      <c r="L27667" s="711"/>
      <c r="Q27667" s="11"/>
      <c r="R27667" s="11"/>
      <c r="S27667" s="11"/>
      <c r="T27667" s="11"/>
    </row>
    <row r="27668" spans="8:20" x14ac:dyDescent="0.35">
      <c r="H27668" s="711"/>
      <c r="I27668" s="711"/>
      <c r="J27668" s="711"/>
      <c r="K27668" s="711"/>
      <c r="L27668" s="711"/>
      <c r="Q27668" s="11"/>
      <c r="R27668" s="11"/>
      <c r="S27668" s="11"/>
      <c r="T27668" s="11"/>
    </row>
    <row r="27669" spans="8:20" x14ac:dyDescent="0.35">
      <c r="H27669" s="711"/>
      <c r="I27669" s="711"/>
      <c r="J27669" s="711"/>
      <c r="K27669" s="711"/>
      <c r="L27669" s="711"/>
      <c r="Q27669" s="11"/>
      <c r="R27669" s="11"/>
      <c r="S27669" s="11"/>
      <c r="T27669" s="11"/>
    </row>
    <row r="27670" spans="8:20" x14ac:dyDescent="0.35">
      <c r="H27670" s="711"/>
      <c r="I27670" s="711"/>
      <c r="J27670" s="711"/>
      <c r="K27670" s="711"/>
      <c r="L27670" s="711"/>
      <c r="Q27670" s="11"/>
      <c r="R27670" s="11"/>
      <c r="S27670" s="11"/>
      <c r="T27670" s="11"/>
    </row>
    <row r="27671" spans="8:20" x14ac:dyDescent="0.35">
      <c r="H27671" s="711"/>
      <c r="I27671" s="711"/>
      <c r="J27671" s="711"/>
      <c r="K27671" s="711"/>
      <c r="L27671" s="711"/>
      <c r="Q27671" s="11"/>
      <c r="R27671" s="11"/>
      <c r="S27671" s="11"/>
      <c r="T27671" s="11"/>
    </row>
    <row r="27672" spans="8:20" x14ac:dyDescent="0.35">
      <c r="H27672" s="711"/>
      <c r="I27672" s="711"/>
      <c r="J27672" s="711"/>
      <c r="K27672" s="711"/>
      <c r="L27672" s="711"/>
      <c r="Q27672" s="11"/>
      <c r="R27672" s="11"/>
      <c r="S27672" s="11"/>
      <c r="T27672" s="11"/>
    </row>
    <row r="27673" spans="8:20" x14ac:dyDescent="0.35">
      <c r="H27673" s="711"/>
      <c r="I27673" s="711"/>
      <c r="J27673" s="711"/>
      <c r="K27673" s="711"/>
      <c r="L27673" s="711"/>
      <c r="Q27673" s="11"/>
      <c r="R27673" s="11"/>
      <c r="S27673" s="11"/>
      <c r="T27673" s="11"/>
    </row>
    <row r="27674" spans="8:20" x14ac:dyDescent="0.35">
      <c r="H27674" s="711"/>
      <c r="I27674" s="711"/>
      <c r="J27674" s="711"/>
      <c r="K27674" s="711"/>
      <c r="L27674" s="711"/>
      <c r="Q27674" s="11"/>
      <c r="R27674" s="11"/>
      <c r="S27674" s="11"/>
      <c r="T27674" s="11"/>
    </row>
    <row r="27675" spans="8:20" x14ac:dyDescent="0.35">
      <c r="H27675" s="711"/>
      <c r="I27675" s="711"/>
      <c r="J27675" s="711"/>
      <c r="K27675" s="711"/>
      <c r="L27675" s="711"/>
      <c r="Q27675" s="11"/>
      <c r="R27675" s="11"/>
      <c r="S27675" s="11"/>
      <c r="T27675" s="11"/>
    </row>
    <row r="27676" spans="8:20" x14ac:dyDescent="0.35">
      <c r="H27676" s="711"/>
      <c r="I27676" s="711"/>
      <c r="J27676" s="711"/>
      <c r="K27676" s="711"/>
      <c r="L27676" s="711"/>
      <c r="Q27676" s="11"/>
      <c r="R27676" s="11"/>
      <c r="S27676" s="11"/>
      <c r="T27676" s="11"/>
    </row>
    <row r="27677" spans="8:20" x14ac:dyDescent="0.35">
      <c r="H27677" s="711"/>
      <c r="I27677" s="711"/>
      <c r="J27677" s="711"/>
      <c r="K27677" s="711"/>
      <c r="L27677" s="711"/>
      <c r="Q27677" s="11"/>
      <c r="R27677" s="11"/>
      <c r="S27677" s="11"/>
      <c r="T27677" s="11"/>
    </row>
    <row r="27678" spans="8:20" x14ac:dyDescent="0.35">
      <c r="H27678" s="711"/>
      <c r="I27678" s="711"/>
      <c r="J27678" s="711"/>
      <c r="K27678" s="711"/>
      <c r="L27678" s="711"/>
      <c r="Q27678" s="11"/>
      <c r="R27678" s="11"/>
      <c r="S27678" s="11"/>
      <c r="T27678" s="11"/>
    </row>
    <row r="27679" spans="8:20" x14ac:dyDescent="0.35">
      <c r="H27679" s="711"/>
      <c r="I27679" s="711"/>
      <c r="J27679" s="711"/>
      <c r="K27679" s="711"/>
      <c r="L27679" s="711"/>
      <c r="Q27679" s="11"/>
      <c r="R27679" s="11"/>
      <c r="S27679" s="11"/>
      <c r="T27679" s="11"/>
    </row>
    <row r="27680" spans="8:20" x14ac:dyDescent="0.35">
      <c r="H27680" s="711"/>
      <c r="I27680" s="711"/>
      <c r="J27680" s="711"/>
      <c r="K27680" s="711"/>
      <c r="L27680" s="711"/>
      <c r="Q27680" s="11"/>
      <c r="R27680" s="11"/>
      <c r="S27680" s="11"/>
      <c r="T27680" s="11"/>
    </row>
    <row r="27681" spans="8:20" x14ac:dyDescent="0.35">
      <c r="H27681" s="711"/>
      <c r="I27681" s="711"/>
      <c r="J27681" s="711"/>
      <c r="K27681" s="711"/>
      <c r="L27681" s="711"/>
      <c r="Q27681" s="11"/>
      <c r="R27681" s="11"/>
      <c r="S27681" s="11"/>
      <c r="T27681" s="11"/>
    </row>
    <row r="27682" spans="8:20" x14ac:dyDescent="0.35">
      <c r="H27682" s="711"/>
      <c r="I27682" s="711"/>
      <c r="J27682" s="711"/>
      <c r="K27682" s="711"/>
      <c r="L27682" s="711"/>
      <c r="Q27682" s="11"/>
      <c r="R27682" s="11"/>
      <c r="S27682" s="11"/>
      <c r="T27682" s="11"/>
    </row>
    <row r="27683" spans="8:20" x14ac:dyDescent="0.35">
      <c r="H27683" s="711"/>
      <c r="I27683" s="711"/>
      <c r="J27683" s="711"/>
      <c r="K27683" s="711"/>
      <c r="L27683" s="711"/>
      <c r="Q27683" s="11"/>
      <c r="R27683" s="11"/>
      <c r="S27683" s="11"/>
      <c r="T27683" s="11"/>
    </row>
    <row r="27684" spans="8:20" x14ac:dyDescent="0.35">
      <c r="H27684" s="711"/>
      <c r="I27684" s="711"/>
      <c r="J27684" s="711"/>
      <c r="K27684" s="711"/>
      <c r="L27684" s="711"/>
      <c r="Q27684" s="11"/>
      <c r="R27684" s="11"/>
      <c r="S27684" s="11"/>
      <c r="T27684" s="11"/>
    </row>
    <row r="27685" spans="8:20" x14ac:dyDescent="0.35">
      <c r="H27685" s="711"/>
      <c r="I27685" s="711"/>
      <c r="J27685" s="711"/>
      <c r="K27685" s="711"/>
      <c r="L27685" s="711"/>
      <c r="Q27685" s="11"/>
      <c r="R27685" s="11"/>
      <c r="S27685" s="11"/>
      <c r="T27685" s="11"/>
    </row>
    <row r="27686" spans="8:20" x14ac:dyDescent="0.35">
      <c r="H27686" s="711"/>
      <c r="I27686" s="711"/>
      <c r="J27686" s="711"/>
      <c r="K27686" s="711"/>
      <c r="L27686" s="711"/>
      <c r="Q27686" s="11"/>
      <c r="R27686" s="11"/>
      <c r="S27686" s="11"/>
      <c r="T27686" s="11"/>
    </row>
    <row r="27687" spans="8:20" x14ac:dyDescent="0.35">
      <c r="H27687" s="711"/>
      <c r="I27687" s="711"/>
      <c r="J27687" s="711"/>
      <c r="K27687" s="711"/>
      <c r="L27687" s="711"/>
      <c r="Q27687" s="11"/>
      <c r="R27687" s="11"/>
      <c r="S27687" s="11"/>
      <c r="T27687" s="11"/>
    </row>
    <row r="27688" spans="8:20" x14ac:dyDescent="0.35">
      <c r="H27688" s="711"/>
      <c r="I27688" s="711"/>
      <c r="J27688" s="711"/>
      <c r="K27688" s="711"/>
      <c r="L27688" s="711"/>
      <c r="Q27688" s="11"/>
      <c r="R27688" s="11"/>
      <c r="S27688" s="11"/>
      <c r="T27688" s="11"/>
    </row>
    <row r="27689" spans="8:20" x14ac:dyDescent="0.35">
      <c r="H27689" s="711"/>
      <c r="I27689" s="711"/>
      <c r="J27689" s="711"/>
      <c r="K27689" s="711"/>
      <c r="L27689" s="711"/>
      <c r="Q27689" s="11"/>
      <c r="R27689" s="11"/>
      <c r="S27689" s="11"/>
      <c r="T27689" s="11"/>
    </row>
    <row r="27690" spans="8:20" x14ac:dyDescent="0.35">
      <c r="H27690" s="711"/>
      <c r="I27690" s="711"/>
      <c r="J27690" s="711"/>
      <c r="K27690" s="711"/>
      <c r="L27690" s="711"/>
      <c r="Q27690" s="11"/>
      <c r="R27690" s="11"/>
      <c r="S27690" s="11"/>
      <c r="T27690" s="11"/>
    </row>
    <row r="27691" spans="8:20" x14ac:dyDescent="0.35">
      <c r="H27691" s="711"/>
      <c r="I27691" s="711"/>
      <c r="J27691" s="711"/>
      <c r="K27691" s="711"/>
      <c r="L27691" s="711"/>
      <c r="Q27691" s="11"/>
      <c r="R27691" s="11"/>
      <c r="S27691" s="11"/>
      <c r="T27691" s="11"/>
    </row>
    <row r="27692" spans="8:20" x14ac:dyDescent="0.35">
      <c r="H27692" s="711"/>
      <c r="I27692" s="711"/>
      <c r="J27692" s="711"/>
      <c r="K27692" s="711"/>
      <c r="L27692" s="711"/>
      <c r="Q27692" s="11"/>
      <c r="R27692" s="11"/>
      <c r="S27692" s="11"/>
      <c r="T27692" s="11"/>
    </row>
    <row r="27693" spans="8:20" x14ac:dyDescent="0.35">
      <c r="H27693" s="711"/>
      <c r="I27693" s="711"/>
      <c r="J27693" s="711"/>
      <c r="K27693" s="711"/>
      <c r="L27693" s="711"/>
      <c r="Q27693" s="11"/>
      <c r="R27693" s="11"/>
      <c r="S27693" s="11"/>
      <c r="T27693" s="11"/>
    </row>
    <row r="27694" spans="8:20" x14ac:dyDescent="0.35">
      <c r="H27694" s="711"/>
      <c r="I27694" s="711"/>
      <c r="J27694" s="711"/>
      <c r="K27694" s="711"/>
      <c r="L27694" s="711"/>
      <c r="Q27694" s="11"/>
      <c r="R27694" s="11"/>
      <c r="S27694" s="11"/>
      <c r="T27694" s="11"/>
    </row>
    <row r="27695" spans="8:20" x14ac:dyDescent="0.35">
      <c r="H27695" s="711"/>
      <c r="I27695" s="711"/>
      <c r="J27695" s="711"/>
      <c r="K27695" s="711"/>
      <c r="L27695" s="711"/>
      <c r="Q27695" s="11"/>
      <c r="R27695" s="11"/>
      <c r="S27695" s="11"/>
      <c r="T27695" s="11"/>
    </row>
    <row r="27696" spans="8:20" x14ac:dyDescent="0.35">
      <c r="H27696" s="711"/>
      <c r="I27696" s="711"/>
      <c r="J27696" s="711"/>
      <c r="K27696" s="711"/>
      <c r="L27696" s="711"/>
      <c r="Q27696" s="11"/>
      <c r="R27696" s="11"/>
      <c r="S27696" s="11"/>
      <c r="T27696" s="11"/>
    </row>
    <row r="27697" spans="8:20" x14ac:dyDescent="0.35">
      <c r="H27697" s="711"/>
      <c r="I27697" s="711"/>
      <c r="J27697" s="711"/>
      <c r="K27697" s="711"/>
      <c r="L27697" s="711"/>
      <c r="Q27697" s="11"/>
      <c r="R27697" s="11"/>
      <c r="S27697" s="11"/>
      <c r="T27697" s="11"/>
    </row>
    <row r="27698" spans="8:20" x14ac:dyDescent="0.35">
      <c r="H27698" s="711"/>
      <c r="I27698" s="711"/>
      <c r="J27698" s="711"/>
      <c r="K27698" s="711"/>
      <c r="L27698" s="711"/>
      <c r="Q27698" s="11"/>
      <c r="R27698" s="11"/>
      <c r="S27698" s="11"/>
      <c r="T27698" s="11"/>
    </row>
    <row r="27699" spans="8:20" x14ac:dyDescent="0.35">
      <c r="H27699" s="711"/>
      <c r="I27699" s="711"/>
      <c r="J27699" s="711"/>
      <c r="K27699" s="711"/>
      <c r="L27699" s="711"/>
      <c r="Q27699" s="11"/>
      <c r="R27699" s="11"/>
      <c r="S27699" s="11"/>
      <c r="T27699" s="11"/>
    </row>
    <row r="27700" spans="8:20" x14ac:dyDescent="0.35">
      <c r="H27700" s="711"/>
      <c r="I27700" s="711"/>
      <c r="J27700" s="711"/>
      <c r="K27700" s="711"/>
      <c r="L27700" s="711"/>
      <c r="Q27700" s="11"/>
      <c r="R27700" s="11"/>
      <c r="S27700" s="11"/>
      <c r="T27700" s="11"/>
    </row>
    <row r="27701" spans="8:20" x14ac:dyDescent="0.35">
      <c r="H27701" s="711"/>
      <c r="I27701" s="711"/>
      <c r="J27701" s="711"/>
      <c r="K27701" s="711"/>
      <c r="L27701" s="711"/>
      <c r="Q27701" s="11"/>
      <c r="R27701" s="11"/>
      <c r="S27701" s="11"/>
      <c r="T27701" s="11"/>
    </row>
    <row r="27702" spans="8:20" x14ac:dyDescent="0.35">
      <c r="H27702" s="711"/>
      <c r="I27702" s="711"/>
      <c r="J27702" s="711"/>
      <c r="K27702" s="711"/>
      <c r="L27702" s="711"/>
      <c r="Q27702" s="11"/>
      <c r="R27702" s="11"/>
      <c r="S27702" s="11"/>
      <c r="T27702" s="11"/>
    </row>
    <row r="27703" spans="8:20" x14ac:dyDescent="0.35">
      <c r="H27703" s="711"/>
      <c r="I27703" s="711"/>
      <c r="J27703" s="711"/>
      <c r="K27703" s="711"/>
      <c r="L27703" s="711"/>
      <c r="Q27703" s="11"/>
      <c r="R27703" s="11"/>
      <c r="S27703" s="11"/>
      <c r="T27703" s="11"/>
    </row>
    <row r="27704" spans="8:20" x14ac:dyDescent="0.35">
      <c r="H27704" s="711"/>
      <c r="I27704" s="711"/>
      <c r="J27704" s="711"/>
      <c r="K27704" s="711"/>
      <c r="L27704" s="711"/>
      <c r="Q27704" s="11"/>
      <c r="R27704" s="11"/>
      <c r="S27704" s="11"/>
      <c r="T27704" s="11"/>
    </row>
    <row r="27705" spans="8:20" x14ac:dyDescent="0.35">
      <c r="H27705" s="711"/>
      <c r="I27705" s="711"/>
      <c r="J27705" s="711"/>
      <c r="K27705" s="711"/>
      <c r="L27705" s="711"/>
      <c r="Q27705" s="11"/>
      <c r="R27705" s="11"/>
      <c r="S27705" s="11"/>
      <c r="T27705" s="11"/>
    </row>
    <row r="27706" spans="8:20" x14ac:dyDescent="0.35">
      <c r="H27706" s="711"/>
      <c r="I27706" s="711"/>
      <c r="J27706" s="711"/>
      <c r="K27706" s="711"/>
      <c r="L27706" s="711"/>
      <c r="Q27706" s="11"/>
      <c r="R27706" s="11"/>
      <c r="S27706" s="11"/>
      <c r="T27706" s="11"/>
    </row>
    <row r="27707" spans="8:20" x14ac:dyDescent="0.35">
      <c r="H27707" s="711"/>
      <c r="I27707" s="711"/>
      <c r="J27707" s="711"/>
      <c r="K27707" s="711"/>
      <c r="L27707" s="711"/>
      <c r="Q27707" s="11"/>
      <c r="R27707" s="11"/>
      <c r="S27707" s="11"/>
      <c r="T27707" s="11"/>
    </row>
    <row r="27708" spans="8:20" x14ac:dyDescent="0.35">
      <c r="H27708" s="711"/>
      <c r="I27708" s="711"/>
      <c r="J27708" s="711"/>
      <c r="K27708" s="711"/>
      <c r="L27708" s="711"/>
      <c r="Q27708" s="11"/>
      <c r="R27708" s="11"/>
      <c r="S27708" s="11"/>
      <c r="T27708" s="11"/>
    </row>
    <row r="27709" spans="8:20" x14ac:dyDescent="0.35">
      <c r="H27709" s="711"/>
      <c r="I27709" s="711"/>
      <c r="J27709" s="711"/>
      <c r="K27709" s="711"/>
      <c r="L27709" s="711"/>
      <c r="Q27709" s="11"/>
      <c r="R27709" s="11"/>
      <c r="S27709" s="11"/>
      <c r="T27709" s="11"/>
    </row>
    <row r="27710" spans="8:20" x14ac:dyDescent="0.35">
      <c r="H27710" s="711"/>
      <c r="I27710" s="711"/>
      <c r="J27710" s="711"/>
      <c r="K27710" s="711"/>
      <c r="L27710" s="711"/>
      <c r="Q27710" s="11"/>
      <c r="R27710" s="11"/>
      <c r="S27710" s="11"/>
      <c r="T27710" s="11"/>
    </row>
    <row r="27711" spans="8:20" x14ac:dyDescent="0.35">
      <c r="H27711" s="711"/>
      <c r="I27711" s="711"/>
      <c r="J27711" s="711"/>
      <c r="K27711" s="711"/>
      <c r="L27711" s="711"/>
      <c r="Q27711" s="11"/>
      <c r="R27711" s="11"/>
      <c r="S27711" s="11"/>
      <c r="T27711" s="11"/>
    </row>
    <row r="27712" spans="8:20" x14ac:dyDescent="0.35">
      <c r="H27712" s="711"/>
      <c r="I27712" s="711"/>
      <c r="J27712" s="711"/>
      <c r="K27712" s="711"/>
      <c r="L27712" s="711"/>
      <c r="Q27712" s="11"/>
      <c r="R27712" s="11"/>
      <c r="S27712" s="11"/>
      <c r="T27712" s="11"/>
    </row>
    <row r="27713" spans="8:20" x14ac:dyDescent="0.35">
      <c r="H27713" s="711"/>
      <c r="I27713" s="711"/>
      <c r="J27713" s="711"/>
      <c r="K27713" s="711"/>
      <c r="L27713" s="711"/>
      <c r="Q27713" s="11"/>
      <c r="R27713" s="11"/>
      <c r="S27713" s="11"/>
      <c r="T27713" s="11"/>
    </row>
    <row r="27714" spans="8:20" x14ac:dyDescent="0.35">
      <c r="H27714" s="711"/>
      <c r="I27714" s="711"/>
      <c r="J27714" s="711"/>
      <c r="K27714" s="711"/>
      <c r="L27714" s="711"/>
      <c r="Q27714" s="11"/>
      <c r="R27714" s="11"/>
      <c r="S27714" s="11"/>
      <c r="T27714" s="11"/>
    </row>
    <row r="27715" spans="8:20" x14ac:dyDescent="0.35">
      <c r="H27715" s="711"/>
      <c r="I27715" s="711"/>
      <c r="J27715" s="711"/>
      <c r="K27715" s="711"/>
      <c r="L27715" s="711"/>
      <c r="Q27715" s="11"/>
      <c r="R27715" s="11"/>
      <c r="S27715" s="11"/>
      <c r="T27715" s="11"/>
    </row>
    <row r="27716" spans="8:20" x14ac:dyDescent="0.35">
      <c r="H27716" s="711"/>
      <c r="I27716" s="711"/>
      <c r="J27716" s="711"/>
      <c r="K27716" s="711"/>
      <c r="L27716" s="711"/>
      <c r="Q27716" s="11"/>
      <c r="R27716" s="11"/>
      <c r="S27716" s="11"/>
      <c r="T27716" s="11"/>
    </row>
    <row r="27717" spans="8:20" x14ac:dyDescent="0.35">
      <c r="H27717" s="711"/>
      <c r="I27717" s="711"/>
      <c r="J27717" s="711"/>
      <c r="K27717" s="711"/>
      <c r="L27717" s="711"/>
      <c r="Q27717" s="11"/>
      <c r="R27717" s="11"/>
      <c r="S27717" s="11"/>
      <c r="T27717" s="11"/>
    </row>
    <row r="27718" spans="8:20" x14ac:dyDescent="0.35">
      <c r="H27718" s="711"/>
      <c r="I27718" s="711"/>
      <c r="J27718" s="711"/>
      <c r="K27718" s="711"/>
      <c r="L27718" s="711"/>
      <c r="Q27718" s="11"/>
      <c r="R27718" s="11"/>
      <c r="S27718" s="11"/>
      <c r="T27718" s="11"/>
    </row>
    <row r="27719" spans="8:20" x14ac:dyDescent="0.35">
      <c r="H27719" s="711"/>
      <c r="I27719" s="711"/>
      <c r="J27719" s="711"/>
      <c r="K27719" s="711"/>
      <c r="L27719" s="711"/>
      <c r="Q27719" s="11"/>
      <c r="R27719" s="11"/>
      <c r="S27719" s="11"/>
      <c r="T27719" s="11"/>
    </row>
    <row r="27720" spans="8:20" x14ac:dyDescent="0.35">
      <c r="H27720" s="711"/>
      <c r="I27720" s="711"/>
      <c r="J27720" s="711"/>
      <c r="K27720" s="711"/>
      <c r="L27720" s="711"/>
      <c r="Q27720" s="11"/>
      <c r="R27720" s="11"/>
      <c r="S27720" s="11"/>
      <c r="T27720" s="11"/>
    </row>
    <row r="27721" spans="8:20" x14ac:dyDescent="0.35">
      <c r="H27721" s="711"/>
      <c r="I27721" s="711"/>
      <c r="J27721" s="711"/>
      <c r="K27721" s="711"/>
      <c r="L27721" s="711"/>
      <c r="Q27721" s="11"/>
      <c r="R27721" s="11"/>
      <c r="S27721" s="11"/>
      <c r="T27721" s="11"/>
    </row>
    <row r="27722" spans="8:20" x14ac:dyDescent="0.35">
      <c r="H27722" s="711"/>
      <c r="I27722" s="711"/>
      <c r="J27722" s="711"/>
      <c r="K27722" s="711"/>
      <c r="L27722" s="711"/>
      <c r="Q27722" s="11"/>
      <c r="R27722" s="11"/>
      <c r="S27722" s="11"/>
      <c r="T27722" s="11"/>
    </row>
    <row r="27723" spans="8:20" x14ac:dyDescent="0.35">
      <c r="H27723" s="711"/>
      <c r="I27723" s="711"/>
      <c r="J27723" s="711"/>
      <c r="K27723" s="711"/>
      <c r="L27723" s="711"/>
      <c r="Q27723" s="11"/>
      <c r="R27723" s="11"/>
      <c r="S27723" s="11"/>
      <c r="T27723" s="11"/>
    </row>
    <row r="27724" spans="8:20" x14ac:dyDescent="0.35">
      <c r="H27724" s="711"/>
      <c r="I27724" s="711"/>
      <c r="J27724" s="711"/>
      <c r="K27724" s="711"/>
      <c r="L27724" s="711"/>
      <c r="Q27724" s="11"/>
      <c r="R27724" s="11"/>
      <c r="S27724" s="11"/>
      <c r="T27724" s="11"/>
    </row>
    <row r="27725" spans="8:20" x14ac:dyDescent="0.35">
      <c r="H27725" s="711"/>
      <c r="I27725" s="711"/>
      <c r="J27725" s="711"/>
      <c r="K27725" s="711"/>
      <c r="L27725" s="711"/>
      <c r="Q27725" s="11"/>
      <c r="R27725" s="11"/>
      <c r="S27725" s="11"/>
      <c r="T27725" s="11"/>
    </row>
    <row r="27726" spans="8:20" x14ac:dyDescent="0.35">
      <c r="H27726" s="711"/>
      <c r="I27726" s="711"/>
      <c r="J27726" s="711"/>
      <c r="K27726" s="711"/>
      <c r="L27726" s="711"/>
      <c r="Q27726" s="11"/>
      <c r="R27726" s="11"/>
      <c r="S27726" s="11"/>
      <c r="T27726" s="11"/>
    </row>
    <row r="27727" spans="8:20" x14ac:dyDescent="0.35">
      <c r="H27727" s="711"/>
      <c r="I27727" s="711"/>
      <c r="J27727" s="711"/>
      <c r="K27727" s="711"/>
      <c r="L27727" s="711"/>
      <c r="Q27727" s="11"/>
      <c r="R27727" s="11"/>
      <c r="S27727" s="11"/>
      <c r="T27727" s="11"/>
    </row>
    <row r="27728" spans="8:20" x14ac:dyDescent="0.35">
      <c r="H27728" s="711"/>
      <c r="I27728" s="711"/>
      <c r="J27728" s="711"/>
      <c r="K27728" s="711"/>
      <c r="L27728" s="711"/>
      <c r="Q27728" s="11"/>
      <c r="R27728" s="11"/>
      <c r="S27728" s="11"/>
      <c r="T27728" s="11"/>
    </row>
    <row r="27729" spans="8:20" x14ac:dyDescent="0.35">
      <c r="H27729" s="711"/>
      <c r="I27729" s="711"/>
      <c r="J27729" s="711"/>
      <c r="K27729" s="711"/>
      <c r="L27729" s="711"/>
      <c r="Q27729" s="11"/>
      <c r="R27729" s="11"/>
      <c r="S27729" s="11"/>
      <c r="T27729" s="11"/>
    </row>
    <row r="27730" spans="8:20" x14ac:dyDescent="0.35">
      <c r="H27730" s="711"/>
      <c r="I27730" s="711"/>
      <c r="J27730" s="711"/>
      <c r="K27730" s="711"/>
      <c r="L27730" s="711"/>
      <c r="Q27730" s="11"/>
      <c r="R27730" s="11"/>
      <c r="S27730" s="11"/>
      <c r="T27730" s="11"/>
    </row>
    <row r="27731" spans="8:20" x14ac:dyDescent="0.35">
      <c r="H27731" s="711"/>
      <c r="I27731" s="711"/>
      <c r="J27731" s="711"/>
      <c r="K27731" s="711"/>
      <c r="L27731" s="711"/>
      <c r="Q27731" s="11"/>
      <c r="R27731" s="11"/>
      <c r="S27731" s="11"/>
      <c r="T27731" s="11"/>
    </row>
    <row r="27732" spans="8:20" x14ac:dyDescent="0.35">
      <c r="H27732" s="711"/>
      <c r="I27732" s="711"/>
      <c r="J27732" s="711"/>
      <c r="K27732" s="711"/>
      <c r="L27732" s="711"/>
      <c r="Q27732" s="11"/>
      <c r="R27732" s="11"/>
      <c r="S27732" s="11"/>
      <c r="T27732" s="11"/>
    </row>
    <row r="27733" spans="8:20" x14ac:dyDescent="0.35">
      <c r="H27733" s="711"/>
      <c r="I27733" s="711"/>
      <c r="J27733" s="711"/>
      <c r="K27733" s="711"/>
      <c r="L27733" s="711"/>
      <c r="Q27733" s="11"/>
      <c r="R27733" s="11"/>
      <c r="S27733" s="11"/>
      <c r="T27733" s="11"/>
    </row>
    <row r="27734" spans="8:20" x14ac:dyDescent="0.35">
      <c r="H27734" s="711"/>
      <c r="I27734" s="711"/>
      <c r="J27734" s="711"/>
      <c r="K27734" s="711"/>
      <c r="L27734" s="711"/>
      <c r="Q27734" s="11"/>
      <c r="R27734" s="11"/>
      <c r="S27734" s="11"/>
      <c r="T27734" s="11"/>
    </row>
    <row r="27735" spans="8:20" x14ac:dyDescent="0.35">
      <c r="H27735" s="711"/>
      <c r="I27735" s="711"/>
      <c r="J27735" s="711"/>
      <c r="K27735" s="711"/>
      <c r="L27735" s="711"/>
      <c r="Q27735" s="11"/>
      <c r="R27735" s="11"/>
      <c r="S27735" s="11"/>
      <c r="T27735" s="11"/>
    </row>
    <row r="27736" spans="8:20" x14ac:dyDescent="0.35">
      <c r="H27736" s="711"/>
      <c r="I27736" s="711"/>
      <c r="J27736" s="711"/>
      <c r="K27736" s="711"/>
      <c r="L27736" s="711"/>
      <c r="Q27736" s="11"/>
      <c r="R27736" s="11"/>
      <c r="S27736" s="11"/>
      <c r="T27736" s="11"/>
    </row>
    <row r="27737" spans="8:20" x14ac:dyDescent="0.35">
      <c r="H27737" s="711"/>
      <c r="I27737" s="711"/>
      <c r="J27737" s="711"/>
      <c r="K27737" s="711"/>
      <c r="L27737" s="711"/>
      <c r="Q27737" s="11"/>
      <c r="R27737" s="11"/>
      <c r="S27737" s="11"/>
      <c r="T27737" s="11"/>
    </row>
    <row r="27738" spans="8:20" x14ac:dyDescent="0.35">
      <c r="H27738" s="711"/>
      <c r="I27738" s="711"/>
      <c r="J27738" s="711"/>
      <c r="K27738" s="711"/>
      <c r="L27738" s="711"/>
      <c r="Q27738" s="11"/>
      <c r="R27738" s="11"/>
      <c r="S27738" s="11"/>
      <c r="T27738" s="11"/>
    </row>
    <row r="27739" spans="8:20" x14ac:dyDescent="0.35">
      <c r="H27739" s="711"/>
      <c r="I27739" s="711"/>
      <c r="J27739" s="711"/>
      <c r="K27739" s="711"/>
      <c r="L27739" s="711"/>
      <c r="Q27739" s="11"/>
      <c r="R27739" s="11"/>
      <c r="S27739" s="11"/>
      <c r="T27739" s="11"/>
    </row>
    <row r="27740" spans="8:20" x14ac:dyDescent="0.35">
      <c r="H27740" s="711"/>
      <c r="I27740" s="711"/>
      <c r="J27740" s="711"/>
      <c r="K27740" s="711"/>
      <c r="L27740" s="711"/>
      <c r="Q27740" s="11"/>
      <c r="R27740" s="11"/>
      <c r="S27740" s="11"/>
      <c r="T27740" s="11"/>
    </row>
    <row r="27741" spans="8:20" x14ac:dyDescent="0.35">
      <c r="H27741" s="711"/>
      <c r="I27741" s="711"/>
      <c r="J27741" s="711"/>
      <c r="K27741" s="711"/>
      <c r="L27741" s="711"/>
      <c r="Q27741" s="11"/>
      <c r="R27741" s="11"/>
      <c r="S27741" s="11"/>
      <c r="T27741" s="11"/>
    </row>
    <row r="27742" spans="8:20" x14ac:dyDescent="0.35">
      <c r="H27742" s="711"/>
      <c r="I27742" s="711"/>
      <c r="J27742" s="711"/>
      <c r="K27742" s="711"/>
      <c r="L27742" s="711"/>
      <c r="Q27742" s="11"/>
      <c r="R27742" s="11"/>
      <c r="S27742" s="11"/>
      <c r="T27742" s="11"/>
    </row>
    <row r="27743" spans="8:20" x14ac:dyDescent="0.35">
      <c r="H27743" s="711"/>
      <c r="I27743" s="711"/>
      <c r="J27743" s="711"/>
      <c r="K27743" s="711"/>
      <c r="L27743" s="711"/>
      <c r="Q27743" s="11"/>
      <c r="R27743" s="11"/>
      <c r="S27743" s="11"/>
      <c r="T27743" s="11"/>
    </row>
    <row r="27744" spans="8:20" x14ac:dyDescent="0.35">
      <c r="H27744" s="711"/>
      <c r="I27744" s="711"/>
      <c r="J27744" s="711"/>
      <c r="K27744" s="711"/>
      <c r="L27744" s="711"/>
      <c r="Q27744" s="11"/>
      <c r="R27744" s="11"/>
      <c r="S27744" s="11"/>
      <c r="T27744" s="11"/>
    </row>
    <row r="27745" spans="8:20" x14ac:dyDescent="0.35">
      <c r="H27745" s="711"/>
      <c r="I27745" s="711"/>
      <c r="J27745" s="711"/>
      <c r="K27745" s="711"/>
      <c r="L27745" s="711"/>
      <c r="Q27745" s="11"/>
      <c r="R27745" s="11"/>
      <c r="S27745" s="11"/>
      <c r="T27745" s="11"/>
    </row>
    <row r="27746" spans="8:20" x14ac:dyDescent="0.35">
      <c r="H27746" s="711"/>
      <c r="I27746" s="711"/>
      <c r="J27746" s="711"/>
      <c r="K27746" s="711"/>
      <c r="L27746" s="711"/>
      <c r="Q27746" s="11"/>
      <c r="R27746" s="11"/>
      <c r="S27746" s="11"/>
      <c r="T27746" s="11"/>
    </row>
    <row r="27747" spans="8:20" x14ac:dyDescent="0.35">
      <c r="H27747" s="711"/>
      <c r="I27747" s="711"/>
      <c r="J27747" s="711"/>
      <c r="K27747" s="711"/>
      <c r="L27747" s="711"/>
      <c r="Q27747" s="11"/>
      <c r="R27747" s="11"/>
      <c r="S27747" s="11"/>
      <c r="T27747" s="11"/>
    </row>
    <row r="27748" spans="8:20" x14ac:dyDescent="0.35">
      <c r="H27748" s="711"/>
      <c r="I27748" s="711"/>
      <c r="J27748" s="711"/>
      <c r="K27748" s="711"/>
      <c r="L27748" s="711"/>
      <c r="Q27748" s="11"/>
      <c r="R27748" s="11"/>
      <c r="S27748" s="11"/>
      <c r="T27748" s="11"/>
    </row>
    <row r="27749" spans="8:20" x14ac:dyDescent="0.35">
      <c r="H27749" s="711"/>
      <c r="I27749" s="711"/>
      <c r="J27749" s="711"/>
      <c r="K27749" s="711"/>
      <c r="L27749" s="711"/>
      <c r="Q27749" s="11"/>
      <c r="R27749" s="11"/>
      <c r="S27749" s="11"/>
      <c r="T27749" s="11"/>
    </row>
    <row r="27750" spans="8:20" x14ac:dyDescent="0.35">
      <c r="H27750" s="711"/>
      <c r="I27750" s="711"/>
      <c r="J27750" s="711"/>
      <c r="K27750" s="711"/>
      <c r="L27750" s="711"/>
      <c r="Q27750" s="11"/>
      <c r="R27750" s="11"/>
      <c r="S27750" s="11"/>
      <c r="T27750" s="11"/>
    </row>
    <row r="27751" spans="8:20" x14ac:dyDescent="0.35">
      <c r="H27751" s="711"/>
      <c r="I27751" s="711"/>
      <c r="J27751" s="711"/>
      <c r="K27751" s="711"/>
      <c r="L27751" s="711"/>
      <c r="Q27751" s="11"/>
      <c r="R27751" s="11"/>
      <c r="S27751" s="11"/>
      <c r="T27751" s="11"/>
    </row>
    <row r="27752" spans="8:20" x14ac:dyDescent="0.35">
      <c r="H27752" s="711"/>
      <c r="I27752" s="711"/>
      <c r="J27752" s="711"/>
      <c r="K27752" s="711"/>
      <c r="L27752" s="711"/>
      <c r="Q27752" s="11"/>
      <c r="R27752" s="11"/>
      <c r="S27752" s="11"/>
      <c r="T27752" s="11"/>
    </row>
    <row r="27753" spans="8:20" x14ac:dyDescent="0.35">
      <c r="H27753" s="711"/>
      <c r="I27753" s="711"/>
      <c r="J27753" s="711"/>
      <c r="K27753" s="711"/>
      <c r="L27753" s="711"/>
      <c r="Q27753" s="11"/>
      <c r="R27753" s="11"/>
      <c r="S27753" s="11"/>
      <c r="T27753" s="11"/>
    </row>
    <row r="27754" spans="8:20" x14ac:dyDescent="0.35">
      <c r="H27754" s="711"/>
      <c r="I27754" s="711"/>
      <c r="J27754" s="711"/>
      <c r="K27754" s="711"/>
      <c r="L27754" s="711"/>
      <c r="Q27754" s="11"/>
      <c r="R27754" s="11"/>
      <c r="S27754" s="11"/>
      <c r="T27754" s="11"/>
    </row>
    <row r="27755" spans="8:20" x14ac:dyDescent="0.35">
      <c r="H27755" s="711"/>
      <c r="I27755" s="711"/>
      <c r="J27755" s="711"/>
      <c r="K27755" s="711"/>
      <c r="L27755" s="711"/>
      <c r="Q27755" s="11"/>
      <c r="R27755" s="11"/>
      <c r="S27755" s="11"/>
      <c r="T27755" s="11"/>
    </row>
    <row r="27756" spans="8:20" x14ac:dyDescent="0.35">
      <c r="H27756" s="711"/>
      <c r="I27756" s="711"/>
      <c r="J27756" s="711"/>
      <c r="K27756" s="711"/>
      <c r="L27756" s="711"/>
      <c r="Q27756" s="11"/>
      <c r="R27756" s="11"/>
      <c r="S27756" s="11"/>
      <c r="T27756" s="11"/>
    </row>
    <row r="27757" spans="8:20" x14ac:dyDescent="0.35">
      <c r="H27757" s="711"/>
      <c r="I27757" s="711"/>
      <c r="J27757" s="711"/>
      <c r="K27757" s="711"/>
      <c r="L27757" s="711"/>
      <c r="Q27757" s="11"/>
      <c r="R27757" s="11"/>
      <c r="S27757" s="11"/>
      <c r="T27757" s="11"/>
    </row>
    <row r="27758" spans="8:20" x14ac:dyDescent="0.35">
      <c r="H27758" s="711"/>
      <c r="I27758" s="711"/>
      <c r="J27758" s="711"/>
      <c r="K27758" s="711"/>
      <c r="L27758" s="711"/>
      <c r="Q27758" s="11"/>
      <c r="R27758" s="11"/>
      <c r="S27758" s="11"/>
      <c r="T27758" s="11"/>
    </row>
    <row r="27759" spans="8:20" x14ac:dyDescent="0.35">
      <c r="H27759" s="711"/>
      <c r="I27759" s="711"/>
      <c r="J27759" s="711"/>
      <c r="K27759" s="711"/>
      <c r="L27759" s="711"/>
      <c r="Q27759" s="11"/>
      <c r="R27759" s="11"/>
      <c r="S27759" s="11"/>
      <c r="T27759" s="11"/>
    </row>
    <row r="27760" spans="8:20" x14ac:dyDescent="0.35">
      <c r="H27760" s="711"/>
      <c r="I27760" s="711"/>
      <c r="J27760" s="711"/>
      <c r="K27760" s="711"/>
      <c r="L27760" s="711"/>
      <c r="Q27760" s="11"/>
      <c r="R27760" s="11"/>
      <c r="S27760" s="11"/>
      <c r="T27760" s="11"/>
    </row>
    <row r="27761" spans="8:20" x14ac:dyDescent="0.35">
      <c r="H27761" s="711"/>
      <c r="I27761" s="711"/>
      <c r="J27761" s="711"/>
      <c r="K27761" s="711"/>
      <c r="L27761" s="711"/>
      <c r="Q27761" s="11"/>
      <c r="R27761" s="11"/>
      <c r="S27761" s="11"/>
      <c r="T27761" s="11"/>
    </row>
    <row r="27762" spans="8:20" x14ac:dyDescent="0.35">
      <c r="H27762" s="711"/>
      <c r="I27762" s="711"/>
      <c r="J27762" s="711"/>
      <c r="K27762" s="711"/>
      <c r="L27762" s="711"/>
      <c r="Q27762" s="11"/>
      <c r="R27762" s="11"/>
      <c r="S27762" s="11"/>
      <c r="T27762" s="11"/>
    </row>
    <row r="27763" spans="8:20" x14ac:dyDescent="0.35">
      <c r="H27763" s="711"/>
      <c r="I27763" s="711"/>
      <c r="J27763" s="711"/>
      <c r="K27763" s="711"/>
      <c r="L27763" s="711"/>
      <c r="Q27763" s="11"/>
      <c r="R27763" s="11"/>
      <c r="S27763" s="11"/>
      <c r="T27763" s="11"/>
    </row>
    <row r="27764" spans="8:20" x14ac:dyDescent="0.35">
      <c r="H27764" s="711"/>
      <c r="I27764" s="711"/>
      <c r="J27764" s="711"/>
      <c r="K27764" s="711"/>
      <c r="L27764" s="711"/>
      <c r="Q27764" s="11"/>
      <c r="R27764" s="11"/>
      <c r="S27764" s="11"/>
      <c r="T27764" s="11"/>
    </row>
    <row r="27765" spans="8:20" x14ac:dyDescent="0.35">
      <c r="H27765" s="711"/>
      <c r="I27765" s="711"/>
      <c r="J27765" s="711"/>
      <c r="K27765" s="711"/>
      <c r="L27765" s="711"/>
      <c r="Q27765" s="11"/>
      <c r="R27765" s="11"/>
      <c r="S27765" s="11"/>
      <c r="T27765" s="11"/>
    </row>
    <row r="27766" spans="8:20" x14ac:dyDescent="0.35">
      <c r="H27766" s="711"/>
      <c r="I27766" s="711"/>
      <c r="J27766" s="711"/>
      <c r="K27766" s="711"/>
      <c r="L27766" s="711"/>
      <c r="Q27766" s="11"/>
      <c r="R27766" s="11"/>
      <c r="S27766" s="11"/>
      <c r="T27766" s="11"/>
    </row>
    <row r="27767" spans="8:20" x14ac:dyDescent="0.35">
      <c r="H27767" s="711"/>
      <c r="I27767" s="711"/>
      <c r="J27767" s="711"/>
      <c r="K27767" s="711"/>
      <c r="L27767" s="711"/>
      <c r="Q27767" s="11"/>
      <c r="R27767" s="11"/>
      <c r="S27767" s="11"/>
      <c r="T27767" s="11"/>
    </row>
    <row r="27768" spans="8:20" x14ac:dyDescent="0.35">
      <c r="H27768" s="711"/>
      <c r="I27768" s="711"/>
      <c r="J27768" s="711"/>
      <c r="K27768" s="711"/>
      <c r="L27768" s="711"/>
      <c r="Q27768" s="11"/>
      <c r="R27768" s="11"/>
      <c r="S27768" s="11"/>
      <c r="T27768" s="11"/>
    </row>
    <row r="27769" spans="8:20" x14ac:dyDescent="0.35">
      <c r="H27769" s="711"/>
      <c r="I27769" s="711"/>
      <c r="J27769" s="711"/>
      <c r="K27769" s="711"/>
      <c r="L27769" s="711"/>
      <c r="Q27769" s="11"/>
      <c r="R27769" s="11"/>
      <c r="S27769" s="11"/>
      <c r="T27769" s="11"/>
    </row>
    <row r="27770" spans="8:20" x14ac:dyDescent="0.35">
      <c r="H27770" s="711"/>
      <c r="I27770" s="711"/>
      <c r="J27770" s="711"/>
      <c r="K27770" s="711"/>
      <c r="L27770" s="711"/>
      <c r="Q27770" s="11"/>
      <c r="R27770" s="11"/>
      <c r="S27770" s="11"/>
      <c r="T27770" s="11"/>
    </row>
    <row r="27771" spans="8:20" x14ac:dyDescent="0.35">
      <c r="H27771" s="711"/>
      <c r="I27771" s="711"/>
      <c r="J27771" s="711"/>
      <c r="K27771" s="711"/>
      <c r="L27771" s="711"/>
      <c r="Q27771" s="11"/>
      <c r="R27771" s="11"/>
      <c r="S27771" s="11"/>
      <c r="T27771" s="11"/>
    </row>
    <row r="27772" spans="8:20" x14ac:dyDescent="0.35">
      <c r="H27772" s="711"/>
      <c r="I27772" s="711"/>
      <c r="J27772" s="711"/>
      <c r="K27772" s="711"/>
      <c r="L27772" s="711"/>
      <c r="Q27772" s="11"/>
      <c r="R27772" s="11"/>
      <c r="S27772" s="11"/>
      <c r="T27772" s="11"/>
    </row>
    <row r="27773" spans="8:20" x14ac:dyDescent="0.35">
      <c r="H27773" s="711"/>
      <c r="I27773" s="711"/>
      <c r="J27773" s="711"/>
      <c r="K27773" s="711"/>
      <c r="L27773" s="711"/>
      <c r="Q27773" s="11"/>
      <c r="R27773" s="11"/>
      <c r="S27773" s="11"/>
      <c r="T27773" s="11"/>
    </row>
    <row r="27774" spans="8:20" x14ac:dyDescent="0.35">
      <c r="H27774" s="711"/>
      <c r="I27774" s="711"/>
      <c r="J27774" s="711"/>
      <c r="K27774" s="711"/>
      <c r="L27774" s="711"/>
      <c r="Q27774" s="11"/>
      <c r="R27774" s="11"/>
      <c r="S27774" s="11"/>
      <c r="T27774" s="11"/>
    </row>
    <row r="27775" spans="8:20" x14ac:dyDescent="0.35">
      <c r="H27775" s="711"/>
      <c r="I27775" s="711"/>
      <c r="J27775" s="711"/>
      <c r="K27775" s="711"/>
      <c r="L27775" s="711"/>
      <c r="Q27775" s="11"/>
      <c r="R27775" s="11"/>
      <c r="S27775" s="11"/>
      <c r="T27775" s="11"/>
    </row>
    <row r="27776" spans="8:20" x14ac:dyDescent="0.35">
      <c r="H27776" s="711"/>
      <c r="I27776" s="711"/>
      <c r="J27776" s="711"/>
      <c r="K27776" s="711"/>
      <c r="L27776" s="711"/>
      <c r="Q27776" s="11"/>
      <c r="R27776" s="11"/>
      <c r="S27776" s="11"/>
      <c r="T27776" s="11"/>
    </row>
    <row r="27777" spans="8:20" x14ac:dyDescent="0.35">
      <c r="H27777" s="711"/>
      <c r="I27777" s="711"/>
      <c r="J27777" s="711"/>
      <c r="K27777" s="711"/>
      <c r="L27777" s="711"/>
      <c r="Q27777" s="11"/>
      <c r="R27777" s="11"/>
      <c r="S27777" s="11"/>
      <c r="T27777" s="11"/>
    </row>
    <row r="27778" spans="8:20" x14ac:dyDescent="0.35">
      <c r="H27778" s="711"/>
      <c r="I27778" s="711"/>
      <c r="J27778" s="711"/>
      <c r="K27778" s="711"/>
      <c r="L27778" s="711"/>
      <c r="Q27778" s="11"/>
      <c r="R27778" s="11"/>
      <c r="S27778" s="11"/>
      <c r="T27778" s="11"/>
    </row>
    <row r="27779" spans="8:20" x14ac:dyDescent="0.35">
      <c r="H27779" s="711"/>
      <c r="I27779" s="711"/>
      <c r="J27779" s="711"/>
      <c r="K27779" s="711"/>
      <c r="L27779" s="711"/>
      <c r="Q27779" s="11"/>
      <c r="R27779" s="11"/>
      <c r="S27779" s="11"/>
      <c r="T27779" s="11"/>
    </row>
    <row r="27780" spans="8:20" x14ac:dyDescent="0.35">
      <c r="H27780" s="711"/>
      <c r="I27780" s="711"/>
      <c r="J27780" s="711"/>
      <c r="K27780" s="711"/>
      <c r="L27780" s="711"/>
      <c r="Q27780" s="11"/>
      <c r="R27780" s="11"/>
      <c r="S27780" s="11"/>
      <c r="T27780" s="11"/>
    </row>
    <row r="27781" spans="8:20" x14ac:dyDescent="0.35">
      <c r="H27781" s="711"/>
      <c r="I27781" s="711"/>
      <c r="J27781" s="711"/>
      <c r="K27781" s="711"/>
      <c r="L27781" s="711"/>
      <c r="Q27781" s="11"/>
      <c r="R27781" s="11"/>
      <c r="S27781" s="11"/>
      <c r="T27781" s="11"/>
    </row>
    <row r="27782" spans="8:20" x14ac:dyDescent="0.35">
      <c r="H27782" s="711"/>
      <c r="I27782" s="711"/>
      <c r="J27782" s="711"/>
      <c r="K27782" s="711"/>
      <c r="L27782" s="711"/>
      <c r="Q27782" s="11"/>
      <c r="R27782" s="11"/>
      <c r="S27782" s="11"/>
      <c r="T27782" s="11"/>
    </row>
    <row r="27783" spans="8:20" x14ac:dyDescent="0.35">
      <c r="H27783" s="711"/>
      <c r="I27783" s="711"/>
      <c r="J27783" s="711"/>
      <c r="K27783" s="711"/>
      <c r="L27783" s="711"/>
      <c r="Q27783" s="11"/>
      <c r="R27783" s="11"/>
      <c r="S27783" s="11"/>
      <c r="T27783" s="11"/>
    </row>
    <row r="27784" spans="8:20" x14ac:dyDescent="0.35">
      <c r="H27784" s="711"/>
      <c r="I27784" s="711"/>
      <c r="J27784" s="711"/>
      <c r="K27784" s="711"/>
      <c r="L27784" s="711"/>
      <c r="Q27784" s="11"/>
      <c r="R27784" s="11"/>
      <c r="S27784" s="11"/>
      <c r="T27784" s="11"/>
    </row>
    <row r="27785" spans="8:20" x14ac:dyDescent="0.35">
      <c r="H27785" s="711"/>
      <c r="I27785" s="711"/>
      <c r="J27785" s="711"/>
      <c r="K27785" s="711"/>
      <c r="L27785" s="711"/>
      <c r="Q27785" s="11"/>
      <c r="R27785" s="11"/>
      <c r="S27785" s="11"/>
      <c r="T27785" s="11"/>
    </row>
    <row r="27786" spans="8:20" x14ac:dyDescent="0.35">
      <c r="H27786" s="711"/>
      <c r="I27786" s="711"/>
      <c r="J27786" s="711"/>
      <c r="K27786" s="711"/>
      <c r="L27786" s="711"/>
      <c r="Q27786" s="11"/>
      <c r="R27786" s="11"/>
      <c r="S27786" s="11"/>
      <c r="T27786" s="11"/>
    </row>
    <row r="27787" spans="8:20" x14ac:dyDescent="0.35">
      <c r="H27787" s="711"/>
      <c r="I27787" s="711"/>
      <c r="J27787" s="711"/>
      <c r="K27787" s="711"/>
      <c r="L27787" s="711"/>
      <c r="Q27787" s="11"/>
      <c r="R27787" s="11"/>
      <c r="S27787" s="11"/>
      <c r="T27787" s="11"/>
    </row>
    <row r="27788" spans="8:20" x14ac:dyDescent="0.35">
      <c r="H27788" s="711"/>
      <c r="I27788" s="711"/>
      <c r="J27788" s="711"/>
      <c r="K27788" s="711"/>
      <c r="L27788" s="711"/>
      <c r="Q27788" s="11"/>
      <c r="R27788" s="11"/>
      <c r="S27788" s="11"/>
      <c r="T27788" s="11"/>
    </row>
    <row r="27789" spans="8:20" x14ac:dyDescent="0.35">
      <c r="H27789" s="711"/>
      <c r="I27789" s="711"/>
      <c r="J27789" s="711"/>
      <c r="K27789" s="711"/>
      <c r="L27789" s="711"/>
      <c r="Q27789" s="11"/>
      <c r="R27789" s="11"/>
      <c r="S27789" s="11"/>
      <c r="T27789" s="11"/>
    </row>
    <row r="27790" spans="8:20" x14ac:dyDescent="0.35">
      <c r="H27790" s="711"/>
      <c r="I27790" s="711"/>
      <c r="J27790" s="711"/>
      <c r="K27790" s="711"/>
      <c r="L27790" s="711"/>
      <c r="Q27790" s="11"/>
      <c r="R27790" s="11"/>
      <c r="S27790" s="11"/>
      <c r="T27790" s="11"/>
    </row>
    <row r="27791" spans="8:20" x14ac:dyDescent="0.35">
      <c r="H27791" s="711"/>
      <c r="I27791" s="711"/>
      <c r="J27791" s="711"/>
      <c r="K27791" s="711"/>
      <c r="L27791" s="711"/>
      <c r="Q27791" s="11"/>
      <c r="R27791" s="11"/>
      <c r="S27791" s="11"/>
      <c r="T27791" s="11"/>
    </row>
    <row r="27792" spans="8:20" x14ac:dyDescent="0.35">
      <c r="H27792" s="711"/>
      <c r="I27792" s="711"/>
      <c r="J27792" s="711"/>
      <c r="K27792" s="711"/>
      <c r="L27792" s="711"/>
      <c r="Q27792" s="11"/>
      <c r="R27792" s="11"/>
      <c r="S27792" s="11"/>
      <c r="T27792" s="11"/>
    </row>
    <row r="27793" spans="8:20" x14ac:dyDescent="0.35">
      <c r="H27793" s="711"/>
      <c r="I27793" s="711"/>
      <c r="J27793" s="711"/>
      <c r="K27793" s="711"/>
      <c r="L27793" s="711"/>
      <c r="Q27793" s="11"/>
      <c r="R27793" s="11"/>
      <c r="S27793" s="11"/>
      <c r="T27793" s="11"/>
    </row>
    <row r="27794" spans="8:20" x14ac:dyDescent="0.35">
      <c r="H27794" s="711"/>
      <c r="I27794" s="711"/>
      <c r="J27794" s="711"/>
      <c r="K27794" s="711"/>
      <c r="L27794" s="711"/>
      <c r="Q27794" s="11"/>
      <c r="R27794" s="11"/>
      <c r="S27794" s="11"/>
      <c r="T27794" s="11"/>
    </row>
    <row r="27795" spans="8:20" x14ac:dyDescent="0.35">
      <c r="H27795" s="711"/>
      <c r="I27795" s="711"/>
      <c r="J27795" s="711"/>
      <c r="K27795" s="711"/>
      <c r="L27795" s="711"/>
      <c r="Q27795" s="11"/>
      <c r="R27795" s="11"/>
      <c r="S27795" s="11"/>
      <c r="T27795" s="11"/>
    </row>
    <row r="27796" spans="8:20" x14ac:dyDescent="0.35">
      <c r="H27796" s="711"/>
      <c r="I27796" s="711"/>
      <c r="J27796" s="711"/>
      <c r="K27796" s="711"/>
      <c r="L27796" s="711"/>
      <c r="Q27796" s="11"/>
      <c r="R27796" s="11"/>
      <c r="S27796" s="11"/>
      <c r="T27796" s="11"/>
    </row>
    <row r="27797" spans="8:20" x14ac:dyDescent="0.35">
      <c r="H27797" s="711"/>
      <c r="I27797" s="711"/>
      <c r="J27797" s="711"/>
      <c r="K27797" s="711"/>
      <c r="L27797" s="711"/>
      <c r="Q27797" s="11"/>
      <c r="R27797" s="11"/>
      <c r="S27797" s="11"/>
      <c r="T27797" s="11"/>
    </row>
    <row r="27798" spans="8:20" x14ac:dyDescent="0.35">
      <c r="H27798" s="711"/>
      <c r="I27798" s="711"/>
      <c r="J27798" s="711"/>
      <c r="K27798" s="711"/>
      <c r="L27798" s="711"/>
      <c r="Q27798" s="11"/>
      <c r="R27798" s="11"/>
      <c r="S27798" s="11"/>
      <c r="T27798" s="11"/>
    </row>
    <row r="27799" spans="8:20" x14ac:dyDescent="0.35">
      <c r="H27799" s="711"/>
      <c r="I27799" s="711"/>
      <c r="J27799" s="711"/>
      <c r="K27799" s="711"/>
      <c r="L27799" s="711"/>
      <c r="Q27799" s="11"/>
      <c r="R27799" s="11"/>
      <c r="S27799" s="11"/>
      <c r="T27799" s="11"/>
    </row>
    <row r="27800" spans="8:20" x14ac:dyDescent="0.35">
      <c r="H27800" s="711"/>
      <c r="I27800" s="711"/>
      <c r="J27800" s="711"/>
      <c r="K27800" s="711"/>
      <c r="L27800" s="711"/>
      <c r="Q27800" s="11"/>
      <c r="R27800" s="11"/>
      <c r="S27800" s="11"/>
      <c r="T27800" s="11"/>
    </row>
    <row r="27801" spans="8:20" x14ac:dyDescent="0.35">
      <c r="H27801" s="711"/>
      <c r="I27801" s="711"/>
      <c r="J27801" s="711"/>
      <c r="K27801" s="711"/>
      <c r="L27801" s="711"/>
      <c r="Q27801" s="11"/>
      <c r="R27801" s="11"/>
      <c r="S27801" s="11"/>
      <c r="T27801" s="11"/>
    </row>
    <row r="27802" spans="8:20" x14ac:dyDescent="0.35">
      <c r="H27802" s="711"/>
      <c r="I27802" s="711"/>
      <c r="J27802" s="711"/>
      <c r="K27802" s="711"/>
      <c r="L27802" s="711"/>
      <c r="Q27802" s="11"/>
      <c r="R27802" s="11"/>
      <c r="S27802" s="11"/>
      <c r="T27802" s="11"/>
    </row>
    <row r="27803" spans="8:20" x14ac:dyDescent="0.35">
      <c r="H27803" s="711"/>
      <c r="I27803" s="711"/>
      <c r="J27803" s="711"/>
      <c r="K27803" s="711"/>
      <c r="L27803" s="711"/>
      <c r="Q27803" s="11"/>
      <c r="R27803" s="11"/>
      <c r="S27803" s="11"/>
      <c r="T27803" s="11"/>
    </row>
    <row r="27804" spans="8:20" x14ac:dyDescent="0.35">
      <c r="H27804" s="711"/>
      <c r="I27804" s="711"/>
      <c r="J27804" s="711"/>
      <c r="K27804" s="711"/>
      <c r="L27804" s="711"/>
      <c r="Q27804" s="11"/>
      <c r="R27804" s="11"/>
      <c r="S27804" s="11"/>
      <c r="T27804" s="11"/>
    </row>
    <row r="27805" spans="8:20" x14ac:dyDescent="0.35">
      <c r="H27805" s="711"/>
      <c r="I27805" s="711"/>
      <c r="J27805" s="711"/>
      <c r="K27805" s="711"/>
      <c r="L27805" s="711"/>
      <c r="Q27805" s="11"/>
      <c r="R27805" s="11"/>
      <c r="S27805" s="11"/>
      <c r="T27805" s="11"/>
    </row>
    <row r="27806" spans="8:20" x14ac:dyDescent="0.35">
      <c r="H27806" s="711"/>
      <c r="I27806" s="711"/>
      <c r="J27806" s="711"/>
      <c r="K27806" s="711"/>
      <c r="L27806" s="711"/>
      <c r="Q27806" s="11"/>
      <c r="R27806" s="11"/>
      <c r="S27806" s="11"/>
      <c r="T27806" s="11"/>
    </row>
    <row r="27807" spans="8:20" x14ac:dyDescent="0.35">
      <c r="H27807" s="711"/>
      <c r="I27807" s="711"/>
      <c r="J27807" s="711"/>
      <c r="K27807" s="711"/>
      <c r="L27807" s="711"/>
      <c r="Q27807" s="11"/>
      <c r="R27807" s="11"/>
      <c r="S27807" s="11"/>
      <c r="T27807" s="11"/>
    </row>
    <row r="27808" spans="8:20" x14ac:dyDescent="0.35">
      <c r="H27808" s="711"/>
      <c r="I27808" s="711"/>
      <c r="J27808" s="711"/>
      <c r="K27808" s="711"/>
      <c r="L27808" s="711"/>
      <c r="Q27808" s="11"/>
      <c r="R27808" s="11"/>
      <c r="S27808" s="11"/>
      <c r="T27808" s="11"/>
    </row>
    <row r="27809" spans="8:20" x14ac:dyDescent="0.35">
      <c r="H27809" s="711"/>
      <c r="I27809" s="711"/>
      <c r="J27809" s="711"/>
      <c r="K27809" s="711"/>
      <c r="L27809" s="711"/>
      <c r="Q27809" s="11"/>
      <c r="R27809" s="11"/>
      <c r="S27809" s="11"/>
      <c r="T27809" s="11"/>
    </row>
    <row r="27810" spans="8:20" x14ac:dyDescent="0.35">
      <c r="H27810" s="711"/>
      <c r="I27810" s="711"/>
      <c r="J27810" s="711"/>
      <c r="K27810" s="711"/>
      <c r="L27810" s="711"/>
      <c r="Q27810" s="11"/>
      <c r="R27810" s="11"/>
      <c r="S27810" s="11"/>
      <c r="T27810" s="11"/>
    </row>
    <row r="27811" spans="8:20" x14ac:dyDescent="0.35">
      <c r="H27811" s="711"/>
      <c r="I27811" s="711"/>
      <c r="J27811" s="711"/>
      <c r="K27811" s="711"/>
      <c r="L27811" s="711"/>
      <c r="Q27811" s="11"/>
      <c r="R27811" s="11"/>
      <c r="S27811" s="11"/>
      <c r="T27811" s="11"/>
    </row>
    <row r="27812" spans="8:20" x14ac:dyDescent="0.35">
      <c r="H27812" s="711"/>
      <c r="I27812" s="711"/>
      <c r="J27812" s="711"/>
      <c r="K27812" s="711"/>
      <c r="L27812" s="711"/>
      <c r="Q27812" s="11"/>
      <c r="R27812" s="11"/>
      <c r="S27812" s="11"/>
      <c r="T27812" s="11"/>
    </row>
    <row r="27813" spans="8:20" x14ac:dyDescent="0.35">
      <c r="H27813" s="711"/>
      <c r="I27813" s="711"/>
      <c r="J27813" s="711"/>
      <c r="K27813" s="711"/>
      <c r="L27813" s="711"/>
      <c r="Q27813" s="11"/>
      <c r="R27813" s="11"/>
      <c r="S27813" s="11"/>
      <c r="T27813" s="11"/>
    </row>
    <row r="27814" spans="8:20" x14ac:dyDescent="0.35">
      <c r="H27814" s="711"/>
      <c r="I27814" s="711"/>
      <c r="J27814" s="711"/>
      <c r="K27814" s="711"/>
      <c r="L27814" s="711"/>
      <c r="Q27814" s="11"/>
      <c r="R27814" s="11"/>
      <c r="S27814" s="11"/>
      <c r="T27814" s="11"/>
    </row>
    <row r="27815" spans="8:20" x14ac:dyDescent="0.35">
      <c r="H27815" s="711"/>
      <c r="I27815" s="711"/>
      <c r="J27815" s="711"/>
      <c r="K27815" s="711"/>
      <c r="L27815" s="711"/>
      <c r="Q27815" s="11"/>
      <c r="R27815" s="11"/>
      <c r="S27815" s="11"/>
      <c r="T27815" s="11"/>
    </row>
    <row r="27816" spans="8:20" x14ac:dyDescent="0.35">
      <c r="H27816" s="711"/>
      <c r="I27816" s="711"/>
      <c r="J27816" s="711"/>
      <c r="K27816" s="711"/>
      <c r="L27816" s="711"/>
      <c r="Q27816" s="11"/>
      <c r="R27816" s="11"/>
      <c r="S27816" s="11"/>
      <c r="T27816" s="11"/>
    </row>
    <row r="27817" spans="8:20" x14ac:dyDescent="0.35">
      <c r="H27817" s="711"/>
      <c r="I27817" s="711"/>
      <c r="J27817" s="711"/>
      <c r="K27817" s="711"/>
      <c r="L27817" s="711"/>
      <c r="Q27817" s="11"/>
      <c r="R27817" s="11"/>
      <c r="S27817" s="11"/>
      <c r="T27817" s="11"/>
    </row>
    <row r="27818" spans="8:20" x14ac:dyDescent="0.35">
      <c r="H27818" s="711"/>
      <c r="I27818" s="711"/>
      <c r="J27818" s="711"/>
      <c r="K27818" s="711"/>
      <c r="L27818" s="711"/>
      <c r="Q27818" s="11"/>
      <c r="R27818" s="11"/>
      <c r="S27818" s="11"/>
      <c r="T27818" s="11"/>
    </row>
    <row r="27819" spans="8:20" x14ac:dyDescent="0.35">
      <c r="H27819" s="711"/>
      <c r="I27819" s="711"/>
      <c r="J27819" s="711"/>
      <c r="K27819" s="711"/>
      <c r="L27819" s="711"/>
      <c r="Q27819" s="11"/>
      <c r="R27819" s="11"/>
      <c r="S27819" s="11"/>
      <c r="T27819" s="11"/>
    </row>
    <row r="27820" spans="8:20" x14ac:dyDescent="0.35">
      <c r="H27820" s="711"/>
      <c r="I27820" s="711"/>
      <c r="J27820" s="711"/>
      <c r="K27820" s="711"/>
      <c r="L27820" s="711"/>
      <c r="Q27820" s="11"/>
      <c r="R27820" s="11"/>
      <c r="S27820" s="11"/>
      <c r="T27820" s="11"/>
    </row>
    <row r="27821" spans="8:20" x14ac:dyDescent="0.35">
      <c r="H27821" s="711"/>
      <c r="I27821" s="711"/>
      <c r="J27821" s="711"/>
      <c r="K27821" s="711"/>
      <c r="L27821" s="711"/>
      <c r="Q27821" s="11"/>
      <c r="R27821" s="11"/>
      <c r="S27821" s="11"/>
      <c r="T27821" s="11"/>
    </row>
    <row r="27822" spans="8:20" x14ac:dyDescent="0.35">
      <c r="H27822" s="711"/>
      <c r="I27822" s="711"/>
      <c r="J27822" s="711"/>
      <c r="K27822" s="711"/>
      <c r="L27822" s="711"/>
      <c r="Q27822" s="11"/>
      <c r="R27822" s="11"/>
      <c r="S27822" s="11"/>
      <c r="T27822" s="11"/>
    </row>
    <row r="27823" spans="8:20" x14ac:dyDescent="0.35">
      <c r="H27823" s="711"/>
      <c r="I27823" s="711"/>
      <c r="J27823" s="711"/>
      <c r="K27823" s="711"/>
      <c r="L27823" s="711"/>
      <c r="Q27823" s="11"/>
      <c r="R27823" s="11"/>
      <c r="S27823" s="11"/>
      <c r="T27823" s="11"/>
    </row>
    <row r="27824" spans="8:20" x14ac:dyDescent="0.35">
      <c r="H27824" s="711"/>
      <c r="I27824" s="711"/>
      <c r="J27824" s="711"/>
      <c r="K27824" s="711"/>
      <c r="L27824" s="711"/>
      <c r="Q27824" s="11"/>
      <c r="R27824" s="11"/>
      <c r="S27824" s="11"/>
      <c r="T27824" s="11"/>
    </row>
    <row r="27825" spans="8:20" x14ac:dyDescent="0.35">
      <c r="H27825" s="711"/>
      <c r="I27825" s="711"/>
      <c r="J27825" s="711"/>
      <c r="K27825" s="711"/>
      <c r="L27825" s="711"/>
      <c r="Q27825" s="11"/>
      <c r="R27825" s="11"/>
      <c r="S27825" s="11"/>
      <c r="T27825" s="11"/>
    </row>
    <row r="27826" spans="8:20" x14ac:dyDescent="0.35">
      <c r="H27826" s="711"/>
      <c r="I27826" s="711"/>
      <c r="J27826" s="711"/>
      <c r="K27826" s="711"/>
      <c r="L27826" s="711"/>
      <c r="Q27826" s="11"/>
      <c r="R27826" s="11"/>
      <c r="S27826" s="11"/>
      <c r="T27826" s="11"/>
    </row>
    <row r="27827" spans="8:20" x14ac:dyDescent="0.35">
      <c r="H27827" s="711"/>
      <c r="I27827" s="711"/>
      <c r="J27827" s="711"/>
      <c r="K27827" s="711"/>
      <c r="L27827" s="711"/>
      <c r="Q27827" s="11"/>
      <c r="R27827" s="11"/>
      <c r="S27827" s="11"/>
      <c r="T27827" s="11"/>
    </row>
    <row r="27828" spans="8:20" x14ac:dyDescent="0.35">
      <c r="H27828" s="711"/>
      <c r="I27828" s="711"/>
      <c r="J27828" s="711"/>
      <c r="K27828" s="711"/>
      <c r="L27828" s="711"/>
      <c r="Q27828" s="11"/>
      <c r="R27828" s="11"/>
      <c r="S27828" s="11"/>
      <c r="T27828" s="11"/>
    </row>
    <row r="27829" spans="8:20" x14ac:dyDescent="0.35">
      <c r="H27829" s="711"/>
      <c r="I27829" s="711"/>
      <c r="J27829" s="711"/>
      <c r="K27829" s="711"/>
      <c r="L27829" s="711"/>
      <c r="Q27829" s="11"/>
      <c r="R27829" s="11"/>
      <c r="S27829" s="11"/>
      <c r="T27829" s="11"/>
    </row>
    <row r="27830" spans="8:20" x14ac:dyDescent="0.35">
      <c r="H27830" s="711"/>
      <c r="I27830" s="711"/>
      <c r="J27830" s="711"/>
      <c r="K27830" s="711"/>
      <c r="L27830" s="711"/>
      <c r="Q27830" s="11"/>
      <c r="R27830" s="11"/>
      <c r="S27830" s="11"/>
      <c r="T27830" s="11"/>
    </row>
    <row r="27831" spans="8:20" x14ac:dyDescent="0.35">
      <c r="H27831" s="711"/>
      <c r="I27831" s="711"/>
      <c r="J27831" s="711"/>
      <c r="K27831" s="711"/>
      <c r="L27831" s="711"/>
      <c r="Q27831" s="11"/>
      <c r="R27831" s="11"/>
      <c r="S27831" s="11"/>
      <c r="T27831" s="11"/>
    </row>
    <row r="27832" spans="8:20" x14ac:dyDescent="0.35">
      <c r="H27832" s="711"/>
      <c r="I27832" s="711"/>
      <c r="J27832" s="711"/>
      <c r="K27832" s="711"/>
      <c r="L27832" s="711"/>
      <c r="Q27832" s="11"/>
      <c r="R27832" s="11"/>
      <c r="S27832" s="11"/>
      <c r="T27832" s="11"/>
    </row>
    <row r="27833" spans="8:20" x14ac:dyDescent="0.35">
      <c r="H27833" s="711"/>
      <c r="I27833" s="711"/>
      <c r="J27833" s="711"/>
      <c r="K27833" s="711"/>
      <c r="L27833" s="711"/>
      <c r="Q27833" s="11"/>
      <c r="R27833" s="11"/>
      <c r="S27833" s="11"/>
      <c r="T27833" s="11"/>
    </row>
    <row r="27834" spans="8:20" x14ac:dyDescent="0.35">
      <c r="H27834" s="711"/>
      <c r="I27834" s="711"/>
      <c r="J27834" s="711"/>
      <c r="K27834" s="711"/>
      <c r="L27834" s="711"/>
      <c r="Q27834" s="11"/>
      <c r="R27834" s="11"/>
      <c r="S27834" s="11"/>
      <c r="T27834" s="11"/>
    </row>
    <row r="27835" spans="8:20" x14ac:dyDescent="0.35">
      <c r="H27835" s="711"/>
      <c r="I27835" s="711"/>
      <c r="J27835" s="711"/>
      <c r="K27835" s="711"/>
      <c r="L27835" s="711"/>
      <c r="Q27835" s="11"/>
      <c r="R27835" s="11"/>
      <c r="S27835" s="11"/>
      <c r="T27835" s="11"/>
    </row>
    <row r="27836" spans="8:20" x14ac:dyDescent="0.35">
      <c r="H27836" s="711"/>
      <c r="I27836" s="711"/>
      <c r="J27836" s="711"/>
      <c r="K27836" s="711"/>
      <c r="L27836" s="711"/>
      <c r="Q27836" s="11"/>
      <c r="R27836" s="11"/>
      <c r="S27836" s="11"/>
      <c r="T27836" s="11"/>
    </row>
    <row r="27837" spans="8:20" x14ac:dyDescent="0.35">
      <c r="H27837" s="711"/>
      <c r="I27837" s="711"/>
      <c r="J27837" s="711"/>
      <c r="K27837" s="711"/>
      <c r="L27837" s="711"/>
      <c r="Q27837" s="11"/>
      <c r="R27837" s="11"/>
      <c r="S27837" s="11"/>
      <c r="T27837" s="11"/>
    </row>
    <row r="27838" spans="8:20" x14ac:dyDescent="0.35">
      <c r="H27838" s="711"/>
      <c r="I27838" s="711"/>
      <c r="J27838" s="711"/>
      <c r="K27838" s="711"/>
      <c r="L27838" s="711"/>
      <c r="Q27838" s="11"/>
      <c r="R27838" s="11"/>
      <c r="S27838" s="11"/>
      <c r="T27838" s="11"/>
    </row>
    <row r="27839" spans="8:20" x14ac:dyDescent="0.35">
      <c r="H27839" s="711"/>
      <c r="I27839" s="711"/>
      <c r="J27839" s="711"/>
      <c r="K27839" s="711"/>
      <c r="L27839" s="711"/>
      <c r="Q27839" s="11"/>
      <c r="R27839" s="11"/>
      <c r="S27839" s="11"/>
      <c r="T27839" s="11"/>
    </row>
    <row r="27840" spans="8:20" x14ac:dyDescent="0.35">
      <c r="H27840" s="711"/>
      <c r="I27840" s="711"/>
      <c r="J27840" s="711"/>
      <c r="K27840" s="711"/>
      <c r="L27840" s="711"/>
      <c r="Q27840" s="11"/>
      <c r="R27840" s="11"/>
      <c r="S27840" s="11"/>
      <c r="T27840" s="11"/>
    </row>
    <row r="27841" spans="8:20" x14ac:dyDescent="0.35">
      <c r="H27841" s="711"/>
      <c r="I27841" s="711"/>
      <c r="J27841" s="711"/>
      <c r="K27841" s="711"/>
      <c r="L27841" s="711"/>
      <c r="Q27841" s="11"/>
      <c r="R27841" s="11"/>
      <c r="S27841" s="11"/>
      <c r="T27841" s="11"/>
    </row>
    <row r="27842" spans="8:20" x14ac:dyDescent="0.35">
      <c r="H27842" s="711"/>
      <c r="I27842" s="711"/>
      <c r="J27842" s="711"/>
      <c r="K27842" s="711"/>
      <c r="L27842" s="711"/>
      <c r="Q27842" s="11"/>
      <c r="R27842" s="11"/>
      <c r="S27842" s="11"/>
      <c r="T27842" s="11"/>
    </row>
    <row r="27843" spans="8:20" x14ac:dyDescent="0.35">
      <c r="H27843" s="711"/>
      <c r="I27843" s="711"/>
      <c r="J27843" s="711"/>
      <c r="K27843" s="711"/>
      <c r="L27843" s="711"/>
      <c r="Q27843" s="11"/>
      <c r="R27843" s="11"/>
      <c r="S27843" s="11"/>
      <c r="T27843" s="11"/>
    </row>
    <row r="27844" spans="8:20" x14ac:dyDescent="0.35">
      <c r="H27844" s="711"/>
      <c r="I27844" s="711"/>
      <c r="J27844" s="711"/>
      <c r="K27844" s="711"/>
      <c r="L27844" s="711"/>
      <c r="Q27844" s="11"/>
      <c r="R27844" s="11"/>
      <c r="S27844" s="11"/>
      <c r="T27844" s="11"/>
    </row>
    <row r="27845" spans="8:20" x14ac:dyDescent="0.35">
      <c r="H27845" s="711"/>
      <c r="I27845" s="711"/>
      <c r="J27845" s="711"/>
      <c r="K27845" s="711"/>
      <c r="L27845" s="711"/>
      <c r="Q27845" s="11"/>
      <c r="R27845" s="11"/>
      <c r="S27845" s="11"/>
      <c r="T27845" s="11"/>
    </row>
    <row r="27846" spans="8:20" x14ac:dyDescent="0.35">
      <c r="H27846" s="711"/>
      <c r="I27846" s="711"/>
      <c r="J27846" s="711"/>
      <c r="K27846" s="711"/>
      <c r="L27846" s="711"/>
      <c r="Q27846" s="11"/>
      <c r="R27846" s="11"/>
      <c r="S27846" s="11"/>
      <c r="T27846" s="11"/>
    </row>
    <row r="27847" spans="8:20" x14ac:dyDescent="0.35">
      <c r="H27847" s="711"/>
      <c r="I27847" s="711"/>
      <c r="J27847" s="711"/>
      <c r="K27847" s="711"/>
      <c r="L27847" s="711"/>
      <c r="Q27847" s="11"/>
      <c r="R27847" s="11"/>
      <c r="S27847" s="11"/>
      <c r="T27847" s="11"/>
    </row>
    <row r="27848" spans="8:20" x14ac:dyDescent="0.35">
      <c r="H27848" s="711"/>
      <c r="I27848" s="711"/>
      <c r="J27848" s="711"/>
      <c r="K27848" s="711"/>
      <c r="L27848" s="711"/>
      <c r="Q27848" s="11"/>
      <c r="R27848" s="11"/>
      <c r="S27848" s="11"/>
      <c r="T27848" s="11"/>
    </row>
    <row r="27849" spans="8:20" x14ac:dyDescent="0.35">
      <c r="H27849" s="711"/>
      <c r="I27849" s="711"/>
      <c r="J27849" s="711"/>
      <c r="K27849" s="711"/>
      <c r="L27849" s="711"/>
      <c r="Q27849" s="11"/>
      <c r="R27849" s="11"/>
      <c r="S27849" s="11"/>
      <c r="T27849" s="11"/>
    </row>
    <row r="27850" spans="8:20" x14ac:dyDescent="0.35">
      <c r="H27850" s="711"/>
      <c r="I27850" s="711"/>
      <c r="J27850" s="711"/>
      <c r="K27850" s="711"/>
      <c r="L27850" s="711"/>
      <c r="Q27850" s="11"/>
      <c r="R27850" s="11"/>
      <c r="S27850" s="11"/>
      <c r="T27850" s="11"/>
    </row>
    <row r="27851" spans="8:20" x14ac:dyDescent="0.35">
      <c r="H27851" s="711"/>
      <c r="I27851" s="711"/>
      <c r="J27851" s="711"/>
      <c r="K27851" s="711"/>
      <c r="L27851" s="711"/>
      <c r="Q27851" s="11"/>
      <c r="R27851" s="11"/>
      <c r="S27851" s="11"/>
      <c r="T27851" s="11"/>
    </row>
    <row r="27852" spans="8:20" x14ac:dyDescent="0.35">
      <c r="H27852" s="711"/>
      <c r="I27852" s="711"/>
      <c r="J27852" s="711"/>
      <c r="K27852" s="711"/>
      <c r="L27852" s="711"/>
      <c r="Q27852" s="11"/>
      <c r="R27852" s="11"/>
      <c r="S27852" s="11"/>
      <c r="T27852" s="11"/>
    </row>
    <row r="27853" spans="8:20" x14ac:dyDescent="0.35">
      <c r="H27853" s="711"/>
      <c r="I27853" s="711"/>
      <c r="J27853" s="711"/>
      <c r="K27853" s="711"/>
      <c r="L27853" s="711"/>
      <c r="Q27853" s="11"/>
      <c r="R27853" s="11"/>
      <c r="S27853" s="11"/>
      <c r="T27853" s="11"/>
    </row>
    <row r="27854" spans="8:20" x14ac:dyDescent="0.35">
      <c r="H27854" s="711"/>
      <c r="I27854" s="711"/>
      <c r="J27854" s="711"/>
      <c r="K27854" s="711"/>
      <c r="L27854" s="711"/>
      <c r="Q27854" s="11"/>
      <c r="R27854" s="11"/>
      <c r="S27854" s="11"/>
      <c r="T27854" s="11"/>
    </row>
    <row r="27855" spans="8:20" x14ac:dyDescent="0.35">
      <c r="H27855" s="711"/>
      <c r="I27855" s="711"/>
      <c r="J27855" s="711"/>
      <c r="K27855" s="711"/>
      <c r="L27855" s="711"/>
      <c r="Q27855" s="11"/>
      <c r="R27855" s="11"/>
      <c r="S27855" s="11"/>
      <c r="T27855" s="11"/>
    </row>
    <row r="27856" spans="8:20" x14ac:dyDescent="0.35">
      <c r="H27856" s="711"/>
      <c r="I27856" s="711"/>
      <c r="J27856" s="711"/>
      <c r="K27856" s="711"/>
      <c r="L27856" s="711"/>
      <c r="Q27856" s="11"/>
      <c r="R27856" s="11"/>
      <c r="S27856" s="11"/>
      <c r="T27856" s="11"/>
    </row>
    <row r="27857" spans="8:20" x14ac:dyDescent="0.35">
      <c r="H27857" s="711"/>
      <c r="I27857" s="711"/>
      <c r="J27857" s="711"/>
      <c r="K27857" s="711"/>
      <c r="L27857" s="711"/>
      <c r="Q27857" s="11"/>
      <c r="R27857" s="11"/>
      <c r="S27857" s="11"/>
      <c r="T27857" s="11"/>
    </row>
    <row r="27858" spans="8:20" x14ac:dyDescent="0.35">
      <c r="H27858" s="711"/>
      <c r="I27858" s="711"/>
      <c r="J27858" s="711"/>
      <c r="K27858" s="711"/>
      <c r="L27858" s="711"/>
      <c r="Q27858" s="11"/>
      <c r="R27858" s="11"/>
      <c r="S27858" s="11"/>
      <c r="T27858" s="11"/>
    </row>
    <row r="27859" spans="8:20" x14ac:dyDescent="0.35">
      <c r="H27859" s="711"/>
      <c r="I27859" s="711"/>
      <c r="J27859" s="711"/>
      <c r="K27859" s="711"/>
      <c r="L27859" s="711"/>
      <c r="Q27859" s="11"/>
      <c r="R27859" s="11"/>
      <c r="S27859" s="11"/>
      <c r="T27859" s="11"/>
    </row>
    <row r="27860" spans="8:20" x14ac:dyDescent="0.35">
      <c r="H27860" s="711"/>
      <c r="I27860" s="711"/>
      <c r="J27860" s="711"/>
      <c r="K27860" s="711"/>
      <c r="L27860" s="711"/>
      <c r="Q27860" s="11"/>
      <c r="R27860" s="11"/>
      <c r="S27860" s="11"/>
      <c r="T27860" s="11"/>
    </row>
    <row r="27861" spans="8:20" x14ac:dyDescent="0.35">
      <c r="H27861" s="711"/>
      <c r="I27861" s="711"/>
      <c r="J27861" s="711"/>
      <c r="K27861" s="711"/>
      <c r="L27861" s="711"/>
      <c r="Q27861" s="11"/>
      <c r="R27861" s="11"/>
      <c r="S27861" s="11"/>
      <c r="T27861" s="11"/>
    </row>
    <row r="27862" spans="8:20" x14ac:dyDescent="0.35">
      <c r="H27862" s="711"/>
      <c r="I27862" s="711"/>
      <c r="J27862" s="711"/>
      <c r="K27862" s="711"/>
      <c r="L27862" s="711"/>
      <c r="Q27862" s="11"/>
      <c r="R27862" s="11"/>
      <c r="S27862" s="11"/>
      <c r="T27862" s="11"/>
    </row>
    <row r="27863" spans="8:20" x14ac:dyDescent="0.35">
      <c r="H27863" s="711"/>
      <c r="I27863" s="711"/>
      <c r="J27863" s="711"/>
      <c r="K27863" s="711"/>
      <c r="L27863" s="711"/>
      <c r="Q27863" s="11"/>
      <c r="R27863" s="11"/>
      <c r="S27863" s="11"/>
      <c r="T27863" s="11"/>
    </row>
    <row r="27864" spans="8:20" x14ac:dyDescent="0.35">
      <c r="H27864" s="711"/>
      <c r="I27864" s="711"/>
      <c r="J27864" s="711"/>
      <c r="K27864" s="711"/>
      <c r="L27864" s="711"/>
      <c r="Q27864" s="11"/>
      <c r="R27864" s="11"/>
      <c r="S27864" s="11"/>
      <c r="T27864" s="11"/>
    </row>
    <row r="27865" spans="8:20" x14ac:dyDescent="0.35">
      <c r="H27865" s="711"/>
      <c r="I27865" s="711"/>
      <c r="J27865" s="711"/>
      <c r="K27865" s="711"/>
      <c r="L27865" s="711"/>
      <c r="Q27865" s="11"/>
      <c r="R27865" s="11"/>
      <c r="S27865" s="11"/>
      <c r="T27865" s="11"/>
    </row>
    <row r="27866" spans="8:20" x14ac:dyDescent="0.35">
      <c r="H27866" s="711"/>
      <c r="I27866" s="711"/>
      <c r="J27866" s="711"/>
      <c r="K27866" s="711"/>
      <c r="L27866" s="711"/>
      <c r="Q27866" s="11"/>
      <c r="R27866" s="11"/>
      <c r="S27866" s="11"/>
      <c r="T27866" s="11"/>
    </row>
    <row r="27867" spans="8:20" x14ac:dyDescent="0.35">
      <c r="H27867" s="711"/>
      <c r="I27867" s="711"/>
      <c r="J27867" s="711"/>
      <c r="K27867" s="711"/>
      <c r="L27867" s="711"/>
      <c r="Q27867" s="11"/>
      <c r="R27867" s="11"/>
      <c r="S27867" s="11"/>
      <c r="T27867" s="11"/>
    </row>
    <row r="27868" spans="8:20" x14ac:dyDescent="0.35">
      <c r="H27868" s="711"/>
      <c r="I27868" s="711"/>
      <c r="J27868" s="711"/>
      <c r="K27868" s="711"/>
      <c r="L27868" s="711"/>
      <c r="Q27868" s="11"/>
      <c r="R27868" s="11"/>
      <c r="S27868" s="11"/>
      <c r="T27868" s="11"/>
    </row>
    <row r="27869" spans="8:20" x14ac:dyDescent="0.35">
      <c r="H27869" s="711"/>
      <c r="I27869" s="711"/>
      <c r="J27869" s="711"/>
      <c r="K27869" s="711"/>
      <c r="L27869" s="711"/>
      <c r="Q27869" s="11"/>
      <c r="R27869" s="11"/>
      <c r="S27869" s="11"/>
      <c r="T27869" s="11"/>
    </row>
    <row r="27870" spans="8:20" x14ac:dyDescent="0.35">
      <c r="H27870" s="711"/>
      <c r="I27870" s="711"/>
      <c r="J27870" s="711"/>
      <c r="K27870" s="711"/>
      <c r="L27870" s="711"/>
      <c r="Q27870" s="11"/>
      <c r="R27870" s="11"/>
      <c r="S27870" s="11"/>
      <c r="T27870" s="11"/>
    </row>
    <row r="27871" spans="8:20" x14ac:dyDescent="0.35">
      <c r="H27871" s="711"/>
      <c r="I27871" s="711"/>
      <c r="J27871" s="711"/>
      <c r="K27871" s="711"/>
      <c r="L27871" s="711"/>
      <c r="Q27871" s="11"/>
      <c r="R27871" s="11"/>
      <c r="S27871" s="11"/>
      <c r="T27871" s="11"/>
    </row>
    <row r="27872" spans="8:20" x14ac:dyDescent="0.35">
      <c r="H27872" s="711"/>
      <c r="I27872" s="711"/>
      <c r="J27872" s="711"/>
      <c r="K27872" s="711"/>
      <c r="L27872" s="711"/>
      <c r="Q27872" s="11"/>
      <c r="R27872" s="11"/>
      <c r="S27872" s="11"/>
      <c r="T27872" s="11"/>
    </row>
    <row r="27873" spans="8:20" x14ac:dyDescent="0.35">
      <c r="H27873" s="711"/>
      <c r="I27873" s="711"/>
      <c r="J27873" s="711"/>
      <c r="K27873" s="711"/>
      <c r="L27873" s="711"/>
      <c r="Q27873" s="11"/>
      <c r="R27873" s="11"/>
      <c r="S27873" s="11"/>
      <c r="T27873" s="11"/>
    </row>
    <row r="27874" spans="8:20" x14ac:dyDescent="0.35">
      <c r="H27874" s="711"/>
      <c r="I27874" s="711"/>
      <c r="J27874" s="711"/>
      <c r="K27874" s="711"/>
      <c r="L27874" s="711"/>
      <c r="Q27874" s="11"/>
      <c r="R27874" s="11"/>
      <c r="S27874" s="11"/>
      <c r="T27874" s="11"/>
    </row>
    <row r="27875" spans="8:20" x14ac:dyDescent="0.35">
      <c r="H27875" s="711"/>
      <c r="I27875" s="711"/>
      <c r="J27875" s="711"/>
      <c r="K27875" s="711"/>
      <c r="L27875" s="711"/>
      <c r="Q27875" s="11"/>
      <c r="R27875" s="11"/>
      <c r="S27875" s="11"/>
      <c r="T27875" s="11"/>
    </row>
    <row r="27876" spans="8:20" x14ac:dyDescent="0.35">
      <c r="H27876" s="711"/>
      <c r="I27876" s="711"/>
      <c r="J27876" s="711"/>
      <c r="K27876" s="711"/>
      <c r="L27876" s="711"/>
      <c r="Q27876" s="11"/>
      <c r="R27876" s="11"/>
      <c r="S27876" s="11"/>
      <c r="T27876" s="11"/>
    </row>
    <row r="27877" spans="8:20" x14ac:dyDescent="0.35">
      <c r="H27877" s="711"/>
      <c r="I27877" s="711"/>
      <c r="J27877" s="711"/>
      <c r="K27877" s="711"/>
      <c r="L27877" s="711"/>
      <c r="Q27877" s="11"/>
      <c r="R27877" s="11"/>
      <c r="S27877" s="11"/>
      <c r="T27877" s="11"/>
    </row>
    <row r="27878" spans="8:20" x14ac:dyDescent="0.35">
      <c r="H27878" s="711"/>
      <c r="I27878" s="711"/>
      <c r="J27878" s="711"/>
      <c r="K27878" s="711"/>
      <c r="L27878" s="711"/>
      <c r="Q27878" s="11"/>
      <c r="R27878" s="11"/>
      <c r="S27878" s="11"/>
      <c r="T27878" s="11"/>
    </row>
    <row r="27879" spans="8:20" x14ac:dyDescent="0.35">
      <c r="H27879" s="711"/>
      <c r="I27879" s="711"/>
      <c r="J27879" s="711"/>
      <c r="K27879" s="711"/>
      <c r="L27879" s="711"/>
      <c r="Q27879" s="11"/>
      <c r="R27879" s="11"/>
      <c r="S27879" s="11"/>
      <c r="T27879" s="11"/>
    </row>
    <row r="27880" spans="8:20" x14ac:dyDescent="0.35">
      <c r="H27880" s="711"/>
      <c r="I27880" s="711"/>
      <c r="J27880" s="711"/>
      <c r="K27880" s="711"/>
      <c r="L27880" s="711"/>
      <c r="Q27880" s="11"/>
      <c r="R27880" s="11"/>
      <c r="S27880" s="11"/>
      <c r="T27880" s="11"/>
    </row>
    <row r="27881" spans="8:20" x14ac:dyDescent="0.35">
      <c r="H27881" s="711"/>
      <c r="I27881" s="711"/>
      <c r="J27881" s="711"/>
      <c r="K27881" s="711"/>
      <c r="L27881" s="711"/>
      <c r="Q27881" s="11"/>
      <c r="R27881" s="11"/>
      <c r="S27881" s="11"/>
      <c r="T27881" s="11"/>
    </row>
    <row r="27882" spans="8:20" x14ac:dyDescent="0.35">
      <c r="H27882" s="711"/>
      <c r="I27882" s="711"/>
      <c r="J27882" s="711"/>
      <c r="K27882" s="711"/>
      <c r="L27882" s="711"/>
      <c r="Q27882" s="11"/>
      <c r="R27882" s="11"/>
      <c r="S27882" s="11"/>
      <c r="T27882" s="11"/>
    </row>
    <row r="27883" spans="8:20" x14ac:dyDescent="0.35">
      <c r="H27883" s="711"/>
      <c r="I27883" s="711"/>
      <c r="J27883" s="711"/>
      <c r="K27883" s="711"/>
      <c r="L27883" s="711"/>
      <c r="Q27883" s="11"/>
      <c r="R27883" s="11"/>
      <c r="S27883" s="11"/>
      <c r="T27883" s="11"/>
    </row>
    <row r="27884" spans="8:20" x14ac:dyDescent="0.35">
      <c r="H27884" s="711"/>
      <c r="I27884" s="711"/>
      <c r="J27884" s="711"/>
      <c r="K27884" s="711"/>
      <c r="L27884" s="711"/>
      <c r="Q27884" s="11"/>
      <c r="R27884" s="11"/>
      <c r="S27884" s="11"/>
      <c r="T27884" s="11"/>
    </row>
    <row r="27885" spans="8:20" x14ac:dyDescent="0.35">
      <c r="H27885" s="711"/>
      <c r="I27885" s="711"/>
      <c r="J27885" s="711"/>
      <c r="K27885" s="711"/>
      <c r="L27885" s="711"/>
      <c r="Q27885" s="11"/>
      <c r="R27885" s="11"/>
      <c r="S27885" s="11"/>
      <c r="T27885" s="11"/>
    </row>
    <row r="27886" spans="8:20" x14ac:dyDescent="0.35">
      <c r="H27886" s="711"/>
      <c r="I27886" s="711"/>
      <c r="J27886" s="711"/>
      <c r="K27886" s="711"/>
      <c r="L27886" s="711"/>
      <c r="Q27886" s="11"/>
      <c r="R27886" s="11"/>
      <c r="S27886" s="11"/>
      <c r="T27886" s="11"/>
    </row>
    <row r="27887" spans="8:20" x14ac:dyDescent="0.35">
      <c r="H27887" s="711"/>
      <c r="I27887" s="711"/>
      <c r="J27887" s="711"/>
      <c r="K27887" s="711"/>
      <c r="L27887" s="711"/>
      <c r="Q27887" s="11"/>
      <c r="R27887" s="11"/>
      <c r="S27887" s="11"/>
      <c r="T27887" s="11"/>
    </row>
    <row r="27888" spans="8:20" x14ac:dyDescent="0.35">
      <c r="H27888" s="711"/>
      <c r="I27888" s="711"/>
      <c r="J27888" s="711"/>
      <c r="K27888" s="711"/>
      <c r="L27888" s="711"/>
      <c r="Q27888" s="11"/>
      <c r="R27888" s="11"/>
      <c r="S27888" s="11"/>
      <c r="T27888" s="11"/>
    </row>
    <row r="27889" spans="8:20" x14ac:dyDescent="0.35">
      <c r="H27889" s="711"/>
      <c r="I27889" s="711"/>
      <c r="J27889" s="711"/>
      <c r="K27889" s="711"/>
      <c r="L27889" s="711"/>
      <c r="Q27889" s="11"/>
      <c r="R27889" s="11"/>
      <c r="S27889" s="11"/>
      <c r="T27889" s="11"/>
    </row>
    <row r="27890" spans="8:20" x14ac:dyDescent="0.35">
      <c r="H27890" s="711"/>
      <c r="I27890" s="711"/>
      <c r="J27890" s="711"/>
      <c r="K27890" s="711"/>
      <c r="L27890" s="711"/>
      <c r="Q27890" s="11"/>
      <c r="R27890" s="11"/>
      <c r="S27890" s="11"/>
      <c r="T27890" s="11"/>
    </row>
    <row r="27891" spans="8:20" x14ac:dyDescent="0.35">
      <c r="H27891" s="711"/>
      <c r="I27891" s="711"/>
      <c r="J27891" s="711"/>
      <c r="K27891" s="711"/>
      <c r="L27891" s="711"/>
      <c r="Q27891" s="11"/>
      <c r="R27891" s="11"/>
      <c r="S27891" s="11"/>
      <c r="T27891" s="11"/>
    </row>
    <row r="27892" spans="8:20" x14ac:dyDescent="0.35">
      <c r="H27892" s="711"/>
      <c r="I27892" s="711"/>
      <c r="J27892" s="711"/>
      <c r="K27892" s="711"/>
      <c r="L27892" s="711"/>
      <c r="Q27892" s="11"/>
      <c r="R27892" s="11"/>
      <c r="S27892" s="11"/>
      <c r="T27892" s="11"/>
    </row>
    <row r="27893" spans="8:20" x14ac:dyDescent="0.35">
      <c r="H27893" s="711"/>
      <c r="I27893" s="711"/>
      <c r="J27893" s="711"/>
      <c r="K27893" s="711"/>
      <c r="L27893" s="711"/>
      <c r="Q27893" s="11"/>
      <c r="R27893" s="11"/>
      <c r="S27893" s="11"/>
      <c r="T27893" s="11"/>
    </row>
    <row r="27894" spans="8:20" x14ac:dyDescent="0.35">
      <c r="H27894" s="711"/>
      <c r="I27894" s="711"/>
      <c r="J27894" s="711"/>
      <c r="K27894" s="711"/>
      <c r="L27894" s="711"/>
      <c r="Q27894" s="11"/>
      <c r="R27894" s="11"/>
      <c r="S27894" s="11"/>
      <c r="T27894" s="11"/>
    </row>
    <row r="27895" spans="8:20" x14ac:dyDescent="0.35">
      <c r="H27895" s="711"/>
      <c r="I27895" s="711"/>
      <c r="J27895" s="711"/>
      <c r="K27895" s="711"/>
      <c r="L27895" s="711"/>
      <c r="Q27895" s="11"/>
      <c r="R27895" s="11"/>
      <c r="S27895" s="11"/>
      <c r="T27895" s="11"/>
    </row>
    <row r="27896" spans="8:20" x14ac:dyDescent="0.35">
      <c r="H27896" s="711"/>
      <c r="I27896" s="711"/>
      <c r="J27896" s="711"/>
      <c r="K27896" s="711"/>
      <c r="L27896" s="711"/>
      <c r="Q27896" s="11"/>
      <c r="R27896" s="11"/>
      <c r="S27896" s="11"/>
      <c r="T27896" s="11"/>
    </row>
    <row r="27897" spans="8:20" x14ac:dyDescent="0.35">
      <c r="H27897" s="711"/>
      <c r="I27897" s="711"/>
      <c r="J27897" s="711"/>
      <c r="K27897" s="711"/>
      <c r="L27897" s="711"/>
      <c r="Q27897" s="11"/>
      <c r="R27897" s="11"/>
      <c r="S27897" s="11"/>
      <c r="T27897" s="11"/>
    </row>
    <row r="27898" spans="8:20" x14ac:dyDescent="0.35">
      <c r="H27898" s="711"/>
      <c r="I27898" s="711"/>
      <c r="J27898" s="711"/>
      <c r="K27898" s="711"/>
      <c r="L27898" s="711"/>
      <c r="Q27898" s="11"/>
      <c r="R27898" s="11"/>
      <c r="S27898" s="11"/>
      <c r="T27898" s="11"/>
    </row>
    <row r="27899" spans="8:20" x14ac:dyDescent="0.35">
      <c r="H27899" s="711"/>
      <c r="I27899" s="711"/>
      <c r="J27899" s="711"/>
      <c r="K27899" s="711"/>
      <c r="L27899" s="711"/>
      <c r="Q27899" s="11"/>
      <c r="R27899" s="11"/>
      <c r="S27899" s="11"/>
      <c r="T27899" s="11"/>
    </row>
    <row r="27900" spans="8:20" x14ac:dyDescent="0.35">
      <c r="H27900" s="711"/>
      <c r="I27900" s="711"/>
      <c r="J27900" s="711"/>
      <c r="K27900" s="711"/>
      <c r="L27900" s="711"/>
      <c r="Q27900" s="11"/>
      <c r="R27900" s="11"/>
      <c r="S27900" s="11"/>
      <c r="T27900" s="11"/>
    </row>
    <row r="27901" spans="8:20" x14ac:dyDescent="0.35">
      <c r="H27901" s="711"/>
      <c r="I27901" s="711"/>
      <c r="J27901" s="711"/>
      <c r="K27901" s="711"/>
      <c r="L27901" s="711"/>
      <c r="Q27901" s="11"/>
      <c r="R27901" s="11"/>
      <c r="S27901" s="11"/>
      <c r="T27901" s="11"/>
    </row>
    <row r="27902" spans="8:20" x14ac:dyDescent="0.35">
      <c r="H27902" s="711"/>
      <c r="I27902" s="711"/>
      <c r="J27902" s="711"/>
      <c r="K27902" s="711"/>
      <c r="L27902" s="711"/>
      <c r="Q27902" s="11"/>
      <c r="R27902" s="11"/>
      <c r="S27902" s="11"/>
      <c r="T27902" s="11"/>
    </row>
    <row r="27903" spans="8:20" x14ac:dyDescent="0.35">
      <c r="H27903" s="711"/>
      <c r="I27903" s="711"/>
      <c r="J27903" s="711"/>
      <c r="K27903" s="711"/>
      <c r="L27903" s="711"/>
      <c r="Q27903" s="11"/>
      <c r="R27903" s="11"/>
      <c r="S27903" s="11"/>
      <c r="T27903" s="11"/>
    </row>
    <row r="27904" spans="8:20" x14ac:dyDescent="0.35">
      <c r="H27904" s="711"/>
      <c r="I27904" s="711"/>
      <c r="J27904" s="711"/>
      <c r="K27904" s="711"/>
      <c r="L27904" s="711"/>
      <c r="Q27904" s="11"/>
      <c r="R27904" s="11"/>
      <c r="S27904" s="11"/>
      <c r="T27904" s="11"/>
    </row>
    <row r="27905" spans="8:20" x14ac:dyDescent="0.35">
      <c r="H27905" s="711"/>
      <c r="I27905" s="711"/>
      <c r="J27905" s="711"/>
      <c r="K27905" s="711"/>
      <c r="L27905" s="711"/>
      <c r="Q27905" s="11"/>
      <c r="R27905" s="11"/>
      <c r="S27905" s="11"/>
      <c r="T27905" s="11"/>
    </row>
    <row r="27906" spans="8:20" x14ac:dyDescent="0.35">
      <c r="H27906" s="711"/>
      <c r="I27906" s="711"/>
      <c r="J27906" s="711"/>
      <c r="K27906" s="711"/>
      <c r="L27906" s="711"/>
      <c r="Q27906" s="11"/>
      <c r="R27906" s="11"/>
      <c r="S27906" s="11"/>
      <c r="T27906" s="11"/>
    </row>
    <row r="27907" spans="8:20" x14ac:dyDescent="0.35">
      <c r="H27907" s="711"/>
      <c r="I27907" s="711"/>
      <c r="J27907" s="711"/>
      <c r="K27907" s="711"/>
      <c r="L27907" s="711"/>
      <c r="Q27907" s="11"/>
      <c r="R27907" s="11"/>
      <c r="S27907" s="11"/>
      <c r="T27907" s="11"/>
    </row>
    <row r="27908" spans="8:20" x14ac:dyDescent="0.35">
      <c r="H27908" s="711"/>
      <c r="I27908" s="711"/>
      <c r="J27908" s="711"/>
      <c r="K27908" s="711"/>
      <c r="L27908" s="711"/>
      <c r="Q27908" s="11"/>
      <c r="R27908" s="11"/>
      <c r="S27908" s="11"/>
      <c r="T27908" s="11"/>
    </row>
    <row r="27909" spans="8:20" x14ac:dyDescent="0.35">
      <c r="H27909" s="711"/>
      <c r="I27909" s="711"/>
      <c r="J27909" s="711"/>
      <c r="K27909" s="711"/>
      <c r="L27909" s="711"/>
      <c r="Q27909" s="11"/>
      <c r="R27909" s="11"/>
      <c r="S27909" s="11"/>
      <c r="T27909" s="11"/>
    </row>
    <row r="27910" spans="8:20" x14ac:dyDescent="0.35">
      <c r="H27910" s="711"/>
      <c r="I27910" s="711"/>
      <c r="J27910" s="711"/>
      <c r="K27910" s="711"/>
      <c r="L27910" s="711"/>
      <c r="Q27910" s="11"/>
      <c r="R27910" s="11"/>
      <c r="S27910" s="11"/>
      <c r="T27910" s="11"/>
    </row>
    <row r="27911" spans="8:20" x14ac:dyDescent="0.35">
      <c r="H27911" s="711"/>
      <c r="I27911" s="711"/>
      <c r="J27911" s="711"/>
      <c r="K27911" s="711"/>
      <c r="L27911" s="711"/>
      <c r="Q27911" s="11"/>
      <c r="R27911" s="11"/>
      <c r="S27911" s="11"/>
      <c r="T27911" s="11"/>
    </row>
    <row r="27912" spans="8:20" x14ac:dyDescent="0.35">
      <c r="H27912" s="711"/>
      <c r="I27912" s="711"/>
      <c r="J27912" s="711"/>
      <c r="K27912" s="711"/>
      <c r="L27912" s="711"/>
      <c r="Q27912" s="11"/>
      <c r="R27912" s="11"/>
      <c r="S27912" s="11"/>
      <c r="T27912" s="11"/>
    </row>
    <row r="27913" spans="8:20" x14ac:dyDescent="0.35">
      <c r="H27913" s="711"/>
      <c r="I27913" s="711"/>
      <c r="J27913" s="711"/>
      <c r="K27913" s="711"/>
      <c r="L27913" s="711"/>
      <c r="Q27913" s="11"/>
      <c r="R27913" s="11"/>
      <c r="S27913" s="11"/>
      <c r="T27913" s="11"/>
    </row>
    <row r="27914" spans="8:20" x14ac:dyDescent="0.35">
      <c r="H27914" s="711"/>
      <c r="I27914" s="711"/>
      <c r="J27914" s="711"/>
      <c r="K27914" s="711"/>
      <c r="L27914" s="711"/>
      <c r="Q27914" s="11"/>
      <c r="R27914" s="11"/>
      <c r="S27914" s="11"/>
      <c r="T27914" s="11"/>
    </row>
    <row r="27915" spans="8:20" x14ac:dyDescent="0.35">
      <c r="H27915" s="711"/>
      <c r="I27915" s="711"/>
      <c r="J27915" s="711"/>
      <c r="K27915" s="711"/>
      <c r="L27915" s="711"/>
      <c r="Q27915" s="11"/>
      <c r="R27915" s="11"/>
      <c r="S27915" s="11"/>
      <c r="T27915" s="11"/>
    </row>
    <row r="27916" spans="8:20" x14ac:dyDescent="0.35">
      <c r="H27916" s="711"/>
      <c r="I27916" s="711"/>
      <c r="J27916" s="711"/>
      <c r="K27916" s="711"/>
      <c r="L27916" s="711"/>
      <c r="Q27916" s="11"/>
      <c r="R27916" s="11"/>
      <c r="S27916" s="11"/>
      <c r="T27916" s="11"/>
    </row>
    <row r="27917" spans="8:20" x14ac:dyDescent="0.35">
      <c r="H27917" s="711"/>
      <c r="I27917" s="711"/>
      <c r="J27917" s="711"/>
      <c r="K27917" s="711"/>
      <c r="L27917" s="711"/>
      <c r="Q27917" s="11"/>
      <c r="R27917" s="11"/>
      <c r="S27917" s="11"/>
      <c r="T27917" s="11"/>
    </row>
    <row r="27918" spans="8:20" x14ac:dyDescent="0.35">
      <c r="H27918" s="711"/>
      <c r="I27918" s="711"/>
      <c r="J27918" s="711"/>
      <c r="K27918" s="711"/>
      <c r="L27918" s="711"/>
      <c r="Q27918" s="11"/>
      <c r="R27918" s="11"/>
      <c r="S27918" s="11"/>
      <c r="T27918" s="11"/>
    </row>
    <row r="27919" spans="8:20" x14ac:dyDescent="0.35">
      <c r="H27919" s="711"/>
      <c r="I27919" s="711"/>
      <c r="J27919" s="711"/>
      <c r="K27919" s="711"/>
      <c r="L27919" s="711"/>
      <c r="Q27919" s="11"/>
      <c r="R27919" s="11"/>
      <c r="S27919" s="11"/>
      <c r="T27919" s="11"/>
    </row>
    <row r="27920" spans="8:20" x14ac:dyDescent="0.35">
      <c r="H27920" s="711"/>
      <c r="I27920" s="711"/>
      <c r="J27920" s="711"/>
      <c r="K27920" s="711"/>
      <c r="L27920" s="711"/>
      <c r="Q27920" s="11"/>
      <c r="R27920" s="11"/>
      <c r="S27920" s="11"/>
      <c r="T27920" s="11"/>
    </row>
    <row r="27921" spans="8:20" x14ac:dyDescent="0.35">
      <c r="H27921" s="711"/>
      <c r="I27921" s="711"/>
      <c r="J27921" s="711"/>
      <c r="K27921" s="711"/>
      <c r="L27921" s="711"/>
      <c r="Q27921" s="11"/>
      <c r="R27921" s="11"/>
      <c r="S27921" s="11"/>
      <c r="T27921" s="11"/>
    </row>
    <row r="27922" spans="8:20" x14ac:dyDescent="0.35">
      <c r="H27922" s="711"/>
      <c r="I27922" s="711"/>
      <c r="J27922" s="711"/>
      <c r="K27922" s="711"/>
      <c r="L27922" s="711"/>
      <c r="Q27922" s="11"/>
      <c r="R27922" s="11"/>
      <c r="S27922" s="11"/>
      <c r="T27922" s="11"/>
    </row>
    <row r="27923" spans="8:20" x14ac:dyDescent="0.35">
      <c r="H27923" s="711"/>
      <c r="I27923" s="711"/>
      <c r="J27923" s="711"/>
      <c r="K27923" s="711"/>
      <c r="L27923" s="711"/>
      <c r="Q27923" s="11"/>
      <c r="R27923" s="11"/>
      <c r="S27923" s="11"/>
      <c r="T27923" s="11"/>
    </row>
    <row r="27924" spans="8:20" x14ac:dyDescent="0.35">
      <c r="H27924" s="711"/>
      <c r="I27924" s="711"/>
      <c r="J27924" s="711"/>
      <c r="K27924" s="711"/>
      <c r="L27924" s="711"/>
      <c r="Q27924" s="11"/>
      <c r="R27924" s="11"/>
      <c r="S27924" s="11"/>
      <c r="T27924" s="11"/>
    </row>
    <row r="27925" spans="8:20" x14ac:dyDescent="0.35">
      <c r="H27925" s="711"/>
      <c r="I27925" s="711"/>
      <c r="J27925" s="711"/>
      <c r="K27925" s="711"/>
      <c r="L27925" s="711"/>
      <c r="Q27925" s="11"/>
      <c r="R27925" s="11"/>
      <c r="S27925" s="11"/>
      <c r="T27925" s="11"/>
    </row>
    <row r="27926" spans="8:20" x14ac:dyDescent="0.35">
      <c r="H27926" s="711"/>
      <c r="I27926" s="711"/>
      <c r="J27926" s="711"/>
      <c r="K27926" s="711"/>
      <c r="L27926" s="711"/>
      <c r="Q27926" s="11"/>
      <c r="R27926" s="11"/>
      <c r="S27926" s="11"/>
      <c r="T27926" s="11"/>
    </row>
    <row r="27927" spans="8:20" x14ac:dyDescent="0.35">
      <c r="H27927" s="711"/>
      <c r="I27927" s="711"/>
      <c r="J27927" s="711"/>
      <c r="K27927" s="711"/>
      <c r="L27927" s="711"/>
      <c r="Q27927" s="11"/>
      <c r="R27927" s="11"/>
      <c r="S27927" s="11"/>
      <c r="T27927" s="11"/>
    </row>
    <row r="27928" spans="8:20" x14ac:dyDescent="0.35">
      <c r="H27928" s="711"/>
      <c r="I27928" s="711"/>
      <c r="J27928" s="711"/>
      <c r="K27928" s="711"/>
      <c r="L27928" s="711"/>
      <c r="Q27928" s="11"/>
      <c r="R27928" s="11"/>
      <c r="S27928" s="11"/>
      <c r="T27928" s="11"/>
    </row>
    <row r="27929" spans="8:20" x14ac:dyDescent="0.35">
      <c r="H27929" s="711"/>
      <c r="I27929" s="711"/>
      <c r="J27929" s="711"/>
      <c r="K27929" s="711"/>
      <c r="L27929" s="711"/>
      <c r="Q27929" s="11"/>
      <c r="R27929" s="11"/>
      <c r="S27929" s="11"/>
      <c r="T27929" s="11"/>
    </row>
    <row r="27930" spans="8:20" x14ac:dyDescent="0.35">
      <c r="H27930" s="711"/>
      <c r="I27930" s="711"/>
      <c r="J27930" s="711"/>
      <c r="K27930" s="711"/>
      <c r="L27930" s="711"/>
      <c r="Q27930" s="11"/>
      <c r="R27930" s="11"/>
      <c r="S27930" s="11"/>
      <c r="T27930" s="11"/>
    </row>
    <row r="27931" spans="8:20" x14ac:dyDescent="0.35">
      <c r="H27931" s="711"/>
      <c r="I27931" s="711"/>
      <c r="J27931" s="711"/>
      <c r="K27931" s="711"/>
      <c r="L27931" s="711"/>
      <c r="Q27931" s="11"/>
      <c r="R27931" s="11"/>
      <c r="S27931" s="11"/>
      <c r="T27931" s="11"/>
    </row>
    <row r="27932" spans="8:20" x14ac:dyDescent="0.35">
      <c r="H27932" s="711"/>
      <c r="I27932" s="711"/>
      <c r="J27932" s="711"/>
      <c r="K27932" s="711"/>
      <c r="L27932" s="711"/>
      <c r="Q27932" s="11"/>
      <c r="R27932" s="11"/>
      <c r="S27932" s="11"/>
      <c r="T27932" s="11"/>
    </row>
    <row r="27933" spans="8:20" x14ac:dyDescent="0.35">
      <c r="H27933" s="711"/>
      <c r="I27933" s="711"/>
      <c r="J27933" s="711"/>
      <c r="K27933" s="711"/>
      <c r="L27933" s="711"/>
      <c r="Q27933" s="11"/>
      <c r="R27933" s="11"/>
      <c r="S27933" s="11"/>
      <c r="T27933" s="11"/>
    </row>
    <row r="27934" spans="8:20" x14ac:dyDescent="0.35">
      <c r="H27934" s="711"/>
      <c r="I27934" s="711"/>
      <c r="J27934" s="711"/>
      <c r="K27934" s="711"/>
      <c r="L27934" s="711"/>
      <c r="Q27934" s="11"/>
      <c r="R27934" s="11"/>
      <c r="S27934" s="11"/>
      <c r="T27934" s="11"/>
    </row>
    <row r="27935" spans="8:20" x14ac:dyDescent="0.35">
      <c r="H27935" s="711"/>
      <c r="I27935" s="711"/>
      <c r="J27935" s="711"/>
      <c r="K27935" s="711"/>
      <c r="L27935" s="711"/>
      <c r="Q27935" s="11"/>
      <c r="R27935" s="11"/>
      <c r="S27935" s="11"/>
      <c r="T27935" s="11"/>
    </row>
    <row r="27936" spans="8:20" x14ac:dyDescent="0.35">
      <c r="H27936" s="711"/>
      <c r="I27936" s="711"/>
      <c r="J27936" s="711"/>
      <c r="K27936" s="711"/>
      <c r="L27936" s="711"/>
      <c r="Q27936" s="11"/>
      <c r="R27936" s="11"/>
      <c r="S27936" s="11"/>
      <c r="T27936" s="11"/>
    </row>
    <row r="27937" spans="8:20" x14ac:dyDescent="0.35">
      <c r="H27937" s="711"/>
      <c r="I27937" s="711"/>
      <c r="J27937" s="711"/>
      <c r="K27937" s="711"/>
      <c r="L27937" s="711"/>
      <c r="Q27937" s="11"/>
      <c r="R27937" s="11"/>
      <c r="S27937" s="11"/>
      <c r="T27937" s="11"/>
    </row>
    <row r="27938" spans="8:20" x14ac:dyDescent="0.35">
      <c r="H27938" s="711"/>
      <c r="I27938" s="711"/>
      <c r="J27938" s="711"/>
      <c r="K27938" s="711"/>
      <c r="L27938" s="711"/>
      <c r="Q27938" s="11"/>
      <c r="R27938" s="11"/>
      <c r="S27938" s="11"/>
      <c r="T27938" s="11"/>
    </row>
    <row r="27939" spans="8:20" x14ac:dyDescent="0.35">
      <c r="H27939" s="711"/>
      <c r="I27939" s="711"/>
      <c r="J27939" s="711"/>
      <c r="K27939" s="711"/>
      <c r="L27939" s="711"/>
      <c r="Q27939" s="11"/>
      <c r="R27939" s="11"/>
      <c r="S27939" s="11"/>
      <c r="T27939" s="11"/>
    </row>
    <row r="27940" spans="8:20" x14ac:dyDescent="0.35">
      <c r="H27940" s="711"/>
      <c r="I27940" s="711"/>
      <c r="J27940" s="711"/>
      <c r="K27940" s="711"/>
      <c r="L27940" s="711"/>
      <c r="Q27940" s="11"/>
      <c r="R27940" s="11"/>
      <c r="S27940" s="11"/>
      <c r="T27940" s="11"/>
    </row>
    <row r="27941" spans="8:20" x14ac:dyDescent="0.35">
      <c r="H27941" s="711"/>
      <c r="I27941" s="711"/>
      <c r="J27941" s="711"/>
      <c r="K27941" s="711"/>
      <c r="L27941" s="711"/>
      <c r="Q27941" s="11"/>
      <c r="R27941" s="11"/>
      <c r="S27941" s="11"/>
      <c r="T27941" s="11"/>
    </row>
    <row r="27942" spans="8:20" x14ac:dyDescent="0.35">
      <c r="H27942" s="711"/>
      <c r="I27942" s="711"/>
      <c r="J27942" s="711"/>
      <c r="K27942" s="711"/>
      <c r="L27942" s="711"/>
      <c r="Q27942" s="11"/>
      <c r="R27942" s="11"/>
      <c r="S27942" s="11"/>
      <c r="T27942" s="11"/>
    </row>
    <row r="27943" spans="8:20" x14ac:dyDescent="0.35">
      <c r="H27943" s="711"/>
      <c r="I27943" s="711"/>
      <c r="J27943" s="711"/>
      <c r="K27943" s="711"/>
      <c r="L27943" s="711"/>
      <c r="Q27943" s="11"/>
      <c r="R27943" s="11"/>
      <c r="S27943" s="11"/>
      <c r="T27943" s="11"/>
    </row>
    <row r="27944" spans="8:20" x14ac:dyDescent="0.35">
      <c r="H27944" s="711"/>
      <c r="I27944" s="711"/>
      <c r="J27944" s="711"/>
      <c r="K27944" s="711"/>
      <c r="L27944" s="711"/>
      <c r="Q27944" s="11"/>
      <c r="R27944" s="11"/>
      <c r="S27944" s="11"/>
      <c r="T27944" s="11"/>
    </row>
    <row r="27945" spans="8:20" x14ac:dyDescent="0.35">
      <c r="H27945" s="711"/>
      <c r="I27945" s="711"/>
      <c r="J27945" s="711"/>
      <c r="K27945" s="711"/>
      <c r="L27945" s="711"/>
      <c r="Q27945" s="11"/>
      <c r="R27945" s="11"/>
      <c r="S27945" s="11"/>
      <c r="T27945" s="11"/>
    </row>
    <row r="27946" spans="8:20" x14ac:dyDescent="0.35">
      <c r="H27946" s="711"/>
      <c r="I27946" s="711"/>
      <c r="J27946" s="711"/>
      <c r="K27946" s="711"/>
      <c r="L27946" s="711"/>
      <c r="Q27946" s="11"/>
      <c r="R27946" s="11"/>
      <c r="S27946" s="11"/>
      <c r="T27946" s="11"/>
    </row>
    <row r="27947" spans="8:20" x14ac:dyDescent="0.35">
      <c r="H27947" s="711"/>
      <c r="I27947" s="711"/>
      <c r="J27947" s="711"/>
      <c r="K27947" s="711"/>
      <c r="L27947" s="711"/>
      <c r="Q27947" s="11"/>
      <c r="R27947" s="11"/>
      <c r="S27947" s="11"/>
      <c r="T27947" s="11"/>
    </row>
    <row r="27948" spans="8:20" x14ac:dyDescent="0.35">
      <c r="H27948" s="711"/>
      <c r="I27948" s="711"/>
      <c r="J27948" s="711"/>
      <c r="K27948" s="711"/>
      <c r="L27948" s="711"/>
      <c r="Q27948" s="11"/>
      <c r="R27948" s="11"/>
      <c r="S27948" s="11"/>
      <c r="T27948" s="11"/>
    </row>
    <row r="27949" spans="8:20" x14ac:dyDescent="0.35">
      <c r="H27949" s="711"/>
      <c r="I27949" s="711"/>
      <c r="J27949" s="711"/>
      <c r="K27949" s="711"/>
      <c r="L27949" s="711"/>
      <c r="Q27949" s="11"/>
      <c r="R27949" s="11"/>
      <c r="S27949" s="11"/>
      <c r="T27949" s="11"/>
    </row>
    <row r="27950" spans="8:20" x14ac:dyDescent="0.35">
      <c r="H27950" s="711"/>
      <c r="I27950" s="711"/>
      <c r="J27950" s="711"/>
      <c r="K27950" s="711"/>
      <c r="L27950" s="711"/>
      <c r="Q27950" s="11"/>
      <c r="R27950" s="11"/>
      <c r="S27950" s="11"/>
      <c r="T27950" s="11"/>
    </row>
    <row r="27951" spans="8:20" x14ac:dyDescent="0.35">
      <c r="H27951" s="711"/>
      <c r="I27951" s="711"/>
      <c r="J27951" s="711"/>
      <c r="K27951" s="711"/>
      <c r="L27951" s="711"/>
      <c r="Q27951" s="11"/>
      <c r="R27951" s="11"/>
      <c r="S27951" s="11"/>
      <c r="T27951" s="11"/>
    </row>
    <row r="27952" spans="8:20" x14ac:dyDescent="0.35">
      <c r="H27952" s="711"/>
      <c r="I27952" s="711"/>
      <c r="J27952" s="711"/>
      <c r="K27952" s="711"/>
      <c r="L27952" s="711"/>
      <c r="Q27952" s="11"/>
      <c r="R27952" s="11"/>
      <c r="S27952" s="11"/>
      <c r="T27952" s="11"/>
    </row>
    <row r="27953" spans="8:20" x14ac:dyDescent="0.35">
      <c r="H27953" s="711"/>
      <c r="I27953" s="711"/>
      <c r="J27953" s="711"/>
      <c r="K27953" s="711"/>
      <c r="L27953" s="711"/>
      <c r="Q27953" s="11"/>
      <c r="R27953" s="11"/>
      <c r="S27953" s="11"/>
      <c r="T27953" s="11"/>
    </row>
    <row r="27954" spans="8:20" x14ac:dyDescent="0.35">
      <c r="H27954" s="711"/>
      <c r="I27954" s="711"/>
      <c r="J27954" s="711"/>
      <c r="K27954" s="711"/>
      <c r="L27954" s="711"/>
      <c r="Q27954" s="11"/>
      <c r="R27954" s="11"/>
      <c r="S27954" s="11"/>
      <c r="T27954" s="11"/>
    </row>
    <row r="27955" spans="8:20" x14ac:dyDescent="0.35">
      <c r="H27955" s="711"/>
      <c r="I27955" s="711"/>
      <c r="J27955" s="711"/>
      <c r="K27955" s="711"/>
      <c r="L27955" s="711"/>
      <c r="Q27955" s="11"/>
      <c r="R27955" s="11"/>
      <c r="S27955" s="11"/>
      <c r="T27955" s="11"/>
    </row>
    <row r="27956" spans="8:20" x14ac:dyDescent="0.35">
      <c r="H27956" s="711"/>
      <c r="I27956" s="711"/>
      <c r="J27956" s="711"/>
      <c r="K27956" s="711"/>
      <c r="L27956" s="711"/>
      <c r="Q27956" s="11"/>
      <c r="R27956" s="11"/>
      <c r="S27956" s="11"/>
      <c r="T27956" s="11"/>
    </row>
    <row r="27957" spans="8:20" x14ac:dyDescent="0.35">
      <c r="H27957" s="711"/>
      <c r="I27957" s="711"/>
      <c r="J27957" s="711"/>
      <c r="K27957" s="711"/>
      <c r="L27957" s="711"/>
      <c r="Q27957" s="11"/>
      <c r="R27957" s="11"/>
      <c r="S27957" s="11"/>
      <c r="T27957" s="11"/>
    </row>
    <row r="27958" spans="8:20" x14ac:dyDescent="0.35">
      <c r="H27958" s="711"/>
      <c r="I27958" s="711"/>
      <c r="J27958" s="711"/>
      <c r="K27958" s="711"/>
      <c r="L27958" s="711"/>
      <c r="Q27958" s="11"/>
      <c r="R27958" s="11"/>
      <c r="S27958" s="11"/>
      <c r="T27958" s="11"/>
    </row>
    <row r="27959" spans="8:20" x14ac:dyDescent="0.35">
      <c r="H27959" s="711"/>
      <c r="I27959" s="711"/>
      <c r="J27959" s="711"/>
      <c r="K27959" s="711"/>
      <c r="L27959" s="711"/>
      <c r="Q27959" s="11"/>
      <c r="R27959" s="11"/>
      <c r="S27959" s="11"/>
      <c r="T27959" s="11"/>
    </row>
    <row r="27960" spans="8:20" x14ac:dyDescent="0.35">
      <c r="H27960" s="711"/>
      <c r="I27960" s="711"/>
      <c r="J27960" s="711"/>
      <c r="K27960" s="711"/>
      <c r="L27960" s="711"/>
      <c r="Q27960" s="11"/>
      <c r="R27960" s="11"/>
      <c r="S27960" s="11"/>
      <c r="T27960" s="11"/>
    </row>
    <row r="27961" spans="8:20" x14ac:dyDescent="0.35">
      <c r="H27961" s="711"/>
      <c r="I27961" s="711"/>
      <c r="J27961" s="711"/>
      <c r="K27961" s="711"/>
      <c r="L27961" s="711"/>
      <c r="Q27961" s="11"/>
      <c r="R27961" s="11"/>
      <c r="S27961" s="11"/>
      <c r="T27961" s="11"/>
    </row>
    <row r="27962" spans="8:20" x14ac:dyDescent="0.35">
      <c r="H27962" s="711"/>
      <c r="I27962" s="711"/>
      <c r="J27962" s="711"/>
      <c r="K27962" s="711"/>
      <c r="L27962" s="711"/>
      <c r="Q27962" s="11"/>
      <c r="R27962" s="11"/>
      <c r="S27962" s="11"/>
      <c r="T27962" s="11"/>
    </row>
    <row r="27963" spans="8:20" x14ac:dyDescent="0.35">
      <c r="H27963" s="711"/>
      <c r="I27963" s="711"/>
      <c r="J27963" s="711"/>
      <c r="K27963" s="711"/>
      <c r="L27963" s="711"/>
      <c r="Q27963" s="11"/>
      <c r="R27963" s="11"/>
      <c r="S27963" s="11"/>
      <c r="T27963" s="11"/>
    </row>
    <row r="27964" spans="8:20" x14ac:dyDescent="0.35">
      <c r="H27964" s="711"/>
      <c r="I27964" s="711"/>
      <c r="J27964" s="711"/>
      <c r="K27964" s="711"/>
      <c r="L27964" s="711"/>
      <c r="Q27964" s="11"/>
      <c r="R27964" s="11"/>
      <c r="S27964" s="11"/>
      <c r="T27964" s="11"/>
    </row>
    <row r="27965" spans="8:20" x14ac:dyDescent="0.35">
      <c r="H27965" s="711"/>
      <c r="I27965" s="711"/>
      <c r="J27965" s="711"/>
      <c r="K27965" s="711"/>
      <c r="L27965" s="711"/>
      <c r="Q27965" s="11"/>
      <c r="R27965" s="11"/>
      <c r="S27965" s="11"/>
      <c r="T27965" s="11"/>
    </row>
    <row r="27966" spans="8:20" x14ac:dyDescent="0.35">
      <c r="H27966" s="711"/>
      <c r="I27966" s="711"/>
      <c r="J27966" s="711"/>
      <c r="K27966" s="711"/>
      <c r="L27966" s="711"/>
      <c r="Q27966" s="11"/>
      <c r="R27966" s="11"/>
      <c r="S27966" s="11"/>
      <c r="T27966" s="11"/>
    </row>
    <row r="27967" spans="8:20" x14ac:dyDescent="0.35">
      <c r="H27967" s="711"/>
      <c r="I27967" s="711"/>
      <c r="J27967" s="711"/>
      <c r="K27967" s="711"/>
      <c r="L27967" s="711"/>
      <c r="Q27967" s="11"/>
      <c r="R27967" s="11"/>
      <c r="S27967" s="11"/>
      <c r="T27967" s="11"/>
    </row>
    <row r="27968" spans="8:20" x14ac:dyDescent="0.35">
      <c r="H27968" s="711"/>
      <c r="I27968" s="711"/>
      <c r="J27968" s="711"/>
      <c r="K27968" s="711"/>
      <c r="L27968" s="711"/>
      <c r="Q27968" s="11"/>
      <c r="R27968" s="11"/>
      <c r="S27968" s="11"/>
      <c r="T27968" s="11"/>
    </row>
    <row r="27969" spans="8:20" x14ac:dyDescent="0.35">
      <c r="H27969" s="711"/>
      <c r="I27969" s="711"/>
      <c r="J27969" s="711"/>
      <c r="K27969" s="711"/>
      <c r="L27969" s="711"/>
      <c r="Q27969" s="11"/>
      <c r="R27969" s="11"/>
      <c r="S27969" s="11"/>
      <c r="T27969" s="11"/>
    </row>
    <row r="27970" spans="8:20" x14ac:dyDescent="0.35">
      <c r="H27970" s="711"/>
      <c r="I27970" s="711"/>
      <c r="J27970" s="711"/>
      <c r="K27970" s="711"/>
      <c r="L27970" s="711"/>
      <c r="Q27970" s="11"/>
      <c r="R27970" s="11"/>
      <c r="S27970" s="11"/>
      <c r="T27970" s="11"/>
    </row>
    <row r="27971" spans="8:20" x14ac:dyDescent="0.35">
      <c r="H27971" s="711"/>
      <c r="I27971" s="711"/>
      <c r="J27971" s="711"/>
      <c r="K27971" s="711"/>
      <c r="L27971" s="711"/>
      <c r="Q27971" s="11"/>
      <c r="R27971" s="11"/>
      <c r="S27971" s="11"/>
      <c r="T27971" s="11"/>
    </row>
    <row r="27972" spans="8:20" x14ac:dyDescent="0.35">
      <c r="H27972" s="711"/>
      <c r="I27972" s="711"/>
      <c r="J27972" s="711"/>
      <c r="K27972" s="711"/>
      <c r="L27972" s="711"/>
      <c r="Q27972" s="11"/>
      <c r="R27972" s="11"/>
      <c r="S27972" s="11"/>
      <c r="T27972" s="11"/>
    </row>
    <row r="27973" spans="8:20" x14ac:dyDescent="0.35">
      <c r="H27973" s="711"/>
      <c r="I27973" s="711"/>
      <c r="J27973" s="711"/>
      <c r="K27973" s="711"/>
      <c r="L27973" s="711"/>
      <c r="Q27973" s="11"/>
      <c r="R27973" s="11"/>
      <c r="S27973" s="11"/>
      <c r="T27973" s="11"/>
    </row>
    <row r="27974" spans="8:20" x14ac:dyDescent="0.35">
      <c r="H27974" s="711"/>
      <c r="I27974" s="711"/>
      <c r="J27974" s="711"/>
      <c r="K27974" s="711"/>
      <c r="L27974" s="711"/>
      <c r="Q27974" s="11"/>
      <c r="R27974" s="11"/>
      <c r="S27974" s="11"/>
      <c r="T27974" s="11"/>
    </row>
    <row r="27975" spans="8:20" x14ac:dyDescent="0.35">
      <c r="H27975" s="711"/>
      <c r="I27975" s="711"/>
      <c r="J27975" s="711"/>
      <c r="K27975" s="711"/>
      <c r="L27975" s="711"/>
      <c r="Q27975" s="11"/>
      <c r="R27975" s="11"/>
      <c r="S27975" s="11"/>
      <c r="T27975" s="11"/>
    </row>
    <row r="27976" spans="8:20" x14ac:dyDescent="0.35">
      <c r="H27976" s="711"/>
      <c r="I27976" s="711"/>
      <c r="J27976" s="711"/>
      <c r="K27976" s="711"/>
      <c r="L27976" s="711"/>
      <c r="Q27976" s="11"/>
      <c r="R27976" s="11"/>
      <c r="S27976" s="11"/>
      <c r="T27976" s="11"/>
    </row>
    <row r="27977" spans="8:20" x14ac:dyDescent="0.35">
      <c r="H27977" s="711"/>
      <c r="I27977" s="711"/>
      <c r="J27977" s="711"/>
      <c r="K27977" s="711"/>
      <c r="L27977" s="711"/>
      <c r="Q27977" s="11"/>
      <c r="R27977" s="11"/>
      <c r="S27977" s="11"/>
      <c r="T27977" s="11"/>
    </row>
    <row r="27978" spans="8:20" x14ac:dyDescent="0.35">
      <c r="H27978" s="711"/>
      <c r="I27978" s="711"/>
      <c r="J27978" s="711"/>
      <c r="K27978" s="711"/>
      <c r="L27978" s="711"/>
      <c r="Q27978" s="11"/>
      <c r="R27978" s="11"/>
      <c r="S27978" s="11"/>
      <c r="T27978" s="11"/>
    </row>
    <row r="27979" spans="8:20" x14ac:dyDescent="0.35">
      <c r="H27979" s="711"/>
      <c r="I27979" s="711"/>
      <c r="J27979" s="711"/>
      <c r="K27979" s="711"/>
      <c r="L27979" s="711"/>
      <c r="Q27979" s="11"/>
      <c r="R27979" s="11"/>
      <c r="S27979" s="11"/>
      <c r="T27979" s="11"/>
    </row>
    <row r="27980" spans="8:20" x14ac:dyDescent="0.35">
      <c r="H27980" s="711"/>
      <c r="I27980" s="711"/>
      <c r="J27980" s="711"/>
      <c r="K27980" s="711"/>
      <c r="L27980" s="711"/>
      <c r="Q27980" s="11"/>
      <c r="R27980" s="11"/>
      <c r="S27980" s="11"/>
      <c r="T27980" s="11"/>
    </row>
    <row r="27981" spans="8:20" x14ac:dyDescent="0.35">
      <c r="H27981" s="711"/>
      <c r="I27981" s="711"/>
      <c r="J27981" s="711"/>
      <c r="K27981" s="711"/>
      <c r="L27981" s="711"/>
      <c r="Q27981" s="11"/>
      <c r="R27981" s="11"/>
      <c r="S27981" s="11"/>
      <c r="T27981" s="11"/>
    </row>
    <row r="27982" spans="8:20" x14ac:dyDescent="0.35">
      <c r="H27982" s="711"/>
      <c r="I27982" s="711"/>
      <c r="J27982" s="711"/>
      <c r="K27982" s="711"/>
      <c r="L27982" s="711"/>
      <c r="Q27982" s="11"/>
      <c r="R27982" s="11"/>
      <c r="S27982" s="11"/>
      <c r="T27982" s="11"/>
    </row>
    <row r="27983" spans="8:20" x14ac:dyDescent="0.35">
      <c r="H27983" s="711"/>
      <c r="I27983" s="711"/>
      <c r="J27983" s="711"/>
      <c r="K27983" s="711"/>
      <c r="L27983" s="711"/>
      <c r="Q27983" s="11"/>
      <c r="R27983" s="11"/>
      <c r="S27983" s="11"/>
      <c r="T27983" s="11"/>
    </row>
    <row r="27984" spans="8:20" x14ac:dyDescent="0.35">
      <c r="H27984" s="711"/>
      <c r="I27984" s="711"/>
      <c r="J27984" s="711"/>
      <c r="K27984" s="711"/>
      <c r="L27984" s="711"/>
      <c r="Q27984" s="11"/>
      <c r="R27984" s="11"/>
      <c r="S27984" s="11"/>
      <c r="T27984" s="11"/>
    </row>
    <row r="27985" spans="8:20" x14ac:dyDescent="0.35">
      <c r="H27985" s="711"/>
      <c r="I27985" s="711"/>
      <c r="J27985" s="711"/>
      <c r="K27985" s="711"/>
      <c r="L27985" s="711"/>
      <c r="Q27985" s="11"/>
      <c r="R27985" s="11"/>
      <c r="S27985" s="11"/>
      <c r="T27985" s="11"/>
    </row>
    <row r="27986" spans="8:20" x14ac:dyDescent="0.35">
      <c r="H27986" s="711"/>
      <c r="I27986" s="711"/>
      <c r="J27986" s="711"/>
      <c r="K27986" s="711"/>
      <c r="L27986" s="711"/>
      <c r="Q27986" s="11"/>
      <c r="R27986" s="11"/>
      <c r="S27986" s="11"/>
      <c r="T27986" s="11"/>
    </row>
    <row r="27987" spans="8:20" x14ac:dyDescent="0.35">
      <c r="H27987" s="711"/>
      <c r="I27987" s="711"/>
      <c r="J27987" s="711"/>
      <c r="K27987" s="711"/>
      <c r="L27987" s="711"/>
      <c r="Q27987" s="11"/>
      <c r="R27987" s="11"/>
      <c r="S27987" s="11"/>
      <c r="T27987" s="11"/>
    </row>
    <row r="27988" spans="8:20" x14ac:dyDescent="0.35">
      <c r="H27988" s="711"/>
      <c r="I27988" s="711"/>
      <c r="J27988" s="711"/>
      <c r="K27988" s="711"/>
      <c r="L27988" s="711"/>
      <c r="Q27988" s="11"/>
      <c r="R27988" s="11"/>
      <c r="S27988" s="11"/>
      <c r="T27988" s="11"/>
    </row>
    <row r="27989" spans="8:20" x14ac:dyDescent="0.35">
      <c r="H27989" s="711"/>
      <c r="I27989" s="711"/>
      <c r="J27989" s="711"/>
      <c r="K27989" s="711"/>
      <c r="L27989" s="711"/>
      <c r="Q27989" s="11"/>
      <c r="R27989" s="11"/>
      <c r="S27989" s="11"/>
      <c r="T27989" s="11"/>
    </row>
    <row r="27990" spans="8:20" x14ac:dyDescent="0.35">
      <c r="H27990" s="711"/>
      <c r="I27990" s="711"/>
      <c r="J27990" s="711"/>
      <c r="K27990" s="711"/>
      <c r="L27990" s="711"/>
      <c r="Q27990" s="11"/>
      <c r="R27990" s="11"/>
      <c r="S27990" s="11"/>
      <c r="T27990" s="11"/>
    </row>
    <row r="27991" spans="8:20" x14ac:dyDescent="0.35">
      <c r="H27991" s="711"/>
      <c r="I27991" s="711"/>
      <c r="J27991" s="711"/>
      <c r="K27991" s="711"/>
      <c r="L27991" s="711"/>
      <c r="Q27991" s="11"/>
      <c r="R27991" s="11"/>
      <c r="S27991" s="11"/>
      <c r="T27991" s="11"/>
    </row>
    <row r="27992" spans="8:20" x14ac:dyDescent="0.35">
      <c r="H27992" s="711"/>
      <c r="I27992" s="711"/>
      <c r="J27992" s="711"/>
      <c r="K27992" s="711"/>
      <c r="L27992" s="711"/>
      <c r="Q27992" s="11"/>
      <c r="R27992" s="11"/>
      <c r="S27992" s="11"/>
      <c r="T27992" s="11"/>
    </row>
    <row r="27993" spans="8:20" x14ac:dyDescent="0.35">
      <c r="H27993" s="711"/>
      <c r="I27993" s="711"/>
      <c r="J27993" s="711"/>
      <c r="K27993" s="711"/>
      <c r="L27993" s="711"/>
      <c r="Q27993" s="11"/>
      <c r="R27993" s="11"/>
      <c r="S27993" s="11"/>
      <c r="T27993" s="11"/>
    </row>
    <row r="27994" spans="8:20" x14ac:dyDescent="0.35">
      <c r="H27994" s="711"/>
      <c r="I27994" s="711"/>
      <c r="J27994" s="711"/>
      <c r="K27994" s="711"/>
      <c r="L27994" s="711"/>
      <c r="Q27994" s="11"/>
      <c r="R27994" s="11"/>
      <c r="S27994" s="11"/>
      <c r="T27994" s="11"/>
    </row>
    <row r="27995" spans="8:20" x14ac:dyDescent="0.35">
      <c r="H27995" s="711"/>
      <c r="I27995" s="711"/>
      <c r="J27995" s="711"/>
      <c r="K27995" s="711"/>
      <c r="L27995" s="711"/>
      <c r="Q27995" s="11"/>
      <c r="R27995" s="11"/>
      <c r="S27995" s="11"/>
      <c r="T27995" s="11"/>
    </row>
    <row r="27996" spans="8:20" x14ac:dyDescent="0.35">
      <c r="H27996" s="711"/>
      <c r="I27996" s="711"/>
      <c r="J27996" s="711"/>
      <c r="K27996" s="711"/>
      <c r="L27996" s="711"/>
      <c r="Q27996" s="11"/>
      <c r="R27996" s="11"/>
      <c r="S27996" s="11"/>
      <c r="T27996" s="11"/>
    </row>
    <row r="27997" spans="8:20" x14ac:dyDescent="0.35">
      <c r="H27997" s="711"/>
      <c r="I27997" s="711"/>
      <c r="J27997" s="711"/>
      <c r="K27997" s="711"/>
      <c r="L27997" s="711"/>
      <c r="Q27997" s="11"/>
      <c r="R27997" s="11"/>
      <c r="S27997" s="11"/>
      <c r="T27997" s="11"/>
    </row>
    <row r="27998" spans="8:20" x14ac:dyDescent="0.35">
      <c r="H27998" s="711"/>
      <c r="I27998" s="711"/>
      <c r="J27998" s="711"/>
      <c r="K27998" s="711"/>
      <c r="L27998" s="711"/>
      <c r="Q27998" s="11"/>
      <c r="R27998" s="11"/>
      <c r="S27998" s="11"/>
      <c r="T27998" s="11"/>
    </row>
    <row r="27999" spans="8:20" x14ac:dyDescent="0.35">
      <c r="H27999" s="711"/>
      <c r="I27999" s="711"/>
      <c r="J27999" s="711"/>
      <c r="K27999" s="711"/>
      <c r="L27999" s="711"/>
      <c r="Q27999" s="11"/>
      <c r="R27999" s="11"/>
      <c r="S27999" s="11"/>
      <c r="T27999" s="11"/>
    </row>
    <row r="28000" spans="8:20" x14ac:dyDescent="0.35">
      <c r="H28000" s="711"/>
      <c r="I28000" s="711"/>
      <c r="J28000" s="711"/>
      <c r="K28000" s="711"/>
      <c r="L28000" s="711"/>
      <c r="Q28000" s="11"/>
      <c r="R28000" s="11"/>
      <c r="S28000" s="11"/>
      <c r="T28000" s="11"/>
    </row>
    <row r="28001" spans="8:20" x14ac:dyDescent="0.35">
      <c r="H28001" s="711"/>
      <c r="I28001" s="711"/>
      <c r="J28001" s="711"/>
      <c r="K28001" s="711"/>
      <c r="L28001" s="711"/>
      <c r="Q28001" s="11"/>
      <c r="R28001" s="11"/>
      <c r="S28001" s="11"/>
      <c r="T28001" s="11"/>
    </row>
    <row r="28002" spans="8:20" x14ac:dyDescent="0.35">
      <c r="H28002" s="711"/>
      <c r="I28002" s="711"/>
      <c r="J28002" s="711"/>
      <c r="K28002" s="711"/>
      <c r="L28002" s="711"/>
      <c r="Q28002" s="11"/>
      <c r="R28002" s="11"/>
      <c r="S28002" s="11"/>
      <c r="T28002" s="11"/>
    </row>
    <row r="28003" spans="8:20" x14ac:dyDescent="0.35">
      <c r="H28003" s="711"/>
      <c r="I28003" s="711"/>
      <c r="J28003" s="711"/>
      <c r="K28003" s="711"/>
      <c r="L28003" s="711"/>
      <c r="Q28003" s="11"/>
      <c r="R28003" s="11"/>
      <c r="S28003" s="11"/>
      <c r="T28003" s="11"/>
    </row>
    <row r="28004" spans="8:20" x14ac:dyDescent="0.35">
      <c r="H28004" s="711"/>
      <c r="I28004" s="711"/>
      <c r="J28004" s="711"/>
      <c r="K28004" s="711"/>
      <c r="L28004" s="711"/>
      <c r="Q28004" s="11"/>
      <c r="R28004" s="11"/>
      <c r="S28004" s="11"/>
      <c r="T28004" s="11"/>
    </row>
    <row r="28005" spans="8:20" x14ac:dyDescent="0.35">
      <c r="H28005" s="711"/>
      <c r="I28005" s="711"/>
      <c r="J28005" s="711"/>
      <c r="K28005" s="711"/>
      <c r="L28005" s="711"/>
      <c r="Q28005" s="11"/>
      <c r="R28005" s="11"/>
      <c r="S28005" s="11"/>
      <c r="T28005" s="11"/>
    </row>
    <row r="28006" spans="8:20" x14ac:dyDescent="0.35">
      <c r="H28006" s="711"/>
      <c r="I28006" s="711"/>
      <c r="J28006" s="711"/>
      <c r="K28006" s="711"/>
      <c r="L28006" s="711"/>
      <c r="Q28006" s="11"/>
      <c r="R28006" s="11"/>
      <c r="S28006" s="11"/>
      <c r="T28006" s="11"/>
    </row>
    <row r="28007" spans="8:20" x14ac:dyDescent="0.35">
      <c r="H28007" s="711"/>
      <c r="I28007" s="711"/>
      <c r="J28007" s="711"/>
      <c r="K28007" s="711"/>
      <c r="L28007" s="711"/>
      <c r="Q28007" s="11"/>
      <c r="R28007" s="11"/>
      <c r="S28007" s="11"/>
      <c r="T28007" s="11"/>
    </row>
    <row r="28008" spans="8:20" x14ac:dyDescent="0.35">
      <c r="H28008" s="711"/>
      <c r="I28008" s="711"/>
      <c r="J28008" s="711"/>
      <c r="K28008" s="711"/>
      <c r="L28008" s="711"/>
      <c r="Q28008" s="11"/>
      <c r="R28008" s="11"/>
      <c r="S28008" s="11"/>
      <c r="T28008" s="11"/>
    </row>
    <row r="28009" spans="8:20" x14ac:dyDescent="0.35">
      <c r="H28009" s="711"/>
      <c r="I28009" s="711"/>
      <c r="J28009" s="711"/>
      <c r="K28009" s="711"/>
      <c r="L28009" s="711"/>
      <c r="Q28009" s="11"/>
      <c r="R28009" s="11"/>
      <c r="S28009" s="11"/>
      <c r="T28009" s="11"/>
    </row>
    <row r="28010" spans="8:20" x14ac:dyDescent="0.35">
      <c r="H28010" s="711"/>
      <c r="I28010" s="711"/>
      <c r="J28010" s="711"/>
      <c r="K28010" s="711"/>
      <c r="L28010" s="711"/>
      <c r="Q28010" s="11"/>
      <c r="R28010" s="11"/>
      <c r="S28010" s="11"/>
      <c r="T28010" s="11"/>
    </row>
    <row r="28011" spans="8:20" x14ac:dyDescent="0.35">
      <c r="H28011" s="711"/>
      <c r="I28011" s="711"/>
      <c r="J28011" s="711"/>
      <c r="K28011" s="711"/>
      <c r="L28011" s="711"/>
      <c r="Q28011" s="11"/>
      <c r="R28011" s="11"/>
      <c r="S28011" s="11"/>
      <c r="T28011" s="11"/>
    </row>
    <row r="28012" spans="8:20" x14ac:dyDescent="0.35">
      <c r="H28012" s="711"/>
      <c r="I28012" s="711"/>
      <c r="J28012" s="711"/>
      <c r="K28012" s="711"/>
      <c r="L28012" s="711"/>
      <c r="Q28012" s="11"/>
      <c r="R28012" s="11"/>
      <c r="S28012" s="11"/>
      <c r="T28012" s="11"/>
    </row>
    <row r="28013" spans="8:20" x14ac:dyDescent="0.35">
      <c r="H28013" s="711"/>
      <c r="I28013" s="711"/>
      <c r="J28013" s="711"/>
      <c r="K28013" s="711"/>
      <c r="L28013" s="711"/>
      <c r="Q28013" s="11"/>
      <c r="R28013" s="11"/>
      <c r="S28013" s="11"/>
      <c r="T28013" s="11"/>
    </row>
    <row r="28014" spans="8:20" x14ac:dyDescent="0.35">
      <c r="H28014" s="711"/>
      <c r="I28014" s="711"/>
      <c r="J28014" s="711"/>
      <c r="K28014" s="711"/>
      <c r="L28014" s="711"/>
      <c r="Q28014" s="11"/>
      <c r="R28014" s="11"/>
      <c r="S28014" s="11"/>
      <c r="T28014" s="11"/>
    </row>
    <row r="28015" spans="8:20" x14ac:dyDescent="0.35">
      <c r="H28015" s="711"/>
      <c r="I28015" s="711"/>
      <c r="J28015" s="711"/>
      <c r="K28015" s="711"/>
      <c r="L28015" s="711"/>
      <c r="Q28015" s="11"/>
      <c r="R28015" s="11"/>
      <c r="S28015" s="11"/>
      <c r="T28015" s="11"/>
    </row>
    <row r="28016" spans="8:20" x14ac:dyDescent="0.35">
      <c r="H28016" s="711"/>
      <c r="I28016" s="711"/>
      <c r="J28016" s="711"/>
      <c r="K28016" s="711"/>
      <c r="L28016" s="711"/>
      <c r="Q28016" s="11"/>
      <c r="R28016" s="11"/>
      <c r="S28016" s="11"/>
      <c r="T28016" s="11"/>
    </row>
    <row r="28017" spans="8:20" x14ac:dyDescent="0.35">
      <c r="H28017" s="711"/>
      <c r="I28017" s="711"/>
      <c r="J28017" s="711"/>
      <c r="K28017" s="711"/>
      <c r="L28017" s="711"/>
      <c r="Q28017" s="11"/>
      <c r="R28017" s="11"/>
      <c r="S28017" s="11"/>
      <c r="T28017" s="11"/>
    </row>
    <row r="28018" spans="8:20" x14ac:dyDescent="0.35">
      <c r="H28018" s="711"/>
      <c r="I28018" s="711"/>
      <c r="J28018" s="711"/>
      <c r="K28018" s="711"/>
      <c r="L28018" s="711"/>
      <c r="Q28018" s="11"/>
      <c r="R28018" s="11"/>
      <c r="S28018" s="11"/>
      <c r="T28018" s="11"/>
    </row>
    <row r="28019" spans="8:20" x14ac:dyDescent="0.35">
      <c r="H28019" s="711"/>
      <c r="I28019" s="711"/>
      <c r="J28019" s="711"/>
      <c r="K28019" s="711"/>
      <c r="L28019" s="711"/>
      <c r="Q28019" s="11"/>
      <c r="R28019" s="11"/>
      <c r="S28019" s="11"/>
      <c r="T28019" s="11"/>
    </row>
    <row r="28020" spans="8:20" x14ac:dyDescent="0.35">
      <c r="H28020" s="711"/>
      <c r="I28020" s="711"/>
      <c r="J28020" s="711"/>
      <c r="K28020" s="711"/>
      <c r="L28020" s="711"/>
      <c r="Q28020" s="11"/>
      <c r="R28020" s="11"/>
      <c r="S28020" s="11"/>
      <c r="T28020" s="11"/>
    </row>
    <row r="28021" spans="8:20" x14ac:dyDescent="0.35">
      <c r="H28021" s="711"/>
      <c r="I28021" s="711"/>
      <c r="J28021" s="711"/>
      <c r="K28021" s="711"/>
      <c r="L28021" s="711"/>
      <c r="Q28021" s="11"/>
      <c r="R28021" s="11"/>
      <c r="S28021" s="11"/>
      <c r="T28021" s="11"/>
    </row>
    <row r="28022" spans="8:20" x14ac:dyDescent="0.35">
      <c r="H28022" s="711"/>
      <c r="I28022" s="711"/>
      <c r="J28022" s="711"/>
      <c r="K28022" s="711"/>
      <c r="L28022" s="711"/>
      <c r="Q28022" s="11"/>
      <c r="R28022" s="11"/>
      <c r="S28022" s="11"/>
      <c r="T28022" s="11"/>
    </row>
    <row r="28023" spans="8:20" x14ac:dyDescent="0.35">
      <c r="H28023" s="711"/>
      <c r="I28023" s="711"/>
      <c r="J28023" s="711"/>
      <c r="K28023" s="711"/>
      <c r="L28023" s="711"/>
      <c r="Q28023" s="11"/>
      <c r="R28023" s="11"/>
      <c r="S28023" s="11"/>
      <c r="T28023" s="11"/>
    </row>
    <row r="28024" spans="8:20" x14ac:dyDescent="0.35">
      <c r="H28024" s="711"/>
      <c r="I28024" s="711"/>
      <c r="J28024" s="711"/>
      <c r="K28024" s="711"/>
      <c r="L28024" s="711"/>
      <c r="Q28024" s="11"/>
      <c r="R28024" s="11"/>
      <c r="S28024" s="11"/>
      <c r="T28024" s="11"/>
    </row>
    <row r="28025" spans="8:20" x14ac:dyDescent="0.35">
      <c r="H28025" s="711"/>
      <c r="I28025" s="711"/>
      <c r="J28025" s="711"/>
      <c r="K28025" s="711"/>
      <c r="L28025" s="711"/>
      <c r="Q28025" s="11"/>
      <c r="R28025" s="11"/>
      <c r="S28025" s="11"/>
      <c r="T28025" s="11"/>
    </row>
    <row r="28026" spans="8:20" x14ac:dyDescent="0.35">
      <c r="H28026" s="711"/>
      <c r="I28026" s="711"/>
      <c r="J28026" s="711"/>
      <c r="K28026" s="711"/>
      <c r="L28026" s="711"/>
      <c r="Q28026" s="11"/>
      <c r="R28026" s="11"/>
      <c r="S28026" s="11"/>
      <c r="T28026" s="11"/>
    </row>
    <row r="28027" spans="8:20" x14ac:dyDescent="0.35">
      <c r="H28027" s="711"/>
      <c r="I28027" s="711"/>
      <c r="J28027" s="711"/>
      <c r="K28027" s="711"/>
      <c r="L28027" s="711"/>
      <c r="Q28027" s="11"/>
      <c r="R28027" s="11"/>
      <c r="S28027" s="11"/>
      <c r="T28027" s="11"/>
    </row>
    <row r="28028" spans="8:20" x14ac:dyDescent="0.35">
      <c r="H28028" s="711"/>
      <c r="I28028" s="711"/>
      <c r="J28028" s="711"/>
      <c r="K28028" s="711"/>
      <c r="L28028" s="711"/>
      <c r="Q28028" s="11"/>
      <c r="R28028" s="11"/>
      <c r="S28028" s="11"/>
      <c r="T28028" s="11"/>
    </row>
    <row r="28029" spans="8:20" x14ac:dyDescent="0.35">
      <c r="H28029" s="711"/>
      <c r="I28029" s="711"/>
      <c r="J28029" s="711"/>
      <c r="K28029" s="711"/>
      <c r="L28029" s="711"/>
      <c r="Q28029" s="11"/>
      <c r="R28029" s="11"/>
      <c r="S28029" s="11"/>
      <c r="T28029" s="11"/>
    </row>
    <row r="28030" spans="8:20" x14ac:dyDescent="0.35">
      <c r="H28030" s="711"/>
      <c r="I28030" s="711"/>
      <c r="J28030" s="711"/>
      <c r="K28030" s="711"/>
      <c r="L28030" s="711"/>
      <c r="Q28030" s="11"/>
      <c r="R28030" s="11"/>
      <c r="S28030" s="11"/>
      <c r="T28030" s="11"/>
    </row>
    <row r="28031" spans="8:20" x14ac:dyDescent="0.35">
      <c r="H28031" s="711"/>
      <c r="I28031" s="711"/>
      <c r="J28031" s="711"/>
      <c r="K28031" s="711"/>
      <c r="L28031" s="711"/>
      <c r="Q28031" s="11"/>
      <c r="R28031" s="11"/>
      <c r="S28031" s="11"/>
      <c r="T28031" s="11"/>
    </row>
    <row r="28032" spans="8:20" x14ac:dyDescent="0.35">
      <c r="H28032" s="711"/>
      <c r="I28032" s="711"/>
      <c r="J28032" s="711"/>
      <c r="K28032" s="711"/>
      <c r="L28032" s="711"/>
      <c r="Q28032" s="11"/>
      <c r="R28032" s="11"/>
      <c r="S28032" s="11"/>
      <c r="T28032" s="11"/>
    </row>
    <row r="28033" spans="8:20" x14ac:dyDescent="0.35">
      <c r="H28033" s="711"/>
      <c r="I28033" s="711"/>
      <c r="J28033" s="711"/>
      <c r="K28033" s="711"/>
      <c r="L28033" s="711"/>
      <c r="Q28033" s="11"/>
      <c r="R28033" s="11"/>
      <c r="S28033" s="11"/>
      <c r="T28033" s="11"/>
    </row>
    <row r="28034" spans="8:20" x14ac:dyDescent="0.35">
      <c r="H28034" s="711"/>
      <c r="I28034" s="711"/>
      <c r="J28034" s="711"/>
      <c r="K28034" s="711"/>
      <c r="L28034" s="711"/>
      <c r="Q28034" s="11"/>
      <c r="R28034" s="11"/>
      <c r="S28034" s="11"/>
      <c r="T28034" s="11"/>
    </row>
    <row r="28035" spans="8:20" x14ac:dyDescent="0.35">
      <c r="H28035" s="711"/>
      <c r="I28035" s="711"/>
      <c r="J28035" s="711"/>
      <c r="K28035" s="711"/>
      <c r="L28035" s="711"/>
      <c r="Q28035" s="11"/>
      <c r="R28035" s="11"/>
      <c r="S28035" s="11"/>
      <c r="T28035" s="11"/>
    </row>
    <row r="28036" spans="8:20" x14ac:dyDescent="0.35">
      <c r="H28036" s="711"/>
      <c r="I28036" s="711"/>
      <c r="J28036" s="711"/>
      <c r="K28036" s="711"/>
      <c r="L28036" s="711"/>
      <c r="Q28036" s="11"/>
      <c r="R28036" s="11"/>
      <c r="S28036" s="11"/>
      <c r="T28036" s="11"/>
    </row>
    <row r="28037" spans="8:20" x14ac:dyDescent="0.35">
      <c r="H28037" s="711"/>
      <c r="I28037" s="711"/>
      <c r="J28037" s="711"/>
      <c r="K28037" s="711"/>
      <c r="L28037" s="711"/>
      <c r="Q28037" s="11"/>
      <c r="R28037" s="11"/>
      <c r="S28037" s="11"/>
      <c r="T28037" s="11"/>
    </row>
    <row r="28038" spans="8:20" x14ac:dyDescent="0.35">
      <c r="H28038" s="711"/>
      <c r="I28038" s="711"/>
      <c r="J28038" s="711"/>
      <c r="K28038" s="711"/>
      <c r="L28038" s="711"/>
      <c r="Q28038" s="11"/>
      <c r="R28038" s="11"/>
      <c r="S28038" s="11"/>
      <c r="T28038" s="11"/>
    </row>
    <row r="28039" spans="8:20" x14ac:dyDescent="0.35">
      <c r="H28039" s="711"/>
      <c r="I28039" s="711"/>
      <c r="J28039" s="711"/>
      <c r="K28039" s="711"/>
      <c r="L28039" s="711"/>
      <c r="Q28039" s="11"/>
      <c r="R28039" s="11"/>
      <c r="S28039" s="11"/>
      <c r="T28039" s="11"/>
    </row>
    <row r="28040" spans="8:20" x14ac:dyDescent="0.35">
      <c r="H28040" s="711"/>
      <c r="I28040" s="711"/>
      <c r="J28040" s="711"/>
      <c r="K28040" s="711"/>
      <c r="L28040" s="711"/>
      <c r="Q28040" s="11"/>
      <c r="R28040" s="11"/>
      <c r="S28040" s="11"/>
      <c r="T28040" s="11"/>
    </row>
    <row r="28041" spans="8:20" x14ac:dyDescent="0.35">
      <c r="H28041" s="711"/>
      <c r="I28041" s="711"/>
      <c r="J28041" s="711"/>
      <c r="K28041" s="711"/>
      <c r="L28041" s="711"/>
      <c r="Q28041" s="11"/>
      <c r="R28041" s="11"/>
      <c r="S28041" s="11"/>
      <c r="T28041" s="11"/>
    </row>
    <row r="28042" spans="8:20" x14ac:dyDescent="0.35">
      <c r="H28042" s="711"/>
      <c r="I28042" s="711"/>
      <c r="J28042" s="711"/>
      <c r="K28042" s="711"/>
      <c r="L28042" s="711"/>
      <c r="Q28042" s="11"/>
      <c r="R28042" s="11"/>
      <c r="S28042" s="11"/>
      <c r="T28042" s="11"/>
    </row>
    <row r="28043" spans="8:20" x14ac:dyDescent="0.35">
      <c r="H28043" s="711"/>
      <c r="I28043" s="711"/>
      <c r="J28043" s="711"/>
      <c r="K28043" s="711"/>
      <c r="L28043" s="711"/>
      <c r="Q28043" s="11"/>
      <c r="R28043" s="11"/>
      <c r="S28043" s="11"/>
      <c r="T28043" s="11"/>
    </row>
    <row r="28044" spans="8:20" x14ac:dyDescent="0.35">
      <c r="H28044" s="711"/>
      <c r="I28044" s="711"/>
      <c r="J28044" s="711"/>
      <c r="K28044" s="711"/>
      <c r="L28044" s="711"/>
      <c r="Q28044" s="11"/>
      <c r="R28044" s="11"/>
      <c r="S28044" s="11"/>
      <c r="T28044" s="11"/>
    </row>
    <row r="28045" spans="8:20" x14ac:dyDescent="0.35">
      <c r="H28045" s="711"/>
      <c r="I28045" s="711"/>
      <c r="J28045" s="711"/>
      <c r="K28045" s="711"/>
      <c r="L28045" s="711"/>
      <c r="Q28045" s="11"/>
      <c r="R28045" s="11"/>
      <c r="S28045" s="11"/>
      <c r="T28045" s="11"/>
    </row>
    <row r="28046" spans="8:20" x14ac:dyDescent="0.35">
      <c r="H28046" s="711"/>
      <c r="I28046" s="711"/>
      <c r="J28046" s="711"/>
      <c r="K28046" s="711"/>
      <c r="L28046" s="711"/>
      <c r="Q28046" s="11"/>
      <c r="R28046" s="11"/>
      <c r="S28046" s="11"/>
      <c r="T28046" s="11"/>
    </row>
    <row r="28047" spans="8:20" x14ac:dyDescent="0.35">
      <c r="H28047" s="711"/>
      <c r="I28047" s="711"/>
      <c r="J28047" s="711"/>
      <c r="K28047" s="711"/>
      <c r="L28047" s="711"/>
      <c r="Q28047" s="11"/>
      <c r="R28047" s="11"/>
      <c r="S28047" s="11"/>
      <c r="T28047" s="11"/>
    </row>
    <row r="28048" spans="8:20" x14ac:dyDescent="0.35">
      <c r="H28048" s="711"/>
      <c r="I28048" s="711"/>
      <c r="J28048" s="711"/>
      <c r="K28048" s="711"/>
      <c r="L28048" s="711"/>
      <c r="Q28048" s="11"/>
      <c r="R28048" s="11"/>
      <c r="S28048" s="11"/>
      <c r="T28048" s="11"/>
    </row>
    <row r="28049" spans="8:20" x14ac:dyDescent="0.35">
      <c r="H28049" s="711"/>
      <c r="I28049" s="711"/>
      <c r="J28049" s="711"/>
      <c r="K28049" s="711"/>
      <c r="L28049" s="711"/>
      <c r="Q28049" s="11"/>
      <c r="R28049" s="11"/>
      <c r="S28049" s="11"/>
      <c r="T28049" s="11"/>
    </row>
    <row r="28050" spans="8:20" x14ac:dyDescent="0.35">
      <c r="H28050" s="711"/>
      <c r="I28050" s="711"/>
      <c r="J28050" s="711"/>
      <c r="K28050" s="711"/>
      <c r="L28050" s="711"/>
      <c r="Q28050" s="11"/>
      <c r="R28050" s="11"/>
      <c r="S28050" s="11"/>
      <c r="T28050" s="11"/>
    </row>
    <row r="28051" spans="8:20" x14ac:dyDescent="0.35">
      <c r="H28051" s="711"/>
      <c r="I28051" s="711"/>
      <c r="J28051" s="711"/>
      <c r="K28051" s="711"/>
      <c r="L28051" s="711"/>
      <c r="Q28051" s="11"/>
      <c r="R28051" s="11"/>
      <c r="S28051" s="11"/>
      <c r="T28051" s="11"/>
    </row>
    <row r="28052" spans="8:20" x14ac:dyDescent="0.35">
      <c r="H28052" s="711"/>
      <c r="I28052" s="711"/>
      <c r="J28052" s="711"/>
      <c r="K28052" s="711"/>
      <c r="L28052" s="711"/>
      <c r="Q28052" s="11"/>
      <c r="R28052" s="11"/>
      <c r="S28052" s="11"/>
      <c r="T28052" s="11"/>
    </row>
    <row r="28053" spans="8:20" x14ac:dyDescent="0.35">
      <c r="H28053" s="711"/>
      <c r="I28053" s="711"/>
      <c r="J28053" s="711"/>
      <c r="K28053" s="711"/>
      <c r="L28053" s="711"/>
      <c r="Q28053" s="11"/>
      <c r="R28053" s="11"/>
      <c r="S28053" s="11"/>
      <c r="T28053" s="11"/>
    </row>
    <row r="28054" spans="8:20" x14ac:dyDescent="0.35">
      <c r="H28054" s="711"/>
      <c r="I28054" s="711"/>
      <c r="J28054" s="711"/>
      <c r="K28054" s="711"/>
      <c r="L28054" s="711"/>
      <c r="Q28054" s="11"/>
      <c r="R28054" s="11"/>
      <c r="S28054" s="11"/>
      <c r="T28054" s="11"/>
    </row>
    <row r="28055" spans="8:20" x14ac:dyDescent="0.35">
      <c r="H28055" s="711"/>
      <c r="I28055" s="711"/>
      <c r="J28055" s="711"/>
      <c r="K28055" s="711"/>
      <c r="L28055" s="711"/>
      <c r="Q28055" s="11"/>
      <c r="R28055" s="11"/>
      <c r="S28055" s="11"/>
      <c r="T28055" s="11"/>
    </row>
    <row r="28056" spans="8:20" x14ac:dyDescent="0.35">
      <c r="H28056" s="711"/>
      <c r="I28056" s="711"/>
      <c r="J28056" s="711"/>
      <c r="K28056" s="711"/>
      <c r="L28056" s="711"/>
      <c r="Q28056" s="11"/>
      <c r="R28056" s="11"/>
      <c r="S28056" s="11"/>
      <c r="T28056" s="11"/>
    </row>
    <row r="28057" spans="8:20" x14ac:dyDescent="0.35">
      <c r="H28057" s="711"/>
      <c r="I28057" s="711"/>
      <c r="J28057" s="711"/>
      <c r="K28057" s="711"/>
      <c r="L28057" s="711"/>
      <c r="Q28057" s="11"/>
      <c r="R28057" s="11"/>
      <c r="S28057" s="11"/>
      <c r="T28057" s="11"/>
    </row>
    <row r="28058" spans="8:20" x14ac:dyDescent="0.35">
      <c r="H28058" s="711"/>
      <c r="I28058" s="711"/>
      <c r="J28058" s="711"/>
      <c r="K28058" s="711"/>
      <c r="L28058" s="711"/>
      <c r="Q28058" s="11"/>
      <c r="R28058" s="11"/>
      <c r="S28058" s="11"/>
      <c r="T28058" s="11"/>
    </row>
    <row r="28059" spans="8:20" x14ac:dyDescent="0.35">
      <c r="H28059" s="711"/>
      <c r="I28059" s="711"/>
      <c r="J28059" s="711"/>
      <c r="K28059" s="711"/>
      <c r="L28059" s="711"/>
      <c r="Q28059" s="11"/>
      <c r="R28059" s="11"/>
      <c r="S28059" s="11"/>
      <c r="T28059" s="11"/>
    </row>
    <row r="28060" spans="8:20" x14ac:dyDescent="0.35">
      <c r="H28060" s="711"/>
      <c r="I28060" s="711"/>
      <c r="J28060" s="711"/>
      <c r="K28060" s="711"/>
      <c r="L28060" s="711"/>
      <c r="Q28060" s="11"/>
      <c r="R28060" s="11"/>
      <c r="S28060" s="11"/>
      <c r="T28060" s="11"/>
    </row>
    <row r="28061" spans="8:20" x14ac:dyDescent="0.35">
      <c r="H28061" s="711"/>
      <c r="I28061" s="711"/>
      <c r="J28061" s="711"/>
      <c r="K28061" s="711"/>
      <c r="L28061" s="711"/>
      <c r="Q28061" s="11"/>
      <c r="R28061" s="11"/>
      <c r="S28061" s="11"/>
      <c r="T28061" s="11"/>
    </row>
    <row r="28062" spans="8:20" x14ac:dyDescent="0.35">
      <c r="H28062" s="711"/>
      <c r="I28062" s="711"/>
      <c r="J28062" s="711"/>
      <c r="K28062" s="711"/>
      <c r="L28062" s="711"/>
      <c r="Q28062" s="11"/>
      <c r="R28062" s="11"/>
      <c r="S28062" s="11"/>
      <c r="T28062" s="11"/>
    </row>
    <row r="28063" spans="8:20" x14ac:dyDescent="0.35">
      <c r="H28063" s="711"/>
      <c r="I28063" s="711"/>
      <c r="J28063" s="711"/>
      <c r="K28063" s="711"/>
      <c r="L28063" s="711"/>
      <c r="Q28063" s="11"/>
      <c r="R28063" s="11"/>
      <c r="S28063" s="11"/>
      <c r="T28063" s="11"/>
    </row>
    <row r="28064" spans="8:20" x14ac:dyDescent="0.35">
      <c r="H28064" s="711"/>
      <c r="I28064" s="711"/>
      <c r="J28064" s="711"/>
      <c r="K28064" s="711"/>
      <c r="L28064" s="711"/>
      <c r="Q28064" s="11"/>
      <c r="R28064" s="11"/>
      <c r="S28064" s="11"/>
      <c r="T28064" s="11"/>
    </row>
    <row r="28065" spans="8:20" x14ac:dyDescent="0.35">
      <c r="H28065" s="711"/>
      <c r="I28065" s="711"/>
      <c r="J28065" s="711"/>
      <c r="K28065" s="711"/>
      <c r="L28065" s="711"/>
      <c r="Q28065" s="11"/>
      <c r="R28065" s="11"/>
      <c r="S28065" s="11"/>
      <c r="T28065" s="11"/>
    </row>
    <row r="28066" spans="8:20" x14ac:dyDescent="0.35">
      <c r="H28066" s="711"/>
      <c r="I28066" s="711"/>
      <c r="J28066" s="711"/>
      <c r="K28066" s="711"/>
      <c r="L28066" s="711"/>
      <c r="Q28066" s="11"/>
      <c r="R28066" s="11"/>
      <c r="S28066" s="11"/>
      <c r="T28066" s="11"/>
    </row>
    <row r="28067" spans="8:20" x14ac:dyDescent="0.35">
      <c r="H28067" s="711"/>
      <c r="I28067" s="711"/>
      <c r="J28067" s="711"/>
      <c r="K28067" s="711"/>
      <c r="L28067" s="711"/>
      <c r="Q28067" s="11"/>
      <c r="R28067" s="11"/>
      <c r="S28067" s="11"/>
      <c r="T28067" s="11"/>
    </row>
    <row r="28068" spans="8:20" x14ac:dyDescent="0.35">
      <c r="H28068" s="711"/>
      <c r="I28068" s="711"/>
      <c r="J28068" s="711"/>
      <c r="K28068" s="711"/>
      <c r="L28068" s="711"/>
      <c r="Q28068" s="11"/>
      <c r="R28068" s="11"/>
      <c r="S28068" s="11"/>
      <c r="T28068" s="11"/>
    </row>
    <row r="28069" spans="8:20" x14ac:dyDescent="0.35">
      <c r="H28069" s="711"/>
      <c r="I28069" s="711"/>
      <c r="J28069" s="711"/>
      <c r="K28069" s="711"/>
      <c r="L28069" s="711"/>
      <c r="Q28069" s="11"/>
      <c r="R28069" s="11"/>
      <c r="S28069" s="11"/>
      <c r="T28069" s="11"/>
    </row>
    <row r="28070" spans="8:20" x14ac:dyDescent="0.35">
      <c r="H28070" s="711"/>
      <c r="I28070" s="711"/>
      <c r="J28070" s="711"/>
      <c r="K28070" s="711"/>
      <c r="L28070" s="711"/>
      <c r="Q28070" s="11"/>
      <c r="R28070" s="11"/>
      <c r="S28070" s="11"/>
      <c r="T28070" s="11"/>
    </row>
    <row r="28071" spans="8:20" x14ac:dyDescent="0.35">
      <c r="H28071" s="711"/>
      <c r="I28071" s="711"/>
      <c r="J28071" s="711"/>
      <c r="K28071" s="711"/>
      <c r="L28071" s="711"/>
      <c r="Q28071" s="11"/>
      <c r="R28071" s="11"/>
      <c r="S28071" s="11"/>
      <c r="T28071" s="11"/>
    </row>
    <row r="28072" spans="8:20" x14ac:dyDescent="0.35">
      <c r="H28072" s="711"/>
      <c r="I28072" s="711"/>
      <c r="J28072" s="711"/>
      <c r="K28072" s="711"/>
      <c r="L28072" s="711"/>
      <c r="Q28072" s="11"/>
      <c r="R28072" s="11"/>
      <c r="S28072" s="11"/>
      <c r="T28072" s="11"/>
    </row>
    <row r="28073" spans="8:20" x14ac:dyDescent="0.35">
      <c r="H28073" s="711"/>
      <c r="I28073" s="711"/>
      <c r="J28073" s="711"/>
      <c r="K28073" s="711"/>
      <c r="L28073" s="711"/>
      <c r="Q28073" s="11"/>
      <c r="R28073" s="11"/>
      <c r="S28073" s="11"/>
      <c r="T28073" s="11"/>
    </row>
    <row r="28074" spans="8:20" x14ac:dyDescent="0.35">
      <c r="H28074" s="711"/>
      <c r="I28074" s="711"/>
      <c r="J28074" s="711"/>
      <c r="K28074" s="711"/>
      <c r="L28074" s="711"/>
      <c r="Q28074" s="11"/>
      <c r="R28074" s="11"/>
      <c r="S28074" s="11"/>
      <c r="T28074" s="11"/>
    </row>
    <row r="28075" spans="8:20" x14ac:dyDescent="0.35">
      <c r="H28075" s="711"/>
      <c r="I28075" s="711"/>
      <c r="J28075" s="711"/>
      <c r="K28075" s="711"/>
      <c r="L28075" s="711"/>
      <c r="Q28075" s="11"/>
      <c r="R28075" s="11"/>
      <c r="S28075" s="11"/>
      <c r="T28075" s="11"/>
    </row>
    <row r="28076" spans="8:20" x14ac:dyDescent="0.35">
      <c r="H28076" s="711"/>
      <c r="I28076" s="711"/>
      <c r="J28076" s="711"/>
      <c r="K28076" s="711"/>
      <c r="L28076" s="711"/>
      <c r="Q28076" s="11"/>
      <c r="R28076" s="11"/>
      <c r="S28076" s="11"/>
      <c r="T28076" s="11"/>
    </row>
    <row r="28077" spans="8:20" x14ac:dyDescent="0.35">
      <c r="H28077" s="711"/>
      <c r="I28077" s="711"/>
      <c r="J28077" s="711"/>
      <c r="K28077" s="711"/>
      <c r="L28077" s="711"/>
      <c r="Q28077" s="11"/>
      <c r="R28077" s="11"/>
      <c r="S28077" s="11"/>
      <c r="T28077" s="11"/>
    </row>
    <row r="28078" spans="8:20" x14ac:dyDescent="0.35">
      <c r="H28078" s="711"/>
      <c r="I28078" s="711"/>
      <c r="J28078" s="711"/>
      <c r="K28078" s="711"/>
      <c r="L28078" s="711"/>
      <c r="Q28078" s="11"/>
      <c r="R28078" s="11"/>
      <c r="S28078" s="11"/>
      <c r="T28078" s="11"/>
    </row>
    <row r="28079" spans="8:20" x14ac:dyDescent="0.35">
      <c r="H28079" s="711"/>
      <c r="I28079" s="711"/>
      <c r="J28079" s="711"/>
      <c r="K28079" s="711"/>
      <c r="L28079" s="711"/>
      <c r="Q28079" s="11"/>
      <c r="R28079" s="11"/>
      <c r="S28079" s="11"/>
      <c r="T28079" s="11"/>
    </row>
    <row r="28080" spans="8:20" x14ac:dyDescent="0.35">
      <c r="H28080" s="711"/>
      <c r="I28080" s="711"/>
      <c r="J28080" s="711"/>
      <c r="K28080" s="711"/>
      <c r="L28080" s="711"/>
      <c r="Q28080" s="11"/>
      <c r="R28080" s="11"/>
      <c r="S28080" s="11"/>
      <c r="T28080" s="11"/>
    </row>
    <row r="28081" spans="8:20" x14ac:dyDescent="0.35">
      <c r="H28081" s="711"/>
      <c r="I28081" s="711"/>
      <c r="J28081" s="711"/>
      <c r="K28081" s="711"/>
      <c r="L28081" s="711"/>
      <c r="Q28081" s="11"/>
      <c r="R28081" s="11"/>
      <c r="S28081" s="11"/>
      <c r="T28081" s="11"/>
    </row>
    <row r="28082" spans="8:20" x14ac:dyDescent="0.35">
      <c r="H28082" s="711"/>
      <c r="I28082" s="711"/>
      <c r="J28082" s="711"/>
      <c r="K28082" s="711"/>
      <c r="L28082" s="711"/>
      <c r="Q28082" s="11"/>
      <c r="R28082" s="11"/>
      <c r="S28082" s="11"/>
      <c r="T28082" s="11"/>
    </row>
    <row r="28083" spans="8:20" x14ac:dyDescent="0.35">
      <c r="H28083" s="711"/>
      <c r="I28083" s="711"/>
      <c r="J28083" s="711"/>
      <c r="K28083" s="711"/>
      <c r="L28083" s="711"/>
      <c r="Q28083" s="11"/>
      <c r="R28083" s="11"/>
      <c r="S28083" s="11"/>
      <c r="T28083" s="11"/>
    </row>
    <row r="28084" spans="8:20" x14ac:dyDescent="0.35">
      <c r="H28084" s="711"/>
      <c r="I28084" s="711"/>
      <c r="J28084" s="711"/>
      <c r="K28084" s="711"/>
      <c r="L28084" s="711"/>
      <c r="Q28084" s="11"/>
      <c r="R28084" s="11"/>
      <c r="S28084" s="11"/>
      <c r="T28084" s="11"/>
    </row>
    <row r="28085" spans="8:20" x14ac:dyDescent="0.35">
      <c r="H28085" s="711"/>
      <c r="I28085" s="711"/>
      <c r="J28085" s="711"/>
      <c r="K28085" s="711"/>
      <c r="L28085" s="711"/>
      <c r="Q28085" s="11"/>
      <c r="R28085" s="11"/>
      <c r="S28085" s="11"/>
      <c r="T28085" s="11"/>
    </row>
    <row r="28086" spans="8:20" x14ac:dyDescent="0.35">
      <c r="H28086" s="711"/>
      <c r="I28086" s="711"/>
      <c r="J28086" s="711"/>
      <c r="K28086" s="711"/>
      <c r="L28086" s="711"/>
      <c r="Q28086" s="11"/>
      <c r="R28086" s="11"/>
      <c r="S28086" s="11"/>
      <c r="T28086" s="11"/>
    </row>
    <row r="28087" spans="8:20" x14ac:dyDescent="0.35">
      <c r="H28087" s="711"/>
      <c r="I28087" s="711"/>
      <c r="J28087" s="711"/>
      <c r="K28087" s="711"/>
      <c r="L28087" s="711"/>
      <c r="Q28087" s="11"/>
      <c r="R28087" s="11"/>
      <c r="S28087" s="11"/>
      <c r="T28087" s="11"/>
    </row>
    <row r="28088" spans="8:20" x14ac:dyDescent="0.35">
      <c r="H28088" s="711"/>
      <c r="I28088" s="711"/>
      <c r="J28088" s="711"/>
      <c r="K28088" s="711"/>
      <c r="L28088" s="711"/>
      <c r="Q28088" s="11"/>
      <c r="R28088" s="11"/>
      <c r="S28088" s="11"/>
      <c r="T28088" s="11"/>
    </row>
    <row r="28089" spans="8:20" x14ac:dyDescent="0.35">
      <c r="H28089" s="711"/>
      <c r="I28089" s="711"/>
      <c r="J28089" s="711"/>
      <c r="K28089" s="711"/>
      <c r="L28089" s="711"/>
      <c r="Q28089" s="11"/>
      <c r="R28089" s="11"/>
      <c r="S28089" s="11"/>
      <c r="T28089" s="11"/>
    </row>
    <row r="28090" spans="8:20" x14ac:dyDescent="0.35">
      <c r="H28090" s="711"/>
      <c r="I28090" s="711"/>
      <c r="J28090" s="711"/>
      <c r="K28090" s="711"/>
      <c r="L28090" s="711"/>
      <c r="Q28090" s="11"/>
      <c r="R28090" s="11"/>
      <c r="S28090" s="11"/>
      <c r="T28090" s="11"/>
    </row>
    <row r="28091" spans="8:20" x14ac:dyDescent="0.35">
      <c r="H28091" s="711"/>
      <c r="I28091" s="711"/>
      <c r="J28091" s="711"/>
      <c r="K28091" s="711"/>
      <c r="L28091" s="711"/>
      <c r="Q28091" s="11"/>
      <c r="R28091" s="11"/>
      <c r="S28091" s="11"/>
      <c r="T28091" s="11"/>
    </row>
    <row r="28092" spans="8:20" x14ac:dyDescent="0.35">
      <c r="H28092" s="711"/>
      <c r="I28092" s="711"/>
      <c r="J28092" s="711"/>
      <c r="K28092" s="711"/>
      <c r="L28092" s="711"/>
      <c r="Q28092" s="11"/>
      <c r="R28092" s="11"/>
      <c r="S28092" s="11"/>
      <c r="T28092" s="11"/>
    </row>
    <row r="28093" spans="8:20" x14ac:dyDescent="0.35">
      <c r="H28093" s="711"/>
      <c r="I28093" s="711"/>
      <c r="J28093" s="711"/>
      <c r="K28093" s="711"/>
      <c r="L28093" s="711"/>
      <c r="Q28093" s="11"/>
      <c r="R28093" s="11"/>
      <c r="S28093" s="11"/>
      <c r="T28093" s="11"/>
    </row>
    <row r="28094" spans="8:20" x14ac:dyDescent="0.35">
      <c r="H28094" s="711"/>
      <c r="I28094" s="711"/>
      <c r="J28094" s="711"/>
      <c r="K28094" s="711"/>
      <c r="L28094" s="711"/>
      <c r="Q28094" s="11"/>
      <c r="R28094" s="11"/>
      <c r="S28094" s="11"/>
      <c r="T28094" s="11"/>
    </row>
    <row r="28095" spans="8:20" x14ac:dyDescent="0.35">
      <c r="H28095" s="711"/>
      <c r="I28095" s="711"/>
      <c r="J28095" s="711"/>
      <c r="K28095" s="711"/>
      <c r="L28095" s="711"/>
      <c r="Q28095" s="11"/>
      <c r="R28095" s="11"/>
      <c r="S28095" s="11"/>
      <c r="T28095" s="11"/>
    </row>
    <row r="28096" spans="8:20" x14ac:dyDescent="0.35">
      <c r="H28096" s="711"/>
      <c r="I28096" s="711"/>
      <c r="J28096" s="711"/>
      <c r="K28096" s="711"/>
      <c r="L28096" s="711"/>
      <c r="Q28096" s="11"/>
      <c r="R28096" s="11"/>
      <c r="S28096" s="11"/>
      <c r="T28096" s="11"/>
    </row>
    <row r="28097" spans="8:20" x14ac:dyDescent="0.35">
      <c r="H28097" s="711"/>
      <c r="I28097" s="711"/>
      <c r="J28097" s="711"/>
      <c r="K28097" s="711"/>
      <c r="L28097" s="711"/>
      <c r="Q28097" s="11"/>
      <c r="R28097" s="11"/>
      <c r="S28097" s="11"/>
      <c r="T28097" s="11"/>
    </row>
    <row r="28098" spans="8:20" x14ac:dyDescent="0.35">
      <c r="H28098" s="711"/>
      <c r="I28098" s="711"/>
      <c r="J28098" s="711"/>
      <c r="K28098" s="711"/>
      <c r="L28098" s="711"/>
      <c r="Q28098" s="11"/>
      <c r="R28098" s="11"/>
      <c r="S28098" s="11"/>
      <c r="T28098" s="11"/>
    </row>
    <row r="28099" spans="8:20" x14ac:dyDescent="0.35">
      <c r="H28099" s="711"/>
      <c r="I28099" s="711"/>
      <c r="J28099" s="711"/>
      <c r="K28099" s="711"/>
      <c r="L28099" s="711"/>
      <c r="Q28099" s="11"/>
      <c r="R28099" s="11"/>
      <c r="S28099" s="11"/>
      <c r="T28099" s="11"/>
    </row>
    <row r="28100" spans="8:20" x14ac:dyDescent="0.35">
      <c r="H28100" s="711"/>
      <c r="I28100" s="711"/>
      <c r="J28100" s="711"/>
      <c r="K28100" s="711"/>
      <c r="L28100" s="711"/>
      <c r="Q28100" s="11"/>
      <c r="R28100" s="11"/>
      <c r="S28100" s="11"/>
      <c r="T28100" s="11"/>
    </row>
    <row r="28101" spans="8:20" x14ac:dyDescent="0.35">
      <c r="H28101" s="711"/>
      <c r="I28101" s="711"/>
      <c r="J28101" s="711"/>
      <c r="K28101" s="711"/>
      <c r="L28101" s="711"/>
      <c r="Q28101" s="11"/>
      <c r="R28101" s="11"/>
      <c r="S28101" s="11"/>
      <c r="T28101" s="11"/>
    </row>
    <row r="28102" spans="8:20" x14ac:dyDescent="0.35">
      <c r="H28102" s="711"/>
      <c r="I28102" s="711"/>
      <c r="J28102" s="711"/>
      <c r="K28102" s="711"/>
      <c r="L28102" s="711"/>
      <c r="Q28102" s="11"/>
      <c r="R28102" s="11"/>
      <c r="S28102" s="11"/>
      <c r="T28102" s="11"/>
    </row>
    <row r="28103" spans="8:20" x14ac:dyDescent="0.35">
      <c r="H28103" s="711"/>
      <c r="I28103" s="711"/>
      <c r="J28103" s="711"/>
      <c r="K28103" s="711"/>
      <c r="L28103" s="711"/>
      <c r="Q28103" s="11"/>
      <c r="R28103" s="11"/>
      <c r="S28103" s="11"/>
      <c r="T28103" s="11"/>
    </row>
    <row r="28104" spans="8:20" x14ac:dyDescent="0.35">
      <c r="H28104" s="711"/>
      <c r="I28104" s="711"/>
      <c r="J28104" s="711"/>
      <c r="K28104" s="711"/>
      <c r="L28104" s="711"/>
      <c r="Q28104" s="11"/>
      <c r="R28104" s="11"/>
      <c r="S28104" s="11"/>
      <c r="T28104" s="11"/>
    </row>
    <row r="28105" spans="8:20" x14ac:dyDescent="0.35">
      <c r="H28105" s="711"/>
      <c r="I28105" s="711"/>
      <c r="J28105" s="711"/>
      <c r="K28105" s="711"/>
      <c r="L28105" s="711"/>
      <c r="Q28105" s="11"/>
      <c r="R28105" s="11"/>
      <c r="S28105" s="11"/>
      <c r="T28105" s="11"/>
    </row>
    <row r="28106" spans="8:20" x14ac:dyDescent="0.35">
      <c r="H28106" s="711"/>
      <c r="I28106" s="711"/>
      <c r="J28106" s="711"/>
      <c r="K28106" s="711"/>
      <c r="L28106" s="711"/>
      <c r="Q28106" s="11"/>
      <c r="R28106" s="11"/>
      <c r="S28106" s="11"/>
      <c r="T28106" s="11"/>
    </row>
    <row r="28107" spans="8:20" x14ac:dyDescent="0.35">
      <c r="H28107" s="711"/>
      <c r="I28107" s="711"/>
      <c r="J28107" s="711"/>
      <c r="K28107" s="711"/>
      <c r="L28107" s="711"/>
      <c r="Q28107" s="11"/>
      <c r="R28107" s="11"/>
      <c r="S28107" s="11"/>
      <c r="T28107" s="11"/>
    </row>
    <row r="28108" spans="8:20" x14ac:dyDescent="0.35">
      <c r="H28108" s="711"/>
      <c r="I28108" s="711"/>
      <c r="J28108" s="711"/>
      <c r="K28108" s="711"/>
      <c r="L28108" s="711"/>
      <c r="Q28108" s="11"/>
      <c r="R28108" s="11"/>
      <c r="S28108" s="11"/>
      <c r="T28108" s="11"/>
    </row>
    <row r="28109" spans="8:20" x14ac:dyDescent="0.35">
      <c r="H28109" s="711"/>
      <c r="I28109" s="711"/>
      <c r="J28109" s="711"/>
      <c r="K28109" s="711"/>
      <c r="L28109" s="711"/>
      <c r="Q28109" s="11"/>
      <c r="R28109" s="11"/>
      <c r="S28109" s="11"/>
      <c r="T28109" s="11"/>
    </row>
    <row r="28110" spans="8:20" x14ac:dyDescent="0.35">
      <c r="H28110" s="711"/>
      <c r="I28110" s="711"/>
      <c r="J28110" s="711"/>
      <c r="K28110" s="711"/>
      <c r="L28110" s="711"/>
      <c r="Q28110" s="11"/>
      <c r="R28110" s="11"/>
      <c r="S28110" s="11"/>
      <c r="T28110" s="11"/>
    </row>
    <row r="28111" spans="8:20" x14ac:dyDescent="0.35">
      <c r="H28111" s="711"/>
      <c r="I28111" s="711"/>
      <c r="J28111" s="711"/>
      <c r="K28111" s="711"/>
      <c r="L28111" s="711"/>
      <c r="Q28111" s="11"/>
      <c r="R28111" s="11"/>
      <c r="S28111" s="11"/>
      <c r="T28111" s="11"/>
    </row>
    <row r="28112" spans="8:20" x14ac:dyDescent="0.35">
      <c r="H28112" s="711"/>
      <c r="I28112" s="711"/>
      <c r="J28112" s="711"/>
      <c r="K28112" s="711"/>
      <c r="L28112" s="711"/>
      <c r="Q28112" s="11"/>
      <c r="R28112" s="11"/>
      <c r="S28112" s="11"/>
      <c r="T28112" s="11"/>
    </row>
    <row r="28113" spans="8:20" x14ac:dyDescent="0.35">
      <c r="H28113" s="711"/>
      <c r="I28113" s="711"/>
      <c r="J28113" s="711"/>
      <c r="K28113" s="711"/>
      <c r="L28113" s="711"/>
      <c r="Q28113" s="11"/>
      <c r="R28113" s="11"/>
      <c r="S28113" s="11"/>
      <c r="T28113" s="11"/>
    </row>
    <row r="28114" spans="8:20" x14ac:dyDescent="0.35">
      <c r="H28114" s="711"/>
      <c r="I28114" s="711"/>
      <c r="J28114" s="711"/>
      <c r="K28114" s="711"/>
      <c r="L28114" s="711"/>
      <c r="Q28114" s="11"/>
      <c r="R28114" s="11"/>
      <c r="S28114" s="11"/>
      <c r="T28114" s="11"/>
    </row>
    <row r="28115" spans="8:20" x14ac:dyDescent="0.35">
      <c r="H28115" s="711"/>
      <c r="I28115" s="711"/>
      <c r="J28115" s="711"/>
      <c r="K28115" s="711"/>
      <c r="L28115" s="711"/>
      <c r="Q28115" s="11"/>
      <c r="R28115" s="11"/>
      <c r="S28115" s="11"/>
      <c r="T28115" s="11"/>
    </row>
    <row r="28116" spans="8:20" x14ac:dyDescent="0.35">
      <c r="H28116" s="711"/>
      <c r="I28116" s="711"/>
      <c r="J28116" s="711"/>
      <c r="K28116" s="711"/>
      <c r="L28116" s="711"/>
      <c r="Q28116" s="11"/>
      <c r="R28116" s="11"/>
      <c r="S28116" s="11"/>
      <c r="T28116" s="11"/>
    </row>
    <row r="28117" spans="8:20" x14ac:dyDescent="0.35">
      <c r="H28117" s="711"/>
      <c r="I28117" s="711"/>
      <c r="J28117" s="711"/>
      <c r="K28117" s="711"/>
      <c r="L28117" s="711"/>
      <c r="Q28117" s="11"/>
      <c r="R28117" s="11"/>
      <c r="S28117" s="11"/>
      <c r="T28117" s="11"/>
    </row>
    <row r="28118" spans="8:20" x14ac:dyDescent="0.35">
      <c r="H28118" s="711"/>
      <c r="I28118" s="711"/>
      <c r="J28118" s="711"/>
      <c r="K28118" s="711"/>
      <c r="L28118" s="711"/>
      <c r="Q28118" s="11"/>
      <c r="R28118" s="11"/>
      <c r="S28118" s="11"/>
      <c r="T28118" s="11"/>
    </row>
    <row r="28119" spans="8:20" x14ac:dyDescent="0.35">
      <c r="H28119" s="711"/>
      <c r="I28119" s="711"/>
      <c r="J28119" s="711"/>
      <c r="K28119" s="711"/>
      <c r="L28119" s="711"/>
      <c r="Q28119" s="11"/>
      <c r="R28119" s="11"/>
      <c r="S28119" s="11"/>
      <c r="T28119" s="11"/>
    </row>
    <row r="28120" spans="8:20" x14ac:dyDescent="0.35">
      <c r="H28120" s="711"/>
      <c r="I28120" s="711"/>
      <c r="J28120" s="711"/>
      <c r="K28120" s="711"/>
      <c r="L28120" s="711"/>
      <c r="Q28120" s="11"/>
      <c r="R28120" s="11"/>
      <c r="S28120" s="11"/>
      <c r="T28120" s="11"/>
    </row>
    <row r="28121" spans="8:20" x14ac:dyDescent="0.35">
      <c r="H28121" s="711"/>
      <c r="I28121" s="711"/>
      <c r="J28121" s="711"/>
      <c r="K28121" s="711"/>
      <c r="L28121" s="711"/>
      <c r="Q28121" s="11"/>
      <c r="R28121" s="11"/>
      <c r="S28121" s="11"/>
      <c r="T28121" s="11"/>
    </row>
    <row r="28122" spans="8:20" x14ac:dyDescent="0.35">
      <c r="H28122" s="711"/>
      <c r="I28122" s="711"/>
      <c r="J28122" s="711"/>
      <c r="K28122" s="711"/>
      <c r="L28122" s="711"/>
      <c r="Q28122" s="11"/>
      <c r="R28122" s="11"/>
      <c r="S28122" s="11"/>
      <c r="T28122" s="11"/>
    </row>
    <row r="28123" spans="8:20" x14ac:dyDescent="0.35">
      <c r="H28123" s="711"/>
      <c r="I28123" s="711"/>
      <c r="J28123" s="711"/>
      <c r="K28123" s="711"/>
      <c r="L28123" s="711"/>
      <c r="Q28123" s="11"/>
      <c r="R28123" s="11"/>
      <c r="S28123" s="11"/>
      <c r="T28123" s="11"/>
    </row>
    <row r="28124" spans="8:20" x14ac:dyDescent="0.35">
      <c r="H28124" s="711"/>
      <c r="I28124" s="711"/>
      <c r="J28124" s="711"/>
      <c r="K28124" s="711"/>
      <c r="L28124" s="711"/>
      <c r="Q28124" s="11"/>
      <c r="R28124" s="11"/>
      <c r="S28124" s="11"/>
      <c r="T28124" s="11"/>
    </row>
    <row r="28125" spans="8:20" x14ac:dyDescent="0.35">
      <c r="H28125" s="711"/>
      <c r="I28125" s="711"/>
      <c r="J28125" s="711"/>
      <c r="K28125" s="711"/>
      <c r="L28125" s="711"/>
      <c r="Q28125" s="11"/>
      <c r="R28125" s="11"/>
      <c r="S28125" s="11"/>
      <c r="T28125" s="11"/>
    </row>
    <row r="28126" spans="8:20" x14ac:dyDescent="0.35">
      <c r="H28126" s="711"/>
      <c r="I28126" s="711"/>
      <c r="J28126" s="711"/>
      <c r="K28126" s="711"/>
      <c r="L28126" s="711"/>
      <c r="Q28126" s="11"/>
      <c r="R28126" s="11"/>
      <c r="S28126" s="11"/>
      <c r="T28126" s="11"/>
    </row>
    <row r="28127" spans="8:20" x14ac:dyDescent="0.35">
      <c r="H28127" s="711"/>
      <c r="I28127" s="711"/>
      <c r="J28127" s="711"/>
      <c r="K28127" s="711"/>
      <c r="L28127" s="711"/>
      <c r="Q28127" s="11"/>
      <c r="R28127" s="11"/>
      <c r="S28127" s="11"/>
      <c r="T28127" s="11"/>
    </row>
    <row r="28128" spans="8:20" x14ac:dyDescent="0.35">
      <c r="H28128" s="711"/>
      <c r="I28128" s="711"/>
      <c r="J28128" s="711"/>
      <c r="K28128" s="711"/>
      <c r="L28128" s="711"/>
      <c r="Q28128" s="11"/>
      <c r="R28128" s="11"/>
      <c r="S28128" s="11"/>
      <c r="T28128" s="11"/>
    </row>
    <row r="28129" spans="8:20" x14ac:dyDescent="0.35">
      <c r="H28129" s="711"/>
      <c r="I28129" s="711"/>
      <c r="J28129" s="711"/>
      <c r="K28129" s="711"/>
      <c r="L28129" s="711"/>
      <c r="Q28129" s="11"/>
      <c r="R28129" s="11"/>
      <c r="S28129" s="11"/>
      <c r="T28129" s="11"/>
    </row>
    <row r="28130" spans="8:20" x14ac:dyDescent="0.35">
      <c r="H28130" s="711"/>
      <c r="I28130" s="711"/>
      <c r="J28130" s="711"/>
      <c r="K28130" s="711"/>
      <c r="L28130" s="711"/>
      <c r="Q28130" s="11"/>
      <c r="R28130" s="11"/>
      <c r="S28130" s="11"/>
      <c r="T28130" s="11"/>
    </row>
    <row r="28131" spans="8:20" x14ac:dyDescent="0.35">
      <c r="H28131" s="711"/>
      <c r="I28131" s="711"/>
      <c r="J28131" s="711"/>
      <c r="K28131" s="711"/>
      <c r="L28131" s="711"/>
      <c r="Q28131" s="11"/>
      <c r="R28131" s="11"/>
      <c r="S28131" s="11"/>
      <c r="T28131" s="11"/>
    </row>
    <row r="28132" spans="8:20" x14ac:dyDescent="0.35">
      <c r="H28132" s="711"/>
      <c r="I28132" s="711"/>
      <c r="J28132" s="711"/>
      <c r="K28132" s="711"/>
      <c r="L28132" s="711"/>
      <c r="Q28132" s="11"/>
      <c r="R28132" s="11"/>
      <c r="S28132" s="11"/>
      <c r="T28132" s="11"/>
    </row>
    <row r="28133" spans="8:20" x14ac:dyDescent="0.35">
      <c r="H28133" s="711"/>
      <c r="I28133" s="711"/>
      <c r="J28133" s="711"/>
      <c r="K28133" s="711"/>
      <c r="L28133" s="711"/>
      <c r="Q28133" s="11"/>
      <c r="R28133" s="11"/>
      <c r="S28133" s="11"/>
      <c r="T28133" s="11"/>
    </row>
    <row r="28134" spans="8:20" x14ac:dyDescent="0.35">
      <c r="H28134" s="711"/>
      <c r="I28134" s="711"/>
      <c r="J28134" s="711"/>
      <c r="K28134" s="711"/>
      <c r="L28134" s="711"/>
      <c r="Q28134" s="11"/>
      <c r="R28134" s="11"/>
      <c r="S28134" s="11"/>
      <c r="T28134" s="11"/>
    </row>
    <row r="28135" spans="8:20" x14ac:dyDescent="0.35">
      <c r="H28135" s="711"/>
      <c r="I28135" s="711"/>
      <c r="J28135" s="711"/>
      <c r="K28135" s="711"/>
      <c r="L28135" s="711"/>
      <c r="Q28135" s="11"/>
      <c r="R28135" s="11"/>
      <c r="S28135" s="11"/>
      <c r="T28135" s="11"/>
    </row>
    <row r="28136" spans="8:20" x14ac:dyDescent="0.35">
      <c r="H28136" s="711"/>
      <c r="I28136" s="711"/>
      <c r="J28136" s="711"/>
      <c r="K28136" s="711"/>
      <c r="L28136" s="711"/>
      <c r="Q28136" s="11"/>
      <c r="R28136" s="11"/>
      <c r="S28136" s="11"/>
      <c r="T28136" s="11"/>
    </row>
    <row r="28137" spans="8:20" x14ac:dyDescent="0.35">
      <c r="H28137" s="711"/>
      <c r="I28137" s="711"/>
      <c r="J28137" s="711"/>
      <c r="K28137" s="711"/>
      <c r="L28137" s="711"/>
      <c r="Q28137" s="11"/>
      <c r="R28137" s="11"/>
      <c r="S28137" s="11"/>
      <c r="T28137" s="11"/>
    </row>
    <row r="28138" spans="8:20" x14ac:dyDescent="0.35">
      <c r="H28138" s="711"/>
      <c r="I28138" s="711"/>
      <c r="J28138" s="711"/>
      <c r="K28138" s="711"/>
      <c r="L28138" s="711"/>
      <c r="Q28138" s="11"/>
      <c r="R28138" s="11"/>
      <c r="S28138" s="11"/>
      <c r="T28138" s="11"/>
    </row>
    <row r="28139" spans="8:20" x14ac:dyDescent="0.35">
      <c r="H28139" s="711"/>
      <c r="I28139" s="711"/>
      <c r="J28139" s="711"/>
      <c r="K28139" s="711"/>
      <c r="L28139" s="711"/>
      <c r="Q28139" s="11"/>
      <c r="R28139" s="11"/>
      <c r="S28139" s="11"/>
      <c r="T28139" s="11"/>
    </row>
    <row r="28140" spans="8:20" x14ac:dyDescent="0.35">
      <c r="H28140" s="711"/>
      <c r="I28140" s="711"/>
      <c r="J28140" s="711"/>
      <c r="K28140" s="711"/>
      <c r="L28140" s="711"/>
      <c r="Q28140" s="11"/>
      <c r="R28140" s="11"/>
      <c r="S28140" s="11"/>
      <c r="T28140" s="11"/>
    </row>
    <row r="28141" spans="8:20" x14ac:dyDescent="0.35">
      <c r="H28141" s="711"/>
      <c r="I28141" s="711"/>
      <c r="J28141" s="711"/>
      <c r="K28141" s="711"/>
      <c r="L28141" s="711"/>
      <c r="Q28141" s="11"/>
      <c r="R28141" s="11"/>
      <c r="S28141" s="11"/>
      <c r="T28141" s="11"/>
    </row>
    <row r="28142" spans="8:20" x14ac:dyDescent="0.35">
      <c r="H28142" s="711"/>
      <c r="I28142" s="711"/>
      <c r="J28142" s="711"/>
      <c r="K28142" s="711"/>
      <c r="L28142" s="711"/>
      <c r="Q28142" s="11"/>
      <c r="R28142" s="11"/>
      <c r="S28142" s="11"/>
      <c r="T28142" s="11"/>
    </row>
    <row r="28143" spans="8:20" x14ac:dyDescent="0.35">
      <c r="H28143" s="711"/>
      <c r="I28143" s="711"/>
      <c r="J28143" s="711"/>
      <c r="K28143" s="711"/>
      <c r="L28143" s="711"/>
      <c r="Q28143" s="11"/>
      <c r="R28143" s="11"/>
      <c r="S28143" s="11"/>
      <c r="T28143" s="11"/>
    </row>
    <row r="28144" spans="8:20" x14ac:dyDescent="0.35">
      <c r="H28144" s="711"/>
      <c r="I28144" s="711"/>
      <c r="J28144" s="711"/>
      <c r="K28144" s="711"/>
      <c r="L28144" s="711"/>
      <c r="Q28144" s="11"/>
      <c r="R28144" s="11"/>
      <c r="S28144" s="11"/>
      <c r="T28144" s="11"/>
    </row>
    <row r="28145" spans="8:20" x14ac:dyDescent="0.35">
      <c r="H28145" s="711"/>
      <c r="I28145" s="711"/>
      <c r="J28145" s="711"/>
      <c r="K28145" s="711"/>
      <c r="L28145" s="711"/>
      <c r="Q28145" s="11"/>
      <c r="R28145" s="11"/>
      <c r="S28145" s="11"/>
      <c r="T28145" s="11"/>
    </row>
    <row r="28146" spans="8:20" x14ac:dyDescent="0.35">
      <c r="H28146" s="711"/>
      <c r="I28146" s="711"/>
      <c r="J28146" s="711"/>
      <c r="K28146" s="711"/>
      <c r="L28146" s="711"/>
      <c r="Q28146" s="11"/>
      <c r="R28146" s="11"/>
      <c r="S28146" s="11"/>
      <c r="T28146" s="11"/>
    </row>
    <row r="28147" spans="8:20" x14ac:dyDescent="0.35">
      <c r="H28147" s="711"/>
      <c r="I28147" s="711"/>
      <c r="J28147" s="711"/>
      <c r="K28147" s="711"/>
      <c r="L28147" s="711"/>
      <c r="Q28147" s="11"/>
      <c r="R28147" s="11"/>
      <c r="S28147" s="11"/>
      <c r="T28147" s="11"/>
    </row>
    <row r="28148" spans="8:20" x14ac:dyDescent="0.35">
      <c r="H28148" s="711"/>
      <c r="I28148" s="711"/>
      <c r="J28148" s="711"/>
      <c r="K28148" s="711"/>
      <c r="L28148" s="711"/>
      <c r="Q28148" s="11"/>
      <c r="R28148" s="11"/>
      <c r="S28148" s="11"/>
      <c r="T28148" s="11"/>
    </row>
    <row r="28149" spans="8:20" x14ac:dyDescent="0.35">
      <c r="H28149" s="711"/>
      <c r="I28149" s="711"/>
      <c r="J28149" s="711"/>
      <c r="K28149" s="711"/>
      <c r="L28149" s="711"/>
      <c r="Q28149" s="11"/>
      <c r="R28149" s="11"/>
      <c r="S28149" s="11"/>
      <c r="T28149" s="11"/>
    </row>
    <row r="28150" spans="8:20" x14ac:dyDescent="0.35">
      <c r="H28150" s="711"/>
      <c r="I28150" s="711"/>
      <c r="J28150" s="711"/>
      <c r="K28150" s="711"/>
      <c r="L28150" s="711"/>
      <c r="Q28150" s="11"/>
      <c r="R28150" s="11"/>
      <c r="S28150" s="11"/>
      <c r="T28150" s="11"/>
    </row>
    <row r="28151" spans="8:20" x14ac:dyDescent="0.35">
      <c r="H28151" s="711"/>
      <c r="I28151" s="711"/>
      <c r="J28151" s="711"/>
      <c r="K28151" s="711"/>
      <c r="L28151" s="711"/>
      <c r="Q28151" s="11"/>
      <c r="R28151" s="11"/>
      <c r="S28151" s="11"/>
      <c r="T28151" s="11"/>
    </row>
    <row r="28152" spans="8:20" x14ac:dyDescent="0.35">
      <c r="H28152" s="711"/>
      <c r="I28152" s="711"/>
      <c r="J28152" s="711"/>
      <c r="K28152" s="711"/>
      <c r="L28152" s="711"/>
      <c r="Q28152" s="11"/>
      <c r="R28152" s="11"/>
      <c r="S28152" s="11"/>
      <c r="T28152" s="11"/>
    </row>
    <row r="28153" spans="8:20" x14ac:dyDescent="0.35">
      <c r="H28153" s="711"/>
      <c r="I28153" s="711"/>
      <c r="J28153" s="711"/>
      <c r="K28153" s="711"/>
      <c r="L28153" s="711"/>
      <c r="Q28153" s="11"/>
      <c r="R28153" s="11"/>
      <c r="S28153" s="11"/>
      <c r="T28153" s="11"/>
    </row>
    <row r="28154" spans="8:20" x14ac:dyDescent="0.35">
      <c r="H28154" s="711"/>
      <c r="I28154" s="711"/>
      <c r="J28154" s="711"/>
      <c r="K28154" s="711"/>
      <c r="L28154" s="711"/>
      <c r="Q28154" s="11"/>
      <c r="R28154" s="11"/>
      <c r="S28154" s="11"/>
      <c r="T28154" s="11"/>
    </row>
    <row r="28155" spans="8:20" x14ac:dyDescent="0.35">
      <c r="H28155" s="711"/>
      <c r="I28155" s="711"/>
      <c r="J28155" s="711"/>
      <c r="K28155" s="711"/>
      <c r="L28155" s="711"/>
      <c r="Q28155" s="11"/>
      <c r="R28155" s="11"/>
      <c r="S28155" s="11"/>
      <c r="T28155" s="11"/>
    </row>
    <row r="28156" spans="8:20" x14ac:dyDescent="0.35">
      <c r="H28156" s="711"/>
      <c r="I28156" s="711"/>
      <c r="J28156" s="711"/>
      <c r="K28156" s="711"/>
      <c r="L28156" s="711"/>
      <c r="Q28156" s="11"/>
      <c r="R28156" s="11"/>
      <c r="S28156" s="11"/>
      <c r="T28156" s="11"/>
    </row>
    <row r="28157" spans="8:20" x14ac:dyDescent="0.35">
      <c r="H28157" s="711"/>
      <c r="I28157" s="711"/>
      <c r="J28157" s="711"/>
      <c r="K28157" s="711"/>
      <c r="L28157" s="711"/>
      <c r="Q28157" s="11"/>
      <c r="R28157" s="11"/>
      <c r="S28157" s="11"/>
      <c r="T28157" s="11"/>
    </row>
    <row r="28158" spans="8:20" x14ac:dyDescent="0.35">
      <c r="H28158" s="711"/>
      <c r="I28158" s="711"/>
      <c r="J28158" s="711"/>
      <c r="K28158" s="711"/>
      <c r="L28158" s="711"/>
      <c r="Q28158" s="11"/>
      <c r="R28158" s="11"/>
      <c r="S28158" s="11"/>
      <c r="T28158" s="11"/>
    </row>
    <row r="28159" spans="8:20" x14ac:dyDescent="0.35">
      <c r="H28159" s="711"/>
      <c r="I28159" s="711"/>
      <c r="J28159" s="711"/>
      <c r="K28159" s="711"/>
      <c r="L28159" s="711"/>
      <c r="Q28159" s="11"/>
      <c r="R28159" s="11"/>
      <c r="S28159" s="11"/>
      <c r="T28159" s="11"/>
    </row>
    <row r="28160" spans="8:20" x14ac:dyDescent="0.35">
      <c r="H28160" s="711"/>
      <c r="I28160" s="711"/>
      <c r="J28160" s="711"/>
      <c r="K28160" s="711"/>
      <c r="L28160" s="711"/>
      <c r="Q28160" s="11"/>
      <c r="R28160" s="11"/>
      <c r="S28160" s="11"/>
      <c r="T28160" s="11"/>
    </row>
    <row r="28161" spans="8:20" x14ac:dyDescent="0.35">
      <c r="H28161" s="711"/>
      <c r="I28161" s="711"/>
      <c r="J28161" s="711"/>
      <c r="K28161" s="711"/>
      <c r="L28161" s="711"/>
      <c r="Q28161" s="11"/>
      <c r="R28161" s="11"/>
      <c r="S28161" s="11"/>
      <c r="T28161" s="11"/>
    </row>
    <row r="28162" spans="8:20" x14ac:dyDescent="0.35">
      <c r="H28162" s="711"/>
      <c r="I28162" s="711"/>
      <c r="J28162" s="711"/>
      <c r="K28162" s="711"/>
      <c r="L28162" s="711"/>
      <c r="Q28162" s="11"/>
      <c r="R28162" s="11"/>
      <c r="S28162" s="11"/>
      <c r="T28162" s="11"/>
    </row>
    <row r="28163" spans="8:20" x14ac:dyDescent="0.35">
      <c r="H28163" s="711"/>
      <c r="I28163" s="711"/>
      <c r="J28163" s="711"/>
      <c r="K28163" s="711"/>
      <c r="L28163" s="711"/>
      <c r="Q28163" s="11"/>
      <c r="R28163" s="11"/>
      <c r="S28163" s="11"/>
      <c r="T28163" s="11"/>
    </row>
    <row r="28164" spans="8:20" x14ac:dyDescent="0.35">
      <c r="H28164" s="711"/>
      <c r="I28164" s="711"/>
      <c r="J28164" s="711"/>
      <c r="K28164" s="711"/>
      <c r="L28164" s="711"/>
      <c r="Q28164" s="11"/>
      <c r="R28164" s="11"/>
      <c r="S28164" s="11"/>
      <c r="T28164" s="11"/>
    </row>
    <row r="28165" spans="8:20" x14ac:dyDescent="0.35">
      <c r="H28165" s="711"/>
      <c r="I28165" s="711"/>
      <c r="J28165" s="711"/>
      <c r="K28165" s="711"/>
      <c r="L28165" s="711"/>
      <c r="Q28165" s="11"/>
      <c r="R28165" s="11"/>
      <c r="S28165" s="11"/>
      <c r="T28165" s="11"/>
    </row>
    <row r="28166" spans="8:20" x14ac:dyDescent="0.35">
      <c r="H28166" s="711"/>
      <c r="I28166" s="711"/>
      <c r="J28166" s="711"/>
      <c r="K28166" s="711"/>
      <c r="L28166" s="711"/>
      <c r="Q28166" s="11"/>
      <c r="R28166" s="11"/>
      <c r="S28166" s="11"/>
      <c r="T28166" s="11"/>
    </row>
    <row r="28167" spans="8:20" x14ac:dyDescent="0.35">
      <c r="H28167" s="711"/>
      <c r="I28167" s="711"/>
      <c r="J28167" s="711"/>
      <c r="K28167" s="711"/>
      <c r="L28167" s="711"/>
      <c r="Q28167" s="11"/>
      <c r="R28167" s="11"/>
      <c r="S28167" s="11"/>
      <c r="T28167" s="11"/>
    </row>
    <row r="28168" spans="8:20" x14ac:dyDescent="0.35">
      <c r="H28168" s="711"/>
      <c r="I28168" s="711"/>
      <c r="J28168" s="711"/>
      <c r="K28168" s="711"/>
      <c r="L28168" s="711"/>
      <c r="Q28168" s="11"/>
      <c r="R28168" s="11"/>
      <c r="S28168" s="11"/>
      <c r="T28168" s="11"/>
    </row>
    <row r="28169" spans="8:20" x14ac:dyDescent="0.35">
      <c r="H28169" s="711"/>
      <c r="I28169" s="711"/>
      <c r="J28169" s="711"/>
      <c r="K28169" s="711"/>
      <c r="L28169" s="711"/>
      <c r="Q28169" s="11"/>
      <c r="R28169" s="11"/>
      <c r="S28169" s="11"/>
      <c r="T28169" s="11"/>
    </row>
    <row r="28170" spans="8:20" x14ac:dyDescent="0.35">
      <c r="H28170" s="711"/>
      <c r="I28170" s="711"/>
      <c r="J28170" s="711"/>
      <c r="K28170" s="711"/>
      <c r="L28170" s="711"/>
      <c r="Q28170" s="11"/>
      <c r="R28170" s="11"/>
      <c r="S28170" s="11"/>
      <c r="T28170" s="11"/>
    </row>
    <row r="28171" spans="8:20" x14ac:dyDescent="0.35">
      <c r="H28171" s="711"/>
      <c r="I28171" s="711"/>
      <c r="J28171" s="711"/>
      <c r="K28171" s="711"/>
      <c r="L28171" s="711"/>
      <c r="Q28171" s="11"/>
      <c r="R28171" s="11"/>
      <c r="S28171" s="11"/>
      <c r="T28171" s="11"/>
    </row>
    <row r="28172" spans="8:20" x14ac:dyDescent="0.35">
      <c r="H28172" s="711"/>
      <c r="I28172" s="711"/>
      <c r="J28172" s="711"/>
      <c r="K28172" s="711"/>
      <c r="L28172" s="711"/>
      <c r="Q28172" s="11"/>
      <c r="R28172" s="11"/>
      <c r="S28172" s="11"/>
      <c r="T28172" s="11"/>
    </row>
    <row r="28173" spans="8:20" x14ac:dyDescent="0.35">
      <c r="H28173" s="711"/>
      <c r="I28173" s="711"/>
      <c r="J28173" s="711"/>
      <c r="K28173" s="711"/>
      <c r="L28173" s="711"/>
      <c r="Q28173" s="11"/>
      <c r="R28173" s="11"/>
      <c r="S28173" s="11"/>
      <c r="T28173" s="11"/>
    </row>
    <row r="28174" spans="8:20" x14ac:dyDescent="0.35">
      <c r="H28174" s="711"/>
      <c r="I28174" s="711"/>
      <c r="J28174" s="711"/>
      <c r="K28174" s="711"/>
      <c r="L28174" s="711"/>
      <c r="Q28174" s="11"/>
      <c r="R28174" s="11"/>
      <c r="S28174" s="11"/>
      <c r="T28174" s="11"/>
    </row>
    <row r="28175" spans="8:20" x14ac:dyDescent="0.35">
      <c r="H28175" s="711"/>
      <c r="I28175" s="711"/>
      <c r="J28175" s="711"/>
      <c r="K28175" s="711"/>
      <c r="L28175" s="711"/>
      <c r="Q28175" s="11"/>
      <c r="R28175" s="11"/>
      <c r="S28175" s="11"/>
      <c r="T28175" s="11"/>
    </row>
    <row r="28176" spans="8:20" x14ac:dyDescent="0.35">
      <c r="H28176" s="711"/>
      <c r="I28176" s="711"/>
      <c r="J28176" s="711"/>
      <c r="K28176" s="711"/>
      <c r="L28176" s="711"/>
      <c r="Q28176" s="11"/>
      <c r="R28176" s="11"/>
      <c r="S28176" s="11"/>
      <c r="T28176" s="11"/>
    </row>
    <row r="28177" spans="8:20" x14ac:dyDescent="0.35">
      <c r="H28177" s="711"/>
      <c r="I28177" s="711"/>
      <c r="J28177" s="711"/>
      <c r="K28177" s="711"/>
      <c r="L28177" s="711"/>
      <c r="Q28177" s="11"/>
      <c r="R28177" s="11"/>
      <c r="S28177" s="11"/>
      <c r="T28177" s="11"/>
    </row>
    <row r="28178" spans="8:20" x14ac:dyDescent="0.35">
      <c r="H28178" s="711"/>
      <c r="I28178" s="711"/>
      <c r="J28178" s="711"/>
      <c r="K28178" s="711"/>
      <c r="L28178" s="711"/>
      <c r="Q28178" s="11"/>
      <c r="R28178" s="11"/>
      <c r="S28178" s="11"/>
      <c r="T28178" s="11"/>
    </row>
    <row r="28179" spans="8:20" x14ac:dyDescent="0.35">
      <c r="H28179" s="711"/>
      <c r="I28179" s="711"/>
      <c r="J28179" s="711"/>
      <c r="K28179" s="711"/>
      <c r="L28179" s="711"/>
      <c r="Q28179" s="11"/>
      <c r="R28179" s="11"/>
      <c r="S28179" s="11"/>
      <c r="T28179" s="11"/>
    </row>
    <row r="28180" spans="8:20" x14ac:dyDescent="0.35">
      <c r="H28180" s="711"/>
      <c r="I28180" s="711"/>
      <c r="J28180" s="711"/>
      <c r="K28180" s="711"/>
      <c r="L28180" s="711"/>
      <c r="Q28180" s="11"/>
      <c r="R28180" s="11"/>
      <c r="S28180" s="11"/>
      <c r="T28180" s="11"/>
    </row>
    <row r="28181" spans="8:20" x14ac:dyDescent="0.35">
      <c r="H28181" s="711"/>
      <c r="I28181" s="711"/>
      <c r="J28181" s="711"/>
      <c r="K28181" s="711"/>
      <c r="L28181" s="711"/>
      <c r="Q28181" s="11"/>
      <c r="R28181" s="11"/>
      <c r="S28181" s="11"/>
      <c r="T28181" s="11"/>
    </row>
    <row r="28182" spans="8:20" x14ac:dyDescent="0.35">
      <c r="H28182" s="711"/>
      <c r="I28182" s="711"/>
      <c r="J28182" s="711"/>
      <c r="K28182" s="711"/>
      <c r="L28182" s="711"/>
      <c r="Q28182" s="11"/>
      <c r="R28182" s="11"/>
      <c r="S28182" s="11"/>
      <c r="T28182" s="11"/>
    </row>
    <row r="28183" spans="8:20" x14ac:dyDescent="0.35">
      <c r="H28183" s="711"/>
      <c r="I28183" s="711"/>
      <c r="J28183" s="711"/>
      <c r="K28183" s="711"/>
      <c r="L28183" s="711"/>
      <c r="Q28183" s="11"/>
      <c r="R28183" s="11"/>
      <c r="S28183" s="11"/>
      <c r="T28183" s="11"/>
    </row>
    <row r="28184" spans="8:20" x14ac:dyDescent="0.35">
      <c r="H28184" s="711"/>
      <c r="I28184" s="711"/>
      <c r="J28184" s="711"/>
      <c r="K28184" s="711"/>
      <c r="L28184" s="711"/>
      <c r="Q28184" s="11"/>
      <c r="R28184" s="11"/>
      <c r="S28184" s="11"/>
      <c r="T28184" s="11"/>
    </row>
    <row r="28185" spans="8:20" x14ac:dyDescent="0.35">
      <c r="H28185" s="711"/>
      <c r="I28185" s="711"/>
      <c r="J28185" s="711"/>
      <c r="K28185" s="711"/>
      <c r="L28185" s="711"/>
      <c r="Q28185" s="11"/>
      <c r="R28185" s="11"/>
      <c r="S28185" s="11"/>
      <c r="T28185" s="11"/>
    </row>
    <row r="28186" spans="8:20" x14ac:dyDescent="0.35">
      <c r="H28186" s="711"/>
      <c r="I28186" s="711"/>
      <c r="J28186" s="711"/>
      <c r="K28186" s="711"/>
      <c r="L28186" s="711"/>
      <c r="Q28186" s="11"/>
      <c r="R28186" s="11"/>
      <c r="S28186" s="11"/>
      <c r="T28186" s="11"/>
    </row>
    <row r="28187" spans="8:20" x14ac:dyDescent="0.35">
      <c r="H28187" s="711"/>
      <c r="I28187" s="711"/>
      <c r="J28187" s="711"/>
      <c r="K28187" s="711"/>
      <c r="L28187" s="711"/>
      <c r="Q28187" s="11"/>
      <c r="R28187" s="11"/>
      <c r="S28187" s="11"/>
      <c r="T28187" s="11"/>
    </row>
    <row r="28188" spans="8:20" x14ac:dyDescent="0.35">
      <c r="H28188" s="711"/>
      <c r="I28188" s="711"/>
      <c r="J28188" s="711"/>
      <c r="K28188" s="711"/>
      <c r="L28188" s="711"/>
      <c r="Q28188" s="11"/>
      <c r="R28188" s="11"/>
      <c r="S28188" s="11"/>
      <c r="T28188" s="11"/>
    </row>
    <row r="28189" spans="8:20" x14ac:dyDescent="0.35">
      <c r="H28189" s="711"/>
      <c r="I28189" s="711"/>
      <c r="J28189" s="711"/>
      <c r="K28189" s="711"/>
      <c r="L28189" s="711"/>
      <c r="Q28189" s="11"/>
      <c r="R28189" s="11"/>
      <c r="S28189" s="11"/>
      <c r="T28189" s="11"/>
    </row>
    <row r="28190" spans="8:20" x14ac:dyDescent="0.35">
      <c r="H28190" s="711"/>
      <c r="I28190" s="711"/>
      <c r="J28190" s="711"/>
      <c r="K28190" s="711"/>
      <c r="L28190" s="711"/>
      <c r="Q28190" s="11"/>
      <c r="R28190" s="11"/>
      <c r="S28190" s="11"/>
      <c r="T28190" s="11"/>
    </row>
    <row r="28191" spans="8:20" x14ac:dyDescent="0.35">
      <c r="H28191" s="711"/>
      <c r="I28191" s="711"/>
      <c r="J28191" s="711"/>
      <c r="K28191" s="711"/>
      <c r="L28191" s="711"/>
      <c r="Q28191" s="11"/>
      <c r="R28191" s="11"/>
      <c r="S28191" s="11"/>
      <c r="T28191" s="11"/>
    </row>
    <row r="28192" spans="8:20" x14ac:dyDescent="0.35">
      <c r="H28192" s="711"/>
      <c r="I28192" s="711"/>
      <c r="J28192" s="711"/>
      <c r="K28192" s="711"/>
      <c r="L28192" s="711"/>
      <c r="Q28192" s="11"/>
      <c r="R28192" s="11"/>
      <c r="S28192" s="11"/>
      <c r="T28192" s="11"/>
    </row>
    <row r="28193" spans="8:20" x14ac:dyDescent="0.35">
      <c r="H28193" s="711"/>
      <c r="I28193" s="711"/>
      <c r="J28193" s="711"/>
      <c r="K28193" s="711"/>
      <c r="L28193" s="711"/>
      <c r="Q28193" s="11"/>
      <c r="R28193" s="11"/>
      <c r="S28193" s="11"/>
      <c r="T28193" s="11"/>
    </row>
    <row r="28194" spans="8:20" x14ac:dyDescent="0.35">
      <c r="H28194" s="711"/>
      <c r="I28194" s="711"/>
      <c r="J28194" s="711"/>
      <c r="K28194" s="711"/>
      <c r="L28194" s="711"/>
      <c r="Q28194" s="11"/>
      <c r="R28194" s="11"/>
      <c r="S28194" s="11"/>
      <c r="T28194" s="11"/>
    </row>
    <row r="28195" spans="8:20" x14ac:dyDescent="0.35">
      <c r="H28195" s="711"/>
      <c r="I28195" s="711"/>
      <c r="J28195" s="711"/>
      <c r="K28195" s="711"/>
      <c r="L28195" s="711"/>
      <c r="Q28195" s="11"/>
      <c r="R28195" s="11"/>
      <c r="S28195" s="11"/>
      <c r="T28195" s="11"/>
    </row>
    <row r="28196" spans="8:20" x14ac:dyDescent="0.35">
      <c r="H28196" s="711"/>
      <c r="I28196" s="711"/>
      <c r="J28196" s="711"/>
      <c r="K28196" s="711"/>
      <c r="L28196" s="711"/>
      <c r="Q28196" s="11"/>
      <c r="R28196" s="11"/>
      <c r="S28196" s="11"/>
      <c r="T28196" s="11"/>
    </row>
    <row r="28197" spans="8:20" x14ac:dyDescent="0.35">
      <c r="H28197" s="711"/>
      <c r="I28197" s="711"/>
      <c r="J28197" s="711"/>
      <c r="K28197" s="711"/>
      <c r="L28197" s="711"/>
      <c r="Q28197" s="11"/>
      <c r="R28197" s="11"/>
      <c r="S28197" s="11"/>
      <c r="T28197" s="11"/>
    </row>
    <row r="28198" spans="8:20" x14ac:dyDescent="0.35">
      <c r="H28198" s="711"/>
      <c r="I28198" s="711"/>
      <c r="J28198" s="711"/>
      <c r="K28198" s="711"/>
      <c r="L28198" s="711"/>
      <c r="Q28198" s="11"/>
      <c r="R28198" s="11"/>
      <c r="S28198" s="11"/>
      <c r="T28198" s="11"/>
    </row>
    <row r="28199" spans="8:20" x14ac:dyDescent="0.35">
      <c r="H28199" s="711"/>
      <c r="I28199" s="711"/>
      <c r="J28199" s="711"/>
      <c r="K28199" s="711"/>
      <c r="L28199" s="711"/>
      <c r="Q28199" s="11"/>
      <c r="R28199" s="11"/>
      <c r="S28199" s="11"/>
      <c r="T28199" s="11"/>
    </row>
    <row r="28200" spans="8:20" x14ac:dyDescent="0.35">
      <c r="H28200" s="711"/>
      <c r="I28200" s="711"/>
      <c r="J28200" s="711"/>
      <c r="K28200" s="711"/>
      <c r="L28200" s="711"/>
      <c r="Q28200" s="11"/>
      <c r="R28200" s="11"/>
      <c r="S28200" s="11"/>
      <c r="T28200" s="11"/>
    </row>
    <row r="28201" spans="8:20" x14ac:dyDescent="0.35">
      <c r="H28201" s="711"/>
      <c r="I28201" s="711"/>
      <c r="J28201" s="711"/>
      <c r="K28201" s="711"/>
      <c r="L28201" s="711"/>
      <c r="Q28201" s="11"/>
      <c r="R28201" s="11"/>
      <c r="S28201" s="11"/>
      <c r="T28201" s="11"/>
    </row>
    <row r="28202" spans="8:20" x14ac:dyDescent="0.35">
      <c r="H28202" s="711"/>
      <c r="I28202" s="711"/>
      <c r="J28202" s="711"/>
      <c r="K28202" s="711"/>
      <c r="L28202" s="711"/>
      <c r="Q28202" s="11"/>
      <c r="R28202" s="11"/>
      <c r="S28202" s="11"/>
      <c r="T28202" s="11"/>
    </row>
    <row r="28203" spans="8:20" x14ac:dyDescent="0.35">
      <c r="H28203" s="711"/>
      <c r="I28203" s="711"/>
      <c r="J28203" s="711"/>
      <c r="K28203" s="711"/>
      <c r="L28203" s="711"/>
      <c r="Q28203" s="11"/>
      <c r="R28203" s="11"/>
      <c r="S28203" s="11"/>
      <c r="T28203" s="11"/>
    </row>
    <row r="28204" spans="8:20" x14ac:dyDescent="0.35">
      <c r="H28204" s="711"/>
      <c r="I28204" s="711"/>
      <c r="J28204" s="711"/>
      <c r="K28204" s="711"/>
      <c r="L28204" s="711"/>
      <c r="Q28204" s="11"/>
      <c r="R28204" s="11"/>
      <c r="S28204" s="11"/>
      <c r="T28204" s="11"/>
    </row>
    <row r="28205" spans="8:20" x14ac:dyDescent="0.35">
      <c r="H28205" s="711"/>
      <c r="I28205" s="711"/>
      <c r="J28205" s="711"/>
      <c r="K28205" s="711"/>
      <c r="L28205" s="711"/>
      <c r="Q28205" s="11"/>
      <c r="R28205" s="11"/>
      <c r="S28205" s="11"/>
      <c r="T28205" s="11"/>
    </row>
    <row r="28206" spans="8:20" x14ac:dyDescent="0.35">
      <c r="H28206" s="711"/>
      <c r="I28206" s="711"/>
      <c r="J28206" s="711"/>
      <c r="K28206" s="711"/>
      <c r="L28206" s="711"/>
      <c r="Q28206" s="11"/>
      <c r="R28206" s="11"/>
      <c r="S28206" s="11"/>
      <c r="T28206" s="11"/>
    </row>
    <row r="28207" spans="8:20" x14ac:dyDescent="0.35">
      <c r="H28207" s="711"/>
      <c r="I28207" s="711"/>
      <c r="J28207" s="711"/>
      <c r="K28207" s="711"/>
      <c r="L28207" s="711"/>
      <c r="Q28207" s="11"/>
      <c r="R28207" s="11"/>
      <c r="S28207" s="11"/>
      <c r="T28207" s="11"/>
    </row>
    <row r="28208" spans="8:20" x14ac:dyDescent="0.35">
      <c r="H28208" s="711"/>
      <c r="I28208" s="711"/>
      <c r="J28208" s="711"/>
      <c r="K28208" s="711"/>
      <c r="L28208" s="711"/>
      <c r="Q28208" s="11"/>
      <c r="R28208" s="11"/>
      <c r="S28208" s="11"/>
      <c r="T28208" s="11"/>
    </row>
    <row r="28209" spans="8:20" x14ac:dyDescent="0.35">
      <c r="H28209" s="711"/>
      <c r="I28209" s="711"/>
      <c r="J28209" s="711"/>
      <c r="K28209" s="711"/>
      <c r="L28209" s="711"/>
      <c r="Q28209" s="11"/>
      <c r="R28209" s="11"/>
      <c r="S28209" s="11"/>
      <c r="T28209" s="11"/>
    </row>
    <row r="28210" spans="8:20" x14ac:dyDescent="0.35">
      <c r="H28210" s="711"/>
      <c r="I28210" s="711"/>
      <c r="J28210" s="711"/>
      <c r="K28210" s="711"/>
      <c r="L28210" s="711"/>
      <c r="Q28210" s="11"/>
      <c r="R28210" s="11"/>
      <c r="S28210" s="11"/>
      <c r="T28210" s="11"/>
    </row>
    <row r="28211" spans="8:20" x14ac:dyDescent="0.35">
      <c r="H28211" s="711"/>
      <c r="I28211" s="711"/>
      <c r="J28211" s="711"/>
      <c r="K28211" s="711"/>
      <c r="L28211" s="711"/>
      <c r="Q28211" s="11"/>
      <c r="R28211" s="11"/>
      <c r="S28211" s="11"/>
      <c r="T28211" s="11"/>
    </row>
    <row r="28212" spans="8:20" x14ac:dyDescent="0.35">
      <c r="H28212" s="711"/>
      <c r="I28212" s="711"/>
      <c r="J28212" s="711"/>
      <c r="K28212" s="711"/>
      <c r="L28212" s="711"/>
      <c r="Q28212" s="11"/>
      <c r="R28212" s="11"/>
      <c r="S28212" s="11"/>
      <c r="T28212" s="11"/>
    </row>
    <row r="28213" spans="8:20" x14ac:dyDescent="0.35">
      <c r="H28213" s="711"/>
      <c r="I28213" s="711"/>
      <c r="J28213" s="711"/>
      <c r="K28213" s="711"/>
      <c r="L28213" s="711"/>
      <c r="Q28213" s="11"/>
      <c r="R28213" s="11"/>
      <c r="S28213" s="11"/>
      <c r="T28213" s="11"/>
    </row>
    <row r="28214" spans="8:20" x14ac:dyDescent="0.35">
      <c r="H28214" s="711"/>
      <c r="I28214" s="711"/>
      <c r="J28214" s="711"/>
      <c r="K28214" s="711"/>
      <c r="L28214" s="711"/>
      <c r="Q28214" s="11"/>
      <c r="R28214" s="11"/>
      <c r="S28214" s="11"/>
      <c r="T28214" s="11"/>
    </row>
    <row r="28215" spans="8:20" x14ac:dyDescent="0.35">
      <c r="H28215" s="711"/>
      <c r="I28215" s="711"/>
      <c r="J28215" s="711"/>
      <c r="K28215" s="711"/>
      <c r="L28215" s="711"/>
      <c r="Q28215" s="11"/>
      <c r="R28215" s="11"/>
      <c r="S28215" s="11"/>
      <c r="T28215" s="11"/>
    </row>
    <row r="28216" spans="8:20" x14ac:dyDescent="0.35">
      <c r="H28216" s="711"/>
      <c r="I28216" s="711"/>
      <c r="J28216" s="711"/>
      <c r="K28216" s="711"/>
      <c r="L28216" s="711"/>
      <c r="Q28216" s="11"/>
      <c r="R28216" s="11"/>
      <c r="S28216" s="11"/>
      <c r="T28216" s="11"/>
    </row>
    <row r="28217" spans="8:20" x14ac:dyDescent="0.35">
      <c r="H28217" s="711"/>
      <c r="I28217" s="711"/>
      <c r="J28217" s="711"/>
      <c r="K28217" s="711"/>
      <c r="L28217" s="711"/>
      <c r="Q28217" s="11"/>
      <c r="R28217" s="11"/>
      <c r="S28217" s="11"/>
      <c r="T28217" s="11"/>
    </row>
    <row r="28218" spans="8:20" x14ac:dyDescent="0.35">
      <c r="H28218" s="711"/>
      <c r="I28218" s="711"/>
      <c r="J28218" s="711"/>
      <c r="K28218" s="711"/>
      <c r="L28218" s="711"/>
      <c r="Q28218" s="11"/>
      <c r="R28218" s="11"/>
      <c r="S28218" s="11"/>
      <c r="T28218" s="11"/>
    </row>
    <row r="28219" spans="8:20" x14ac:dyDescent="0.35">
      <c r="H28219" s="711"/>
      <c r="I28219" s="711"/>
      <c r="J28219" s="711"/>
      <c r="K28219" s="711"/>
      <c r="L28219" s="711"/>
      <c r="Q28219" s="11"/>
      <c r="R28219" s="11"/>
      <c r="S28219" s="11"/>
      <c r="T28219" s="11"/>
    </row>
    <row r="28220" spans="8:20" x14ac:dyDescent="0.35">
      <c r="H28220" s="711"/>
      <c r="I28220" s="711"/>
      <c r="J28220" s="711"/>
      <c r="K28220" s="711"/>
      <c r="L28220" s="711"/>
      <c r="Q28220" s="11"/>
      <c r="R28220" s="11"/>
      <c r="S28220" s="11"/>
      <c r="T28220" s="11"/>
    </row>
    <row r="28221" spans="8:20" x14ac:dyDescent="0.35">
      <c r="H28221" s="711"/>
      <c r="I28221" s="711"/>
      <c r="J28221" s="711"/>
      <c r="K28221" s="711"/>
      <c r="L28221" s="711"/>
      <c r="Q28221" s="11"/>
      <c r="R28221" s="11"/>
      <c r="S28221" s="11"/>
      <c r="T28221" s="11"/>
    </row>
    <row r="28222" spans="8:20" x14ac:dyDescent="0.35">
      <c r="H28222" s="711"/>
      <c r="I28222" s="711"/>
      <c r="J28222" s="711"/>
      <c r="K28222" s="711"/>
      <c r="L28222" s="711"/>
      <c r="Q28222" s="11"/>
      <c r="R28222" s="11"/>
      <c r="S28222" s="11"/>
      <c r="T28222" s="11"/>
    </row>
    <row r="28223" spans="8:20" x14ac:dyDescent="0.35">
      <c r="H28223" s="711"/>
      <c r="I28223" s="711"/>
      <c r="J28223" s="711"/>
      <c r="K28223" s="711"/>
      <c r="L28223" s="711"/>
      <c r="Q28223" s="11"/>
      <c r="R28223" s="11"/>
      <c r="S28223" s="11"/>
      <c r="T28223" s="11"/>
    </row>
    <row r="28224" spans="8:20" x14ac:dyDescent="0.35">
      <c r="H28224" s="711"/>
      <c r="I28224" s="711"/>
      <c r="J28224" s="711"/>
      <c r="K28224" s="711"/>
      <c r="L28224" s="711"/>
      <c r="Q28224" s="11"/>
      <c r="R28224" s="11"/>
      <c r="S28224" s="11"/>
      <c r="T28224" s="11"/>
    </row>
    <row r="28225" spans="8:20" x14ac:dyDescent="0.35">
      <c r="H28225" s="711"/>
      <c r="I28225" s="711"/>
      <c r="J28225" s="711"/>
      <c r="K28225" s="711"/>
      <c r="L28225" s="711"/>
      <c r="Q28225" s="11"/>
      <c r="R28225" s="11"/>
      <c r="S28225" s="11"/>
      <c r="T28225" s="11"/>
    </row>
    <row r="28226" spans="8:20" x14ac:dyDescent="0.35">
      <c r="H28226" s="711"/>
      <c r="I28226" s="711"/>
      <c r="J28226" s="711"/>
      <c r="K28226" s="711"/>
      <c r="L28226" s="711"/>
      <c r="Q28226" s="11"/>
      <c r="R28226" s="11"/>
      <c r="S28226" s="11"/>
      <c r="T28226" s="11"/>
    </row>
    <row r="28227" spans="8:20" x14ac:dyDescent="0.35">
      <c r="H28227" s="711"/>
      <c r="I28227" s="711"/>
      <c r="J28227" s="711"/>
      <c r="K28227" s="711"/>
      <c r="L28227" s="711"/>
      <c r="Q28227" s="11"/>
      <c r="R28227" s="11"/>
      <c r="S28227" s="11"/>
      <c r="T28227" s="11"/>
    </row>
    <row r="28228" spans="8:20" x14ac:dyDescent="0.35">
      <c r="H28228" s="711"/>
      <c r="I28228" s="711"/>
      <c r="J28228" s="711"/>
      <c r="K28228" s="711"/>
      <c r="L28228" s="711"/>
      <c r="Q28228" s="11"/>
      <c r="R28228" s="11"/>
      <c r="S28228" s="11"/>
      <c r="T28228" s="11"/>
    </row>
    <row r="28229" spans="8:20" x14ac:dyDescent="0.35">
      <c r="H28229" s="711"/>
      <c r="I28229" s="711"/>
      <c r="J28229" s="711"/>
      <c r="K28229" s="711"/>
      <c r="L28229" s="711"/>
      <c r="Q28229" s="11"/>
      <c r="R28229" s="11"/>
      <c r="S28229" s="11"/>
      <c r="T28229" s="11"/>
    </row>
    <row r="28230" spans="8:20" x14ac:dyDescent="0.35">
      <c r="H28230" s="711"/>
      <c r="I28230" s="711"/>
      <c r="J28230" s="711"/>
      <c r="K28230" s="711"/>
      <c r="L28230" s="711"/>
      <c r="Q28230" s="11"/>
      <c r="R28230" s="11"/>
      <c r="S28230" s="11"/>
      <c r="T28230" s="11"/>
    </row>
    <row r="28231" spans="8:20" x14ac:dyDescent="0.35">
      <c r="H28231" s="711"/>
      <c r="I28231" s="711"/>
      <c r="J28231" s="711"/>
      <c r="K28231" s="711"/>
      <c r="L28231" s="711"/>
      <c r="Q28231" s="11"/>
      <c r="R28231" s="11"/>
      <c r="S28231" s="11"/>
      <c r="T28231" s="11"/>
    </row>
    <row r="28232" spans="8:20" x14ac:dyDescent="0.35">
      <c r="H28232" s="711"/>
      <c r="I28232" s="711"/>
      <c r="J28232" s="711"/>
      <c r="K28232" s="711"/>
      <c r="L28232" s="711"/>
      <c r="Q28232" s="11"/>
      <c r="R28232" s="11"/>
      <c r="S28232" s="11"/>
      <c r="T28232" s="11"/>
    </row>
    <row r="28233" spans="8:20" x14ac:dyDescent="0.35">
      <c r="H28233" s="711"/>
      <c r="I28233" s="711"/>
      <c r="J28233" s="711"/>
      <c r="K28233" s="711"/>
      <c r="L28233" s="711"/>
      <c r="Q28233" s="11"/>
      <c r="R28233" s="11"/>
      <c r="S28233" s="11"/>
      <c r="T28233" s="11"/>
    </row>
    <row r="28234" spans="8:20" x14ac:dyDescent="0.35">
      <c r="H28234" s="711"/>
      <c r="I28234" s="711"/>
      <c r="J28234" s="711"/>
      <c r="K28234" s="711"/>
      <c r="L28234" s="711"/>
      <c r="Q28234" s="11"/>
      <c r="R28234" s="11"/>
      <c r="S28234" s="11"/>
      <c r="T28234" s="11"/>
    </row>
    <row r="28235" spans="8:20" x14ac:dyDescent="0.35">
      <c r="H28235" s="711"/>
      <c r="I28235" s="711"/>
      <c r="J28235" s="711"/>
      <c r="K28235" s="711"/>
      <c r="L28235" s="711"/>
      <c r="Q28235" s="11"/>
      <c r="R28235" s="11"/>
      <c r="S28235" s="11"/>
      <c r="T28235" s="11"/>
    </row>
    <row r="28236" spans="8:20" x14ac:dyDescent="0.35">
      <c r="H28236" s="711"/>
      <c r="I28236" s="711"/>
      <c r="J28236" s="711"/>
      <c r="K28236" s="711"/>
      <c r="L28236" s="711"/>
      <c r="Q28236" s="11"/>
      <c r="R28236" s="11"/>
      <c r="S28236" s="11"/>
      <c r="T28236" s="11"/>
    </row>
    <row r="28237" spans="8:20" x14ac:dyDescent="0.35">
      <c r="H28237" s="711"/>
      <c r="I28237" s="711"/>
      <c r="J28237" s="711"/>
      <c r="K28237" s="711"/>
      <c r="L28237" s="711"/>
      <c r="Q28237" s="11"/>
      <c r="R28237" s="11"/>
      <c r="S28237" s="11"/>
      <c r="T28237" s="11"/>
    </row>
    <row r="28238" spans="8:20" x14ac:dyDescent="0.35">
      <c r="H28238" s="711"/>
      <c r="I28238" s="711"/>
      <c r="J28238" s="711"/>
      <c r="K28238" s="711"/>
      <c r="L28238" s="711"/>
      <c r="Q28238" s="11"/>
      <c r="R28238" s="11"/>
      <c r="S28238" s="11"/>
      <c r="T28238" s="11"/>
    </row>
    <row r="28239" spans="8:20" x14ac:dyDescent="0.35">
      <c r="H28239" s="711"/>
      <c r="I28239" s="711"/>
      <c r="J28239" s="711"/>
      <c r="K28239" s="711"/>
      <c r="L28239" s="711"/>
      <c r="Q28239" s="11"/>
      <c r="R28239" s="11"/>
      <c r="S28239" s="11"/>
      <c r="T28239" s="11"/>
    </row>
    <row r="28240" spans="8:20" x14ac:dyDescent="0.35">
      <c r="H28240" s="711"/>
      <c r="I28240" s="711"/>
      <c r="J28240" s="711"/>
      <c r="K28240" s="711"/>
      <c r="L28240" s="711"/>
      <c r="Q28240" s="11"/>
      <c r="R28240" s="11"/>
      <c r="S28240" s="11"/>
      <c r="T28240" s="11"/>
    </row>
    <row r="28241" spans="8:20" x14ac:dyDescent="0.35">
      <c r="H28241" s="711"/>
      <c r="I28241" s="711"/>
      <c r="J28241" s="711"/>
      <c r="K28241" s="711"/>
      <c r="L28241" s="711"/>
      <c r="Q28241" s="11"/>
      <c r="R28241" s="11"/>
      <c r="S28241" s="11"/>
      <c r="T28241" s="11"/>
    </row>
    <row r="28242" spans="8:20" x14ac:dyDescent="0.35">
      <c r="H28242" s="711"/>
      <c r="I28242" s="711"/>
      <c r="J28242" s="711"/>
      <c r="K28242" s="711"/>
      <c r="L28242" s="711"/>
      <c r="Q28242" s="11"/>
      <c r="R28242" s="11"/>
      <c r="S28242" s="11"/>
      <c r="T28242" s="11"/>
    </row>
    <row r="28243" spans="8:20" x14ac:dyDescent="0.35">
      <c r="H28243" s="711"/>
      <c r="I28243" s="711"/>
      <c r="J28243" s="711"/>
      <c r="K28243" s="711"/>
      <c r="L28243" s="711"/>
      <c r="Q28243" s="11"/>
      <c r="R28243" s="11"/>
      <c r="S28243" s="11"/>
      <c r="T28243" s="11"/>
    </row>
    <row r="28244" spans="8:20" x14ac:dyDescent="0.35">
      <c r="H28244" s="711"/>
      <c r="I28244" s="711"/>
      <c r="J28244" s="711"/>
      <c r="K28244" s="711"/>
      <c r="L28244" s="711"/>
      <c r="Q28244" s="11"/>
      <c r="R28244" s="11"/>
      <c r="S28244" s="11"/>
      <c r="T28244" s="11"/>
    </row>
    <row r="28245" spans="8:20" x14ac:dyDescent="0.35">
      <c r="H28245" s="711"/>
      <c r="I28245" s="711"/>
      <c r="J28245" s="711"/>
      <c r="K28245" s="711"/>
      <c r="L28245" s="711"/>
      <c r="Q28245" s="11"/>
      <c r="R28245" s="11"/>
      <c r="S28245" s="11"/>
      <c r="T28245" s="11"/>
    </row>
    <row r="28246" spans="8:20" x14ac:dyDescent="0.35">
      <c r="H28246" s="711"/>
      <c r="I28246" s="711"/>
      <c r="J28246" s="711"/>
      <c r="K28246" s="711"/>
      <c r="L28246" s="711"/>
      <c r="Q28246" s="11"/>
      <c r="R28246" s="11"/>
      <c r="S28246" s="11"/>
      <c r="T28246" s="11"/>
    </row>
    <row r="28247" spans="8:20" x14ac:dyDescent="0.35">
      <c r="H28247" s="711"/>
      <c r="I28247" s="711"/>
      <c r="J28247" s="711"/>
      <c r="K28247" s="711"/>
      <c r="L28247" s="711"/>
      <c r="Q28247" s="11"/>
      <c r="R28247" s="11"/>
      <c r="S28247" s="11"/>
      <c r="T28247" s="11"/>
    </row>
    <row r="28248" spans="8:20" x14ac:dyDescent="0.35">
      <c r="H28248" s="711"/>
      <c r="I28248" s="711"/>
      <c r="J28248" s="711"/>
      <c r="K28248" s="711"/>
      <c r="L28248" s="711"/>
      <c r="Q28248" s="11"/>
      <c r="R28248" s="11"/>
      <c r="S28248" s="11"/>
      <c r="T28248" s="11"/>
    </row>
    <row r="28249" spans="8:20" x14ac:dyDescent="0.35">
      <c r="H28249" s="711"/>
      <c r="I28249" s="711"/>
      <c r="J28249" s="711"/>
      <c r="K28249" s="711"/>
      <c r="L28249" s="711"/>
      <c r="Q28249" s="11"/>
      <c r="R28249" s="11"/>
      <c r="S28249" s="11"/>
      <c r="T28249" s="11"/>
    </row>
    <row r="28250" spans="8:20" x14ac:dyDescent="0.35">
      <c r="H28250" s="711"/>
      <c r="I28250" s="711"/>
      <c r="J28250" s="711"/>
      <c r="K28250" s="711"/>
      <c r="L28250" s="711"/>
      <c r="Q28250" s="11"/>
      <c r="R28250" s="11"/>
      <c r="S28250" s="11"/>
      <c r="T28250" s="11"/>
    </row>
    <row r="28251" spans="8:20" x14ac:dyDescent="0.35">
      <c r="H28251" s="711"/>
      <c r="I28251" s="711"/>
      <c r="J28251" s="711"/>
      <c r="K28251" s="711"/>
      <c r="L28251" s="711"/>
      <c r="Q28251" s="11"/>
      <c r="R28251" s="11"/>
      <c r="S28251" s="11"/>
      <c r="T28251" s="11"/>
    </row>
    <row r="28252" spans="8:20" x14ac:dyDescent="0.35">
      <c r="H28252" s="711"/>
      <c r="I28252" s="711"/>
      <c r="J28252" s="711"/>
      <c r="K28252" s="711"/>
      <c r="L28252" s="711"/>
      <c r="Q28252" s="11"/>
      <c r="R28252" s="11"/>
      <c r="S28252" s="11"/>
      <c r="T28252" s="11"/>
    </row>
    <row r="28253" spans="8:20" x14ac:dyDescent="0.35">
      <c r="H28253" s="711"/>
      <c r="I28253" s="711"/>
      <c r="J28253" s="711"/>
      <c r="K28253" s="711"/>
      <c r="L28253" s="711"/>
      <c r="Q28253" s="11"/>
      <c r="R28253" s="11"/>
      <c r="S28253" s="11"/>
      <c r="T28253" s="11"/>
    </row>
    <row r="28254" spans="8:20" x14ac:dyDescent="0.35">
      <c r="H28254" s="711"/>
      <c r="I28254" s="711"/>
      <c r="J28254" s="711"/>
      <c r="K28254" s="711"/>
      <c r="L28254" s="711"/>
      <c r="Q28254" s="11"/>
      <c r="R28254" s="11"/>
      <c r="S28254" s="11"/>
      <c r="T28254" s="11"/>
    </row>
    <row r="28255" spans="8:20" x14ac:dyDescent="0.35">
      <c r="H28255" s="711"/>
      <c r="I28255" s="711"/>
      <c r="J28255" s="711"/>
      <c r="K28255" s="711"/>
      <c r="L28255" s="711"/>
      <c r="Q28255" s="11"/>
      <c r="R28255" s="11"/>
      <c r="S28255" s="11"/>
      <c r="T28255" s="11"/>
    </row>
    <row r="28256" spans="8:20" x14ac:dyDescent="0.35">
      <c r="H28256" s="711"/>
      <c r="I28256" s="711"/>
      <c r="J28256" s="711"/>
      <c r="K28256" s="711"/>
      <c r="L28256" s="711"/>
      <c r="Q28256" s="11"/>
      <c r="R28256" s="11"/>
      <c r="S28256" s="11"/>
      <c r="T28256" s="11"/>
    </row>
    <row r="28257" spans="8:20" x14ac:dyDescent="0.35">
      <c r="H28257" s="711"/>
      <c r="I28257" s="711"/>
      <c r="J28257" s="711"/>
      <c r="K28257" s="711"/>
      <c r="L28257" s="711"/>
      <c r="Q28257" s="11"/>
      <c r="R28257" s="11"/>
      <c r="S28257" s="11"/>
      <c r="T28257" s="11"/>
    </row>
    <row r="28258" spans="8:20" x14ac:dyDescent="0.35">
      <c r="H28258" s="711"/>
      <c r="I28258" s="711"/>
      <c r="J28258" s="711"/>
      <c r="K28258" s="711"/>
      <c r="L28258" s="711"/>
      <c r="Q28258" s="11"/>
      <c r="R28258" s="11"/>
      <c r="S28258" s="11"/>
      <c r="T28258" s="11"/>
    </row>
    <row r="28259" spans="8:20" x14ac:dyDescent="0.35">
      <c r="H28259" s="711"/>
      <c r="I28259" s="711"/>
      <c r="J28259" s="711"/>
      <c r="K28259" s="711"/>
      <c r="L28259" s="711"/>
      <c r="Q28259" s="11"/>
      <c r="R28259" s="11"/>
      <c r="S28259" s="11"/>
      <c r="T28259" s="11"/>
    </row>
    <row r="28260" spans="8:20" x14ac:dyDescent="0.35">
      <c r="H28260" s="711"/>
      <c r="I28260" s="711"/>
      <c r="J28260" s="711"/>
      <c r="K28260" s="711"/>
      <c r="L28260" s="711"/>
      <c r="Q28260" s="11"/>
      <c r="R28260" s="11"/>
      <c r="S28260" s="11"/>
      <c r="T28260" s="11"/>
    </row>
    <row r="28261" spans="8:20" x14ac:dyDescent="0.35">
      <c r="H28261" s="711"/>
      <c r="I28261" s="711"/>
      <c r="J28261" s="711"/>
      <c r="K28261" s="711"/>
      <c r="L28261" s="711"/>
      <c r="Q28261" s="11"/>
      <c r="R28261" s="11"/>
      <c r="S28261" s="11"/>
      <c r="T28261" s="11"/>
    </row>
    <row r="28262" spans="8:20" x14ac:dyDescent="0.35">
      <c r="H28262" s="711"/>
      <c r="I28262" s="711"/>
      <c r="J28262" s="711"/>
      <c r="K28262" s="711"/>
      <c r="L28262" s="711"/>
      <c r="Q28262" s="11"/>
      <c r="R28262" s="11"/>
      <c r="S28262" s="11"/>
      <c r="T28262" s="11"/>
    </row>
    <row r="28263" spans="8:20" x14ac:dyDescent="0.35">
      <c r="H28263" s="711"/>
      <c r="I28263" s="711"/>
      <c r="J28263" s="711"/>
      <c r="K28263" s="711"/>
      <c r="L28263" s="711"/>
      <c r="Q28263" s="11"/>
      <c r="R28263" s="11"/>
      <c r="S28263" s="11"/>
      <c r="T28263" s="11"/>
    </row>
    <row r="28264" spans="8:20" x14ac:dyDescent="0.35">
      <c r="H28264" s="711"/>
      <c r="I28264" s="711"/>
      <c r="J28264" s="711"/>
      <c r="K28264" s="711"/>
      <c r="L28264" s="711"/>
      <c r="Q28264" s="11"/>
      <c r="R28264" s="11"/>
      <c r="S28264" s="11"/>
      <c r="T28264" s="11"/>
    </row>
    <row r="28265" spans="8:20" x14ac:dyDescent="0.35">
      <c r="H28265" s="711"/>
      <c r="I28265" s="711"/>
      <c r="J28265" s="711"/>
      <c r="K28265" s="711"/>
      <c r="L28265" s="711"/>
      <c r="Q28265" s="11"/>
      <c r="R28265" s="11"/>
      <c r="S28265" s="11"/>
      <c r="T28265" s="11"/>
    </row>
    <row r="28266" spans="8:20" x14ac:dyDescent="0.35">
      <c r="H28266" s="711"/>
      <c r="I28266" s="711"/>
      <c r="J28266" s="711"/>
      <c r="K28266" s="711"/>
      <c r="L28266" s="711"/>
      <c r="Q28266" s="11"/>
      <c r="R28266" s="11"/>
      <c r="S28266" s="11"/>
      <c r="T28266" s="11"/>
    </row>
    <row r="28267" spans="8:20" x14ac:dyDescent="0.35">
      <c r="H28267" s="711"/>
      <c r="I28267" s="711"/>
      <c r="J28267" s="711"/>
      <c r="K28267" s="711"/>
      <c r="L28267" s="711"/>
      <c r="Q28267" s="11"/>
      <c r="R28267" s="11"/>
      <c r="S28267" s="11"/>
      <c r="T28267" s="11"/>
    </row>
    <row r="28268" spans="8:20" x14ac:dyDescent="0.35">
      <c r="H28268" s="711"/>
      <c r="I28268" s="711"/>
      <c r="J28268" s="711"/>
      <c r="K28268" s="711"/>
      <c r="L28268" s="711"/>
      <c r="Q28268" s="11"/>
      <c r="R28268" s="11"/>
      <c r="S28268" s="11"/>
      <c r="T28268" s="11"/>
    </row>
    <row r="28269" spans="8:20" x14ac:dyDescent="0.35">
      <c r="H28269" s="711"/>
      <c r="I28269" s="711"/>
      <c r="J28269" s="711"/>
      <c r="K28269" s="711"/>
      <c r="L28269" s="711"/>
      <c r="Q28269" s="11"/>
      <c r="R28269" s="11"/>
      <c r="S28269" s="11"/>
      <c r="T28269" s="11"/>
    </row>
    <row r="28270" spans="8:20" x14ac:dyDescent="0.35">
      <c r="H28270" s="711"/>
      <c r="I28270" s="711"/>
      <c r="J28270" s="711"/>
      <c r="K28270" s="711"/>
      <c r="L28270" s="711"/>
      <c r="Q28270" s="11"/>
      <c r="R28270" s="11"/>
      <c r="S28270" s="11"/>
      <c r="T28270" s="11"/>
    </row>
    <row r="28271" spans="8:20" x14ac:dyDescent="0.35">
      <c r="H28271" s="711"/>
      <c r="I28271" s="711"/>
      <c r="J28271" s="711"/>
      <c r="K28271" s="711"/>
      <c r="L28271" s="711"/>
      <c r="Q28271" s="11"/>
      <c r="R28271" s="11"/>
      <c r="S28271" s="11"/>
      <c r="T28271" s="11"/>
    </row>
    <row r="28272" spans="8:20" x14ac:dyDescent="0.35">
      <c r="H28272" s="711"/>
      <c r="I28272" s="711"/>
      <c r="J28272" s="711"/>
      <c r="K28272" s="711"/>
      <c r="L28272" s="711"/>
      <c r="Q28272" s="11"/>
      <c r="R28272" s="11"/>
      <c r="S28272" s="11"/>
      <c r="T28272" s="11"/>
    </row>
    <row r="28273" spans="8:20" x14ac:dyDescent="0.35">
      <c r="H28273" s="711"/>
      <c r="I28273" s="711"/>
      <c r="J28273" s="711"/>
      <c r="K28273" s="711"/>
      <c r="L28273" s="711"/>
      <c r="Q28273" s="11"/>
      <c r="R28273" s="11"/>
      <c r="S28273" s="11"/>
      <c r="T28273" s="11"/>
    </row>
    <row r="28274" spans="8:20" x14ac:dyDescent="0.35">
      <c r="H28274" s="711"/>
      <c r="I28274" s="711"/>
      <c r="J28274" s="711"/>
      <c r="K28274" s="711"/>
      <c r="L28274" s="711"/>
      <c r="Q28274" s="11"/>
      <c r="R28274" s="11"/>
      <c r="S28274" s="11"/>
      <c r="T28274" s="11"/>
    </row>
    <row r="28275" spans="8:20" x14ac:dyDescent="0.35">
      <c r="H28275" s="711"/>
      <c r="I28275" s="711"/>
      <c r="J28275" s="711"/>
      <c r="K28275" s="711"/>
      <c r="L28275" s="711"/>
      <c r="Q28275" s="11"/>
      <c r="R28275" s="11"/>
      <c r="S28275" s="11"/>
      <c r="T28275" s="11"/>
    </row>
    <row r="28276" spans="8:20" x14ac:dyDescent="0.35">
      <c r="H28276" s="711"/>
      <c r="I28276" s="711"/>
      <c r="J28276" s="711"/>
      <c r="K28276" s="711"/>
      <c r="L28276" s="711"/>
      <c r="Q28276" s="11"/>
      <c r="R28276" s="11"/>
      <c r="S28276" s="11"/>
      <c r="T28276" s="11"/>
    </row>
    <row r="28277" spans="8:20" x14ac:dyDescent="0.35">
      <c r="H28277" s="711"/>
      <c r="I28277" s="711"/>
      <c r="J28277" s="711"/>
      <c r="K28277" s="711"/>
      <c r="L28277" s="711"/>
      <c r="Q28277" s="11"/>
      <c r="R28277" s="11"/>
      <c r="S28277" s="11"/>
      <c r="T28277" s="11"/>
    </row>
    <row r="28278" spans="8:20" x14ac:dyDescent="0.35">
      <c r="H28278" s="711"/>
      <c r="I28278" s="711"/>
      <c r="J28278" s="711"/>
      <c r="K28278" s="711"/>
      <c r="L28278" s="711"/>
      <c r="Q28278" s="11"/>
      <c r="R28278" s="11"/>
      <c r="S28278" s="11"/>
      <c r="T28278" s="11"/>
    </row>
    <row r="28279" spans="8:20" x14ac:dyDescent="0.35">
      <c r="H28279" s="711"/>
      <c r="I28279" s="711"/>
      <c r="J28279" s="711"/>
      <c r="K28279" s="711"/>
      <c r="L28279" s="711"/>
      <c r="Q28279" s="11"/>
      <c r="R28279" s="11"/>
      <c r="S28279" s="11"/>
      <c r="T28279" s="11"/>
    </row>
    <row r="28280" spans="8:20" x14ac:dyDescent="0.35">
      <c r="H28280" s="711"/>
      <c r="I28280" s="711"/>
      <c r="J28280" s="711"/>
      <c r="K28280" s="711"/>
      <c r="L28280" s="711"/>
      <c r="Q28280" s="11"/>
      <c r="R28280" s="11"/>
      <c r="S28280" s="11"/>
      <c r="T28280" s="11"/>
    </row>
    <row r="28281" spans="8:20" x14ac:dyDescent="0.35">
      <c r="H28281" s="711"/>
      <c r="I28281" s="711"/>
      <c r="J28281" s="711"/>
      <c r="K28281" s="711"/>
      <c r="L28281" s="711"/>
      <c r="Q28281" s="11"/>
      <c r="R28281" s="11"/>
      <c r="S28281" s="11"/>
      <c r="T28281" s="11"/>
    </row>
    <row r="28282" spans="8:20" x14ac:dyDescent="0.35">
      <c r="H28282" s="711"/>
      <c r="I28282" s="711"/>
      <c r="J28282" s="711"/>
      <c r="K28282" s="711"/>
      <c r="L28282" s="711"/>
      <c r="Q28282" s="11"/>
      <c r="R28282" s="11"/>
      <c r="S28282" s="11"/>
      <c r="T28282" s="11"/>
    </row>
    <row r="28283" spans="8:20" x14ac:dyDescent="0.35">
      <c r="H28283" s="711"/>
      <c r="I28283" s="711"/>
      <c r="J28283" s="711"/>
      <c r="K28283" s="711"/>
      <c r="L28283" s="711"/>
      <c r="Q28283" s="11"/>
      <c r="R28283" s="11"/>
      <c r="S28283" s="11"/>
      <c r="T28283" s="11"/>
    </row>
    <row r="28284" spans="8:20" x14ac:dyDescent="0.35">
      <c r="H28284" s="711"/>
      <c r="I28284" s="711"/>
      <c r="J28284" s="711"/>
      <c r="K28284" s="711"/>
      <c r="L28284" s="711"/>
      <c r="Q28284" s="11"/>
      <c r="R28284" s="11"/>
      <c r="S28284" s="11"/>
      <c r="T28284" s="11"/>
    </row>
    <row r="28285" spans="8:20" x14ac:dyDescent="0.35">
      <c r="H28285" s="711"/>
      <c r="I28285" s="711"/>
      <c r="J28285" s="711"/>
      <c r="K28285" s="711"/>
      <c r="L28285" s="711"/>
      <c r="Q28285" s="11"/>
      <c r="R28285" s="11"/>
      <c r="S28285" s="11"/>
      <c r="T28285" s="11"/>
    </row>
    <row r="28286" spans="8:20" x14ac:dyDescent="0.35">
      <c r="H28286" s="711"/>
      <c r="I28286" s="711"/>
      <c r="J28286" s="711"/>
      <c r="K28286" s="711"/>
      <c r="L28286" s="711"/>
      <c r="Q28286" s="11"/>
      <c r="R28286" s="11"/>
      <c r="S28286" s="11"/>
      <c r="T28286" s="11"/>
    </row>
    <row r="28287" spans="8:20" x14ac:dyDescent="0.35">
      <c r="H28287" s="711"/>
      <c r="I28287" s="711"/>
      <c r="J28287" s="711"/>
      <c r="K28287" s="711"/>
      <c r="L28287" s="711"/>
      <c r="Q28287" s="11"/>
      <c r="R28287" s="11"/>
      <c r="S28287" s="11"/>
      <c r="T28287" s="11"/>
    </row>
    <row r="28288" spans="8:20" x14ac:dyDescent="0.35">
      <c r="H28288" s="711"/>
      <c r="I28288" s="711"/>
      <c r="J28288" s="711"/>
      <c r="K28288" s="711"/>
      <c r="L28288" s="711"/>
      <c r="Q28288" s="11"/>
      <c r="R28288" s="11"/>
      <c r="S28288" s="11"/>
      <c r="T28288" s="11"/>
    </row>
    <row r="28289" spans="8:20" x14ac:dyDescent="0.35">
      <c r="H28289" s="711"/>
      <c r="I28289" s="711"/>
      <c r="J28289" s="711"/>
      <c r="K28289" s="711"/>
      <c r="L28289" s="711"/>
      <c r="Q28289" s="11"/>
      <c r="R28289" s="11"/>
      <c r="S28289" s="11"/>
      <c r="T28289" s="11"/>
    </row>
    <row r="28290" spans="8:20" x14ac:dyDescent="0.35">
      <c r="H28290" s="711"/>
      <c r="I28290" s="711"/>
      <c r="J28290" s="711"/>
      <c r="K28290" s="711"/>
      <c r="L28290" s="711"/>
      <c r="Q28290" s="11"/>
      <c r="R28290" s="11"/>
      <c r="S28290" s="11"/>
      <c r="T28290" s="11"/>
    </row>
    <row r="28291" spans="8:20" x14ac:dyDescent="0.35">
      <c r="H28291" s="711"/>
      <c r="I28291" s="711"/>
      <c r="J28291" s="711"/>
      <c r="K28291" s="711"/>
      <c r="L28291" s="711"/>
      <c r="Q28291" s="11"/>
      <c r="R28291" s="11"/>
      <c r="S28291" s="11"/>
      <c r="T28291" s="11"/>
    </row>
    <row r="28292" spans="8:20" x14ac:dyDescent="0.35">
      <c r="H28292" s="711"/>
      <c r="I28292" s="711"/>
      <c r="J28292" s="711"/>
      <c r="K28292" s="711"/>
      <c r="L28292" s="711"/>
      <c r="Q28292" s="11"/>
      <c r="R28292" s="11"/>
      <c r="S28292" s="11"/>
      <c r="T28292" s="11"/>
    </row>
    <row r="28293" spans="8:20" x14ac:dyDescent="0.35">
      <c r="H28293" s="711"/>
      <c r="I28293" s="711"/>
      <c r="J28293" s="711"/>
      <c r="K28293" s="711"/>
      <c r="L28293" s="711"/>
      <c r="Q28293" s="11"/>
      <c r="R28293" s="11"/>
      <c r="S28293" s="11"/>
      <c r="T28293" s="11"/>
    </row>
    <row r="28294" spans="8:20" x14ac:dyDescent="0.35">
      <c r="H28294" s="711"/>
      <c r="I28294" s="711"/>
      <c r="J28294" s="711"/>
      <c r="K28294" s="711"/>
      <c r="L28294" s="711"/>
      <c r="Q28294" s="11"/>
      <c r="R28294" s="11"/>
      <c r="S28294" s="11"/>
      <c r="T28294" s="11"/>
    </row>
    <row r="28295" spans="8:20" x14ac:dyDescent="0.35">
      <c r="H28295" s="711"/>
      <c r="I28295" s="711"/>
      <c r="J28295" s="711"/>
      <c r="K28295" s="711"/>
      <c r="L28295" s="711"/>
      <c r="Q28295" s="11"/>
      <c r="R28295" s="11"/>
      <c r="S28295" s="11"/>
      <c r="T28295" s="11"/>
    </row>
    <row r="28296" spans="8:20" x14ac:dyDescent="0.35">
      <c r="H28296" s="711"/>
      <c r="I28296" s="711"/>
      <c r="J28296" s="711"/>
      <c r="K28296" s="711"/>
      <c r="L28296" s="711"/>
      <c r="Q28296" s="11"/>
      <c r="R28296" s="11"/>
      <c r="S28296" s="11"/>
      <c r="T28296" s="11"/>
    </row>
    <row r="28297" spans="8:20" x14ac:dyDescent="0.35">
      <c r="H28297" s="711"/>
      <c r="I28297" s="711"/>
      <c r="J28297" s="711"/>
      <c r="K28297" s="711"/>
      <c r="L28297" s="711"/>
      <c r="Q28297" s="11"/>
      <c r="R28297" s="11"/>
      <c r="S28297" s="11"/>
      <c r="T28297" s="11"/>
    </row>
    <row r="28298" spans="8:20" x14ac:dyDescent="0.35">
      <c r="H28298" s="711"/>
      <c r="I28298" s="711"/>
      <c r="J28298" s="711"/>
      <c r="K28298" s="711"/>
      <c r="L28298" s="711"/>
      <c r="Q28298" s="11"/>
      <c r="R28298" s="11"/>
      <c r="S28298" s="11"/>
      <c r="T28298" s="11"/>
    </row>
    <row r="28299" spans="8:20" x14ac:dyDescent="0.35">
      <c r="H28299" s="711"/>
      <c r="I28299" s="711"/>
      <c r="J28299" s="711"/>
      <c r="K28299" s="711"/>
      <c r="L28299" s="711"/>
      <c r="Q28299" s="11"/>
      <c r="R28299" s="11"/>
      <c r="S28299" s="11"/>
      <c r="T28299" s="11"/>
    </row>
    <row r="28300" spans="8:20" x14ac:dyDescent="0.35">
      <c r="H28300" s="711"/>
      <c r="I28300" s="711"/>
      <c r="J28300" s="711"/>
      <c r="K28300" s="711"/>
      <c r="L28300" s="711"/>
      <c r="Q28300" s="11"/>
      <c r="R28300" s="11"/>
      <c r="S28300" s="11"/>
      <c r="T28300" s="11"/>
    </row>
    <row r="28301" spans="8:20" x14ac:dyDescent="0.35">
      <c r="H28301" s="711"/>
      <c r="I28301" s="711"/>
      <c r="J28301" s="711"/>
      <c r="K28301" s="711"/>
      <c r="L28301" s="711"/>
      <c r="Q28301" s="11"/>
      <c r="R28301" s="11"/>
      <c r="S28301" s="11"/>
      <c r="T28301" s="11"/>
    </row>
    <row r="28302" spans="8:20" x14ac:dyDescent="0.35">
      <c r="H28302" s="711"/>
      <c r="I28302" s="711"/>
      <c r="J28302" s="711"/>
      <c r="K28302" s="711"/>
      <c r="L28302" s="711"/>
      <c r="Q28302" s="11"/>
      <c r="R28302" s="11"/>
      <c r="S28302" s="11"/>
      <c r="T28302" s="11"/>
    </row>
    <row r="28303" spans="8:20" x14ac:dyDescent="0.35">
      <c r="H28303" s="711"/>
      <c r="I28303" s="711"/>
      <c r="J28303" s="711"/>
      <c r="K28303" s="711"/>
      <c r="L28303" s="711"/>
      <c r="Q28303" s="11"/>
      <c r="R28303" s="11"/>
      <c r="S28303" s="11"/>
      <c r="T28303" s="11"/>
    </row>
    <row r="28304" spans="8:20" x14ac:dyDescent="0.35">
      <c r="H28304" s="711"/>
      <c r="I28304" s="711"/>
      <c r="J28304" s="711"/>
      <c r="K28304" s="711"/>
      <c r="L28304" s="711"/>
      <c r="Q28304" s="11"/>
      <c r="R28304" s="11"/>
      <c r="S28304" s="11"/>
      <c r="T28304" s="11"/>
    </row>
    <row r="28305" spans="8:20" x14ac:dyDescent="0.35">
      <c r="H28305" s="711"/>
      <c r="I28305" s="711"/>
      <c r="J28305" s="711"/>
      <c r="K28305" s="711"/>
      <c r="L28305" s="711"/>
      <c r="Q28305" s="11"/>
      <c r="R28305" s="11"/>
      <c r="S28305" s="11"/>
      <c r="T28305" s="11"/>
    </row>
    <row r="28306" spans="8:20" x14ac:dyDescent="0.35">
      <c r="H28306" s="711"/>
      <c r="I28306" s="711"/>
      <c r="J28306" s="711"/>
      <c r="K28306" s="711"/>
      <c r="L28306" s="711"/>
      <c r="Q28306" s="11"/>
      <c r="R28306" s="11"/>
      <c r="S28306" s="11"/>
      <c r="T28306" s="11"/>
    </row>
    <row r="28307" spans="8:20" x14ac:dyDescent="0.35">
      <c r="H28307" s="711"/>
      <c r="I28307" s="711"/>
      <c r="J28307" s="711"/>
      <c r="K28307" s="711"/>
      <c r="L28307" s="711"/>
      <c r="Q28307" s="11"/>
      <c r="R28307" s="11"/>
      <c r="S28307" s="11"/>
      <c r="T28307" s="11"/>
    </row>
    <row r="28308" spans="8:20" x14ac:dyDescent="0.35">
      <c r="H28308" s="711"/>
      <c r="I28308" s="711"/>
      <c r="J28308" s="711"/>
      <c r="K28308" s="711"/>
      <c r="L28308" s="711"/>
      <c r="Q28308" s="11"/>
      <c r="R28308" s="11"/>
      <c r="S28308" s="11"/>
      <c r="T28308" s="11"/>
    </row>
    <row r="28309" spans="8:20" x14ac:dyDescent="0.35">
      <c r="H28309" s="711"/>
      <c r="I28309" s="711"/>
      <c r="J28309" s="711"/>
      <c r="K28309" s="711"/>
      <c r="L28309" s="711"/>
      <c r="Q28309" s="11"/>
      <c r="R28309" s="11"/>
      <c r="S28309" s="11"/>
      <c r="T28309" s="11"/>
    </row>
    <row r="28310" spans="8:20" x14ac:dyDescent="0.35">
      <c r="H28310" s="711"/>
      <c r="I28310" s="711"/>
      <c r="J28310" s="711"/>
      <c r="K28310" s="711"/>
      <c r="L28310" s="711"/>
      <c r="Q28310" s="11"/>
      <c r="R28310" s="11"/>
      <c r="S28310" s="11"/>
      <c r="T28310" s="11"/>
    </row>
    <row r="28311" spans="8:20" x14ac:dyDescent="0.35">
      <c r="H28311" s="711"/>
      <c r="I28311" s="711"/>
      <c r="J28311" s="711"/>
      <c r="K28311" s="711"/>
      <c r="L28311" s="711"/>
      <c r="Q28311" s="11"/>
      <c r="R28311" s="11"/>
      <c r="S28311" s="11"/>
      <c r="T28311" s="11"/>
    </row>
    <row r="28312" spans="8:20" x14ac:dyDescent="0.35">
      <c r="H28312" s="711"/>
      <c r="I28312" s="711"/>
      <c r="J28312" s="711"/>
      <c r="K28312" s="711"/>
      <c r="L28312" s="711"/>
      <c r="Q28312" s="11"/>
      <c r="R28312" s="11"/>
      <c r="S28312" s="11"/>
      <c r="T28312" s="11"/>
    </row>
    <row r="28313" spans="8:20" x14ac:dyDescent="0.35">
      <c r="H28313" s="711"/>
      <c r="I28313" s="711"/>
      <c r="J28313" s="711"/>
      <c r="K28313" s="711"/>
      <c r="L28313" s="711"/>
      <c r="Q28313" s="11"/>
      <c r="R28313" s="11"/>
      <c r="S28313" s="11"/>
      <c r="T28313" s="11"/>
    </row>
    <row r="28314" spans="8:20" x14ac:dyDescent="0.35">
      <c r="H28314" s="711"/>
      <c r="I28314" s="711"/>
      <c r="J28314" s="711"/>
      <c r="K28314" s="711"/>
      <c r="L28314" s="711"/>
      <c r="Q28314" s="11"/>
      <c r="R28314" s="11"/>
      <c r="S28314" s="11"/>
      <c r="T28314" s="11"/>
    </row>
    <row r="28315" spans="8:20" x14ac:dyDescent="0.35">
      <c r="H28315" s="711"/>
      <c r="I28315" s="711"/>
      <c r="J28315" s="711"/>
      <c r="K28315" s="711"/>
      <c r="L28315" s="711"/>
      <c r="Q28315" s="11"/>
      <c r="R28315" s="11"/>
      <c r="S28315" s="11"/>
      <c r="T28315" s="11"/>
    </row>
    <row r="28316" spans="8:20" x14ac:dyDescent="0.35">
      <c r="H28316" s="711"/>
      <c r="I28316" s="711"/>
      <c r="J28316" s="711"/>
      <c r="K28316" s="711"/>
      <c r="L28316" s="711"/>
      <c r="Q28316" s="11"/>
      <c r="R28316" s="11"/>
      <c r="S28316" s="11"/>
      <c r="T28316" s="11"/>
    </row>
    <row r="28317" spans="8:20" x14ac:dyDescent="0.35">
      <c r="H28317" s="711"/>
      <c r="I28317" s="711"/>
      <c r="J28317" s="711"/>
      <c r="K28317" s="711"/>
      <c r="L28317" s="711"/>
      <c r="Q28317" s="11"/>
      <c r="R28317" s="11"/>
      <c r="S28317" s="11"/>
      <c r="T28317" s="11"/>
    </row>
    <row r="28318" spans="8:20" x14ac:dyDescent="0.35">
      <c r="H28318" s="711"/>
      <c r="I28318" s="711"/>
      <c r="J28318" s="711"/>
      <c r="K28318" s="711"/>
      <c r="L28318" s="711"/>
      <c r="Q28318" s="11"/>
      <c r="R28318" s="11"/>
      <c r="S28318" s="11"/>
      <c r="T28318" s="11"/>
    </row>
    <row r="28319" spans="8:20" x14ac:dyDescent="0.35">
      <c r="H28319" s="711"/>
      <c r="I28319" s="711"/>
      <c r="J28319" s="711"/>
      <c r="K28319" s="711"/>
      <c r="L28319" s="711"/>
      <c r="Q28319" s="11"/>
      <c r="R28319" s="11"/>
      <c r="S28319" s="11"/>
      <c r="T28319" s="11"/>
    </row>
    <row r="28320" spans="8:20" x14ac:dyDescent="0.35">
      <c r="H28320" s="711"/>
      <c r="I28320" s="711"/>
      <c r="J28320" s="711"/>
      <c r="K28320" s="711"/>
      <c r="L28320" s="711"/>
      <c r="Q28320" s="11"/>
      <c r="R28320" s="11"/>
      <c r="S28320" s="11"/>
      <c r="T28320" s="11"/>
    </row>
    <row r="28321" spans="8:20" x14ac:dyDescent="0.35">
      <c r="H28321" s="711"/>
      <c r="I28321" s="711"/>
      <c r="J28321" s="711"/>
      <c r="K28321" s="711"/>
      <c r="L28321" s="711"/>
      <c r="Q28321" s="11"/>
      <c r="R28321" s="11"/>
      <c r="S28321" s="11"/>
      <c r="T28321" s="11"/>
    </row>
    <row r="28322" spans="8:20" x14ac:dyDescent="0.35">
      <c r="H28322" s="711"/>
      <c r="I28322" s="711"/>
      <c r="J28322" s="711"/>
      <c r="K28322" s="711"/>
      <c r="L28322" s="711"/>
      <c r="Q28322" s="11"/>
      <c r="R28322" s="11"/>
      <c r="S28322" s="11"/>
      <c r="T28322" s="11"/>
    </row>
    <row r="28323" spans="8:20" x14ac:dyDescent="0.35">
      <c r="H28323" s="711"/>
      <c r="I28323" s="711"/>
      <c r="J28323" s="711"/>
      <c r="K28323" s="711"/>
      <c r="L28323" s="711"/>
      <c r="Q28323" s="11"/>
      <c r="R28323" s="11"/>
      <c r="S28323" s="11"/>
      <c r="T28323" s="11"/>
    </row>
    <row r="28324" spans="8:20" x14ac:dyDescent="0.35">
      <c r="H28324" s="711"/>
      <c r="I28324" s="711"/>
      <c r="J28324" s="711"/>
      <c r="K28324" s="711"/>
      <c r="L28324" s="711"/>
      <c r="Q28324" s="11"/>
      <c r="R28324" s="11"/>
      <c r="S28324" s="11"/>
      <c r="T28324" s="11"/>
    </row>
    <row r="28325" spans="8:20" x14ac:dyDescent="0.35">
      <c r="H28325" s="711"/>
      <c r="I28325" s="711"/>
      <c r="J28325" s="711"/>
      <c r="K28325" s="711"/>
      <c r="L28325" s="711"/>
      <c r="Q28325" s="11"/>
      <c r="R28325" s="11"/>
      <c r="S28325" s="11"/>
      <c r="T28325" s="11"/>
    </row>
    <row r="28326" spans="8:20" x14ac:dyDescent="0.35">
      <c r="H28326" s="711"/>
      <c r="I28326" s="711"/>
      <c r="J28326" s="711"/>
      <c r="K28326" s="711"/>
      <c r="L28326" s="711"/>
      <c r="Q28326" s="11"/>
      <c r="R28326" s="11"/>
      <c r="S28326" s="11"/>
      <c r="T28326" s="11"/>
    </row>
    <row r="28327" spans="8:20" x14ac:dyDescent="0.35">
      <c r="H28327" s="711"/>
      <c r="I28327" s="711"/>
      <c r="J28327" s="711"/>
      <c r="K28327" s="711"/>
      <c r="L28327" s="711"/>
      <c r="Q28327" s="11"/>
      <c r="R28327" s="11"/>
      <c r="S28327" s="11"/>
      <c r="T28327" s="11"/>
    </row>
    <row r="28328" spans="8:20" x14ac:dyDescent="0.35">
      <c r="H28328" s="711"/>
      <c r="I28328" s="711"/>
      <c r="J28328" s="711"/>
      <c r="K28328" s="711"/>
      <c r="L28328" s="711"/>
      <c r="Q28328" s="11"/>
      <c r="R28328" s="11"/>
      <c r="S28328" s="11"/>
      <c r="T28328" s="11"/>
    </row>
    <row r="28329" spans="8:20" x14ac:dyDescent="0.35">
      <c r="H28329" s="711"/>
      <c r="I28329" s="711"/>
      <c r="J28329" s="711"/>
      <c r="K28329" s="711"/>
      <c r="L28329" s="711"/>
      <c r="Q28329" s="11"/>
      <c r="R28329" s="11"/>
      <c r="S28329" s="11"/>
      <c r="T28329" s="11"/>
    </row>
    <row r="28330" spans="8:20" x14ac:dyDescent="0.35">
      <c r="H28330" s="711"/>
      <c r="I28330" s="711"/>
      <c r="J28330" s="711"/>
      <c r="K28330" s="711"/>
      <c r="L28330" s="711"/>
      <c r="Q28330" s="11"/>
      <c r="R28330" s="11"/>
      <c r="S28330" s="11"/>
      <c r="T28330" s="11"/>
    </row>
    <row r="28331" spans="8:20" x14ac:dyDescent="0.35">
      <c r="H28331" s="711"/>
      <c r="I28331" s="711"/>
      <c r="J28331" s="711"/>
      <c r="K28331" s="711"/>
      <c r="L28331" s="711"/>
      <c r="Q28331" s="11"/>
      <c r="R28331" s="11"/>
      <c r="S28331" s="11"/>
      <c r="T28331" s="11"/>
    </row>
    <row r="28332" spans="8:20" x14ac:dyDescent="0.35">
      <c r="H28332" s="711"/>
      <c r="I28332" s="711"/>
      <c r="J28332" s="711"/>
      <c r="K28332" s="711"/>
      <c r="L28332" s="711"/>
      <c r="Q28332" s="11"/>
      <c r="R28332" s="11"/>
      <c r="S28332" s="11"/>
      <c r="T28332" s="11"/>
    </row>
    <row r="28333" spans="8:20" x14ac:dyDescent="0.35">
      <c r="H28333" s="711"/>
      <c r="I28333" s="711"/>
      <c r="J28333" s="711"/>
      <c r="K28333" s="711"/>
      <c r="L28333" s="711"/>
      <c r="Q28333" s="11"/>
      <c r="R28333" s="11"/>
      <c r="S28333" s="11"/>
      <c r="T28333" s="11"/>
    </row>
    <row r="28334" spans="8:20" x14ac:dyDescent="0.35">
      <c r="H28334" s="711"/>
      <c r="I28334" s="711"/>
      <c r="J28334" s="711"/>
      <c r="K28334" s="711"/>
      <c r="L28334" s="711"/>
      <c r="Q28334" s="11"/>
      <c r="R28334" s="11"/>
      <c r="S28334" s="11"/>
      <c r="T28334" s="11"/>
    </row>
    <row r="28335" spans="8:20" x14ac:dyDescent="0.35">
      <c r="H28335" s="711"/>
      <c r="I28335" s="711"/>
      <c r="J28335" s="711"/>
      <c r="K28335" s="711"/>
      <c r="L28335" s="711"/>
      <c r="Q28335" s="11"/>
      <c r="R28335" s="11"/>
      <c r="S28335" s="11"/>
      <c r="T28335" s="11"/>
    </row>
    <row r="28336" spans="8:20" x14ac:dyDescent="0.35">
      <c r="H28336" s="711"/>
      <c r="I28336" s="711"/>
      <c r="J28336" s="711"/>
      <c r="K28336" s="711"/>
      <c r="L28336" s="711"/>
      <c r="Q28336" s="11"/>
      <c r="R28336" s="11"/>
      <c r="S28336" s="11"/>
      <c r="T28336" s="11"/>
    </row>
    <row r="28337" spans="8:20" x14ac:dyDescent="0.35">
      <c r="H28337" s="711"/>
      <c r="I28337" s="711"/>
      <c r="J28337" s="711"/>
      <c r="K28337" s="711"/>
      <c r="L28337" s="711"/>
      <c r="Q28337" s="11"/>
      <c r="R28337" s="11"/>
      <c r="S28337" s="11"/>
      <c r="T28337" s="11"/>
    </row>
    <row r="28338" spans="8:20" x14ac:dyDescent="0.35">
      <c r="H28338" s="711"/>
      <c r="I28338" s="711"/>
      <c r="J28338" s="711"/>
      <c r="K28338" s="711"/>
      <c r="L28338" s="711"/>
      <c r="Q28338" s="11"/>
      <c r="R28338" s="11"/>
      <c r="S28338" s="11"/>
      <c r="T28338" s="11"/>
    </row>
    <row r="28339" spans="8:20" x14ac:dyDescent="0.35">
      <c r="H28339" s="711"/>
      <c r="I28339" s="711"/>
      <c r="J28339" s="711"/>
      <c r="K28339" s="711"/>
      <c r="L28339" s="711"/>
      <c r="Q28339" s="11"/>
      <c r="R28339" s="11"/>
      <c r="S28339" s="11"/>
      <c r="T28339" s="11"/>
    </row>
    <row r="28340" spans="8:20" x14ac:dyDescent="0.35">
      <c r="H28340" s="711"/>
      <c r="I28340" s="711"/>
      <c r="J28340" s="711"/>
      <c r="K28340" s="711"/>
      <c r="L28340" s="711"/>
      <c r="Q28340" s="11"/>
      <c r="R28340" s="11"/>
      <c r="S28340" s="11"/>
      <c r="T28340" s="11"/>
    </row>
    <row r="28341" spans="8:20" x14ac:dyDescent="0.35">
      <c r="H28341" s="711"/>
      <c r="I28341" s="711"/>
      <c r="J28341" s="711"/>
      <c r="K28341" s="711"/>
      <c r="L28341" s="711"/>
      <c r="Q28341" s="11"/>
      <c r="R28341" s="11"/>
      <c r="S28341" s="11"/>
      <c r="T28341" s="11"/>
    </row>
    <row r="28342" spans="8:20" x14ac:dyDescent="0.35">
      <c r="H28342" s="711"/>
      <c r="I28342" s="711"/>
      <c r="J28342" s="711"/>
      <c r="K28342" s="711"/>
      <c r="L28342" s="711"/>
      <c r="Q28342" s="11"/>
      <c r="R28342" s="11"/>
      <c r="S28342" s="11"/>
      <c r="T28342" s="11"/>
    </row>
    <row r="28343" spans="8:20" x14ac:dyDescent="0.35">
      <c r="H28343" s="711"/>
      <c r="I28343" s="711"/>
      <c r="J28343" s="711"/>
      <c r="K28343" s="711"/>
      <c r="L28343" s="711"/>
      <c r="Q28343" s="11"/>
      <c r="R28343" s="11"/>
      <c r="S28343" s="11"/>
      <c r="T28343" s="11"/>
    </row>
    <row r="28344" spans="8:20" x14ac:dyDescent="0.35">
      <c r="H28344" s="711"/>
      <c r="I28344" s="711"/>
      <c r="J28344" s="711"/>
      <c r="K28344" s="711"/>
      <c r="L28344" s="711"/>
      <c r="Q28344" s="11"/>
      <c r="R28344" s="11"/>
      <c r="S28344" s="11"/>
      <c r="T28344" s="11"/>
    </row>
    <row r="28345" spans="8:20" x14ac:dyDescent="0.35">
      <c r="H28345" s="711"/>
      <c r="I28345" s="711"/>
      <c r="J28345" s="711"/>
      <c r="K28345" s="711"/>
      <c r="L28345" s="711"/>
      <c r="Q28345" s="11"/>
      <c r="R28345" s="11"/>
      <c r="S28345" s="11"/>
      <c r="T28345" s="11"/>
    </row>
    <row r="28346" spans="8:20" x14ac:dyDescent="0.35">
      <c r="H28346" s="711"/>
      <c r="I28346" s="711"/>
      <c r="J28346" s="711"/>
      <c r="K28346" s="711"/>
      <c r="L28346" s="711"/>
      <c r="Q28346" s="11"/>
      <c r="R28346" s="11"/>
      <c r="S28346" s="11"/>
      <c r="T28346" s="11"/>
    </row>
    <row r="28347" spans="8:20" x14ac:dyDescent="0.35">
      <c r="H28347" s="711"/>
      <c r="I28347" s="711"/>
      <c r="J28347" s="711"/>
      <c r="K28347" s="711"/>
      <c r="L28347" s="711"/>
      <c r="Q28347" s="11"/>
      <c r="R28347" s="11"/>
      <c r="S28347" s="11"/>
      <c r="T28347" s="11"/>
    </row>
    <row r="28348" spans="8:20" x14ac:dyDescent="0.35">
      <c r="H28348" s="711"/>
      <c r="I28348" s="711"/>
      <c r="J28348" s="711"/>
      <c r="K28348" s="711"/>
      <c r="L28348" s="711"/>
      <c r="Q28348" s="11"/>
      <c r="R28348" s="11"/>
      <c r="S28348" s="11"/>
      <c r="T28348" s="11"/>
    </row>
    <row r="28349" spans="8:20" x14ac:dyDescent="0.35">
      <c r="H28349" s="711"/>
      <c r="I28349" s="711"/>
      <c r="J28349" s="711"/>
      <c r="K28349" s="711"/>
      <c r="L28349" s="711"/>
      <c r="Q28349" s="11"/>
      <c r="R28349" s="11"/>
      <c r="S28349" s="11"/>
      <c r="T28349" s="11"/>
    </row>
    <row r="28350" spans="8:20" x14ac:dyDescent="0.35">
      <c r="H28350" s="711"/>
      <c r="I28350" s="711"/>
      <c r="J28350" s="711"/>
      <c r="K28350" s="711"/>
      <c r="L28350" s="711"/>
      <c r="Q28350" s="11"/>
      <c r="R28350" s="11"/>
      <c r="S28350" s="11"/>
      <c r="T28350" s="11"/>
    </row>
    <row r="28351" spans="8:20" x14ac:dyDescent="0.35">
      <c r="H28351" s="711"/>
      <c r="I28351" s="711"/>
      <c r="J28351" s="711"/>
      <c r="K28351" s="711"/>
      <c r="L28351" s="711"/>
      <c r="Q28351" s="11"/>
      <c r="R28351" s="11"/>
      <c r="S28351" s="11"/>
      <c r="T28351" s="11"/>
    </row>
    <row r="28352" spans="8:20" x14ac:dyDescent="0.35">
      <c r="H28352" s="711"/>
      <c r="I28352" s="711"/>
      <c r="J28352" s="711"/>
      <c r="K28352" s="711"/>
      <c r="L28352" s="711"/>
      <c r="Q28352" s="11"/>
      <c r="R28352" s="11"/>
      <c r="S28352" s="11"/>
      <c r="T28352" s="11"/>
    </row>
    <row r="28353" spans="8:20" x14ac:dyDescent="0.35">
      <c r="H28353" s="711"/>
      <c r="I28353" s="711"/>
      <c r="J28353" s="711"/>
      <c r="K28353" s="711"/>
      <c r="L28353" s="711"/>
      <c r="Q28353" s="11"/>
      <c r="R28353" s="11"/>
      <c r="S28353" s="11"/>
      <c r="T28353" s="11"/>
    </row>
    <row r="28354" spans="8:20" x14ac:dyDescent="0.35">
      <c r="H28354" s="711"/>
      <c r="I28354" s="711"/>
      <c r="J28354" s="711"/>
      <c r="K28354" s="711"/>
      <c r="L28354" s="711"/>
      <c r="Q28354" s="11"/>
      <c r="R28354" s="11"/>
      <c r="S28354" s="11"/>
      <c r="T28354" s="11"/>
    </row>
    <row r="28355" spans="8:20" x14ac:dyDescent="0.35">
      <c r="H28355" s="711"/>
      <c r="I28355" s="711"/>
      <c r="J28355" s="711"/>
      <c r="K28355" s="711"/>
      <c r="L28355" s="711"/>
      <c r="Q28355" s="11"/>
      <c r="R28355" s="11"/>
      <c r="S28355" s="11"/>
      <c r="T28355" s="11"/>
    </row>
    <row r="28356" spans="8:20" x14ac:dyDescent="0.35">
      <c r="H28356" s="711"/>
      <c r="I28356" s="711"/>
      <c r="J28356" s="711"/>
      <c r="K28356" s="711"/>
      <c r="L28356" s="711"/>
      <c r="Q28356" s="11"/>
      <c r="R28356" s="11"/>
      <c r="S28356" s="11"/>
      <c r="T28356" s="11"/>
    </row>
    <row r="28357" spans="8:20" x14ac:dyDescent="0.35">
      <c r="H28357" s="711"/>
      <c r="I28357" s="711"/>
      <c r="J28357" s="711"/>
      <c r="K28357" s="711"/>
      <c r="L28357" s="711"/>
      <c r="Q28357" s="11"/>
      <c r="R28357" s="11"/>
      <c r="S28357" s="11"/>
      <c r="T28357" s="11"/>
    </row>
    <row r="28358" spans="8:20" x14ac:dyDescent="0.35">
      <c r="H28358" s="711"/>
      <c r="I28358" s="711"/>
      <c r="J28358" s="711"/>
      <c r="K28358" s="711"/>
      <c r="L28358" s="711"/>
      <c r="Q28358" s="11"/>
      <c r="R28358" s="11"/>
      <c r="S28358" s="11"/>
      <c r="T28358" s="11"/>
    </row>
    <row r="28359" spans="8:20" x14ac:dyDescent="0.35">
      <c r="H28359" s="711"/>
      <c r="I28359" s="711"/>
      <c r="J28359" s="711"/>
      <c r="K28359" s="711"/>
      <c r="L28359" s="711"/>
      <c r="Q28359" s="11"/>
      <c r="R28359" s="11"/>
      <c r="S28359" s="11"/>
      <c r="T28359" s="11"/>
    </row>
    <row r="28360" spans="8:20" x14ac:dyDescent="0.35">
      <c r="H28360" s="711"/>
      <c r="I28360" s="711"/>
      <c r="J28360" s="711"/>
      <c r="K28360" s="711"/>
      <c r="L28360" s="711"/>
      <c r="Q28360" s="11"/>
      <c r="R28360" s="11"/>
      <c r="S28360" s="11"/>
      <c r="T28360" s="11"/>
    </row>
    <row r="28361" spans="8:20" x14ac:dyDescent="0.35">
      <c r="H28361" s="711"/>
      <c r="I28361" s="711"/>
      <c r="J28361" s="711"/>
      <c r="K28361" s="711"/>
      <c r="L28361" s="711"/>
      <c r="Q28361" s="11"/>
      <c r="R28361" s="11"/>
      <c r="S28361" s="11"/>
      <c r="T28361" s="11"/>
    </row>
    <row r="28362" spans="8:20" x14ac:dyDescent="0.35">
      <c r="H28362" s="711"/>
      <c r="I28362" s="711"/>
      <c r="J28362" s="711"/>
      <c r="K28362" s="711"/>
      <c r="L28362" s="711"/>
      <c r="Q28362" s="11"/>
      <c r="R28362" s="11"/>
      <c r="S28362" s="11"/>
      <c r="T28362" s="11"/>
    </row>
    <row r="28363" spans="8:20" x14ac:dyDescent="0.35">
      <c r="H28363" s="711"/>
      <c r="I28363" s="711"/>
      <c r="J28363" s="711"/>
      <c r="K28363" s="711"/>
      <c r="L28363" s="711"/>
      <c r="Q28363" s="11"/>
      <c r="R28363" s="11"/>
      <c r="S28363" s="11"/>
      <c r="T28363" s="11"/>
    </row>
    <row r="28364" spans="8:20" x14ac:dyDescent="0.35">
      <c r="H28364" s="711"/>
      <c r="I28364" s="711"/>
      <c r="J28364" s="711"/>
      <c r="K28364" s="711"/>
      <c r="L28364" s="711"/>
      <c r="Q28364" s="11"/>
      <c r="R28364" s="11"/>
      <c r="S28364" s="11"/>
      <c r="T28364" s="11"/>
    </row>
    <row r="28365" spans="8:20" x14ac:dyDescent="0.35">
      <c r="H28365" s="711"/>
      <c r="I28365" s="711"/>
      <c r="J28365" s="711"/>
      <c r="K28365" s="711"/>
      <c r="L28365" s="711"/>
      <c r="Q28365" s="11"/>
      <c r="R28365" s="11"/>
      <c r="S28365" s="11"/>
      <c r="T28365" s="11"/>
    </row>
    <row r="28366" spans="8:20" x14ac:dyDescent="0.35">
      <c r="H28366" s="711"/>
      <c r="I28366" s="711"/>
      <c r="J28366" s="711"/>
      <c r="K28366" s="711"/>
      <c r="L28366" s="711"/>
      <c r="Q28366" s="11"/>
      <c r="R28366" s="11"/>
      <c r="S28366" s="11"/>
      <c r="T28366" s="11"/>
    </row>
    <row r="28367" spans="8:20" x14ac:dyDescent="0.35">
      <c r="H28367" s="711"/>
      <c r="I28367" s="711"/>
      <c r="J28367" s="711"/>
      <c r="K28367" s="711"/>
      <c r="L28367" s="711"/>
      <c r="Q28367" s="11"/>
      <c r="R28367" s="11"/>
      <c r="S28367" s="11"/>
      <c r="T28367" s="11"/>
    </row>
    <row r="28368" spans="8:20" x14ac:dyDescent="0.35">
      <c r="H28368" s="711"/>
      <c r="I28368" s="711"/>
      <c r="J28368" s="711"/>
      <c r="K28368" s="711"/>
      <c r="L28368" s="711"/>
      <c r="Q28368" s="11"/>
      <c r="R28368" s="11"/>
      <c r="S28368" s="11"/>
      <c r="T28368" s="11"/>
    </row>
    <row r="28369" spans="8:20" x14ac:dyDescent="0.35">
      <c r="H28369" s="711"/>
      <c r="I28369" s="711"/>
      <c r="J28369" s="711"/>
      <c r="K28369" s="711"/>
      <c r="L28369" s="711"/>
      <c r="Q28369" s="11"/>
      <c r="R28369" s="11"/>
      <c r="S28369" s="11"/>
      <c r="T28369" s="11"/>
    </row>
    <row r="28370" spans="8:20" x14ac:dyDescent="0.35">
      <c r="H28370" s="711"/>
      <c r="I28370" s="711"/>
      <c r="J28370" s="711"/>
      <c r="K28370" s="711"/>
      <c r="L28370" s="711"/>
      <c r="Q28370" s="11"/>
      <c r="R28370" s="11"/>
      <c r="S28370" s="11"/>
      <c r="T28370" s="11"/>
    </row>
    <row r="28371" spans="8:20" x14ac:dyDescent="0.35">
      <c r="H28371" s="711"/>
      <c r="I28371" s="711"/>
      <c r="J28371" s="711"/>
      <c r="K28371" s="711"/>
      <c r="L28371" s="711"/>
      <c r="Q28371" s="11"/>
      <c r="R28371" s="11"/>
      <c r="S28371" s="11"/>
      <c r="T28371" s="11"/>
    </row>
    <row r="28372" spans="8:20" x14ac:dyDescent="0.35">
      <c r="H28372" s="711"/>
      <c r="I28372" s="711"/>
      <c r="J28372" s="711"/>
      <c r="K28372" s="711"/>
      <c r="L28372" s="711"/>
      <c r="Q28372" s="11"/>
      <c r="R28372" s="11"/>
      <c r="S28372" s="11"/>
      <c r="T28372" s="11"/>
    </row>
    <row r="28373" spans="8:20" x14ac:dyDescent="0.35">
      <c r="H28373" s="711"/>
      <c r="I28373" s="711"/>
      <c r="J28373" s="711"/>
      <c r="K28373" s="711"/>
      <c r="L28373" s="711"/>
      <c r="Q28373" s="11"/>
      <c r="R28373" s="11"/>
      <c r="S28373" s="11"/>
      <c r="T28373" s="11"/>
    </row>
    <row r="28374" spans="8:20" x14ac:dyDescent="0.35">
      <c r="H28374" s="711"/>
      <c r="I28374" s="711"/>
      <c r="J28374" s="711"/>
      <c r="K28374" s="711"/>
      <c r="L28374" s="711"/>
      <c r="Q28374" s="11"/>
      <c r="R28374" s="11"/>
      <c r="S28374" s="11"/>
      <c r="T28374" s="11"/>
    </row>
    <row r="28375" spans="8:20" x14ac:dyDescent="0.35">
      <c r="H28375" s="711"/>
      <c r="I28375" s="711"/>
      <c r="J28375" s="711"/>
      <c r="K28375" s="711"/>
      <c r="L28375" s="711"/>
      <c r="Q28375" s="11"/>
      <c r="R28375" s="11"/>
      <c r="S28375" s="11"/>
      <c r="T28375" s="11"/>
    </row>
    <row r="28376" spans="8:20" x14ac:dyDescent="0.35">
      <c r="H28376" s="711"/>
      <c r="I28376" s="711"/>
      <c r="J28376" s="711"/>
      <c r="K28376" s="711"/>
      <c r="L28376" s="711"/>
      <c r="Q28376" s="11"/>
      <c r="R28376" s="11"/>
      <c r="S28376" s="11"/>
      <c r="T28376" s="11"/>
    </row>
    <row r="28377" spans="8:20" x14ac:dyDescent="0.35">
      <c r="H28377" s="711"/>
      <c r="I28377" s="711"/>
      <c r="J28377" s="711"/>
      <c r="K28377" s="711"/>
      <c r="L28377" s="711"/>
      <c r="Q28377" s="11"/>
      <c r="R28377" s="11"/>
      <c r="S28377" s="11"/>
      <c r="T28377" s="11"/>
    </row>
    <row r="28378" spans="8:20" x14ac:dyDescent="0.35">
      <c r="H28378" s="711"/>
      <c r="I28378" s="711"/>
      <c r="J28378" s="711"/>
      <c r="K28378" s="711"/>
      <c r="L28378" s="711"/>
      <c r="Q28378" s="11"/>
      <c r="R28378" s="11"/>
      <c r="S28378" s="11"/>
      <c r="T28378" s="11"/>
    </row>
    <row r="28379" spans="8:20" x14ac:dyDescent="0.35">
      <c r="H28379" s="711"/>
      <c r="I28379" s="711"/>
      <c r="J28379" s="711"/>
      <c r="K28379" s="711"/>
      <c r="L28379" s="711"/>
      <c r="Q28379" s="11"/>
      <c r="R28379" s="11"/>
      <c r="S28379" s="11"/>
      <c r="T28379" s="11"/>
    </row>
    <row r="28380" spans="8:20" x14ac:dyDescent="0.35">
      <c r="H28380" s="711"/>
      <c r="I28380" s="711"/>
      <c r="J28380" s="711"/>
      <c r="K28380" s="711"/>
      <c r="L28380" s="711"/>
      <c r="Q28380" s="11"/>
      <c r="R28380" s="11"/>
      <c r="S28380" s="11"/>
      <c r="T28380" s="11"/>
    </row>
    <row r="28381" spans="8:20" x14ac:dyDescent="0.35">
      <c r="H28381" s="711"/>
      <c r="I28381" s="711"/>
      <c r="J28381" s="711"/>
      <c r="K28381" s="711"/>
      <c r="L28381" s="711"/>
      <c r="Q28381" s="11"/>
      <c r="R28381" s="11"/>
      <c r="S28381" s="11"/>
      <c r="T28381" s="11"/>
    </row>
    <row r="28382" spans="8:20" x14ac:dyDescent="0.35">
      <c r="H28382" s="711"/>
      <c r="I28382" s="711"/>
      <c r="J28382" s="711"/>
      <c r="K28382" s="711"/>
      <c r="L28382" s="711"/>
      <c r="Q28382" s="11"/>
      <c r="R28382" s="11"/>
      <c r="S28382" s="11"/>
      <c r="T28382" s="11"/>
    </row>
    <row r="28383" spans="8:20" x14ac:dyDescent="0.35">
      <c r="H28383" s="711"/>
      <c r="I28383" s="711"/>
      <c r="J28383" s="711"/>
      <c r="K28383" s="711"/>
      <c r="L28383" s="711"/>
      <c r="Q28383" s="11"/>
      <c r="R28383" s="11"/>
      <c r="S28383" s="11"/>
      <c r="T28383" s="11"/>
    </row>
    <row r="28384" spans="8:20" x14ac:dyDescent="0.35">
      <c r="H28384" s="711"/>
      <c r="I28384" s="711"/>
      <c r="J28384" s="711"/>
      <c r="K28384" s="711"/>
      <c r="L28384" s="711"/>
      <c r="Q28384" s="11"/>
      <c r="R28384" s="11"/>
      <c r="S28384" s="11"/>
      <c r="T28384" s="11"/>
    </row>
    <row r="28385" spans="8:20" x14ac:dyDescent="0.35">
      <c r="H28385" s="711"/>
      <c r="I28385" s="711"/>
      <c r="J28385" s="711"/>
      <c r="K28385" s="711"/>
      <c r="L28385" s="711"/>
      <c r="Q28385" s="11"/>
      <c r="R28385" s="11"/>
      <c r="S28385" s="11"/>
      <c r="T28385" s="11"/>
    </row>
    <row r="28386" spans="8:20" x14ac:dyDescent="0.35">
      <c r="H28386" s="711"/>
      <c r="I28386" s="711"/>
      <c r="J28386" s="711"/>
      <c r="K28386" s="711"/>
      <c r="L28386" s="711"/>
      <c r="Q28386" s="11"/>
      <c r="R28386" s="11"/>
      <c r="S28386" s="11"/>
      <c r="T28386" s="11"/>
    </row>
    <row r="28387" spans="8:20" x14ac:dyDescent="0.35">
      <c r="H28387" s="711"/>
      <c r="I28387" s="711"/>
      <c r="J28387" s="711"/>
      <c r="K28387" s="711"/>
      <c r="L28387" s="711"/>
      <c r="Q28387" s="11"/>
      <c r="R28387" s="11"/>
      <c r="S28387" s="11"/>
      <c r="T28387" s="11"/>
    </row>
    <row r="28388" spans="8:20" x14ac:dyDescent="0.35">
      <c r="H28388" s="711"/>
      <c r="I28388" s="711"/>
      <c r="J28388" s="711"/>
      <c r="K28388" s="711"/>
      <c r="L28388" s="711"/>
      <c r="Q28388" s="11"/>
      <c r="R28388" s="11"/>
      <c r="S28388" s="11"/>
      <c r="T28388" s="11"/>
    </row>
    <row r="28389" spans="8:20" x14ac:dyDescent="0.35">
      <c r="H28389" s="711"/>
      <c r="I28389" s="711"/>
      <c r="J28389" s="711"/>
      <c r="K28389" s="711"/>
      <c r="L28389" s="711"/>
      <c r="Q28389" s="11"/>
      <c r="R28389" s="11"/>
      <c r="S28389" s="11"/>
      <c r="T28389" s="11"/>
    </row>
    <row r="28390" spans="8:20" x14ac:dyDescent="0.35">
      <c r="H28390" s="711"/>
      <c r="I28390" s="711"/>
      <c r="J28390" s="711"/>
      <c r="K28390" s="711"/>
      <c r="L28390" s="711"/>
      <c r="Q28390" s="11"/>
      <c r="R28390" s="11"/>
      <c r="S28390" s="11"/>
      <c r="T28390" s="11"/>
    </row>
    <row r="28391" spans="8:20" x14ac:dyDescent="0.35">
      <c r="H28391" s="711"/>
      <c r="I28391" s="711"/>
      <c r="J28391" s="711"/>
      <c r="K28391" s="711"/>
      <c r="L28391" s="711"/>
      <c r="Q28391" s="11"/>
      <c r="R28391" s="11"/>
      <c r="S28391" s="11"/>
      <c r="T28391" s="11"/>
    </row>
    <row r="28392" spans="8:20" x14ac:dyDescent="0.35">
      <c r="H28392" s="711"/>
      <c r="I28392" s="711"/>
      <c r="J28392" s="711"/>
      <c r="K28392" s="711"/>
      <c r="L28392" s="711"/>
      <c r="Q28392" s="11"/>
      <c r="R28392" s="11"/>
      <c r="S28392" s="11"/>
      <c r="T28392" s="11"/>
    </row>
    <row r="28393" spans="8:20" x14ac:dyDescent="0.35">
      <c r="H28393" s="711"/>
      <c r="I28393" s="711"/>
      <c r="J28393" s="711"/>
      <c r="K28393" s="711"/>
      <c r="L28393" s="711"/>
      <c r="Q28393" s="11"/>
      <c r="R28393" s="11"/>
      <c r="S28393" s="11"/>
      <c r="T28393" s="11"/>
    </row>
    <row r="28394" spans="8:20" x14ac:dyDescent="0.35">
      <c r="H28394" s="711"/>
      <c r="I28394" s="711"/>
      <c r="J28394" s="711"/>
      <c r="K28394" s="711"/>
      <c r="L28394" s="711"/>
      <c r="Q28394" s="11"/>
      <c r="R28394" s="11"/>
      <c r="S28394" s="11"/>
      <c r="T28394" s="11"/>
    </row>
    <row r="28395" spans="8:20" x14ac:dyDescent="0.35">
      <c r="H28395" s="711"/>
      <c r="I28395" s="711"/>
      <c r="J28395" s="711"/>
      <c r="K28395" s="711"/>
      <c r="L28395" s="711"/>
      <c r="Q28395" s="11"/>
      <c r="R28395" s="11"/>
      <c r="S28395" s="11"/>
      <c r="T28395" s="11"/>
    </row>
    <row r="28396" spans="8:20" x14ac:dyDescent="0.35">
      <c r="H28396" s="711"/>
      <c r="I28396" s="711"/>
      <c r="J28396" s="711"/>
      <c r="K28396" s="711"/>
      <c r="L28396" s="711"/>
      <c r="Q28396" s="11"/>
      <c r="R28396" s="11"/>
      <c r="S28396" s="11"/>
      <c r="T28396" s="11"/>
    </row>
    <row r="28397" spans="8:20" x14ac:dyDescent="0.35">
      <c r="H28397" s="711"/>
      <c r="I28397" s="711"/>
      <c r="J28397" s="711"/>
      <c r="K28397" s="711"/>
      <c r="L28397" s="711"/>
      <c r="Q28397" s="11"/>
      <c r="R28397" s="11"/>
      <c r="S28397" s="11"/>
      <c r="T28397" s="11"/>
    </row>
    <row r="28398" spans="8:20" x14ac:dyDescent="0.35">
      <c r="H28398" s="711"/>
      <c r="I28398" s="711"/>
      <c r="J28398" s="711"/>
      <c r="K28398" s="711"/>
      <c r="L28398" s="711"/>
      <c r="Q28398" s="11"/>
      <c r="R28398" s="11"/>
      <c r="S28398" s="11"/>
      <c r="T28398" s="11"/>
    </row>
    <row r="28399" spans="8:20" x14ac:dyDescent="0.35">
      <c r="H28399" s="711"/>
      <c r="I28399" s="711"/>
      <c r="J28399" s="711"/>
      <c r="K28399" s="711"/>
      <c r="L28399" s="711"/>
      <c r="Q28399" s="11"/>
      <c r="R28399" s="11"/>
      <c r="S28399" s="11"/>
      <c r="T28399" s="11"/>
    </row>
    <row r="28400" spans="8:20" x14ac:dyDescent="0.35">
      <c r="H28400" s="711"/>
      <c r="I28400" s="711"/>
      <c r="J28400" s="711"/>
      <c r="K28400" s="711"/>
      <c r="L28400" s="711"/>
      <c r="Q28400" s="11"/>
      <c r="R28400" s="11"/>
      <c r="S28400" s="11"/>
      <c r="T28400" s="11"/>
    </row>
    <row r="28401" spans="8:20" x14ac:dyDescent="0.35">
      <c r="H28401" s="711"/>
      <c r="I28401" s="711"/>
      <c r="J28401" s="711"/>
      <c r="K28401" s="711"/>
      <c r="L28401" s="711"/>
      <c r="Q28401" s="11"/>
      <c r="R28401" s="11"/>
      <c r="S28401" s="11"/>
      <c r="T28401" s="11"/>
    </row>
    <row r="28402" spans="8:20" x14ac:dyDescent="0.35">
      <c r="H28402" s="711"/>
      <c r="I28402" s="711"/>
      <c r="J28402" s="711"/>
      <c r="K28402" s="711"/>
      <c r="L28402" s="711"/>
      <c r="Q28402" s="11"/>
      <c r="R28402" s="11"/>
      <c r="S28402" s="11"/>
      <c r="T28402" s="11"/>
    </row>
    <row r="28403" spans="8:20" x14ac:dyDescent="0.35">
      <c r="H28403" s="711"/>
      <c r="I28403" s="711"/>
      <c r="J28403" s="711"/>
      <c r="K28403" s="711"/>
      <c r="L28403" s="711"/>
      <c r="Q28403" s="11"/>
      <c r="R28403" s="11"/>
      <c r="S28403" s="11"/>
      <c r="T28403" s="11"/>
    </row>
    <row r="28404" spans="8:20" x14ac:dyDescent="0.35">
      <c r="H28404" s="711"/>
      <c r="I28404" s="711"/>
      <c r="J28404" s="711"/>
      <c r="K28404" s="711"/>
      <c r="L28404" s="711"/>
      <c r="Q28404" s="11"/>
      <c r="R28404" s="11"/>
      <c r="S28404" s="11"/>
      <c r="T28404" s="11"/>
    </row>
    <row r="28405" spans="8:20" x14ac:dyDescent="0.35">
      <c r="H28405" s="711"/>
      <c r="I28405" s="711"/>
      <c r="J28405" s="711"/>
      <c r="K28405" s="711"/>
      <c r="L28405" s="711"/>
      <c r="Q28405" s="11"/>
      <c r="R28405" s="11"/>
      <c r="S28405" s="11"/>
      <c r="T28405" s="11"/>
    </row>
    <row r="28406" spans="8:20" x14ac:dyDescent="0.35">
      <c r="H28406" s="711"/>
      <c r="I28406" s="711"/>
      <c r="J28406" s="711"/>
      <c r="K28406" s="711"/>
      <c r="L28406" s="711"/>
      <c r="Q28406" s="11"/>
      <c r="R28406" s="11"/>
      <c r="S28406" s="11"/>
      <c r="T28406" s="11"/>
    </row>
    <row r="28407" spans="8:20" x14ac:dyDescent="0.35">
      <c r="H28407" s="711"/>
      <c r="I28407" s="711"/>
      <c r="J28407" s="711"/>
      <c r="K28407" s="711"/>
      <c r="L28407" s="711"/>
      <c r="Q28407" s="11"/>
      <c r="R28407" s="11"/>
      <c r="S28407" s="11"/>
      <c r="T28407" s="11"/>
    </row>
    <row r="28408" spans="8:20" x14ac:dyDescent="0.35">
      <c r="H28408" s="711"/>
      <c r="I28408" s="711"/>
      <c r="J28408" s="711"/>
      <c r="K28408" s="711"/>
      <c r="L28408" s="711"/>
      <c r="Q28408" s="11"/>
      <c r="R28408" s="11"/>
      <c r="S28408" s="11"/>
      <c r="T28408" s="11"/>
    </row>
    <row r="28409" spans="8:20" x14ac:dyDescent="0.35">
      <c r="H28409" s="711"/>
      <c r="I28409" s="711"/>
      <c r="J28409" s="711"/>
      <c r="K28409" s="711"/>
      <c r="L28409" s="711"/>
      <c r="Q28409" s="11"/>
      <c r="R28409" s="11"/>
      <c r="S28409" s="11"/>
      <c r="T28409" s="11"/>
    </row>
    <row r="28410" spans="8:20" x14ac:dyDescent="0.35">
      <c r="H28410" s="711"/>
      <c r="I28410" s="711"/>
      <c r="J28410" s="711"/>
      <c r="K28410" s="711"/>
      <c r="L28410" s="711"/>
      <c r="Q28410" s="11"/>
      <c r="R28410" s="11"/>
      <c r="S28410" s="11"/>
      <c r="T28410" s="11"/>
    </row>
    <row r="28411" spans="8:20" x14ac:dyDescent="0.35">
      <c r="H28411" s="711"/>
      <c r="I28411" s="711"/>
      <c r="J28411" s="711"/>
      <c r="K28411" s="711"/>
      <c r="L28411" s="711"/>
      <c r="Q28411" s="11"/>
      <c r="R28411" s="11"/>
      <c r="S28411" s="11"/>
      <c r="T28411" s="11"/>
    </row>
    <row r="28412" spans="8:20" x14ac:dyDescent="0.35">
      <c r="H28412" s="711"/>
      <c r="I28412" s="711"/>
      <c r="J28412" s="711"/>
      <c r="K28412" s="711"/>
      <c r="L28412" s="711"/>
      <c r="Q28412" s="11"/>
      <c r="R28412" s="11"/>
      <c r="S28412" s="11"/>
      <c r="T28412" s="11"/>
    </row>
    <row r="28413" spans="8:20" x14ac:dyDescent="0.35">
      <c r="H28413" s="711"/>
      <c r="I28413" s="711"/>
      <c r="J28413" s="711"/>
      <c r="K28413" s="711"/>
      <c r="L28413" s="711"/>
      <c r="Q28413" s="11"/>
      <c r="R28413" s="11"/>
      <c r="S28413" s="11"/>
      <c r="T28413" s="11"/>
    </row>
    <row r="28414" spans="8:20" x14ac:dyDescent="0.35">
      <c r="H28414" s="711"/>
      <c r="I28414" s="711"/>
      <c r="J28414" s="711"/>
      <c r="K28414" s="711"/>
      <c r="L28414" s="711"/>
      <c r="Q28414" s="11"/>
      <c r="R28414" s="11"/>
      <c r="S28414" s="11"/>
      <c r="T28414" s="11"/>
    </row>
    <row r="28415" spans="8:20" x14ac:dyDescent="0.35">
      <c r="H28415" s="711"/>
      <c r="I28415" s="711"/>
      <c r="J28415" s="711"/>
      <c r="K28415" s="711"/>
      <c r="L28415" s="711"/>
      <c r="Q28415" s="11"/>
      <c r="R28415" s="11"/>
      <c r="S28415" s="11"/>
      <c r="T28415" s="11"/>
    </row>
    <row r="28416" spans="8:20" x14ac:dyDescent="0.35">
      <c r="H28416" s="711"/>
      <c r="I28416" s="711"/>
      <c r="J28416" s="711"/>
      <c r="K28416" s="711"/>
      <c r="L28416" s="711"/>
      <c r="Q28416" s="11"/>
      <c r="R28416" s="11"/>
      <c r="S28416" s="11"/>
      <c r="T28416" s="11"/>
    </row>
    <row r="28417" spans="8:20" x14ac:dyDescent="0.35">
      <c r="H28417" s="711"/>
      <c r="I28417" s="711"/>
      <c r="J28417" s="711"/>
      <c r="K28417" s="711"/>
      <c r="L28417" s="711"/>
      <c r="Q28417" s="11"/>
      <c r="R28417" s="11"/>
      <c r="S28417" s="11"/>
      <c r="T28417" s="11"/>
    </row>
    <row r="28418" spans="8:20" x14ac:dyDescent="0.35">
      <c r="H28418" s="711"/>
      <c r="I28418" s="711"/>
      <c r="J28418" s="711"/>
      <c r="K28418" s="711"/>
      <c r="L28418" s="711"/>
      <c r="Q28418" s="11"/>
      <c r="R28418" s="11"/>
      <c r="S28418" s="11"/>
      <c r="T28418" s="11"/>
    </row>
    <row r="28419" spans="8:20" x14ac:dyDescent="0.35">
      <c r="H28419" s="711"/>
      <c r="I28419" s="711"/>
      <c r="J28419" s="711"/>
      <c r="K28419" s="711"/>
      <c r="L28419" s="711"/>
      <c r="Q28419" s="11"/>
      <c r="R28419" s="11"/>
      <c r="S28419" s="11"/>
      <c r="T28419" s="11"/>
    </row>
    <row r="28420" spans="8:20" x14ac:dyDescent="0.35">
      <c r="H28420" s="711"/>
      <c r="I28420" s="711"/>
      <c r="J28420" s="711"/>
      <c r="K28420" s="711"/>
      <c r="L28420" s="711"/>
      <c r="Q28420" s="11"/>
      <c r="R28420" s="11"/>
      <c r="S28420" s="11"/>
      <c r="T28420" s="11"/>
    </row>
    <row r="28421" spans="8:20" x14ac:dyDescent="0.35">
      <c r="H28421" s="711"/>
      <c r="I28421" s="711"/>
      <c r="J28421" s="711"/>
      <c r="K28421" s="711"/>
      <c r="L28421" s="711"/>
      <c r="Q28421" s="11"/>
      <c r="R28421" s="11"/>
      <c r="S28421" s="11"/>
      <c r="T28421" s="11"/>
    </row>
    <row r="28422" spans="8:20" x14ac:dyDescent="0.35">
      <c r="H28422" s="711"/>
      <c r="I28422" s="711"/>
      <c r="J28422" s="711"/>
      <c r="K28422" s="711"/>
      <c r="L28422" s="711"/>
      <c r="Q28422" s="11"/>
      <c r="R28422" s="11"/>
      <c r="S28422" s="11"/>
      <c r="T28422" s="11"/>
    </row>
    <row r="28423" spans="8:20" x14ac:dyDescent="0.35">
      <c r="H28423" s="711"/>
      <c r="I28423" s="711"/>
      <c r="J28423" s="711"/>
      <c r="K28423" s="711"/>
      <c r="L28423" s="711"/>
      <c r="Q28423" s="11"/>
      <c r="R28423" s="11"/>
      <c r="S28423" s="11"/>
      <c r="T28423" s="11"/>
    </row>
    <row r="28424" spans="8:20" x14ac:dyDescent="0.35">
      <c r="H28424" s="711"/>
      <c r="I28424" s="711"/>
      <c r="J28424" s="711"/>
      <c r="K28424" s="711"/>
      <c r="L28424" s="711"/>
      <c r="Q28424" s="11"/>
      <c r="R28424" s="11"/>
      <c r="S28424" s="11"/>
      <c r="T28424" s="11"/>
    </row>
    <row r="28425" spans="8:20" x14ac:dyDescent="0.35">
      <c r="H28425" s="711"/>
      <c r="I28425" s="711"/>
      <c r="J28425" s="711"/>
      <c r="K28425" s="711"/>
      <c r="L28425" s="711"/>
      <c r="Q28425" s="11"/>
      <c r="R28425" s="11"/>
      <c r="S28425" s="11"/>
      <c r="T28425" s="11"/>
    </row>
    <row r="28426" spans="8:20" x14ac:dyDescent="0.35">
      <c r="H28426" s="711"/>
      <c r="I28426" s="711"/>
      <c r="J28426" s="711"/>
      <c r="K28426" s="711"/>
      <c r="L28426" s="711"/>
      <c r="Q28426" s="11"/>
      <c r="R28426" s="11"/>
      <c r="S28426" s="11"/>
      <c r="T28426" s="11"/>
    </row>
    <row r="28427" spans="8:20" x14ac:dyDescent="0.35">
      <c r="H28427" s="711"/>
      <c r="I28427" s="711"/>
      <c r="J28427" s="711"/>
      <c r="K28427" s="711"/>
      <c r="L28427" s="711"/>
      <c r="Q28427" s="11"/>
      <c r="R28427" s="11"/>
      <c r="S28427" s="11"/>
      <c r="T28427" s="11"/>
    </row>
    <row r="28428" spans="8:20" x14ac:dyDescent="0.35">
      <c r="H28428" s="711"/>
      <c r="I28428" s="711"/>
      <c r="J28428" s="711"/>
      <c r="K28428" s="711"/>
      <c r="L28428" s="711"/>
      <c r="Q28428" s="11"/>
      <c r="R28428" s="11"/>
      <c r="S28428" s="11"/>
      <c r="T28428" s="11"/>
    </row>
    <row r="28429" spans="8:20" x14ac:dyDescent="0.35">
      <c r="H28429" s="711"/>
      <c r="I28429" s="711"/>
      <c r="J28429" s="711"/>
      <c r="K28429" s="711"/>
      <c r="L28429" s="711"/>
      <c r="Q28429" s="11"/>
      <c r="R28429" s="11"/>
      <c r="S28429" s="11"/>
      <c r="T28429" s="11"/>
    </row>
    <row r="28430" spans="8:20" x14ac:dyDescent="0.35">
      <c r="H28430" s="711"/>
      <c r="I28430" s="711"/>
      <c r="J28430" s="711"/>
      <c r="K28430" s="711"/>
      <c r="L28430" s="711"/>
      <c r="Q28430" s="11"/>
      <c r="R28430" s="11"/>
      <c r="S28430" s="11"/>
      <c r="T28430" s="11"/>
    </row>
    <row r="28431" spans="8:20" x14ac:dyDescent="0.35">
      <c r="H28431" s="711"/>
      <c r="I28431" s="711"/>
      <c r="J28431" s="711"/>
      <c r="K28431" s="711"/>
      <c r="L28431" s="711"/>
      <c r="Q28431" s="11"/>
      <c r="R28431" s="11"/>
      <c r="S28431" s="11"/>
      <c r="T28431" s="11"/>
    </row>
    <row r="28432" spans="8:20" x14ac:dyDescent="0.35">
      <c r="H28432" s="711"/>
      <c r="I28432" s="711"/>
      <c r="J28432" s="711"/>
      <c r="K28432" s="711"/>
      <c r="L28432" s="711"/>
      <c r="Q28432" s="11"/>
      <c r="R28432" s="11"/>
      <c r="S28432" s="11"/>
      <c r="T28432" s="11"/>
    </row>
    <row r="28433" spans="8:20" x14ac:dyDescent="0.35">
      <c r="H28433" s="711"/>
      <c r="I28433" s="711"/>
      <c r="J28433" s="711"/>
      <c r="K28433" s="711"/>
      <c r="L28433" s="711"/>
      <c r="Q28433" s="11"/>
      <c r="R28433" s="11"/>
      <c r="S28433" s="11"/>
      <c r="T28433" s="11"/>
    </row>
    <row r="28434" spans="8:20" x14ac:dyDescent="0.35">
      <c r="H28434" s="711"/>
      <c r="I28434" s="711"/>
      <c r="J28434" s="711"/>
      <c r="K28434" s="711"/>
      <c r="L28434" s="711"/>
      <c r="Q28434" s="11"/>
      <c r="R28434" s="11"/>
      <c r="S28434" s="11"/>
      <c r="T28434" s="11"/>
    </row>
    <row r="28435" spans="8:20" x14ac:dyDescent="0.35">
      <c r="H28435" s="711"/>
      <c r="I28435" s="711"/>
      <c r="J28435" s="711"/>
      <c r="K28435" s="711"/>
      <c r="L28435" s="711"/>
      <c r="Q28435" s="11"/>
      <c r="R28435" s="11"/>
      <c r="S28435" s="11"/>
      <c r="T28435" s="11"/>
    </row>
    <row r="28436" spans="8:20" x14ac:dyDescent="0.35">
      <c r="H28436" s="711"/>
      <c r="I28436" s="711"/>
      <c r="J28436" s="711"/>
      <c r="K28436" s="711"/>
      <c r="L28436" s="711"/>
      <c r="Q28436" s="11"/>
      <c r="R28436" s="11"/>
      <c r="S28436" s="11"/>
      <c r="T28436" s="11"/>
    </row>
    <row r="28437" spans="8:20" x14ac:dyDescent="0.35">
      <c r="H28437" s="711"/>
      <c r="I28437" s="711"/>
      <c r="J28437" s="711"/>
      <c r="K28437" s="711"/>
      <c r="L28437" s="711"/>
      <c r="Q28437" s="11"/>
      <c r="R28437" s="11"/>
      <c r="S28437" s="11"/>
      <c r="T28437" s="11"/>
    </row>
    <row r="28438" spans="8:20" x14ac:dyDescent="0.35">
      <c r="H28438" s="711"/>
      <c r="I28438" s="711"/>
      <c r="J28438" s="711"/>
      <c r="K28438" s="711"/>
      <c r="L28438" s="711"/>
      <c r="Q28438" s="11"/>
      <c r="R28438" s="11"/>
      <c r="S28438" s="11"/>
      <c r="T28438" s="11"/>
    </row>
    <row r="28439" spans="8:20" x14ac:dyDescent="0.35">
      <c r="H28439" s="711"/>
      <c r="I28439" s="711"/>
      <c r="J28439" s="711"/>
      <c r="K28439" s="711"/>
      <c r="L28439" s="711"/>
      <c r="Q28439" s="11"/>
      <c r="R28439" s="11"/>
      <c r="S28439" s="11"/>
      <c r="T28439" s="11"/>
    </row>
    <row r="28440" spans="8:20" x14ac:dyDescent="0.35">
      <c r="H28440" s="711"/>
      <c r="I28440" s="711"/>
      <c r="J28440" s="711"/>
      <c r="K28440" s="711"/>
      <c r="L28440" s="711"/>
      <c r="Q28440" s="11"/>
      <c r="R28440" s="11"/>
      <c r="S28440" s="11"/>
      <c r="T28440" s="11"/>
    </row>
    <row r="28441" spans="8:20" x14ac:dyDescent="0.35">
      <c r="H28441" s="711"/>
      <c r="I28441" s="711"/>
      <c r="J28441" s="711"/>
      <c r="K28441" s="711"/>
      <c r="L28441" s="711"/>
      <c r="Q28441" s="11"/>
      <c r="R28441" s="11"/>
      <c r="S28441" s="11"/>
      <c r="T28441" s="11"/>
    </row>
    <row r="28442" spans="8:20" x14ac:dyDescent="0.35">
      <c r="H28442" s="711"/>
      <c r="I28442" s="711"/>
      <c r="J28442" s="711"/>
      <c r="K28442" s="711"/>
      <c r="L28442" s="711"/>
      <c r="Q28442" s="11"/>
      <c r="R28442" s="11"/>
      <c r="S28442" s="11"/>
      <c r="T28442" s="11"/>
    </row>
    <row r="28443" spans="8:20" x14ac:dyDescent="0.35">
      <c r="H28443" s="711"/>
      <c r="I28443" s="711"/>
      <c r="J28443" s="711"/>
      <c r="K28443" s="711"/>
      <c r="L28443" s="711"/>
      <c r="Q28443" s="11"/>
      <c r="R28443" s="11"/>
      <c r="S28443" s="11"/>
      <c r="T28443" s="11"/>
    </row>
    <row r="28444" spans="8:20" x14ac:dyDescent="0.35">
      <c r="H28444" s="711"/>
      <c r="I28444" s="711"/>
      <c r="J28444" s="711"/>
      <c r="K28444" s="711"/>
      <c r="L28444" s="711"/>
      <c r="Q28444" s="11"/>
      <c r="R28444" s="11"/>
      <c r="S28444" s="11"/>
      <c r="T28444" s="11"/>
    </row>
    <row r="28445" spans="8:20" x14ac:dyDescent="0.35">
      <c r="H28445" s="711"/>
      <c r="I28445" s="711"/>
      <c r="J28445" s="711"/>
      <c r="K28445" s="711"/>
      <c r="L28445" s="711"/>
      <c r="Q28445" s="11"/>
      <c r="R28445" s="11"/>
      <c r="S28445" s="11"/>
      <c r="T28445" s="11"/>
    </row>
    <row r="28446" spans="8:20" x14ac:dyDescent="0.35">
      <c r="H28446" s="711"/>
      <c r="I28446" s="711"/>
      <c r="J28446" s="711"/>
      <c r="K28446" s="711"/>
      <c r="L28446" s="711"/>
      <c r="Q28446" s="11"/>
      <c r="R28446" s="11"/>
      <c r="S28446" s="11"/>
      <c r="T28446" s="11"/>
    </row>
    <row r="28447" spans="8:20" x14ac:dyDescent="0.35">
      <c r="H28447" s="711"/>
      <c r="I28447" s="711"/>
      <c r="J28447" s="711"/>
      <c r="K28447" s="711"/>
      <c r="L28447" s="711"/>
      <c r="Q28447" s="11"/>
      <c r="R28447" s="11"/>
      <c r="S28447" s="11"/>
      <c r="T28447" s="11"/>
    </row>
    <row r="28448" spans="8:20" x14ac:dyDescent="0.35">
      <c r="H28448" s="711"/>
      <c r="I28448" s="711"/>
      <c r="J28448" s="711"/>
      <c r="K28448" s="711"/>
      <c r="L28448" s="711"/>
      <c r="Q28448" s="11"/>
      <c r="R28448" s="11"/>
      <c r="S28448" s="11"/>
      <c r="T28448" s="11"/>
    </row>
    <row r="28449" spans="8:20" x14ac:dyDescent="0.35">
      <c r="H28449" s="711"/>
      <c r="I28449" s="711"/>
      <c r="J28449" s="711"/>
      <c r="K28449" s="711"/>
      <c r="L28449" s="711"/>
      <c r="Q28449" s="11"/>
      <c r="R28449" s="11"/>
      <c r="S28449" s="11"/>
      <c r="T28449" s="11"/>
    </row>
    <row r="28450" spans="8:20" x14ac:dyDescent="0.35">
      <c r="H28450" s="711"/>
      <c r="I28450" s="711"/>
      <c r="J28450" s="711"/>
      <c r="K28450" s="711"/>
      <c r="L28450" s="711"/>
      <c r="Q28450" s="11"/>
      <c r="R28450" s="11"/>
      <c r="S28450" s="11"/>
      <c r="T28450" s="11"/>
    </row>
    <row r="28451" spans="8:20" x14ac:dyDescent="0.35">
      <c r="H28451" s="711"/>
      <c r="I28451" s="711"/>
      <c r="J28451" s="711"/>
      <c r="K28451" s="711"/>
      <c r="L28451" s="711"/>
      <c r="Q28451" s="11"/>
      <c r="R28451" s="11"/>
      <c r="S28451" s="11"/>
      <c r="T28451" s="11"/>
    </row>
    <row r="28452" spans="8:20" x14ac:dyDescent="0.35">
      <c r="H28452" s="711"/>
      <c r="I28452" s="711"/>
      <c r="J28452" s="711"/>
      <c r="K28452" s="711"/>
      <c r="L28452" s="711"/>
      <c r="Q28452" s="11"/>
      <c r="R28452" s="11"/>
      <c r="S28452" s="11"/>
      <c r="T28452" s="11"/>
    </row>
    <row r="28453" spans="8:20" x14ac:dyDescent="0.35">
      <c r="H28453" s="711"/>
      <c r="I28453" s="711"/>
      <c r="J28453" s="711"/>
      <c r="K28453" s="711"/>
      <c r="L28453" s="711"/>
      <c r="Q28453" s="11"/>
      <c r="R28453" s="11"/>
      <c r="S28453" s="11"/>
      <c r="T28453" s="11"/>
    </row>
    <row r="28454" spans="8:20" x14ac:dyDescent="0.35">
      <c r="H28454" s="711"/>
      <c r="I28454" s="711"/>
      <c r="J28454" s="711"/>
      <c r="K28454" s="711"/>
      <c r="L28454" s="711"/>
      <c r="Q28454" s="11"/>
      <c r="R28454" s="11"/>
      <c r="S28454" s="11"/>
      <c r="T28454" s="11"/>
    </row>
    <row r="28455" spans="8:20" x14ac:dyDescent="0.35">
      <c r="H28455" s="711"/>
      <c r="I28455" s="711"/>
      <c r="J28455" s="711"/>
      <c r="K28455" s="711"/>
      <c r="L28455" s="711"/>
      <c r="Q28455" s="11"/>
      <c r="R28455" s="11"/>
      <c r="S28455" s="11"/>
      <c r="T28455" s="11"/>
    </row>
    <row r="28456" spans="8:20" x14ac:dyDescent="0.35">
      <c r="H28456" s="711"/>
      <c r="I28456" s="711"/>
      <c r="J28456" s="711"/>
      <c r="K28456" s="711"/>
      <c r="L28456" s="711"/>
      <c r="Q28456" s="11"/>
      <c r="R28456" s="11"/>
      <c r="S28456" s="11"/>
      <c r="T28456" s="11"/>
    </row>
    <row r="28457" spans="8:20" x14ac:dyDescent="0.35">
      <c r="H28457" s="711"/>
      <c r="I28457" s="711"/>
      <c r="J28457" s="711"/>
      <c r="K28457" s="711"/>
      <c r="L28457" s="711"/>
      <c r="Q28457" s="11"/>
      <c r="R28457" s="11"/>
      <c r="S28457" s="11"/>
      <c r="T28457" s="11"/>
    </row>
    <row r="28458" spans="8:20" x14ac:dyDescent="0.35">
      <c r="H28458" s="711"/>
      <c r="I28458" s="711"/>
      <c r="J28458" s="711"/>
      <c r="K28458" s="711"/>
      <c r="L28458" s="711"/>
      <c r="Q28458" s="11"/>
      <c r="R28458" s="11"/>
      <c r="S28458" s="11"/>
      <c r="T28458" s="11"/>
    </row>
    <row r="28459" spans="8:20" x14ac:dyDescent="0.35">
      <c r="H28459" s="711"/>
      <c r="I28459" s="711"/>
      <c r="J28459" s="711"/>
      <c r="K28459" s="711"/>
      <c r="L28459" s="711"/>
      <c r="Q28459" s="11"/>
      <c r="R28459" s="11"/>
      <c r="S28459" s="11"/>
      <c r="T28459" s="11"/>
    </row>
    <row r="28460" spans="8:20" x14ac:dyDescent="0.35">
      <c r="H28460" s="711"/>
      <c r="I28460" s="711"/>
      <c r="J28460" s="711"/>
      <c r="K28460" s="711"/>
      <c r="L28460" s="711"/>
      <c r="Q28460" s="11"/>
      <c r="R28460" s="11"/>
      <c r="S28460" s="11"/>
      <c r="T28460" s="11"/>
    </row>
    <row r="28461" spans="8:20" x14ac:dyDescent="0.35">
      <c r="H28461" s="711"/>
      <c r="I28461" s="711"/>
      <c r="J28461" s="711"/>
      <c r="K28461" s="711"/>
      <c r="L28461" s="711"/>
      <c r="Q28461" s="11"/>
      <c r="R28461" s="11"/>
      <c r="S28461" s="11"/>
      <c r="T28461" s="11"/>
    </row>
    <row r="28462" spans="8:20" x14ac:dyDescent="0.35">
      <c r="H28462" s="711"/>
      <c r="I28462" s="711"/>
      <c r="J28462" s="711"/>
      <c r="K28462" s="711"/>
      <c r="L28462" s="711"/>
      <c r="Q28462" s="11"/>
      <c r="R28462" s="11"/>
      <c r="S28462" s="11"/>
      <c r="T28462" s="11"/>
    </row>
    <row r="28463" spans="8:20" x14ac:dyDescent="0.35">
      <c r="H28463" s="711"/>
      <c r="I28463" s="711"/>
      <c r="J28463" s="711"/>
      <c r="K28463" s="711"/>
      <c r="L28463" s="711"/>
      <c r="Q28463" s="11"/>
      <c r="R28463" s="11"/>
      <c r="S28463" s="11"/>
      <c r="T28463" s="11"/>
    </row>
    <row r="28464" spans="8:20" x14ac:dyDescent="0.35">
      <c r="H28464" s="711"/>
      <c r="I28464" s="711"/>
      <c r="J28464" s="711"/>
      <c r="K28464" s="711"/>
      <c r="L28464" s="711"/>
      <c r="Q28464" s="11"/>
      <c r="R28464" s="11"/>
      <c r="S28464" s="11"/>
      <c r="T28464" s="11"/>
    </row>
    <row r="28465" spans="8:20" x14ac:dyDescent="0.35">
      <c r="H28465" s="711"/>
      <c r="I28465" s="711"/>
      <c r="J28465" s="711"/>
      <c r="K28465" s="711"/>
      <c r="L28465" s="711"/>
      <c r="Q28465" s="11"/>
      <c r="R28465" s="11"/>
      <c r="S28465" s="11"/>
      <c r="T28465" s="11"/>
    </row>
    <row r="28466" spans="8:20" x14ac:dyDescent="0.35">
      <c r="H28466" s="711"/>
      <c r="I28466" s="711"/>
      <c r="J28466" s="711"/>
      <c r="K28466" s="711"/>
      <c r="L28466" s="711"/>
      <c r="Q28466" s="11"/>
      <c r="R28466" s="11"/>
      <c r="S28466" s="11"/>
      <c r="T28466" s="11"/>
    </row>
    <row r="28467" spans="8:20" x14ac:dyDescent="0.35">
      <c r="H28467" s="711"/>
      <c r="I28467" s="711"/>
      <c r="J28467" s="711"/>
      <c r="K28467" s="711"/>
      <c r="L28467" s="711"/>
      <c r="Q28467" s="11"/>
      <c r="R28467" s="11"/>
      <c r="S28467" s="11"/>
      <c r="T28467" s="11"/>
    </row>
    <row r="28468" spans="8:20" x14ac:dyDescent="0.35">
      <c r="H28468" s="711"/>
      <c r="I28468" s="711"/>
      <c r="J28468" s="711"/>
      <c r="K28468" s="711"/>
      <c r="L28468" s="711"/>
      <c r="Q28468" s="11"/>
      <c r="R28468" s="11"/>
      <c r="S28468" s="11"/>
      <c r="T28468" s="11"/>
    </row>
    <row r="28469" spans="8:20" x14ac:dyDescent="0.35">
      <c r="H28469" s="711"/>
      <c r="I28469" s="711"/>
      <c r="J28469" s="711"/>
      <c r="K28469" s="711"/>
      <c r="L28469" s="711"/>
      <c r="Q28469" s="11"/>
      <c r="R28469" s="11"/>
      <c r="S28469" s="11"/>
      <c r="T28469" s="11"/>
    </row>
    <row r="28470" spans="8:20" x14ac:dyDescent="0.35">
      <c r="H28470" s="711"/>
      <c r="I28470" s="711"/>
      <c r="J28470" s="711"/>
      <c r="K28470" s="711"/>
      <c r="L28470" s="711"/>
      <c r="Q28470" s="11"/>
      <c r="R28470" s="11"/>
      <c r="S28470" s="11"/>
      <c r="T28470" s="11"/>
    </row>
    <row r="28471" spans="8:20" x14ac:dyDescent="0.35">
      <c r="H28471" s="711"/>
      <c r="I28471" s="711"/>
      <c r="J28471" s="711"/>
      <c r="K28471" s="711"/>
      <c r="L28471" s="711"/>
      <c r="Q28471" s="11"/>
      <c r="R28471" s="11"/>
      <c r="S28471" s="11"/>
      <c r="T28471" s="11"/>
    </row>
    <row r="28472" spans="8:20" x14ac:dyDescent="0.35">
      <c r="H28472" s="711"/>
      <c r="I28472" s="711"/>
      <c r="J28472" s="711"/>
      <c r="K28472" s="711"/>
      <c r="L28472" s="711"/>
      <c r="Q28472" s="11"/>
      <c r="R28472" s="11"/>
      <c r="S28472" s="11"/>
      <c r="T28472" s="11"/>
    </row>
    <row r="28473" spans="8:20" x14ac:dyDescent="0.35">
      <c r="H28473" s="711"/>
      <c r="I28473" s="711"/>
      <c r="J28473" s="711"/>
      <c r="K28473" s="711"/>
      <c r="L28473" s="711"/>
      <c r="Q28473" s="11"/>
      <c r="R28473" s="11"/>
      <c r="S28473" s="11"/>
      <c r="T28473" s="11"/>
    </row>
    <row r="28474" spans="8:20" x14ac:dyDescent="0.35">
      <c r="H28474" s="711"/>
      <c r="I28474" s="711"/>
      <c r="J28474" s="711"/>
      <c r="K28474" s="711"/>
      <c r="L28474" s="711"/>
      <c r="Q28474" s="11"/>
      <c r="R28474" s="11"/>
      <c r="S28474" s="11"/>
      <c r="T28474" s="11"/>
    </row>
    <row r="28475" spans="8:20" x14ac:dyDescent="0.35">
      <c r="H28475" s="711"/>
      <c r="I28475" s="711"/>
      <c r="J28475" s="711"/>
      <c r="K28475" s="711"/>
      <c r="L28475" s="711"/>
      <c r="Q28475" s="11"/>
      <c r="R28475" s="11"/>
      <c r="S28475" s="11"/>
      <c r="T28475" s="11"/>
    </row>
    <row r="28476" spans="8:20" x14ac:dyDescent="0.35">
      <c r="H28476" s="711"/>
      <c r="I28476" s="711"/>
      <c r="J28476" s="711"/>
      <c r="K28476" s="711"/>
      <c r="L28476" s="711"/>
      <c r="Q28476" s="11"/>
      <c r="R28476" s="11"/>
      <c r="S28476" s="11"/>
      <c r="T28476" s="11"/>
    </row>
    <row r="28477" spans="8:20" x14ac:dyDescent="0.35">
      <c r="H28477" s="711"/>
      <c r="I28477" s="711"/>
      <c r="J28477" s="711"/>
      <c r="K28477" s="711"/>
      <c r="L28477" s="711"/>
      <c r="Q28477" s="11"/>
      <c r="R28477" s="11"/>
      <c r="S28477" s="11"/>
      <c r="T28477" s="11"/>
    </row>
    <row r="28478" spans="8:20" x14ac:dyDescent="0.35">
      <c r="H28478" s="711"/>
      <c r="I28478" s="711"/>
      <c r="J28478" s="711"/>
      <c r="K28478" s="711"/>
      <c r="L28478" s="711"/>
      <c r="Q28478" s="11"/>
      <c r="R28478" s="11"/>
      <c r="S28478" s="11"/>
      <c r="T28478" s="11"/>
    </row>
    <row r="28479" spans="8:20" x14ac:dyDescent="0.35">
      <c r="H28479" s="711"/>
      <c r="I28479" s="711"/>
      <c r="J28479" s="711"/>
      <c r="K28479" s="711"/>
      <c r="L28479" s="711"/>
      <c r="Q28479" s="11"/>
      <c r="R28479" s="11"/>
      <c r="S28479" s="11"/>
      <c r="T28479" s="11"/>
    </row>
    <row r="28480" spans="8:20" x14ac:dyDescent="0.35">
      <c r="H28480" s="711"/>
      <c r="I28480" s="711"/>
      <c r="J28480" s="711"/>
      <c r="K28480" s="711"/>
      <c r="L28480" s="711"/>
      <c r="Q28480" s="11"/>
      <c r="R28480" s="11"/>
      <c r="S28480" s="11"/>
      <c r="T28480" s="11"/>
    </row>
    <row r="28481" spans="8:20" x14ac:dyDescent="0.35">
      <c r="H28481" s="711"/>
      <c r="I28481" s="711"/>
      <c r="J28481" s="711"/>
      <c r="K28481" s="711"/>
      <c r="L28481" s="711"/>
      <c r="Q28481" s="11"/>
      <c r="R28481" s="11"/>
      <c r="S28481" s="11"/>
      <c r="T28481" s="11"/>
    </row>
    <row r="28482" spans="8:20" x14ac:dyDescent="0.35">
      <c r="H28482" s="711"/>
      <c r="I28482" s="711"/>
      <c r="J28482" s="711"/>
      <c r="K28482" s="711"/>
      <c r="L28482" s="711"/>
      <c r="Q28482" s="11"/>
      <c r="R28482" s="11"/>
      <c r="S28482" s="11"/>
      <c r="T28482" s="11"/>
    </row>
    <row r="28483" spans="8:20" x14ac:dyDescent="0.35">
      <c r="H28483" s="711"/>
      <c r="I28483" s="711"/>
      <c r="J28483" s="711"/>
      <c r="K28483" s="711"/>
      <c r="L28483" s="711"/>
      <c r="Q28483" s="11"/>
      <c r="R28483" s="11"/>
      <c r="S28483" s="11"/>
      <c r="T28483" s="11"/>
    </row>
    <row r="28484" spans="8:20" x14ac:dyDescent="0.35">
      <c r="H28484" s="711"/>
      <c r="I28484" s="711"/>
      <c r="J28484" s="711"/>
      <c r="K28484" s="711"/>
      <c r="L28484" s="711"/>
      <c r="Q28484" s="11"/>
      <c r="R28484" s="11"/>
      <c r="S28484" s="11"/>
      <c r="T28484" s="11"/>
    </row>
    <row r="28485" spans="8:20" x14ac:dyDescent="0.35">
      <c r="H28485" s="711"/>
      <c r="I28485" s="711"/>
      <c r="J28485" s="711"/>
      <c r="K28485" s="711"/>
      <c r="L28485" s="711"/>
      <c r="Q28485" s="11"/>
      <c r="R28485" s="11"/>
      <c r="S28485" s="11"/>
      <c r="T28485" s="11"/>
    </row>
    <row r="28486" spans="8:20" x14ac:dyDescent="0.35">
      <c r="H28486" s="711"/>
      <c r="I28486" s="711"/>
      <c r="J28486" s="711"/>
      <c r="K28486" s="711"/>
      <c r="L28486" s="711"/>
      <c r="Q28486" s="11"/>
      <c r="R28486" s="11"/>
      <c r="S28486" s="11"/>
      <c r="T28486" s="11"/>
    </row>
    <row r="28487" spans="8:20" x14ac:dyDescent="0.35">
      <c r="H28487" s="711"/>
      <c r="I28487" s="711"/>
      <c r="J28487" s="711"/>
      <c r="K28487" s="711"/>
      <c r="L28487" s="711"/>
      <c r="Q28487" s="11"/>
      <c r="R28487" s="11"/>
      <c r="S28487" s="11"/>
      <c r="T28487" s="11"/>
    </row>
    <row r="28488" spans="8:20" x14ac:dyDescent="0.35">
      <c r="H28488" s="711"/>
      <c r="I28488" s="711"/>
      <c r="J28488" s="711"/>
      <c r="K28488" s="711"/>
      <c r="L28488" s="711"/>
      <c r="Q28488" s="11"/>
      <c r="R28488" s="11"/>
      <c r="S28488" s="11"/>
      <c r="T28488" s="11"/>
    </row>
    <row r="28489" spans="8:20" x14ac:dyDescent="0.35">
      <c r="H28489" s="711"/>
      <c r="I28489" s="711"/>
      <c r="J28489" s="711"/>
      <c r="K28489" s="711"/>
      <c r="L28489" s="711"/>
      <c r="Q28489" s="11"/>
      <c r="R28489" s="11"/>
      <c r="S28489" s="11"/>
      <c r="T28489" s="11"/>
    </row>
    <row r="28490" spans="8:20" x14ac:dyDescent="0.35">
      <c r="H28490" s="711"/>
      <c r="I28490" s="711"/>
      <c r="J28490" s="711"/>
      <c r="K28490" s="711"/>
      <c r="L28490" s="711"/>
      <c r="Q28490" s="11"/>
      <c r="R28490" s="11"/>
      <c r="S28490" s="11"/>
      <c r="T28490" s="11"/>
    </row>
    <row r="28491" spans="8:20" x14ac:dyDescent="0.35">
      <c r="H28491" s="711"/>
      <c r="I28491" s="711"/>
      <c r="J28491" s="711"/>
      <c r="K28491" s="711"/>
      <c r="L28491" s="711"/>
      <c r="Q28491" s="11"/>
      <c r="R28491" s="11"/>
      <c r="S28491" s="11"/>
      <c r="T28491" s="11"/>
    </row>
    <row r="28492" spans="8:20" x14ac:dyDescent="0.35">
      <c r="H28492" s="711"/>
      <c r="I28492" s="711"/>
      <c r="J28492" s="711"/>
      <c r="K28492" s="711"/>
      <c r="L28492" s="711"/>
      <c r="Q28492" s="11"/>
      <c r="R28492" s="11"/>
      <c r="S28492" s="11"/>
      <c r="T28492" s="11"/>
    </row>
    <row r="28493" spans="8:20" x14ac:dyDescent="0.35">
      <c r="H28493" s="711"/>
      <c r="I28493" s="711"/>
      <c r="J28493" s="711"/>
      <c r="K28493" s="711"/>
      <c r="L28493" s="711"/>
      <c r="Q28493" s="11"/>
      <c r="R28493" s="11"/>
      <c r="S28493" s="11"/>
      <c r="T28493" s="11"/>
    </row>
    <row r="28494" spans="8:20" x14ac:dyDescent="0.35">
      <c r="H28494" s="711"/>
      <c r="I28494" s="711"/>
      <c r="J28494" s="711"/>
      <c r="K28494" s="711"/>
      <c r="L28494" s="711"/>
      <c r="Q28494" s="11"/>
      <c r="R28494" s="11"/>
      <c r="S28494" s="11"/>
      <c r="T28494" s="11"/>
    </row>
    <row r="28495" spans="8:20" x14ac:dyDescent="0.35">
      <c r="H28495" s="711"/>
      <c r="I28495" s="711"/>
      <c r="J28495" s="711"/>
      <c r="K28495" s="711"/>
      <c r="L28495" s="711"/>
      <c r="Q28495" s="11"/>
      <c r="R28495" s="11"/>
      <c r="S28495" s="11"/>
      <c r="T28495" s="11"/>
    </row>
    <row r="28496" spans="8:20" x14ac:dyDescent="0.35">
      <c r="H28496" s="711"/>
      <c r="I28496" s="711"/>
      <c r="J28496" s="711"/>
      <c r="K28496" s="711"/>
      <c r="L28496" s="711"/>
      <c r="Q28496" s="11"/>
      <c r="R28496" s="11"/>
      <c r="S28496" s="11"/>
      <c r="T28496" s="11"/>
    </row>
    <row r="28497" spans="8:20" x14ac:dyDescent="0.35">
      <c r="H28497" s="711"/>
      <c r="I28497" s="711"/>
      <c r="J28497" s="711"/>
      <c r="K28497" s="711"/>
      <c r="L28497" s="711"/>
      <c r="Q28497" s="11"/>
      <c r="R28497" s="11"/>
      <c r="S28497" s="11"/>
      <c r="T28497" s="11"/>
    </row>
    <row r="28498" spans="8:20" x14ac:dyDescent="0.35">
      <c r="H28498" s="711"/>
      <c r="I28498" s="711"/>
      <c r="J28498" s="711"/>
      <c r="K28498" s="711"/>
      <c r="L28498" s="711"/>
      <c r="Q28498" s="11"/>
      <c r="R28498" s="11"/>
      <c r="S28498" s="11"/>
      <c r="T28498" s="11"/>
    </row>
    <row r="28499" spans="8:20" x14ac:dyDescent="0.35">
      <c r="H28499" s="711"/>
      <c r="I28499" s="711"/>
      <c r="J28499" s="711"/>
      <c r="K28499" s="711"/>
      <c r="L28499" s="711"/>
      <c r="Q28499" s="11"/>
      <c r="R28499" s="11"/>
      <c r="S28499" s="11"/>
      <c r="T28499" s="11"/>
    </row>
    <row r="28500" spans="8:20" x14ac:dyDescent="0.35">
      <c r="H28500" s="711"/>
      <c r="I28500" s="711"/>
      <c r="J28500" s="711"/>
      <c r="K28500" s="711"/>
      <c r="L28500" s="711"/>
      <c r="Q28500" s="11"/>
      <c r="R28500" s="11"/>
      <c r="S28500" s="11"/>
      <c r="T28500" s="11"/>
    </row>
    <row r="28501" spans="8:20" x14ac:dyDescent="0.35">
      <c r="H28501" s="711"/>
      <c r="I28501" s="711"/>
      <c r="J28501" s="711"/>
      <c r="K28501" s="711"/>
      <c r="L28501" s="711"/>
      <c r="Q28501" s="11"/>
      <c r="R28501" s="11"/>
      <c r="S28501" s="11"/>
      <c r="T28501" s="11"/>
    </row>
    <row r="28502" spans="8:20" x14ac:dyDescent="0.35">
      <c r="H28502" s="711"/>
      <c r="I28502" s="711"/>
      <c r="J28502" s="711"/>
      <c r="K28502" s="711"/>
      <c r="L28502" s="711"/>
      <c r="Q28502" s="11"/>
      <c r="R28502" s="11"/>
      <c r="S28502" s="11"/>
      <c r="T28502" s="11"/>
    </row>
    <row r="28503" spans="8:20" x14ac:dyDescent="0.35">
      <c r="H28503" s="711"/>
      <c r="I28503" s="711"/>
      <c r="J28503" s="711"/>
      <c r="K28503" s="711"/>
      <c r="L28503" s="711"/>
      <c r="Q28503" s="11"/>
      <c r="R28503" s="11"/>
      <c r="S28503" s="11"/>
      <c r="T28503" s="11"/>
    </row>
    <row r="28504" spans="8:20" x14ac:dyDescent="0.35">
      <c r="H28504" s="711"/>
      <c r="I28504" s="711"/>
      <c r="J28504" s="711"/>
      <c r="K28504" s="711"/>
      <c r="L28504" s="711"/>
      <c r="Q28504" s="11"/>
      <c r="R28504" s="11"/>
      <c r="S28504" s="11"/>
      <c r="T28504" s="11"/>
    </row>
    <row r="28505" spans="8:20" x14ac:dyDescent="0.35">
      <c r="H28505" s="711"/>
      <c r="I28505" s="711"/>
      <c r="J28505" s="711"/>
      <c r="K28505" s="711"/>
      <c r="L28505" s="711"/>
      <c r="Q28505" s="11"/>
      <c r="R28505" s="11"/>
      <c r="S28505" s="11"/>
      <c r="T28505" s="11"/>
    </row>
    <row r="28506" spans="8:20" x14ac:dyDescent="0.35">
      <c r="H28506" s="711"/>
      <c r="I28506" s="711"/>
      <c r="J28506" s="711"/>
      <c r="K28506" s="711"/>
      <c r="L28506" s="711"/>
      <c r="Q28506" s="11"/>
      <c r="R28506" s="11"/>
      <c r="S28506" s="11"/>
      <c r="T28506" s="11"/>
    </row>
    <row r="28507" spans="8:20" x14ac:dyDescent="0.35">
      <c r="H28507" s="711"/>
      <c r="I28507" s="711"/>
      <c r="J28507" s="711"/>
      <c r="K28507" s="711"/>
      <c r="L28507" s="711"/>
      <c r="Q28507" s="11"/>
      <c r="R28507" s="11"/>
      <c r="S28507" s="11"/>
      <c r="T28507" s="11"/>
    </row>
    <row r="28508" spans="8:20" x14ac:dyDescent="0.35">
      <c r="H28508" s="711"/>
      <c r="I28508" s="711"/>
      <c r="J28508" s="711"/>
      <c r="K28508" s="711"/>
      <c r="L28508" s="711"/>
      <c r="Q28508" s="11"/>
      <c r="R28508" s="11"/>
      <c r="S28508" s="11"/>
      <c r="T28508" s="11"/>
    </row>
    <row r="28509" spans="8:20" x14ac:dyDescent="0.35">
      <c r="H28509" s="711"/>
      <c r="I28509" s="711"/>
      <c r="J28509" s="711"/>
      <c r="K28509" s="711"/>
      <c r="L28509" s="711"/>
      <c r="Q28509" s="11"/>
      <c r="R28509" s="11"/>
      <c r="S28509" s="11"/>
      <c r="T28509" s="11"/>
    </row>
    <row r="28510" spans="8:20" x14ac:dyDescent="0.35">
      <c r="H28510" s="711"/>
      <c r="I28510" s="711"/>
      <c r="J28510" s="711"/>
      <c r="K28510" s="711"/>
      <c r="L28510" s="711"/>
      <c r="Q28510" s="11"/>
      <c r="R28510" s="11"/>
      <c r="S28510" s="11"/>
      <c r="T28510" s="11"/>
    </row>
    <row r="28511" spans="8:20" x14ac:dyDescent="0.35">
      <c r="H28511" s="711"/>
      <c r="I28511" s="711"/>
      <c r="J28511" s="711"/>
      <c r="K28511" s="711"/>
      <c r="L28511" s="711"/>
      <c r="Q28511" s="11"/>
      <c r="R28511" s="11"/>
      <c r="S28511" s="11"/>
      <c r="T28511" s="11"/>
    </row>
    <row r="28512" spans="8:20" x14ac:dyDescent="0.35">
      <c r="H28512" s="711"/>
      <c r="I28512" s="711"/>
      <c r="J28512" s="711"/>
      <c r="K28512" s="711"/>
      <c r="L28512" s="711"/>
      <c r="Q28512" s="11"/>
      <c r="R28512" s="11"/>
      <c r="S28512" s="11"/>
      <c r="T28512" s="11"/>
    </row>
    <row r="28513" spans="8:20" x14ac:dyDescent="0.35">
      <c r="H28513" s="711"/>
      <c r="I28513" s="711"/>
      <c r="J28513" s="711"/>
      <c r="K28513" s="711"/>
      <c r="L28513" s="711"/>
      <c r="Q28513" s="11"/>
      <c r="R28513" s="11"/>
      <c r="S28513" s="11"/>
      <c r="T28513" s="11"/>
    </row>
    <row r="28514" spans="8:20" x14ac:dyDescent="0.35">
      <c r="H28514" s="711"/>
      <c r="I28514" s="711"/>
      <c r="J28514" s="711"/>
      <c r="K28514" s="711"/>
      <c r="L28514" s="711"/>
      <c r="Q28514" s="11"/>
      <c r="R28514" s="11"/>
      <c r="S28514" s="11"/>
      <c r="T28514" s="11"/>
    </row>
    <row r="28515" spans="8:20" x14ac:dyDescent="0.35">
      <c r="H28515" s="711"/>
      <c r="I28515" s="711"/>
      <c r="J28515" s="711"/>
      <c r="K28515" s="711"/>
      <c r="L28515" s="711"/>
      <c r="Q28515" s="11"/>
      <c r="R28515" s="11"/>
      <c r="S28515" s="11"/>
      <c r="T28515" s="11"/>
    </row>
    <row r="28516" spans="8:20" x14ac:dyDescent="0.35">
      <c r="H28516" s="711"/>
      <c r="I28516" s="711"/>
      <c r="J28516" s="711"/>
      <c r="K28516" s="711"/>
      <c r="L28516" s="711"/>
      <c r="Q28516" s="11"/>
      <c r="R28516" s="11"/>
      <c r="S28516" s="11"/>
      <c r="T28516" s="11"/>
    </row>
    <row r="28517" spans="8:20" x14ac:dyDescent="0.35">
      <c r="H28517" s="711"/>
      <c r="I28517" s="711"/>
      <c r="J28517" s="711"/>
      <c r="K28517" s="711"/>
      <c r="L28517" s="711"/>
      <c r="Q28517" s="11"/>
      <c r="R28517" s="11"/>
      <c r="S28517" s="11"/>
      <c r="T28517" s="11"/>
    </row>
    <row r="28518" spans="8:20" x14ac:dyDescent="0.35">
      <c r="H28518" s="711"/>
      <c r="I28518" s="711"/>
      <c r="J28518" s="711"/>
      <c r="K28518" s="711"/>
      <c r="L28518" s="711"/>
      <c r="Q28518" s="11"/>
      <c r="R28518" s="11"/>
      <c r="S28518" s="11"/>
      <c r="T28518" s="11"/>
    </row>
    <row r="28519" spans="8:20" x14ac:dyDescent="0.35">
      <c r="H28519" s="711"/>
      <c r="I28519" s="711"/>
      <c r="J28519" s="711"/>
      <c r="K28519" s="711"/>
      <c r="L28519" s="711"/>
      <c r="Q28519" s="11"/>
      <c r="R28519" s="11"/>
      <c r="S28519" s="11"/>
      <c r="T28519" s="11"/>
    </row>
    <row r="28520" spans="8:20" x14ac:dyDescent="0.35">
      <c r="H28520" s="711"/>
      <c r="I28520" s="711"/>
      <c r="J28520" s="711"/>
      <c r="K28520" s="711"/>
      <c r="L28520" s="711"/>
      <c r="Q28520" s="11"/>
      <c r="R28520" s="11"/>
      <c r="S28520" s="11"/>
      <c r="T28520" s="11"/>
    </row>
    <row r="28521" spans="8:20" x14ac:dyDescent="0.35">
      <c r="H28521" s="711"/>
      <c r="I28521" s="711"/>
      <c r="J28521" s="711"/>
      <c r="K28521" s="711"/>
      <c r="L28521" s="711"/>
      <c r="Q28521" s="11"/>
      <c r="R28521" s="11"/>
      <c r="S28521" s="11"/>
      <c r="T28521" s="11"/>
    </row>
    <row r="28522" spans="8:20" x14ac:dyDescent="0.35">
      <c r="H28522" s="711"/>
      <c r="I28522" s="711"/>
      <c r="J28522" s="711"/>
      <c r="K28522" s="711"/>
      <c r="L28522" s="711"/>
      <c r="Q28522" s="11"/>
      <c r="R28522" s="11"/>
      <c r="S28522" s="11"/>
      <c r="T28522" s="11"/>
    </row>
    <row r="28523" spans="8:20" x14ac:dyDescent="0.35">
      <c r="H28523" s="711"/>
      <c r="I28523" s="711"/>
      <c r="J28523" s="711"/>
      <c r="K28523" s="711"/>
      <c r="L28523" s="711"/>
      <c r="Q28523" s="11"/>
      <c r="R28523" s="11"/>
      <c r="S28523" s="11"/>
      <c r="T28523" s="11"/>
    </row>
    <row r="28524" spans="8:20" x14ac:dyDescent="0.35">
      <c r="H28524" s="711"/>
      <c r="I28524" s="711"/>
      <c r="J28524" s="711"/>
      <c r="K28524" s="711"/>
      <c r="L28524" s="711"/>
      <c r="Q28524" s="11"/>
      <c r="R28524" s="11"/>
      <c r="S28524" s="11"/>
      <c r="T28524" s="11"/>
    </row>
    <row r="28525" spans="8:20" x14ac:dyDescent="0.35">
      <c r="H28525" s="711"/>
      <c r="I28525" s="711"/>
      <c r="J28525" s="711"/>
      <c r="K28525" s="711"/>
      <c r="L28525" s="711"/>
      <c r="Q28525" s="11"/>
      <c r="R28525" s="11"/>
      <c r="S28525" s="11"/>
      <c r="T28525" s="11"/>
    </row>
    <row r="28526" spans="8:20" x14ac:dyDescent="0.35">
      <c r="H28526" s="711"/>
      <c r="I28526" s="711"/>
      <c r="J28526" s="711"/>
      <c r="K28526" s="711"/>
      <c r="L28526" s="711"/>
      <c r="Q28526" s="11"/>
      <c r="R28526" s="11"/>
      <c r="S28526" s="11"/>
      <c r="T28526" s="11"/>
    </row>
    <row r="28527" spans="8:20" x14ac:dyDescent="0.35">
      <c r="H28527" s="711"/>
      <c r="I28527" s="711"/>
      <c r="J28527" s="711"/>
      <c r="K28527" s="711"/>
      <c r="L28527" s="711"/>
      <c r="Q28527" s="11"/>
      <c r="R28527" s="11"/>
      <c r="S28527" s="11"/>
      <c r="T28527" s="11"/>
    </row>
    <row r="28528" spans="8:20" x14ac:dyDescent="0.35">
      <c r="H28528" s="711"/>
      <c r="I28528" s="711"/>
      <c r="J28528" s="711"/>
      <c r="K28528" s="711"/>
      <c r="L28528" s="711"/>
      <c r="Q28528" s="11"/>
      <c r="R28528" s="11"/>
      <c r="S28528" s="11"/>
      <c r="T28528" s="11"/>
    </row>
    <row r="28529" spans="8:20" x14ac:dyDescent="0.35">
      <c r="H28529" s="711"/>
      <c r="I28529" s="711"/>
      <c r="J28529" s="711"/>
      <c r="K28529" s="711"/>
      <c r="L28529" s="711"/>
      <c r="Q28529" s="11"/>
      <c r="R28529" s="11"/>
      <c r="S28529" s="11"/>
      <c r="T28529" s="11"/>
    </row>
    <row r="28530" spans="8:20" x14ac:dyDescent="0.35">
      <c r="H28530" s="711"/>
      <c r="I28530" s="711"/>
      <c r="J28530" s="711"/>
      <c r="K28530" s="711"/>
      <c r="L28530" s="711"/>
      <c r="Q28530" s="11"/>
      <c r="R28530" s="11"/>
      <c r="S28530" s="11"/>
      <c r="T28530" s="11"/>
    </row>
    <row r="28531" spans="8:20" x14ac:dyDescent="0.35">
      <c r="H28531" s="711"/>
      <c r="I28531" s="711"/>
      <c r="J28531" s="711"/>
      <c r="K28531" s="711"/>
      <c r="L28531" s="711"/>
      <c r="Q28531" s="11"/>
      <c r="R28531" s="11"/>
      <c r="S28531" s="11"/>
      <c r="T28531" s="11"/>
    </row>
    <row r="28532" spans="8:20" x14ac:dyDescent="0.35">
      <c r="H28532" s="711"/>
      <c r="I28532" s="711"/>
      <c r="J28532" s="711"/>
      <c r="K28532" s="711"/>
      <c r="L28532" s="711"/>
      <c r="Q28532" s="11"/>
      <c r="R28532" s="11"/>
      <c r="S28532" s="11"/>
      <c r="T28532" s="11"/>
    </row>
    <row r="28533" spans="8:20" x14ac:dyDescent="0.35">
      <c r="H28533" s="711"/>
      <c r="I28533" s="711"/>
      <c r="J28533" s="711"/>
      <c r="K28533" s="711"/>
      <c r="L28533" s="711"/>
      <c r="Q28533" s="11"/>
      <c r="R28533" s="11"/>
      <c r="S28533" s="11"/>
      <c r="T28533" s="11"/>
    </row>
    <row r="28534" spans="8:20" x14ac:dyDescent="0.35">
      <c r="H28534" s="711"/>
      <c r="I28534" s="711"/>
      <c r="J28534" s="711"/>
      <c r="K28534" s="711"/>
      <c r="L28534" s="711"/>
      <c r="Q28534" s="11"/>
      <c r="R28534" s="11"/>
      <c r="S28534" s="11"/>
      <c r="T28534" s="11"/>
    </row>
    <row r="28535" spans="8:20" x14ac:dyDescent="0.35">
      <c r="H28535" s="711"/>
      <c r="I28535" s="711"/>
      <c r="J28535" s="711"/>
      <c r="K28535" s="711"/>
      <c r="L28535" s="711"/>
      <c r="Q28535" s="11"/>
      <c r="R28535" s="11"/>
      <c r="S28535" s="11"/>
      <c r="T28535" s="11"/>
    </row>
    <row r="28536" spans="8:20" x14ac:dyDescent="0.35">
      <c r="H28536" s="711"/>
      <c r="I28536" s="711"/>
      <c r="J28536" s="711"/>
      <c r="K28536" s="711"/>
      <c r="L28536" s="711"/>
      <c r="Q28536" s="11"/>
      <c r="R28536" s="11"/>
      <c r="S28536" s="11"/>
      <c r="T28536" s="11"/>
    </row>
    <row r="28537" spans="8:20" x14ac:dyDescent="0.35">
      <c r="H28537" s="711"/>
      <c r="I28537" s="711"/>
      <c r="J28537" s="711"/>
      <c r="K28537" s="711"/>
      <c r="L28537" s="711"/>
      <c r="Q28537" s="11"/>
      <c r="R28537" s="11"/>
      <c r="S28537" s="11"/>
      <c r="T28537" s="11"/>
    </row>
    <row r="28538" spans="8:20" x14ac:dyDescent="0.35">
      <c r="H28538" s="711"/>
      <c r="I28538" s="711"/>
      <c r="J28538" s="711"/>
      <c r="K28538" s="711"/>
      <c r="L28538" s="711"/>
      <c r="Q28538" s="11"/>
      <c r="R28538" s="11"/>
      <c r="S28538" s="11"/>
      <c r="T28538" s="11"/>
    </row>
    <row r="28539" spans="8:20" x14ac:dyDescent="0.35">
      <c r="H28539" s="711"/>
      <c r="I28539" s="711"/>
      <c r="J28539" s="711"/>
      <c r="K28539" s="711"/>
      <c r="L28539" s="711"/>
      <c r="Q28539" s="11"/>
      <c r="R28539" s="11"/>
      <c r="S28539" s="11"/>
      <c r="T28539" s="11"/>
    </row>
    <row r="28540" spans="8:20" x14ac:dyDescent="0.35">
      <c r="H28540" s="711"/>
      <c r="I28540" s="711"/>
      <c r="J28540" s="711"/>
      <c r="K28540" s="711"/>
      <c r="L28540" s="711"/>
      <c r="Q28540" s="11"/>
      <c r="R28540" s="11"/>
      <c r="S28540" s="11"/>
      <c r="T28540" s="11"/>
    </row>
    <row r="28541" spans="8:20" x14ac:dyDescent="0.35">
      <c r="H28541" s="711"/>
      <c r="I28541" s="711"/>
      <c r="J28541" s="711"/>
      <c r="K28541" s="711"/>
      <c r="L28541" s="711"/>
      <c r="Q28541" s="11"/>
      <c r="R28541" s="11"/>
      <c r="S28541" s="11"/>
      <c r="T28541" s="11"/>
    </row>
    <row r="28542" spans="8:20" x14ac:dyDescent="0.35">
      <c r="H28542" s="711"/>
      <c r="I28542" s="711"/>
      <c r="J28542" s="711"/>
      <c r="K28542" s="711"/>
      <c r="L28542" s="711"/>
      <c r="Q28542" s="11"/>
      <c r="R28542" s="11"/>
      <c r="S28542" s="11"/>
      <c r="T28542" s="11"/>
    </row>
    <row r="28543" spans="8:20" x14ac:dyDescent="0.35">
      <c r="H28543" s="711"/>
      <c r="I28543" s="711"/>
      <c r="J28543" s="711"/>
      <c r="K28543" s="711"/>
      <c r="L28543" s="711"/>
      <c r="Q28543" s="11"/>
      <c r="R28543" s="11"/>
      <c r="S28543" s="11"/>
      <c r="T28543" s="11"/>
    </row>
    <row r="28544" spans="8:20" x14ac:dyDescent="0.35">
      <c r="H28544" s="711"/>
      <c r="I28544" s="711"/>
      <c r="J28544" s="711"/>
      <c r="K28544" s="711"/>
      <c r="L28544" s="711"/>
      <c r="Q28544" s="11"/>
      <c r="R28544" s="11"/>
      <c r="S28544" s="11"/>
      <c r="T28544" s="11"/>
    </row>
    <row r="28545" spans="8:20" x14ac:dyDescent="0.35">
      <c r="H28545" s="711"/>
      <c r="I28545" s="711"/>
      <c r="J28545" s="711"/>
      <c r="K28545" s="711"/>
      <c r="L28545" s="711"/>
      <c r="Q28545" s="11"/>
      <c r="R28545" s="11"/>
      <c r="S28545" s="11"/>
      <c r="T28545" s="11"/>
    </row>
    <row r="28546" spans="8:20" x14ac:dyDescent="0.35">
      <c r="H28546" s="711"/>
      <c r="I28546" s="711"/>
      <c r="J28546" s="711"/>
      <c r="K28546" s="711"/>
      <c r="L28546" s="711"/>
      <c r="Q28546" s="11"/>
      <c r="R28546" s="11"/>
      <c r="S28546" s="11"/>
      <c r="T28546" s="11"/>
    </row>
    <row r="28547" spans="8:20" x14ac:dyDescent="0.35">
      <c r="H28547" s="711"/>
      <c r="I28547" s="711"/>
      <c r="J28547" s="711"/>
      <c r="K28547" s="711"/>
      <c r="L28547" s="711"/>
      <c r="Q28547" s="11"/>
      <c r="R28547" s="11"/>
      <c r="S28547" s="11"/>
      <c r="T28547" s="11"/>
    </row>
    <row r="28548" spans="8:20" x14ac:dyDescent="0.35">
      <c r="H28548" s="711"/>
      <c r="I28548" s="711"/>
      <c r="J28548" s="711"/>
      <c r="K28548" s="711"/>
      <c r="L28548" s="711"/>
      <c r="Q28548" s="11"/>
      <c r="R28548" s="11"/>
      <c r="S28548" s="11"/>
      <c r="T28548" s="11"/>
    </row>
    <row r="28549" spans="8:20" x14ac:dyDescent="0.35">
      <c r="H28549" s="711"/>
      <c r="I28549" s="711"/>
      <c r="J28549" s="711"/>
      <c r="K28549" s="711"/>
      <c r="L28549" s="711"/>
      <c r="Q28549" s="11"/>
      <c r="R28549" s="11"/>
      <c r="S28549" s="11"/>
      <c r="T28549" s="11"/>
    </row>
    <row r="28550" spans="8:20" x14ac:dyDescent="0.35">
      <c r="H28550" s="711"/>
      <c r="I28550" s="711"/>
      <c r="J28550" s="711"/>
      <c r="K28550" s="711"/>
      <c r="L28550" s="711"/>
      <c r="Q28550" s="11"/>
      <c r="R28550" s="11"/>
      <c r="S28550" s="11"/>
      <c r="T28550" s="11"/>
    </row>
    <row r="28551" spans="8:20" x14ac:dyDescent="0.35">
      <c r="H28551" s="711"/>
      <c r="I28551" s="711"/>
      <c r="J28551" s="711"/>
      <c r="K28551" s="711"/>
      <c r="L28551" s="711"/>
      <c r="Q28551" s="11"/>
      <c r="R28551" s="11"/>
      <c r="S28551" s="11"/>
      <c r="T28551" s="11"/>
    </row>
    <row r="28552" spans="8:20" x14ac:dyDescent="0.35">
      <c r="H28552" s="711"/>
      <c r="I28552" s="711"/>
      <c r="J28552" s="711"/>
      <c r="K28552" s="711"/>
      <c r="L28552" s="711"/>
      <c r="Q28552" s="11"/>
      <c r="R28552" s="11"/>
      <c r="S28552" s="11"/>
      <c r="T28552" s="11"/>
    </row>
    <row r="28553" spans="8:20" x14ac:dyDescent="0.35">
      <c r="H28553" s="711"/>
      <c r="I28553" s="711"/>
      <c r="J28553" s="711"/>
      <c r="K28553" s="711"/>
      <c r="L28553" s="711"/>
      <c r="Q28553" s="11"/>
      <c r="R28553" s="11"/>
      <c r="S28553" s="11"/>
      <c r="T28553" s="11"/>
    </row>
    <row r="28554" spans="8:20" x14ac:dyDescent="0.35">
      <c r="H28554" s="711"/>
      <c r="I28554" s="711"/>
      <c r="J28554" s="711"/>
      <c r="K28554" s="711"/>
      <c r="L28554" s="711"/>
      <c r="Q28554" s="11"/>
      <c r="R28554" s="11"/>
      <c r="S28554" s="11"/>
      <c r="T28554" s="11"/>
    </row>
    <row r="28555" spans="8:20" x14ac:dyDescent="0.35">
      <c r="H28555" s="711"/>
      <c r="I28555" s="711"/>
      <c r="J28555" s="711"/>
      <c r="K28555" s="711"/>
      <c r="L28555" s="711"/>
      <c r="Q28555" s="11"/>
      <c r="R28555" s="11"/>
      <c r="S28555" s="11"/>
      <c r="T28555" s="11"/>
    </row>
    <row r="28556" spans="8:20" x14ac:dyDescent="0.35">
      <c r="H28556" s="711"/>
      <c r="I28556" s="711"/>
      <c r="J28556" s="711"/>
      <c r="K28556" s="711"/>
      <c r="L28556" s="711"/>
      <c r="Q28556" s="11"/>
      <c r="R28556" s="11"/>
      <c r="S28556" s="11"/>
      <c r="T28556" s="11"/>
    </row>
    <row r="28557" spans="8:20" x14ac:dyDescent="0.35">
      <c r="H28557" s="711"/>
      <c r="I28557" s="711"/>
      <c r="J28557" s="711"/>
      <c r="K28557" s="711"/>
      <c r="L28557" s="711"/>
      <c r="Q28557" s="11"/>
      <c r="R28557" s="11"/>
      <c r="S28557" s="11"/>
      <c r="T28557" s="11"/>
    </row>
    <row r="28558" spans="8:20" x14ac:dyDescent="0.35">
      <c r="H28558" s="711"/>
      <c r="I28558" s="711"/>
      <c r="J28558" s="711"/>
      <c r="K28558" s="711"/>
      <c r="L28558" s="711"/>
      <c r="Q28558" s="11"/>
      <c r="R28558" s="11"/>
      <c r="S28558" s="11"/>
      <c r="T28558" s="11"/>
    </row>
    <row r="28559" spans="8:20" x14ac:dyDescent="0.35">
      <c r="H28559" s="711"/>
      <c r="I28559" s="711"/>
      <c r="J28559" s="711"/>
      <c r="K28559" s="711"/>
      <c r="L28559" s="711"/>
      <c r="Q28559" s="11"/>
      <c r="R28559" s="11"/>
      <c r="S28559" s="11"/>
      <c r="T28559" s="11"/>
    </row>
    <row r="28560" spans="8:20" x14ac:dyDescent="0.35">
      <c r="H28560" s="711"/>
      <c r="I28560" s="711"/>
      <c r="J28560" s="711"/>
      <c r="K28560" s="711"/>
      <c r="L28560" s="711"/>
      <c r="Q28560" s="11"/>
      <c r="R28560" s="11"/>
      <c r="S28560" s="11"/>
      <c r="T28560" s="11"/>
    </row>
    <row r="28561" spans="8:20" x14ac:dyDescent="0.35">
      <c r="H28561" s="711"/>
      <c r="I28561" s="711"/>
      <c r="J28561" s="711"/>
      <c r="K28561" s="711"/>
      <c r="L28561" s="711"/>
      <c r="Q28561" s="11"/>
      <c r="R28561" s="11"/>
      <c r="S28561" s="11"/>
      <c r="T28561" s="11"/>
    </row>
    <row r="28562" spans="8:20" x14ac:dyDescent="0.35">
      <c r="H28562" s="711"/>
      <c r="I28562" s="711"/>
      <c r="J28562" s="711"/>
      <c r="K28562" s="711"/>
      <c r="L28562" s="711"/>
      <c r="Q28562" s="11"/>
      <c r="R28562" s="11"/>
      <c r="S28562" s="11"/>
      <c r="T28562" s="11"/>
    </row>
    <row r="28563" spans="8:20" x14ac:dyDescent="0.35">
      <c r="H28563" s="711"/>
      <c r="I28563" s="711"/>
      <c r="J28563" s="711"/>
      <c r="K28563" s="711"/>
      <c r="L28563" s="711"/>
      <c r="Q28563" s="11"/>
      <c r="R28563" s="11"/>
      <c r="S28563" s="11"/>
      <c r="T28563" s="11"/>
    </row>
    <row r="28564" spans="8:20" x14ac:dyDescent="0.35">
      <c r="H28564" s="711"/>
      <c r="I28564" s="711"/>
      <c r="J28564" s="711"/>
      <c r="K28564" s="711"/>
      <c r="L28564" s="711"/>
      <c r="Q28564" s="11"/>
      <c r="R28564" s="11"/>
      <c r="S28564" s="11"/>
      <c r="T28564" s="11"/>
    </row>
    <row r="28565" spans="8:20" x14ac:dyDescent="0.35">
      <c r="H28565" s="711"/>
      <c r="I28565" s="711"/>
      <c r="J28565" s="711"/>
      <c r="K28565" s="711"/>
      <c r="L28565" s="711"/>
      <c r="Q28565" s="11"/>
      <c r="R28565" s="11"/>
      <c r="S28565" s="11"/>
      <c r="T28565" s="11"/>
    </row>
    <row r="28566" spans="8:20" x14ac:dyDescent="0.35">
      <c r="H28566" s="711"/>
      <c r="I28566" s="711"/>
      <c r="J28566" s="711"/>
      <c r="K28566" s="711"/>
      <c r="L28566" s="711"/>
      <c r="Q28566" s="11"/>
      <c r="R28566" s="11"/>
      <c r="S28566" s="11"/>
      <c r="T28566" s="11"/>
    </row>
    <row r="28567" spans="8:20" x14ac:dyDescent="0.35">
      <c r="H28567" s="711"/>
      <c r="I28567" s="711"/>
      <c r="J28567" s="711"/>
      <c r="K28567" s="711"/>
      <c r="L28567" s="711"/>
      <c r="Q28567" s="11"/>
      <c r="R28567" s="11"/>
      <c r="S28567" s="11"/>
      <c r="T28567" s="11"/>
    </row>
    <row r="28568" spans="8:20" x14ac:dyDescent="0.35">
      <c r="H28568" s="711"/>
      <c r="I28568" s="711"/>
      <c r="J28568" s="711"/>
      <c r="K28568" s="711"/>
      <c r="L28568" s="711"/>
      <c r="Q28568" s="11"/>
      <c r="R28568" s="11"/>
      <c r="S28568" s="11"/>
      <c r="T28568" s="11"/>
    </row>
    <row r="28569" spans="8:20" x14ac:dyDescent="0.35">
      <c r="H28569" s="711"/>
      <c r="I28569" s="711"/>
      <c r="J28569" s="711"/>
      <c r="K28569" s="711"/>
      <c r="L28569" s="711"/>
      <c r="Q28569" s="11"/>
      <c r="R28569" s="11"/>
      <c r="S28569" s="11"/>
      <c r="T28569" s="11"/>
    </row>
    <row r="28570" spans="8:20" x14ac:dyDescent="0.35">
      <c r="H28570" s="711"/>
      <c r="I28570" s="711"/>
      <c r="J28570" s="711"/>
      <c r="K28570" s="711"/>
      <c r="L28570" s="711"/>
      <c r="Q28570" s="11"/>
      <c r="R28570" s="11"/>
      <c r="S28570" s="11"/>
      <c r="T28570" s="11"/>
    </row>
    <row r="28571" spans="8:20" x14ac:dyDescent="0.35">
      <c r="H28571" s="711"/>
      <c r="I28571" s="711"/>
      <c r="J28571" s="711"/>
      <c r="K28571" s="711"/>
      <c r="L28571" s="711"/>
      <c r="Q28571" s="11"/>
      <c r="R28571" s="11"/>
      <c r="S28571" s="11"/>
      <c r="T28571" s="11"/>
    </row>
    <row r="28572" spans="8:20" x14ac:dyDescent="0.35">
      <c r="H28572" s="711"/>
      <c r="I28572" s="711"/>
      <c r="J28572" s="711"/>
      <c r="K28572" s="711"/>
      <c r="L28572" s="711"/>
      <c r="Q28572" s="11"/>
      <c r="R28572" s="11"/>
      <c r="S28572" s="11"/>
      <c r="T28572" s="11"/>
    </row>
    <row r="28573" spans="8:20" x14ac:dyDescent="0.35">
      <c r="H28573" s="711"/>
      <c r="I28573" s="711"/>
      <c r="J28573" s="711"/>
      <c r="K28573" s="711"/>
      <c r="L28573" s="711"/>
      <c r="Q28573" s="11"/>
      <c r="R28573" s="11"/>
      <c r="S28573" s="11"/>
      <c r="T28573" s="11"/>
    </row>
    <row r="28574" spans="8:20" x14ac:dyDescent="0.35">
      <c r="H28574" s="711"/>
      <c r="I28574" s="711"/>
      <c r="J28574" s="711"/>
      <c r="K28574" s="711"/>
      <c r="L28574" s="711"/>
      <c r="Q28574" s="11"/>
      <c r="R28574" s="11"/>
      <c r="S28574" s="11"/>
      <c r="T28574" s="11"/>
    </row>
    <row r="28575" spans="8:20" x14ac:dyDescent="0.35">
      <c r="H28575" s="711"/>
      <c r="I28575" s="711"/>
      <c r="J28575" s="711"/>
      <c r="K28575" s="711"/>
      <c r="L28575" s="711"/>
      <c r="Q28575" s="11"/>
      <c r="R28575" s="11"/>
      <c r="S28575" s="11"/>
      <c r="T28575" s="11"/>
    </row>
    <row r="28576" spans="8:20" x14ac:dyDescent="0.35">
      <c r="H28576" s="711"/>
      <c r="I28576" s="711"/>
      <c r="J28576" s="711"/>
      <c r="K28576" s="711"/>
      <c r="L28576" s="711"/>
      <c r="Q28576" s="11"/>
      <c r="R28576" s="11"/>
      <c r="S28576" s="11"/>
      <c r="T28576" s="11"/>
    </row>
    <row r="28577" spans="8:20" x14ac:dyDescent="0.35">
      <c r="H28577" s="711"/>
      <c r="I28577" s="711"/>
      <c r="J28577" s="711"/>
      <c r="K28577" s="711"/>
      <c r="L28577" s="711"/>
      <c r="Q28577" s="11"/>
      <c r="R28577" s="11"/>
      <c r="S28577" s="11"/>
      <c r="T28577" s="11"/>
    </row>
    <row r="28578" spans="8:20" x14ac:dyDescent="0.35">
      <c r="H28578" s="711"/>
      <c r="I28578" s="711"/>
      <c r="J28578" s="711"/>
      <c r="K28578" s="711"/>
      <c r="L28578" s="711"/>
      <c r="Q28578" s="11"/>
      <c r="R28578" s="11"/>
      <c r="S28578" s="11"/>
      <c r="T28578" s="11"/>
    </row>
    <row r="28579" spans="8:20" x14ac:dyDescent="0.35">
      <c r="H28579" s="711"/>
      <c r="I28579" s="711"/>
      <c r="J28579" s="711"/>
      <c r="K28579" s="711"/>
      <c r="L28579" s="711"/>
      <c r="Q28579" s="11"/>
      <c r="R28579" s="11"/>
      <c r="S28579" s="11"/>
      <c r="T28579" s="11"/>
    </row>
    <row r="28580" spans="8:20" x14ac:dyDescent="0.35">
      <c r="H28580" s="711"/>
      <c r="I28580" s="711"/>
      <c r="J28580" s="711"/>
      <c r="K28580" s="711"/>
      <c r="L28580" s="711"/>
      <c r="Q28580" s="11"/>
      <c r="R28580" s="11"/>
      <c r="S28580" s="11"/>
      <c r="T28580" s="11"/>
    </row>
    <row r="28581" spans="8:20" x14ac:dyDescent="0.35">
      <c r="H28581" s="711"/>
      <c r="I28581" s="711"/>
      <c r="J28581" s="711"/>
      <c r="K28581" s="711"/>
      <c r="L28581" s="711"/>
      <c r="Q28581" s="11"/>
      <c r="R28581" s="11"/>
      <c r="S28581" s="11"/>
      <c r="T28581" s="11"/>
    </row>
    <row r="28582" spans="8:20" x14ac:dyDescent="0.35">
      <c r="H28582" s="711"/>
      <c r="I28582" s="711"/>
      <c r="J28582" s="711"/>
      <c r="K28582" s="711"/>
      <c r="L28582" s="711"/>
      <c r="Q28582" s="11"/>
      <c r="R28582" s="11"/>
      <c r="S28582" s="11"/>
      <c r="T28582" s="11"/>
    </row>
    <row r="28583" spans="8:20" x14ac:dyDescent="0.35">
      <c r="H28583" s="711"/>
      <c r="I28583" s="711"/>
      <c r="J28583" s="711"/>
      <c r="K28583" s="711"/>
      <c r="L28583" s="711"/>
      <c r="Q28583" s="11"/>
      <c r="R28583" s="11"/>
      <c r="S28583" s="11"/>
      <c r="T28583" s="11"/>
    </row>
    <row r="28584" spans="8:20" x14ac:dyDescent="0.35">
      <c r="H28584" s="711"/>
      <c r="I28584" s="711"/>
      <c r="J28584" s="711"/>
      <c r="K28584" s="711"/>
      <c r="L28584" s="711"/>
      <c r="Q28584" s="11"/>
      <c r="R28584" s="11"/>
      <c r="S28584" s="11"/>
      <c r="T28584" s="11"/>
    </row>
    <row r="28585" spans="8:20" x14ac:dyDescent="0.35">
      <c r="H28585" s="711"/>
      <c r="I28585" s="711"/>
      <c r="J28585" s="711"/>
      <c r="K28585" s="711"/>
      <c r="L28585" s="711"/>
      <c r="Q28585" s="11"/>
      <c r="R28585" s="11"/>
      <c r="S28585" s="11"/>
      <c r="T28585" s="11"/>
    </row>
    <row r="28586" spans="8:20" x14ac:dyDescent="0.35">
      <c r="H28586" s="711"/>
      <c r="I28586" s="711"/>
      <c r="J28586" s="711"/>
      <c r="K28586" s="711"/>
      <c r="L28586" s="711"/>
      <c r="Q28586" s="11"/>
      <c r="R28586" s="11"/>
      <c r="S28586" s="11"/>
      <c r="T28586" s="11"/>
    </row>
    <row r="28587" spans="8:20" x14ac:dyDescent="0.35">
      <c r="H28587" s="711"/>
      <c r="I28587" s="711"/>
      <c r="J28587" s="711"/>
      <c r="K28587" s="711"/>
      <c r="L28587" s="711"/>
      <c r="Q28587" s="11"/>
      <c r="R28587" s="11"/>
      <c r="S28587" s="11"/>
      <c r="T28587" s="11"/>
    </row>
    <row r="28588" spans="8:20" x14ac:dyDescent="0.35">
      <c r="H28588" s="711"/>
      <c r="I28588" s="711"/>
      <c r="J28588" s="711"/>
      <c r="K28588" s="711"/>
      <c r="L28588" s="711"/>
      <c r="Q28588" s="11"/>
      <c r="R28588" s="11"/>
      <c r="S28588" s="11"/>
      <c r="T28588" s="11"/>
    </row>
    <row r="28589" spans="8:20" x14ac:dyDescent="0.35">
      <c r="H28589" s="711"/>
      <c r="I28589" s="711"/>
      <c r="J28589" s="711"/>
      <c r="K28589" s="711"/>
      <c r="L28589" s="711"/>
      <c r="Q28589" s="11"/>
      <c r="R28589" s="11"/>
      <c r="S28589" s="11"/>
      <c r="T28589" s="11"/>
    </row>
    <row r="28590" spans="8:20" x14ac:dyDescent="0.35">
      <c r="H28590" s="711"/>
      <c r="I28590" s="711"/>
      <c r="J28590" s="711"/>
      <c r="K28590" s="711"/>
      <c r="L28590" s="711"/>
      <c r="Q28590" s="11"/>
      <c r="R28590" s="11"/>
      <c r="S28590" s="11"/>
      <c r="T28590" s="11"/>
    </row>
    <row r="28591" spans="8:20" x14ac:dyDescent="0.35">
      <c r="H28591" s="711"/>
      <c r="I28591" s="711"/>
      <c r="J28591" s="711"/>
      <c r="K28591" s="711"/>
      <c r="L28591" s="711"/>
      <c r="Q28591" s="11"/>
      <c r="R28591" s="11"/>
      <c r="S28591" s="11"/>
      <c r="T28591" s="11"/>
    </row>
    <row r="28592" spans="8:20" x14ac:dyDescent="0.35">
      <c r="H28592" s="711"/>
      <c r="I28592" s="711"/>
      <c r="J28592" s="711"/>
      <c r="K28592" s="711"/>
      <c r="L28592" s="711"/>
      <c r="Q28592" s="11"/>
      <c r="R28592" s="11"/>
      <c r="S28592" s="11"/>
      <c r="T28592" s="11"/>
    </row>
    <row r="28593" spans="8:20" x14ac:dyDescent="0.35">
      <c r="H28593" s="711"/>
      <c r="I28593" s="711"/>
      <c r="J28593" s="711"/>
      <c r="K28593" s="711"/>
      <c r="L28593" s="711"/>
      <c r="Q28593" s="11"/>
      <c r="R28593" s="11"/>
      <c r="S28593" s="11"/>
      <c r="T28593" s="11"/>
    </row>
    <row r="28594" spans="8:20" x14ac:dyDescent="0.35">
      <c r="H28594" s="711"/>
      <c r="I28594" s="711"/>
      <c r="J28594" s="711"/>
      <c r="K28594" s="711"/>
      <c r="L28594" s="711"/>
      <c r="Q28594" s="11"/>
      <c r="R28594" s="11"/>
      <c r="S28594" s="11"/>
      <c r="T28594" s="11"/>
    </row>
    <row r="28595" spans="8:20" x14ac:dyDescent="0.35">
      <c r="H28595" s="711"/>
      <c r="I28595" s="711"/>
      <c r="J28595" s="711"/>
      <c r="K28595" s="711"/>
      <c r="L28595" s="711"/>
      <c r="Q28595" s="11"/>
      <c r="R28595" s="11"/>
      <c r="S28595" s="11"/>
      <c r="T28595" s="11"/>
    </row>
    <row r="28596" spans="8:20" x14ac:dyDescent="0.35">
      <c r="H28596" s="711"/>
      <c r="I28596" s="711"/>
      <c r="J28596" s="711"/>
      <c r="K28596" s="711"/>
      <c r="L28596" s="711"/>
      <c r="Q28596" s="11"/>
      <c r="R28596" s="11"/>
      <c r="S28596" s="11"/>
      <c r="T28596" s="11"/>
    </row>
    <row r="28597" spans="8:20" x14ac:dyDescent="0.35">
      <c r="H28597" s="711"/>
      <c r="I28597" s="711"/>
      <c r="J28597" s="711"/>
      <c r="K28597" s="711"/>
      <c r="L28597" s="711"/>
      <c r="Q28597" s="11"/>
      <c r="R28597" s="11"/>
      <c r="S28597" s="11"/>
      <c r="T28597" s="11"/>
    </row>
    <row r="28598" spans="8:20" x14ac:dyDescent="0.35">
      <c r="H28598" s="711"/>
      <c r="I28598" s="711"/>
      <c r="J28598" s="711"/>
      <c r="K28598" s="711"/>
      <c r="L28598" s="711"/>
      <c r="Q28598" s="11"/>
      <c r="R28598" s="11"/>
      <c r="S28598" s="11"/>
      <c r="T28598" s="11"/>
    </row>
    <row r="28599" spans="8:20" x14ac:dyDescent="0.35">
      <c r="H28599" s="711"/>
      <c r="I28599" s="711"/>
      <c r="J28599" s="711"/>
      <c r="K28599" s="711"/>
      <c r="L28599" s="711"/>
      <c r="Q28599" s="11"/>
      <c r="R28599" s="11"/>
      <c r="S28599" s="11"/>
      <c r="T28599" s="11"/>
    </row>
    <row r="28600" spans="8:20" x14ac:dyDescent="0.35">
      <c r="H28600" s="711"/>
      <c r="I28600" s="711"/>
      <c r="J28600" s="711"/>
      <c r="K28600" s="711"/>
      <c r="L28600" s="711"/>
      <c r="Q28600" s="11"/>
      <c r="R28600" s="11"/>
      <c r="S28600" s="11"/>
      <c r="T28600" s="11"/>
    </row>
    <row r="28601" spans="8:20" x14ac:dyDescent="0.35">
      <c r="H28601" s="711"/>
      <c r="I28601" s="711"/>
      <c r="J28601" s="711"/>
      <c r="K28601" s="711"/>
      <c r="L28601" s="711"/>
      <c r="Q28601" s="11"/>
      <c r="R28601" s="11"/>
      <c r="S28601" s="11"/>
      <c r="T28601" s="11"/>
    </row>
    <row r="28602" spans="8:20" x14ac:dyDescent="0.35">
      <c r="H28602" s="711"/>
      <c r="I28602" s="711"/>
      <c r="J28602" s="711"/>
      <c r="K28602" s="711"/>
      <c r="L28602" s="711"/>
      <c r="Q28602" s="11"/>
      <c r="R28602" s="11"/>
      <c r="S28602" s="11"/>
      <c r="T28602" s="11"/>
    </row>
    <row r="28603" spans="8:20" x14ac:dyDescent="0.35">
      <c r="H28603" s="711"/>
      <c r="I28603" s="711"/>
      <c r="J28603" s="711"/>
      <c r="K28603" s="711"/>
      <c r="L28603" s="711"/>
      <c r="Q28603" s="11"/>
      <c r="R28603" s="11"/>
      <c r="S28603" s="11"/>
      <c r="T28603" s="11"/>
    </row>
    <row r="28604" spans="8:20" x14ac:dyDescent="0.35">
      <c r="H28604" s="711"/>
      <c r="I28604" s="711"/>
      <c r="J28604" s="711"/>
      <c r="K28604" s="711"/>
      <c r="L28604" s="711"/>
      <c r="Q28604" s="11"/>
      <c r="R28604" s="11"/>
      <c r="S28604" s="11"/>
      <c r="T28604" s="11"/>
    </row>
    <row r="28605" spans="8:20" x14ac:dyDescent="0.35">
      <c r="H28605" s="711"/>
      <c r="I28605" s="711"/>
      <c r="J28605" s="711"/>
      <c r="K28605" s="711"/>
      <c r="L28605" s="711"/>
      <c r="Q28605" s="11"/>
      <c r="R28605" s="11"/>
      <c r="S28605" s="11"/>
      <c r="T28605" s="11"/>
    </row>
    <row r="28606" spans="8:20" x14ac:dyDescent="0.35">
      <c r="H28606" s="711"/>
      <c r="I28606" s="711"/>
      <c r="J28606" s="711"/>
      <c r="K28606" s="711"/>
      <c r="L28606" s="711"/>
      <c r="Q28606" s="11"/>
      <c r="R28606" s="11"/>
      <c r="S28606" s="11"/>
      <c r="T28606" s="11"/>
    </row>
    <row r="28607" spans="8:20" x14ac:dyDescent="0.35">
      <c r="H28607" s="711"/>
      <c r="I28607" s="711"/>
      <c r="J28607" s="711"/>
      <c r="K28607" s="711"/>
      <c r="L28607" s="711"/>
      <c r="Q28607" s="11"/>
      <c r="R28607" s="11"/>
      <c r="S28607" s="11"/>
      <c r="T28607" s="11"/>
    </row>
    <row r="28608" spans="8:20" x14ac:dyDescent="0.35">
      <c r="H28608" s="711"/>
      <c r="I28608" s="711"/>
      <c r="J28608" s="711"/>
      <c r="K28608" s="711"/>
      <c r="L28608" s="711"/>
      <c r="Q28608" s="11"/>
      <c r="R28608" s="11"/>
      <c r="S28608" s="11"/>
      <c r="T28608" s="11"/>
    </row>
    <row r="28609" spans="8:20" x14ac:dyDescent="0.35">
      <c r="H28609" s="711"/>
      <c r="I28609" s="711"/>
      <c r="J28609" s="711"/>
      <c r="K28609" s="711"/>
      <c r="L28609" s="711"/>
      <c r="Q28609" s="11"/>
      <c r="R28609" s="11"/>
      <c r="S28609" s="11"/>
      <c r="T28609" s="11"/>
    </row>
    <row r="28610" spans="8:20" x14ac:dyDescent="0.35">
      <c r="H28610" s="711"/>
      <c r="I28610" s="711"/>
      <c r="J28610" s="711"/>
      <c r="K28610" s="711"/>
      <c r="L28610" s="711"/>
      <c r="Q28610" s="11"/>
      <c r="R28610" s="11"/>
      <c r="S28610" s="11"/>
      <c r="T28610" s="11"/>
    </row>
    <row r="28611" spans="8:20" x14ac:dyDescent="0.35">
      <c r="H28611" s="711"/>
      <c r="I28611" s="711"/>
      <c r="J28611" s="711"/>
      <c r="K28611" s="711"/>
      <c r="L28611" s="711"/>
      <c r="Q28611" s="11"/>
      <c r="R28611" s="11"/>
      <c r="S28611" s="11"/>
      <c r="T28611" s="11"/>
    </row>
    <row r="28612" spans="8:20" x14ac:dyDescent="0.35">
      <c r="H28612" s="711"/>
      <c r="I28612" s="711"/>
      <c r="J28612" s="711"/>
      <c r="K28612" s="711"/>
      <c r="L28612" s="711"/>
      <c r="Q28612" s="11"/>
      <c r="R28612" s="11"/>
      <c r="S28612" s="11"/>
      <c r="T28612" s="11"/>
    </row>
    <row r="28613" spans="8:20" x14ac:dyDescent="0.35">
      <c r="H28613" s="711"/>
      <c r="I28613" s="711"/>
      <c r="J28613" s="711"/>
      <c r="K28613" s="711"/>
      <c r="L28613" s="711"/>
      <c r="Q28613" s="11"/>
      <c r="R28613" s="11"/>
      <c r="S28613" s="11"/>
      <c r="T28613" s="11"/>
    </row>
    <row r="28614" spans="8:20" x14ac:dyDescent="0.35">
      <c r="H28614" s="711"/>
      <c r="I28614" s="711"/>
      <c r="J28614" s="711"/>
      <c r="K28614" s="711"/>
      <c r="L28614" s="711"/>
      <c r="Q28614" s="11"/>
      <c r="R28614" s="11"/>
      <c r="S28614" s="11"/>
      <c r="T28614" s="11"/>
    </row>
    <row r="28615" spans="8:20" x14ac:dyDescent="0.35">
      <c r="H28615" s="711"/>
      <c r="I28615" s="711"/>
      <c r="J28615" s="711"/>
      <c r="K28615" s="711"/>
      <c r="L28615" s="711"/>
      <c r="Q28615" s="11"/>
      <c r="R28615" s="11"/>
      <c r="S28615" s="11"/>
      <c r="T28615" s="11"/>
    </row>
    <row r="28616" spans="8:20" x14ac:dyDescent="0.35">
      <c r="H28616" s="711"/>
      <c r="I28616" s="711"/>
      <c r="J28616" s="711"/>
      <c r="K28616" s="711"/>
      <c r="L28616" s="711"/>
      <c r="Q28616" s="11"/>
      <c r="R28616" s="11"/>
      <c r="S28616" s="11"/>
      <c r="T28616" s="11"/>
    </row>
    <row r="28617" spans="8:20" x14ac:dyDescent="0.35">
      <c r="H28617" s="711"/>
      <c r="I28617" s="711"/>
      <c r="J28617" s="711"/>
      <c r="K28617" s="711"/>
      <c r="L28617" s="711"/>
      <c r="Q28617" s="11"/>
      <c r="R28617" s="11"/>
      <c r="S28617" s="11"/>
      <c r="T28617" s="11"/>
    </row>
    <row r="28618" spans="8:20" x14ac:dyDescent="0.35">
      <c r="H28618" s="711"/>
      <c r="I28618" s="711"/>
      <c r="J28618" s="711"/>
      <c r="K28618" s="711"/>
      <c r="L28618" s="711"/>
      <c r="Q28618" s="11"/>
      <c r="R28618" s="11"/>
      <c r="S28618" s="11"/>
      <c r="T28618" s="11"/>
    </row>
    <row r="28619" spans="8:20" x14ac:dyDescent="0.35">
      <c r="H28619" s="711"/>
      <c r="I28619" s="711"/>
      <c r="J28619" s="711"/>
      <c r="K28619" s="711"/>
      <c r="L28619" s="711"/>
      <c r="Q28619" s="11"/>
      <c r="R28619" s="11"/>
      <c r="S28619" s="11"/>
      <c r="T28619" s="11"/>
    </row>
    <row r="28620" spans="8:20" x14ac:dyDescent="0.35">
      <c r="H28620" s="711"/>
      <c r="I28620" s="711"/>
      <c r="J28620" s="711"/>
      <c r="K28620" s="711"/>
      <c r="L28620" s="711"/>
      <c r="Q28620" s="11"/>
      <c r="R28620" s="11"/>
      <c r="S28620" s="11"/>
      <c r="T28620" s="11"/>
    </row>
    <row r="28621" spans="8:20" x14ac:dyDescent="0.35">
      <c r="H28621" s="711"/>
      <c r="I28621" s="711"/>
      <c r="J28621" s="711"/>
      <c r="K28621" s="711"/>
      <c r="L28621" s="711"/>
      <c r="Q28621" s="11"/>
      <c r="R28621" s="11"/>
      <c r="S28621" s="11"/>
      <c r="T28621" s="11"/>
    </row>
    <row r="28622" spans="8:20" x14ac:dyDescent="0.35">
      <c r="H28622" s="711"/>
      <c r="I28622" s="711"/>
      <c r="J28622" s="711"/>
      <c r="K28622" s="711"/>
      <c r="L28622" s="711"/>
      <c r="Q28622" s="11"/>
      <c r="R28622" s="11"/>
      <c r="S28622" s="11"/>
      <c r="T28622" s="11"/>
    </row>
    <row r="28623" spans="8:20" x14ac:dyDescent="0.35">
      <c r="H28623" s="711"/>
      <c r="I28623" s="711"/>
      <c r="J28623" s="711"/>
      <c r="K28623" s="711"/>
      <c r="L28623" s="711"/>
      <c r="Q28623" s="11"/>
      <c r="R28623" s="11"/>
      <c r="S28623" s="11"/>
      <c r="T28623" s="11"/>
    </row>
    <row r="28624" spans="8:20" x14ac:dyDescent="0.35">
      <c r="H28624" s="711"/>
      <c r="I28624" s="711"/>
      <c r="J28624" s="711"/>
      <c r="K28624" s="711"/>
      <c r="L28624" s="711"/>
      <c r="Q28624" s="11"/>
      <c r="R28624" s="11"/>
      <c r="S28624" s="11"/>
      <c r="T28624" s="11"/>
    </row>
    <row r="28625" spans="8:20" x14ac:dyDescent="0.35">
      <c r="H28625" s="711"/>
      <c r="I28625" s="711"/>
      <c r="J28625" s="711"/>
      <c r="K28625" s="711"/>
      <c r="L28625" s="711"/>
      <c r="Q28625" s="11"/>
      <c r="R28625" s="11"/>
      <c r="S28625" s="11"/>
      <c r="T28625" s="11"/>
    </row>
    <row r="28626" spans="8:20" x14ac:dyDescent="0.35">
      <c r="H28626" s="711"/>
      <c r="I28626" s="711"/>
      <c r="J28626" s="711"/>
      <c r="K28626" s="711"/>
      <c r="L28626" s="711"/>
      <c r="Q28626" s="11"/>
      <c r="R28626" s="11"/>
      <c r="S28626" s="11"/>
      <c r="T28626" s="11"/>
    </row>
    <row r="28627" spans="8:20" x14ac:dyDescent="0.35">
      <c r="H28627" s="711"/>
      <c r="I28627" s="711"/>
      <c r="J28627" s="711"/>
      <c r="K28627" s="711"/>
      <c r="L28627" s="711"/>
      <c r="Q28627" s="11"/>
      <c r="R28627" s="11"/>
      <c r="S28627" s="11"/>
      <c r="T28627" s="11"/>
    </row>
    <row r="28628" spans="8:20" x14ac:dyDescent="0.35">
      <c r="H28628" s="711"/>
      <c r="I28628" s="711"/>
      <c r="J28628" s="711"/>
      <c r="K28628" s="711"/>
      <c r="L28628" s="711"/>
      <c r="Q28628" s="11"/>
      <c r="R28628" s="11"/>
      <c r="S28628" s="11"/>
      <c r="T28628" s="11"/>
    </row>
    <row r="28629" spans="8:20" x14ac:dyDescent="0.35">
      <c r="H28629" s="711"/>
      <c r="I28629" s="711"/>
      <c r="J28629" s="711"/>
      <c r="K28629" s="711"/>
      <c r="L28629" s="711"/>
      <c r="Q28629" s="11"/>
      <c r="R28629" s="11"/>
      <c r="S28629" s="11"/>
      <c r="T28629" s="11"/>
    </row>
    <row r="28630" spans="8:20" x14ac:dyDescent="0.35">
      <c r="H28630" s="711"/>
      <c r="I28630" s="711"/>
      <c r="J28630" s="711"/>
      <c r="K28630" s="711"/>
      <c r="L28630" s="711"/>
      <c r="Q28630" s="11"/>
      <c r="R28630" s="11"/>
      <c r="S28630" s="11"/>
      <c r="T28630" s="11"/>
    </row>
    <row r="28631" spans="8:20" x14ac:dyDescent="0.35">
      <c r="H28631" s="711"/>
      <c r="I28631" s="711"/>
      <c r="J28631" s="711"/>
      <c r="K28631" s="711"/>
      <c r="L28631" s="711"/>
      <c r="Q28631" s="11"/>
      <c r="R28631" s="11"/>
      <c r="S28631" s="11"/>
      <c r="T28631" s="11"/>
    </row>
    <row r="28632" spans="8:20" x14ac:dyDescent="0.35">
      <c r="H28632" s="711"/>
      <c r="I28632" s="711"/>
      <c r="J28632" s="711"/>
      <c r="K28632" s="711"/>
      <c r="L28632" s="711"/>
      <c r="Q28632" s="11"/>
      <c r="R28632" s="11"/>
      <c r="S28632" s="11"/>
      <c r="T28632" s="11"/>
    </row>
    <row r="28633" spans="8:20" x14ac:dyDescent="0.35">
      <c r="H28633" s="711"/>
      <c r="I28633" s="711"/>
      <c r="J28633" s="711"/>
      <c r="K28633" s="711"/>
      <c r="L28633" s="711"/>
      <c r="Q28633" s="11"/>
      <c r="R28633" s="11"/>
      <c r="S28633" s="11"/>
      <c r="T28633" s="11"/>
    </row>
    <row r="28634" spans="8:20" x14ac:dyDescent="0.35">
      <c r="H28634" s="711"/>
      <c r="I28634" s="711"/>
      <c r="J28634" s="711"/>
      <c r="K28634" s="711"/>
      <c r="L28634" s="711"/>
      <c r="Q28634" s="11"/>
      <c r="R28634" s="11"/>
      <c r="S28634" s="11"/>
      <c r="T28634" s="11"/>
    </row>
    <row r="28635" spans="8:20" x14ac:dyDescent="0.35">
      <c r="H28635" s="711"/>
      <c r="I28635" s="711"/>
      <c r="J28635" s="711"/>
      <c r="K28635" s="711"/>
      <c r="L28635" s="711"/>
      <c r="Q28635" s="11"/>
      <c r="R28635" s="11"/>
      <c r="S28635" s="11"/>
      <c r="T28635" s="11"/>
    </row>
    <row r="28636" spans="8:20" x14ac:dyDescent="0.35">
      <c r="H28636" s="711"/>
      <c r="I28636" s="711"/>
      <c r="J28636" s="711"/>
      <c r="K28636" s="711"/>
      <c r="L28636" s="711"/>
      <c r="Q28636" s="11"/>
      <c r="R28636" s="11"/>
      <c r="S28636" s="11"/>
      <c r="T28636" s="11"/>
    </row>
    <row r="28637" spans="8:20" x14ac:dyDescent="0.35">
      <c r="H28637" s="711"/>
      <c r="I28637" s="711"/>
      <c r="J28637" s="711"/>
      <c r="K28637" s="711"/>
      <c r="L28637" s="711"/>
      <c r="Q28637" s="11"/>
      <c r="R28637" s="11"/>
      <c r="S28637" s="11"/>
      <c r="T28637" s="11"/>
    </row>
    <row r="28638" spans="8:20" x14ac:dyDescent="0.35">
      <c r="H28638" s="711"/>
      <c r="I28638" s="711"/>
      <c r="J28638" s="711"/>
      <c r="K28638" s="711"/>
      <c r="L28638" s="711"/>
      <c r="Q28638" s="11"/>
      <c r="R28638" s="11"/>
      <c r="S28638" s="11"/>
      <c r="T28638" s="11"/>
    </row>
    <row r="28639" spans="8:20" x14ac:dyDescent="0.35">
      <c r="H28639" s="711"/>
      <c r="I28639" s="711"/>
      <c r="J28639" s="711"/>
      <c r="K28639" s="711"/>
      <c r="L28639" s="711"/>
      <c r="Q28639" s="11"/>
      <c r="R28639" s="11"/>
      <c r="S28639" s="11"/>
      <c r="T28639" s="11"/>
    </row>
    <row r="28640" spans="8:20" x14ac:dyDescent="0.35">
      <c r="H28640" s="711"/>
      <c r="I28640" s="711"/>
      <c r="J28640" s="711"/>
      <c r="K28640" s="711"/>
      <c r="L28640" s="711"/>
      <c r="Q28640" s="11"/>
      <c r="R28640" s="11"/>
      <c r="S28640" s="11"/>
      <c r="T28640" s="11"/>
    </row>
    <row r="28641" spans="8:20" x14ac:dyDescent="0.35">
      <c r="H28641" s="711"/>
      <c r="I28641" s="711"/>
      <c r="J28641" s="711"/>
      <c r="K28641" s="711"/>
      <c r="L28641" s="711"/>
      <c r="Q28641" s="11"/>
      <c r="R28641" s="11"/>
      <c r="S28641" s="11"/>
      <c r="T28641" s="11"/>
    </row>
    <row r="28642" spans="8:20" x14ac:dyDescent="0.35">
      <c r="H28642" s="711"/>
      <c r="I28642" s="711"/>
      <c r="J28642" s="711"/>
      <c r="K28642" s="711"/>
      <c r="L28642" s="711"/>
      <c r="Q28642" s="11"/>
      <c r="R28642" s="11"/>
      <c r="S28642" s="11"/>
      <c r="T28642" s="11"/>
    </row>
    <row r="28643" spans="8:20" x14ac:dyDescent="0.35">
      <c r="H28643" s="711"/>
      <c r="I28643" s="711"/>
      <c r="J28643" s="711"/>
      <c r="K28643" s="711"/>
      <c r="L28643" s="711"/>
      <c r="Q28643" s="11"/>
      <c r="R28643" s="11"/>
      <c r="S28643" s="11"/>
      <c r="T28643" s="11"/>
    </row>
    <row r="28644" spans="8:20" x14ac:dyDescent="0.35">
      <c r="H28644" s="711"/>
      <c r="I28644" s="711"/>
      <c r="J28644" s="711"/>
      <c r="K28644" s="711"/>
      <c r="L28644" s="711"/>
      <c r="Q28644" s="11"/>
      <c r="R28644" s="11"/>
      <c r="S28644" s="11"/>
      <c r="T28644" s="11"/>
    </row>
    <row r="28645" spans="8:20" x14ac:dyDescent="0.35">
      <c r="H28645" s="711"/>
      <c r="I28645" s="711"/>
      <c r="J28645" s="711"/>
      <c r="K28645" s="711"/>
      <c r="L28645" s="711"/>
      <c r="Q28645" s="11"/>
      <c r="R28645" s="11"/>
      <c r="S28645" s="11"/>
      <c r="T28645" s="11"/>
    </row>
    <row r="28646" spans="8:20" x14ac:dyDescent="0.35">
      <c r="H28646" s="711"/>
      <c r="I28646" s="711"/>
      <c r="J28646" s="711"/>
      <c r="K28646" s="711"/>
      <c r="L28646" s="711"/>
      <c r="Q28646" s="11"/>
      <c r="R28646" s="11"/>
      <c r="S28646" s="11"/>
      <c r="T28646" s="11"/>
    </row>
    <row r="28647" spans="8:20" x14ac:dyDescent="0.35">
      <c r="H28647" s="711"/>
      <c r="I28647" s="711"/>
      <c r="J28647" s="711"/>
      <c r="K28647" s="711"/>
      <c r="L28647" s="711"/>
      <c r="Q28647" s="11"/>
      <c r="R28647" s="11"/>
      <c r="S28647" s="11"/>
      <c r="T28647" s="11"/>
    </row>
    <row r="28648" spans="8:20" x14ac:dyDescent="0.35">
      <c r="H28648" s="711"/>
      <c r="I28648" s="711"/>
      <c r="J28648" s="711"/>
      <c r="K28648" s="711"/>
      <c r="L28648" s="711"/>
      <c r="Q28648" s="11"/>
      <c r="R28648" s="11"/>
      <c r="S28648" s="11"/>
      <c r="T28648" s="11"/>
    </row>
    <row r="28649" spans="8:20" x14ac:dyDescent="0.35">
      <c r="H28649" s="711"/>
      <c r="I28649" s="711"/>
      <c r="J28649" s="711"/>
      <c r="K28649" s="711"/>
      <c r="L28649" s="711"/>
      <c r="Q28649" s="11"/>
      <c r="R28649" s="11"/>
      <c r="S28649" s="11"/>
      <c r="T28649" s="11"/>
    </row>
    <row r="28650" spans="8:20" x14ac:dyDescent="0.35">
      <c r="H28650" s="711"/>
      <c r="I28650" s="711"/>
      <c r="J28650" s="711"/>
      <c r="K28650" s="711"/>
      <c r="L28650" s="711"/>
      <c r="Q28650" s="11"/>
      <c r="R28650" s="11"/>
      <c r="S28650" s="11"/>
      <c r="T28650" s="11"/>
    </row>
    <row r="28651" spans="8:20" x14ac:dyDescent="0.35">
      <c r="H28651" s="711"/>
      <c r="I28651" s="711"/>
      <c r="J28651" s="711"/>
      <c r="K28651" s="711"/>
      <c r="L28651" s="711"/>
      <c r="Q28651" s="11"/>
      <c r="R28651" s="11"/>
      <c r="S28651" s="11"/>
      <c r="T28651" s="11"/>
    </row>
    <row r="28652" spans="8:20" x14ac:dyDescent="0.35">
      <c r="H28652" s="711"/>
      <c r="I28652" s="711"/>
      <c r="J28652" s="711"/>
      <c r="K28652" s="711"/>
      <c r="L28652" s="711"/>
      <c r="Q28652" s="11"/>
      <c r="R28652" s="11"/>
      <c r="S28652" s="11"/>
      <c r="T28652" s="11"/>
    </row>
    <row r="28653" spans="8:20" x14ac:dyDescent="0.35">
      <c r="H28653" s="711"/>
      <c r="I28653" s="711"/>
      <c r="J28653" s="711"/>
      <c r="K28653" s="711"/>
      <c r="L28653" s="711"/>
      <c r="Q28653" s="11"/>
      <c r="R28653" s="11"/>
      <c r="S28653" s="11"/>
      <c r="T28653" s="11"/>
    </row>
    <row r="28654" spans="8:20" x14ac:dyDescent="0.35">
      <c r="H28654" s="711"/>
      <c r="I28654" s="711"/>
      <c r="J28654" s="711"/>
      <c r="K28654" s="711"/>
      <c r="L28654" s="711"/>
      <c r="Q28654" s="11"/>
      <c r="R28654" s="11"/>
      <c r="S28654" s="11"/>
      <c r="T28654" s="11"/>
    </row>
    <row r="28655" spans="8:20" x14ac:dyDescent="0.35">
      <c r="H28655" s="711"/>
      <c r="I28655" s="711"/>
      <c r="J28655" s="711"/>
      <c r="K28655" s="711"/>
      <c r="L28655" s="711"/>
      <c r="Q28655" s="11"/>
      <c r="R28655" s="11"/>
      <c r="S28655" s="11"/>
      <c r="T28655" s="11"/>
    </row>
    <row r="28656" spans="8:20" x14ac:dyDescent="0.35">
      <c r="H28656" s="711"/>
      <c r="I28656" s="711"/>
      <c r="J28656" s="711"/>
      <c r="K28656" s="711"/>
      <c r="L28656" s="711"/>
      <c r="Q28656" s="11"/>
      <c r="R28656" s="11"/>
      <c r="S28656" s="11"/>
      <c r="T28656" s="11"/>
    </row>
    <row r="28657" spans="8:20" x14ac:dyDescent="0.35">
      <c r="H28657" s="711"/>
      <c r="I28657" s="711"/>
      <c r="J28657" s="711"/>
      <c r="K28657" s="711"/>
      <c r="L28657" s="711"/>
      <c r="Q28657" s="11"/>
      <c r="R28657" s="11"/>
      <c r="S28657" s="11"/>
      <c r="T28657" s="11"/>
    </row>
    <row r="28658" spans="8:20" x14ac:dyDescent="0.35">
      <c r="H28658" s="711"/>
      <c r="I28658" s="711"/>
      <c r="J28658" s="711"/>
      <c r="K28658" s="711"/>
      <c r="L28658" s="711"/>
      <c r="Q28658" s="11"/>
      <c r="R28658" s="11"/>
      <c r="S28658" s="11"/>
      <c r="T28658" s="11"/>
    </row>
    <row r="28659" spans="8:20" x14ac:dyDescent="0.35">
      <c r="H28659" s="711"/>
      <c r="I28659" s="711"/>
      <c r="J28659" s="711"/>
      <c r="K28659" s="711"/>
      <c r="L28659" s="711"/>
      <c r="Q28659" s="11"/>
      <c r="R28659" s="11"/>
      <c r="S28659" s="11"/>
      <c r="T28659" s="11"/>
    </row>
    <row r="28660" spans="8:20" x14ac:dyDescent="0.35">
      <c r="H28660" s="711"/>
      <c r="I28660" s="711"/>
      <c r="J28660" s="711"/>
      <c r="K28660" s="711"/>
      <c r="L28660" s="711"/>
      <c r="Q28660" s="11"/>
      <c r="R28660" s="11"/>
      <c r="S28660" s="11"/>
      <c r="T28660" s="11"/>
    </row>
    <row r="28661" spans="8:20" x14ac:dyDescent="0.35">
      <c r="H28661" s="711"/>
      <c r="I28661" s="711"/>
      <c r="J28661" s="711"/>
      <c r="K28661" s="711"/>
      <c r="L28661" s="711"/>
      <c r="Q28661" s="11"/>
      <c r="R28661" s="11"/>
      <c r="S28661" s="11"/>
      <c r="T28661" s="11"/>
    </row>
    <row r="28662" spans="8:20" x14ac:dyDescent="0.35">
      <c r="H28662" s="711"/>
      <c r="I28662" s="711"/>
      <c r="J28662" s="711"/>
      <c r="K28662" s="711"/>
      <c r="L28662" s="711"/>
      <c r="Q28662" s="11"/>
      <c r="R28662" s="11"/>
      <c r="S28662" s="11"/>
      <c r="T28662" s="11"/>
    </row>
    <row r="28663" spans="8:20" x14ac:dyDescent="0.35">
      <c r="H28663" s="711"/>
      <c r="I28663" s="711"/>
      <c r="J28663" s="711"/>
      <c r="K28663" s="711"/>
      <c r="L28663" s="711"/>
      <c r="Q28663" s="11"/>
      <c r="R28663" s="11"/>
      <c r="S28663" s="11"/>
      <c r="T28663" s="11"/>
    </row>
    <row r="28664" spans="8:20" x14ac:dyDescent="0.35">
      <c r="H28664" s="711"/>
      <c r="I28664" s="711"/>
      <c r="J28664" s="711"/>
      <c r="K28664" s="711"/>
      <c r="L28664" s="711"/>
      <c r="Q28664" s="11"/>
      <c r="R28664" s="11"/>
      <c r="S28664" s="11"/>
      <c r="T28664" s="11"/>
    </row>
    <row r="28665" spans="8:20" x14ac:dyDescent="0.35">
      <c r="H28665" s="711"/>
      <c r="I28665" s="711"/>
      <c r="J28665" s="711"/>
      <c r="K28665" s="711"/>
      <c r="L28665" s="711"/>
      <c r="Q28665" s="11"/>
      <c r="R28665" s="11"/>
      <c r="S28665" s="11"/>
      <c r="T28665" s="11"/>
    </row>
    <row r="28666" spans="8:20" x14ac:dyDescent="0.35">
      <c r="H28666" s="711"/>
      <c r="I28666" s="711"/>
      <c r="J28666" s="711"/>
      <c r="K28666" s="711"/>
      <c r="L28666" s="711"/>
      <c r="Q28666" s="11"/>
      <c r="R28666" s="11"/>
      <c r="S28666" s="11"/>
      <c r="T28666" s="11"/>
    </row>
    <row r="28667" spans="8:20" x14ac:dyDescent="0.35">
      <c r="H28667" s="711"/>
      <c r="I28667" s="711"/>
      <c r="J28667" s="711"/>
      <c r="K28667" s="711"/>
      <c r="L28667" s="711"/>
      <c r="Q28667" s="11"/>
      <c r="R28667" s="11"/>
      <c r="S28667" s="11"/>
      <c r="T28667" s="11"/>
    </row>
    <row r="28668" spans="8:20" x14ac:dyDescent="0.35">
      <c r="H28668" s="711"/>
      <c r="I28668" s="711"/>
      <c r="J28668" s="711"/>
      <c r="K28668" s="711"/>
      <c r="L28668" s="711"/>
      <c r="Q28668" s="11"/>
      <c r="R28668" s="11"/>
      <c r="S28668" s="11"/>
      <c r="T28668" s="11"/>
    </row>
    <row r="28669" spans="8:20" x14ac:dyDescent="0.35">
      <c r="H28669" s="711"/>
      <c r="I28669" s="711"/>
      <c r="J28669" s="711"/>
      <c r="K28669" s="711"/>
      <c r="L28669" s="711"/>
      <c r="Q28669" s="11"/>
      <c r="R28669" s="11"/>
      <c r="S28669" s="11"/>
      <c r="T28669" s="11"/>
    </row>
    <row r="28670" spans="8:20" x14ac:dyDescent="0.35">
      <c r="H28670" s="711"/>
      <c r="I28670" s="711"/>
      <c r="J28670" s="711"/>
      <c r="K28670" s="711"/>
      <c r="L28670" s="711"/>
      <c r="Q28670" s="11"/>
      <c r="R28670" s="11"/>
      <c r="S28670" s="11"/>
      <c r="T28670" s="11"/>
    </row>
    <row r="28671" spans="8:20" x14ac:dyDescent="0.35">
      <c r="H28671" s="711"/>
      <c r="I28671" s="711"/>
      <c r="J28671" s="711"/>
      <c r="K28671" s="711"/>
      <c r="L28671" s="711"/>
      <c r="Q28671" s="11"/>
      <c r="R28671" s="11"/>
      <c r="S28671" s="11"/>
      <c r="T28671" s="11"/>
    </row>
    <row r="28672" spans="8:20" x14ac:dyDescent="0.35">
      <c r="H28672" s="711"/>
      <c r="I28672" s="711"/>
      <c r="J28672" s="711"/>
      <c r="K28672" s="711"/>
      <c r="L28672" s="711"/>
      <c r="Q28672" s="11"/>
      <c r="R28672" s="11"/>
      <c r="S28672" s="11"/>
      <c r="T28672" s="11"/>
    </row>
    <row r="28673" spans="8:20" x14ac:dyDescent="0.35">
      <c r="H28673" s="711"/>
      <c r="I28673" s="711"/>
      <c r="J28673" s="711"/>
      <c r="K28673" s="711"/>
      <c r="L28673" s="711"/>
      <c r="Q28673" s="11"/>
      <c r="R28673" s="11"/>
      <c r="S28673" s="11"/>
      <c r="T28673" s="11"/>
    </row>
    <row r="28674" spans="8:20" x14ac:dyDescent="0.35">
      <c r="H28674" s="711"/>
      <c r="I28674" s="711"/>
      <c r="J28674" s="711"/>
      <c r="K28674" s="711"/>
      <c r="L28674" s="711"/>
      <c r="Q28674" s="11"/>
      <c r="R28674" s="11"/>
      <c r="S28674" s="11"/>
      <c r="T28674" s="11"/>
    </row>
    <row r="28675" spans="8:20" x14ac:dyDescent="0.35">
      <c r="H28675" s="711"/>
      <c r="I28675" s="711"/>
      <c r="J28675" s="711"/>
      <c r="K28675" s="711"/>
      <c r="L28675" s="711"/>
      <c r="Q28675" s="11"/>
      <c r="R28675" s="11"/>
      <c r="S28675" s="11"/>
      <c r="T28675" s="11"/>
    </row>
    <row r="28676" spans="8:20" x14ac:dyDescent="0.35">
      <c r="H28676" s="711"/>
      <c r="I28676" s="711"/>
      <c r="J28676" s="711"/>
      <c r="K28676" s="711"/>
      <c r="L28676" s="711"/>
      <c r="Q28676" s="11"/>
      <c r="R28676" s="11"/>
      <c r="S28676" s="11"/>
      <c r="T28676" s="11"/>
    </row>
    <row r="28677" spans="8:20" x14ac:dyDescent="0.35">
      <c r="H28677" s="711"/>
      <c r="I28677" s="711"/>
      <c r="J28677" s="711"/>
      <c r="K28677" s="711"/>
      <c r="L28677" s="711"/>
      <c r="Q28677" s="11"/>
      <c r="R28677" s="11"/>
      <c r="S28677" s="11"/>
      <c r="T28677" s="11"/>
    </row>
    <row r="28678" spans="8:20" x14ac:dyDescent="0.35">
      <c r="H28678" s="711"/>
      <c r="I28678" s="711"/>
      <c r="J28678" s="711"/>
      <c r="K28678" s="711"/>
      <c r="L28678" s="711"/>
      <c r="Q28678" s="11"/>
      <c r="R28678" s="11"/>
      <c r="S28678" s="11"/>
      <c r="T28678" s="11"/>
    </row>
    <row r="28679" spans="8:20" x14ac:dyDescent="0.35">
      <c r="H28679" s="711"/>
      <c r="I28679" s="711"/>
      <c r="J28679" s="711"/>
      <c r="K28679" s="711"/>
      <c r="L28679" s="711"/>
      <c r="Q28679" s="11"/>
      <c r="R28679" s="11"/>
      <c r="S28679" s="11"/>
      <c r="T28679" s="11"/>
    </row>
    <row r="28680" spans="8:20" x14ac:dyDescent="0.35">
      <c r="H28680" s="711"/>
      <c r="I28680" s="711"/>
      <c r="J28680" s="711"/>
      <c r="K28680" s="711"/>
      <c r="L28680" s="711"/>
      <c r="Q28680" s="11"/>
      <c r="R28680" s="11"/>
      <c r="S28680" s="11"/>
      <c r="T28680" s="11"/>
    </row>
    <row r="28681" spans="8:20" x14ac:dyDescent="0.35">
      <c r="H28681" s="711"/>
      <c r="I28681" s="711"/>
      <c r="J28681" s="711"/>
      <c r="K28681" s="711"/>
      <c r="L28681" s="711"/>
      <c r="Q28681" s="11"/>
      <c r="R28681" s="11"/>
      <c r="S28681" s="11"/>
      <c r="T28681" s="11"/>
    </row>
    <row r="28682" spans="8:20" x14ac:dyDescent="0.35">
      <c r="H28682" s="711"/>
      <c r="I28682" s="711"/>
      <c r="J28682" s="711"/>
      <c r="K28682" s="711"/>
      <c r="L28682" s="711"/>
      <c r="Q28682" s="11"/>
      <c r="R28682" s="11"/>
      <c r="S28682" s="11"/>
      <c r="T28682" s="11"/>
    </row>
    <row r="28683" spans="8:20" x14ac:dyDescent="0.35">
      <c r="H28683" s="711"/>
      <c r="I28683" s="711"/>
      <c r="J28683" s="711"/>
      <c r="K28683" s="711"/>
      <c r="L28683" s="711"/>
      <c r="Q28683" s="11"/>
      <c r="R28683" s="11"/>
      <c r="S28683" s="11"/>
      <c r="T28683" s="11"/>
    </row>
    <row r="28684" spans="8:20" x14ac:dyDescent="0.35">
      <c r="H28684" s="711"/>
      <c r="I28684" s="711"/>
      <c r="J28684" s="711"/>
      <c r="K28684" s="711"/>
      <c r="L28684" s="711"/>
      <c r="Q28684" s="11"/>
      <c r="R28684" s="11"/>
      <c r="S28684" s="11"/>
      <c r="T28684" s="11"/>
    </row>
    <row r="28685" spans="8:20" x14ac:dyDescent="0.35">
      <c r="H28685" s="711"/>
      <c r="I28685" s="711"/>
      <c r="J28685" s="711"/>
      <c r="K28685" s="711"/>
      <c r="L28685" s="711"/>
      <c r="Q28685" s="11"/>
      <c r="R28685" s="11"/>
      <c r="S28685" s="11"/>
      <c r="T28685" s="11"/>
    </row>
    <row r="28686" spans="8:20" x14ac:dyDescent="0.35">
      <c r="H28686" s="711"/>
      <c r="I28686" s="711"/>
      <c r="J28686" s="711"/>
      <c r="K28686" s="711"/>
      <c r="L28686" s="711"/>
      <c r="Q28686" s="11"/>
      <c r="R28686" s="11"/>
      <c r="S28686" s="11"/>
      <c r="T28686" s="11"/>
    </row>
    <row r="28687" spans="8:20" x14ac:dyDescent="0.35">
      <c r="H28687" s="711"/>
      <c r="I28687" s="711"/>
      <c r="J28687" s="711"/>
      <c r="K28687" s="711"/>
      <c r="L28687" s="711"/>
      <c r="Q28687" s="11"/>
      <c r="R28687" s="11"/>
      <c r="S28687" s="11"/>
      <c r="T28687" s="11"/>
    </row>
    <row r="28688" spans="8:20" x14ac:dyDescent="0.35">
      <c r="H28688" s="711"/>
      <c r="I28688" s="711"/>
      <c r="J28688" s="711"/>
      <c r="K28688" s="711"/>
      <c r="L28688" s="711"/>
      <c r="Q28688" s="11"/>
      <c r="R28688" s="11"/>
      <c r="S28688" s="11"/>
      <c r="T28688" s="11"/>
    </row>
    <row r="28689" spans="8:20" x14ac:dyDescent="0.35">
      <c r="H28689" s="711"/>
      <c r="I28689" s="711"/>
      <c r="J28689" s="711"/>
      <c r="K28689" s="711"/>
      <c r="L28689" s="711"/>
      <c r="Q28689" s="11"/>
      <c r="R28689" s="11"/>
      <c r="S28689" s="11"/>
      <c r="T28689" s="11"/>
    </row>
    <row r="28690" spans="8:20" x14ac:dyDescent="0.35">
      <c r="H28690" s="711"/>
      <c r="I28690" s="711"/>
      <c r="J28690" s="711"/>
      <c r="K28690" s="711"/>
      <c r="L28690" s="711"/>
      <c r="Q28690" s="11"/>
      <c r="R28690" s="11"/>
      <c r="S28690" s="11"/>
      <c r="T28690" s="11"/>
    </row>
    <row r="28691" spans="8:20" x14ac:dyDescent="0.35">
      <c r="H28691" s="711"/>
      <c r="I28691" s="711"/>
      <c r="J28691" s="711"/>
      <c r="K28691" s="711"/>
      <c r="L28691" s="711"/>
      <c r="Q28691" s="11"/>
      <c r="R28691" s="11"/>
      <c r="S28691" s="11"/>
      <c r="T28691" s="11"/>
    </row>
    <row r="28692" spans="8:20" x14ac:dyDescent="0.35">
      <c r="H28692" s="711"/>
      <c r="I28692" s="711"/>
      <c r="J28692" s="711"/>
      <c r="K28692" s="711"/>
      <c r="L28692" s="711"/>
      <c r="Q28692" s="11"/>
      <c r="R28692" s="11"/>
      <c r="S28692" s="11"/>
      <c r="T28692" s="11"/>
    </row>
    <row r="28693" spans="8:20" x14ac:dyDescent="0.35">
      <c r="H28693" s="711"/>
      <c r="I28693" s="711"/>
      <c r="J28693" s="711"/>
      <c r="K28693" s="711"/>
      <c r="L28693" s="711"/>
      <c r="Q28693" s="11"/>
      <c r="R28693" s="11"/>
      <c r="S28693" s="11"/>
      <c r="T28693" s="11"/>
    </row>
    <row r="28694" spans="8:20" x14ac:dyDescent="0.35">
      <c r="H28694" s="711"/>
      <c r="I28694" s="711"/>
      <c r="J28694" s="711"/>
      <c r="K28694" s="711"/>
      <c r="L28694" s="711"/>
      <c r="Q28694" s="11"/>
      <c r="R28694" s="11"/>
      <c r="S28694" s="11"/>
      <c r="T28694" s="11"/>
    </row>
    <row r="28695" spans="8:20" x14ac:dyDescent="0.35">
      <c r="H28695" s="711"/>
      <c r="I28695" s="711"/>
      <c r="J28695" s="711"/>
      <c r="K28695" s="711"/>
      <c r="L28695" s="711"/>
      <c r="Q28695" s="11"/>
      <c r="R28695" s="11"/>
      <c r="S28695" s="11"/>
      <c r="T28695" s="11"/>
    </row>
    <row r="28696" spans="8:20" x14ac:dyDescent="0.35">
      <c r="H28696" s="711"/>
      <c r="I28696" s="711"/>
      <c r="J28696" s="711"/>
      <c r="K28696" s="711"/>
      <c r="L28696" s="711"/>
      <c r="Q28696" s="11"/>
      <c r="R28696" s="11"/>
      <c r="S28696" s="11"/>
      <c r="T28696" s="11"/>
    </row>
    <row r="28697" spans="8:20" x14ac:dyDescent="0.35">
      <c r="H28697" s="711"/>
      <c r="I28697" s="711"/>
      <c r="J28697" s="711"/>
      <c r="K28697" s="711"/>
      <c r="L28697" s="711"/>
      <c r="Q28697" s="11"/>
      <c r="R28697" s="11"/>
      <c r="S28697" s="11"/>
      <c r="T28697" s="11"/>
    </row>
    <row r="28698" spans="8:20" x14ac:dyDescent="0.35">
      <c r="H28698" s="711"/>
      <c r="I28698" s="711"/>
      <c r="J28698" s="711"/>
      <c r="K28698" s="711"/>
      <c r="L28698" s="711"/>
      <c r="Q28698" s="11"/>
      <c r="R28698" s="11"/>
      <c r="S28698" s="11"/>
      <c r="T28698" s="11"/>
    </row>
    <row r="28699" spans="8:20" x14ac:dyDescent="0.35">
      <c r="H28699" s="711"/>
      <c r="I28699" s="711"/>
      <c r="J28699" s="711"/>
      <c r="K28699" s="711"/>
      <c r="L28699" s="711"/>
      <c r="Q28699" s="11"/>
      <c r="R28699" s="11"/>
      <c r="S28699" s="11"/>
      <c r="T28699" s="11"/>
    </row>
    <row r="28700" spans="8:20" x14ac:dyDescent="0.35">
      <c r="H28700" s="711"/>
      <c r="I28700" s="711"/>
      <c r="J28700" s="711"/>
      <c r="K28700" s="711"/>
      <c r="L28700" s="711"/>
      <c r="Q28700" s="11"/>
      <c r="R28700" s="11"/>
      <c r="S28700" s="11"/>
      <c r="T28700" s="11"/>
    </row>
    <row r="28701" spans="8:20" x14ac:dyDescent="0.35">
      <c r="H28701" s="711"/>
      <c r="I28701" s="711"/>
      <c r="J28701" s="711"/>
      <c r="K28701" s="711"/>
      <c r="L28701" s="711"/>
      <c r="Q28701" s="11"/>
      <c r="R28701" s="11"/>
      <c r="S28701" s="11"/>
      <c r="T28701" s="11"/>
    </row>
    <row r="28702" spans="8:20" x14ac:dyDescent="0.35">
      <c r="H28702" s="711"/>
      <c r="I28702" s="711"/>
      <c r="J28702" s="711"/>
      <c r="K28702" s="711"/>
      <c r="L28702" s="711"/>
      <c r="Q28702" s="11"/>
      <c r="R28702" s="11"/>
      <c r="S28702" s="11"/>
      <c r="T28702" s="11"/>
    </row>
    <row r="28703" spans="8:20" x14ac:dyDescent="0.35">
      <c r="H28703" s="711"/>
      <c r="I28703" s="711"/>
      <c r="J28703" s="711"/>
      <c r="K28703" s="711"/>
      <c r="L28703" s="711"/>
      <c r="Q28703" s="11"/>
      <c r="R28703" s="11"/>
      <c r="S28703" s="11"/>
      <c r="T28703" s="11"/>
    </row>
    <row r="28704" spans="8:20" x14ac:dyDescent="0.35">
      <c r="H28704" s="711"/>
      <c r="I28704" s="711"/>
      <c r="J28704" s="711"/>
      <c r="K28704" s="711"/>
      <c r="L28704" s="711"/>
      <c r="Q28704" s="11"/>
      <c r="R28704" s="11"/>
      <c r="S28704" s="11"/>
      <c r="T28704" s="11"/>
    </row>
    <row r="28705" spans="8:20" x14ac:dyDescent="0.35">
      <c r="H28705" s="711"/>
      <c r="I28705" s="711"/>
      <c r="J28705" s="711"/>
      <c r="K28705" s="711"/>
      <c r="L28705" s="711"/>
      <c r="Q28705" s="11"/>
      <c r="R28705" s="11"/>
      <c r="S28705" s="11"/>
      <c r="T28705" s="11"/>
    </row>
    <row r="28706" spans="8:20" x14ac:dyDescent="0.35">
      <c r="H28706" s="711"/>
      <c r="I28706" s="711"/>
      <c r="J28706" s="711"/>
      <c r="K28706" s="711"/>
      <c r="L28706" s="711"/>
      <c r="Q28706" s="11"/>
      <c r="R28706" s="11"/>
      <c r="S28706" s="11"/>
      <c r="T28706" s="11"/>
    </row>
    <row r="28707" spans="8:20" x14ac:dyDescent="0.35">
      <c r="H28707" s="711"/>
      <c r="I28707" s="711"/>
      <c r="J28707" s="711"/>
      <c r="K28707" s="711"/>
      <c r="L28707" s="711"/>
      <c r="Q28707" s="11"/>
      <c r="R28707" s="11"/>
      <c r="S28707" s="11"/>
      <c r="T28707" s="11"/>
    </row>
    <row r="28708" spans="8:20" x14ac:dyDescent="0.35">
      <c r="H28708" s="711"/>
      <c r="I28708" s="711"/>
      <c r="J28708" s="711"/>
      <c r="K28708" s="711"/>
      <c r="L28708" s="711"/>
      <c r="Q28708" s="11"/>
      <c r="R28708" s="11"/>
      <c r="S28708" s="11"/>
      <c r="T28708" s="11"/>
    </row>
    <row r="28709" spans="8:20" x14ac:dyDescent="0.35">
      <c r="H28709" s="711"/>
      <c r="I28709" s="711"/>
      <c r="J28709" s="711"/>
      <c r="K28709" s="711"/>
      <c r="L28709" s="711"/>
      <c r="Q28709" s="11"/>
      <c r="R28709" s="11"/>
      <c r="S28709" s="11"/>
      <c r="T28709" s="11"/>
    </row>
    <row r="28710" spans="8:20" x14ac:dyDescent="0.35">
      <c r="H28710" s="711"/>
      <c r="I28710" s="711"/>
      <c r="J28710" s="711"/>
      <c r="K28710" s="711"/>
      <c r="L28710" s="711"/>
      <c r="Q28710" s="11"/>
      <c r="R28710" s="11"/>
      <c r="S28710" s="11"/>
      <c r="T28710" s="11"/>
    </row>
    <row r="28711" spans="8:20" x14ac:dyDescent="0.35">
      <c r="H28711" s="711"/>
      <c r="I28711" s="711"/>
      <c r="J28711" s="711"/>
      <c r="K28711" s="711"/>
      <c r="L28711" s="711"/>
      <c r="Q28711" s="11"/>
      <c r="R28711" s="11"/>
      <c r="S28711" s="11"/>
      <c r="T28711" s="11"/>
    </row>
    <row r="28712" spans="8:20" x14ac:dyDescent="0.35">
      <c r="H28712" s="711"/>
      <c r="I28712" s="711"/>
      <c r="J28712" s="711"/>
      <c r="K28712" s="711"/>
      <c r="L28712" s="711"/>
      <c r="Q28712" s="11"/>
      <c r="R28712" s="11"/>
      <c r="S28712" s="11"/>
      <c r="T28712" s="11"/>
    </row>
    <row r="28713" spans="8:20" x14ac:dyDescent="0.35">
      <c r="H28713" s="711"/>
      <c r="I28713" s="711"/>
      <c r="J28713" s="711"/>
      <c r="K28713" s="711"/>
      <c r="L28713" s="711"/>
      <c r="Q28713" s="11"/>
      <c r="R28713" s="11"/>
      <c r="S28713" s="11"/>
      <c r="T28713" s="11"/>
    </row>
    <row r="28714" spans="8:20" x14ac:dyDescent="0.35">
      <c r="H28714" s="711"/>
      <c r="I28714" s="711"/>
      <c r="J28714" s="711"/>
      <c r="K28714" s="711"/>
      <c r="L28714" s="711"/>
      <c r="Q28714" s="11"/>
      <c r="R28714" s="11"/>
      <c r="S28714" s="11"/>
      <c r="T28714" s="11"/>
    </row>
    <row r="28715" spans="8:20" x14ac:dyDescent="0.35">
      <c r="H28715" s="711"/>
      <c r="I28715" s="711"/>
      <c r="J28715" s="711"/>
      <c r="K28715" s="711"/>
      <c r="L28715" s="711"/>
      <c r="Q28715" s="11"/>
      <c r="R28715" s="11"/>
      <c r="S28715" s="11"/>
      <c r="T28715" s="11"/>
    </row>
    <row r="28716" spans="8:20" x14ac:dyDescent="0.35">
      <c r="H28716" s="711"/>
      <c r="I28716" s="711"/>
      <c r="J28716" s="711"/>
      <c r="K28716" s="711"/>
      <c r="L28716" s="711"/>
      <c r="Q28716" s="11"/>
      <c r="R28716" s="11"/>
      <c r="S28716" s="11"/>
      <c r="T28716" s="11"/>
    </row>
    <row r="28717" spans="8:20" x14ac:dyDescent="0.35">
      <c r="H28717" s="711"/>
      <c r="I28717" s="711"/>
      <c r="J28717" s="711"/>
      <c r="K28717" s="711"/>
      <c r="L28717" s="711"/>
      <c r="Q28717" s="11"/>
      <c r="R28717" s="11"/>
      <c r="S28717" s="11"/>
      <c r="T28717" s="11"/>
    </row>
    <row r="28718" spans="8:20" x14ac:dyDescent="0.35">
      <c r="H28718" s="711"/>
      <c r="I28718" s="711"/>
      <c r="J28718" s="711"/>
      <c r="K28718" s="711"/>
      <c r="L28718" s="711"/>
      <c r="Q28718" s="11"/>
      <c r="R28718" s="11"/>
      <c r="S28718" s="11"/>
      <c r="T28718" s="11"/>
    </row>
    <row r="28719" spans="8:20" x14ac:dyDescent="0.35">
      <c r="H28719" s="711"/>
      <c r="I28719" s="711"/>
      <c r="J28719" s="711"/>
      <c r="K28719" s="711"/>
      <c r="L28719" s="711"/>
      <c r="Q28719" s="11"/>
      <c r="R28719" s="11"/>
      <c r="S28719" s="11"/>
      <c r="T28719" s="11"/>
    </row>
    <row r="28720" spans="8:20" x14ac:dyDescent="0.35">
      <c r="H28720" s="711"/>
      <c r="I28720" s="711"/>
      <c r="J28720" s="711"/>
      <c r="K28720" s="711"/>
      <c r="L28720" s="711"/>
      <c r="Q28720" s="11"/>
      <c r="R28720" s="11"/>
      <c r="S28720" s="11"/>
      <c r="T28720" s="11"/>
    </row>
    <row r="28721" spans="8:20" x14ac:dyDescent="0.35">
      <c r="H28721" s="711"/>
      <c r="I28721" s="711"/>
      <c r="J28721" s="711"/>
      <c r="K28721" s="711"/>
      <c r="L28721" s="711"/>
      <c r="Q28721" s="11"/>
      <c r="R28721" s="11"/>
      <c r="S28721" s="11"/>
      <c r="T28721" s="11"/>
    </row>
    <row r="28722" spans="8:20" x14ac:dyDescent="0.35">
      <c r="H28722" s="711"/>
      <c r="I28722" s="711"/>
      <c r="J28722" s="711"/>
      <c r="K28722" s="711"/>
      <c r="L28722" s="711"/>
      <c r="Q28722" s="11"/>
      <c r="R28722" s="11"/>
      <c r="S28722" s="11"/>
      <c r="T28722" s="11"/>
    </row>
    <row r="28723" spans="8:20" x14ac:dyDescent="0.35">
      <c r="H28723" s="711"/>
      <c r="I28723" s="711"/>
      <c r="J28723" s="711"/>
      <c r="K28723" s="711"/>
      <c r="L28723" s="711"/>
      <c r="Q28723" s="11"/>
      <c r="R28723" s="11"/>
      <c r="S28723" s="11"/>
      <c r="T28723" s="11"/>
    </row>
    <row r="28724" spans="8:20" x14ac:dyDescent="0.35">
      <c r="H28724" s="711"/>
      <c r="I28724" s="711"/>
      <c r="J28724" s="711"/>
      <c r="K28724" s="711"/>
      <c r="L28724" s="711"/>
      <c r="Q28724" s="11"/>
      <c r="R28724" s="11"/>
      <c r="S28724" s="11"/>
      <c r="T28724" s="11"/>
    </row>
    <row r="28725" spans="8:20" x14ac:dyDescent="0.35">
      <c r="H28725" s="711"/>
      <c r="I28725" s="711"/>
      <c r="J28725" s="711"/>
      <c r="K28725" s="711"/>
      <c r="L28725" s="711"/>
      <c r="Q28725" s="11"/>
      <c r="R28725" s="11"/>
      <c r="S28725" s="11"/>
      <c r="T28725" s="11"/>
    </row>
    <row r="28726" spans="8:20" x14ac:dyDescent="0.35">
      <c r="H28726" s="711"/>
      <c r="I28726" s="711"/>
      <c r="J28726" s="711"/>
      <c r="K28726" s="711"/>
      <c r="L28726" s="711"/>
      <c r="Q28726" s="11"/>
      <c r="R28726" s="11"/>
      <c r="S28726" s="11"/>
      <c r="T28726" s="11"/>
    </row>
    <row r="28727" spans="8:20" x14ac:dyDescent="0.35">
      <c r="H28727" s="711"/>
      <c r="I28727" s="711"/>
      <c r="J28727" s="711"/>
      <c r="K28727" s="711"/>
      <c r="L28727" s="711"/>
      <c r="Q28727" s="11"/>
      <c r="R28727" s="11"/>
      <c r="S28727" s="11"/>
      <c r="T28727" s="11"/>
    </row>
    <row r="28728" spans="8:20" x14ac:dyDescent="0.35">
      <c r="H28728" s="711"/>
      <c r="I28728" s="711"/>
      <c r="J28728" s="711"/>
      <c r="K28728" s="711"/>
      <c r="L28728" s="711"/>
      <c r="Q28728" s="11"/>
      <c r="R28728" s="11"/>
      <c r="S28728" s="11"/>
      <c r="T28728" s="11"/>
    </row>
    <row r="28729" spans="8:20" x14ac:dyDescent="0.35">
      <c r="H28729" s="711"/>
      <c r="I28729" s="711"/>
      <c r="J28729" s="711"/>
      <c r="K28729" s="711"/>
      <c r="L28729" s="711"/>
      <c r="Q28729" s="11"/>
      <c r="R28729" s="11"/>
      <c r="S28729" s="11"/>
      <c r="T28729" s="11"/>
    </row>
    <row r="28730" spans="8:20" x14ac:dyDescent="0.35">
      <c r="H28730" s="711"/>
      <c r="I28730" s="711"/>
      <c r="J28730" s="711"/>
      <c r="K28730" s="711"/>
      <c r="L28730" s="711"/>
      <c r="Q28730" s="11"/>
      <c r="R28730" s="11"/>
      <c r="S28730" s="11"/>
      <c r="T28730" s="11"/>
    </row>
    <row r="28731" spans="8:20" x14ac:dyDescent="0.35">
      <c r="H28731" s="711"/>
      <c r="I28731" s="711"/>
      <c r="J28731" s="711"/>
      <c r="K28731" s="711"/>
      <c r="L28731" s="711"/>
      <c r="Q28731" s="11"/>
      <c r="R28731" s="11"/>
      <c r="S28731" s="11"/>
      <c r="T28731" s="11"/>
    </row>
    <row r="28732" spans="8:20" x14ac:dyDescent="0.35">
      <c r="H28732" s="711"/>
      <c r="I28732" s="711"/>
      <c r="J28732" s="711"/>
      <c r="K28732" s="711"/>
      <c r="L28732" s="711"/>
      <c r="Q28732" s="11"/>
      <c r="R28732" s="11"/>
      <c r="S28732" s="11"/>
      <c r="T28732" s="11"/>
    </row>
    <row r="28733" spans="8:20" x14ac:dyDescent="0.35">
      <c r="H28733" s="711"/>
      <c r="I28733" s="711"/>
      <c r="J28733" s="711"/>
      <c r="K28733" s="711"/>
      <c r="L28733" s="711"/>
      <c r="Q28733" s="11"/>
      <c r="R28733" s="11"/>
      <c r="S28733" s="11"/>
      <c r="T28733" s="11"/>
    </row>
    <row r="28734" spans="8:20" x14ac:dyDescent="0.35">
      <c r="H28734" s="711"/>
      <c r="I28734" s="711"/>
      <c r="J28734" s="711"/>
      <c r="K28734" s="711"/>
      <c r="L28734" s="711"/>
      <c r="Q28734" s="11"/>
      <c r="R28734" s="11"/>
      <c r="S28734" s="11"/>
      <c r="T28734" s="11"/>
    </row>
    <row r="28735" spans="8:20" x14ac:dyDescent="0.35">
      <c r="H28735" s="711"/>
      <c r="I28735" s="711"/>
      <c r="J28735" s="711"/>
      <c r="K28735" s="711"/>
      <c r="L28735" s="711"/>
      <c r="Q28735" s="11"/>
      <c r="R28735" s="11"/>
      <c r="S28735" s="11"/>
      <c r="T28735" s="11"/>
    </row>
    <row r="28736" spans="8:20" x14ac:dyDescent="0.35">
      <c r="H28736" s="711"/>
      <c r="I28736" s="711"/>
      <c r="J28736" s="711"/>
      <c r="K28736" s="711"/>
      <c r="L28736" s="711"/>
      <c r="Q28736" s="11"/>
      <c r="R28736" s="11"/>
      <c r="S28736" s="11"/>
      <c r="T28736" s="11"/>
    </row>
    <row r="28737" spans="8:20" x14ac:dyDescent="0.35">
      <c r="H28737" s="711"/>
      <c r="I28737" s="711"/>
      <c r="J28737" s="711"/>
      <c r="K28737" s="711"/>
      <c r="L28737" s="711"/>
      <c r="Q28737" s="11"/>
      <c r="R28737" s="11"/>
      <c r="S28737" s="11"/>
      <c r="T28737" s="11"/>
    </row>
    <row r="28738" spans="8:20" x14ac:dyDescent="0.35">
      <c r="H28738" s="711"/>
      <c r="I28738" s="711"/>
      <c r="J28738" s="711"/>
      <c r="K28738" s="711"/>
      <c r="L28738" s="711"/>
      <c r="Q28738" s="11"/>
      <c r="R28738" s="11"/>
      <c r="S28738" s="11"/>
      <c r="T28738" s="11"/>
    </row>
    <row r="28739" spans="8:20" x14ac:dyDescent="0.35">
      <c r="H28739" s="711"/>
      <c r="I28739" s="711"/>
      <c r="J28739" s="711"/>
      <c r="K28739" s="711"/>
      <c r="L28739" s="711"/>
      <c r="Q28739" s="11"/>
      <c r="R28739" s="11"/>
      <c r="S28739" s="11"/>
      <c r="T28739" s="11"/>
    </row>
    <row r="28740" spans="8:20" x14ac:dyDescent="0.35">
      <c r="H28740" s="711"/>
      <c r="I28740" s="711"/>
      <c r="J28740" s="711"/>
      <c r="K28740" s="711"/>
      <c r="L28740" s="711"/>
      <c r="Q28740" s="11"/>
      <c r="R28740" s="11"/>
      <c r="S28740" s="11"/>
      <c r="T28740" s="11"/>
    </row>
    <row r="28741" spans="8:20" x14ac:dyDescent="0.35">
      <c r="H28741" s="711"/>
      <c r="I28741" s="711"/>
      <c r="J28741" s="711"/>
      <c r="K28741" s="711"/>
      <c r="L28741" s="711"/>
      <c r="Q28741" s="11"/>
      <c r="R28741" s="11"/>
      <c r="S28741" s="11"/>
      <c r="T28741" s="11"/>
    </row>
    <row r="28742" spans="8:20" x14ac:dyDescent="0.35">
      <c r="H28742" s="711"/>
      <c r="I28742" s="711"/>
      <c r="J28742" s="711"/>
      <c r="K28742" s="711"/>
      <c r="L28742" s="711"/>
      <c r="Q28742" s="11"/>
      <c r="R28742" s="11"/>
      <c r="S28742" s="11"/>
      <c r="T28742" s="11"/>
    </row>
    <row r="28743" spans="8:20" x14ac:dyDescent="0.35">
      <c r="H28743" s="711"/>
      <c r="I28743" s="711"/>
      <c r="J28743" s="711"/>
      <c r="K28743" s="711"/>
      <c r="L28743" s="711"/>
      <c r="Q28743" s="11"/>
      <c r="R28743" s="11"/>
      <c r="S28743" s="11"/>
      <c r="T28743" s="11"/>
    </row>
    <row r="28744" spans="8:20" x14ac:dyDescent="0.35">
      <c r="H28744" s="711"/>
      <c r="I28744" s="711"/>
      <c r="J28744" s="711"/>
      <c r="K28744" s="711"/>
      <c r="L28744" s="711"/>
      <c r="Q28744" s="11"/>
      <c r="R28744" s="11"/>
      <c r="S28744" s="11"/>
      <c r="T28744" s="11"/>
    </row>
    <row r="28745" spans="8:20" x14ac:dyDescent="0.35">
      <c r="H28745" s="711"/>
      <c r="I28745" s="711"/>
      <c r="J28745" s="711"/>
      <c r="K28745" s="711"/>
      <c r="L28745" s="711"/>
      <c r="Q28745" s="11"/>
      <c r="R28745" s="11"/>
      <c r="S28745" s="11"/>
      <c r="T28745" s="11"/>
    </row>
    <row r="28746" spans="8:20" x14ac:dyDescent="0.35">
      <c r="H28746" s="711"/>
      <c r="I28746" s="711"/>
      <c r="J28746" s="711"/>
      <c r="K28746" s="711"/>
      <c r="L28746" s="711"/>
      <c r="Q28746" s="11"/>
      <c r="R28746" s="11"/>
      <c r="S28746" s="11"/>
      <c r="T28746" s="11"/>
    </row>
    <row r="28747" spans="8:20" x14ac:dyDescent="0.35">
      <c r="H28747" s="711"/>
      <c r="I28747" s="711"/>
      <c r="J28747" s="711"/>
      <c r="K28747" s="711"/>
      <c r="L28747" s="711"/>
      <c r="Q28747" s="11"/>
      <c r="R28747" s="11"/>
      <c r="S28747" s="11"/>
      <c r="T28747" s="11"/>
    </row>
    <row r="28748" spans="8:20" x14ac:dyDescent="0.35">
      <c r="H28748" s="711"/>
      <c r="I28748" s="711"/>
      <c r="J28748" s="711"/>
      <c r="K28748" s="711"/>
      <c r="L28748" s="711"/>
      <c r="Q28748" s="11"/>
      <c r="R28748" s="11"/>
      <c r="S28748" s="11"/>
      <c r="T28748" s="11"/>
    </row>
    <row r="28749" spans="8:20" x14ac:dyDescent="0.35">
      <c r="H28749" s="711"/>
      <c r="I28749" s="711"/>
      <c r="J28749" s="711"/>
      <c r="K28749" s="711"/>
      <c r="L28749" s="711"/>
      <c r="Q28749" s="11"/>
      <c r="R28749" s="11"/>
      <c r="S28749" s="11"/>
      <c r="T28749" s="11"/>
    </row>
    <row r="28750" spans="8:20" x14ac:dyDescent="0.35">
      <c r="H28750" s="711"/>
      <c r="I28750" s="711"/>
      <c r="J28750" s="711"/>
      <c r="K28750" s="711"/>
      <c r="L28750" s="711"/>
      <c r="Q28750" s="11"/>
      <c r="R28750" s="11"/>
      <c r="S28750" s="11"/>
      <c r="T28750" s="11"/>
    </row>
    <row r="28751" spans="8:20" x14ac:dyDescent="0.35">
      <c r="H28751" s="711"/>
      <c r="I28751" s="711"/>
      <c r="J28751" s="711"/>
      <c r="K28751" s="711"/>
      <c r="L28751" s="711"/>
      <c r="Q28751" s="11"/>
      <c r="R28751" s="11"/>
      <c r="S28751" s="11"/>
      <c r="T28751" s="11"/>
    </row>
    <row r="28752" spans="8:20" x14ac:dyDescent="0.35">
      <c r="H28752" s="711"/>
      <c r="I28752" s="711"/>
      <c r="J28752" s="711"/>
      <c r="K28752" s="711"/>
      <c r="L28752" s="711"/>
      <c r="Q28752" s="11"/>
      <c r="R28752" s="11"/>
      <c r="S28752" s="11"/>
      <c r="T28752" s="11"/>
    </row>
    <row r="28753" spans="8:20" x14ac:dyDescent="0.35">
      <c r="H28753" s="711"/>
      <c r="I28753" s="711"/>
      <c r="J28753" s="711"/>
      <c r="K28753" s="711"/>
      <c r="L28753" s="711"/>
      <c r="Q28753" s="11"/>
      <c r="R28753" s="11"/>
      <c r="S28753" s="11"/>
      <c r="T28753" s="11"/>
    </row>
    <row r="28754" spans="8:20" x14ac:dyDescent="0.35">
      <c r="H28754" s="711"/>
      <c r="I28754" s="711"/>
      <c r="J28754" s="711"/>
      <c r="K28754" s="711"/>
      <c r="L28754" s="711"/>
      <c r="Q28754" s="11"/>
      <c r="R28754" s="11"/>
      <c r="S28754" s="11"/>
      <c r="T28754" s="11"/>
    </row>
    <row r="28755" spans="8:20" x14ac:dyDescent="0.35">
      <c r="H28755" s="711"/>
      <c r="I28755" s="711"/>
      <c r="J28755" s="711"/>
      <c r="K28755" s="711"/>
      <c r="L28755" s="711"/>
      <c r="Q28755" s="11"/>
      <c r="R28755" s="11"/>
      <c r="S28755" s="11"/>
      <c r="T28755" s="11"/>
    </row>
    <row r="28756" spans="8:20" x14ac:dyDescent="0.35">
      <c r="H28756" s="711"/>
      <c r="I28756" s="711"/>
      <c r="J28756" s="711"/>
      <c r="K28756" s="711"/>
      <c r="L28756" s="711"/>
      <c r="Q28756" s="11"/>
      <c r="R28756" s="11"/>
      <c r="S28756" s="11"/>
      <c r="T28756" s="11"/>
    </row>
    <row r="28757" spans="8:20" x14ac:dyDescent="0.35">
      <c r="H28757" s="711"/>
      <c r="I28757" s="711"/>
      <c r="J28757" s="711"/>
      <c r="K28757" s="711"/>
      <c r="L28757" s="711"/>
      <c r="Q28757" s="11"/>
      <c r="R28757" s="11"/>
      <c r="S28757" s="11"/>
      <c r="T28757" s="11"/>
    </row>
    <row r="28758" spans="8:20" x14ac:dyDescent="0.35">
      <c r="H28758" s="711"/>
      <c r="I28758" s="711"/>
      <c r="J28758" s="711"/>
      <c r="K28758" s="711"/>
      <c r="L28758" s="711"/>
      <c r="Q28758" s="11"/>
      <c r="R28758" s="11"/>
      <c r="S28758" s="11"/>
      <c r="T28758" s="11"/>
    </row>
    <row r="28759" spans="8:20" x14ac:dyDescent="0.35">
      <c r="H28759" s="711"/>
      <c r="I28759" s="711"/>
      <c r="J28759" s="711"/>
      <c r="K28759" s="711"/>
      <c r="L28759" s="711"/>
      <c r="Q28759" s="11"/>
      <c r="R28759" s="11"/>
      <c r="S28759" s="11"/>
      <c r="T28759" s="11"/>
    </row>
    <row r="28760" spans="8:20" x14ac:dyDescent="0.35">
      <c r="H28760" s="711"/>
      <c r="I28760" s="711"/>
      <c r="J28760" s="711"/>
      <c r="K28760" s="711"/>
      <c r="L28760" s="711"/>
      <c r="Q28760" s="11"/>
      <c r="R28760" s="11"/>
      <c r="S28760" s="11"/>
      <c r="T28760" s="11"/>
    </row>
    <row r="28761" spans="8:20" x14ac:dyDescent="0.35">
      <c r="H28761" s="711"/>
      <c r="I28761" s="711"/>
      <c r="J28761" s="711"/>
      <c r="K28761" s="711"/>
      <c r="L28761" s="711"/>
      <c r="Q28761" s="11"/>
      <c r="R28761" s="11"/>
      <c r="S28761" s="11"/>
      <c r="T28761" s="11"/>
    </row>
    <row r="28762" spans="8:20" x14ac:dyDescent="0.35">
      <c r="H28762" s="711"/>
      <c r="I28762" s="711"/>
      <c r="J28762" s="711"/>
      <c r="K28762" s="711"/>
      <c r="L28762" s="711"/>
      <c r="Q28762" s="11"/>
      <c r="R28762" s="11"/>
      <c r="S28762" s="11"/>
      <c r="T28762" s="11"/>
    </row>
    <row r="28763" spans="8:20" x14ac:dyDescent="0.35">
      <c r="H28763" s="711"/>
      <c r="I28763" s="711"/>
      <c r="J28763" s="711"/>
      <c r="K28763" s="711"/>
      <c r="L28763" s="711"/>
      <c r="Q28763" s="11"/>
      <c r="R28763" s="11"/>
      <c r="S28763" s="11"/>
      <c r="T28763" s="11"/>
    </row>
    <row r="28764" spans="8:20" x14ac:dyDescent="0.35">
      <c r="H28764" s="711"/>
      <c r="I28764" s="711"/>
      <c r="J28764" s="711"/>
      <c r="K28764" s="711"/>
      <c r="L28764" s="711"/>
      <c r="Q28764" s="11"/>
      <c r="R28764" s="11"/>
      <c r="S28764" s="11"/>
      <c r="T28764" s="11"/>
    </row>
    <row r="28765" spans="8:20" x14ac:dyDescent="0.35">
      <c r="H28765" s="711"/>
      <c r="I28765" s="711"/>
      <c r="J28765" s="711"/>
      <c r="K28765" s="711"/>
      <c r="L28765" s="711"/>
      <c r="Q28765" s="11"/>
      <c r="R28765" s="11"/>
      <c r="S28765" s="11"/>
      <c r="T28765" s="11"/>
    </row>
    <row r="28766" spans="8:20" x14ac:dyDescent="0.35">
      <c r="H28766" s="711"/>
      <c r="I28766" s="711"/>
      <c r="J28766" s="711"/>
      <c r="K28766" s="711"/>
      <c r="L28766" s="711"/>
      <c r="Q28766" s="11"/>
      <c r="R28766" s="11"/>
      <c r="S28766" s="11"/>
      <c r="T28766" s="11"/>
    </row>
    <row r="28767" spans="8:20" x14ac:dyDescent="0.35">
      <c r="H28767" s="711"/>
      <c r="I28767" s="711"/>
      <c r="J28767" s="711"/>
      <c r="K28767" s="711"/>
      <c r="L28767" s="711"/>
      <c r="Q28767" s="11"/>
      <c r="R28767" s="11"/>
      <c r="S28767" s="11"/>
      <c r="T28767" s="11"/>
    </row>
    <row r="28768" spans="8:20" x14ac:dyDescent="0.35">
      <c r="H28768" s="711"/>
      <c r="I28768" s="711"/>
      <c r="J28768" s="711"/>
      <c r="K28768" s="711"/>
      <c r="L28768" s="711"/>
      <c r="Q28768" s="11"/>
      <c r="R28768" s="11"/>
      <c r="S28768" s="11"/>
      <c r="T28768" s="11"/>
    </row>
    <row r="28769" spans="8:20" x14ac:dyDescent="0.35">
      <c r="H28769" s="711"/>
      <c r="I28769" s="711"/>
      <c r="J28769" s="711"/>
      <c r="K28769" s="711"/>
      <c r="L28769" s="711"/>
      <c r="Q28769" s="11"/>
      <c r="R28769" s="11"/>
      <c r="S28769" s="11"/>
      <c r="T28769" s="11"/>
    </row>
    <row r="28770" spans="8:20" x14ac:dyDescent="0.35">
      <c r="H28770" s="711"/>
      <c r="I28770" s="711"/>
      <c r="J28770" s="711"/>
      <c r="K28770" s="711"/>
      <c r="L28770" s="711"/>
      <c r="Q28770" s="11"/>
      <c r="R28770" s="11"/>
      <c r="S28770" s="11"/>
      <c r="T28770" s="11"/>
    </row>
    <row r="28771" spans="8:20" x14ac:dyDescent="0.35">
      <c r="H28771" s="711"/>
      <c r="I28771" s="711"/>
      <c r="J28771" s="711"/>
      <c r="K28771" s="711"/>
      <c r="L28771" s="711"/>
      <c r="Q28771" s="11"/>
      <c r="R28771" s="11"/>
      <c r="S28771" s="11"/>
      <c r="T28771" s="11"/>
    </row>
    <row r="28772" spans="8:20" x14ac:dyDescent="0.35">
      <c r="H28772" s="711"/>
      <c r="I28772" s="711"/>
      <c r="J28772" s="711"/>
      <c r="K28772" s="711"/>
      <c r="L28772" s="711"/>
      <c r="Q28772" s="11"/>
      <c r="R28772" s="11"/>
      <c r="S28772" s="11"/>
      <c r="T28772" s="11"/>
    </row>
    <row r="28773" spans="8:20" x14ac:dyDescent="0.35">
      <c r="H28773" s="711"/>
      <c r="I28773" s="711"/>
      <c r="J28773" s="711"/>
      <c r="K28773" s="711"/>
      <c r="L28773" s="711"/>
      <c r="Q28773" s="11"/>
      <c r="R28773" s="11"/>
      <c r="S28773" s="11"/>
      <c r="T28773" s="11"/>
    </row>
    <row r="28774" spans="8:20" x14ac:dyDescent="0.35">
      <c r="H28774" s="711"/>
      <c r="I28774" s="711"/>
      <c r="J28774" s="711"/>
      <c r="K28774" s="711"/>
      <c r="L28774" s="711"/>
      <c r="Q28774" s="11"/>
      <c r="R28774" s="11"/>
      <c r="S28774" s="11"/>
      <c r="T28774" s="11"/>
    </row>
    <row r="28775" spans="8:20" x14ac:dyDescent="0.35">
      <c r="H28775" s="711"/>
      <c r="I28775" s="711"/>
      <c r="J28775" s="711"/>
      <c r="K28775" s="711"/>
      <c r="L28775" s="711"/>
      <c r="Q28775" s="11"/>
      <c r="R28775" s="11"/>
      <c r="S28775" s="11"/>
      <c r="T28775" s="11"/>
    </row>
    <row r="28776" spans="8:20" x14ac:dyDescent="0.35">
      <c r="H28776" s="711"/>
      <c r="I28776" s="711"/>
      <c r="J28776" s="711"/>
      <c r="K28776" s="711"/>
      <c r="L28776" s="711"/>
      <c r="Q28776" s="11"/>
      <c r="R28776" s="11"/>
      <c r="S28776" s="11"/>
      <c r="T28776" s="11"/>
    </row>
    <row r="28777" spans="8:20" x14ac:dyDescent="0.35">
      <c r="H28777" s="711"/>
      <c r="I28777" s="711"/>
      <c r="J28777" s="711"/>
      <c r="K28777" s="711"/>
      <c r="L28777" s="711"/>
      <c r="Q28777" s="11"/>
      <c r="R28777" s="11"/>
      <c r="S28777" s="11"/>
      <c r="T28777" s="11"/>
    </row>
    <row r="28778" spans="8:20" x14ac:dyDescent="0.35">
      <c r="H28778" s="711"/>
      <c r="I28778" s="711"/>
      <c r="J28778" s="711"/>
      <c r="K28778" s="711"/>
      <c r="L28778" s="711"/>
      <c r="Q28778" s="11"/>
      <c r="R28778" s="11"/>
      <c r="S28778" s="11"/>
      <c r="T28778" s="11"/>
    </row>
    <row r="28779" spans="8:20" x14ac:dyDescent="0.35">
      <c r="H28779" s="711"/>
      <c r="I28779" s="711"/>
      <c r="J28779" s="711"/>
      <c r="K28779" s="711"/>
      <c r="L28779" s="711"/>
      <c r="Q28779" s="11"/>
      <c r="R28779" s="11"/>
      <c r="S28779" s="11"/>
      <c r="T28779" s="11"/>
    </row>
    <row r="28780" spans="8:20" x14ac:dyDescent="0.35">
      <c r="H28780" s="711"/>
      <c r="I28780" s="711"/>
      <c r="J28780" s="711"/>
      <c r="K28780" s="711"/>
      <c r="L28780" s="711"/>
      <c r="Q28780" s="11"/>
      <c r="R28780" s="11"/>
      <c r="S28780" s="11"/>
      <c r="T28780" s="11"/>
    </row>
    <row r="28781" spans="8:20" x14ac:dyDescent="0.35">
      <c r="H28781" s="711"/>
      <c r="I28781" s="711"/>
      <c r="J28781" s="711"/>
      <c r="K28781" s="711"/>
      <c r="L28781" s="711"/>
      <c r="Q28781" s="11"/>
      <c r="R28781" s="11"/>
      <c r="S28781" s="11"/>
      <c r="T28781" s="11"/>
    </row>
    <row r="28782" spans="8:20" x14ac:dyDescent="0.35">
      <c r="H28782" s="711"/>
      <c r="I28782" s="711"/>
      <c r="J28782" s="711"/>
      <c r="K28782" s="711"/>
      <c r="L28782" s="711"/>
      <c r="Q28782" s="11"/>
      <c r="R28782" s="11"/>
      <c r="S28782" s="11"/>
      <c r="T28782" s="11"/>
    </row>
    <row r="28783" spans="8:20" x14ac:dyDescent="0.35">
      <c r="H28783" s="711"/>
      <c r="I28783" s="711"/>
      <c r="J28783" s="711"/>
      <c r="K28783" s="711"/>
      <c r="L28783" s="711"/>
      <c r="Q28783" s="11"/>
      <c r="R28783" s="11"/>
      <c r="S28783" s="11"/>
      <c r="T28783" s="11"/>
    </row>
    <row r="28784" spans="8:20" x14ac:dyDescent="0.35">
      <c r="H28784" s="711"/>
      <c r="I28784" s="711"/>
      <c r="J28784" s="711"/>
      <c r="K28784" s="711"/>
      <c r="L28784" s="711"/>
      <c r="Q28784" s="11"/>
      <c r="R28784" s="11"/>
      <c r="S28784" s="11"/>
      <c r="T28784" s="11"/>
    </row>
    <row r="28785" spans="8:20" x14ac:dyDescent="0.35">
      <c r="H28785" s="711"/>
      <c r="I28785" s="711"/>
      <c r="J28785" s="711"/>
      <c r="K28785" s="711"/>
      <c r="L28785" s="711"/>
      <c r="Q28785" s="11"/>
      <c r="R28785" s="11"/>
      <c r="S28785" s="11"/>
      <c r="T28785" s="11"/>
    </row>
    <row r="28786" spans="8:20" x14ac:dyDescent="0.35">
      <c r="H28786" s="711"/>
      <c r="I28786" s="711"/>
      <c r="J28786" s="711"/>
      <c r="K28786" s="711"/>
      <c r="L28786" s="711"/>
      <c r="Q28786" s="11"/>
      <c r="R28786" s="11"/>
      <c r="S28786" s="11"/>
      <c r="T28786" s="11"/>
    </row>
    <row r="28787" spans="8:20" x14ac:dyDescent="0.35">
      <c r="H28787" s="711"/>
      <c r="I28787" s="711"/>
      <c r="J28787" s="711"/>
      <c r="K28787" s="711"/>
      <c r="L28787" s="711"/>
      <c r="Q28787" s="11"/>
      <c r="R28787" s="11"/>
      <c r="S28787" s="11"/>
      <c r="T28787" s="11"/>
    </row>
    <row r="28788" spans="8:20" x14ac:dyDescent="0.35">
      <c r="H28788" s="711"/>
      <c r="I28788" s="711"/>
      <c r="J28788" s="711"/>
      <c r="K28788" s="711"/>
      <c r="L28788" s="711"/>
      <c r="Q28788" s="11"/>
      <c r="R28788" s="11"/>
      <c r="S28788" s="11"/>
      <c r="T28788" s="11"/>
    </row>
    <row r="28789" spans="8:20" x14ac:dyDescent="0.35">
      <c r="H28789" s="711"/>
      <c r="I28789" s="711"/>
      <c r="J28789" s="711"/>
      <c r="K28789" s="711"/>
      <c r="L28789" s="711"/>
      <c r="Q28789" s="11"/>
      <c r="R28789" s="11"/>
      <c r="S28789" s="11"/>
      <c r="T28789" s="11"/>
    </row>
    <row r="28790" spans="8:20" x14ac:dyDescent="0.35">
      <c r="H28790" s="711"/>
      <c r="I28790" s="711"/>
      <c r="J28790" s="711"/>
      <c r="K28790" s="711"/>
      <c r="L28790" s="711"/>
      <c r="Q28790" s="11"/>
      <c r="R28790" s="11"/>
      <c r="S28790" s="11"/>
      <c r="T28790" s="11"/>
    </row>
    <row r="28791" spans="8:20" x14ac:dyDescent="0.35">
      <c r="H28791" s="711"/>
      <c r="I28791" s="711"/>
      <c r="J28791" s="711"/>
      <c r="K28791" s="711"/>
      <c r="L28791" s="711"/>
      <c r="Q28791" s="11"/>
      <c r="R28791" s="11"/>
      <c r="S28791" s="11"/>
      <c r="T28791" s="11"/>
    </row>
    <row r="28792" spans="8:20" x14ac:dyDescent="0.35">
      <c r="H28792" s="711"/>
      <c r="I28792" s="711"/>
      <c r="J28792" s="711"/>
      <c r="K28792" s="711"/>
      <c r="L28792" s="711"/>
      <c r="Q28792" s="11"/>
      <c r="R28792" s="11"/>
      <c r="S28792" s="11"/>
      <c r="T28792" s="11"/>
    </row>
    <row r="28793" spans="8:20" x14ac:dyDescent="0.35">
      <c r="H28793" s="711"/>
      <c r="I28793" s="711"/>
      <c r="J28793" s="711"/>
      <c r="K28793" s="711"/>
      <c r="L28793" s="711"/>
      <c r="Q28793" s="11"/>
      <c r="R28793" s="11"/>
      <c r="S28793" s="11"/>
      <c r="T28793" s="11"/>
    </row>
    <row r="28794" spans="8:20" x14ac:dyDescent="0.35">
      <c r="H28794" s="711"/>
      <c r="I28794" s="711"/>
      <c r="J28794" s="711"/>
      <c r="K28794" s="711"/>
      <c r="L28794" s="711"/>
      <c r="Q28794" s="11"/>
      <c r="R28794" s="11"/>
      <c r="S28794" s="11"/>
      <c r="T28794" s="11"/>
    </row>
    <row r="28795" spans="8:20" x14ac:dyDescent="0.35">
      <c r="H28795" s="711"/>
      <c r="I28795" s="711"/>
      <c r="J28795" s="711"/>
      <c r="K28795" s="711"/>
      <c r="L28795" s="711"/>
      <c r="Q28795" s="11"/>
      <c r="R28795" s="11"/>
      <c r="S28795" s="11"/>
      <c r="T28795" s="11"/>
    </row>
    <row r="28796" spans="8:20" x14ac:dyDescent="0.35">
      <c r="H28796" s="711"/>
      <c r="I28796" s="711"/>
      <c r="J28796" s="711"/>
      <c r="K28796" s="711"/>
      <c r="L28796" s="711"/>
      <c r="Q28796" s="11"/>
      <c r="R28796" s="11"/>
      <c r="S28796" s="11"/>
      <c r="T28796" s="11"/>
    </row>
    <row r="28797" spans="8:20" x14ac:dyDescent="0.35">
      <c r="H28797" s="711"/>
      <c r="I28797" s="711"/>
      <c r="J28797" s="711"/>
      <c r="K28797" s="711"/>
      <c r="L28797" s="711"/>
      <c r="Q28797" s="11"/>
      <c r="R28797" s="11"/>
      <c r="S28797" s="11"/>
      <c r="T28797" s="11"/>
    </row>
    <row r="28798" spans="8:20" x14ac:dyDescent="0.35">
      <c r="H28798" s="711"/>
      <c r="I28798" s="711"/>
      <c r="J28798" s="711"/>
      <c r="K28798" s="711"/>
      <c r="L28798" s="711"/>
      <c r="Q28798" s="11"/>
      <c r="R28798" s="11"/>
      <c r="S28798" s="11"/>
      <c r="T28798" s="11"/>
    </row>
    <row r="28799" spans="8:20" x14ac:dyDescent="0.35">
      <c r="H28799" s="711"/>
      <c r="I28799" s="711"/>
      <c r="J28799" s="711"/>
      <c r="K28799" s="711"/>
      <c r="L28799" s="711"/>
      <c r="Q28799" s="11"/>
      <c r="R28799" s="11"/>
      <c r="S28799" s="11"/>
      <c r="T28799" s="11"/>
    </row>
    <row r="28800" spans="8:20" x14ac:dyDescent="0.35">
      <c r="H28800" s="711"/>
      <c r="I28800" s="711"/>
      <c r="J28800" s="711"/>
      <c r="K28800" s="711"/>
      <c r="L28800" s="711"/>
      <c r="Q28800" s="11"/>
      <c r="R28800" s="11"/>
      <c r="S28800" s="11"/>
      <c r="T28800" s="11"/>
    </row>
    <row r="28801" spans="8:20" x14ac:dyDescent="0.35">
      <c r="H28801" s="711"/>
      <c r="I28801" s="711"/>
      <c r="J28801" s="711"/>
      <c r="K28801" s="711"/>
      <c r="L28801" s="711"/>
      <c r="Q28801" s="11"/>
      <c r="R28801" s="11"/>
      <c r="S28801" s="11"/>
      <c r="T28801" s="11"/>
    </row>
    <row r="28802" spans="8:20" x14ac:dyDescent="0.35">
      <c r="H28802" s="711"/>
      <c r="I28802" s="711"/>
      <c r="J28802" s="711"/>
      <c r="K28802" s="711"/>
      <c r="L28802" s="711"/>
      <c r="Q28802" s="11"/>
      <c r="R28802" s="11"/>
      <c r="S28802" s="11"/>
      <c r="T28802" s="11"/>
    </row>
    <row r="28803" spans="8:20" x14ac:dyDescent="0.35">
      <c r="H28803" s="711"/>
      <c r="I28803" s="711"/>
      <c r="J28803" s="711"/>
      <c r="K28803" s="711"/>
      <c r="L28803" s="711"/>
      <c r="Q28803" s="11"/>
      <c r="R28803" s="11"/>
      <c r="S28803" s="11"/>
      <c r="T28803" s="11"/>
    </row>
    <row r="28804" spans="8:20" x14ac:dyDescent="0.35">
      <c r="H28804" s="711"/>
      <c r="I28804" s="711"/>
      <c r="J28804" s="711"/>
      <c r="K28804" s="711"/>
      <c r="L28804" s="711"/>
      <c r="Q28804" s="11"/>
      <c r="R28804" s="11"/>
      <c r="S28804" s="11"/>
      <c r="T28804" s="11"/>
    </row>
    <row r="28805" spans="8:20" x14ac:dyDescent="0.35">
      <c r="H28805" s="711"/>
      <c r="I28805" s="711"/>
      <c r="J28805" s="711"/>
      <c r="K28805" s="711"/>
      <c r="L28805" s="711"/>
      <c r="Q28805" s="11"/>
      <c r="R28805" s="11"/>
      <c r="S28805" s="11"/>
      <c r="T28805" s="11"/>
    </row>
    <row r="28806" spans="8:20" x14ac:dyDescent="0.35">
      <c r="H28806" s="711"/>
      <c r="I28806" s="711"/>
      <c r="J28806" s="711"/>
      <c r="K28806" s="711"/>
      <c r="L28806" s="711"/>
      <c r="Q28806" s="11"/>
      <c r="R28806" s="11"/>
      <c r="S28806" s="11"/>
      <c r="T28806" s="11"/>
    </row>
    <row r="28807" spans="8:20" x14ac:dyDescent="0.35">
      <c r="H28807" s="711"/>
      <c r="I28807" s="711"/>
      <c r="J28807" s="711"/>
      <c r="K28807" s="711"/>
      <c r="L28807" s="711"/>
      <c r="Q28807" s="11"/>
      <c r="R28807" s="11"/>
      <c r="S28807" s="11"/>
      <c r="T28807" s="11"/>
    </row>
    <row r="28808" spans="8:20" x14ac:dyDescent="0.35">
      <c r="H28808" s="711"/>
      <c r="I28808" s="711"/>
      <c r="J28808" s="711"/>
      <c r="K28808" s="711"/>
      <c r="L28808" s="711"/>
      <c r="Q28808" s="11"/>
      <c r="R28808" s="11"/>
      <c r="S28808" s="11"/>
      <c r="T28808" s="11"/>
    </row>
    <row r="28809" spans="8:20" x14ac:dyDescent="0.35">
      <c r="H28809" s="711"/>
      <c r="I28809" s="711"/>
      <c r="J28809" s="711"/>
      <c r="K28809" s="711"/>
      <c r="L28809" s="711"/>
      <c r="Q28809" s="11"/>
      <c r="R28809" s="11"/>
      <c r="S28809" s="11"/>
      <c r="T28809" s="11"/>
    </row>
    <row r="28810" spans="8:20" x14ac:dyDescent="0.35">
      <c r="H28810" s="711"/>
      <c r="I28810" s="711"/>
      <c r="J28810" s="711"/>
      <c r="K28810" s="711"/>
      <c r="L28810" s="711"/>
      <c r="Q28810" s="11"/>
      <c r="R28810" s="11"/>
      <c r="S28810" s="11"/>
      <c r="T28810" s="11"/>
    </row>
    <row r="28811" spans="8:20" x14ac:dyDescent="0.35">
      <c r="H28811" s="711"/>
      <c r="I28811" s="711"/>
      <c r="J28811" s="711"/>
      <c r="K28811" s="711"/>
      <c r="L28811" s="711"/>
      <c r="Q28811" s="11"/>
      <c r="R28811" s="11"/>
      <c r="S28811" s="11"/>
      <c r="T28811" s="11"/>
    </row>
    <row r="28812" spans="8:20" x14ac:dyDescent="0.35">
      <c r="H28812" s="711"/>
      <c r="I28812" s="711"/>
      <c r="J28812" s="711"/>
      <c r="K28812" s="711"/>
      <c r="L28812" s="711"/>
      <c r="Q28812" s="11"/>
      <c r="R28812" s="11"/>
      <c r="S28812" s="11"/>
      <c r="T28812" s="11"/>
    </row>
    <row r="28813" spans="8:20" x14ac:dyDescent="0.35">
      <c r="H28813" s="711"/>
      <c r="I28813" s="711"/>
      <c r="J28813" s="711"/>
      <c r="K28813" s="711"/>
      <c r="L28813" s="711"/>
      <c r="Q28813" s="11"/>
      <c r="R28813" s="11"/>
      <c r="S28813" s="11"/>
      <c r="T28813" s="11"/>
    </row>
    <row r="28814" spans="8:20" x14ac:dyDescent="0.35">
      <c r="H28814" s="711"/>
      <c r="I28814" s="711"/>
      <c r="J28814" s="711"/>
      <c r="K28814" s="711"/>
      <c r="L28814" s="711"/>
      <c r="Q28814" s="11"/>
      <c r="R28814" s="11"/>
      <c r="S28814" s="11"/>
      <c r="T28814" s="11"/>
    </row>
    <row r="28815" spans="8:20" x14ac:dyDescent="0.35">
      <c r="H28815" s="711"/>
      <c r="I28815" s="711"/>
      <c r="J28815" s="711"/>
      <c r="K28815" s="711"/>
      <c r="L28815" s="711"/>
      <c r="Q28815" s="11"/>
      <c r="R28815" s="11"/>
      <c r="S28815" s="11"/>
      <c r="T28815" s="11"/>
    </row>
    <row r="28816" spans="8:20" x14ac:dyDescent="0.35">
      <c r="H28816" s="711"/>
      <c r="I28816" s="711"/>
      <c r="J28816" s="711"/>
      <c r="K28816" s="711"/>
      <c r="L28816" s="711"/>
      <c r="Q28816" s="11"/>
      <c r="R28816" s="11"/>
      <c r="S28816" s="11"/>
      <c r="T28816" s="11"/>
    </row>
    <row r="28817" spans="8:20" x14ac:dyDescent="0.35">
      <c r="H28817" s="711"/>
      <c r="I28817" s="711"/>
      <c r="J28817" s="711"/>
      <c r="K28817" s="711"/>
      <c r="L28817" s="711"/>
      <c r="Q28817" s="11"/>
      <c r="R28817" s="11"/>
      <c r="S28817" s="11"/>
      <c r="T28817" s="11"/>
    </row>
    <row r="28818" spans="8:20" x14ac:dyDescent="0.35">
      <c r="H28818" s="711"/>
      <c r="I28818" s="711"/>
      <c r="J28818" s="711"/>
      <c r="K28818" s="711"/>
      <c r="L28818" s="711"/>
      <c r="Q28818" s="11"/>
      <c r="R28818" s="11"/>
      <c r="S28818" s="11"/>
      <c r="T28818" s="11"/>
    </row>
    <row r="28819" spans="8:20" x14ac:dyDescent="0.35">
      <c r="H28819" s="711"/>
      <c r="I28819" s="711"/>
      <c r="J28819" s="711"/>
      <c r="K28819" s="711"/>
      <c r="L28819" s="711"/>
      <c r="Q28819" s="11"/>
      <c r="R28819" s="11"/>
      <c r="S28819" s="11"/>
      <c r="T28819" s="11"/>
    </row>
    <row r="28820" spans="8:20" x14ac:dyDescent="0.35">
      <c r="H28820" s="711"/>
      <c r="I28820" s="711"/>
      <c r="J28820" s="711"/>
      <c r="K28820" s="711"/>
      <c r="L28820" s="711"/>
      <c r="Q28820" s="11"/>
      <c r="R28820" s="11"/>
      <c r="S28820" s="11"/>
      <c r="T28820" s="11"/>
    </row>
    <row r="28821" spans="8:20" x14ac:dyDescent="0.35">
      <c r="H28821" s="711"/>
      <c r="I28821" s="711"/>
      <c r="J28821" s="711"/>
      <c r="K28821" s="711"/>
      <c r="L28821" s="711"/>
      <c r="Q28821" s="11"/>
      <c r="R28821" s="11"/>
      <c r="S28821" s="11"/>
      <c r="T28821" s="11"/>
    </row>
    <row r="28822" spans="8:20" x14ac:dyDescent="0.35">
      <c r="H28822" s="711"/>
      <c r="I28822" s="711"/>
      <c r="J28822" s="711"/>
      <c r="K28822" s="711"/>
      <c r="L28822" s="711"/>
      <c r="Q28822" s="11"/>
      <c r="R28822" s="11"/>
      <c r="S28822" s="11"/>
      <c r="T28822" s="11"/>
    </row>
    <row r="28823" spans="8:20" x14ac:dyDescent="0.35">
      <c r="H28823" s="711"/>
      <c r="I28823" s="711"/>
      <c r="J28823" s="711"/>
      <c r="K28823" s="711"/>
      <c r="L28823" s="711"/>
      <c r="Q28823" s="11"/>
      <c r="R28823" s="11"/>
      <c r="S28823" s="11"/>
      <c r="T28823" s="11"/>
    </row>
    <row r="28824" spans="8:20" x14ac:dyDescent="0.35">
      <c r="H28824" s="711"/>
      <c r="I28824" s="711"/>
      <c r="J28824" s="711"/>
      <c r="K28824" s="711"/>
      <c r="L28824" s="711"/>
      <c r="Q28824" s="11"/>
      <c r="R28824" s="11"/>
      <c r="S28824" s="11"/>
      <c r="T28824" s="11"/>
    </row>
    <row r="28825" spans="8:20" x14ac:dyDescent="0.35">
      <c r="H28825" s="711"/>
      <c r="I28825" s="711"/>
      <c r="J28825" s="711"/>
      <c r="K28825" s="711"/>
      <c r="L28825" s="711"/>
      <c r="Q28825" s="11"/>
      <c r="R28825" s="11"/>
      <c r="S28825" s="11"/>
      <c r="T28825" s="11"/>
    </row>
    <row r="28826" spans="8:20" x14ac:dyDescent="0.35">
      <c r="H28826" s="711"/>
      <c r="I28826" s="711"/>
      <c r="J28826" s="711"/>
      <c r="K28826" s="711"/>
      <c r="L28826" s="711"/>
      <c r="Q28826" s="11"/>
      <c r="R28826" s="11"/>
      <c r="S28826" s="11"/>
      <c r="T28826" s="11"/>
    </row>
    <row r="28827" spans="8:20" x14ac:dyDescent="0.35">
      <c r="H28827" s="711"/>
      <c r="I28827" s="711"/>
      <c r="J28827" s="711"/>
      <c r="K28827" s="711"/>
      <c r="L28827" s="711"/>
      <c r="Q28827" s="11"/>
      <c r="R28827" s="11"/>
      <c r="S28827" s="11"/>
      <c r="T28827" s="11"/>
    </row>
    <row r="28828" spans="8:20" x14ac:dyDescent="0.35">
      <c r="H28828" s="711"/>
      <c r="I28828" s="711"/>
      <c r="J28828" s="711"/>
      <c r="K28828" s="711"/>
      <c r="L28828" s="711"/>
      <c r="Q28828" s="11"/>
      <c r="R28828" s="11"/>
      <c r="S28828" s="11"/>
      <c r="T28828" s="11"/>
    </row>
    <row r="28829" spans="8:20" x14ac:dyDescent="0.35">
      <c r="H28829" s="711"/>
      <c r="I28829" s="711"/>
      <c r="J28829" s="711"/>
      <c r="K28829" s="711"/>
      <c r="L28829" s="711"/>
      <c r="Q28829" s="11"/>
      <c r="R28829" s="11"/>
      <c r="S28829" s="11"/>
      <c r="T28829" s="11"/>
    </row>
    <row r="28830" spans="8:20" x14ac:dyDescent="0.35">
      <c r="H28830" s="711"/>
      <c r="I28830" s="711"/>
      <c r="J28830" s="711"/>
      <c r="K28830" s="711"/>
      <c r="L28830" s="711"/>
      <c r="Q28830" s="11"/>
      <c r="R28830" s="11"/>
      <c r="S28830" s="11"/>
      <c r="T28830" s="11"/>
    </row>
    <row r="28831" spans="8:20" x14ac:dyDescent="0.35">
      <c r="H28831" s="711"/>
      <c r="I28831" s="711"/>
      <c r="J28831" s="711"/>
      <c r="K28831" s="711"/>
      <c r="L28831" s="711"/>
      <c r="Q28831" s="11"/>
      <c r="R28831" s="11"/>
      <c r="S28831" s="11"/>
      <c r="T28831" s="11"/>
    </row>
    <row r="28832" spans="8:20" x14ac:dyDescent="0.35">
      <c r="H28832" s="711"/>
      <c r="I28832" s="711"/>
      <c r="J28832" s="711"/>
      <c r="K28832" s="711"/>
      <c r="L28832" s="711"/>
      <c r="Q28832" s="11"/>
      <c r="R28832" s="11"/>
      <c r="S28832" s="11"/>
      <c r="T28832" s="11"/>
    </row>
    <row r="28833" spans="8:20" x14ac:dyDescent="0.35">
      <c r="H28833" s="711"/>
      <c r="I28833" s="711"/>
      <c r="J28833" s="711"/>
      <c r="K28833" s="711"/>
      <c r="L28833" s="711"/>
      <c r="Q28833" s="11"/>
      <c r="R28833" s="11"/>
      <c r="S28833" s="11"/>
      <c r="T28833" s="11"/>
    </row>
    <row r="28834" spans="8:20" x14ac:dyDescent="0.35">
      <c r="H28834" s="711"/>
      <c r="I28834" s="711"/>
      <c r="J28834" s="711"/>
      <c r="K28834" s="711"/>
      <c r="L28834" s="711"/>
      <c r="Q28834" s="11"/>
      <c r="R28834" s="11"/>
      <c r="S28834" s="11"/>
      <c r="T28834" s="11"/>
    </row>
    <row r="28835" spans="8:20" x14ac:dyDescent="0.35">
      <c r="H28835" s="711"/>
      <c r="I28835" s="711"/>
      <c r="J28835" s="711"/>
      <c r="K28835" s="711"/>
      <c r="L28835" s="711"/>
      <c r="Q28835" s="11"/>
      <c r="R28835" s="11"/>
      <c r="S28835" s="11"/>
      <c r="T28835" s="11"/>
    </row>
    <row r="28836" spans="8:20" x14ac:dyDescent="0.35">
      <c r="H28836" s="711"/>
      <c r="I28836" s="711"/>
      <c r="J28836" s="711"/>
      <c r="K28836" s="711"/>
      <c r="L28836" s="711"/>
      <c r="Q28836" s="11"/>
      <c r="R28836" s="11"/>
      <c r="S28836" s="11"/>
      <c r="T28836" s="11"/>
    </row>
    <row r="28837" spans="8:20" x14ac:dyDescent="0.35">
      <c r="H28837" s="711"/>
      <c r="I28837" s="711"/>
      <c r="J28837" s="711"/>
      <c r="K28837" s="711"/>
      <c r="L28837" s="711"/>
      <c r="Q28837" s="11"/>
      <c r="R28837" s="11"/>
      <c r="S28837" s="11"/>
      <c r="T28837" s="11"/>
    </row>
    <row r="28838" spans="8:20" x14ac:dyDescent="0.35">
      <c r="H28838" s="711"/>
      <c r="I28838" s="711"/>
      <c r="J28838" s="711"/>
      <c r="K28838" s="711"/>
      <c r="L28838" s="711"/>
      <c r="Q28838" s="11"/>
      <c r="R28838" s="11"/>
      <c r="S28838" s="11"/>
      <c r="T28838" s="11"/>
    </row>
    <row r="28839" spans="8:20" x14ac:dyDescent="0.35">
      <c r="H28839" s="711"/>
      <c r="I28839" s="711"/>
      <c r="J28839" s="711"/>
      <c r="K28839" s="711"/>
      <c r="L28839" s="711"/>
      <c r="Q28839" s="11"/>
      <c r="R28839" s="11"/>
      <c r="S28839" s="11"/>
      <c r="T28839" s="11"/>
    </row>
    <row r="28840" spans="8:20" x14ac:dyDescent="0.35">
      <c r="H28840" s="711"/>
      <c r="I28840" s="711"/>
      <c r="J28840" s="711"/>
      <c r="K28840" s="711"/>
      <c r="L28840" s="711"/>
      <c r="Q28840" s="11"/>
      <c r="R28840" s="11"/>
      <c r="S28840" s="11"/>
      <c r="T28840" s="11"/>
    </row>
    <row r="28841" spans="8:20" x14ac:dyDescent="0.35">
      <c r="H28841" s="711"/>
      <c r="I28841" s="711"/>
      <c r="J28841" s="711"/>
      <c r="K28841" s="711"/>
      <c r="L28841" s="711"/>
      <c r="Q28841" s="11"/>
      <c r="R28841" s="11"/>
      <c r="S28841" s="11"/>
      <c r="T28841" s="11"/>
    </row>
    <row r="28842" spans="8:20" x14ac:dyDescent="0.35">
      <c r="H28842" s="711"/>
      <c r="I28842" s="711"/>
      <c r="J28842" s="711"/>
      <c r="K28842" s="711"/>
      <c r="L28842" s="711"/>
      <c r="Q28842" s="11"/>
      <c r="R28842" s="11"/>
      <c r="S28842" s="11"/>
      <c r="T28842" s="11"/>
    </row>
    <row r="28843" spans="8:20" x14ac:dyDescent="0.35">
      <c r="H28843" s="711"/>
      <c r="I28843" s="711"/>
      <c r="J28843" s="711"/>
      <c r="K28843" s="711"/>
      <c r="L28843" s="711"/>
      <c r="Q28843" s="11"/>
      <c r="R28843" s="11"/>
      <c r="S28843" s="11"/>
      <c r="T28843" s="11"/>
    </row>
    <row r="28844" spans="8:20" x14ac:dyDescent="0.35">
      <c r="H28844" s="711"/>
      <c r="I28844" s="711"/>
      <c r="J28844" s="711"/>
      <c r="K28844" s="711"/>
      <c r="L28844" s="711"/>
      <c r="Q28844" s="11"/>
      <c r="R28844" s="11"/>
      <c r="S28844" s="11"/>
      <c r="T28844" s="11"/>
    </row>
    <row r="28845" spans="8:20" x14ac:dyDescent="0.35">
      <c r="H28845" s="711"/>
      <c r="I28845" s="711"/>
      <c r="J28845" s="711"/>
      <c r="K28845" s="711"/>
      <c r="L28845" s="711"/>
      <c r="Q28845" s="11"/>
      <c r="R28845" s="11"/>
      <c r="S28845" s="11"/>
      <c r="T28845" s="11"/>
    </row>
    <row r="28846" spans="8:20" x14ac:dyDescent="0.35">
      <c r="H28846" s="711"/>
      <c r="I28846" s="711"/>
      <c r="J28846" s="711"/>
      <c r="K28846" s="711"/>
      <c r="L28846" s="711"/>
      <c r="Q28846" s="11"/>
      <c r="R28846" s="11"/>
      <c r="S28846" s="11"/>
      <c r="T28846" s="11"/>
    </row>
    <row r="28847" spans="8:20" x14ac:dyDescent="0.35">
      <c r="H28847" s="711"/>
      <c r="I28847" s="711"/>
      <c r="J28847" s="711"/>
      <c r="K28847" s="711"/>
      <c r="L28847" s="711"/>
      <c r="Q28847" s="11"/>
      <c r="R28847" s="11"/>
      <c r="S28847" s="11"/>
      <c r="T28847" s="11"/>
    </row>
    <row r="28848" spans="8:20" x14ac:dyDescent="0.35">
      <c r="H28848" s="711"/>
      <c r="I28848" s="711"/>
      <c r="J28848" s="711"/>
      <c r="K28848" s="711"/>
      <c r="L28848" s="711"/>
      <c r="Q28848" s="11"/>
      <c r="R28848" s="11"/>
      <c r="S28848" s="11"/>
      <c r="T28848" s="11"/>
    </row>
    <row r="28849" spans="8:20" x14ac:dyDescent="0.35">
      <c r="H28849" s="711"/>
      <c r="I28849" s="711"/>
      <c r="J28849" s="711"/>
      <c r="K28849" s="711"/>
      <c r="L28849" s="711"/>
      <c r="Q28849" s="11"/>
      <c r="R28849" s="11"/>
      <c r="S28849" s="11"/>
      <c r="T28849" s="11"/>
    </row>
    <row r="28850" spans="8:20" x14ac:dyDescent="0.35">
      <c r="H28850" s="711"/>
      <c r="I28850" s="711"/>
      <c r="J28850" s="711"/>
      <c r="K28850" s="711"/>
      <c r="L28850" s="711"/>
      <c r="Q28850" s="11"/>
      <c r="R28850" s="11"/>
      <c r="S28850" s="11"/>
      <c r="T28850" s="11"/>
    </row>
    <row r="28851" spans="8:20" x14ac:dyDescent="0.35">
      <c r="H28851" s="711"/>
      <c r="I28851" s="711"/>
      <c r="J28851" s="711"/>
      <c r="K28851" s="711"/>
      <c r="L28851" s="711"/>
      <c r="Q28851" s="11"/>
      <c r="R28851" s="11"/>
      <c r="S28851" s="11"/>
      <c r="T28851" s="11"/>
    </row>
    <row r="28852" spans="8:20" x14ac:dyDescent="0.35">
      <c r="H28852" s="711"/>
      <c r="I28852" s="711"/>
      <c r="J28852" s="711"/>
      <c r="K28852" s="711"/>
      <c r="L28852" s="711"/>
      <c r="Q28852" s="11"/>
      <c r="R28852" s="11"/>
      <c r="S28852" s="11"/>
      <c r="T28852" s="11"/>
    </row>
    <row r="28853" spans="8:20" x14ac:dyDescent="0.35">
      <c r="H28853" s="711"/>
      <c r="I28853" s="711"/>
      <c r="J28853" s="711"/>
      <c r="K28853" s="711"/>
      <c r="L28853" s="711"/>
      <c r="Q28853" s="11"/>
      <c r="R28853" s="11"/>
      <c r="S28853" s="11"/>
      <c r="T28853" s="11"/>
    </row>
    <row r="28854" spans="8:20" x14ac:dyDescent="0.35">
      <c r="H28854" s="711"/>
      <c r="I28854" s="711"/>
      <c r="J28854" s="711"/>
      <c r="K28854" s="711"/>
      <c r="L28854" s="711"/>
      <c r="Q28854" s="11"/>
      <c r="R28854" s="11"/>
      <c r="S28854" s="11"/>
      <c r="T28854" s="11"/>
    </row>
    <row r="28855" spans="8:20" x14ac:dyDescent="0.35">
      <c r="H28855" s="711"/>
      <c r="I28855" s="711"/>
      <c r="J28855" s="711"/>
      <c r="K28855" s="711"/>
      <c r="L28855" s="711"/>
      <c r="Q28855" s="11"/>
      <c r="R28855" s="11"/>
      <c r="S28855" s="11"/>
      <c r="T28855" s="11"/>
    </row>
    <row r="28856" spans="8:20" x14ac:dyDescent="0.35">
      <c r="H28856" s="711"/>
      <c r="I28856" s="711"/>
      <c r="J28856" s="711"/>
      <c r="K28856" s="711"/>
      <c r="L28856" s="711"/>
      <c r="Q28856" s="11"/>
      <c r="R28856" s="11"/>
      <c r="S28856" s="11"/>
      <c r="T28856" s="11"/>
    </row>
    <row r="28857" spans="8:20" x14ac:dyDescent="0.35">
      <c r="H28857" s="711"/>
      <c r="I28857" s="711"/>
      <c r="J28857" s="711"/>
      <c r="K28857" s="711"/>
      <c r="L28857" s="711"/>
      <c r="Q28857" s="11"/>
      <c r="R28857" s="11"/>
      <c r="S28857" s="11"/>
      <c r="T28857" s="11"/>
    </row>
    <row r="28858" spans="8:20" x14ac:dyDescent="0.35">
      <c r="H28858" s="711"/>
      <c r="I28858" s="711"/>
      <c r="J28858" s="711"/>
      <c r="K28858" s="711"/>
      <c r="L28858" s="711"/>
      <c r="Q28858" s="11"/>
      <c r="R28858" s="11"/>
      <c r="S28858" s="11"/>
      <c r="T28858" s="11"/>
    </row>
    <row r="28859" spans="8:20" x14ac:dyDescent="0.35">
      <c r="H28859" s="711"/>
      <c r="I28859" s="711"/>
      <c r="J28859" s="711"/>
      <c r="K28859" s="711"/>
      <c r="L28859" s="711"/>
      <c r="Q28859" s="11"/>
      <c r="R28859" s="11"/>
      <c r="S28859" s="11"/>
      <c r="T28859" s="11"/>
    </row>
    <row r="28860" spans="8:20" x14ac:dyDescent="0.35">
      <c r="H28860" s="711"/>
      <c r="I28860" s="711"/>
      <c r="J28860" s="711"/>
      <c r="K28860" s="711"/>
      <c r="L28860" s="711"/>
      <c r="Q28860" s="11"/>
      <c r="R28860" s="11"/>
      <c r="S28860" s="11"/>
      <c r="T28860" s="11"/>
    </row>
    <row r="28861" spans="8:20" x14ac:dyDescent="0.35">
      <c r="H28861" s="711"/>
      <c r="I28861" s="711"/>
      <c r="J28861" s="711"/>
      <c r="K28861" s="711"/>
      <c r="L28861" s="711"/>
      <c r="Q28861" s="11"/>
      <c r="R28861" s="11"/>
      <c r="S28861" s="11"/>
      <c r="T28861" s="11"/>
    </row>
    <row r="28862" spans="8:20" x14ac:dyDescent="0.35">
      <c r="H28862" s="711"/>
      <c r="I28862" s="711"/>
      <c r="J28862" s="711"/>
      <c r="K28862" s="711"/>
      <c r="L28862" s="711"/>
      <c r="Q28862" s="11"/>
      <c r="R28862" s="11"/>
      <c r="S28862" s="11"/>
      <c r="T28862" s="11"/>
    </row>
    <row r="28863" spans="8:20" x14ac:dyDescent="0.35">
      <c r="H28863" s="711"/>
      <c r="I28863" s="711"/>
      <c r="J28863" s="711"/>
      <c r="K28863" s="711"/>
      <c r="L28863" s="711"/>
      <c r="Q28863" s="11"/>
      <c r="R28863" s="11"/>
      <c r="S28863" s="11"/>
      <c r="T28863" s="11"/>
    </row>
    <row r="28864" spans="8:20" x14ac:dyDescent="0.35">
      <c r="H28864" s="711"/>
      <c r="I28864" s="711"/>
      <c r="J28864" s="711"/>
      <c r="K28864" s="711"/>
      <c r="L28864" s="711"/>
      <c r="Q28864" s="11"/>
      <c r="R28864" s="11"/>
      <c r="S28864" s="11"/>
      <c r="T28864" s="11"/>
    </row>
    <row r="28865" spans="8:20" x14ac:dyDescent="0.35">
      <c r="H28865" s="711"/>
      <c r="I28865" s="711"/>
      <c r="J28865" s="711"/>
      <c r="K28865" s="711"/>
      <c r="L28865" s="711"/>
      <c r="Q28865" s="11"/>
      <c r="R28865" s="11"/>
      <c r="S28865" s="11"/>
      <c r="T28865" s="11"/>
    </row>
    <row r="28866" spans="8:20" x14ac:dyDescent="0.35">
      <c r="H28866" s="711"/>
      <c r="I28866" s="711"/>
      <c r="J28866" s="711"/>
      <c r="K28866" s="711"/>
      <c r="L28866" s="711"/>
      <c r="Q28866" s="11"/>
      <c r="R28866" s="11"/>
      <c r="S28866" s="11"/>
      <c r="T28866" s="11"/>
    </row>
    <row r="28867" spans="8:20" x14ac:dyDescent="0.35">
      <c r="H28867" s="711"/>
      <c r="I28867" s="711"/>
      <c r="J28867" s="711"/>
      <c r="K28867" s="711"/>
      <c r="L28867" s="711"/>
      <c r="Q28867" s="11"/>
      <c r="R28867" s="11"/>
      <c r="S28867" s="11"/>
      <c r="T28867" s="11"/>
    </row>
    <row r="28868" spans="8:20" x14ac:dyDescent="0.35">
      <c r="H28868" s="711"/>
      <c r="I28868" s="711"/>
      <c r="J28868" s="711"/>
      <c r="K28868" s="711"/>
      <c r="L28868" s="711"/>
      <c r="Q28868" s="11"/>
      <c r="R28868" s="11"/>
      <c r="S28868" s="11"/>
      <c r="T28868" s="11"/>
    </row>
    <row r="28869" spans="8:20" x14ac:dyDescent="0.35">
      <c r="H28869" s="711"/>
      <c r="I28869" s="711"/>
      <c r="J28869" s="711"/>
      <c r="K28869" s="711"/>
      <c r="L28869" s="711"/>
      <c r="Q28869" s="11"/>
      <c r="R28869" s="11"/>
      <c r="S28869" s="11"/>
      <c r="T28869" s="11"/>
    </row>
    <row r="28870" spans="8:20" x14ac:dyDescent="0.35">
      <c r="H28870" s="711"/>
      <c r="I28870" s="711"/>
      <c r="J28870" s="711"/>
      <c r="K28870" s="711"/>
      <c r="L28870" s="711"/>
      <c r="Q28870" s="11"/>
      <c r="R28870" s="11"/>
      <c r="S28870" s="11"/>
      <c r="T28870" s="11"/>
    </row>
    <row r="28871" spans="8:20" x14ac:dyDescent="0.35">
      <c r="H28871" s="711"/>
      <c r="I28871" s="711"/>
      <c r="J28871" s="711"/>
      <c r="K28871" s="711"/>
      <c r="L28871" s="711"/>
      <c r="Q28871" s="11"/>
      <c r="R28871" s="11"/>
      <c r="S28871" s="11"/>
      <c r="T28871" s="11"/>
    </row>
    <row r="28872" spans="8:20" x14ac:dyDescent="0.35">
      <c r="H28872" s="711"/>
      <c r="I28872" s="711"/>
      <c r="J28872" s="711"/>
      <c r="K28872" s="711"/>
      <c r="L28872" s="711"/>
      <c r="Q28872" s="11"/>
      <c r="R28872" s="11"/>
      <c r="S28872" s="11"/>
      <c r="T28872" s="11"/>
    </row>
    <row r="28873" spans="8:20" x14ac:dyDescent="0.35">
      <c r="H28873" s="711"/>
      <c r="I28873" s="711"/>
      <c r="J28873" s="711"/>
      <c r="K28873" s="711"/>
      <c r="L28873" s="711"/>
      <c r="Q28873" s="11"/>
      <c r="R28873" s="11"/>
      <c r="S28873" s="11"/>
      <c r="T28873" s="11"/>
    </row>
    <row r="28874" spans="8:20" x14ac:dyDescent="0.35">
      <c r="H28874" s="711"/>
      <c r="I28874" s="711"/>
      <c r="J28874" s="711"/>
      <c r="K28874" s="711"/>
      <c r="L28874" s="711"/>
      <c r="Q28874" s="11"/>
      <c r="R28874" s="11"/>
      <c r="S28874" s="11"/>
      <c r="T28874" s="11"/>
    </row>
    <row r="28875" spans="8:20" x14ac:dyDescent="0.35">
      <c r="H28875" s="711"/>
      <c r="I28875" s="711"/>
      <c r="J28875" s="711"/>
      <c r="K28875" s="711"/>
      <c r="L28875" s="711"/>
      <c r="Q28875" s="11"/>
      <c r="R28875" s="11"/>
      <c r="S28875" s="11"/>
      <c r="T28875" s="11"/>
    </row>
    <row r="28876" spans="8:20" x14ac:dyDescent="0.35">
      <c r="H28876" s="711"/>
      <c r="I28876" s="711"/>
      <c r="J28876" s="711"/>
      <c r="K28876" s="711"/>
      <c r="L28876" s="711"/>
      <c r="Q28876" s="11"/>
      <c r="R28876" s="11"/>
      <c r="S28876" s="11"/>
      <c r="T28876" s="11"/>
    </row>
    <row r="28877" spans="8:20" x14ac:dyDescent="0.35">
      <c r="H28877" s="711"/>
      <c r="I28877" s="711"/>
      <c r="J28877" s="711"/>
      <c r="K28877" s="711"/>
      <c r="L28877" s="711"/>
      <c r="Q28877" s="11"/>
      <c r="R28877" s="11"/>
      <c r="S28877" s="11"/>
      <c r="T28877" s="11"/>
    </row>
    <row r="28878" spans="8:20" x14ac:dyDescent="0.35">
      <c r="H28878" s="711"/>
      <c r="I28878" s="711"/>
      <c r="J28878" s="711"/>
      <c r="K28878" s="711"/>
      <c r="L28878" s="711"/>
      <c r="Q28878" s="11"/>
      <c r="R28878" s="11"/>
      <c r="S28878" s="11"/>
      <c r="T28878" s="11"/>
    </row>
    <row r="28879" spans="8:20" x14ac:dyDescent="0.35">
      <c r="H28879" s="711"/>
      <c r="I28879" s="711"/>
      <c r="J28879" s="711"/>
      <c r="K28879" s="711"/>
      <c r="L28879" s="711"/>
      <c r="Q28879" s="11"/>
      <c r="R28879" s="11"/>
      <c r="S28879" s="11"/>
      <c r="T28879" s="11"/>
    </row>
    <row r="28880" spans="8:20" x14ac:dyDescent="0.35">
      <c r="H28880" s="711"/>
      <c r="I28880" s="711"/>
      <c r="J28880" s="711"/>
      <c r="K28880" s="711"/>
      <c r="L28880" s="711"/>
      <c r="Q28880" s="11"/>
      <c r="R28880" s="11"/>
      <c r="S28880" s="11"/>
      <c r="T28880" s="11"/>
    </row>
    <row r="28881" spans="8:20" x14ac:dyDescent="0.35">
      <c r="H28881" s="711"/>
      <c r="I28881" s="711"/>
      <c r="J28881" s="711"/>
      <c r="K28881" s="711"/>
      <c r="L28881" s="711"/>
      <c r="Q28881" s="11"/>
      <c r="R28881" s="11"/>
      <c r="S28881" s="11"/>
      <c r="T28881" s="11"/>
    </row>
    <row r="28882" spans="8:20" x14ac:dyDescent="0.35">
      <c r="H28882" s="711"/>
      <c r="I28882" s="711"/>
      <c r="J28882" s="711"/>
      <c r="K28882" s="711"/>
      <c r="L28882" s="711"/>
      <c r="Q28882" s="11"/>
      <c r="R28882" s="11"/>
      <c r="S28882" s="11"/>
      <c r="T28882" s="11"/>
    </row>
    <row r="28883" spans="8:20" x14ac:dyDescent="0.35">
      <c r="H28883" s="711"/>
      <c r="I28883" s="711"/>
      <c r="J28883" s="711"/>
      <c r="K28883" s="711"/>
      <c r="L28883" s="711"/>
      <c r="Q28883" s="11"/>
      <c r="R28883" s="11"/>
      <c r="S28883" s="11"/>
      <c r="T28883" s="11"/>
    </row>
    <row r="28884" spans="8:20" x14ac:dyDescent="0.35">
      <c r="H28884" s="711"/>
      <c r="I28884" s="711"/>
      <c r="J28884" s="711"/>
      <c r="K28884" s="711"/>
      <c r="L28884" s="711"/>
      <c r="Q28884" s="11"/>
      <c r="R28884" s="11"/>
      <c r="S28884" s="11"/>
      <c r="T28884" s="11"/>
    </row>
    <row r="28885" spans="8:20" x14ac:dyDescent="0.35">
      <c r="H28885" s="711"/>
      <c r="I28885" s="711"/>
      <c r="J28885" s="711"/>
      <c r="K28885" s="711"/>
      <c r="L28885" s="711"/>
      <c r="Q28885" s="11"/>
      <c r="R28885" s="11"/>
      <c r="S28885" s="11"/>
      <c r="T28885" s="11"/>
    </row>
    <row r="28886" spans="8:20" x14ac:dyDescent="0.35">
      <c r="H28886" s="711"/>
      <c r="I28886" s="711"/>
      <c r="J28886" s="711"/>
      <c r="K28886" s="711"/>
      <c r="L28886" s="711"/>
      <c r="Q28886" s="11"/>
      <c r="R28886" s="11"/>
      <c r="S28886" s="11"/>
      <c r="T28886" s="11"/>
    </row>
    <row r="28887" spans="8:20" x14ac:dyDescent="0.35">
      <c r="H28887" s="711"/>
      <c r="I28887" s="711"/>
      <c r="J28887" s="711"/>
      <c r="K28887" s="711"/>
      <c r="L28887" s="711"/>
      <c r="Q28887" s="11"/>
      <c r="R28887" s="11"/>
      <c r="S28887" s="11"/>
      <c r="T28887" s="11"/>
    </row>
    <row r="28888" spans="8:20" x14ac:dyDescent="0.35">
      <c r="H28888" s="711"/>
      <c r="I28888" s="711"/>
      <c r="J28888" s="711"/>
      <c r="K28888" s="711"/>
      <c r="L28888" s="711"/>
      <c r="Q28888" s="11"/>
      <c r="R28888" s="11"/>
      <c r="S28888" s="11"/>
      <c r="T28888" s="11"/>
    </row>
    <row r="28889" spans="8:20" x14ac:dyDescent="0.35">
      <c r="H28889" s="711"/>
      <c r="I28889" s="711"/>
      <c r="J28889" s="711"/>
      <c r="K28889" s="711"/>
      <c r="L28889" s="711"/>
      <c r="Q28889" s="11"/>
      <c r="R28889" s="11"/>
      <c r="S28889" s="11"/>
      <c r="T28889" s="11"/>
    </row>
    <row r="28890" spans="8:20" x14ac:dyDescent="0.35">
      <c r="H28890" s="711"/>
      <c r="I28890" s="711"/>
      <c r="J28890" s="711"/>
      <c r="K28890" s="711"/>
      <c r="L28890" s="711"/>
      <c r="Q28890" s="11"/>
      <c r="R28890" s="11"/>
      <c r="S28890" s="11"/>
      <c r="T28890" s="11"/>
    </row>
    <row r="28891" spans="8:20" x14ac:dyDescent="0.35">
      <c r="H28891" s="711"/>
      <c r="I28891" s="711"/>
      <c r="J28891" s="711"/>
      <c r="K28891" s="711"/>
      <c r="L28891" s="711"/>
      <c r="Q28891" s="11"/>
      <c r="R28891" s="11"/>
      <c r="S28891" s="11"/>
      <c r="T28891" s="11"/>
    </row>
    <row r="28892" spans="8:20" x14ac:dyDescent="0.35">
      <c r="H28892" s="711"/>
      <c r="I28892" s="711"/>
      <c r="J28892" s="711"/>
      <c r="K28892" s="711"/>
      <c r="L28892" s="711"/>
      <c r="Q28892" s="11"/>
      <c r="R28892" s="11"/>
      <c r="S28892" s="11"/>
      <c r="T28892" s="11"/>
    </row>
    <row r="28893" spans="8:20" x14ac:dyDescent="0.35">
      <c r="H28893" s="711"/>
      <c r="I28893" s="711"/>
      <c r="J28893" s="711"/>
      <c r="K28893" s="711"/>
      <c r="L28893" s="711"/>
      <c r="Q28893" s="11"/>
      <c r="R28893" s="11"/>
      <c r="S28893" s="11"/>
      <c r="T28893" s="11"/>
    </row>
    <row r="28894" spans="8:20" x14ac:dyDescent="0.35">
      <c r="H28894" s="711"/>
      <c r="I28894" s="711"/>
      <c r="J28894" s="711"/>
      <c r="K28894" s="711"/>
      <c r="L28894" s="711"/>
      <c r="Q28894" s="11"/>
      <c r="R28894" s="11"/>
      <c r="S28894" s="11"/>
      <c r="T28894" s="11"/>
    </row>
    <row r="28895" spans="8:20" x14ac:dyDescent="0.35">
      <c r="H28895" s="711"/>
      <c r="I28895" s="711"/>
      <c r="J28895" s="711"/>
      <c r="K28895" s="711"/>
      <c r="L28895" s="711"/>
      <c r="Q28895" s="11"/>
      <c r="R28895" s="11"/>
      <c r="S28895" s="11"/>
      <c r="T28895" s="11"/>
    </row>
    <row r="28896" spans="8:20" x14ac:dyDescent="0.35">
      <c r="H28896" s="711"/>
      <c r="I28896" s="711"/>
      <c r="J28896" s="711"/>
      <c r="K28896" s="711"/>
      <c r="L28896" s="711"/>
      <c r="Q28896" s="11"/>
      <c r="R28896" s="11"/>
      <c r="S28896" s="11"/>
      <c r="T28896" s="11"/>
    </row>
    <row r="28897" spans="8:20" x14ac:dyDescent="0.35">
      <c r="H28897" s="711"/>
      <c r="I28897" s="711"/>
      <c r="J28897" s="711"/>
      <c r="K28897" s="711"/>
      <c r="L28897" s="711"/>
      <c r="Q28897" s="11"/>
      <c r="R28897" s="11"/>
      <c r="S28897" s="11"/>
      <c r="T28897" s="11"/>
    </row>
    <row r="28898" spans="8:20" x14ac:dyDescent="0.35">
      <c r="H28898" s="711"/>
      <c r="I28898" s="711"/>
      <c r="J28898" s="711"/>
      <c r="K28898" s="711"/>
      <c r="L28898" s="711"/>
      <c r="Q28898" s="11"/>
      <c r="R28898" s="11"/>
      <c r="S28898" s="11"/>
      <c r="T28898" s="11"/>
    </row>
    <row r="28899" spans="8:20" x14ac:dyDescent="0.35">
      <c r="H28899" s="711"/>
      <c r="I28899" s="711"/>
      <c r="J28899" s="711"/>
      <c r="K28899" s="711"/>
      <c r="L28899" s="711"/>
      <c r="Q28899" s="11"/>
      <c r="R28899" s="11"/>
      <c r="S28899" s="11"/>
      <c r="T28899" s="11"/>
    </row>
    <row r="28900" spans="8:20" x14ac:dyDescent="0.35">
      <c r="H28900" s="711"/>
      <c r="I28900" s="711"/>
      <c r="J28900" s="711"/>
      <c r="K28900" s="711"/>
      <c r="L28900" s="711"/>
      <c r="Q28900" s="11"/>
      <c r="R28900" s="11"/>
      <c r="S28900" s="11"/>
      <c r="T28900" s="11"/>
    </row>
    <row r="28901" spans="8:20" x14ac:dyDescent="0.35">
      <c r="H28901" s="711"/>
      <c r="I28901" s="711"/>
      <c r="J28901" s="711"/>
      <c r="K28901" s="711"/>
      <c r="L28901" s="711"/>
      <c r="Q28901" s="11"/>
      <c r="R28901" s="11"/>
      <c r="S28901" s="11"/>
      <c r="T28901" s="11"/>
    </row>
    <row r="28902" spans="8:20" x14ac:dyDescent="0.35">
      <c r="H28902" s="711"/>
      <c r="I28902" s="711"/>
      <c r="J28902" s="711"/>
      <c r="K28902" s="711"/>
      <c r="L28902" s="711"/>
      <c r="Q28902" s="11"/>
      <c r="R28902" s="11"/>
      <c r="S28902" s="11"/>
      <c r="T28902" s="11"/>
    </row>
    <row r="28903" spans="8:20" x14ac:dyDescent="0.35">
      <c r="H28903" s="711"/>
      <c r="I28903" s="711"/>
      <c r="J28903" s="711"/>
      <c r="K28903" s="711"/>
      <c r="L28903" s="711"/>
      <c r="Q28903" s="11"/>
      <c r="R28903" s="11"/>
      <c r="S28903" s="11"/>
      <c r="T28903" s="11"/>
    </row>
    <row r="28904" spans="8:20" x14ac:dyDescent="0.35">
      <c r="H28904" s="711"/>
      <c r="I28904" s="711"/>
      <c r="J28904" s="711"/>
      <c r="K28904" s="711"/>
      <c r="L28904" s="711"/>
      <c r="Q28904" s="11"/>
      <c r="R28904" s="11"/>
      <c r="S28904" s="11"/>
      <c r="T28904" s="11"/>
    </row>
    <row r="28905" spans="8:20" x14ac:dyDescent="0.35">
      <c r="H28905" s="711"/>
      <c r="I28905" s="711"/>
      <c r="J28905" s="711"/>
      <c r="K28905" s="711"/>
      <c r="L28905" s="711"/>
      <c r="Q28905" s="11"/>
      <c r="R28905" s="11"/>
      <c r="S28905" s="11"/>
      <c r="T28905" s="11"/>
    </row>
    <row r="28906" spans="8:20" x14ac:dyDescent="0.35">
      <c r="H28906" s="711"/>
      <c r="I28906" s="711"/>
      <c r="J28906" s="711"/>
      <c r="K28906" s="711"/>
      <c r="L28906" s="711"/>
      <c r="Q28906" s="11"/>
      <c r="R28906" s="11"/>
      <c r="S28906" s="11"/>
      <c r="T28906" s="11"/>
    </row>
    <row r="28907" spans="8:20" x14ac:dyDescent="0.35">
      <c r="H28907" s="711"/>
      <c r="I28907" s="711"/>
      <c r="J28907" s="711"/>
      <c r="K28907" s="711"/>
      <c r="L28907" s="711"/>
      <c r="Q28907" s="11"/>
      <c r="R28907" s="11"/>
      <c r="S28907" s="11"/>
      <c r="T28907" s="11"/>
    </row>
    <row r="28908" spans="8:20" x14ac:dyDescent="0.35">
      <c r="H28908" s="711"/>
      <c r="I28908" s="711"/>
      <c r="J28908" s="711"/>
      <c r="K28908" s="711"/>
      <c r="L28908" s="711"/>
      <c r="Q28908" s="11"/>
      <c r="R28908" s="11"/>
      <c r="S28908" s="11"/>
      <c r="T28908" s="11"/>
    </row>
    <row r="28909" spans="8:20" x14ac:dyDescent="0.35">
      <c r="H28909" s="711"/>
      <c r="I28909" s="711"/>
      <c r="J28909" s="711"/>
      <c r="K28909" s="711"/>
      <c r="L28909" s="711"/>
      <c r="Q28909" s="11"/>
      <c r="R28909" s="11"/>
      <c r="S28909" s="11"/>
      <c r="T28909" s="11"/>
    </row>
    <row r="28910" spans="8:20" x14ac:dyDescent="0.35">
      <c r="H28910" s="711"/>
      <c r="I28910" s="711"/>
      <c r="J28910" s="711"/>
      <c r="K28910" s="711"/>
      <c r="L28910" s="711"/>
      <c r="Q28910" s="11"/>
      <c r="R28910" s="11"/>
      <c r="S28910" s="11"/>
      <c r="T28910" s="11"/>
    </row>
    <row r="28911" spans="8:20" x14ac:dyDescent="0.35">
      <c r="H28911" s="711"/>
      <c r="I28911" s="711"/>
      <c r="J28911" s="711"/>
      <c r="K28911" s="711"/>
      <c r="L28911" s="711"/>
      <c r="Q28911" s="11"/>
      <c r="R28911" s="11"/>
      <c r="S28911" s="11"/>
      <c r="T28911" s="11"/>
    </row>
    <row r="28912" spans="8:20" x14ac:dyDescent="0.35">
      <c r="H28912" s="711"/>
      <c r="I28912" s="711"/>
      <c r="J28912" s="711"/>
      <c r="K28912" s="711"/>
      <c r="L28912" s="711"/>
      <c r="Q28912" s="11"/>
      <c r="R28912" s="11"/>
      <c r="S28912" s="11"/>
      <c r="T28912" s="11"/>
    </row>
    <row r="28913" spans="8:20" x14ac:dyDescent="0.35">
      <c r="H28913" s="711"/>
      <c r="I28913" s="711"/>
      <c r="J28913" s="711"/>
      <c r="K28913" s="711"/>
      <c r="L28913" s="711"/>
      <c r="Q28913" s="11"/>
      <c r="R28913" s="11"/>
      <c r="S28913" s="11"/>
      <c r="T28913" s="11"/>
    </row>
    <row r="28914" spans="8:20" x14ac:dyDescent="0.35">
      <c r="H28914" s="711"/>
      <c r="I28914" s="711"/>
      <c r="J28914" s="711"/>
      <c r="K28914" s="711"/>
      <c r="L28914" s="711"/>
      <c r="Q28914" s="11"/>
      <c r="R28914" s="11"/>
      <c r="S28914" s="11"/>
      <c r="T28914" s="11"/>
    </row>
    <row r="28915" spans="8:20" x14ac:dyDescent="0.35">
      <c r="H28915" s="711"/>
      <c r="I28915" s="711"/>
      <c r="J28915" s="711"/>
      <c r="K28915" s="711"/>
      <c r="L28915" s="711"/>
      <c r="Q28915" s="11"/>
      <c r="R28915" s="11"/>
      <c r="S28915" s="11"/>
      <c r="T28915" s="11"/>
    </row>
    <row r="28916" spans="8:20" x14ac:dyDescent="0.35">
      <c r="H28916" s="711"/>
      <c r="I28916" s="711"/>
      <c r="J28916" s="711"/>
      <c r="K28916" s="711"/>
      <c r="L28916" s="711"/>
      <c r="Q28916" s="11"/>
      <c r="R28916" s="11"/>
      <c r="S28916" s="11"/>
      <c r="T28916" s="11"/>
    </row>
    <row r="28917" spans="8:20" x14ac:dyDescent="0.35">
      <c r="H28917" s="711"/>
      <c r="I28917" s="711"/>
      <c r="J28917" s="711"/>
      <c r="K28917" s="711"/>
      <c r="L28917" s="711"/>
      <c r="Q28917" s="11"/>
      <c r="R28917" s="11"/>
      <c r="S28917" s="11"/>
      <c r="T28917" s="11"/>
    </row>
    <row r="28918" spans="8:20" x14ac:dyDescent="0.35">
      <c r="H28918" s="711"/>
      <c r="I28918" s="711"/>
      <c r="J28918" s="711"/>
      <c r="K28918" s="711"/>
      <c r="L28918" s="711"/>
      <c r="Q28918" s="11"/>
      <c r="R28918" s="11"/>
      <c r="S28918" s="11"/>
      <c r="T28918" s="11"/>
    </row>
    <row r="28919" spans="8:20" x14ac:dyDescent="0.35">
      <c r="H28919" s="711"/>
      <c r="I28919" s="711"/>
      <c r="J28919" s="711"/>
      <c r="K28919" s="711"/>
      <c r="L28919" s="711"/>
      <c r="Q28919" s="11"/>
      <c r="R28919" s="11"/>
      <c r="S28919" s="11"/>
      <c r="T28919" s="11"/>
    </row>
    <row r="28920" spans="8:20" x14ac:dyDescent="0.35">
      <c r="H28920" s="711"/>
      <c r="I28920" s="711"/>
      <c r="J28920" s="711"/>
      <c r="K28920" s="711"/>
      <c r="L28920" s="711"/>
      <c r="Q28920" s="11"/>
      <c r="R28920" s="11"/>
      <c r="S28920" s="11"/>
      <c r="T28920" s="11"/>
    </row>
    <row r="28921" spans="8:20" x14ac:dyDescent="0.35">
      <c r="H28921" s="711"/>
      <c r="I28921" s="711"/>
      <c r="J28921" s="711"/>
      <c r="K28921" s="711"/>
      <c r="L28921" s="711"/>
      <c r="Q28921" s="11"/>
      <c r="R28921" s="11"/>
      <c r="S28921" s="11"/>
      <c r="T28921" s="11"/>
    </row>
    <row r="28922" spans="8:20" x14ac:dyDescent="0.35">
      <c r="H28922" s="711"/>
      <c r="I28922" s="711"/>
      <c r="J28922" s="711"/>
      <c r="K28922" s="711"/>
      <c r="L28922" s="711"/>
      <c r="Q28922" s="11"/>
      <c r="R28922" s="11"/>
      <c r="S28922" s="11"/>
      <c r="T28922" s="11"/>
    </row>
    <row r="28923" spans="8:20" x14ac:dyDescent="0.35">
      <c r="H28923" s="711"/>
      <c r="I28923" s="711"/>
      <c r="J28923" s="711"/>
      <c r="K28923" s="711"/>
      <c r="L28923" s="711"/>
      <c r="Q28923" s="11"/>
      <c r="R28923" s="11"/>
      <c r="S28923" s="11"/>
      <c r="T28923" s="11"/>
    </row>
    <row r="28924" spans="8:20" x14ac:dyDescent="0.35">
      <c r="H28924" s="711"/>
      <c r="I28924" s="711"/>
      <c r="J28924" s="711"/>
      <c r="K28924" s="711"/>
      <c r="L28924" s="711"/>
      <c r="Q28924" s="11"/>
      <c r="R28924" s="11"/>
      <c r="S28924" s="11"/>
      <c r="T28924" s="11"/>
    </row>
    <row r="28925" spans="8:20" x14ac:dyDescent="0.35">
      <c r="H28925" s="711"/>
      <c r="I28925" s="711"/>
      <c r="J28925" s="711"/>
      <c r="K28925" s="711"/>
      <c r="L28925" s="711"/>
      <c r="Q28925" s="11"/>
      <c r="R28925" s="11"/>
      <c r="S28925" s="11"/>
      <c r="T28925" s="11"/>
    </row>
    <row r="28926" spans="8:20" x14ac:dyDescent="0.35">
      <c r="H28926" s="711"/>
      <c r="I28926" s="711"/>
      <c r="J28926" s="711"/>
      <c r="K28926" s="711"/>
      <c r="L28926" s="711"/>
      <c r="Q28926" s="11"/>
      <c r="R28926" s="11"/>
      <c r="S28926" s="11"/>
      <c r="T28926" s="11"/>
    </row>
    <row r="28927" spans="8:20" x14ac:dyDescent="0.35">
      <c r="H28927" s="711"/>
      <c r="I28927" s="711"/>
      <c r="J28927" s="711"/>
      <c r="K28927" s="711"/>
      <c r="L28927" s="711"/>
      <c r="Q28927" s="11"/>
      <c r="R28927" s="11"/>
      <c r="S28927" s="11"/>
      <c r="T28927" s="11"/>
    </row>
    <row r="28928" spans="8:20" x14ac:dyDescent="0.35">
      <c r="H28928" s="711"/>
      <c r="I28928" s="711"/>
      <c r="J28928" s="711"/>
      <c r="K28928" s="711"/>
      <c r="L28928" s="711"/>
      <c r="Q28928" s="11"/>
      <c r="R28928" s="11"/>
      <c r="S28928" s="11"/>
      <c r="T28928" s="11"/>
    </row>
    <row r="28929" spans="8:20" x14ac:dyDescent="0.35">
      <c r="H28929" s="711"/>
      <c r="I28929" s="711"/>
      <c r="J28929" s="711"/>
      <c r="K28929" s="711"/>
      <c r="L28929" s="711"/>
      <c r="Q28929" s="11"/>
      <c r="R28929" s="11"/>
      <c r="S28929" s="11"/>
      <c r="T28929" s="11"/>
    </row>
    <row r="28930" spans="8:20" x14ac:dyDescent="0.35">
      <c r="H28930" s="711"/>
      <c r="I28930" s="711"/>
      <c r="J28930" s="711"/>
      <c r="K28930" s="711"/>
      <c r="L28930" s="711"/>
      <c r="Q28930" s="11"/>
      <c r="R28930" s="11"/>
      <c r="S28930" s="11"/>
      <c r="T28930" s="11"/>
    </row>
    <row r="28931" spans="8:20" x14ac:dyDescent="0.35">
      <c r="H28931" s="711"/>
      <c r="I28931" s="711"/>
      <c r="J28931" s="711"/>
      <c r="K28931" s="711"/>
      <c r="L28931" s="711"/>
      <c r="Q28931" s="11"/>
      <c r="R28931" s="11"/>
      <c r="S28931" s="11"/>
      <c r="T28931" s="11"/>
    </row>
    <row r="28932" spans="8:20" x14ac:dyDescent="0.35">
      <c r="H28932" s="711"/>
      <c r="I28932" s="711"/>
      <c r="J28932" s="711"/>
      <c r="K28932" s="711"/>
      <c r="L28932" s="711"/>
      <c r="Q28932" s="11"/>
      <c r="R28932" s="11"/>
      <c r="S28932" s="11"/>
      <c r="T28932" s="11"/>
    </row>
    <row r="28933" spans="8:20" x14ac:dyDescent="0.35">
      <c r="H28933" s="711"/>
      <c r="I28933" s="711"/>
      <c r="J28933" s="711"/>
      <c r="K28933" s="711"/>
      <c r="L28933" s="711"/>
      <c r="Q28933" s="11"/>
      <c r="R28933" s="11"/>
      <c r="S28933" s="11"/>
      <c r="T28933" s="11"/>
    </row>
    <row r="28934" spans="8:20" x14ac:dyDescent="0.35">
      <c r="H28934" s="711"/>
      <c r="I28934" s="711"/>
      <c r="J28934" s="711"/>
      <c r="K28934" s="711"/>
      <c r="L28934" s="711"/>
      <c r="Q28934" s="11"/>
      <c r="R28934" s="11"/>
      <c r="S28934" s="11"/>
      <c r="T28934" s="11"/>
    </row>
    <row r="28935" spans="8:20" x14ac:dyDescent="0.35">
      <c r="H28935" s="711"/>
      <c r="I28935" s="711"/>
      <c r="J28935" s="711"/>
      <c r="K28935" s="711"/>
      <c r="L28935" s="711"/>
      <c r="Q28935" s="11"/>
      <c r="R28935" s="11"/>
      <c r="S28935" s="11"/>
      <c r="T28935" s="11"/>
    </row>
    <row r="28936" spans="8:20" x14ac:dyDescent="0.35">
      <c r="H28936" s="711"/>
      <c r="I28936" s="711"/>
      <c r="J28936" s="711"/>
      <c r="K28936" s="711"/>
      <c r="L28936" s="711"/>
      <c r="Q28936" s="11"/>
      <c r="R28936" s="11"/>
      <c r="S28936" s="11"/>
      <c r="T28936" s="11"/>
    </row>
    <row r="28937" spans="8:20" x14ac:dyDescent="0.35">
      <c r="H28937" s="711"/>
      <c r="I28937" s="711"/>
      <c r="J28937" s="711"/>
      <c r="K28937" s="711"/>
      <c r="L28937" s="711"/>
      <c r="Q28937" s="11"/>
      <c r="R28937" s="11"/>
      <c r="S28937" s="11"/>
      <c r="T28937" s="11"/>
    </row>
    <row r="28938" spans="8:20" x14ac:dyDescent="0.35">
      <c r="H28938" s="711"/>
      <c r="I28938" s="711"/>
      <c r="J28938" s="711"/>
      <c r="K28938" s="711"/>
      <c r="L28938" s="711"/>
      <c r="Q28938" s="11"/>
      <c r="R28938" s="11"/>
      <c r="S28938" s="11"/>
      <c r="T28938" s="11"/>
    </row>
    <row r="28939" spans="8:20" x14ac:dyDescent="0.35">
      <c r="H28939" s="711"/>
      <c r="I28939" s="711"/>
      <c r="J28939" s="711"/>
      <c r="K28939" s="711"/>
      <c r="L28939" s="711"/>
      <c r="Q28939" s="11"/>
      <c r="R28939" s="11"/>
      <c r="S28939" s="11"/>
      <c r="T28939" s="11"/>
    </row>
    <row r="28940" spans="8:20" x14ac:dyDescent="0.35">
      <c r="H28940" s="711"/>
      <c r="I28940" s="711"/>
      <c r="J28940" s="711"/>
      <c r="K28940" s="711"/>
      <c r="L28940" s="711"/>
      <c r="Q28940" s="11"/>
      <c r="R28940" s="11"/>
      <c r="S28940" s="11"/>
      <c r="T28940" s="11"/>
    </row>
    <row r="28941" spans="8:20" x14ac:dyDescent="0.35">
      <c r="H28941" s="711"/>
      <c r="I28941" s="711"/>
      <c r="J28941" s="711"/>
      <c r="K28941" s="711"/>
      <c r="L28941" s="711"/>
      <c r="Q28941" s="11"/>
      <c r="R28941" s="11"/>
      <c r="S28941" s="11"/>
      <c r="T28941" s="11"/>
    </row>
    <row r="28942" spans="8:20" x14ac:dyDescent="0.35">
      <c r="H28942" s="711"/>
      <c r="I28942" s="711"/>
      <c r="J28942" s="711"/>
      <c r="K28942" s="711"/>
      <c r="L28942" s="711"/>
      <c r="Q28942" s="11"/>
      <c r="R28942" s="11"/>
      <c r="S28942" s="11"/>
      <c r="T28942" s="11"/>
    </row>
    <row r="28943" spans="8:20" x14ac:dyDescent="0.35">
      <c r="H28943" s="711"/>
      <c r="I28943" s="711"/>
      <c r="J28943" s="711"/>
      <c r="K28943" s="711"/>
      <c r="L28943" s="711"/>
      <c r="Q28943" s="11"/>
      <c r="R28943" s="11"/>
      <c r="S28943" s="11"/>
      <c r="T28943" s="11"/>
    </row>
    <row r="28944" spans="8:20" x14ac:dyDescent="0.35">
      <c r="H28944" s="711"/>
      <c r="I28944" s="711"/>
      <c r="J28944" s="711"/>
      <c r="K28944" s="711"/>
      <c r="L28944" s="711"/>
      <c r="Q28944" s="11"/>
      <c r="R28944" s="11"/>
      <c r="S28944" s="11"/>
      <c r="T28944" s="11"/>
    </row>
    <row r="28945" spans="8:20" x14ac:dyDescent="0.35">
      <c r="H28945" s="711"/>
      <c r="I28945" s="711"/>
      <c r="J28945" s="711"/>
      <c r="K28945" s="711"/>
      <c r="L28945" s="711"/>
      <c r="Q28945" s="11"/>
      <c r="R28945" s="11"/>
      <c r="S28945" s="11"/>
      <c r="T28945" s="11"/>
    </row>
    <row r="28946" spans="8:20" x14ac:dyDescent="0.35">
      <c r="H28946" s="711"/>
      <c r="I28946" s="711"/>
      <c r="J28946" s="711"/>
      <c r="K28946" s="711"/>
      <c r="L28946" s="711"/>
      <c r="Q28946" s="11"/>
      <c r="R28946" s="11"/>
      <c r="S28946" s="11"/>
      <c r="T28946" s="11"/>
    </row>
    <row r="28947" spans="8:20" x14ac:dyDescent="0.35">
      <c r="H28947" s="711"/>
      <c r="I28947" s="711"/>
      <c r="J28947" s="711"/>
      <c r="K28947" s="711"/>
      <c r="L28947" s="711"/>
      <c r="Q28947" s="11"/>
      <c r="R28947" s="11"/>
      <c r="S28947" s="11"/>
      <c r="T28947" s="11"/>
    </row>
    <row r="28948" spans="8:20" x14ac:dyDescent="0.35">
      <c r="H28948" s="711"/>
      <c r="I28948" s="711"/>
      <c r="J28948" s="711"/>
      <c r="K28948" s="711"/>
      <c r="L28948" s="711"/>
      <c r="Q28948" s="11"/>
      <c r="R28948" s="11"/>
      <c r="S28948" s="11"/>
      <c r="T28948" s="11"/>
    </row>
    <row r="28949" spans="8:20" x14ac:dyDescent="0.35">
      <c r="H28949" s="711"/>
      <c r="I28949" s="711"/>
      <c r="J28949" s="711"/>
      <c r="K28949" s="711"/>
      <c r="L28949" s="711"/>
      <c r="Q28949" s="11"/>
      <c r="R28949" s="11"/>
      <c r="S28949" s="11"/>
      <c r="T28949" s="11"/>
    </row>
    <row r="28950" spans="8:20" x14ac:dyDescent="0.35">
      <c r="H28950" s="711"/>
      <c r="I28950" s="711"/>
      <c r="J28950" s="711"/>
      <c r="K28950" s="711"/>
      <c r="L28950" s="711"/>
      <c r="Q28950" s="11"/>
      <c r="R28950" s="11"/>
      <c r="S28950" s="11"/>
      <c r="T28950" s="11"/>
    </row>
    <row r="28951" spans="8:20" x14ac:dyDescent="0.35">
      <c r="H28951" s="711"/>
      <c r="I28951" s="711"/>
      <c r="J28951" s="711"/>
      <c r="K28951" s="711"/>
      <c r="L28951" s="711"/>
      <c r="Q28951" s="11"/>
      <c r="R28951" s="11"/>
      <c r="S28951" s="11"/>
      <c r="T28951" s="11"/>
    </row>
    <row r="28952" spans="8:20" x14ac:dyDescent="0.35">
      <c r="H28952" s="711"/>
      <c r="I28952" s="711"/>
      <c r="J28952" s="711"/>
      <c r="K28952" s="711"/>
      <c r="L28952" s="711"/>
      <c r="Q28952" s="11"/>
      <c r="R28952" s="11"/>
      <c r="S28952" s="11"/>
      <c r="T28952" s="11"/>
    </row>
    <row r="28953" spans="8:20" x14ac:dyDescent="0.35">
      <c r="H28953" s="711"/>
      <c r="I28953" s="711"/>
      <c r="J28953" s="711"/>
      <c r="K28953" s="711"/>
      <c r="L28953" s="711"/>
      <c r="Q28953" s="11"/>
      <c r="R28953" s="11"/>
      <c r="S28953" s="11"/>
      <c r="T28953" s="11"/>
    </row>
    <row r="28954" spans="8:20" x14ac:dyDescent="0.35">
      <c r="H28954" s="711"/>
      <c r="I28954" s="711"/>
      <c r="J28954" s="711"/>
      <c r="K28954" s="711"/>
      <c r="L28954" s="711"/>
      <c r="Q28954" s="11"/>
      <c r="R28954" s="11"/>
      <c r="S28954" s="11"/>
      <c r="T28954" s="11"/>
    </row>
    <row r="28955" spans="8:20" x14ac:dyDescent="0.35">
      <c r="H28955" s="711"/>
      <c r="I28955" s="711"/>
      <c r="J28955" s="711"/>
      <c r="K28955" s="711"/>
      <c r="L28955" s="711"/>
      <c r="Q28955" s="11"/>
      <c r="R28955" s="11"/>
      <c r="S28955" s="11"/>
      <c r="T28955" s="11"/>
    </row>
    <row r="28956" spans="8:20" x14ac:dyDescent="0.35">
      <c r="H28956" s="711"/>
      <c r="I28956" s="711"/>
      <c r="J28956" s="711"/>
      <c r="K28956" s="711"/>
      <c r="L28956" s="711"/>
      <c r="Q28956" s="11"/>
      <c r="R28956" s="11"/>
      <c r="S28956" s="11"/>
      <c r="T28956" s="11"/>
    </row>
    <row r="28957" spans="8:20" x14ac:dyDescent="0.35">
      <c r="H28957" s="711"/>
      <c r="I28957" s="711"/>
      <c r="J28957" s="711"/>
      <c r="K28957" s="711"/>
      <c r="L28957" s="711"/>
      <c r="Q28957" s="11"/>
      <c r="R28957" s="11"/>
      <c r="S28957" s="11"/>
      <c r="T28957" s="11"/>
    </row>
    <row r="28958" spans="8:20" x14ac:dyDescent="0.35">
      <c r="H28958" s="711"/>
      <c r="I28958" s="711"/>
      <c r="J28958" s="711"/>
      <c r="K28958" s="711"/>
      <c r="L28958" s="711"/>
      <c r="Q28958" s="11"/>
      <c r="R28958" s="11"/>
      <c r="S28958" s="11"/>
      <c r="T28958" s="11"/>
    </row>
    <row r="28959" spans="8:20" x14ac:dyDescent="0.35">
      <c r="H28959" s="711"/>
      <c r="I28959" s="711"/>
      <c r="J28959" s="711"/>
      <c r="K28959" s="711"/>
      <c r="L28959" s="711"/>
      <c r="Q28959" s="11"/>
      <c r="R28959" s="11"/>
      <c r="S28959" s="11"/>
      <c r="T28959" s="11"/>
    </row>
    <row r="28960" spans="8:20" x14ac:dyDescent="0.35">
      <c r="H28960" s="711"/>
      <c r="I28960" s="711"/>
      <c r="J28960" s="711"/>
      <c r="K28960" s="711"/>
      <c r="L28960" s="711"/>
      <c r="Q28960" s="11"/>
      <c r="R28960" s="11"/>
      <c r="S28960" s="11"/>
      <c r="T28960" s="11"/>
    </row>
    <row r="28961" spans="8:20" x14ac:dyDescent="0.35">
      <c r="H28961" s="711"/>
      <c r="I28961" s="711"/>
      <c r="J28961" s="711"/>
      <c r="K28961" s="711"/>
      <c r="L28961" s="711"/>
      <c r="Q28961" s="11"/>
      <c r="R28961" s="11"/>
      <c r="S28961" s="11"/>
      <c r="T28961" s="11"/>
    </row>
    <row r="28962" spans="8:20" x14ac:dyDescent="0.35">
      <c r="H28962" s="711"/>
      <c r="I28962" s="711"/>
      <c r="J28962" s="711"/>
      <c r="K28962" s="711"/>
      <c r="L28962" s="711"/>
      <c r="Q28962" s="11"/>
      <c r="R28962" s="11"/>
      <c r="S28962" s="11"/>
      <c r="T28962" s="11"/>
    </row>
    <row r="28963" spans="8:20" x14ac:dyDescent="0.35">
      <c r="H28963" s="711"/>
      <c r="I28963" s="711"/>
      <c r="J28963" s="711"/>
      <c r="K28963" s="711"/>
      <c r="L28963" s="711"/>
      <c r="Q28963" s="11"/>
      <c r="R28963" s="11"/>
      <c r="S28963" s="11"/>
      <c r="T28963" s="11"/>
    </row>
    <row r="28964" spans="8:20" x14ac:dyDescent="0.35">
      <c r="H28964" s="711"/>
      <c r="I28964" s="711"/>
      <c r="J28964" s="711"/>
      <c r="K28964" s="711"/>
      <c r="L28964" s="711"/>
      <c r="Q28964" s="11"/>
      <c r="R28964" s="11"/>
      <c r="S28964" s="11"/>
      <c r="T28964" s="11"/>
    </row>
    <row r="28965" spans="8:20" x14ac:dyDescent="0.35">
      <c r="H28965" s="711"/>
      <c r="I28965" s="711"/>
      <c r="J28965" s="711"/>
      <c r="K28965" s="711"/>
      <c r="L28965" s="711"/>
      <c r="Q28965" s="11"/>
      <c r="R28965" s="11"/>
      <c r="S28965" s="11"/>
      <c r="T28965" s="11"/>
    </row>
    <row r="28966" spans="8:20" x14ac:dyDescent="0.35">
      <c r="H28966" s="711"/>
      <c r="I28966" s="711"/>
      <c r="J28966" s="711"/>
      <c r="K28966" s="711"/>
      <c r="L28966" s="711"/>
      <c r="Q28966" s="11"/>
      <c r="R28966" s="11"/>
      <c r="S28966" s="11"/>
      <c r="T28966" s="11"/>
    </row>
    <row r="28967" spans="8:20" x14ac:dyDescent="0.35">
      <c r="H28967" s="711"/>
      <c r="I28967" s="711"/>
      <c r="J28967" s="711"/>
      <c r="K28967" s="711"/>
      <c r="L28967" s="711"/>
      <c r="Q28967" s="11"/>
      <c r="R28967" s="11"/>
      <c r="S28967" s="11"/>
      <c r="T28967" s="11"/>
    </row>
    <row r="28968" spans="8:20" x14ac:dyDescent="0.35">
      <c r="H28968" s="711"/>
      <c r="I28968" s="711"/>
      <c r="J28968" s="711"/>
      <c r="K28968" s="711"/>
      <c r="L28968" s="711"/>
      <c r="Q28968" s="11"/>
      <c r="R28968" s="11"/>
      <c r="S28968" s="11"/>
      <c r="T28968" s="11"/>
    </row>
    <row r="28969" spans="8:20" x14ac:dyDescent="0.35">
      <c r="H28969" s="711"/>
      <c r="I28969" s="711"/>
      <c r="J28969" s="711"/>
      <c r="K28969" s="711"/>
      <c r="L28969" s="711"/>
      <c r="Q28969" s="11"/>
      <c r="R28969" s="11"/>
      <c r="S28969" s="11"/>
      <c r="T28969" s="11"/>
    </row>
    <row r="28970" spans="8:20" x14ac:dyDescent="0.35">
      <c r="H28970" s="711"/>
      <c r="I28970" s="711"/>
      <c r="J28970" s="711"/>
      <c r="K28970" s="711"/>
      <c r="L28970" s="711"/>
      <c r="Q28970" s="11"/>
      <c r="R28970" s="11"/>
      <c r="S28970" s="11"/>
      <c r="T28970" s="11"/>
    </row>
    <row r="28971" spans="8:20" x14ac:dyDescent="0.35">
      <c r="H28971" s="711"/>
      <c r="I28971" s="711"/>
      <c r="J28971" s="711"/>
      <c r="K28971" s="711"/>
      <c r="L28971" s="711"/>
      <c r="Q28971" s="11"/>
      <c r="R28971" s="11"/>
      <c r="S28971" s="11"/>
      <c r="T28971" s="11"/>
    </row>
    <row r="28972" spans="8:20" x14ac:dyDescent="0.35">
      <c r="H28972" s="711"/>
      <c r="I28972" s="711"/>
      <c r="J28972" s="711"/>
      <c r="K28972" s="711"/>
      <c r="L28972" s="711"/>
      <c r="Q28972" s="11"/>
      <c r="R28972" s="11"/>
      <c r="S28972" s="11"/>
      <c r="T28972" s="11"/>
    </row>
    <row r="28973" spans="8:20" x14ac:dyDescent="0.35">
      <c r="H28973" s="711"/>
      <c r="I28973" s="711"/>
      <c r="J28973" s="711"/>
      <c r="K28973" s="711"/>
      <c r="L28973" s="711"/>
      <c r="Q28973" s="11"/>
      <c r="R28973" s="11"/>
      <c r="S28973" s="11"/>
      <c r="T28973" s="11"/>
    </row>
    <row r="28974" spans="8:20" x14ac:dyDescent="0.35">
      <c r="H28974" s="711"/>
      <c r="I28974" s="711"/>
      <c r="J28974" s="711"/>
      <c r="K28974" s="711"/>
      <c r="L28974" s="711"/>
      <c r="Q28974" s="11"/>
      <c r="R28974" s="11"/>
      <c r="S28974" s="11"/>
      <c r="T28974" s="11"/>
    </row>
    <row r="28975" spans="8:20" x14ac:dyDescent="0.35">
      <c r="H28975" s="711"/>
      <c r="I28975" s="711"/>
      <c r="J28975" s="711"/>
      <c r="K28975" s="711"/>
      <c r="L28975" s="711"/>
      <c r="Q28975" s="11"/>
      <c r="R28975" s="11"/>
      <c r="S28975" s="11"/>
      <c r="T28975" s="11"/>
    </row>
    <row r="28976" spans="8:20" x14ac:dyDescent="0.35">
      <c r="H28976" s="711"/>
      <c r="I28976" s="711"/>
      <c r="J28976" s="711"/>
      <c r="K28976" s="711"/>
      <c r="L28976" s="711"/>
      <c r="Q28976" s="11"/>
      <c r="R28976" s="11"/>
      <c r="S28976" s="11"/>
      <c r="T28976" s="11"/>
    </row>
    <row r="28977" spans="8:20" x14ac:dyDescent="0.35">
      <c r="H28977" s="711"/>
      <c r="I28977" s="711"/>
      <c r="J28977" s="711"/>
      <c r="K28977" s="711"/>
      <c r="L28977" s="711"/>
      <c r="Q28977" s="11"/>
      <c r="R28977" s="11"/>
      <c r="S28977" s="11"/>
      <c r="T28977" s="11"/>
    </row>
    <row r="28978" spans="8:20" x14ac:dyDescent="0.35">
      <c r="H28978" s="711"/>
      <c r="I28978" s="711"/>
      <c r="J28978" s="711"/>
      <c r="K28978" s="711"/>
      <c r="L28978" s="711"/>
      <c r="Q28978" s="11"/>
      <c r="R28978" s="11"/>
      <c r="S28978" s="11"/>
      <c r="T28978" s="11"/>
    </row>
    <row r="28979" spans="8:20" x14ac:dyDescent="0.35">
      <c r="H28979" s="711"/>
      <c r="I28979" s="711"/>
      <c r="J28979" s="711"/>
      <c r="K28979" s="711"/>
      <c r="L28979" s="711"/>
      <c r="Q28979" s="11"/>
      <c r="R28979" s="11"/>
      <c r="S28979" s="11"/>
      <c r="T28979" s="11"/>
    </row>
    <row r="28980" spans="8:20" x14ac:dyDescent="0.35">
      <c r="H28980" s="711"/>
      <c r="I28980" s="711"/>
      <c r="J28980" s="711"/>
      <c r="K28980" s="711"/>
      <c r="L28980" s="711"/>
      <c r="Q28980" s="11"/>
      <c r="R28980" s="11"/>
      <c r="S28980" s="11"/>
      <c r="T28980" s="11"/>
    </row>
    <row r="28981" spans="8:20" x14ac:dyDescent="0.35">
      <c r="H28981" s="711"/>
      <c r="I28981" s="711"/>
      <c r="J28981" s="711"/>
      <c r="K28981" s="711"/>
      <c r="L28981" s="711"/>
      <c r="Q28981" s="11"/>
      <c r="R28981" s="11"/>
      <c r="S28981" s="11"/>
      <c r="T28981" s="11"/>
    </row>
    <row r="28982" spans="8:20" x14ac:dyDescent="0.35">
      <c r="H28982" s="711"/>
      <c r="I28982" s="711"/>
      <c r="J28982" s="711"/>
      <c r="K28982" s="711"/>
      <c r="L28982" s="711"/>
      <c r="Q28982" s="11"/>
      <c r="R28982" s="11"/>
      <c r="S28982" s="11"/>
      <c r="T28982" s="11"/>
    </row>
    <row r="28983" spans="8:20" x14ac:dyDescent="0.35">
      <c r="H28983" s="711"/>
      <c r="I28983" s="711"/>
      <c r="J28983" s="711"/>
      <c r="K28983" s="711"/>
      <c r="L28983" s="711"/>
      <c r="Q28983" s="11"/>
      <c r="R28983" s="11"/>
      <c r="S28983" s="11"/>
      <c r="T28983" s="11"/>
    </row>
    <row r="28984" spans="8:20" x14ac:dyDescent="0.35">
      <c r="H28984" s="711"/>
      <c r="I28984" s="711"/>
      <c r="J28984" s="711"/>
      <c r="K28984" s="711"/>
      <c r="L28984" s="711"/>
      <c r="Q28984" s="11"/>
      <c r="R28984" s="11"/>
      <c r="S28984" s="11"/>
      <c r="T28984" s="11"/>
    </row>
    <row r="28985" spans="8:20" x14ac:dyDescent="0.35">
      <c r="H28985" s="711"/>
      <c r="I28985" s="711"/>
      <c r="J28985" s="711"/>
      <c r="K28985" s="711"/>
      <c r="L28985" s="711"/>
      <c r="Q28985" s="11"/>
      <c r="R28985" s="11"/>
      <c r="S28985" s="11"/>
      <c r="T28985" s="11"/>
    </row>
    <row r="28986" spans="8:20" x14ac:dyDescent="0.35">
      <c r="H28986" s="711"/>
      <c r="I28986" s="711"/>
      <c r="J28986" s="711"/>
      <c r="K28986" s="711"/>
      <c r="L28986" s="711"/>
      <c r="Q28986" s="11"/>
      <c r="R28986" s="11"/>
      <c r="S28986" s="11"/>
      <c r="T28986" s="11"/>
    </row>
    <row r="28987" spans="8:20" x14ac:dyDescent="0.35">
      <c r="H28987" s="711"/>
      <c r="I28987" s="711"/>
      <c r="J28987" s="711"/>
      <c r="K28987" s="711"/>
      <c r="L28987" s="711"/>
      <c r="Q28987" s="11"/>
      <c r="R28987" s="11"/>
      <c r="S28987" s="11"/>
      <c r="T28987" s="11"/>
    </row>
    <row r="28988" spans="8:20" x14ac:dyDescent="0.35">
      <c r="H28988" s="711"/>
      <c r="I28988" s="711"/>
      <c r="J28988" s="711"/>
      <c r="K28988" s="711"/>
      <c r="L28988" s="711"/>
      <c r="Q28988" s="11"/>
      <c r="R28988" s="11"/>
      <c r="S28988" s="11"/>
      <c r="T28988" s="11"/>
    </row>
    <row r="28989" spans="8:20" x14ac:dyDescent="0.35">
      <c r="H28989" s="711"/>
      <c r="I28989" s="711"/>
      <c r="J28989" s="711"/>
      <c r="K28989" s="711"/>
      <c r="L28989" s="711"/>
      <c r="Q28989" s="11"/>
      <c r="R28989" s="11"/>
      <c r="S28989" s="11"/>
      <c r="T28989" s="11"/>
    </row>
    <row r="28990" spans="8:20" x14ac:dyDescent="0.35">
      <c r="H28990" s="711"/>
      <c r="I28990" s="711"/>
      <c r="J28990" s="711"/>
      <c r="K28990" s="711"/>
      <c r="L28990" s="711"/>
      <c r="Q28990" s="11"/>
      <c r="R28990" s="11"/>
      <c r="S28990" s="11"/>
      <c r="T28990" s="11"/>
    </row>
    <row r="28991" spans="8:20" x14ac:dyDescent="0.35">
      <c r="H28991" s="711"/>
      <c r="I28991" s="711"/>
      <c r="J28991" s="711"/>
      <c r="K28991" s="711"/>
      <c r="L28991" s="711"/>
      <c r="Q28991" s="11"/>
      <c r="R28991" s="11"/>
      <c r="S28991" s="11"/>
      <c r="T28991" s="11"/>
    </row>
    <row r="28992" spans="8:20" x14ac:dyDescent="0.35">
      <c r="H28992" s="711"/>
      <c r="I28992" s="711"/>
      <c r="J28992" s="711"/>
      <c r="K28992" s="711"/>
      <c r="L28992" s="711"/>
      <c r="Q28992" s="11"/>
      <c r="R28992" s="11"/>
      <c r="S28992" s="11"/>
      <c r="T28992" s="11"/>
    </row>
    <row r="28993" spans="8:20" x14ac:dyDescent="0.35">
      <c r="H28993" s="711"/>
      <c r="I28993" s="711"/>
      <c r="J28993" s="711"/>
      <c r="K28993" s="711"/>
      <c r="L28993" s="711"/>
      <c r="Q28993" s="11"/>
      <c r="R28993" s="11"/>
      <c r="S28993" s="11"/>
      <c r="T28993" s="11"/>
    </row>
    <row r="28994" spans="8:20" x14ac:dyDescent="0.35">
      <c r="H28994" s="711"/>
      <c r="I28994" s="711"/>
      <c r="J28994" s="711"/>
      <c r="K28994" s="711"/>
      <c r="L28994" s="711"/>
      <c r="Q28994" s="11"/>
      <c r="R28994" s="11"/>
      <c r="S28994" s="11"/>
      <c r="T28994" s="11"/>
    </row>
    <row r="28995" spans="8:20" x14ac:dyDescent="0.35">
      <c r="H28995" s="711"/>
      <c r="I28995" s="711"/>
      <c r="J28995" s="711"/>
      <c r="K28995" s="711"/>
      <c r="L28995" s="711"/>
      <c r="Q28995" s="11"/>
      <c r="R28995" s="11"/>
      <c r="S28995" s="11"/>
      <c r="T28995" s="11"/>
    </row>
    <row r="28996" spans="8:20" x14ac:dyDescent="0.35">
      <c r="H28996" s="711"/>
      <c r="I28996" s="711"/>
      <c r="J28996" s="711"/>
      <c r="K28996" s="711"/>
      <c r="L28996" s="711"/>
      <c r="Q28996" s="11"/>
      <c r="R28996" s="11"/>
      <c r="S28996" s="11"/>
      <c r="T28996" s="11"/>
    </row>
    <row r="28997" spans="8:20" x14ac:dyDescent="0.35">
      <c r="H28997" s="711"/>
      <c r="I28997" s="711"/>
      <c r="J28997" s="711"/>
      <c r="K28997" s="711"/>
      <c r="L28997" s="711"/>
      <c r="Q28997" s="11"/>
      <c r="R28997" s="11"/>
      <c r="S28997" s="11"/>
      <c r="T28997" s="11"/>
    </row>
    <row r="28998" spans="8:20" x14ac:dyDescent="0.35">
      <c r="H28998" s="711"/>
      <c r="I28998" s="711"/>
      <c r="J28998" s="711"/>
      <c r="K28998" s="711"/>
      <c r="L28998" s="711"/>
      <c r="Q28998" s="11"/>
      <c r="R28998" s="11"/>
      <c r="S28998" s="11"/>
      <c r="T28998" s="11"/>
    </row>
    <row r="28999" spans="8:20" x14ac:dyDescent="0.35">
      <c r="H28999" s="711"/>
      <c r="I28999" s="711"/>
      <c r="J28999" s="711"/>
      <c r="K28999" s="711"/>
      <c r="L28999" s="711"/>
      <c r="Q28999" s="11"/>
      <c r="R28999" s="11"/>
      <c r="S28999" s="11"/>
      <c r="T28999" s="11"/>
    </row>
    <row r="29000" spans="8:20" x14ac:dyDescent="0.35">
      <c r="H29000" s="711"/>
      <c r="I29000" s="711"/>
      <c r="J29000" s="711"/>
      <c r="K29000" s="711"/>
      <c r="L29000" s="711"/>
      <c r="Q29000" s="11"/>
      <c r="R29000" s="11"/>
      <c r="S29000" s="11"/>
      <c r="T29000" s="11"/>
    </row>
    <row r="29001" spans="8:20" x14ac:dyDescent="0.35">
      <c r="H29001" s="711"/>
      <c r="I29001" s="711"/>
      <c r="J29001" s="711"/>
      <c r="K29001" s="711"/>
      <c r="L29001" s="711"/>
      <c r="Q29001" s="11"/>
      <c r="R29001" s="11"/>
      <c r="S29001" s="11"/>
      <c r="T29001" s="11"/>
    </row>
    <row r="29002" spans="8:20" x14ac:dyDescent="0.35">
      <c r="H29002" s="711"/>
      <c r="I29002" s="711"/>
      <c r="J29002" s="711"/>
      <c r="K29002" s="711"/>
      <c r="L29002" s="711"/>
      <c r="Q29002" s="11"/>
      <c r="R29002" s="11"/>
      <c r="S29002" s="11"/>
      <c r="T29002" s="11"/>
    </row>
    <row r="29003" spans="8:20" x14ac:dyDescent="0.35">
      <c r="H29003" s="711"/>
      <c r="I29003" s="711"/>
      <c r="J29003" s="711"/>
      <c r="K29003" s="711"/>
      <c r="L29003" s="711"/>
      <c r="Q29003" s="11"/>
      <c r="R29003" s="11"/>
      <c r="S29003" s="11"/>
      <c r="T29003" s="11"/>
    </row>
    <row r="29004" spans="8:20" x14ac:dyDescent="0.35">
      <c r="H29004" s="711"/>
      <c r="I29004" s="711"/>
      <c r="J29004" s="711"/>
      <c r="K29004" s="711"/>
      <c r="L29004" s="711"/>
      <c r="Q29004" s="11"/>
      <c r="R29004" s="11"/>
      <c r="S29004" s="11"/>
      <c r="T29004" s="11"/>
    </row>
    <row r="29005" spans="8:20" x14ac:dyDescent="0.35">
      <c r="H29005" s="711"/>
      <c r="I29005" s="711"/>
      <c r="J29005" s="711"/>
      <c r="K29005" s="711"/>
      <c r="L29005" s="711"/>
      <c r="Q29005" s="11"/>
      <c r="R29005" s="11"/>
      <c r="S29005" s="11"/>
      <c r="T29005" s="11"/>
    </row>
    <row r="29006" spans="8:20" x14ac:dyDescent="0.35">
      <c r="H29006" s="711"/>
      <c r="I29006" s="711"/>
      <c r="J29006" s="711"/>
      <c r="K29006" s="711"/>
      <c r="L29006" s="711"/>
      <c r="Q29006" s="11"/>
      <c r="R29006" s="11"/>
      <c r="S29006" s="11"/>
      <c r="T29006" s="11"/>
    </row>
    <row r="29007" spans="8:20" x14ac:dyDescent="0.35">
      <c r="H29007" s="711"/>
      <c r="I29007" s="711"/>
      <c r="J29007" s="711"/>
      <c r="K29007" s="711"/>
      <c r="L29007" s="711"/>
      <c r="Q29007" s="11"/>
      <c r="R29007" s="11"/>
      <c r="S29007" s="11"/>
      <c r="T29007" s="11"/>
    </row>
    <row r="29008" spans="8:20" x14ac:dyDescent="0.35">
      <c r="H29008" s="711"/>
      <c r="I29008" s="711"/>
      <c r="J29008" s="711"/>
      <c r="K29008" s="711"/>
      <c r="L29008" s="711"/>
      <c r="Q29008" s="11"/>
      <c r="R29008" s="11"/>
      <c r="S29008" s="11"/>
      <c r="T29008" s="11"/>
    </row>
    <row r="29009" spans="8:20" x14ac:dyDescent="0.35">
      <c r="H29009" s="711"/>
      <c r="I29009" s="711"/>
      <c r="J29009" s="711"/>
      <c r="K29009" s="711"/>
      <c r="L29009" s="711"/>
      <c r="Q29009" s="11"/>
      <c r="R29009" s="11"/>
      <c r="S29009" s="11"/>
      <c r="T29009" s="11"/>
    </row>
    <row r="29010" spans="8:20" x14ac:dyDescent="0.35">
      <c r="H29010" s="711"/>
      <c r="I29010" s="711"/>
      <c r="J29010" s="711"/>
      <c r="K29010" s="711"/>
      <c r="L29010" s="711"/>
      <c r="Q29010" s="11"/>
      <c r="R29010" s="11"/>
      <c r="S29010" s="11"/>
      <c r="T29010" s="11"/>
    </row>
    <row r="29011" spans="8:20" x14ac:dyDescent="0.35">
      <c r="H29011" s="711"/>
      <c r="I29011" s="711"/>
      <c r="J29011" s="711"/>
      <c r="K29011" s="711"/>
      <c r="L29011" s="711"/>
      <c r="Q29011" s="11"/>
      <c r="R29011" s="11"/>
      <c r="S29011" s="11"/>
      <c r="T29011" s="11"/>
    </row>
    <row r="29012" spans="8:20" x14ac:dyDescent="0.35">
      <c r="H29012" s="711"/>
      <c r="I29012" s="711"/>
      <c r="J29012" s="711"/>
      <c r="K29012" s="711"/>
      <c r="L29012" s="711"/>
      <c r="Q29012" s="11"/>
      <c r="R29012" s="11"/>
      <c r="S29012" s="11"/>
      <c r="T29012" s="11"/>
    </row>
    <row r="29013" spans="8:20" x14ac:dyDescent="0.35">
      <c r="H29013" s="711"/>
      <c r="I29013" s="711"/>
      <c r="J29013" s="711"/>
      <c r="K29013" s="711"/>
      <c r="L29013" s="711"/>
      <c r="Q29013" s="11"/>
      <c r="R29013" s="11"/>
      <c r="S29013" s="11"/>
      <c r="T29013" s="11"/>
    </row>
    <row r="29014" spans="8:20" x14ac:dyDescent="0.35">
      <c r="H29014" s="711"/>
      <c r="I29014" s="711"/>
      <c r="J29014" s="711"/>
      <c r="K29014" s="711"/>
      <c r="L29014" s="711"/>
      <c r="Q29014" s="11"/>
      <c r="R29014" s="11"/>
      <c r="S29014" s="11"/>
      <c r="T29014" s="11"/>
    </row>
    <row r="29015" spans="8:20" x14ac:dyDescent="0.35">
      <c r="H29015" s="711"/>
      <c r="I29015" s="711"/>
      <c r="J29015" s="711"/>
      <c r="K29015" s="711"/>
      <c r="L29015" s="711"/>
      <c r="Q29015" s="11"/>
      <c r="R29015" s="11"/>
      <c r="S29015" s="11"/>
      <c r="T29015" s="11"/>
    </row>
    <row r="29016" spans="8:20" x14ac:dyDescent="0.35">
      <c r="H29016" s="711"/>
      <c r="I29016" s="711"/>
      <c r="J29016" s="711"/>
      <c r="K29016" s="711"/>
      <c r="L29016" s="711"/>
      <c r="Q29016" s="11"/>
      <c r="R29016" s="11"/>
      <c r="S29016" s="11"/>
      <c r="T29016" s="11"/>
    </row>
    <row r="29017" spans="8:20" x14ac:dyDescent="0.35">
      <c r="H29017" s="711"/>
      <c r="I29017" s="711"/>
      <c r="J29017" s="711"/>
      <c r="K29017" s="711"/>
      <c r="L29017" s="711"/>
      <c r="Q29017" s="11"/>
      <c r="R29017" s="11"/>
      <c r="S29017" s="11"/>
      <c r="T29017" s="11"/>
    </row>
    <row r="29018" spans="8:20" x14ac:dyDescent="0.35">
      <c r="H29018" s="711"/>
      <c r="I29018" s="711"/>
      <c r="J29018" s="711"/>
      <c r="K29018" s="711"/>
      <c r="L29018" s="711"/>
      <c r="Q29018" s="11"/>
      <c r="R29018" s="11"/>
      <c r="S29018" s="11"/>
      <c r="T29018" s="11"/>
    </row>
    <row r="29019" spans="8:20" x14ac:dyDescent="0.35">
      <c r="H29019" s="711"/>
      <c r="I29019" s="711"/>
      <c r="J29019" s="711"/>
      <c r="K29019" s="711"/>
      <c r="L29019" s="711"/>
      <c r="Q29019" s="11"/>
      <c r="R29019" s="11"/>
      <c r="S29019" s="11"/>
      <c r="T29019" s="11"/>
    </row>
    <row r="29020" spans="8:20" x14ac:dyDescent="0.35">
      <c r="H29020" s="711"/>
      <c r="I29020" s="711"/>
      <c r="J29020" s="711"/>
      <c r="K29020" s="711"/>
      <c r="L29020" s="711"/>
      <c r="Q29020" s="11"/>
      <c r="R29020" s="11"/>
      <c r="S29020" s="11"/>
      <c r="T29020" s="11"/>
    </row>
    <row r="29021" spans="8:20" x14ac:dyDescent="0.35">
      <c r="H29021" s="711"/>
      <c r="I29021" s="711"/>
      <c r="J29021" s="711"/>
      <c r="K29021" s="711"/>
      <c r="L29021" s="711"/>
      <c r="Q29021" s="11"/>
      <c r="R29021" s="11"/>
      <c r="S29021" s="11"/>
      <c r="T29021" s="11"/>
    </row>
    <row r="29022" spans="8:20" x14ac:dyDescent="0.35">
      <c r="H29022" s="711"/>
      <c r="I29022" s="711"/>
      <c r="J29022" s="711"/>
      <c r="K29022" s="711"/>
      <c r="L29022" s="711"/>
      <c r="Q29022" s="11"/>
      <c r="R29022" s="11"/>
      <c r="S29022" s="11"/>
      <c r="T29022" s="11"/>
    </row>
    <row r="29023" spans="8:20" x14ac:dyDescent="0.35">
      <c r="H29023" s="711"/>
      <c r="I29023" s="711"/>
      <c r="J29023" s="711"/>
      <c r="K29023" s="711"/>
      <c r="L29023" s="711"/>
      <c r="Q29023" s="11"/>
      <c r="R29023" s="11"/>
      <c r="S29023" s="11"/>
      <c r="T29023" s="11"/>
    </row>
    <row r="29024" spans="8:20" x14ac:dyDescent="0.35">
      <c r="H29024" s="711"/>
      <c r="I29024" s="711"/>
      <c r="J29024" s="711"/>
      <c r="K29024" s="711"/>
      <c r="L29024" s="711"/>
      <c r="Q29024" s="11"/>
      <c r="R29024" s="11"/>
      <c r="S29024" s="11"/>
      <c r="T29024" s="11"/>
    </row>
    <row r="29025" spans="8:20" x14ac:dyDescent="0.35">
      <c r="H29025" s="711"/>
      <c r="I29025" s="711"/>
      <c r="J29025" s="711"/>
      <c r="K29025" s="711"/>
      <c r="L29025" s="711"/>
      <c r="Q29025" s="11"/>
      <c r="R29025" s="11"/>
      <c r="S29025" s="11"/>
      <c r="T29025" s="11"/>
    </row>
    <row r="29026" spans="8:20" x14ac:dyDescent="0.35">
      <c r="H29026" s="711"/>
      <c r="I29026" s="711"/>
      <c r="J29026" s="711"/>
      <c r="K29026" s="711"/>
      <c r="L29026" s="711"/>
      <c r="Q29026" s="11"/>
      <c r="R29026" s="11"/>
      <c r="S29026" s="11"/>
      <c r="T29026" s="11"/>
    </row>
    <row r="29027" spans="8:20" x14ac:dyDescent="0.35">
      <c r="H29027" s="711"/>
      <c r="I29027" s="711"/>
      <c r="J29027" s="711"/>
      <c r="K29027" s="711"/>
      <c r="L29027" s="711"/>
      <c r="Q29027" s="11"/>
      <c r="R29027" s="11"/>
      <c r="S29027" s="11"/>
      <c r="T29027" s="11"/>
    </row>
    <row r="29028" spans="8:20" x14ac:dyDescent="0.35">
      <c r="H29028" s="711"/>
      <c r="I29028" s="711"/>
      <c r="J29028" s="711"/>
      <c r="K29028" s="711"/>
      <c r="L29028" s="711"/>
      <c r="Q29028" s="11"/>
      <c r="R29028" s="11"/>
      <c r="S29028" s="11"/>
      <c r="T29028" s="11"/>
    </row>
    <row r="29029" spans="8:20" x14ac:dyDescent="0.35">
      <c r="H29029" s="711"/>
      <c r="I29029" s="711"/>
      <c r="J29029" s="711"/>
      <c r="K29029" s="711"/>
      <c r="L29029" s="711"/>
      <c r="Q29029" s="11"/>
      <c r="R29029" s="11"/>
      <c r="S29029" s="11"/>
      <c r="T29029" s="11"/>
    </row>
    <row r="29030" spans="8:20" x14ac:dyDescent="0.35">
      <c r="H29030" s="711"/>
      <c r="I29030" s="711"/>
      <c r="J29030" s="711"/>
      <c r="K29030" s="711"/>
      <c r="L29030" s="711"/>
      <c r="Q29030" s="11"/>
      <c r="R29030" s="11"/>
      <c r="S29030" s="11"/>
      <c r="T29030" s="11"/>
    </row>
    <row r="29031" spans="8:20" x14ac:dyDescent="0.35">
      <c r="H29031" s="711"/>
      <c r="I29031" s="711"/>
      <c r="J29031" s="711"/>
      <c r="K29031" s="711"/>
      <c r="L29031" s="711"/>
      <c r="Q29031" s="11"/>
      <c r="R29031" s="11"/>
      <c r="S29031" s="11"/>
      <c r="T29031" s="11"/>
    </row>
    <row r="29032" spans="8:20" x14ac:dyDescent="0.35">
      <c r="H29032" s="711"/>
      <c r="I29032" s="711"/>
      <c r="J29032" s="711"/>
      <c r="K29032" s="711"/>
      <c r="L29032" s="711"/>
      <c r="Q29032" s="11"/>
      <c r="R29032" s="11"/>
      <c r="S29032" s="11"/>
      <c r="T29032" s="11"/>
    </row>
    <row r="29033" spans="8:20" x14ac:dyDescent="0.35">
      <c r="H29033" s="711"/>
      <c r="I29033" s="711"/>
      <c r="J29033" s="711"/>
      <c r="K29033" s="711"/>
      <c r="L29033" s="711"/>
      <c r="Q29033" s="11"/>
      <c r="R29033" s="11"/>
      <c r="S29033" s="11"/>
      <c r="T29033" s="11"/>
    </row>
    <row r="29034" spans="8:20" x14ac:dyDescent="0.35">
      <c r="H29034" s="711"/>
      <c r="I29034" s="711"/>
      <c r="J29034" s="711"/>
      <c r="K29034" s="711"/>
      <c r="L29034" s="711"/>
      <c r="Q29034" s="11"/>
      <c r="R29034" s="11"/>
      <c r="S29034" s="11"/>
      <c r="T29034" s="11"/>
    </row>
    <row r="29035" spans="8:20" x14ac:dyDescent="0.35">
      <c r="H29035" s="711"/>
      <c r="I29035" s="711"/>
      <c r="J29035" s="711"/>
      <c r="K29035" s="711"/>
      <c r="L29035" s="711"/>
      <c r="Q29035" s="11"/>
      <c r="R29035" s="11"/>
      <c r="S29035" s="11"/>
      <c r="T29035" s="11"/>
    </row>
    <row r="29036" spans="8:20" x14ac:dyDescent="0.35">
      <c r="H29036" s="711"/>
      <c r="I29036" s="711"/>
      <c r="J29036" s="711"/>
      <c r="K29036" s="711"/>
      <c r="L29036" s="711"/>
      <c r="Q29036" s="11"/>
      <c r="R29036" s="11"/>
      <c r="S29036" s="11"/>
      <c r="T29036" s="11"/>
    </row>
    <row r="29037" spans="8:20" x14ac:dyDescent="0.35">
      <c r="H29037" s="711"/>
      <c r="I29037" s="711"/>
      <c r="J29037" s="711"/>
      <c r="K29037" s="711"/>
      <c r="L29037" s="711"/>
      <c r="Q29037" s="11"/>
      <c r="R29037" s="11"/>
      <c r="S29037" s="11"/>
      <c r="T29037" s="11"/>
    </row>
    <row r="29038" spans="8:20" x14ac:dyDescent="0.35">
      <c r="H29038" s="711"/>
      <c r="I29038" s="711"/>
      <c r="J29038" s="711"/>
      <c r="K29038" s="711"/>
      <c r="L29038" s="711"/>
      <c r="Q29038" s="11"/>
      <c r="R29038" s="11"/>
      <c r="S29038" s="11"/>
      <c r="T29038" s="11"/>
    </row>
    <row r="29039" spans="8:20" x14ac:dyDescent="0.35">
      <c r="H29039" s="711"/>
      <c r="I29039" s="711"/>
      <c r="J29039" s="711"/>
      <c r="K29039" s="711"/>
      <c r="L29039" s="711"/>
      <c r="Q29039" s="11"/>
      <c r="R29039" s="11"/>
      <c r="S29039" s="11"/>
      <c r="T29039" s="11"/>
    </row>
    <row r="29040" spans="8:20" x14ac:dyDescent="0.35">
      <c r="H29040" s="711"/>
      <c r="I29040" s="711"/>
      <c r="J29040" s="711"/>
      <c r="K29040" s="711"/>
      <c r="L29040" s="711"/>
      <c r="Q29040" s="11"/>
      <c r="R29040" s="11"/>
      <c r="S29040" s="11"/>
      <c r="T29040" s="11"/>
    </row>
    <row r="29041" spans="8:20" x14ac:dyDescent="0.35">
      <c r="H29041" s="711"/>
      <c r="I29041" s="711"/>
      <c r="J29041" s="711"/>
      <c r="K29041" s="711"/>
      <c r="L29041" s="711"/>
      <c r="Q29041" s="11"/>
      <c r="R29041" s="11"/>
      <c r="S29041" s="11"/>
      <c r="T29041" s="11"/>
    </row>
    <row r="29042" spans="8:20" x14ac:dyDescent="0.35">
      <c r="H29042" s="711"/>
      <c r="I29042" s="711"/>
      <c r="J29042" s="711"/>
      <c r="K29042" s="711"/>
      <c r="L29042" s="711"/>
      <c r="Q29042" s="11"/>
      <c r="R29042" s="11"/>
      <c r="S29042" s="11"/>
      <c r="T29042" s="11"/>
    </row>
    <row r="29043" spans="8:20" x14ac:dyDescent="0.35">
      <c r="H29043" s="711"/>
      <c r="I29043" s="711"/>
      <c r="J29043" s="711"/>
      <c r="K29043" s="711"/>
      <c r="L29043" s="711"/>
      <c r="Q29043" s="11"/>
      <c r="R29043" s="11"/>
      <c r="S29043" s="11"/>
      <c r="T29043" s="11"/>
    </row>
    <row r="29044" spans="8:20" x14ac:dyDescent="0.35">
      <c r="H29044" s="711"/>
      <c r="I29044" s="711"/>
      <c r="J29044" s="711"/>
      <c r="K29044" s="711"/>
      <c r="L29044" s="711"/>
      <c r="Q29044" s="11"/>
      <c r="R29044" s="11"/>
      <c r="S29044" s="11"/>
      <c r="T29044" s="11"/>
    </row>
    <row r="29045" spans="8:20" x14ac:dyDescent="0.35">
      <c r="H29045" s="711"/>
      <c r="I29045" s="711"/>
      <c r="J29045" s="711"/>
      <c r="K29045" s="711"/>
      <c r="L29045" s="711"/>
      <c r="Q29045" s="11"/>
      <c r="R29045" s="11"/>
      <c r="S29045" s="11"/>
      <c r="T29045" s="11"/>
    </row>
    <row r="29046" spans="8:20" x14ac:dyDescent="0.35">
      <c r="H29046" s="711"/>
      <c r="I29046" s="711"/>
      <c r="J29046" s="711"/>
      <c r="K29046" s="711"/>
      <c r="L29046" s="711"/>
      <c r="Q29046" s="11"/>
      <c r="R29046" s="11"/>
      <c r="S29046" s="11"/>
      <c r="T29046" s="11"/>
    </row>
    <row r="29047" spans="8:20" x14ac:dyDescent="0.35">
      <c r="H29047" s="711"/>
      <c r="I29047" s="711"/>
      <c r="J29047" s="711"/>
      <c r="K29047" s="711"/>
      <c r="L29047" s="711"/>
      <c r="Q29047" s="11"/>
      <c r="R29047" s="11"/>
      <c r="S29047" s="11"/>
      <c r="T29047" s="11"/>
    </row>
    <row r="29048" spans="8:20" x14ac:dyDescent="0.35">
      <c r="H29048" s="711"/>
      <c r="I29048" s="711"/>
      <c r="J29048" s="711"/>
      <c r="K29048" s="711"/>
      <c r="L29048" s="711"/>
      <c r="Q29048" s="11"/>
      <c r="R29048" s="11"/>
      <c r="S29048" s="11"/>
      <c r="T29048" s="11"/>
    </row>
    <row r="29049" spans="8:20" x14ac:dyDescent="0.35">
      <c r="H29049" s="711"/>
      <c r="I29049" s="711"/>
      <c r="J29049" s="711"/>
      <c r="K29049" s="711"/>
      <c r="L29049" s="711"/>
      <c r="Q29049" s="11"/>
      <c r="R29049" s="11"/>
      <c r="S29049" s="11"/>
      <c r="T29049" s="11"/>
    </row>
    <row r="29050" spans="8:20" x14ac:dyDescent="0.35">
      <c r="H29050" s="711"/>
      <c r="I29050" s="711"/>
      <c r="J29050" s="711"/>
      <c r="K29050" s="711"/>
      <c r="L29050" s="711"/>
      <c r="Q29050" s="11"/>
      <c r="R29050" s="11"/>
      <c r="S29050" s="11"/>
      <c r="T29050" s="11"/>
    </row>
    <row r="29051" spans="8:20" x14ac:dyDescent="0.35">
      <c r="H29051" s="711"/>
      <c r="I29051" s="711"/>
      <c r="J29051" s="711"/>
      <c r="K29051" s="711"/>
      <c r="L29051" s="711"/>
      <c r="Q29051" s="11"/>
      <c r="R29051" s="11"/>
      <c r="S29051" s="11"/>
      <c r="T29051" s="11"/>
    </row>
    <row r="29052" spans="8:20" x14ac:dyDescent="0.35">
      <c r="H29052" s="711"/>
      <c r="I29052" s="711"/>
      <c r="J29052" s="711"/>
      <c r="K29052" s="711"/>
      <c r="L29052" s="711"/>
      <c r="Q29052" s="11"/>
      <c r="R29052" s="11"/>
      <c r="S29052" s="11"/>
      <c r="T29052" s="11"/>
    </row>
    <row r="29053" spans="8:20" x14ac:dyDescent="0.35">
      <c r="H29053" s="711"/>
      <c r="I29053" s="711"/>
      <c r="J29053" s="711"/>
      <c r="K29053" s="711"/>
      <c r="L29053" s="711"/>
      <c r="Q29053" s="11"/>
      <c r="R29053" s="11"/>
      <c r="S29053" s="11"/>
      <c r="T29053" s="11"/>
    </row>
    <row r="29054" spans="8:20" x14ac:dyDescent="0.35">
      <c r="H29054" s="711"/>
      <c r="I29054" s="711"/>
      <c r="J29054" s="711"/>
      <c r="K29054" s="711"/>
      <c r="L29054" s="711"/>
      <c r="Q29054" s="11"/>
      <c r="R29054" s="11"/>
      <c r="S29054" s="11"/>
      <c r="T29054" s="11"/>
    </row>
    <row r="29055" spans="8:20" x14ac:dyDescent="0.35">
      <c r="H29055" s="711"/>
      <c r="I29055" s="711"/>
      <c r="J29055" s="711"/>
      <c r="K29055" s="711"/>
      <c r="L29055" s="711"/>
      <c r="Q29055" s="11"/>
      <c r="R29055" s="11"/>
      <c r="S29055" s="11"/>
      <c r="T29055" s="11"/>
    </row>
    <row r="29056" spans="8:20" x14ac:dyDescent="0.35">
      <c r="H29056" s="711"/>
      <c r="I29056" s="711"/>
      <c r="J29056" s="711"/>
      <c r="K29056" s="711"/>
      <c r="L29056" s="711"/>
      <c r="Q29056" s="11"/>
      <c r="R29056" s="11"/>
      <c r="S29056" s="11"/>
      <c r="T29056" s="11"/>
    </row>
    <row r="29057" spans="8:20" x14ac:dyDescent="0.35">
      <c r="H29057" s="711"/>
      <c r="I29057" s="711"/>
      <c r="J29057" s="711"/>
      <c r="K29057" s="711"/>
      <c r="L29057" s="711"/>
      <c r="Q29057" s="11"/>
      <c r="R29057" s="11"/>
      <c r="S29057" s="11"/>
      <c r="T29057" s="11"/>
    </row>
    <row r="29058" spans="8:20" x14ac:dyDescent="0.35">
      <c r="H29058" s="711"/>
      <c r="I29058" s="711"/>
      <c r="J29058" s="711"/>
      <c r="K29058" s="711"/>
      <c r="L29058" s="711"/>
      <c r="Q29058" s="11"/>
      <c r="R29058" s="11"/>
      <c r="S29058" s="11"/>
      <c r="T29058" s="11"/>
    </row>
    <row r="29059" spans="8:20" x14ac:dyDescent="0.35">
      <c r="H29059" s="711"/>
      <c r="I29059" s="711"/>
      <c r="J29059" s="711"/>
      <c r="K29059" s="711"/>
      <c r="L29059" s="711"/>
      <c r="Q29059" s="11"/>
      <c r="R29059" s="11"/>
      <c r="S29059" s="11"/>
      <c r="T29059" s="11"/>
    </row>
    <row r="29060" spans="8:20" x14ac:dyDescent="0.35">
      <c r="H29060" s="711"/>
      <c r="I29060" s="711"/>
      <c r="J29060" s="711"/>
      <c r="K29060" s="711"/>
      <c r="L29060" s="711"/>
      <c r="Q29060" s="11"/>
      <c r="R29060" s="11"/>
      <c r="S29060" s="11"/>
      <c r="T29060" s="11"/>
    </row>
    <row r="29061" spans="8:20" x14ac:dyDescent="0.35">
      <c r="H29061" s="711"/>
      <c r="I29061" s="711"/>
      <c r="J29061" s="711"/>
      <c r="K29061" s="711"/>
      <c r="L29061" s="711"/>
      <c r="Q29061" s="11"/>
      <c r="R29061" s="11"/>
      <c r="S29061" s="11"/>
      <c r="T29061" s="11"/>
    </row>
    <row r="29062" spans="8:20" x14ac:dyDescent="0.35">
      <c r="H29062" s="711"/>
      <c r="I29062" s="711"/>
      <c r="J29062" s="711"/>
      <c r="K29062" s="711"/>
      <c r="L29062" s="711"/>
      <c r="Q29062" s="11"/>
      <c r="R29062" s="11"/>
      <c r="S29062" s="11"/>
      <c r="T29062" s="11"/>
    </row>
    <row r="29063" spans="8:20" x14ac:dyDescent="0.35">
      <c r="H29063" s="711"/>
      <c r="I29063" s="711"/>
      <c r="J29063" s="711"/>
      <c r="K29063" s="711"/>
      <c r="L29063" s="711"/>
      <c r="Q29063" s="11"/>
      <c r="R29063" s="11"/>
      <c r="S29063" s="11"/>
      <c r="T29063" s="11"/>
    </row>
    <row r="29064" spans="8:20" x14ac:dyDescent="0.35">
      <c r="H29064" s="711"/>
      <c r="I29064" s="711"/>
      <c r="J29064" s="711"/>
      <c r="K29064" s="711"/>
      <c r="L29064" s="711"/>
      <c r="Q29064" s="11"/>
      <c r="R29064" s="11"/>
      <c r="S29064" s="11"/>
      <c r="T29064" s="11"/>
    </row>
    <row r="29065" spans="8:20" x14ac:dyDescent="0.35">
      <c r="H29065" s="711"/>
      <c r="I29065" s="711"/>
      <c r="J29065" s="711"/>
      <c r="K29065" s="711"/>
      <c r="L29065" s="711"/>
      <c r="Q29065" s="11"/>
      <c r="R29065" s="11"/>
      <c r="S29065" s="11"/>
      <c r="T29065" s="11"/>
    </row>
    <row r="29066" spans="8:20" x14ac:dyDescent="0.35">
      <c r="H29066" s="711"/>
      <c r="I29066" s="711"/>
      <c r="J29066" s="711"/>
      <c r="K29066" s="711"/>
      <c r="L29066" s="711"/>
      <c r="Q29066" s="11"/>
      <c r="R29066" s="11"/>
      <c r="S29066" s="11"/>
      <c r="T29066" s="11"/>
    </row>
    <row r="29067" spans="8:20" x14ac:dyDescent="0.35">
      <c r="H29067" s="711"/>
      <c r="I29067" s="711"/>
      <c r="J29067" s="711"/>
      <c r="K29067" s="711"/>
      <c r="L29067" s="711"/>
      <c r="Q29067" s="11"/>
      <c r="R29067" s="11"/>
      <c r="S29067" s="11"/>
      <c r="T29067" s="11"/>
    </row>
    <row r="29068" spans="8:20" x14ac:dyDescent="0.35">
      <c r="H29068" s="711"/>
      <c r="I29068" s="711"/>
      <c r="J29068" s="711"/>
      <c r="K29068" s="711"/>
      <c r="L29068" s="711"/>
      <c r="Q29068" s="11"/>
      <c r="R29068" s="11"/>
      <c r="S29068" s="11"/>
      <c r="T29068" s="11"/>
    </row>
    <row r="29069" spans="8:20" x14ac:dyDescent="0.35">
      <c r="H29069" s="711"/>
      <c r="I29069" s="711"/>
      <c r="J29069" s="711"/>
      <c r="K29069" s="711"/>
      <c r="L29069" s="711"/>
      <c r="Q29069" s="11"/>
      <c r="R29069" s="11"/>
      <c r="S29069" s="11"/>
      <c r="T29069" s="11"/>
    </row>
    <row r="29070" spans="8:20" x14ac:dyDescent="0.35">
      <c r="H29070" s="711"/>
      <c r="I29070" s="711"/>
      <c r="J29070" s="711"/>
      <c r="K29070" s="711"/>
      <c r="L29070" s="711"/>
      <c r="Q29070" s="11"/>
      <c r="R29070" s="11"/>
      <c r="S29070" s="11"/>
      <c r="T29070" s="11"/>
    </row>
    <row r="29071" spans="8:20" x14ac:dyDescent="0.35">
      <c r="H29071" s="711"/>
      <c r="I29071" s="711"/>
      <c r="J29071" s="711"/>
      <c r="K29071" s="711"/>
      <c r="L29071" s="711"/>
      <c r="Q29071" s="11"/>
      <c r="R29071" s="11"/>
      <c r="S29071" s="11"/>
      <c r="T29071" s="11"/>
    </row>
    <row r="29072" spans="8:20" x14ac:dyDescent="0.35">
      <c r="H29072" s="711"/>
      <c r="I29072" s="711"/>
      <c r="J29072" s="711"/>
      <c r="K29072" s="711"/>
      <c r="L29072" s="711"/>
      <c r="Q29072" s="11"/>
      <c r="R29072" s="11"/>
      <c r="S29072" s="11"/>
      <c r="T29072" s="11"/>
    </row>
    <row r="29073" spans="8:20" x14ac:dyDescent="0.35">
      <c r="H29073" s="711"/>
      <c r="I29073" s="711"/>
      <c r="J29073" s="711"/>
      <c r="K29073" s="711"/>
      <c r="L29073" s="711"/>
      <c r="Q29073" s="11"/>
      <c r="R29073" s="11"/>
      <c r="S29073" s="11"/>
      <c r="T29073" s="11"/>
    </row>
    <row r="29074" spans="8:20" x14ac:dyDescent="0.35">
      <c r="H29074" s="711"/>
      <c r="I29074" s="711"/>
      <c r="J29074" s="711"/>
      <c r="K29074" s="711"/>
      <c r="L29074" s="711"/>
      <c r="Q29074" s="11"/>
      <c r="R29074" s="11"/>
      <c r="S29074" s="11"/>
      <c r="T29074" s="11"/>
    </row>
    <row r="29075" spans="8:20" x14ac:dyDescent="0.35">
      <c r="H29075" s="711"/>
      <c r="I29075" s="711"/>
      <c r="J29075" s="711"/>
      <c r="K29075" s="711"/>
      <c r="L29075" s="711"/>
      <c r="Q29075" s="11"/>
      <c r="R29075" s="11"/>
      <c r="S29075" s="11"/>
      <c r="T29075" s="11"/>
    </row>
    <row r="29076" spans="8:20" x14ac:dyDescent="0.35">
      <c r="H29076" s="711"/>
      <c r="I29076" s="711"/>
      <c r="J29076" s="711"/>
      <c r="K29076" s="711"/>
      <c r="L29076" s="711"/>
      <c r="Q29076" s="11"/>
      <c r="R29076" s="11"/>
      <c r="S29076" s="11"/>
      <c r="T29076" s="11"/>
    </row>
    <row r="29077" spans="8:20" x14ac:dyDescent="0.35">
      <c r="H29077" s="711"/>
      <c r="I29077" s="711"/>
      <c r="J29077" s="711"/>
      <c r="K29077" s="711"/>
      <c r="L29077" s="711"/>
      <c r="Q29077" s="11"/>
      <c r="R29077" s="11"/>
      <c r="S29077" s="11"/>
      <c r="T29077" s="11"/>
    </row>
    <row r="29078" spans="8:20" x14ac:dyDescent="0.35">
      <c r="H29078" s="711"/>
      <c r="I29078" s="711"/>
      <c r="J29078" s="711"/>
      <c r="K29078" s="711"/>
      <c r="L29078" s="711"/>
      <c r="Q29078" s="11"/>
      <c r="R29078" s="11"/>
      <c r="S29078" s="11"/>
      <c r="T29078" s="11"/>
    </row>
    <row r="29079" spans="8:20" x14ac:dyDescent="0.35">
      <c r="H29079" s="711"/>
      <c r="I29079" s="711"/>
      <c r="J29079" s="711"/>
      <c r="K29079" s="711"/>
      <c r="L29079" s="711"/>
      <c r="Q29079" s="11"/>
      <c r="R29079" s="11"/>
      <c r="S29079" s="11"/>
      <c r="T29079" s="11"/>
    </row>
    <row r="29080" spans="8:20" x14ac:dyDescent="0.35">
      <c r="H29080" s="711"/>
      <c r="I29080" s="711"/>
      <c r="J29080" s="711"/>
      <c r="K29080" s="711"/>
      <c r="L29080" s="711"/>
      <c r="Q29080" s="11"/>
      <c r="R29080" s="11"/>
      <c r="S29080" s="11"/>
      <c r="T29080" s="11"/>
    </row>
    <row r="29081" spans="8:20" x14ac:dyDescent="0.35">
      <c r="H29081" s="711"/>
      <c r="I29081" s="711"/>
      <c r="J29081" s="711"/>
      <c r="K29081" s="711"/>
      <c r="L29081" s="711"/>
      <c r="Q29081" s="11"/>
      <c r="R29081" s="11"/>
      <c r="S29081" s="11"/>
      <c r="T29081" s="11"/>
    </row>
    <row r="29082" spans="8:20" x14ac:dyDescent="0.35">
      <c r="H29082" s="711"/>
      <c r="I29082" s="711"/>
      <c r="J29082" s="711"/>
      <c r="K29082" s="711"/>
      <c r="L29082" s="711"/>
      <c r="Q29082" s="11"/>
      <c r="R29082" s="11"/>
      <c r="S29082" s="11"/>
      <c r="T29082" s="11"/>
    </row>
    <row r="29083" spans="8:20" x14ac:dyDescent="0.35">
      <c r="H29083" s="711"/>
      <c r="I29083" s="711"/>
      <c r="J29083" s="711"/>
      <c r="K29083" s="711"/>
      <c r="L29083" s="711"/>
      <c r="Q29083" s="11"/>
      <c r="R29083" s="11"/>
      <c r="S29083" s="11"/>
      <c r="T29083" s="11"/>
    </row>
    <row r="29084" spans="8:20" x14ac:dyDescent="0.35">
      <c r="H29084" s="711"/>
      <c r="I29084" s="711"/>
      <c r="J29084" s="711"/>
      <c r="K29084" s="711"/>
      <c r="L29084" s="711"/>
      <c r="Q29084" s="11"/>
      <c r="R29084" s="11"/>
      <c r="S29084" s="11"/>
      <c r="T29084" s="11"/>
    </row>
    <row r="29085" spans="8:20" x14ac:dyDescent="0.35">
      <c r="H29085" s="711"/>
      <c r="I29085" s="711"/>
      <c r="J29085" s="711"/>
      <c r="K29085" s="711"/>
      <c r="L29085" s="711"/>
      <c r="Q29085" s="11"/>
      <c r="R29085" s="11"/>
      <c r="S29085" s="11"/>
      <c r="T29085" s="11"/>
    </row>
    <row r="29086" spans="8:20" x14ac:dyDescent="0.35">
      <c r="H29086" s="711"/>
      <c r="I29086" s="711"/>
      <c r="J29086" s="711"/>
      <c r="K29086" s="711"/>
      <c r="L29086" s="711"/>
      <c r="Q29086" s="11"/>
      <c r="R29086" s="11"/>
      <c r="S29086" s="11"/>
      <c r="T29086" s="11"/>
    </row>
    <row r="29087" spans="8:20" x14ac:dyDescent="0.35">
      <c r="H29087" s="711"/>
      <c r="I29087" s="711"/>
      <c r="J29087" s="711"/>
      <c r="K29087" s="711"/>
      <c r="L29087" s="711"/>
      <c r="Q29087" s="11"/>
      <c r="R29087" s="11"/>
      <c r="S29087" s="11"/>
      <c r="T29087" s="11"/>
    </row>
    <row r="29088" spans="8:20" x14ac:dyDescent="0.35">
      <c r="H29088" s="711"/>
      <c r="I29088" s="711"/>
      <c r="J29088" s="711"/>
      <c r="K29088" s="711"/>
      <c r="L29088" s="711"/>
      <c r="Q29088" s="11"/>
      <c r="R29088" s="11"/>
      <c r="S29088" s="11"/>
      <c r="T29088" s="11"/>
    </row>
    <row r="29089" spans="8:20" x14ac:dyDescent="0.35">
      <c r="H29089" s="711"/>
      <c r="I29089" s="711"/>
      <c r="J29089" s="711"/>
      <c r="K29089" s="711"/>
      <c r="L29089" s="711"/>
      <c r="Q29089" s="11"/>
      <c r="R29089" s="11"/>
      <c r="S29089" s="11"/>
      <c r="T29089" s="11"/>
    </row>
    <row r="29090" spans="8:20" x14ac:dyDescent="0.35">
      <c r="H29090" s="711"/>
      <c r="I29090" s="711"/>
      <c r="J29090" s="711"/>
      <c r="K29090" s="711"/>
      <c r="L29090" s="711"/>
      <c r="Q29090" s="11"/>
      <c r="R29090" s="11"/>
      <c r="S29090" s="11"/>
      <c r="T29090" s="11"/>
    </row>
    <row r="29091" spans="8:20" x14ac:dyDescent="0.35">
      <c r="H29091" s="711"/>
      <c r="I29091" s="711"/>
      <c r="J29091" s="711"/>
      <c r="K29091" s="711"/>
      <c r="L29091" s="711"/>
      <c r="Q29091" s="11"/>
      <c r="R29091" s="11"/>
      <c r="S29091" s="11"/>
      <c r="T29091" s="11"/>
    </row>
    <row r="29092" spans="8:20" x14ac:dyDescent="0.35">
      <c r="H29092" s="711"/>
      <c r="I29092" s="711"/>
      <c r="J29092" s="711"/>
      <c r="K29092" s="711"/>
      <c r="L29092" s="711"/>
      <c r="Q29092" s="11"/>
      <c r="R29092" s="11"/>
      <c r="S29092" s="11"/>
      <c r="T29092" s="11"/>
    </row>
    <row r="29093" spans="8:20" x14ac:dyDescent="0.35">
      <c r="H29093" s="711"/>
      <c r="I29093" s="711"/>
      <c r="J29093" s="711"/>
      <c r="K29093" s="711"/>
      <c r="L29093" s="711"/>
      <c r="Q29093" s="11"/>
      <c r="R29093" s="11"/>
      <c r="S29093" s="11"/>
      <c r="T29093" s="11"/>
    </row>
    <row r="29094" spans="8:20" x14ac:dyDescent="0.35">
      <c r="H29094" s="711"/>
      <c r="I29094" s="711"/>
      <c r="J29094" s="711"/>
      <c r="K29094" s="711"/>
      <c r="L29094" s="711"/>
      <c r="Q29094" s="11"/>
      <c r="R29094" s="11"/>
      <c r="S29094" s="11"/>
      <c r="T29094" s="11"/>
    </row>
    <row r="29095" spans="8:20" x14ac:dyDescent="0.35">
      <c r="H29095" s="711"/>
      <c r="I29095" s="711"/>
      <c r="J29095" s="711"/>
      <c r="K29095" s="711"/>
      <c r="L29095" s="711"/>
      <c r="Q29095" s="11"/>
      <c r="R29095" s="11"/>
      <c r="S29095" s="11"/>
      <c r="T29095" s="11"/>
    </row>
    <row r="29096" spans="8:20" x14ac:dyDescent="0.35">
      <c r="H29096" s="711"/>
      <c r="I29096" s="711"/>
      <c r="J29096" s="711"/>
      <c r="K29096" s="711"/>
      <c r="L29096" s="711"/>
      <c r="Q29096" s="11"/>
      <c r="R29096" s="11"/>
      <c r="S29096" s="11"/>
      <c r="T29096" s="11"/>
    </row>
    <row r="29097" spans="8:20" x14ac:dyDescent="0.35">
      <c r="H29097" s="711"/>
      <c r="I29097" s="711"/>
      <c r="J29097" s="711"/>
      <c r="K29097" s="711"/>
      <c r="L29097" s="711"/>
      <c r="Q29097" s="11"/>
      <c r="R29097" s="11"/>
      <c r="S29097" s="11"/>
      <c r="T29097" s="11"/>
    </row>
    <row r="29098" spans="8:20" x14ac:dyDescent="0.35">
      <c r="H29098" s="711"/>
      <c r="I29098" s="711"/>
      <c r="J29098" s="711"/>
      <c r="K29098" s="711"/>
      <c r="L29098" s="711"/>
      <c r="Q29098" s="11"/>
      <c r="R29098" s="11"/>
      <c r="S29098" s="11"/>
      <c r="T29098" s="11"/>
    </row>
    <row r="29099" spans="8:20" x14ac:dyDescent="0.35">
      <c r="H29099" s="711"/>
      <c r="I29099" s="711"/>
      <c r="J29099" s="711"/>
      <c r="K29099" s="711"/>
      <c r="L29099" s="711"/>
      <c r="Q29099" s="11"/>
      <c r="R29099" s="11"/>
      <c r="S29099" s="11"/>
      <c r="T29099" s="11"/>
    </row>
    <row r="29100" spans="8:20" x14ac:dyDescent="0.35">
      <c r="H29100" s="711"/>
      <c r="I29100" s="711"/>
      <c r="J29100" s="711"/>
      <c r="K29100" s="711"/>
      <c r="L29100" s="711"/>
      <c r="Q29100" s="11"/>
      <c r="R29100" s="11"/>
      <c r="S29100" s="11"/>
      <c r="T29100" s="11"/>
    </row>
    <row r="29101" spans="8:20" x14ac:dyDescent="0.35">
      <c r="H29101" s="711"/>
      <c r="I29101" s="711"/>
      <c r="J29101" s="711"/>
      <c r="K29101" s="711"/>
      <c r="L29101" s="711"/>
      <c r="Q29101" s="11"/>
      <c r="R29101" s="11"/>
      <c r="S29101" s="11"/>
      <c r="T29101" s="11"/>
    </row>
    <row r="29102" spans="8:20" x14ac:dyDescent="0.35">
      <c r="H29102" s="711"/>
      <c r="I29102" s="711"/>
      <c r="J29102" s="711"/>
      <c r="K29102" s="711"/>
      <c r="L29102" s="711"/>
      <c r="Q29102" s="11"/>
      <c r="R29102" s="11"/>
      <c r="S29102" s="11"/>
      <c r="T29102" s="11"/>
    </row>
    <row r="29103" spans="8:20" x14ac:dyDescent="0.35">
      <c r="H29103" s="711"/>
      <c r="I29103" s="711"/>
      <c r="J29103" s="711"/>
      <c r="K29103" s="711"/>
      <c r="L29103" s="711"/>
      <c r="Q29103" s="11"/>
      <c r="R29103" s="11"/>
      <c r="S29103" s="11"/>
      <c r="T29103" s="11"/>
    </row>
    <row r="29104" spans="8:20" x14ac:dyDescent="0.35">
      <c r="H29104" s="711"/>
      <c r="I29104" s="711"/>
      <c r="J29104" s="711"/>
      <c r="K29104" s="711"/>
      <c r="L29104" s="711"/>
      <c r="Q29104" s="11"/>
      <c r="R29104" s="11"/>
      <c r="S29104" s="11"/>
      <c r="T29104" s="11"/>
    </row>
    <row r="29105" spans="8:20" x14ac:dyDescent="0.35">
      <c r="H29105" s="711"/>
      <c r="I29105" s="711"/>
      <c r="J29105" s="711"/>
      <c r="K29105" s="711"/>
      <c r="L29105" s="711"/>
      <c r="Q29105" s="11"/>
      <c r="R29105" s="11"/>
      <c r="S29105" s="11"/>
      <c r="T29105" s="11"/>
    </row>
    <row r="29106" spans="8:20" x14ac:dyDescent="0.35">
      <c r="H29106" s="711"/>
      <c r="I29106" s="711"/>
      <c r="J29106" s="711"/>
      <c r="K29106" s="711"/>
      <c r="L29106" s="711"/>
      <c r="Q29106" s="11"/>
      <c r="R29106" s="11"/>
      <c r="S29106" s="11"/>
      <c r="T29106" s="11"/>
    </row>
    <row r="29107" spans="8:20" x14ac:dyDescent="0.35">
      <c r="H29107" s="711"/>
      <c r="I29107" s="711"/>
      <c r="J29107" s="711"/>
      <c r="K29107" s="711"/>
      <c r="L29107" s="711"/>
      <c r="Q29107" s="11"/>
      <c r="R29107" s="11"/>
      <c r="S29107" s="11"/>
      <c r="T29107" s="11"/>
    </row>
    <row r="29108" spans="8:20" x14ac:dyDescent="0.35">
      <c r="H29108" s="711"/>
      <c r="I29108" s="711"/>
      <c r="J29108" s="711"/>
      <c r="K29108" s="711"/>
      <c r="L29108" s="711"/>
      <c r="Q29108" s="11"/>
      <c r="R29108" s="11"/>
      <c r="S29108" s="11"/>
      <c r="T29108" s="11"/>
    </row>
    <row r="29109" spans="8:20" x14ac:dyDescent="0.35">
      <c r="H29109" s="711"/>
      <c r="I29109" s="711"/>
      <c r="J29109" s="711"/>
      <c r="K29109" s="711"/>
      <c r="L29109" s="711"/>
      <c r="Q29109" s="11"/>
      <c r="R29109" s="11"/>
      <c r="S29109" s="11"/>
      <c r="T29109" s="11"/>
    </row>
    <row r="29110" spans="8:20" x14ac:dyDescent="0.35">
      <c r="H29110" s="711"/>
      <c r="I29110" s="711"/>
      <c r="J29110" s="711"/>
      <c r="K29110" s="711"/>
      <c r="L29110" s="711"/>
      <c r="Q29110" s="11"/>
      <c r="R29110" s="11"/>
      <c r="S29110" s="11"/>
      <c r="T29110" s="11"/>
    </row>
    <row r="29111" spans="8:20" x14ac:dyDescent="0.35">
      <c r="H29111" s="711"/>
      <c r="I29111" s="711"/>
      <c r="J29111" s="711"/>
      <c r="K29111" s="711"/>
      <c r="L29111" s="711"/>
      <c r="Q29111" s="11"/>
      <c r="R29111" s="11"/>
      <c r="S29111" s="11"/>
      <c r="T29111" s="11"/>
    </row>
    <row r="29112" spans="8:20" x14ac:dyDescent="0.35">
      <c r="H29112" s="711"/>
      <c r="I29112" s="711"/>
      <c r="J29112" s="711"/>
      <c r="K29112" s="711"/>
      <c r="L29112" s="711"/>
      <c r="Q29112" s="11"/>
      <c r="R29112" s="11"/>
      <c r="S29112" s="11"/>
      <c r="T29112" s="11"/>
    </row>
    <row r="29113" spans="8:20" x14ac:dyDescent="0.35">
      <c r="H29113" s="711"/>
      <c r="I29113" s="711"/>
      <c r="J29113" s="711"/>
      <c r="K29113" s="711"/>
      <c r="L29113" s="711"/>
      <c r="Q29113" s="11"/>
      <c r="R29113" s="11"/>
      <c r="S29113" s="11"/>
      <c r="T29113" s="11"/>
    </row>
    <row r="29114" spans="8:20" x14ac:dyDescent="0.35">
      <c r="H29114" s="711"/>
      <c r="I29114" s="711"/>
      <c r="J29114" s="711"/>
      <c r="K29114" s="711"/>
      <c r="L29114" s="711"/>
      <c r="Q29114" s="11"/>
      <c r="R29114" s="11"/>
      <c r="S29114" s="11"/>
      <c r="T29114" s="11"/>
    </row>
    <row r="29115" spans="8:20" x14ac:dyDescent="0.35">
      <c r="H29115" s="711"/>
      <c r="I29115" s="711"/>
      <c r="J29115" s="711"/>
      <c r="K29115" s="711"/>
      <c r="L29115" s="711"/>
      <c r="Q29115" s="11"/>
      <c r="R29115" s="11"/>
      <c r="S29115" s="11"/>
      <c r="T29115" s="11"/>
    </row>
    <row r="29116" spans="8:20" x14ac:dyDescent="0.35">
      <c r="H29116" s="711"/>
      <c r="I29116" s="711"/>
      <c r="J29116" s="711"/>
      <c r="K29116" s="711"/>
      <c r="L29116" s="711"/>
      <c r="Q29116" s="11"/>
      <c r="R29116" s="11"/>
      <c r="S29116" s="11"/>
      <c r="T29116" s="11"/>
    </row>
    <row r="29117" spans="8:20" x14ac:dyDescent="0.35">
      <c r="H29117" s="711"/>
      <c r="I29117" s="711"/>
      <c r="J29117" s="711"/>
      <c r="K29117" s="711"/>
      <c r="L29117" s="711"/>
      <c r="Q29117" s="11"/>
      <c r="R29117" s="11"/>
      <c r="S29117" s="11"/>
      <c r="T29117" s="11"/>
    </row>
    <row r="29118" spans="8:20" x14ac:dyDescent="0.35">
      <c r="H29118" s="711"/>
      <c r="I29118" s="711"/>
      <c r="J29118" s="711"/>
      <c r="K29118" s="711"/>
      <c r="L29118" s="711"/>
      <c r="Q29118" s="11"/>
      <c r="R29118" s="11"/>
      <c r="S29118" s="11"/>
      <c r="T29118" s="11"/>
    </row>
    <row r="29119" spans="8:20" x14ac:dyDescent="0.35">
      <c r="H29119" s="711"/>
      <c r="I29119" s="711"/>
      <c r="J29119" s="711"/>
      <c r="K29119" s="711"/>
      <c r="L29119" s="711"/>
      <c r="Q29119" s="11"/>
      <c r="R29119" s="11"/>
      <c r="S29119" s="11"/>
      <c r="T29119" s="11"/>
    </row>
    <row r="29120" spans="8:20" x14ac:dyDescent="0.35">
      <c r="H29120" s="711"/>
      <c r="I29120" s="711"/>
      <c r="J29120" s="711"/>
      <c r="K29120" s="711"/>
      <c r="L29120" s="711"/>
      <c r="Q29120" s="11"/>
      <c r="R29120" s="11"/>
      <c r="S29120" s="11"/>
      <c r="T29120" s="11"/>
    </row>
    <row r="29121" spans="8:20" x14ac:dyDescent="0.35">
      <c r="H29121" s="711"/>
      <c r="I29121" s="711"/>
      <c r="J29121" s="711"/>
      <c r="K29121" s="711"/>
      <c r="L29121" s="711"/>
      <c r="Q29121" s="11"/>
      <c r="R29121" s="11"/>
      <c r="S29121" s="11"/>
      <c r="T29121" s="11"/>
    </row>
    <row r="29122" spans="8:20" x14ac:dyDescent="0.35">
      <c r="H29122" s="711"/>
      <c r="I29122" s="711"/>
      <c r="J29122" s="711"/>
      <c r="K29122" s="711"/>
      <c r="L29122" s="711"/>
      <c r="Q29122" s="11"/>
      <c r="R29122" s="11"/>
      <c r="S29122" s="11"/>
      <c r="T29122" s="11"/>
    </row>
    <row r="29123" spans="8:20" x14ac:dyDescent="0.35">
      <c r="H29123" s="711"/>
      <c r="I29123" s="711"/>
      <c r="J29123" s="711"/>
      <c r="K29123" s="711"/>
      <c r="L29123" s="711"/>
      <c r="Q29123" s="11"/>
      <c r="R29123" s="11"/>
      <c r="S29123" s="11"/>
      <c r="T29123" s="11"/>
    </row>
    <row r="29124" spans="8:20" x14ac:dyDescent="0.35">
      <c r="H29124" s="711"/>
      <c r="I29124" s="711"/>
      <c r="J29124" s="711"/>
      <c r="K29124" s="711"/>
      <c r="L29124" s="711"/>
      <c r="Q29124" s="11"/>
      <c r="R29124" s="11"/>
      <c r="S29124" s="11"/>
      <c r="T29124" s="11"/>
    </row>
    <row r="29125" spans="8:20" x14ac:dyDescent="0.35">
      <c r="H29125" s="711"/>
      <c r="I29125" s="711"/>
      <c r="J29125" s="711"/>
      <c r="K29125" s="711"/>
      <c r="L29125" s="711"/>
      <c r="Q29125" s="11"/>
      <c r="R29125" s="11"/>
      <c r="S29125" s="11"/>
      <c r="T29125" s="11"/>
    </row>
    <row r="29126" spans="8:20" x14ac:dyDescent="0.35">
      <c r="H29126" s="711"/>
      <c r="I29126" s="711"/>
      <c r="J29126" s="711"/>
      <c r="K29126" s="711"/>
      <c r="L29126" s="711"/>
      <c r="Q29126" s="11"/>
      <c r="R29126" s="11"/>
      <c r="S29126" s="11"/>
      <c r="T29126" s="11"/>
    </row>
    <row r="29127" spans="8:20" x14ac:dyDescent="0.35">
      <c r="H29127" s="711"/>
      <c r="I29127" s="711"/>
      <c r="J29127" s="711"/>
      <c r="K29127" s="711"/>
      <c r="L29127" s="711"/>
      <c r="Q29127" s="11"/>
      <c r="R29127" s="11"/>
      <c r="S29127" s="11"/>
      <c r="T29127" s="11"/>
    </row>
    <row r="29128" spans="8:20" x14ac:dyDescent="0.35">
      <c r="H29128" s="711"/>
      <c r="I29128" s="711"/>
      <c r="J29128" s="711"/>
      <c r="K29128" s="711"/>
      <c r="L29128" s="711"/>
      <c r="Q29128" s="11"/>
      <c r="R29128" s="11"/>
      <c r="S29128" s="11"/>
      <c r="T29128" s="11"/>
    </row>
    <row r="29129" spans="8:20" x14ac:dyDescent="0.35">
      <c r="H29129" s="711"/>
      <c r="I29129" s="711"/>
      <c r="J29129" s="711"/>
      <c r="K29129" s="711"/>
      <c r="L29129" s="711"/>
      <c r="Q29129" s="11"/>
      <c r="R29129" s="11"/>
      <c r="S29129" s="11"/>
      <c r="T29129" s="11"/>
    </row>
    <row r="29130" spans="8:20" x14ac:dyDescent="0.35">
      <c r="H29130" s="711"/>
      <c r="I29130" s="711"/>
      <c r="J29130" s="711"/>
      <c r="K29130" s="711"/>
      <c r="L29130" s="711"/>
      <c r="Q29130" s="11"/>
      <c r="R29130" s="11"/>
      <c r="S29130" s="11"/>
      <c r="T29130" s="11"/>
    </row>
    <row r="29131" spans="8:20" x14ac:dyDescent="0.35">
      <c r="H29131" s="711"/>
      <c r="I29131" s="711"/>
      <c r="J29131" s="711"/>
      <c r="K29131" s="711"/>
      <c r="L29131" s="711"/>
      <c r="Q29131" s="11"/>
      <c r="R29131" s="11"/>
      <c r="S29131" s="11"/>
      <c r="T29131" s="11"/>
    </row>
    <row r="29132" spans="8:20" x14ac:dyDescent="0.35">
      <c r="H29132" s="711"/>
      <c r="I29132" s="711"/>
      <c r="J29132" s="711"/>
      <c r="K29132" s="711"/>
      <c r="L29132" s="711"/>
      <c r="Q29132" s="11"/>
      <c r="R29132" s="11"/>
      <c r="S29132" s="11"/>
      <c r="T29132" s="11"/>
    </row>
    <row r="29133" spans="8:20" x14ac:dyDescent="0.35">
      <c r="H29133" s="711"/>
      <c r="I29133" s="711"/>
      <c r="J29133" s="711"/>
      <c r="K29133" s="711"/>
      <c r="L29133" s="711"/>
      <c r="Q29133" s="11"/>
      <c r="R29133" s="11"/>
      <c r="S29133" s="11"/>
      <c r="T29133" s="11"/>
    </row>
    <row r="29134" spans="8:20" x14ac:dyDescent="0.35">
      <c r="H29134" s="711"/>
      <c r="I29134" s="711"/>
      <c r="J29134" s="711"/>
      <c r="K29134" s="711"/>
      <c r="L29134" s="711"/>
      <c r="Q29134" s="11"/>
      <c r="R29134" s="11"/>
      <c r="S29134" s="11"/>
      <c r="T29134" s="11"/>
    </row>
    <row r="29135" spans="8:20" x14ac:dyDescent="0.35">
      <c r="H29135" s="711"/>
      <c r="I29135" s="711"/>
      <c r="J29135" s="711"/>
      <c r="K29135" s="711"/>
      <c r="L29135" s="711"/>
      <c r="Q29135" s="11"/>
      <c r="R29135" s="11"/>
      <c r="S29135" s="11"/>
      <c r="T29135" s="11"/>
    </row>
    <row r="29136" spans="8:20" x14ac:dyDescent="0.35">
      <c r="H29136" s="711"/>
      <c r="I29136" s="711"/>
      <c r="J29136" s="711"/>
      <c r="K29136" s="711"/>
      <c r="L29136" s="711"/>
      <c r="Q29136" s="11"/>
      <c r="R29136" s="11"/>
      <c r="S29136" s="11"/>
      <c r="T29136" s="11"/>
    </row>
    <row r="29137" spans="8:20" x14ac:dyDescent="0.35">
      <c r="H29137" s="711"/>
      <c r="I29137" s="711"/>
      <c r="J29137" s="711"/>
      <c r="K29137" s="711"/>
      <c r="L29137" s="711"/>
      <c r="Q29137" s="11"/>
      <c r="R29137" s="11"/>
      <c r="S29137" s="11"/>
      <c r="T29137" s="11"/>
    </row>
    <row r="29138" spans="8:20" x14ac:dyDescent="0.35">
      <c r="H29138" s="711"/>
      <c r="I29138" s="711"/>
      <c r="J29138" s="711"/>
      <c r="K29138" s="711"/>
      <c r="L29138" s="711"/>
      <c r="Q29138" s="11"/>
      <c r="R29138" s="11"/>
      <c r="S29138" s="11"/>
      <c r="T29138" s="11"/>
    </row>
    <row r="29139" spans="8:20" x14ac:dyDescent="0.35">
      <c r="H29139" s="711"/>
      <c r="I29139" s="711"/>
      <c r="J29139" s="711"/>
      <c r="K29139" s="711"/>
      <c r="L29139" s="711"/>
      <c r="Q29139" s="11"/>
      <c r="R29139" s="11"/>
      <c r="S29139" s="11"/>
      <c r="T29139" s="11"/>
    </row>
    <row r="29140" spans="8:20" x14ac:dyDescent="0.35">
      <c r="H29140" s="711"/>
      <c r="I29140" s="711"/>
      <c r="J29140" s="711"/>
      <c r="K29140" s="711"/>
      <c r="L29140" s="711"/>
      <c r="Q29140" s="11"/>
      <c r="R29140" s="11"/>
      <c r="S29140" s="11"/>
      <c r="T29140" s="11"/>
    </row>
    <row r="29141" spans="8:20" x14ac:dyDescent="0.35">
      <c r="H29141" s="711"/>
      <c r="I29141" s="711"/>
      <c r="J29141" s="711"/>
      <c r="K29141" s="711"/>
      <c r="L29141" s="711"/>
      <c r="Q29141" s="11"/>
      <c r="R29141" s="11"/>
      <c r="S29141" s="11"/>
      <c r="T29141" s="11"/>
    </row>
    <row r="29142" spans="8:20" x14ac:dyDescent="0.35">
      <c r="H29142" s="711"/>
      <c r="I29142" s="711"/>
      <c r="J29142" s="711"/>
      <c r="K29142" s="711"/>
      <c r="L29142" s="711"/>
      <c r="Q29142" s="11"/>
      <c r="R29142" s="11"/>
      <c r="S29142" s="11"/>
      <c r="T29142" s="11"/>
    </row>
    <row r="29143" spans="8:20" x14ac:dyDescent="0.35">
      <c r="H29143" s="711"/>
      <c r="I29143" s="711"/>
      <c r="J29143" s="711"/>
      <c r="K29143" s="711"/>
      <c r="L29143" s="711"/>
      <c r="Q29143" s="11"/>
      <c r="R29143" s="11"/>
      <c r="S29143" s="11"/>
      <c r="T29143" s="11"/>
    </row>
    <row r="29144" spans="8:20" x14ac:dyDescent="0.35">
      <c r="H29144" s="711"/>
      <c r="I29144" s="711"/>
      <c r="J29144" s="711"/>
      <c r="K29144" s="711"/>
      <c r="L29144" s="711"/>
      <c r="Q29144" s="11"/>
      <c r="R29144" s="11"/>
      <c r="S29144" s="11"/>
      <c r="T29144" s="11"/>
    </row>
    <row r="29145" spans="8:20" x14ac:dyDescent="0.35">
      <c r="H29145" s="711"/>
      <c r="I29145" s="711"/>
      <c r="J29145" s="711"/>
      <c r="K29145" s="711"/>
      <c r="L29145" s="711"/>
      <c r="Q29145" s="11"/>
      <c r="R29145" s="11"/>
      <c r="S29145" s="11"/>
      <c r="T29145" s="11"/>
    </row>
    <row r="29146" spans="8:20" x14ac:dyDescent="0.35">
      <c r="H29146" s="711"/>
      <c r="I29146" s="711"/>
      <c r="J29146" s="711"/>
      <c r="K29146" s="711"/>
      <c r="L29146" s="711"/>
      <c r="Q29146" s="11"/>
      <c r="R29146" s="11"/>
      <c r="S29146" s="11"/>
      <c r="T29146" s="11"/>
    </row>
    <row r="29147" spans="8:20" x14ac:dyDescent="0.35">
      <c r="H29147" s="711"/>
      <c r="I29147" s="711"/>
      <c r="J29147" s="711"/>
      <c r="K29147" s="711"/>
      <c r="L29147" s="711"/>
      <c r="Q29147" s="11"/>
      <c r="R29147" s="11"/>
      <c r="S29147" s="11"/>
      <c r="T29147" s="11"/>
    </row>
    <row r="29148" spans="8:20" x14ac:dyDescent="0.35">
      <c r="H29148" s="711"/>
      <c r="I29148" s="711"/>
      <c r="J29148" s="711"/>
      <c r="K29148" s="711"/>
      <c r="L29148" s="711"/>
      <c r="Q29148" s="11"/>
      <c r="R29148" s="11"/>
      <c r="S29148" s="11"/>
      <c r="T29148" s="11"/>
    </row>
    <row r="29149" spans="8:20" x14ac:dyDescent="0.35">
      <c r="H29149" s="711"/>
      <c r="I29149" s="711"/>
      <c r="J29149" s="711"/>
      <c r="K29149" s="711"/>
      <c r="L29149" s="711"/>
      <c r="Q29149" s="11"/>
      <c r="R29149" s="11"/>
      <c r="S29149" s="11"/>
      <c r="T29149" s="11"/>
    </row>
    <row r="29150" spans="8:20" x14ac:dyDescent="0.35">
      <c r="H29150" s="711"/>
      <c r="I29150" s="711"/>
      <c r="J29150" s="711"/>
      <c r="K29150" s="711"/>
      <c r="L29150" s="711"/>
      <c r="Q29150" s="11"/>
      <c r="R29150" s="11"/>
      <c r="S29150" s="11"/>
      <c r="T29150" s="11"/>
    </row>
    <row r="29151" spans="8:20" x14ac:dyDescent="0.35">
      <c r="H29151" s="711"/>
      <c r="I29151" s="711"/>
      <c r="J29151" s="711"/>
      <c r="K29151" s="711"/>
      <c r="L29151" s="711"/>
      <c r="Q29151" s="11"/>
      <c r="R29151" s="11"/>
      <c r="S29151" s="11"/>
      <c r="T29151" s="11"/>
    </row>
    <row r="29152" spans="8:20" x14ac:dyDescent="0.35">
      <c r="H29152" s="711"/>
      <c r="I29152" s="711"/>
      <c r="J29152" s="711"/>
      <c r="K29152" s="711"/>
      <c r="L29152" s="711"/>
      <c r="Q29152" s="11"/>
      <c r="R29152" s="11"/>
      <c r="S29152" s="11"/>
      <c r="T29152" s="11"/>
    </row>
    <row r="29153" spans="8:20" x14ac:dyDescent="0.35">
      <c r="H29153" s="711"/>
      <c r="I29153" s="711"/>
      <c r="J29153" s="711"/>
      <c r="K29153" s="711"/>
      <c r="L29153" s="711"/>
      <c r="Q29153" s="11"/>
      <c r="R29153" s="11"/>
      <c r="S29153" s="11"/>
      <c r="T29153" s="11"/>
    </row>
    <row r="29154" spans="8:20" x14ac:dyDescent="0.35">
      <c r="H29154" s="711"/>
      <c r="I29154" s="711"/>
      <c r="J29154" s="711"/>
      <c r="K29154" s="711"/>
      <c r="L29154" s="711"/>
      <c r="Q29154" s="11"/>
      <c r="R29154" s="11"/>
      <c r="S29154" s="11"/>
      <c r="T29154" s="11"/>
    </row>
    <row r="29155" spans="8:20" x14ac:dyDescent="0.35">
      <c r="H29155" s="711"/>
      <c r="I29155" s="711"/>
      <c r="J29155" s="711"/>
      <c r="K29155" s="711"/>
      <c r="L29155" s="711"/>
      <c r="Q29155" s="11"/>
      <c r="R29155" s="11"/>
      <c r="S29155" s="11"/>
      <c r="T29155" s="11"/>
    </row>
    <row r="29156" spans="8:20" x14ac:dyDescent="0.35">
      <c r="H29156" s="711"/>
      <c r="I29156" s="711"/>
      <c r="J29156" s="711"/>
      <c r="K29156" s="711"/>
      <c r="L29156" s="711"/>
      <c r="Q29156" s="11"/>
      <c r="R29156" s="11"/>
      <c r="S29156" s="11"/>
      <c r="T29156" s="11"/>
    </row>
    <row r="29157" spans="8:20" x14ac:dyDescent="0.35">
      <c r="H29157" s="711"/>
      <c r="I29157" s="711"/>
      <c r="J29157" s="711"/>
      <c r="K29157" s="711"/>
      <c r="L29157" s="711"/>
      <c r="Q29157" s="11"/>
      <c r="R29157" s="11"/>
      <c r="S29157" s="11"/>
      <c r="T29157" s="11"/>
    </row>
    <row r="29158" spans="8:20" x14ac:dyDescent="0.35">
      <c r="H29158" s="711"/>
      <c r="I29158" s="711"/>
      <c r="J29158" s="711"/>
      <c r="K29158" s="711"/>
      <c r="L29158" s="711"/>
      <c r="Q29158" s="11"/>
      <c r="R29158" s="11"/>
      <c r="S29158" s="11"/>
      <c r="T29158" s="11"/>
    </row>
    <row r="29159" spans="8:20" x14ac:dyDescent="0.35">
      <c r="H29159" s="711"/>
      <c r="I29159" s="711"/>
      <c r="J29159" s="711"/>
      <c r="K29159" s="711"/>
      <c r="L29159" s="711"/>
      <c r="Q29159" s="11"/>
      <c r="R29159" s="11"/>
      <c r="S29159" s="11"/>
      <c r="T29159" s="11"/>
    </row>
    <row r="29160" spans="8:20" x14ac:dyDescent="0.35">
      <c r="H29160" s="711"/>
      <c r="I29160" s="711"/>
      <c r="J29160" s="711"/>
      <c r="K29160" s="711"/>
      <c r="L29160" s="711"/>
      <c r="Q29160" s="11"/>
      <c r="R29160" s="11"/>
      <c r="S29160" s="11"/>
      <c r="T29160" s="11"/>
    </row>
    <row r="29161" spans="8:20" x14ac:dyDescent="0.35">
      <c r="H29161" s="711"/>
      <c r="I29161" s="711"/>
      <c r="J29161" s="711"/>
      <c r="K29161" s="711"/>
      <c r="L29161" s="711"/>
      <c r="Q29161" s="11"/>
      <c r="R29161" s="11"/>
      <c r="S29161" s="11"/>
      <c r="T29161" s="11"/>
    </row>
    <row r="29162" spans="8:20" x14ac:dyDescent="0.35">
      <c r="H29162" s="711"/>
      <c r="I29162" s="711"/>
      <c r="J29162" s="711"/>
      <c r="K29162" s="711"/>
      <c r="L29162" s="711"/>
      <c r="Q29162" s="11"/>
      <c r="R29162" s="11"/>
      <c r="S29162" s="11"/>
      <c r="T29162" s="11"/>
    </row>
    <row r="29163" spans="8:20" x14ac:dyDescent="0.35">
      <c r="H29163" s="711"/>
      <c r="I29163" s="711"/>
      <c r="J29163" s="711"/>
      <c r="K29163" s="711"/>
      <c r="L29163" s="711"/>
      <c r="Q29163" s="11"/>
      <c r="R29163" s="11"/>
      <c r="S29163" s="11"/>
      <c r="T29163" s="11"/>
    </row>
    <row r="29164" spans="8:20" x14ac:dyDescent="0.35">
      <c r="H29164" s="711"/>
      <c r="I29164" s="711"/>
      <c r="J29164" s="711"/>
      <c r="K29164" s="711"/>
      <c r="L29164" s="711"/>
      <c r="Q29164" s="11"/>
      <c r="R29164" s="11"/>
      <c r="S29164" s="11"/>
      <c r="T29164" s="11"/>
    </row>
    <row r="29165" spans="8:20" x14ac:dyDescent="0.35">
      <c r="H29165" s="711"/>
      <c r="I29165" s="711"/>
      <c r="J29165" s="711"/>
      <c r="K29165" s="711"/>
      <c r="L29165" s="711"/>
      <c r="Q29165" s="11"/>
      <c r="R29165" s="11"/>
      <c r="S29165" s="11"/>
      <c r="T29165" s="11"/>
    </row>
    <row r="29166" spans="8:20" x14ac:dyDescent="0.35">
      <c r="H29166" s="711"/>
      <c r="I29166" s="711"/>
      <c r="J29166" s="711"/>
      <c r="K29166" s="711"/>
      <c r="L29166" s="711"/>
      <c r="Q29166" s="11"/>
      <c r="R29166" s="11"/>
      <c r="S29166" s="11"/>
      <c r="T29166" s="11"/>
    </row>
    <row r="29167" spans="8:20" x14ac:dyDescent="0.35">
      <c r="H29167" s="711"/>
      <c r="I29167" s="711"/>
      <c r="J29167" s="711"/>
      <c r="K29167" s="711"/>
      <c r="L29167" s="711"/>
      <c r="Q29167" s="11"/>
      <c r="R29167" s="11"/>
      <c r="S29167" s="11"/>
      <c r="T29167" s="11"/>
    </row>
    <row r="29168" spans="8:20" x14ac:dyDescent="0.35">
      <c r="H29168" s="711"/>
      <c r="I29168" s="711"/>
      <c r="J29168" s="711"/>
      <c r="K29168" s="711"/>
      <c r="L29168" s="711"/>
      <c r="Q29168" s="11"/>
      <c r="R29168" s="11"/>
      <c r="S29168" s="11"/>
      <c r="T29168" s="11"/>
    </row>
    <row r="29169" spans="8:20" x14ac:dyDescent="0.35">
      <c r="H29169" s="711"/>
      <c r="I29169" s="711"/>
      <c r="J29169" s="711"/>
      <c r="K29169" s="711"/>
      <c r="L29169" s="711"/>
      <c r="Q29169" s="11"/>
      <c r="R29169" s="11"/>
      <c r="S29169" s="11"/>
      <c r="T29169" s="11"/>
    </row>
    <row r="29170" spans="8:20" x14ac:dyDescent="0.35">
      <c r="H29170" s="711"/>
      <c r="I29170" s="711"/>
      <c r="J29170" s="711"/>
      <c r="K29170" s="711"/>
      <c r="L29170" s="711"/>
      <c r="Q29170" s="11"/>
      <c r="R29170" s="11"/>
      <c r="S29170" s="11"/>
      <c r="T29170" s="11"/>
    </row>
    <row r="29171" spans="8:20" x14ac:dyDescent="0.35">
      <c r="H29171" s="711"/>
      <c r="I29171" s="711"/>
      <c r="J29171" s="711"/>
      <c r="K29171" s="711"/>
      <c r="L29171" s="711"/>
      <c r="Q29171" s="11"/>
      <c r="R29171" s="11"/>
      <c r="S29171" s="11"/>
      <c r="T29171" s="11"/>
    </row>
    <row r="29172" spans="8:20" x14ac:dyDescent="0.35">
      <c r="H29172" s="711"/>
      <c r="I29172" s="711"/>
      <c r="J29172" s="711"/>
      <c r="K29172" s="711"/>
      <c r="L29172" s="711"/>
      <c r="Q29172" s="11"/>
      <c r="R29172" s="11"/>
      <c r="S29172" s="11"/>
      <c r="T29172" s="11"/>
    </row>
    <row r="29173" spans="8:20" x14ac:dyDescent="0.35">
      <c r="H29173" s="711"/>
      <c r="I29173" s="711"/>
      <c r="J29173" s="711"/>
      <c r="K29173" s="711"/>
      <c r="L29173" s="711"/>
      <c r="Q29173" s="11"/>
      <c r="R29173" s="11"/>
      <c r="S29173" s="11"/>
      <c r="T29173" s="11"/>
    </row>
    <row r="29174" spans="8:20" x14ac:dyDescent="0.35">
      <c r="H29174" s="711"/>
      <c r="I29174" s="711"/>
      <c r="J29174" s="711"/>
      <c r="K29174" s="711"/>
      <c r="L29174" s="711"/>
      <c r="Q29174" s="11"/>
      <c r="R29174" s="11"/>
      <c r="S29174" s="11"/>
      <c r="T29174" s="11"/>
    </row>
    <row r="29175" spans="8:20" x14ac:dyDescent="0.35">
      <c r="H29175" s="711"/>
      <c r="I29175" s="711"/>
      <c r="J29175" s="711"/>
      <c r="K29175" s="711"/>
      <c r="L29175" s="711"/>
      <c r="Q29175" s="11"/>
      <c r="R29175" s="11"/>
      <c r="S29175" s="11"/>
      <c r="T29175" s="11"/>
    </row>
    <row r="29176" spans="8:20" x14ac:dyDescent="0.35">
      <c r="H29176" s="711"/>
      <c r="I29176" s="711"/>
      <c r="J29176" s="711"/>
      <c r="K29176" s="711"/>
      <c r="L29176" s="711"/>
      <c r="Q29176" s="11"/>
      <c r="R29176" s="11"/>
      <c r="S29176" s="11"/>
      <c r="T29176" s="11"/>
    </row>
    <row r="29177" spans="8:20" x14ac:dyDescent="0.35">
      <c r="H29177" s="711"/>
      <c r="I29177" s="711"/>
      <c r="J29177" s="711"/>
      <c r="K29177" s="711"/>
      <c r="L29177" s="711"/>
      <c r="Q29177" s="11"/>
      <c r="R29177" s="11"/>
      <c r="S29177" s="11"/>
      <c r="T29177" s="11"/>
    </row>
    <row r="29178" spans="8:20" x14ac:dyDescent="0.35">
      <c r="H29178" s="711"/>
      <c r="I29178" s="711"/>
      <c r="J29178" s="711"/>
      <c r="K29178" s="711"/>
      <c r="L29178" s="711"/>
      <c r="Q29178" s="11"/>
      <c r="R29178" s="11"/>
      <c r="S29178" s="11"/>
      <c r="T29178" s="11"/>
    </row>
    <row r="29179" spans="8:20" x14ac:dyDescent="0.35">
      <c r="H29179" s="711"/>
      <c r="I29179" s="711"/>
      <c r="J29179" s="711"/>
      <c r="K29179" s="711"/>
      <c r="L29179" s="711"/>
      <c r="Q29179" s="11"/>
      <c r="R29179" s="11"/>
      <c r="S29179" s="11"/>
      <c r="T29179" s="11"/>
    </row>
    <row r="29180" spans="8:20" x14ac:dyDescent="0.35">
      <c r="H29180" s="711"/>
      <c r="I29180" s="711"/>
      <c r="J29180" s="711"/>
      <c r="K29180" s="711"/>
      <c r="L29180" s="711"/>
      <c r="Q29180" s="11"/>
      <c r="R29180" s="11"/>
      <c r="S29180" s="11"/>
      <c r="T29180" s="11"/>
    </row>
    <row r="29181" spans="8:20" x14ac:dyDescent="0.35">
      <c r="H29181" s="711"/>
      <c r="I29181" s="711"/>
      <c r="J29181" s="711"/>
      <c r="K29181" s="711"/>
      <c r="L29181" s="711"/>
      <c r="Q29181" s="11"/>
      <c r="R29181" s="11"/>
      <c r="S29181" s="11"/>
      <c r="T29181" s="11"/>
    </row>
    <row r="29182" spans="8:20" x14ac:dyDescent="0.35">
      <c r="H29182" s="711"/>
      <c r="I29182" s="711"/>
      <c r="J29182" s="711"/>
      <c r="K29182" s="711"/>
      <c r="L29182" s="711"/>
      <c r="Q29182" s="11"/>
      <c r="R29182" s="11"/>
      <c r="S29182" s="11"/>
      <c r="T29182" s="11"/>
    </row>
    <row r="29183" spans="8:20" x14ac:dyDescent="0.35">
      <c r="H29183" s="711"/>
      <c r="I29183" s="711"/>
      <c r="J29183" s="711"/>
      <c r="K29183" s="711"/>
      <c r="L29183" s="711"/>
      <c r="Q29183" s="11"/>
      <c r="R29183" s="11"/>
      <c r="S29183" s="11"/>
      <c r="T29183" s="11"/>
    </row>
    <row r="29184" spans="8:20" x14ac:dyDescent="0.35">
      <c r="H29184" s="711"/>
      <c r="I29184" s="711"/>
      <c r="J29184" s="711"/>
      <c r="K29184" s="711"/>
      <c r="L29184" s="711"/>
      <c r="Q29184" s="11"/>
      <c r="R29184" s="11"/>
      <c r="S29184" s="11"/>
      <c r="T29184" s="11"/>
    </row>
    <row r="29185" spans="8:20" x14ac:dyDescent="0.35">
      <c r="H29185" s="711"/>
      <c r="I29185" s="711"/>
      <c r="J29185" s="711"/>
      <c r="K29185" s="711"/>
      <c r="L29185" s="711"/>
      <c r="Q29185" s="11"/>
      <c r="R29185" s="11"/>
      <c r="S29185" s="11"/>
      <c r="T29185" s="11"/>
    </row>
    <row r="29186" spans="8:20" x14ac:dyDescent="0.35">
      <c r="H29186" s="711"/>
      <c r="I29186" s="711"/>
      <c r="J29186" s="711"/>
      <c r="K29186" s="711"/>
      <c r="L29186" s="711"/>
      <c r="Q29186" s="11"/>
      <c r="R29186" s="11"/>
      <c r="S29186" s="11"/>
      <c r="T29186" s="11"/>
    </row>
    <row r="29187" spans="8:20" x14ac:dyDescent="0.35">
      <c r="H29187" s="711"/>
      <c r="I29187" s="711"/>
      <c r="J29187" s="711"/>
      <c r="K29187" s="711"/>
      <c r="L29187" s="711"/>
      <c r="Q29187" s="11"/>
      <c r="R29187" s="11"/>
      <c r="S29187" s="11"/>
      <c r="T29187" s="11"/>
    </row>
    <row r="29188" spans="8:20" x14ac:dyDescent="0.35">
      <c r="H29188" s="711"/>
      <c r="I29188" s="711"/>
      <c r="J29188" s="711"/>
      <c r="K29188" s="711"/>
      <c r="L29188" s="711"/>
      <c r="Q29188" s="11"/>
      <c r="R29188" s="11"/>
      <c r="S29188" s="11"/>
      <c r="T29188" s="11"/>
    </row>
    <row r="29189" spans="8:20" x14ac:dyDescent="0.35">
      <c r="H29189" s="711"/>
      <c r="I29189" s="711"/>
      <c r="J29189" s="711"/>
      <c r="K29189" s="711"/>
      <c r="L29189" s="711"/>
      <c r="Q29189" s="11"/>
      <c r="R29189" s="11"/>
      <c r="S29189" s="11"/>
      <c r="T29189" s="11"/>
    </row>
    <row r="29190" spans="8:20" x14ac:dyDescent="0.35">
      <c r="H29190" s="711"/>
      <c r="I29190" s="711"/>
      <c r="J29190" s="711"/>
      <c r="K29190" s="711"/>
      <c r="L29190" s="711"/>
      <c r="Q29190" s="11"/>
      <c r="R29190" s="11"/>
      <c r="S29190" s="11"/>
      <c r="T29190" s="11"/>
    </row>
    <row r="29191" spans="8:20" x14ac:dyDescent="0.35">
      <c r="H29191" s="711"/>
      <c r="I29191" s="711"/>
      <c r="J29191" s="711"/>
      <c r="K29191" s="711"/>
      <c r="L29191" s="711"/>
      <c r="Q29191" s="11"/>
      <c r="R29191" s="11"/>
      <c r="S29191" s="11"/>
      <c r="T29191" s="11"/>
    </row>
    <row r="29192" spans="8:20" x14ac:dyDescent="0.35">
      <c r="H29192" s="711"/>
      <c r="I29192" s="711"/>
      <c r="J29192" s="711"/>
      <c r="K29192" s="711"/>
      <c r="L29192" s="711"/>
      <c r="Q29192" s="11"/>
      <c r="R29192" s="11"/>
      <c r="S29192" s="11"/>
      <c r="T29192" s="11"/>
    </row>
    <row r="29193" spans="8:20" x14ac:dyDescent="0.35">
      <c r="H29193" s="711"/>
      <c r="I29193" s="711"/>
      <c r="J29193" s="711"/>
      <c r="K29193" s="711"/>
      <c r="L29193" s="711"/>
      <c r="Q29193" s="11"/>
      <c r="R29193" s="11"/>
      <c r="S29193" s="11"/>
      <c r="T29193" s="11"/>
    </row>
    <row r="29194" spans="8:20" x14ac:dyDescent="0.35">
      <c r="H29194" s="711"/>
      <c r="I29194" s="711"/>
      <c r="J29194" s="711"/>
      <c r="K29194" s="711"/>
      <c r="L29194" s="711"/>
      <c r="Q29194" s="11"/>
      <c r="R29194" s="11"/>
      <c r="S29194" s="11"/>
      <c r="T29194" s="11"/>
    </row>
    <row r="29195" spans="8:20" x14ac:dyDescent="0.35">
      <c r="H29195" s="711"/>
      <c r="I29195" s="711"/>
      <c r="J29195" s="711"/>
      <c r="K29195" s="711"/>
      <c r="L29195" s="711"/>
      <c r="Q29195" s="11"/>
      <c r="R29195" s="11"/>
      <c r="S29195" s="11"/>
      <c r="T29195" s="11"/>
    </row>
    <row r="29196" spans="8:20" x14ac:dyDescent="0.35">
      <c r="H29196" s="711"/>
      <c r="I29196" s="711"/>
      <c r="J29196" s="711"/>
      <c r="K29196" s="711"/>
      <c r="L29196" s="711"/>
      <c r="Q29196" s="11"/>
      <c r="R29196" s="11"/>
      <c r="S29196" s="11"/>
      <c r="T29196" s="11"/>
    </row>
    <row r="29197" spans="8:20" x14ac:dyDescent="0.35">
      <c r="H29197" s="711"/>
      <c r="I29197" s="711"/>
      <c r="J29197" s="711"/>
      <c r="K29197" s="711"/>
      <c r="L29197" s="711"/>
      <c r="Q29197" s="11"/>
      <c r="R29197" s="11"/>
      <c r="S29197" s="11"/>
      <c r="T29197" s="11"/>
    </row>
    <row r="29198" spans="8:20" x14ac:dyDescent="0.35">
      <c r="H29198" s="711"/>
      <c r="I29198" s="711"/>
      <c r="J29198" s="711"/>
      <c r="K29198" s="711"/>
      <c r="L29198" s="711"/>
      <c r="Q29198" s="11"/>
      <c r="R29198" s="11"/>
      <c r="S29198" s="11"/>
      <c r="T29198" s="11"/>
    </row>
    <row r="29199" spans="8:20" x14ac:dyDescent="0.35">
      <c r="H29199" s="711"/>
      <c r="I29199" s="711"/>
      <c r="J29199" s="711"/>
      <c r="K29199" s="711"/>
      <c r="L29199" s="711"/>
      <c r="Q29199" s="11"/>
      <c r="R29199" s="11"/>
      <c r="S29199" s="11"/>
      <c r="T29199" s="11"/>
    </row>
    <row r="29200" spans="8:20" x14ac:dyDescent="0.35">
      <c r="H29200" s="711"/>
      <c r="I29200" s="711"/>
      <c r="J29200" s="711"/>
      <c r="K29200" s="711"/>
      <c r="L29200" s="711"/>
      <c r="Q29200" s="11"/>
      <c r="R29200" s="11"/>
      <c r="S29200" s="11"/>
      <c r="T29200" s="11"/>
    </row>
    <row r="29201" spans="8:20" x14ac:dyDescent="0.35">
      <c r="H29201" s="711"/>
      <c r="I29201" s="711"/>
      <c r="J29201" s="711"/>
      <c r="K29201" s="711"/>
      <c r="L29201" s="711"/>
      <c r="Q29201" s="11"/>
      <c r="R29201" s="11"/>
      <c r="S29201" s="11"/>
      <c r="T29201" s="11"/>
    </row>
    <row r="29202" spans="8:20" x14ac:dyDescent="0.35">
      <c r="H29202" s="711"/>
      <c r="I29202" s="711"/>
      <c r="J29202" s="711"/>
      <c r="K29202" s="711"/>
      <c r="L29202" s="711"/>
      <c r="Q29202" s="11"/>
      <c r="R29202" s="11"/>
      <c r="S29202" s="11"/>
      <c r="T29202" s="11"/>
    </row>
    <row r="29203" spans="8:20" x14ac:dyDescent="0.35">
      <c r="H29203" s="711"/>
      <c r="I29203" s="711"/>
      <c r="J29203" s="711"/>
      <c r="K29203" s="711"/>
      <c r="L29203" s="711"/>
      <c r="Q29203" s="11"/>
      <c r="R29203" s="11"/>
      <c r="S29203" s="11"/>
      <c r="T29203" s="11"/>
    </row>
    <row r="29204" spans="8:20" x14ac:dyDescent="0.35">
      <c r="H29204" s="711"/>
      <c r="I29204" s="711"/>
      <c r="J29204" s="711"/>
      <c r="K29204" s="711"/>
      <c r="L29204" s="711"/>
      <c r="Q29204" s="11"/>
      <c r="R29204" s="11"/>
      <c r="S29204" s="11"/>
      <c r="T29204" s="11"/>
    </row>
    <row r="29205" spans="8:20" x14ac:dyDescent="0.35">
      <c r="H29205" s="711"/>
      <c r="I29205" s="711"/>
      <c r="J29205" s="711"/>
      <c r="K29205" s="711"/>
      <c r="L29205" s="711"/>
      <c r="Q29205" s="11"/>
      <c r="R29205" s="11"/>
      <c r="S29205" s="11"/>
      <c r="T29205" s="11"/>
    </row>
    <row r="29206" spans="8:20" x14ac:dyDescent="0.35">
      <c r="H29206" s="711"/>
      <c r="I29206" s="711"/>
      <c r="J29206" s="711"/>
      <c r="K29206" s="711"/>
      <c r="L29206" s="711"/>
      <c r="Q29206" s="11"/>
      <c r="R29206" s="11"/>
      <c r="S29206" s="11"/>
      <c r="T29206" s="11"/>
    </row>
    <row r="29207" spans="8:20" x14ac:dyDescent="0.35">
      <c r="H29207" s="711"/>
      <c r="I29207" s="711"/>
      <c r="J29207" s="711"/>
      <c r="K29207" s="711"/>
      <c r="L29207" s="711"/>
      <c r="Q29207" s="11"/>
      <c r="R29207" s="11"/>
      <c r="S29207" s="11"/>
      <c r="T29207" s="11"/>
    </row>
    <row r="29208" spans="8:20" x14ac:dyDescent="0.35">
      <c r="H29208" s="711"/>
      <c r="I29208" s="711"/>
      <c r="J29208" s="711"/>
      <c r="K29208" s="711"/>
      <c r="L29208" s="711"/>
      <c r="Q29208" s="11"/>
      <c r="R29208" s="11"/>
      <c r="S29208" s="11"/>
      <c r="T29208" s="11"/>
    </row>
    <row r="29209" spans="8:20" x14ac:dyDescent="0.35">
      <c r="H29209" s="711"/>
      <c r="I29209" s="711"/>
      <c r="J29209" s="711"/>
      <c r="K29209" s="711"/>
      <c r="L29209" s="711"/>
      <c r="Q29209" s="11"/>
      <c r="R29209" s="11"/>
      <c r="S29209" s="11"/>
      <c r="T29209" s="11"/>
    </row>
    <row r="29210" spans="8:20" x14ac:dyDescent="0.35">
      <c r="H29210" s="711"/>
      <c r="I29210" s="711"/>
      <c r="J29210" s="711"/>
      <c r="K29210" s="711"/>
      <c r="L29210" s="711"/>
      <c r="Q29210" s="11"/>
      <c r="R29210" s="11"/>
      <c r="S29210" s="11"/>
      <c r="T29210" s="11"/>
    </row>
    <row r="29211" spans="8:20" x14ac:dyDescent="0.35">
      <c r="H29211" s="711"/>
      <c r="I29211" s="711"/>
      <c r="J29211" s="711"/>
      <c r="K29211" s="711"/>
      <c r="L29211" s="711"/>
      <c r="Q29211" s="11"/>
      <c r="R29211" s="11"/>
      <c r="S29211" s="11"/>
      <c r="T29211" s="11"/>
    </row>
    <row r="29212" spans="8:20" x14ac:dyDescent="0.35">
      <c r="H29212" s="711"/>
      <c r="I29212" s="711"/>
      <c r="J29212" s="711"/>
      <c r="K29212" s="711"/>
      <c r="L29212" s="711"/>
      <c r="Q29212" s="11"/>
      <c r="R29212" s="11"/>
      <c r="S29212" s="11"/>
      <c r="T29212" s="11"/>
    </row>
    <row r="29213" spans="8:20" x14ac:dyDescent="0.35">
      <c r="H29213" s="711"/>
      <c r="I29213" s="711"/>
      <c r="J29213" s="711"/>
      <c r="K29213" s="711"/>
      <c r="L29213" s="711"/>
      <c r="Q29213" s="11"/>
      <c r="R29213" s="11"/>
      <c r="S29213" s="11"/>
      <c r="T29213" s="11"/>
    </row>
    <row r="29214" spans="8:20" x14ac:dyDescent="0.35">
      <c r="H29214" s="711"/>
      <c r="I29214" s="711"/>
      <c r="J29214" s="711"/>
      <c r="K29214" s="711"/>
      <c r="L29214" s="711"/>
      <c r="Q29214" s="11"/>
      <c r="R29214" s="11"/>
      <c r="S29214" s="11"/>
      <c r="T29214" s="11"/>
    </row>
    <row r="29215" spans="8:20" x14ac:dyDescent="0.35">
      <c r="H29215" s="711"/>
      <c r="I29215" s="711"/>
      <c r="J29215" s="711"/>
      <c r="K29215" s="711"/>
      <c r="L29215" s="711"/>
      <c r="Q29215" s="11"/>
      <c r="R29215" s="11"/>
      <c r="S29215" s="11"/>
      <c r="T29215" s="11"/>
    </row>
    <row r="29216" spans="8:20" x14ac:dyDescent="0.35">
      <c r="H29216" s="711"/>
      <c r="I29216" s="711"/>
      <c r="J29216" s="711"/>
      <c r="K29216" s="711"/>
      <c r="L29216" s="711"/>
      <c r="Q29216" s="11"/>
      <c r="R29216" s="11"/>
      <c r="S29216" s="11"/>
      <c r="T29216" s="11"/>
    </row>
    <row r="29217" spans="8:20" x14ac:dyDescent="0.35">
      <c r="H29217" s="711"/>
      <c r="I29217" s="711"/>
      <c r="J29217" s="711"/>
      <c r="K29217" s="711"/>
      <c r="L29217" s="711"/>
      <c r="Q29217" s="11"/>
      <c r="R29217" s="11"/>
      <c r="S29217" s="11"/>
      <c r="T29217" s="11"/>
    </row>
    <row r="29218" spans="8:20" x14ac:dyDescent="0.35">
      <c r="H29218" s="711"/>
      <c r="I29218" s="711"/>
      <c r="J29218" s="711"/>
      <c r="K29218" s="711"/>
      <c r="L29218" s="711"/>
      <c r="Q29218" s="11"/>
      <c r="R29218" s="11"/>
      <c r="S29218" s="11"/>
      <c r="T29218" s="11"/>
    </row>
    <row r="29219" spans="8:20" x14ac:dyDescent="0.35">
      <c r="H29219" s="711"/>
      <c r="I29219" s="711"/>
      <c r="J29219" s="711"/>
      <c r="K29219" s="711"/>
      <c r="L29219" s="711"/>
      <c r="Q29219" s="11"/>
      <c r="R29219" s="11"/>
      <c r="S29219" s="11"/>
      <c r="T29219" s="11"/>
    </row>
    <row r="29220" spans="8:20" x14ac:dyDescent="0.35">
      <c r="H29220" s="711"/>
      <c r="I29220" s="711"/>
      <c r="J29220" s="711"/>
      <c r="K29220" s="711"/>
      <c r="L29220" s="711"/>
      <c r="Q29220" s="11"/>
      <c r="R29220" s="11"/>
      <c r="S29220" s="11"/>
      <c r="T29220" s="11"/>
    </row>
    <row r="29221" spans="8:20" x14ac:dyDescent="0.35">
      <c r="H29221" s="711"/>
      <c r="I29221" s="711"/>
      <c r="J29221" s="711"/>
      <c r="K29221" s="711"/>
      <c r="L29221" s="711"/>
      <c r="Q29221" s="11"/>
      <c r="R29221" s="11"/>
      <c r="S29221" s="11"/>
      <c r="T29221" s="11"/>
    </row>
    <row r="29222" spans="8:20" x14ac:dyDescent="0.35">
      <c r="H29222" s="711"/>
      <c r="I29222" s="711"/>
      <c r="J29222" s="711"/>
      <c r="K29222" s="711"/>
      <c r="L29222" s="711"/>
      <c r="Q29222" s="11"/>
      <c r="R29222" s="11"/>
      <c r="S29222" s="11"/>
      <c r="T29222" s="11"/>
    </row>
    <row r="29223" spans="8:20" x14ac:dyDescent="0.35">
      <c r="H29223" s="711"/>
      <c r="I29223" s="711"/>
      <c r="J29223" s="711"/>
      <c r="K29223" s="711"/>
      <c r="L29223" s="711"/>
      <c r="Q29223" s="11"/>
      <c r="R29223" s="11"/>
      <c r="S29223" s="11"/>
      <c r="T29223" s="11"/>
    </row>
    <row r="29224" spans="8:20" x14ac:dyDescent="0.35">
      <c r="H29224" s="711"/>
      <c r="I29224" s="711"/>
      <c r="J29224" s="711"/>
      <c r="K29224" s="711"/>
      <c r="L29224" s="711"/>
      <c r="Q29224" s="11"/>
      <c r="R29224" s="11"/>
      <c r="S29224" s="11"/>
      <c r="T29224" s="11"/>
    </row>
    <row r="29225" spans="8:20" x14ac:dyDescent="0.35">
      <c r="H29225" s="711"/>
      <c r="I29225" s="711"/>
      <c r="J29225" s="711"/>
      <c r="K29225" s="711"/>
      <c r="L29225" s="711"/>
      <c r="Q29225" s="11"/>
      <c r="R29225" s="11"/>
      <c r="S29225" s="11"/>
      <c r="T29225" s="11"/>
    </row>
    <row r="29226" spans="8:20" x14ac:dyDescent="0.35">
      <c r="H29226" s="711"/>
      <c r="I29226" s="711"/>
      <c r="J29226" s="711"/>
      <c r="K29226" s="711"/>
      <c r="L29226" s="711"/>
      <c r="Q29226" s="11"/>
      <c r="R29226" s="11"/>
      <c r="S29226" s="11"/>
      <c r="T29226" s="11"/>
    </row>
    <row r="29227" spans="8:20" x14ac:dyDescent="0.35">
      <c r="H29227" s="711"/>
      <c r="I29227" s="711"/>
      <c r="J29227" s="711"/>
      <c r="K29227" s="711"/>
      <c r="L29227" s="711"/>
      <c r="Q29227" s="11"/>
      <c r="R29227" s="11"/>
      <c r="S29227" s="11"/>
      <c r="T29227" s="11"/>
    </row>
    <row r="29228" spans="8:20" x14ac:dyDescent="0.35">
      <c r="H29228" s="711"/>
      <c r="I29228" s="711"/>
      <c r="J29228" s="711"/>
      <c r="K29228" s="711"/>
      <c r="L29228" s="711"/>
      <c r="Q29228" s="11"/>
      <c r="R29228" s="11"/>
      <c r="S29228" s="11"/>
      <c r="T29228" s="11"/>
    </row>
    <row r="29229" spans="8:20" x14ac:dyDescent="0.35">
      <c r="H29229" s="711"/>
      <c r="I29229" s="711"/>
      <c r="J29229" s="711"/>
      <c r="K29229" s="711"/>
      <c r="L29229" s="711"/>
      <c r="Q29229" s="11"/>
      <c r="R29229" s="11"/>
      <c r="S29229" s="11"/>
      <c r="T29229" s="11"/>
    </row>
    <row r="29230" spans="8:20" x14ac:dyDescent="0.35">
      <c r="H29230" s="711"/>
      <c r="I29230" s="711"/>
      <c r="J29230" s="711"/>
      <c r="K29230" s="711"/>
      <c r="L29230" s="711"/>
      <c r="Q29230" s="11"/>
      <c r="R29230" s="11"/>
      <c r="S29230" s="11"/>
      <c r="T29230" s="11"/>
    </row>
    <row r="29231" spans="8:20" x14ac:dyDescent="0.35">
      <c r="H29231" s="711"/>
      <c r="I29231" s="711"/>
      <c r="J29231" s="711"/>
      <c r="K29231" s="711"/>
      <c r="L29231" s="711"/>
      <c r="Q29231" s="11"/>
      <c r="R29231" s="11"/>
      <c r="S29231" s="11"/>
      <c r="T29231" s="11"/>
    </row>
    <row r="29232" spans="8:20" x14ac:dyDescent="0.35">
      <c r="H29232" s="711"/>
      <c r="I29232" s="711"/>
      <c r="J29232" s="711"/>
      <c r="K29232" s="711"/>
      <c r="L29232" s="711"/>
      <c r="Q29232" s="11"/>
      <c r="R29232" s="11"/>
      <c r="S29232" s="11"/>
      <c r="T29232" s="11"/>
    </row>
    <row r="29233" spans="8:20" x14ac:dyDescent="0.35">
      <c r="H29233" s="711"/>
      <c r="I29233" s="711"/>
      <c r="J29233" s="711"/>
      <c r="K29233" s="711"/>
      <c r="L29233" s="711"/>
      <c r="Q29233" s="11"/>
      <c r="R29233" s="11"/>
      <c r="S29233" s="11"/>
      <c r="T29233" s="11"/>
    </row>
    <row r="29234" spans="8:20" x14ac:dyDescent="0.35">
      <c r="H29234" s="711"/>
      <c r="I29234" s="711"/>
      <c r="J29234" s="711"/>
      <c r="K29234" s="711"/>
      <c r="L29234" s="711"/>
      <c r="Q29234" s="11"/>
      <c r="R29234" s="11"/>
      <c r="S29234" s="11"/>
      <c r="T29234" s="11"/>
    </row>
    <row r="29235" spans="8:20" x14ac:dyDescent="0.35">
      <c r="H29235" s="711"/>
      <c r="I29235" s="711"/>
      <c r="J29235" s="711"/>
      <c r="K29235" s="711"/>
      <c r="L29235" s="711"/>
      <c r="Q29235" s="11"/>
      <c r="R29235" s="11"/>
      <c r="S29235" s="11"/>
      <c r="T29235" s="11"/>
    </row>
    <row r="29236" spans="8:20" x14ac:dyDescent="0.35">
      <c r="H29236" s="711"/>
      <c r="I29236" s="711"/>
      <c r="J29236" s="711"/>
      <c r="K29236" s="711"/>
      <c r="L29236" s="711"/>
      <c r="Q29236" s="11"/>
      <c r="R29236" s="11"/>
      <c r="S29236" s="11"/>
      <c r="T29236" s="11"/>
    </row>
    <row r="29237" spans="8:20" x14ac:dyDescent="0.35">
      <c r="H29237" s="711"/>
      <c r="I29237" s="711"/>
      <c r="J29237" s="711"/>
      <c r="K29237" s="711"/>
      <c r="L29237" s="711"/>
      <c r="Q29237" s="11"/>
      <c r="R29237" s="11"/>
      <c r="S29237" s="11"/>
      <c r="T29237" s="11"/>
    </row>
    <row r="29238" spans="8:20" x14ac:dyDescent="0.35">
      <c r="H29238" s="711"/>
      <c r="I29238" s="711"/>
      <c r="J29238" s="711"/>
      <c r="K29238" s="711"/>
      <c r="L29238" s="711"/>
      <c r="Q29238" s="11"/>
      <c r="R29238" s="11"/>
      <c r="S29238" s="11"/>
      <c r="T29238" s="11"/>
    </row>
    <row r="29239" spans="8:20" x14ac:dyDescent="0.35">
      <c r="H29239" s="711"/>
      <c r="I29239" s="711"/>
      <c r="J29239" s="711"/>
      <c r="K29239" s="711"/>
      <c r="L29239" s="711"/>
      <c r="Q29239" s="11"/>
      <c r="R29239" s="11"/>
      <c r="S29239" s="11"/>
      <c r="T29239" s="11"/>
    </row>
    <row r="29240" spans="8:20" x14ac:dyDescent="0.35">
      <c r="H29240" s="711"/>
      <c r="I29240" s="711"/>
      <c r="J29240" s="711"/>
      <c r="K29240" s="711"/>
      <c r="L29240" s="711"/>
      <c r="Q29240" s="11"/>
      <c r="R29240" s="11"/>
      <c r="S29240" s="11"/>
      <c r="T29240" s="11"/>
    </row>
    <row r="29241" spans="8:20" x14ac:dyDescent="0.35">
      <c r="H29241" s="711"/>
      <c r="I29241" s="711"/>
      <c r="J29241" s="711"/>
      <c r="K29241" s="711"/>
      <c r="L29241" s="711"/>
      <c r="Q29241" s="11"/>
      <c r="R29241" s="11"/>
      <c r="S29241" s="11"/>
      <c r="T29241" s="11"/>
    </row>
    <row r="29242" spans="8:20" x14ac:dyDescent="0.35">
      <c r="H29242" s="711"/>
      <c r="I29242" s="711"/>
      <c r="J29242" s="711"/>
      <c r="K29242" s="711"/>
      <c r="L29242" s="711"/>
      <c r="Q29242" s="11"/>
      <c r="R29242" s="11"/>
      <c r="S29242" s="11"/>
      <c r="T29242" s="11"/>
    </row>
    <row r="29243" spans="8:20" x14ac:dyDescent="0.35">
      <c r="H29243" s="711"/>
      <c r="I29243" s="711"/>
      <c r="J29243" s="711"/>
      <c r="K29243" s="711"/>
      <c r="L29243" s="711"/>
      <c r="Q29243" s="11"/>
      <c r="R29243" s="11"/>
      <c r="S29243" s="11"/>
      <c r="T29243" s="11"/>
    </row>
    <row r="29244" spans="8:20" x14ac:dyDescent="0.35">
      <c r="H29244" s="711"/>
      <c r="I29244" s="711"/>
      <c r="J29244" s="711"/>
      <c r="K29244" s="711"/>
      <c r="L29244" s="711"/>
      <c r="Q29244" s="11"/>
      <c r="R29244" s="11"/>
      <c r="S29244" s="11"/>
      <c r="T29244" s="11"/>
    </row>
    <row r="29245" spans="8:20" x14ac:dyDescent="0.35">
      <c r="H29245" s="711"/>
      <c r="I29245" s="711"/>
      <c r="J29245" s="711"/>
      <c r="K29245" s="711"/>
      <c r="L29245" s="711"/>
      <c r="Q29245" s="11"/>
      <c r="R29245" s="11"/>
      <c r="S29245" s="11"/>
      <c r="T29245" s="11"/>
    </row>
    <row r="29246" spans="8:20" x14ac:dyDescent="0.35">
      <c r="H29246" s="711"/>
      <c r="I29246" s="711"/>
      <c r="J29246" s="711"/>
      <c r="K29246" s="711"/>
      <c r="L29246" s="711"/>
      <c r="Q29246" s="11"/>
      <c r="R29246" s="11"/>
      <c r="S29246" s="11"/>
      <c r="T29246" s="11"/>
    </row>
    <row r="29247" spans="8:20" x14ac:dyDescent="0.35">
      <c r="H29247" s="711"/>
      <c r="I29247" s="711"/>
      <c r="J29247" s="711"/>
      <c r="K29247" s="711"/>
      <c r="L29247" s="711"/>
      <c r="Q29247" s="11"/>
      <c r="R29247" s="11"/>
      <c r="S29247" s="11"/>
      <c r="T29247" s="11"/>
    </row>
    <row r="29248" spans="8:20" x14ac:dyDescent="0.35">
      <c r="H29248" s="711"/>
      <c r="I29248" s="711"/>
      <c r="J29248" s="711"/>
      <c r="K29248" s="711"/>
      <c r="L29248" s="711"/>
      <c r="Q29248" s="11"/>
      <c r="R29248" s="11"/>
      <c r="S29248" s="11"/>
      <c r="T29248" s="11"/>
    </row>
    <row r="29249" spans="8:20" x14ac:dyDescent="0.35">
      <c r="H29249" s="711"/>
      <c r="I29249" s="711"/>
      <c r="J29249" s="711"/>
      <c r="K29249" s="711"/>
      <c r="L29249" s="711"/>
      <c r="Q29249" s="11"/>
      <c r="R29249" s="11"/>
      <c r="S29249" s="11"/>
      <c r="T29249" s="11"/>
    </row>
    <row r="29250" spans="8:20" x14ac:dyDescent="0.35">
      <c r="H29250" s="711"/>
      <c r="I29250" s="711"/>
      <c r="J29250" s="711"/>
      <c r="K29250" s="711"/>
      <c r="L29250" s="711"/>
      <c r="Q29250" s="11"/>
      <c r="R29250" s="11"/>
      <c r="S29250" s="11"/>
      <c r="T29250" s="11"/>
    </row>
    <row r="29251" spans="8:20" x14ac:dyDescent="0.35">
      <c r="H29251" s="711"/>
      <c r="I29251" s="711"/>
      <c r="J29251" s="711"/>
      <c r="K29251" s="711"/>
      <c r="L29251" s="711"/>
      <c r="Q29251" s="11"/>
      <c r="R29251" s="11"/>
      <c r="S29251" s="11"/>
      <c r="T29251" s="11"/>
    </row>
    <row r="29252" spans="8:20" x14ac:dyDescent="0.35">
      <c r="H29252" s="711"/>
      <c r="I29252" s="711"/>
      <c r="J29252" s="711"/>
      <c r="K29252" s="711"/>
      <c r="L29252" s="711"/>
      <c r="Q29252" s="11"/>
      <c r="R29252" s="11"/>
      <c r="S29252" s="11"/>
      <c r="T29252" s="11"/>
    </row>
    <row r="29253" spans="8:20" x14ac:dyDescent="0.35">
      <c r="H29253" s="711"/>
      <c r="I29253" s="711"/>
      <c r="J29253" s="711"/>
      <c r="K29253" s="711"/>
      <c r="L29253" s="711"/>
      <c r="Q29253" s="11"/>
      <c r="R29253" s="11"/>
      <c r="S29253" s="11"/>
      <c r="T29253" s="11"/>
    </row>
    <row r="29254" spans="8:20" x14ac:dyDescent="0.35">
      <c r="H29254" s="711"/>
      <c r="I29254" s="711"/>
      <c r="J29254" s="711"/>
      <c r="K29254" s="711"/>
      <c r="L29254" s="711"/>
      <c r="Q29254" s="11"/>
      <c r="R29254" s="11"/>
      <c r="S29254" s="11"/>
      <c r="T29254" s="11"/>
    </row>
    <row r="29255" spans="8:20" x14ac:dyDescent="0.35">
      <c r="H29255" s="711"/>
      <c r="I29255" s="711"/>
      <c r="J29255" s="711"/>
      <c r="K29255" s="711"/>
      <c r="L29255" s="711"/>
      <c r="Q29255" s="11"/>
      <c r="R29255" s="11"/>
      <c r="S29255" s="11"/>
      <c r="T29255" s="11"/>
    </row>
    <row r="29256" spans="8:20" x14ac:dyDescent="0.35">
      <c r="H29256" s="711"/>
      <c r="I29256" s="711"/>
      <c r="J29256" s="711"/>
      <c r="K29256" s="711"/>
      <c r="L29256" s="711"/>
      <c r="Q29256" s="11"/>
      <c r="R29256" s="11"/>
      <c r="S29256" s="11"/>
      <c r="T29256" s="11"/>
    </row>
    <row r="29257" spans="8:20" x14ac:dyDescent="0.35">
      <c r="H29257" s="711"/>
      <c r="I29257" s="711"/>
      <c r="J29257" s="711"/>
      <c r="K29257" s="711"/>
      <c r="L29257" s="711"/>
      <c r="Q29257" s="11"/>
      <c r="R29257" s="11"/>
      <c r="S29257" s="11"/>
      <c r="T29257" s="11"/>
    </row>
    <row r="29258" spans="8:20" x14ac:dyDescent="0.35">
      <c r="H29258" s="711"/>
      <c r="I29258" s="711"/>
      <c r="J29258" s="711"/>
      <c r="K29258" s="711"/>
      <c r="L29258" s="711"/>
      <c r="Q29258" s="11"/>
      <c r="R29258" s="11"/>
      <c r="S29258" s="11"/>
      <c r="T29258" s="11"/>
    </row>
    <row r="29259" spans="8:20" x14ac:dyDescent="0.35">
      <c r="H29259" s="711"/>
      <c r="I29259" s="711"/>
      <c r="J29259" s="711"/>
      <c r="K29259" s="711"/>
      <c r="L29259" s="711"/>
      <c r="Q29259" s="11"/>
      <c r="R29259" s="11"/>
      <c r="S29259" s="11"/>
      <c r="T29259" s="11"/>
    </row>
    <row r="29260" spans="8:20" x14ac:dyDescent="0.35">
      <c r="H29260" s="711"/>
      <c r="I29260" s="711"/>
      <c r="J29260" s="711"/>
      <c r="K29260" s="711"/>
      <c r="L29260" s="711"/>
      <c r="Q29260" s="11"/>
      <c r="R29260" s="11"/>
      <c r="S29260" s="11"/>
      <c r="T29260" s="11"/>
    </row>
    <row r="29261" spans="8:20" x14ac:dyDescent="0.35">
      <c r="H29261" s="711"/>
      <c r="I29261" s="711"/>
      <c r="J29261" s="711"/>
      <c r="K29261" s="711"/>
      <c r="L29261" s="711"/>
      <c r="Q29261" s="11"/>
      <c r="R29261" s="11"/>
      <c r="S29261" s="11"/>
      <c r="T29261" s="11"/>
    </row>
    <row r="29262" spans="8:20" x14ac:dyDescent="0.35">
      <c r="H29262" s="711"/>
      <c r="I29262" s="711"/>
      <c r="J29262" s="711"/>
      <c r="K29262" s="711"/>
      <c r="L29262" s="711"/>
      <c r="Q29262" s="11"/>
      <c r="R29262" s="11"/>
      <c r="S29262" s="11"/>
      <c r="T29262" s="11"/>
    </row>
    <row r="29263" spans="8:20" x14ac:dyDescent="0.35">
      <c r="H29263" s="711"/>
      <c r="I29263" s="711"/>
      <c r="J29263" s="711"/>
      <c r="K29263" s="711"/>
      <c r="L29263" s="711"/>
      <c r="Q29263" s="11"/>
      <c r="R29263" s="11"/>
      <c r="S29263" s="11"/>
      <c r="T29263" s="11"/>
    </row>
    <row r="29264" spans="8:20" x14ac:dyDescent="0.35">
      <c r="H29264" s="711"/>
      <c r="I29264" s="711"/>
      <c r="J29264" s="711"/>
      <c r="K29264" s="711"/>
      <c r="L29264" s="711"/>
      <c r="Q29264" s="11"/>
      <c r="R29264" s="11"/>
      <c r="S29264" s="11"/>
      <c r="T29264" s="11"/>
    </row>
    <row r="29265" spans="8:20" x14ac:dyDescent="0.35">
      <c r="H29265" s="711"/>
      <c r="I29265" s="711"/>
      <c r="J29265" s="711"/>
      <c r="K29265" s="711"/>
      <c r="L29265" s="711"/>
      <c r="Q29265" s="11"/>
      <c r="R29265" s="11"/>
      <c r="S29265" s="11"/>
      <c r="T29265" s="11"/>
    </row>
    <row r="29266" spans="8:20" x14ac:dyDescent="0.35">
      <c r="H29266" s="711"/>
      <c r="I29266" s="711"/>
      <c r="J29266" s="711"/>
      <c r="K29266" s="711"/>
      <c r="L29266" s="711"/>
      <c r="Q29266" s="11"/>
      <c r="R29266" s="11"/>
      <c r="S29266" s="11"/>
      <c r="T29266" s="11"/>
    </row>
    <row r="29267" spans="8:20" x14ac:dyDescent="0.35">
      <c r="H29267" s="711"/>
      <c r="I29267" s="711"/>
      <c r="J29267" s="711"/>
      <c r="K29267" s="711"/>
      <c r="L29267" s="711"/>
      <c r="Q29267" s="11"/>
      <c r="R29267" s="11"/>
      <c r="S29267" s="11"/>
      <c r="T29267" s="11"/>
    </row>
    <row r="29268" spans="8:20" x14ac:dyDescent="0.35">
      <c r="H29268" s="711"/>
      <c r="I29268" s="711"/>
      <c r="J29268" s="711"/>
      <c r="K29268" s="711"/>
      <c r="L29268" s="711"/>
      <c r="Q29268" s="11"/>
      <c r="R29268" s="11"/>
      <c r="S29268" s="11"/>
      <c r="T29268" s="11"/>
    </row>
    <row r="29269" spans="8:20" x14ac:dyDescent="0.35">
      <c r="H29269" s="711"/>
      <c r="I29269" s="711"/>
      <c r="J29269" s="711"/>
      <c r="K29269" s="711"/>
      <c r="L29269" s="711"/>
      <c r="Q29269" s="11"/>
      <c r="R29269" s="11"/>
      <c r="S29269" s="11"/>
      <c r="T29269" s="11"/>
    </row>
    <row r="29270" spans="8:20" x14ac:dyDescent="0.35">
      <c r="H29270" s="711"/>
      <c r="I29270" s="711"/>
      <c r="J29270" s="711"/>
      <c r="K29270" s="711"/>
      <c r="L29270" s="711"/>
      <c r="Q29270" s="11"/>
      <c r="R29270" s="11"/>
      <c r="S29270" s="11"/>
      <c r="T29270" s="11"/>
    </row>
    <row r="29271" spans="8:20" x14ac:dyDescent="0.35">
      <c r="H29271" s="711"/>
      <c r="I29271" s="711"/>
      <c r="J29271" s="711"/>
      <c r="K29271" s="711"/>
      <c r="L29271" s="711"/>
      <c r="Q29271" s="11"/>
      <c r="R29271" s="11"/>
      <c r="S29271" s="11"/>
      <c r="T29271" s="11"/>
    </row>
    <row r="29272" spans="8:20" x14ac:dyDescent="0.35">
      <c r="H29272" s="711"/>
      <c r="I29272" s="711"/>
      <c r="J29272" s="711"/>
      <c r="K29272" s="711"/>
      <c r="L29272" s="711"/>
      <c r="Q29272" s="11"/>
      <c r="R29272" s="11"/>
      <c r="S29272" s="11"/>
      <c r="T29272" s="11"/>
    </row>
    <row r="29273" spans="8:20" x14ac:dyDescent="0.35">
      <c r="H29273" s="711"/>
      <c r="I29273" s="711"/>
      <c r="J29273" s="711"/>
      <c r="K29273" s="711"/>
      <c r="L29273" s="711"/>
      <c r="Q29273" s="11"/>
      <c r="R29273" s="11"/>
      <c r="S29273" s="11"/>
      <c r="T29273" s="11"/>
    </row>
    <row r="29274" spans="8:20" x14ac:dyDescent="0.35">
      <c r="H29274" s="711"/>
      <c r="I29274" s="711"/>
      <c r="J29274" s="711"/>
      <c r="K29274" s="711"/>
      <c r="L29274" s="711"/>
      <c r="Q29274" s="11"/>
      <c r="R29274" s="11"/>
      <c r="S29274" s="11"/>
      <c r="T29274" s="11"/>
    </row>
    <row r="29275" spans="8:20" x14ac:dyDescent="0.35">
      <c r="H29275" s="711"/>
      <c r="I29275" s="711"/>
      <c r="J29275" s="711"/>
      <c r="K29275" s="711"/>
      <c r="L29275" s="711"/>
      <c r="Q29275" s="11"/>
      <c r="R29275" s="11"/>
      <c r="S29275" s="11"/>
      <c r="T29275" s="11"/>
    </row>
    <row r="29276" spans="8:20" x14ac:dyDescent="0.35">
      <c r="H29276" s="711"/>
      <c r="I29276" s="711"/>
      <c r="J29276" s="711"/>
      <c r="K29276" s="711"/>
      <c r="L29276" s="711"/>
      <c r="Q29276" s="11"/>
      <c r="R29276" s="11"/>
      <c r="S29276" s="11"/>
      <c r="T29276" s="11"/>
    </row>
    <row r="29277" spans="8:20" x14ac:dyDescent="0.35">
      <c r="H29277" s="711"/>
      <c r="I29277" s="711"/>
      <c r="J29277" s="711"/>
      <c r="K29277" s="711"/>
      <c r="L29277" s="711"/>
      <c r="Q29277" s="11"/>
      <c r="R29277" s="11"/>
      <c r="S29277" s="11"/>
      <c r="T29277" s="11"/>
    </row>
    <row r="29278" spans="8:20" x14ac:dyDescent="0.35">
      <c r="H29278" s="711"/>
      <c r="I29278" s="711"/>
      <c r="J29278" s="711"/>
      <c r="K29278" s="711"/>
      <c r="L29278" s="711"/>
      <c r="Q29278" s="11"/>
      <c r="R29278" s="11"/>
      <c r="S29278" s="11"/>
      <c r="T29278" s="11"/>
    </row>
    <row r="29279" spans="8:20" x14ac:dyDescent="0.35">
      <c r="H29279" s="711"/>
      <c r="I29279" s="711"/>
      <c r="J29279" s="711"/>
      <c r="K29279" s="711"/>
      <c r="L29279" s="711"/>
      <c r="Q29279" s="11"/>
      <c r="R29279" s="11"/>
      <c r="S29279" s="11"/>
      <c r="T29279" s="11"/>
    </row>
    <row r="29280" spans="8:20" x14ac:dyDescent="0.35">
      <c r="H29280" s="711"/>
      <c r="I29280" s="711"/>
      <c r="J29280" s="711"/>
      <c r="K29280" s="711"/>
      <c r="L29280" s="711"/>
      <c r="Q29280" s="11"/>
      <c r="R29280" s="11"/>
      <c r="S29280" s="11"/>
      <c r="T29280" s="11"/>
    </row>
    <row r="29281" spans="8:20" x14ac:dyDescent="0.35">
      <c r="H29281" s="711"/>
      <c r="I29281" s="711"/>
      <c r="J29281" s="711"/>
      <c r="K29281" s="711"/>
      <c r="L29281" s="711"/>
      <c r="Q29281" s="11"/>
      <c r="R29281" s="11"/>
      <c r="S29281" s="11"/>
      <c r="T29281" s="11"/>
    </row>
    <row r="29282" spans="8:20" x14ac:dyDescent="0.35">
      <c r="H29282" s="711"/>
      <c r="I29282" s="711"/>
      <c r="J29282" s="711"/>
      <c r="K29282" s="711"/>
      <c r="L29282" s="711"/>
      <c r="Q29282" s="11"/>
      <c r="R29282" s="11"/>
      <c r="S29282" s="11"/>
      <c r="T29282" s="11"/>
    </row>
    <row r="29283" spans="8:20" x14ac:dyDescent="0.35">
      <c r="H29283" s="711"/>
      <c r="I29283" s="711"/>
      <c r="J29283" s="711"/>
      <c r="K29283" s="711"/>
      <c r="L29283" s="711"/>
      <c r="Q29283" s="11"/>
      <c r="R29283" s="11"/>
      <c r="S29283" s="11"/>
      <c r="T29283" s="11"/>
    </row>
    <row r="29284" spans="8:20" x14ac:dyDescent="0.35">
      <c r="H29284" s="711"/>
      <c r="I29284" s="711"/>
      <c r="J29284" s="711"/>
      <c r="K29284" s="711"/>
      <c r="L29284" s="711"/>
      <c r="Q29284" s="11"/>
      <c r="R29284" s="11"/>
      <c r="S29284" s="11"/>
      <c r="T29284" s="11"/>
    </row>
    <row r="29285" spans="8:20" x14ac:dyDescent="0.35">
      <c r="H29285" s="711"/>
      <c r="I29285" s="711"/>
      <c r="J29285" s="711"/>
      <c r="K29285" s="711"/>
      <c r="L29285" s="711"/>
      <c r="Q29285" s="11"/>
      <c r="R29285" s="11"/>
      <c r="S29285" s="11"/>
      <c r="T29285" s="11"/>
    </row>
    <row r="29286" spans="8:20" x14ac:dyDescent="0.35">
      <c r="H29286" s="711"/>
      <c r="I29286" s="711"/>
      <c r="J29286" s="711"/>
      <c r="K29286" s="711"/>
      <c r="L29286" s="711"/>
      <c r="Q29286" s="11"/>
      <c r="R29286" s="11"/>
      <c r="S29286" s="11"/>
      <c r="T29286" s="11"/>
    </row>
    <row r="29287" spans="8:20" x14ac:dyDescent="0.35">
      <c r="H29287" s="711"/>
      <c r="I29287" s="711"/>
      <c r="J29287" s="711"/>
      <c r="K29287" s="711"/>
      <c r="L29287" s="711"/>
      <c r="Q29287" s="11"/>
      <c r="R29287" s="11"/>
      <c r="S29287" s="11"/>
      <c r="T29287" s="11"/>
    </row>
    <row r="29288" spans="8:20" x14ac:dyDescent="0.35">
      <c r="H29288" s="711"/>
      <c r="I29288" s="711"/>
      <c r="J29288" s="711"/>
      <c r="K29288" s="711"/>
      <c r="L29288" s="711"/>
      <c r="Q29288" s="11"/>
      <c r="R29288" s="11"/>
      <c r="S29288" s="11"/>
      <c r="T29288" s="11"/>
    </row>
    <row r="29289" spans="8:20" x14ac:dyDescent="0.35">
      <c r="H29289" s="711"/>
      <c r="I29289" s="711"/>
      <c r="J29289" s="711"/>
      <c r="K29289" s="711"/>
      <c r="L29289" s="711"/>
      <c r="Q29289" s="11"/>
      <c r="R29289" s="11"/>
      <c r="S29289" s="11"/>
      <c r="T29289" s="11"/>
    </row>
    <row r="29290" spans="8:20" x14ac:dyDescent="0.35">
      <c r="H29290" s="711"/>
      <c r="I29290" s="711"/>
      <c r="J29290" s="711"/>
      <c r="K29290" s="711"/>
      <c r="L29290" s="711"/>
      <c r="Q29290" s="11"/>
      <c r="R29290" s="11"/>
      <c r="S29290" s="11"/>
      <c r="T29290" s="11"/>
    </row>
    <row r="29291" spans="8:20" x14ac:dyDescent="0.35">
      <c r="H29291" s="711"/>
      <c r="I29291" s="711"/>
      <c r="J29291" s="711"/>
      <c r="K29291" s="711"/>
      <c r="L29291" s="711"/>
      <c r="Q29291" s="11"/>
      <c r="R29291" s="11"/>
      <c r="S29291" s="11"/>
      <c r="T29291" s="11"/>
    </row>
    <row r="29292" spans="8:20" x14ac:dyDescent="0.35">
      <c r="H29292" s="711"/>
      <c r="I29292" s="711"/>
      <c r="J29292" s="711"/>
      <c r="K29292" s="711"/>
      <c r="L29292" s="711"/>
      <c r="Q29292" s="11"/>
      <c r="R29292" s="11"/>
      <c r="S29292" s="11"/>
      <c r="T29292" s="11"/>
    </row>
    <row r="29293" spans="8:20" x14ac:dyDescent="0.35">
      <c r="H29293" s="711"/>
      <c r="I29293" s="711"/>
      <c r="J29293" s="711"/>
      <c r="K29293" s="711"/>
      <c r="L29293" s="711"/>
      <c r="Q29293" s="11"/>
      <c r="R29293" s="11"/>
      <c r="S29293" s="11"/>
      <c r="T29293" s="11"/>
    </row>
    <row r="29294" spans="8:20" x14ac:dyDescent="0.35">
      <c r="H29294" s="711"/>
      <c r="I29294" s="711"/>
      <c r="J29294" s="711"/>
      <c r="K29294" s="711"/>
      <c r="L29294" s="711"/>
      <c r="Q29294" s="11"/>
      <c r="R29294" s="11"/>
      <c r="S29294" s="11"/>
      <c r="T29294" s="11"/>
    </row>
    <row r="29295" spans="8:20" x14ac:dyDescent="0.35">
      <c r="H29295" s="711"/>
      <c r="I29295" s="711"/>
      <c r="J29295" s="711"/>
      <c r="K29295" s="711"/>
      <c r="L29295" s="711"/>
      <c r="Q29295" s="11"/>
      <c r="R29295" s="11"/>
      <c r="S29295" s="11"/>
      <c r="T29295" s="11"/>
    </row>
    <row r="29296" spans="8:20" x14ac:dyDescent="0.35">
      <c r="H29296" s="711"/>
      <c r="I29296" s="711"/>
      <c r="J29296" s="711"/>
      <c r="K29296" s="711"/>
      <c r="L29296" s="711"/>
      <c r="Q29296" s="11"/>
      <c r="R29296" s="11"/>
      <c r="S29296" s="11"/>
      <c r="T29296" s="11"/>
    </row>
    <row r="29297" spans="8:20" x14ac:dyDescent="0.35">
      <c r="H29297" s="711"/>
      <c r="I29297" s="711"/>
      <c r="J29297" s="711"/>
      <c r="K29297" s="711"/>
      <c r="L29297" s="711"/>
      <c r="Q29297" s="11"/>
      <c r="R29297" s="11"/>
      <c r="S29297" s="11"/>
      <c r="T29297" s="11"/>
    </row>
    <row r="29298" spans="8:20" x14ac:dyDescent="0.35">
      <c r="H29298" s="711"/>
      <c r="I29298" s="711"/>
      <c r="J29298" s="711"/>
      <c r="K29298" s="711"/>
      <c r="L29298" s="711"/>
      <c r="Q29298" s="11"/>
      <c r="R29298" s="11"/>
      <c r="S29298" s="11"/>
      <c r="T29298" s="11"/>
    </row>
    <row r="29299" spans="8:20" x14ac:dyDescent="0.35">
      <c r="H29299" s="711"/>
      <c r="I29299" s="711"/>
      <c r="J29299" s="711"/>
      <c r="K29299" s="711"/>
      <c r="L29299" s="711"/>
      <c r="Q29299" s="11"/>
      <c r="R29299" s="11"/>
      <c r="S29299" s="11"/>
      <c r="T29299" s="11"/>
    </row>
    <row r="29300" spans="8:20" x14ac:dyDescent="0.35">
      <c r="H29300" s="711"/>
      <c r="I29300" s="711"/>
      <c r="J29300" s="711"/>
      <c r="K29300" s="711"/>
      <c r="L29300" s="711"/>
      <c r="Q29300" s="11"/>
      <c r="R29300" s="11"/>
      <c r="S29300" s="11"/>
      <c r="T29300" s="11"/>
    </row>
    <row r="29301" spans="8:20" x14ac:dyDescent="0.35">
      <c r="H29301" s="711"/>
      <c r="I29301" s="711"/>
      <c r="J29301" s="711"/>
      <c r="K29301" s="711"/>
      <c r="L29301" s="711"/>
      <c r="Q29301" s="11"/>
      <c r="R29301" s="11"/>
      <c r="S29301" s="11"/>
      <c r="T29301" s="11"/>
    </row>
    <row r="29302" spans="8:20" x14ac:dyDescent="0.35">
      <c r="H29302" s="711"/>
      <c r="I29302" s="711"/>
      <c r="J29302" s="711"/>
      <c r="K29302" s="711"/>
      <c r="L29302" s="711"/>
      <c r="Q29302" s="11"/>
      <c r="R29302" s="11"/>
      <c r="S29302" s="11"/>
      <c r="T29302" s="11"/>
    </row>
    <row r="29303" spans="8:20" x14ac:dyDescent="0.35">
      <c r="H29303" s="711"/>
      <c r="I29303" s="711"/>
      <c r="J29303" s="711"/>
      <c r="K29303" s="711"/>
      <c r="L29303" s="711"/>
      <c r="Q29303" s="11"/>
      <c r="R29303" s="11"/>
      <c r="S29303" s="11"/>
      <c r="T29303" s="11"/>
    </row>
    <row r="29304" spans="8:20" x14ac:dyDescent="0.35">
      <c r="H29304" s="711"/>
      <c r="I29304" s="711"/>
      <c r="J29304" s="711"/>
      <c r="K29304" s="711"/>
      <c r="L29304" s="711"/>
      <c r="Q29304" s="11"/>
      <c r="R29304" s="11"/>
      <c r="S29304" s="11"/>
      <c r="T29304" s="11"/>
    </row>
    <row r="29305" spans="8:20" x14ac:dyDescent="0.35">
      <c r="H29305" s="711"/>
      <c r="I29305" s="711"/>
      <c r="J29305" s="711"/>
      <c r="K29305" s="711"/>
      <c r="L29305" s="711"/>
      <c r="Q29305" s="11"/>
      <c r="R29305" s="11"/>
      <c r="S29305" s="11"/>
      <c r="T29305" s="11"/>
    </row>
    <row r="29306" spans="8:20" x14ac:dyDescent="0.35">
      <c r="H29306" s="711"/>
      <c r="I29306" s="711"/>
      <c r="J29306" s="711"/>
      <c r="K29306" s="711"/>
      <c r="L29306" s="711"/>
      <c r="Q29306" s="11"/>
      <c r="R29306" s="11"/>
      <c r="S29306" s="11"/>
      <c r="T29306" s="11"/>
    </row>
    <row r="29307" spans="8:20" x14ac:dyDescent="0.35">
      <c r="H29307" s="711"/>
      <c r="I29307" s="711"/>
      <c r="J29307" s="711"/>
      <c r="K29307" s="711"/>
      <c r="L29307" s="711"/>
      <c r="Q29307" s="11"/>
      <c r="R29307" s="11"/>
      <c r="S29307" s="11"/>
      <c r="T29307" s="11"/>
    </row>
    <row r="29308" spans="8:20" x14ac:dyDescent="0.35">
      <c r="H29308" s="711"/>
      <c r="I29308" s="711"/>
      <c r="J29308" s="711"/>
      <c r="K29308" s="711"/>
      <c r="L29308" s="711"/>
      <c r="Q29308" s="11"/>
      <c r="R29308" s="11"/>
      <c r="S29308" s="11"/>
      <c r="T29308" s="11"/>
    </row>
    <row r="29309" spans="8:20" x14ac:dyDescent="0.35">
      <c r="H29309" s="711"/>
      <c r="I29309" s="711"/>
      <c r="J29309" s="711"/>
      <c r="K29309" s="711"/>
      <c r="L29309" s="711"/>
      <c r="Q29309" s="11"/>
      <c r="R29309" s="11"/>
      <c r="S29309" s="11"/>
      <c r="T29309" s="11"/>
    </row>
    <row r="29310" spans="8:20" x14ac:dyDescent="0.35">
      <c r="H29310" s="711"/>
      <c r="I29310" s="711"/>
      <c r="J29310" s="711"/>
      <c r="K29310" s="711"/>
      <c r="L29310" s="711"/>
      <c r="Q29310" s="11"/>
      <c r="R29310" s="11"/>
      <c r="S29310" s="11"/>
      <c r="T29310" s="11"/>
    </row>
    <row r="29311" spans="8:20" x14ac:dyDescent="0.35">
      <c r="H29311" s="711"/>
      <c r="I29311" s="711"/>
      <c r="J29311" s="711"/>
      <c r="K29311" s="711"/>
      <c r="L29311" s="711"/>
      <c r="Q29311" s="11"/>
      <c r="R29311" s="11"/>
      <c r="S29311" s="11"/>
      <c r="T29311" s="11"/>
    </row>
    <row r="29312" spans="8:20" x14ac:dyDescent="0.35">
      <c r="H29312" s="711"/>
      <c r="I29312" s="711"/>
      <c r="J29312" s="711"/>
      <c r="K29312" s="711"/>
      <c r="L29312" s="711"/>
      <c r="Q29312" s="11"/>
      <c r="R29312" s="11"/>
      <c r="S29312" s="11"/>
      <c r="T29312" s="11"/>
    </row>
    <row r="29313" spans="8:20" x14ac:dyDescent="0.35">
      <c r="H29313" s="711"/>
      <c r="I29313" s="711"/>
      <c r="J29313" s="711"/>
      <c r="K29313" s="711"/>
      <c r="L29313" s="711"/>
      <c r="Q29313" s="11"/>
      <c r="R29313" s="11"/>
      <c r="S29313" s="11"/>
      <c r="T29313" s="11"/>
    </row>
    <row r="29314" spans="8:20" x14ac:dyDescent="0.35">
      <c r="H29314" s="711"/>
      <c r="I29314" s="711"/>
      <c r="J29314" s="711"/>
      <c r="K29314" s="711"/>
      <c r="L29314" s="711"/>
      <c r="Q29314" s="11"/>
      <c r="R29314" s="11"/>
      <c r="S29314" s="11"/>
      <c r="T29314" s="11"/>
    </row>
    <row r="29315" spans="8:20" x14ac:dyDescent="0.35">
      <c r="H29315" s="711"/>
      <c r="I29315" s="711"/>
      <c r="J29315" s="711"/>
      <c r="K29315" s="711"/>
      <c r="L29315" s="711"/>
      <c r="Q29315" s="11"/>
      <c r="R29315" s="11"/>
      <c r="S29315" s="11"/>
      <c r="T29315" s="11"/>
    </row>
    <row r="29316" spans="8:20" x14ac:dyDescent="0.35">
      <c r="H29316" s="711"/>
      <c r="I29316" s="711"/>
      <c r="J29316" s="711"/>
      <c r="K29316" s="711"/>
      <c r="L29316" s="711"/>
      <c r="Q29316" s="11"/>
      <c r="R29316" s="11"/>
      <c r="S29316" s="11"/>
      <c r="T29316" s="11"/>
    </row>
    <row r="29317" spans="8:20" x14ac:dyDescent="0.35">
      <c r="H29317" s="711"/>
      <c r="I29317" s="711"/>
      <c r="J29317" s="711"/>
      <c r="K29317" s="711"/>
      <c r="L29317" s="711"/>
      <c r="Q29317" s="11"/>
      <c r="R29317" s="11"/>
      <c r="S29317" s="11"/>
      <c r="T29317" s="11"/>
    </row>
    <row r="29318" spans="8:20" x14ac:dyDescent="0.35">
      <c r="H29318" s="711"/>
      <c r="I29318" s="711"/>
      <c r="J29318" s="711"/>
      <c r="K29318" s="711"/>
      <c r="L29318" s="711"/>
      <c r="Q29318" s="11"/>
      <c r="R29318" s="11"/>
      <c r="S29318" s="11"/>
      <c r="T29318" s="11"/>
    </row>
    <row r="29319" spans="8:20" x14ac:dyDescent="0.35">
      <c r="H29319" s="711"/>
      <c r="I29319" s="711"/>
      <c r="J29319" s="711"/>
      <c r="K29319" s="711"/>
      <c r="L29319" s="711"/>
      <c r="Q29319" s="11"/>
      <c r="R29319" s="11"/>
      <c r="S29319" s="11"/>
      <c r="T29319" s="11"/>
    </row>
    <row r="29320" spans="8:20" x14ac:dyDescent="0.35">
      <c r="H29320" s="711"/>
      <c r="I29320" s="711"/>
      <c r="J29320" s="711"/>
      <c r="K29320" s="711"/>
      <c r="L29320" s="711"/>
      <c r="Q29320" s="11"/>
      <c r="R29320" s="11"/>
      <c r="S29320" s="11"/>
      <c r="T29320" s="11"/>
    </row>
    <row r="29321" spans="8:20" x14ac:dyDescent="0.35">
      <c r="H29321" s="711"/>
      <c r="I29321" s="711"/>
      <c r="J29321" s="711"/>
      <c r="K29321" s="711"/>
      <c r="L29321" s="711"/>
      <c r="Q29321" s="11"/>
      <c r="R29321" s="11"/>
      <c r="S29321" s="11"/>
      <c r="T29321" s="11"/>
    </row>
    <row r="29322" spans="8:20" x14ac:dyDescent="0.35">
      <c r="H29322" s="711"/>
      <c r="I29322" s="711"/>
      <c r="J29322" s="711"/>
      <c r="K29322" s="711"/>
      <c r="L29322" s="711"/>
      <c r="Q29322" s="11"/>
      <c r="R29322" s="11"/>
      <c r="S29322" s="11"/>
      <c r="T29322" s="11"/>
    </row>
    <row r="29323" spans="8:20" x14ac:dyDescent="0.35">
      <c r="H29323" s="711"/>
      <c r="I29323" s="711"/>
      <c r="J29323" s="711"/>
      <c r="K29323" s="711"/>
      <c r="L29323" s="711"/>
      <c r="Q29323" s="11"/>
      <c r="R29323" s="11"/>
      <c r="S29323" s="11"/>
      <c r="T29323" s="11"/>
    </row>
    <row r="29324" spans="8:20" x14ac:dyDescent="0.35">
      <c r="H29324" s="711"/>
      <c r="I29324" s="711"/>
      <c r="J29324" s="711"/>
      <c r="K29324" s="711"/>
      <c r="L29324" s="711"/>
      <c r="Q29324" s="11"/>
      <c r="R29324" s="11"/>
      <c r="S29324" s="11"/>
      <c r="T29324" s="11"/>
    </row>
    <row r="29325" spans="8:20" x14ac:dyDescent="0.35">
      <c r="H29325" s="711"/>
      <c r="I29325" s="711"/>
      <c r="J29325" s="711"/>
      <c r="K29325" s="711"/>
      <c r="L29325" s="711"/>
      <c r="Q29325" s="11"/>
      <c r="R29325" s="11"/>
      <c r="S29325" s="11"/>
      <c r="T29325" s="11"/>
    </row>
    <row r="29326" spans="8:20" x14ac:dyDescent="0.35">
      <c r="H29326" s="711"/>
      <c r="I29326" s="711"/>
      <c r="J29326" s="711"/>
      <c r="K29326" s="711"/>
      <c r="L29326" s="711"/>
      <c r="Q29326" s="11"/>
      <c r="R29326" s="11"/>
      <c r="S29326" s="11"/>
      <c r="T29326" s="11"/>
    </row>
    <row r="29327" spans="8:20" x14ac:dyDescent="0.35">
      <c r="H29327" s="711"/>
      <c r="I29327" s="711"/>
      <c r="J29327" s="711"/>
      <c r="K29327" s="711"/>
      <c r="L29327" s="711"/>
      <c r="Q29327" s="11"/>
      <c r="R29327" s="11"/>
      <c r="S29327" s="11"/>
      <c r="T29327" s="11"/>
    </row>
    <row r="29328" spans="8:20" x14ac:dyDescent="0.35">
      <c r="H29328" s="711"/>
      <c r="I29328" s="711"/>
      <c r="J29328" s="711"/>
      <c r="K29328" s="711"/>
      <c r="L29328" s="711"/>
      <c r="Q29328" s="11"/>
      <c r="R29328" s="11"/>
      <c r="S29328" s="11"/>
      <c r="T29328" s="11"/>
    </row>
    <row r="29329" spans="8:20" x14ac:dyDescent="0.35">
      <c r="H29329" s="711"/>
      <c r="I29329" s="711"/>
      <c r="J29329" s="711"/>
      <c r="K29329" s="711"/>
      <c r="L29329" s="711"/>
      <c r="Q29329" s="11"/>
      <c r="R29329" s="11"/>
      <c r="S29329" s="11"/>
      <c r="T29329" s="11"/>
    </row>
    <row r="29330" spans="8:20" x14ac:dyDescent="0.35">
      <c r="H29330" s="711"/>
      <c r="I29330" s="711"/>
      <c r="J29330" s="711"/>
      <c r="K29330" s="711"/>
      <c r="L29330" s="711"/>
      <c r="Q29330" s="11"/>
      <c r="R29330" s="11"/>
      <c r="S29330" s="11"/>
      <c r="T29330" s="11"/>
    </row>
    <row r="29331" spans="8:20" x14ac:dyDescent="0.35">
      <c r="H29331" s="711"/>
      <c r="I29331" s="711"/>
      <c r="J29331" s="711"/>
      <c r="K29331" s="711"/>
      <c r="L29331" s="711"/>
      <c r="Q29331" s="11"/>
      <c r="R29331" s="11"/>
      <c r="S29331" s="11"/>
      <c r="T29331" s="11"/>
    </row>
    <row r="29332" spans="8:20" x14ac:dyDescent="0.35">
      <c r="H29332" s="711"/>
      <c r="I29332" s="711"/>
      <c r="J29332" s="711"/>
      <c r="K29332" s="711"/>
      <c r="L29332" s="711"/>
      <c r="Q29332" s="11"/>
      <c r="R29332" s="11"/>
      <c r="S29332" s="11"/>
      <c r="T29332" s="11"/>
    </row>
    <row r="29333" spans="8:20" x14ac:dyDescent="0.35">
      <c r="H29333" s="711"/>
      <c r="I29333" s="711"/>
      <c r="J29333" s="711"/>
      <c r="K29333" s="711"/>
      <c r="L29333" s="711"/>
      <c r="Q29333" s="11"/>
      <c r="R29333" s="11"/>
      <c r="S29333" s="11"/>
      <c r="T29333" s="11"/>
    </row>
    <row r="29334" spans="8:20" x14ac:dyDescent="0.35">
      <c r="H29334" s="711"/>
      <c r="I29334" s="711"/>
      <c r="J29334" s="711"/>
      <c r="K29334" s="711"/>
      <c r="L29334" s="711"/>
      <c r="Q29334" s="11"/>
      <c r="R29334" s="11"/>
      <c r="S29334" s="11"/>
      <c r="T29334" s="11"/>
    </row>
    <row r="29335" spans="8:20" x14ac:dyDescent="0.35">
      <c r="H29335" s="711"/>
      <c r="I29335" s="711"/>
      <c r="J29335" s="711"/>
      <c r="K29335" s="711"/>
      <c r="L29335" s="711"/>
      <c r="Q29335" s="11"/>
      <c r="R29335" s="11"/>
      <c r="S29335" s="11"/>
      <c r="T29335" s="11"/>
    </row>
    <row r="29336" spans="8:20" x14ac:dyDescent="0.35">
      <c r="H29336" s="711"/>
      <c r="I29336" s="711"/>
      <c r="J29336" s="711"/>
      <c r="K29336" s="711"/>
      <c r="L29336" s="711"/>
      <c r="Q29336" s="11"/>
      <c r="R29336" s="11"/>
      <c r="S29336" s="11"/>
      <c r="T29336" s="11"/>
    </row>
    <row r="29337" spans="8:20" x14ac:dyDescent="0.35">
      <c r="H29337" s="711"/>
      <c r="I29337" s="711"/>
      <c r="J29337" s="711"/>
      <c r="K29337" s="711"/>
      <c r="L29337" s="711"/>
      <c r="Q29337" s="11"/>
      <c r="R29337" s="11"/>
      <c r="S29337" s="11"/>
      <c r="T29337" s="11"/>
    </row>
    <row r="29338" spans="8:20" x14ac:dyDescent="0.35">
      <c r="H29338" s="711"/>
      <c r="I29338" s="711"/>
      <c r="J29338" s="711"/>
      <c r="K29338" s="711"/>
      <c r="L29338" s="711"/>
      <c r="Q29338" s="11"/>
      <c r="R29338" s="11"/>
      <c r="S29338" s="11"/>
      <c r="T29338" s="11"/>
    </row>
    <row r="29339" spans="8:20" x14ac:dyDescent="0.35">
      <c r="H29339" s="711"/>
      <c r="I29339" s="711"/>
      <c r="J29339" s="711"/>
      <c r="K29339" s="711"/>
      <c r="L29339" s="711"/>
      <c r="Q29339" s="11"/>
      <c r="R29339" s="11"/>
      <c r="S29339" s="11"/>
      <c r="T29339" s="11"/>
    </row>
    <row r="29340" spans="8:20" x14ac:dyDescent="0.35">
      <c r="H29340" s="711"/>
      <c r="I29340" s="711"/>
      <c r="J29340" s="711"/>
      <c r="K29340" s="711"/>
      <c r="L29340" s="711"/>
      <c r="Q29340" s="11"/>
      <c r="R29340" s="11"/>
      <c r="S29340" s="11"/>
      <c r="T29340" s="11"/>
    </row>
    <row r="29341" spans="8:20" x14ac:dyDescent="0.35">
      <c r="H29341" s="711"/>
      <c r="I29341" s="711"/>
      <c r="J29341" s="711"/>
      <c r="K29341" s="711"/>
      <c r="L29341" s="711"/>
      <c r="Q29341" s="11"/>
      <c r="R29341" s="11"/>
      <c r="S29341" s="11"/>
      <c r="T29341" s="11"/>
    </row>
    <row r="29342" spans="8:20" x14ac:dyDescent="0.35">
      <c r="H29342" s="711"/>
      <c r="I29342" s="711"/>
      <c r="J29342" s="711"/>
      <c r="K29342" s="711"/>
      <c r="L29342" s="711"/>
      <c r="Q29342" s="11"/>
      <c r="R29342" s="11"/>
      <c r="S29342" s="11"/>
      <c r="T29342" s="11"/>
    </row>
    <row r="29343" spans="8:20" x14ac:dyDescent="0.35">
      <c r="H29343" s="711"/>
      <c r="I29343" s="711"/>
      <c r="J29343" s="711"/>
      <c r="K29343" s="711"/>
      <c r="L29343" s="711"/>
      <c r="Q29343" s="11"/>
      <c r="R29343" s="11"/>
      <c r="S29343" s="11"/>
      <c r="T29343" s="11"/>
    </row>
    <row r="29344" spans="8:20" x14ac:dyDescent="0.35">
      <c r="H29344" s="711"/>
      <c r="I29344" s="711"/>
      <c r="J29344" s="711"/>
      <c r="K29344" s="711"/>
      <c r="L29344" s="711"/>
      <c r="Q29344" s="11"/>
      <c r="R29344" s="11"/>
      <c r="S29344" s="11"/>
      <c r="T29344" s="11"/>
    </row>
    <row r="29345" spans="8:20" x14ac:dyDescent="0.35">
      <c r="H29345" s="711"/>
      <c r="I29345" s="711"/>
      <c r="J29345" s="711"/>
      <c r="K29345" s="711"/>
      <c r="L29345" s="711"/>
      <c r="Q29345" s="11"/>
      <c r="R29345" s="11"/>
      <c r="S29345" s="11"/>
      <c r="T29345" s="11"/>
    </row>
    <row r="29346" spans="8:20" x14ac:dyDescent="0.35">
      <c r="H29346" s="711"/>
      <c r="I29346" s="711"/>
      <c r="J29346" s="711"/>
      <c r="K29346" s="711"/>
      <c r="L29346" s="711"/>
      <c r="Q29346" s="11"/>
      <c r="R29346" s="11"/>
      <c r="S29346" s="11"/>
      <c r="T29346" s="11"/>
    </row>
    <row r="29347" spans="8:20" x14ac:dyDescent="0.35">
      <c r="H29347" s="711"/>
      <c r="I29347" s="711"/>
      <c r="J29347" s="711"/>
      <c r="K29347" s="711"/>
      <c r="L29347" s="711"/>
      <c r="Q29347" s="11"/>
      <c r="R29347" s="11"/>
      <c r="S29347" s="11"/>
      <c r="T29347" s="11"/>
    </row>
    <row r="29348" spans="8:20" x14ac:dyDescent="0.35">
      <c r="H29348" s="711"/>
      <c r="I29348" s="711"/>
      <c r="J29348" s="711"/>
      <c r="K29348" s="711"/>
      <c r="L29348" s="711"/>
      <c r="Q29348" s="11"/>
      <c r="R29348" s="11"/>
      <c r="S29348" s="11"/>
      <c r="T29348" s="11"/>
    </row>
    <row r="29349" spans="8:20" x14ac:dyDescent="0.35">
      <c r="H29349" s="711"/>
      <c r="I29349" s="711"/>
      <c r="J29349" s="711"/>
      <c r="K29349" s="711"/>
      <c r="L29349" s="711"/>
      <c r="Q29349" s="11"/>
      <c r="R29349" s="11"/>
      <c r="S29349" s="11"/>
      <c r="T29349" s="11"/>
    </row>
    <row r="29350" spans="8:20" x14ac:dyDescent="0.35">
      <c r="H29350" s="711"/>
      <c r="I29350" s="711"/>
      <c r="J29350" s="711"/>
      <c r="K29350" s="711"/>
      <c r="L29350" s="711"/>
      <c r="Q29350" s="11"/>
      <c r="R29350" s="11"/>
      <c r="S29350" s="11"/>
      <c r="T29350" s="11"/>
    </row>
    <row r="29351" spans="8:20" x14ac:dyDescent="0.35">
      <c r="H29351" s="711"/>
      <c r="I29351" s="711"/>
      <c r="J29351" s="711"/>
      <c r="K29351" s="711"/>
      <c r="L29351" s="711"/>
      <c r="Q29351" s="11"/>
      <c r="R29351" s="11"/>
      <c r="S29351" s="11"/>
      <c r="T29351" s="11"/>
    </row>
    <row r="29352" spans="8:20" x14ac:dyDescent="0.35">
      <c r="H29352" s="711"/>
      <c r="I29352" s="711"/>
      <c r="J29352" s="711"/>
      <c r="K29352" s="711"/>
      <c r="L29352" s="711"/>
      <c r="Q29352" s="11"/>
      <c r="R29352" s="11"/>
      <c r="S29352" s="11"/>
      <c r="T29352" s="11"/>
    </row>
    <row r="29353" spans="8:20" x14ac:dyDescent="0.35">
      <c r="H29353" s="711"/>
      <c r="I29353" s="711"/>
      <c r="J29353" s="711"/>
      <c r="K29353" s="711"/>
      <c r="L29353" s="711"/>
      <c r="Q29353" s="11"/>
      <c r="R29353" s="11"/>
      <c r="S29353" s="11"/>
      <c r="T29353" s="11"/>
    </row>
    <row r="29354" spans="8:20" x14ac:dyDescent="0.35">
      <c r="H29354" s="711"/>
      <c r="I29354" s="711"/>
      <c r="J29354" s="711"/>
      <c r="K29354" s="711"/>
      <c r="L29354" s="711"/>
      <c r="Q29354" s="11"/>
      <c r="R29354" s="11"/>
      <c r="S29354" s="11"/>
      <c r="T29354" s="11"/>
    </row>
    <row r="29355" spans="8:20" x14ac:dyDescent="0.35">
      <c r="H29355" s="711"/>
      <c r="I29355" s="711"/>
      <c r="J29355" s="711"/>
      <c r="K29355" s="711"/>
      <c r="L29355" s="711"/>
      <c r="Q29355" s="11"/>
      <c r="R29355" s="11"/>
      <c r="S29355" s="11"/>
      <c r="T29355" s="11"/>
    </row>
    <row r="29356" spans="8:20" x14ac:dyDescent="0.35">
      <c r="H29356" s="711"/>
      <c r="I29356" s="711"/>
      <c r="J29356" s="711"/>
      <c r="K29356" s="711"/>
      <c r="L29356" s="711"/>
      <c r="Q29356" s="11"/>
      <c r="R29356" s="11"/>
      <c r="S29356" s="11"/>
      <c r="T29356" s="11"/>
    </row>
    <row r="29357" spans="8:20" x14ac:dyDescent="0.35">
      <c r="H29357" s="711"/>
      <c r="I29357" s="711"/>
      <c r="J29357" s="711"/>
      <c r="K29357" s="711"/>
      <c r="L29357" s="711"/>
      <c r="Q29357" s="11"/>
      <c r="R29357" s="11"/>
      <c r="S29357" s="11"/>
      <c r="T29357" s="11"/>
    </row>
    <row r="29358" spans="8:20" x14ac:dyDescent="0.35">
      <c r="H29358" s="711"/>
      <c r="I29358" s="711"/>
      <c r="J29358" s="711"/>
      <c r="K29358" s="711"/>
      <c r="L29358" s="711"/>
      <c r="Q29358" s="11"/>
      <c r="R29358" s="11"/>
      <c r="S29358" s="11"/>
      <c r="T29358" s="11"/>
    </row>
    <row r="29359" spans="8:20" x14ac:dyDescent="0.35">
      <c r="H29359" s="711"/>
      <c r="I29359" s="711"/>
      <c r="J29359" s="711"/>
      <c r="K29359" s="711"/>
      <c r="L29359" s="711"/>
      <c r="Q29359" s="11"/>
      <c r="R29359" s="11"/>
      <c r="S29359" s="11"/>
      <c r="T29359" s="11"/>
    </row>
    <row r="29360" spans="8:20" x14ac:dyDescent="0.35">
      <c r="H29360" s="711"/>
      <c r="I29360" s="711"/>
      <c r="J29360" s="711"/>
      <c r="K29360" s="711"/>
      <c r="L29360" s="711"/>
      <c r="Q29360" s="11"/>
      <c r="R29360" s="11"/>
      <c r="S29360" s="11"/>
      <c r="T29360" s="11"/>
    </row>
    <row r="29361" spans="8:20" x14ac:dyDescent="0.35">
      <c r="H29361" s="711"/>
      <c r="I29361" s="711"/>
      <c r="J29361" s="711"/>
      <c r="K29361" s="711"/>
      <c r="L29361" s="711"/>
      <c r="Q29361" s="11"/>
      <c r="R29361" s="11"/>
      <c r="S29361" s="11"/>
      <c r="T29361" s="11"/>
    </row>
    <row r="29362" spans="8:20" x14ac:dyDescent="0.35">
      <c r="H29362" s="711"/>
      <c r="I29362" s="711"/>
      <c r="J29362" s="711"/>
      <c r="K29362" s="711"/>
      <c r="L29362" s="711"/>
      <c r="Q29362" s="11"/>
      <c r="R29362" s="11"/>
      <c r="S29362" s="11"/>
      <c r="T29362" s="11"/>
    </row>
    <row r="29363" spans="8:20" x14ac:dyDescent="0.35">
      <c r="H29363" s="711"/>
      <c r="I29363" s="711"/>
      <c r="J29363" s="711"/>
      <c r="K29363" s="711"/>
      <c r="L29363" s="711"/>
      <c r="Q29363" s="11"/>
      <c r="R29363" s="11"/>
      <c r="S29363" s="11"/>
      <c r="T29363" s="11"/>
    </row>
    <row r="29364" spans="8:20" x14ac:dyDescent="0.35">
      <c r="H29364" s="711"/>
      <c r="I29364" s="711"/>
      <c r="J29364" s="711"/>
      <c r="K29364" s="711"/>
      <c r="L29364" s="711"/>
      <c r="Q29364" s="11"/>
      <c r="R29364" s="11"/>
      <c r="S29364" s="11"/>
      <c r="T29364" s="11"/>
    </row>
    <row r="29365" spans="8:20" x14ac:dyDescent="0.35">
      <c r="H29365" s="711"/>
      <c r="I29365" s="711"/>
      <c r="J29365" s="711"/>
      <c r="K29365" s="711"/>
      <c r="L29365" s="711"/>
      <c r="Q29365" s="11"/>
      <c r="R29365" s="11"/>
      <c r="S29365" s="11"/>
      <c r="T29365" s="11"/>
    </row>
    <row r="29366" spans="8:20" x14ac:dyDescent="0.35">
      <c r="H29366" s="711"/>
      <c r="I29366" s="711"/>
      <c r="J29366" s="711"/>
      <c r="K29366" s="711"/>
      <c r="L29366" s="711"/>
      <c r="Q29366" s="11"/>
      <c r="R29366" s="11"/>
      <c r="S29366" s="11"/>
      <c r="T29366" s="11"/>
    </row>
    <row r="29367" spans="8:20" x14ac:dyDescent="0.35">
      <c r="H29367" s="711"/>
      <c r="I29367" s="711"/>
      <c r="J29367" s="711"/>
      <c r="K29367" s="711"/>
      <c r="L29367" s="711"/>
      <c r="Q29367" s="11"/>
      <c r="R29367" s="11"/>
      <c r="S29367" s="11"/>
      <c r="T29367" s="11"/>
    </row>
    <row r="29368" spans="8:20" x14ac:dyDescent="0.35">
      <c r="H29368" s="711"/>
      <c r="I29368" s="711"/>
      <c r="J29368" s="711"/>
      <c r="K29368" s="711"/>
      <c r="L29368" s="711"/>
      <c r="Q29368" s="11"/>
      <c r="R29368" s="11"/>
      <c r="S29368" s="11"/>
      <c r="T29368" s="11"/>
    </row>
    <row r="29369" spans="8:20" x14ac:dyDescent="0.35">
      <c r="H29369" s="711"/>
      <c r="I29369" s="711"/>
      <c r="J29369" s="711"/>
      <c r="K29369" s="711"/>
      <c r="L29369" s="711"/>
      <c r="Q29369" s="11"/>
      <c r="R29369" s="11"/>
      <c r="S29369" s="11"/>
      <c r="T29369" s="11"/>
    </row>
    <row r="29370" spans="8:20" x14ac:dyDescent="0.35">
      <c r="H29370" s="711"/>
      <c r="I29370" s="711"/>
      <c r="J29370" s="711"/>
      <c r="K29370" s="711"/>
      <c r="L29370" s="711"/>
      <c r="Q29370" s="11"/>
      <c r="R29370" s="11"/>
      <c r="S29370" s="11"/>
      <c r="T29370" s="11"/>
    </row>
    <row r="29371" spans="8:20" x14ac:dyDescent="0.35">
      <c r="H29371" s="711"/>
      <c r="I29371" s="711"/>
      <c r="J29371" s="711"/>
      <c r="K29371" s="711"/>
      <c r="L29371" s="711"/>
      <c r="Q29371" s="11"/>
      <c r="R29371" s="11"/>
      <c r="S29371" s="11"/>
      <c r="T29371" s="11"/>
    </row>
    <row r="29372" spans="8:20" x14ac:dyDescent="0.35">
      <c r="H29372" s="711"/>
      <c r="I29372" s="711"/>
      <c r="J29372" s="711"/>
      <c r="K29372" s="711"/>
      <c r="L29372" s="711"/>
      <c r="Q29372" s="11"/>
      <c r="R29372" s="11"/>
      <c r="S29372" s="11"/>
      <c r="T29372" s="11"/>
    </row>
    <row r="29373" spans="8:20" x14ac:dyDescent="0.35">
      <c r="H29373" s="711"/>
      <c r="I29373" s="711"/>
      <c r="J29373" s="711"/>
      <c r="K29373" s="711"/>
      <c r="L29373" s="711"/>
      <c r="Q29373" s="11"/>
      <c r="R29373" s="11"/>
      <c r="S29373" s="11"/>
      <c r="T29373" s="11"/>
    </row>
    <row r="29374" spans="8:20" x14ac:dyDescent="0.35">
      <c r="H29374" s="711"/>
      <c r="I29374" s="711"/>
      <c r="J29374" s="711"/>
      <c r="K29374" s="711"/>
      <c r="L29374" s="711"/>
      <c r="Q29374" s="11"/>
      <c r="R29374" s="11"/>
      <c r="S29374" s="11"/>
      <c r="T29374" s="11"/>
    </row>
    <row r="29375" spans="8:20" x14ac:dyDescent="0.35">
      <c r="H29375" s="711"/>
      <c r="I29375" s="711"/>
      <c r="J29375" s="711"/>
      <c r="K29375" s="711"/>
      <c r="L29375" s="711"/>
      <c r="Q29375" s="11"/>
      <c r="R29375" s="11"/>
      <c r="S29375" s="11"/>
      <c r="T29375" s="11"/>
    </row>
    <row r="29376" spans="8:20" x14ac:dyDescent="0.35">
      <c r="H29376" s="711"/>
      <c r="I29376" s="711"/>
      <c r="J29376" s="711"/>
      <c r="K29376" s="711"/>
      <c r="L29376" s="711"/>
      <c r="Q29376" s="11"/>
      <c r="R29376" s="11"/>
      <c r="S29376" s="11"/>
      <c r="T29376" s="11"/>
    </row>
    <row r="29377" spans="8:20" x14ac:dyDescent="0.35">
      <c r="H29377" s="711"/>
      <c r="I29377" s="711"/>
      <c r="J29377" s="711"/>
      <c r="K29377" s="711"/>
      <c r="L29377" s="711"/>
      <c r="Q29377" s="11"/>
      <c r="R29377" s="11"/>
      <c r="S29377" s="11"/>
      <c r="T29377" s="11"/>
    </row>
    <row r="29378" spans="8:20" x14ac:dyDescent="0.35">
      <c r="H29378" s="711"/>
      <c r="I29378" s="711"/>
      <c r="J29378" s="711"/>
      <c r="K29378" s="711"/>
      <c r="L29378" s="711"/>
      <c r="Q29378" s="11"/>
      <c r="R29378" s="11"/>
      <c r="S29378" s="11"/>
      <c r="T29378" s="11"/>
    </row>
    <row r="29379" spans="8:20" x14ac:dyDescent="0.35">
      <c r="H29379" s="711"/>
      <c r="I29379" s="711"/>
      <c r="J29379" s="711"/>
      <c r="K29379" s="711"/>
      <c r="L29379" s="711"/>
      <c r="Q29379" s="11"/>
      <c r="R29379" s="11"/>
      <c r="S29379" s="11"/>
      <c r="T29379" s="11"/>
    </row>
    <row r="29380" spans="8:20" x14ac:dyDescent="0.35">
      <c r="H29380" s="711"/>
      <c r="I29380" s="711"/>
      <c r="J29380" s="711"/>
      <c r="K29380" s="711"/>
      <c r="L29380" s="711"/>
      <c r="Q29380" s="11"/>
      <c r="R29380" s="11"/>
      <c r="S29380" s="11"/>
      <c r="T29380" s="11"/>
    </row>
    <row r="29381" spans="8:20" x14ac:dyDescent="0.35">
      <c r="H29381" s="711"/>
      <c r="I29381" s="711"/>
      <c r="J29381" s="711"/>
      <c r="K29381" s="711"/>
      <c r="L29381" s="711"/>
      <c r="Q29381" s="11"/>
      <c r="R29381" s="11"/>
      <c r="S29381" s="11"/>
      <c r="T29381" s="11"/>
    </row>
    <row r="29382" spans="8:20" x14ac:dyDescent="0.35">
      <c r="H29382" s="711"/>
      <c r="I29382" s="711"/>
      <c r="J29382" s="711"/>
      <c r="K29382" s="711"/>
      <c r="L29382" s="711"/>
      <c r="Q29382" s="11"/>
      <c r="R29382" s="11"/>
      <c r="S29382" s="11"/>
      <c r="T29382" s="11"/>
    </row>
    <row r="29383" spans="8:20" x14ac:dyDescent="0.35">
      <c r="H29383" s="711"/>
      <c r="I29383" s="711"/>
      <c r="J29383" s="711"/>
      <c r="K29383" s="711"/>
      <c r="L29383" s="711"/>
      <c r="Q29383" s="11"/>
      <c r="R29383" s="11"/>
      <c r="S29383" s="11"/>
      <c r="T29383" s="11"/>
    </row>
    <row r="29384" spans="8:20" x14ac:dyDescent="0.35">
      <c r="H29384" s="711"/>
      <c r="I29384" s="711"/>
      <c r="J29384" s="711"/>
      <c r="K29384" s="711"/>
      <c r="L29384" s="711"/>
      <c r="Q29384" s="11"/>
      <c r="R29384" s="11"/>
      <c r="S29384" s="11"/>
      <c r="T29384" s="11"/>
    </row>
    <row r="29385" spans="8:20" x14ac:dyDescent="0.35">
      <c r="H29385" s="711"/>
      <c r="I29385" s="711"/>
      <c r="J29385" s="711"/>
      <c r="K29385" s="711"/>
      <c r="L29385" s="711"/>
      <c r="Q29385" s="11"/>
      <c r="R29385" s="11"/>
      <c r="S29385" s="11"/>
      <c r="T29385" s="11"/>
    </row>
    <row r="29386" spans="8:20" x14ac:dyDescent="0.35">
      <c r="H29386" s="711"/>
      <c r="I29386" s="711"/>
      <c r="J29386" s="711"/>
      <c r="K29386" s="711"/>
      <c r="L29386" s="711"/>
      <c r="Q29386" s="11"/>
      <c r="R29386" s="11"/>
      <c r="S29386" s="11"/>
      <c r="T29386" s="11"/>
    </row>
    <row r="29387" spans="8:20" x14ac:dyDescent="0.35">
      <c r="H29387" s="711"/>
      <c r="I29387" s="711"/>
      <c r="J29387" s="711"/>
      <c r="K29387" s="711"/>
      <c r="L29387" s="711"/>
      <c r="Q29387" s="11"/>
      <c r="R29387" s="11"/>
      <c r="S29387" s="11"/>
      <c r="T29387" s="11"/>
    </row>
    <row r="29388" spans="8:20" x14ac:dyDescent="0.35">
      <c r="H29388" s="711"/>
      <c r="I29388" s="711"/>
      <c r="J29388" s="711"/>
      <c r="K29388" s="711"/>
      <c r="L29388" s="711"/>
      <c r="Q29388" s="11"/>
      <c r="R29388" s="11"/>
      <c r="S29388" s="11"/>
      <c r="T29388" s="11"/>
    </row>
    <row r="29389" spans="8:20" x14ac:dyDescent="0.35">
      <c r="H29389" s="711"/>
      <c r="I29389" s="711"/>
      <c r="J29389" s="711"/>
      <c r="K29389" s="711"/>
      <c r="L29389" s="711"/>
      <c r="Q29389" s="11"/>
      <c r="R29389" s="11"/>
      <c r="S29389" s="11"/>
      <c r="T29389" s="11"/>
    </row>
    <row r="29390" spans="8:20" x14ac:dyDescent="0.35">
      <c r="H29390" s="711"/>
      <c r="I29390" s="711"/>
      <c r="J29390" s="711"/>
      <c r="K29390" s="711"/>
      <c r="L29390" s="711"/>
      <c r="Q29390" s="11"/>
      <c r="R29390" s="11"/>
      <c r="S29390" s="11"/>
      <c r="T29390" s="11"/>
    </row>
    <row r="29391" spans="8:20" x14ac:dyDescent="0.35">
      <c r="H29391" s="711"/>
      <c r="I29391" s="711"/>
      <c r="J29391" s="711"/>
      <c r="K29391" s="711"/>
      <c r="L29391" s="711"/>
      <c r="Q29391" s="11"/>
      <c r="R29391" s="11"/>
      <c r="S29391" s="11"/>
      <c r="T29391" s="11"/>
    </row>
    <row r="29392" spans="8:20" x14ac:dyDescent="0.35">
      <c r="H29392" s="711"/>
      <c r="I29392" s="711"/>
      <c r="J29392" s="711"/>
      <c r="K29392" s="711"/>
      <c r="L29392" s="711"/>
      <c r="Q29392" s="11"/>
      <c r="R29392" s="11"/>
      <c r="S29392" s="11"/>
      <c r="T29392" s="11"/>
    </row>
    <row r="29393" spans="8:20" x14ac:dyDescent="0.35">
      <c r="H29393" s="711"/>
      <c r="I29393" s="711"/>
      <c r="J29393" s="711"/>
      <c r="K29393" s="711"/>
      <c r="L29393" s="711"/>
      <c r="Q29393" s="11"/>
      <c r="R29393" s="11"/>
      <c r="S29393" s="11"/>
      <c r="T29393" s="11"/>
    </row>
    <row r="29394" spans="8:20" x14ac:dyDescent="0.35">
      <c r="H29394" s="711"/>
      <c r="I29394" s="711"/>
      <c r="J29394" s="711"/>
      <c r="K29394" s="711"/>
      <c r="L29394" s="711"/>
      <c r="Q29394" s="11"/>
      <c r="R29394" s="11"/>
      <c r="S29394" s="11"/>
      <c r="T29394" s="11"/>
    </row>
    <row r="29395" spans="8:20" x14ac:dyDescent="0.35">
      <c r="H29395" s="711"/>
      <c r="I29395" s="711"/>
      <c r="J29395" s="711"/>
      <c r="K29395" s="711"/>
      <c r="L29395" s="711"/>
      <c r="Q29395" s="11"/>
      <c r="R29395" s="11"/>
      <c r="S29395" s="11"/>
      <c r="T29395" s="11"/>
    </row>
    <row r="29396" spans="8:20" x14ac:dyDescent="0.35">
      <c r="H29396" s="711"/>
      <c r="I29396" s="711"/>
      <c r="J29396" s="711"/>
      <c r="K29396" s="711"/>
      <c r="L29396" s="711"/>
      <c r="Q29396" s="11"/>
      <c r="R29396" s="11"/>
      <c r="S29396" s="11"/>
      <c r="T29396" s="11"/>
    </row>
    <row r="29397" spans="8:20" x14ac:dyDescent="0.35">
      <c r="H29397" s="711"/>
      <c r="I29397" s="711"/>
      <c r="J29397" s="711"/>
      <c r="K29397" s="711"/>
      <c r="L29397" s="711"/>
      <c r="Q29397" s="11"/>
      <c r="R29397" s="11"/>
      <c r="S29397" s="11"/>
      <c r="T29397" s="11"/>
    </row>
    <row r="29398" spans="8:20" x14ac:dyDescent="0.35">
      <c r="H29398" s="711"/>
      <c r="I29398" s="711"/>
      <c r="J29398" s="711"/>
      <c r="K29398" s="711"/>
      <c r="L29398" s="711"/>
      <c r="Q29398" s="11"/>
      <c r="R29398" s="11"/>
      <c r="S29398" s="11"/>
      <c r="T29398" s="11"/>
    </row>
    <row r="29399" spans="8:20" x14ac:dyDescent="0.35">
      <c r="H29399" s="711"/>
      <c r="I29399" s="711"/>
      <c r="J29399" s="711"/>
      <c r="K29399" s="711"/>
      <c r="L29399" s="711"/>
      <c r="Q29399" s="11"/>
      <c r="R29399" s="11"/>
      <c r="S29399" s="11"/>
      <c r="T29399" s="11"/>
    </row>
    <row r="29400" spans="8:20" x14ac:dyDescent="0.35">
      <c r="H29400" s="711"/>
      <c r="I29400" s="711"/>
      <c r="J29400" s="711"/>
      <c r="K29400" s="711"/>
      <c r="L29400" s="711"/>
      <c r="Q29400" s="11"/>
      <c r="R29400" s="11"/>
      <c r="S29400" s="11"/>
      <c r="T29400" s="11"/>
    </row>
    <row r="29401" spans="8:20" x14ac:dyDescent="0.35">
      <c r="H29401" s="711"/>
      <c r="I29401" s="711"/>
      <c r="J29401" s="711"/>
      <c r="K29401" s="711"/>
      <c r="L29401" s="711"/>
      <c r="Q29401" s="11"/>
      <c r="R29401" s="11"/>
      <c r="S29401" s="11"/>
      <c r="T29401" s="11"/>
    </row>
    <row r="29402" spans="8:20" x14ac:dyDescent="0.35">
      <c r="H29402" s="711"/>
      <c r="I29402" s="711"/>
      <c r="J29402" s="711"/>
      <c r="K29402" s="711"/>
      <c r="L29402" s="711"/>
      <c r="Q29402" s="11"/>
      <c r="R29402" s="11"/>
      <c r="S29402" s="11"/>
      <c r="T29402" s="11"/>
    </row>
    <row r="29403" spans="8:20" x14ac:dyDescent="0.35">
      <c r="H29403" s="711"/>
      <c r="I29403" s="711"/>
      <c r="J29403" s="711"/>
      <c r="K29403" s="711"/>
      <c r="L29403" s="711"/>
      <c r="Q29403" s="11"/>
      <c r="R29403" s="11"/>
      <c r="S29403" s="11"/>
      <c r="T29403" s="11"/>
    </row>
    <row r="29404" spans="8:20" x14ac:dyDescent="0.35">
      <c r="H29404" s="711"/>
      <c r="I29404" s="711"/>
      <c r="J29404" s="711"/>
      <c r="K29404" s="711"/>
      <c r="L29404" s="711"/>
      <c r="Q29404" s="11"/>
      <c r="R29404" s="11"/>
      <c r="S29404" s="11"/>
      <c r="T29404" s="11"/>
    </row>
    <row r="29405" spans="8:20" x14ac:dyDescent="0.35">
      <c r="H29405" s="711"/>
      <c r="I29405" s="711"/>
      <c r="J29405" s="711"/>
      <c r="K29405" s="711"/>
      <c r="L29405" s="711"/>
      <c r="Q29405" s="11"/>
      <c r="R29405" s="11"/>
      <c r="S29405" s="11"/>
      <c r="T29405" s="11"/>
    </row>
    <row r="29406" spans="8:20" x14ac:dyDescent="0.35">
      <c r="H29406" s="711"/>
      <c r="I29406" s="711"/>
      <c r="J29406" s="711"/>
      <c r="K29406" s="711"/>
      <c r="L29406" s="711"/>
      <c r="Q29406" s="11"/>
      <c r="R29406" s="11"/>
      <c r="S29406" s="11"/>
      <c r="T29406" s="11"/>
    </row>
    <row r="29407" spans="8:20" x14ac:dyDescent="0.35">
      <c r="H29407" s="711"/>
      <c r="I29407" s="711"/>
      <c r="J29407" s="711"/>
      <c r="K29407" s="711"/>
      <c r="L29407" s="711"/>
      <c r="Q29407" s="11"/>
      <c r="R29407" s="11"/>
      <c r="S29407" s="11"/>
      <c r="T29407" s="11"/>
    </row>
    <row r="29408" spans="8:20" x14ac:dyDescent="0.35">
      <c r="H29408" s="711"/>
      <c r="I29408" s="711"/>
      <c r="J29408" s="711"/>
      <c r="K29408" s="711"/>
      <c r="L29408" s="711"/>
      <c r="Q29408" s="11"/>
      <c r="R29408" s="11"/>
      <c r="S29408" s="11"/>
      <c r="T29408" s="11"/>
    </row>
    <row r="29409" spans="8:20" x14ac:dyDescent="0.35">
      <c r="H29409" s="711"/>
      <c r="I29409" s="711"/>
      <c r="J29409" s="711"/>
      <c r="K29409" s="711"/>
      <c r="L29409" s="711"/>
      <c r="Q29409" s="11"/>
      <c r="R29409" s="11"/>
      <c r="S29409" s="11"/>
      <c r="T29409" s="11"/>
    </row>
    <row r="29410" spans="8:20" x14ac:dyDescent="0.35">
      <c r="H29410" s="711"/>
      <c r="I29410" s="711"/>
      <c r="J29410" s="711"/>
      <c r="K29410" s="711"/>
      <c r="L29410" s="711"/>
      <c r="Q29410" s="11"/>
      <c r="R29410" s="11"/>
      <c r="S29410" s="11"/>
      <c r="T29410" s="11"/>
    </row>
    <row r="29411" spans="8:20" x14ac:dyDescent="0.35">
      <c r="H29411" s="711"/>
      <c r="I29411" s="711"/>
      <c r="J29411" s="711"/>
      <c r="K29411" s="711"/>
      <c r="L29411" s="711"/>
      <c r="Q29411" s="11"/>
      <c r="R29411" s="11"/>
      <c r="S29411" s="11"/>
      <c r="T29411" s="11"/>
    </row>
    <row r="29412" spans="8:20" x14ac:dyDescent="0.35">
      <c r="H29412" s="711"/>
      <c r="I29412" s="711"/>
      <c r="J29412" s="711"/>
      <c r="K29412" s="711"/>
      <c r="L29412" s="711"/>
      <c r="Q29412" s="11"/>
      <c r="R29412" s="11"/>
      <c r="S29412" s="11"/>
      <c r="T29412" s="11"/>
    </row>
    <row r="29413" spans="8:20" x14ac:dyDescent="0.35">
      <c r="H29413" s="711"/>
      <c r="I29413" s="711"/>
      <c r="J29413" s="711"/>
      <c r="K29413" s="711"/>
      <c r="L29413" s="711"/>
      <c r="Q29413" s="11"/>
      <c r="R29413" s="11"/>
      <c r="S29413" s="11"/>
      <c r="T29413" s="11"/>
    </row>
    <row r="29414" spans="8:20" x14ac:dyDescent="0.35">
      <c r="H29414" s="711"/>
      <c r="I29414" s="711"/>
      <c r="J29414" s="711"/>
      <c r="K29414" s="711"/>
      <c r="L29414" s="711"/>
      <c r="Q29414" s="11"/>
      <c r="R29414" s="11"/>
      <c r="S29414" s="11"/>
      <c r="T29414" s="11"/>
    </row>
    <row r="29415" spans="8:20" x14ac:dyDescent="0.35">
      <c r="H29415" s="711"/>
      <c r="I29415" s="711"/>
      <c r="J29415" s="711"/>
      <c r="K29415" s="711"/>
      <c r="L29415" s="711"/>
      <c r="Q29415" s="11"/>
      <c r="R29415" s="11"/>
      <c r="S29415" s="11"/>
      <c r="T29415" s="11"/>
    </row>
    <row r="29416" spans="8:20" x14ac:dyDescent="0.35">
      <c r="H29416" s="711"/>
      <c r="I29416" s="711"/>
      <c r="J29416" s="711"/>
      <c r="K29416" s="711"/>
      <c r="L29416" s="711"/>
      <c r="Q29416" s="11"/>
      <c r="R29416" s="11"/>
      <c r="S29416" s="11"/>
      <c r="T29416" s="11"/>
    </row>
    <row r="29417" spans="8:20" x14ac:dyDescent="0.35">
      <c r="H29417" s="711"/>
      <c r="I29417" s="711"/>
      <c r="J29417" s="711"/>
      <c r="K29417" s="711"/>
      <c r="L29417" s="711"/>
      <c r="Q29417" s="11"/>
      <c r="R29417" s="11"/>
      <c r="S29417" s="11"/>
      <c r="T29417" s="11"/>
    </row>
    <row r="29418" spans="8:20" x14ac:dyDescent="0.35">
      <c r="H29418" s="711"/>
      <c r="I29418" s="711"/>
      <c r="J29418" s="711"/>
      <c r="K29418" s="711"/>
      <c r="L29418" s="711"/>
      <c r="Q29418" s="11"/>
      <c r="R29418" s="11"/>
      <c r="S29418" s="11"/>
      <c r="T29418" s="11"/>
    </row>
    <row r="29419" spans="8:20" x14ac:dyDescent="0.35">
      <c r="H29419" s="711"/>
      <c r="I29419" s="711"/>
      <c r="J29419" s="711"/>
      <c r="K29419" s="711"/>
      <c r="L29419" s="711"/>
      <c r="Q29419" s="11"/>
      <c r="R29419" s="11"/>
      <c r="S29419" s="11"/>
      <c r="T29419" s="11"/>
    </row>
    <row r="29420" spans="8:20" x14ac:dyDescent="0.35">
      <c r="H29420" s="711"/>
      <c r="I29420" s="711"/>
      <c r="J29420" s="711"/>
      <c r="K29420" s="711"/>
      <c r="L29420" s="711"/>
      <c r="Q29420" s="11"/>
      <c r="R29420" s="11"/>
      <c r="S29420" s="11"/>
      <c r="T29420" s="11"/>
    </row>
    <row r="29421" spans="8:20" x14ac:dyDescent="0.35">
      <c r="H29421" s="711"/>
      <c r="I29421" s="711"/>
      <c r="J29421" s="711"/>
      <c r="K29421" s="711"/>
      <c r="L29421" s="711"/>
      <c r="Q29421" s="11"/>
      <c r="R29421" s="11"/>
      <c r="S29421" s="11"/>
      <c r="T29421" s="11"/>
    </row>
    <row r="29422" spans="8:20" x14ac:dyDescent="0.35">
      <c r="H29422" s="711"/>
      <c r="I29422" s="711"/>
      <c r="J29422" s="711"/>
      <c r="K29422" s="711"/>
      <c r="L29422" s="711"/>
      <c r="Q29422" s="11"/>
      <c r="R29422" s="11"/>
      <c r="S29422" s="11"/>
      <c r="T29422" s="11"/>
    </row>
    <row r="29423" spans="8:20" x14ac:dyDescent="0.35">
      <c r="H29423" s="711"/>
      <c r="I29423" s="711"/>
      <c r="J29423" s="711"/>
      <c r="K29423" s="711"/>
      <c r="L29423" s="711"/>
      <c r="Q29423" s="11"/>
      <c r="R29423" s="11"/>
      <c r="S29423" s="11"/>
      <c r="T29423" s="11"/>
    </row>
    <row r="29424" spans="8:20" x14ac:dyDescent="0.35">
      <c r="H29424" s="711"/>
      <c r="I29424" s="711"/>
      <c r="J29424" s="711"/>
      <c r="K29424" s="711"/>
      <c r="L29424" s="711"/>
      <c r="Q29424" s="11"/>
      <c r="R29424" s="11"/>
      <c r="S29424" s="11"/>
      <c r="T29424" s="11"/>
    </row>
    <row r="29425" spans="8:20" x14ac:dyDescent="0.35">
      <c r="H29425" s="711"/>
      <c r="I29425" s="711"/>
      <c r="J29425" s="711"/>
      <c r="K29425" s="711"/>
      <c r="L29425" s="711"/>
      <c r="Q29425" s="11"/>
      <c r="R29425" s="11"/>
      <c r="S29425" s="11"/>
      <c r="T29425" s="11"/>
    </row>
    <row r="29426" spans="8:20" x14ac:dyDescent="0.35">
      <c r="H29426" s="711"/>
      <c r="I29426" s="711"/>
      <c r="J29426" s="711"/>
      <c r="K29426" s="711"/>
      <c r="L29426" s="711"/>
      <c r="Q29426" s="11"/>
      <c r="R29426" s="11"/>
      <c r="S29426" s="11"/>
      <c r="T29426" s="11"/>
    </row>
    <row r="29427" spans="8:20" x14ac:dyDescent="0.35">
      <c r="H29427" s="711"/>
      <c r="I29427" s="711"/>
      <c r="J29427" s="711"/>
      <c r="K29427" s="711"/>
      <c r="L29427" s="711"/>
      <c r="Q29427" s="11"/>
      <c r="R29427" s="11"/>
      <c r="S29427" s="11"/>
      <c r="T29427" s="11"/>
    </row>
    <row r="29428" spans="8:20" x14ac:dyDescent="0.35">
      <c r="H29428" s="711"/>
      <c r="I29428" s="711"/>
      <c r="J29428" s="711"/>
      <c r="K29428" s="711"/>
      <c r="L29428" s="711"/>
      <c r="Q29428" s="11"/>
      <c r="R29428" s="11"/>
      <c r="S29428" s="11"/>
      <c r="T29428" s="11"/>
    </row>
    <row r="29429" spans="8:20" x14ac:dyDescent="0.35">
      <c r="H29429" s="711"/>
      <c r="I29429" s="711"/>
      <c r="J29429" s="711"/>
      <c r="K29429" s="711"/>
      <c r="L29429" s="711"/>
      <c r="Q29429" s="11"/>
      <c r="R29429" s="11"/>
      <c r="S29429" s="11"/>
      <c r="T29429" s="11"/>
    </row>
    <row r="29430" spans="8:20" x14ac:dyDescent="0.35">
      <c r="H29430" s="711"/>
      <c r="I29430" s="711"/>
      <c r="J29430" s="711"/>
      <c r="K29430" s="711"/>
      <c r="L29430" s="711"/>
      <c r="Q29430" s="11"/>
      <c r="R29430" s="11"/>
      <c r="S29430" s="11"/>
      <c r="T29430" s="11"/>
    </row>
    <row r="29431" spans="8:20" x14ac:dyDescent="0.35">
      <c r="H29431" s="711"/>
      <c r="I29431" s="711"/>
      <c r="J29431" s="711"/>
      <c r="K29431" s="711"/>
      <c r="L29431" s="711"/>
      <c r="Q29431" s="11"/>
      <c r="R29431" s="11"/>
      <c r="S29431" s="11"/>
      <c r="T29431" s="11"/>
    </row>
    <row r="29432" spans="8:20" x14ac:dyDescent="0.35">
      <c r="H29432" s="711"/>
      <c r="I29432" s="711"/>
      <c r="J29432" s="711"/>
      <c r="K29432" s="711"/>
      <c r="L29432" s="711"/>
      <c r="Q29432" s="11"/>
      <c r="R29432" s="11"/>
      <c r="S29432" s="11"/>
      <c r="T29432" s="11"/>
    </row>
    <row r="29433" spans="8:20" x14ac:dyDescent="0.35">
      <c r="H29433" s="711"/>
      <c r="I29433" s="711"/>
      <c r="J29433" s="711"/>
      <c r="K29433" s="711"/>
      <c r="L29433" s="711"/>
      <c r="Q29433" s="11"/>
      <c r="R29433" s="11"/>
      <c r="S29433" s="11"/>
      <c r="T29433" s="11"/>
    </row>
    <row r="29434" spans="8:20" x14ac:dyDescent="0.35">
      <c r="H29434" s="711"/>
      <c r="I29434" s="711"/>
      <c r="J29434" s="711"/>
      <c r="K29434" s="711"/>
      <c r="L29434" s="711"/>
      <c r="Q29434" s="11"/>
      <c r="R29434" s="11"/>
      <c r="S29434" s="11"/>
      <c r="T29434" s="11"/>
    </row>
    <row r="29435" spans="8:20" x14ac:dyDescent="0.35">
      <c r="H29435" s="711"/>
      <c r="I29435" s="711"/>
      <c r="J29435" s="711"/>
      <c r="K29435" s="711"/>
      <c r="L29435" s="711"/>
      <c r="Q29435" s="11"/>
      <c r="R29435" s="11"/>
      <c r="S29435" s="11"/>
      <c r="T29435" s="11"/>
    </row>
    <row r="29436" spans="8:20" x14ac:dyDescent="0.35">
      <c r="H29436" s="711"/>
      <c r="I29436" s="711"/>
      <c r="J29436" s="711"/>
      <c r="K29436" s="711"/>
      <c r="L29436" s="711"/>
      <c r="Q29436" s="11"/>
      <c r="R29436" s="11"/>
      <c r="S29436" s="11"/>
      <c r="T29436" s="11"/>
    </row>
    <row r="29437" spans="8:20" x14ac:dyDescent="0.35">
      <c r="H29437" s="711"/>
      <c r="I29437" s="711"/>
      <c r="J29437" s="711"/>
      <c r="K29437" s="711"/>
      <c r="L29437" s="711"/>
      <c r="Q29437" s="11"/>
      <c r="R29437" s="11"/>
      <c r="S29437" s="11"/>
      <c r="T29437" s="11"/>
    </row>
    <row r="29438" spans="8:20" x14ac:dyDescent="0.35">
      <c r="H29438" s="711"/>
      <c r="I29438" s="711"/>
      <c r="J29438" s="711"/>
      <c r="K29438" s="711"/>
      <c r="L29438" s="711"/>
      <c r="Q29438" s="11"/>
      <c r="R29438" s="11"/>
      <c r="S29438" s="11"/>
      <c r="T29438" s="11"/>
    </row>
    <row r="29439" spans="8:20" x14ac:dyDescent="0.35">
      <c r="H29439" s="711"/>
      <c r="I29439" s="711"/>
      <c r="J29439" s="711"/>
      <c r="K29439" s="711"/>
      <c r="L29439" s="711"/>
      <c r="Q29439" s="11"/>
      <c r="R29439" s="11"/>
      <c r="S29439" s="11"/>
      <c r="T29439" s="11"/>
    </row>
    <row r="29440" spans="8:20" x14ac:dyDescent="0.35">
      <c r="H29440" s="711"/>
      <c r="I29440" s="711"/>
      <c r="J29440" s="711"/>
      <c r="K29440" s="711"/>
      <c r="L29440" s="711"/>
      <c r="Q29440" s="11"/>
      <c r="R29440" s="11"/>
      <c r="S29440" s="11"/>
      <c r="T29440" s="11"/>
    </row>
    <row r="29441" spans="8:20" x14ac:dyDescent="0.35">
      <c r="H29441" s="711"/>
      <c r="I29441" s="711"/>
      <c r="J29441" s="711"/>
      <c r="K29441" s="711"/>
      <c r="L29441" s="711"/>
      <c r="Q29441" s="11"/>
      <c r="R29441" s="11"/>
      <c r="S29441" s="11"/>
      <c r="T29441" s="11"/>
    </row>
    <row r="29442" spans="8:20" x14ac:dyDescent="0.35">
      <c r="H29442" s="711"/>
      <c r="I29442" s="711"/>
      <c r="J29442" s="711"/>
      <c r="K29442" s="711"/>
      <c r="L29442" s="711"/>
      <c r="Q29442" s="11"/>
      <c r="R29442" s="11"/>
      <c r="S29442" s="11"/>
      <c r="T29442" s="11"/>
    </row>
    <row r="29443" spans="8:20" x14ac:dyDescent="0.35">
      <c r="H29443" s="711"/>
      <c r="I29443" s="711"/>
      <c r="J29443" s="711"/>
      <c r="K29443" s="711"/>
      <c r="L29443" s="711"/>
      <c r="Q29443" s="11"/>
      <c r="R29443" s="11"/>
      <c r="S29443" s="11"/>
      <c r="T29443" s="11"/>
    </row>
    <row r="29444" spans="8:20" x14ac:dyDescent="0.35">
      <c r="H29444" s="711"/>
      <c r="I29444" s="711"/>
      <c r="J29444" s="711"/>
      <c r="K29444" s="711"/>
      <c r="L29444" s="711"/>
      <c r="Q29444" s="11"/>
      <c r="R29444" s="11"/>
      <c r="S29444" s="11"/>
      <c r="T29444" s="11"/>
    </row>
    <row r="29445" spans="8:20" x14ac:dyDescent="0.35">
      <c r="H29445" s="711"/>
      <c r="I29445" s="711"/>
      <c r="J29445" s="711"/>
      <c r="K29445" s="711"/>
      <c r="L29445" s="711"/>
      <c r="Q29445" s="11"/>
      <c r="R29445" s="11"/>
      <c r="S29445" s="11"/>
      <c r="T29445" s="11"/>
    </row>
    <row r="29446" spans="8:20" x14ac:dyDescent="0.35">
      <c r="H29446" s="711"/>
      <c r="I29446" s="711"/>
      <c r="J29446" s="711"/>
      <c r="K29446" s="711"/>
      <c r="L29446" s="711"/>
      <c r="Q29446" s="11"/>
      <c r="R29446" s="11"/>
      <c r="S29446" s="11"/>
      <c r="T29446" s="11"/>
    </row>
    <row r="29447" spans="8:20" x14ac:dyDescent="0.35">
      <c r="H29447" s="711"/>
      <c r="I29447" s="711"/>
      <c r="J29447" s="711"/>
      <c r="K29447" s="711"/>
      <c r="L29447" s="711"/>
      <c r="Q29447" s="11"/>
      <c r="R29447" s="11"/>
      <c r="S29447" s="11"/>
      <c r="T29447" s="11"/>
    </row>
    <row r="29448" spans="8:20" x14ac:dyDescent="0.35">
      <c r="H29448" s="711"/>
      <c r="I29448" s="711"/>
      <c r="J29448" s="711"/>
      <c r="K29448" s="711"/>
      <c r="L29448" s="711"/>
      <c r="Q29448" s="11"/>
      <c r="R29448" s="11"/>
      <c r="S29448" s="11"/>
      <c r="T29448" s="11"/>
    </row>
    <row r="29449" spans="8:20" x14ac:dyDescent="0.35">
      <c r="H29449" s="711"/>
      <c r="I29449" s="711"/>
      <c r="J29449" s="711"/>
      <c r="K29449" s="711"/>
      <c r="L29449" s="711"/>
      <c r="Q29449" s="11"/>
      <c r="R29449" s="11"/>
      <c r="S29449" s="11"/>
      <c r="T29449" s="11"/>
    </row>
    <row r="29450" spans="8:20" x14ac:dyDescent="0.35">
      <c r="H29450" s="711"/>
      <c r="I29450" s="711"/>
      <c r="J29450" s="711"/>
      <c r="K29450" s="711"/>
      <c r="L29450" s="711"/>
      <c r="Q29450" s="11"/>
      <c r="R29450" s="11"/>
      <c r="S29450" s="11"/>
      <c r="T29450" s="11"/>
    </row>
    <row r="29451" spans="8:20" x14ac:dyDescent="0.35">
      <c r="H29451" s="711"/>
      <c r="I29451" s="711"/>
      <c r="J29451" s="711"/>
      <c r="K29451" s="711"/>
      <c r="L29451" s="711"/>
      <c r="Q29451" s="11"/>
      <c r="R29451" s="11"/>
      <c r="S29451" s="11"/>
      <c r="T29451" s="11"/>
    </row>
    <row r="29452" spans="8:20" x14ac:dyDescent="0.35">
      <c r="H29452" s="711"/>
      <c r="I29452" s="711"/>
      <c r="J29452" s="711"/>
      <c r="K29452" s="711"/>
      <c r="L29452" s="711"/>
      <c r="Q29452" s="11"/>
      <c r="R29452" s="11"/>
      <c r="S29452" s="11"/>
      <c r="T29452" s="11"/>
    </row>
    <row r="29453" spans="8:20" x14ac:dyDescent="0.35">
      <c r="H29453" s="711"/>
      <c r="I29453" s="711"/>
      <c r="J29453" s="711"/>
      <c r="K29453" s="711"/>
      <c r="L29453" s="711"/>
      <c r="Q29453" s="11"/>
      <c r="R29453" s="11"/>
      <c r="S29453" s="11"/>
      <c r="T29453" s="11"/>
    </row>
    <row r="29454" spans="8:20" x14ac:dyDescent="0.35">
      <c r="H29454" s="711"/>
      <c r="I29454" s="711"/>
      <c r="J29454" s="711"/>
      <c r="K29454" s="711"/>
      <c r="L29454" s="711"/>
      <c r="Q29454" s="11"/>
      <c r="R29454" s="11"/>
      <c r="S29454" s="11"/>
      <c r="T29454" s="11"/>
    </row>
    <row r="29455" spans="8:20" x14ac:dyDescent="0.35">
      <c r="H29455" s="711"/>
      <c r="I29455" s="711"/>
      <c r="J29455" s="711"/>
      <c r="K29455" s="711"/>
      <c r="L29455" s="711"/>
      <c r="Q29455" s="11"/>
      <c r="R29455" s="11"/>
      <c r="S29455" s="11"/>
      <c r="T29455" s="11"/>
    </row>
    <row r="29456" spans="8:20" x14ac:dyDescent="0.35">
      <c r="H29456" s="711"/>
      <c r="I29456" s="711"/>
      <c r="J29456" s="711"/>
      <c r="K29456" s="711"/>
      <c r="L29456" s="711"/>
      <c r="Q29456" s="11"/>
      <c r="R29456" s="11"/>
      <c r="S29456" s="11"/>
      <c r="T29456" s="11"/>
    </row>
    <row r="29457" spans="8:20" x14ac:dyDescent="0.35">
      <c r="H29457" s="711"/>
      <c r="I29457" s="711"/>
      <c r="J29457" s="711"/>
      <c r="K29457" s="711"/>
      <c r="L29457" s="711"/>
      <c r="Q29457" s="11"/>
      <c r="R29457" s="11"/>
      <c r="S29457" s="11"/>
      <c r="T29457" s="11"/>
    </row>
    <row r="29458" spans="8:20" x14ac:dyDescent="0.35">
      <c r="H29458" s="711"/>
      <c r="I29458" s="711"/>
      <c r="J29458" s="711"/>
      <c r="K29458" s="711"/>
      <c r="L29458" s="711"/>
      <c r="Q29458" s="11"/>
      <c r="R29458" s="11"/>
      <c r="S29458" s="11"/>
      <c r="T29458" s="11"/>
    </row>
    <row r="29459" spans="8:20" x14ac:dyDescent="0.35">
      <c r="H29459" s="711"/>
      <c r="I29459" s="711"/>
      <c r="J29459" s="711"/>
      <c r="K29459" s="711"/>
      <c r="L29459" s="711"/>
      <c r="Q29459" s="11"/>
      <c r="R29459" s="11"/>
      <c r="S29459" s="11"/>
      <c r="T29459" s="11"/>
    </row>
    <row r="29460" spans="8:20" x14ac:dyDescent="0.35">
      <c r="H29460" s="711"/>
      <c r="I29460" s="711"/>
      <c r="J29460" s="711"/>
      <c r="K29460" s="711"/>
      <c r="L29460" s="711"/>
      <c r="Q29460" s="11"/>
      <c r="R29460" s="11"/>
      <c r="S29460" s="11"/>
      <c r="T29460" s="11"/>
    </row>
    <row r="29461" spans="8:20" x14ac:dyDescent="0.35">
      <c r="H29461" s="711"/>
      <c r="I29461" s="711"/>
      <c r="J29461" s="711"/>
      <c r="K29461" s="711"/>
      <c r="L29461" s="711"/>
      <c r="Q29461" s="11"/>
      <c r="R29461" s="11"/>
      <c r="S29461" s="11"/>
      <c r="T29461" s="11"/>
    </row>
    <row r="29462" spans="8:20" x14ac:dyDescent="0.35">
      <c r="H29462" s="711"/>
      <c r="I29462" s="711"/>
      <c r="J29462" s="711"/>
      <c r="K29462" s="711"/>
      <c r="L29462" s="711"/>
      <c r="Q29462" s="11"/>
      <c r="R29462" s="11"/>
      <c r="S29462" s="11"/>
      <c r="T29462" s="11"/>
    </row>
    <row r="29463" spans="8:20" x14ac:dyDescent="0.35">
      <c r="H29463" s="711"/>
      <c r="I29463" s="711"/>
      <c r="J29463" s="711"/>
      <c r="K29463" s="711"/>
      <c r="L29463" s="711"/>
      <c r="Q29463" s="11"/>
      <c r="R29463" s="11"/>
      <c r="S29463" s="11"/>
      <c r="T29463" s="11"/>
    </row>
    <row r="29464" spans="8:20" x14ac:dyDescent="0.35">
      <c r="H29464" s="711"/>
      <c r="I29464" s="711"/>
      <c r="J29464" s="711"/>
      <c r="K29464" s="711"/>
      <c r="L29464" s="711"/>
      <c r="Q29464" s="11"/>
      <c r="R29464" s="11"/>
      <c r="S29464" s="11"/>
      <c r="T29464" s="11"/>
    </row>
    <row r="29465" spans="8:20" x14ac:dyDescent="0.35">
      <c r="H29465" s="711"/>
      <c r="I29465" s="711"/>
      <c r="J29465" s="711"/>
      <c r="K29465" s="711"/>
      <c r="L29465" s="711"/>
      <c r="Q29465" s="11"/>
      <c r="R29465" s="11"/>
      <c r="S29465" s="11"/>
      <c r="T29465" s="11"/>
    </row>
    <row r="29466" spans="8:20" x14ac:dyDescent="0.35">
      <c r="H29466" s="711"/>
      <c r="I29466" s="711"/>
      <c r="J29466" s="711"/>
      <c r="K29466" s="711"/>
      <c r="L29466" s="711"/>
      <c r="Q29466" s="11"/>
      <c r="R29466" s="11"/>
      <c r="S29466" s="11"/>
      <c r="T29466" s="11"/>
    </row>
    <row r="29467" spans="8:20" x14ac:dyDescent="0.35">
      <c r="H29467" s="711"/>
      <c r="I29467" s="711"/>
      <c r="J29467" s="711"/>
      <c r="K29467" s="711"/>
      <c r="L29467" s="711"/>
      <c r="Q29467" s="11"/>
      <c r="R29467" s="11"/>
      <c r="S29467" s="11"/>
      <c r="T29467" s="11"/>
    </row>
    <row r="29468" spans="8:20" x14ac:dyDescent="0.35">
      <c r="H29468" s="711"/>
      <c r="I29468" s="711"/>
      <c r="J29468" s="711"/>
      <c r="K29468" s="711"/>
      <c r="L29468" s="711"/>
      <c r="Q29468" s="11"/>
      <c r="R29468" s="11"/>
      <c r="S29468" s="11"/>
      <c r="T29468" s="11"/>
    </row>
    <row r="29469" spans="8:20" x14ac:dyDescent="0.35">
      <c r="H29469" s="711"/>
      <c r="I29469" s="711"/>
      <c r="J29469" s="711"/>
      <c r="K29469" s="711"/>
      <c r="L29469" s="711"/>
      <c r="Q29469" s="11"/>
      <c r="R29469" s="11"/>
      <c r="S29469" s="11"/>
      <c r="T29469" s="11"/>
    </row>
    <row r="29470" spans="8:20" x14ac:dyDescent="0.35">
      <c r="H29470" s="711"/>
      <c r="I29470" s="711"/>
      <c r="J29470" s="711"/>
      <c r="K29470" s="711"/>
      <c r="L29470" s="711"/>
      <c r="Q29470" s="11"/>
      <c r="R29470" s="11"/>
      <c r="S29470" s="11"/>
      <c r="T29470" s="11"/>
    </row>
    <row r="29471" spans="8:20" x14ac:dyDescent="0.35">
      <c r="H29471" s="711"/>
      <c r="I29471" s="711"/>
      <c r="J29471" s="711"/>
      <c r="K29471" s="711"/>
      <c r="L29471" s="711"/>
      <c r="Q29471" s="11"/>
      <c r="R29471" s="11"/>
      <c r="S29471" s="11"/>
      <c r="T29471" s="11"/>
    </row>
    <row r="29472" spans="8:20" x14ac:dyDescent="0.35">
      <c r="H29472" s="711"/>
      <c r="I29472" s="711"/>
      <c r="J29472" s="711"/>
      <c r="K29472" s="711"/>
      <c r="L29472" s="711"/>
      <c r="Q29472" s="11"/>
      <c r="R29472" s="11"/>
      <c r="S29472" s="11"/>
      <c r="T29472" s="11"/>
    </row>
    <row r="29473" spans="8:20" x14ac:dyDescent="0.35">
      <c r="H29473" s="711"/>
      <c r="I29473" s="711"/>
      <c r="J29473" s="711"/>
      <c r="K29473" s="711"/>
      <c r="L29473" s="711"/>
      <c r="Q29473" s="11"/>
      <c r="R29473" s="11"/>
      <c r="S29473" s="11"/>
      <c r="T29473" s="11"/>
    </row>
    <row r="29474" spans="8:20" x14ac:dyDescent="0.35">
      <c r="H29474" s="711"/>
      <c r="I29474" s="711"/>
      <c r="J29474" s="711"/>
      <c r="K29474" s="711"/>
      <c r="L29474" s="711"/>
      <c r="Q29474" s="11"/>
      <c r="R29474" s="11"/>
      <c r="S29474" s="11"/>
      <c r="T29474" s="11"/>
    </row>
    <row r="29475" spans="8:20" x14ac:dyDescent="0.35">
      <c r="H29475" s="711"/>
      <c r="I29475" s="711"/>
      <c r="J29475" s="711"/>
      <c r="K29475" s="711"/>
      <c r="L29475" s="711"/>
      <c r="Q29475" s="11"/>
      <c r="R29475" s="11"/>
      <c r="S29475" s="11"/>
      <c r="T29475" s="11"/>
    </row>
    <row r="29476" spans="8:20" x14ac:dyDescent="0.35">
      <c r="H29476" s="711"/>
      <c r="I29476" s="711"/>
      <c r="J29476" s="711"/>
      <c r="K29476" s="711"/>
      <c r="L29476" s="711"/>
      <c r="Q29476" s="11"/>
      <c r="R29476" s="11"/>
      <c r="S29476" s="11"/>
      <c r="T29476" s="11"/>
    </row>
    <row r="29477" spans="8:20" x14ac:dyDescent="0.35">
      <c r="H29477" s="711"/>
      <c r="I29477" s="711"/>
      <c r="J29477" s="711"/>
      <c r="K29477" s="711"/>
      <c r="L29477" s="711"/>
      <c r="Q29477" s="11"/>
      <c r="R29477" s="11"/>
      <c r="S29477" s="11"/>
      <c r="T29477" s="11"/>
    </row>
    <row r="29478" spans="8:20" x14ac:dyDescent="0.35">
      <c r="H29478" s="711"/>
      <c r="I29478" s="711"/>
      <c r="J29478" s="711"/>
      <c r="K29478" s="711"/>
      <c r="L29478" s="711"/>
      <c r="Q29478" s="11"/>
      <c r="R29478" s="11"/>
      <c r="S29478" s="11"/>
      <c r="T29478" s="11"/>
    </row>
    <row r="29479" spans="8:20" x14ac:dyDescent="0.35">
      <c r="H29479" s="711"/>
      <c r="I29479" s="711"/>
      <c r="J29479" s="711"/>
      <c r="K29479" s="711"/>
      <c r="L29479" s="711"/>
      <c r="Q29479" s="11"/>
      <c r="R29479" s="11"/>
      <c r="S29479" s="11"/>
      <c r="T29479" s="11"/>
    </row>
    <row r="29480" spans="8:20" x14ac:dyDescent="0.35">
      <c r="H29480" s="711"/>
      <c r="I29480" s="711"/>
      <c r="J29480" s="711"/>
      <c r="K29480" s="711"/>
      <c r="L29480" s="711"/>
      <c r="Q29480" s="11"/>
      <c r="R29480" s="11"/>
      <c r="S29480" s="11"/>
      <c r="T29480" s="11"/>
    </row>
    <row r="29481" spans="8:20" x14ac:dyDescent="0.35">
      <c r="H29481" s="711"/>
      <c r="I29481" s="711"/>
      <c r="J29481" s="711"/>
      <c r="K29481" s="711"/>
      <c r="L29481" s="711"/>
      <c r="Q29481" s="11"/>
      <c r="R29481" s="11"/>
      <c r="S29481" s="11"/>
      <c r="T29481" s="11"/>
    </row>
    <row r="29482" spans="8:20" x14ac:dyDescent="0.35">
      <c r="H29482" s="711"/>
      <c r="I29482" s="711"/>
      <c r="J29482" s="711"/>
      <c r="K29482" s="711"/>
      <c r="L29482" s="711"/>
      <c r="Q29482" s="11"/>
      <c r="R29482" s="11"/>
      <c r="S29482" s="11"/>
      <c r="T29482" s="11"/>
    </row>
    <row r="29483" spans="8:20" x14ac:dyDescent="0.35">
      <c r="H29483" s="711"/>
      <c r="I29483" s="711"/>
      <c r="J29483" s="711"/>
      <c r="K29483" s="711"/>
      <c r="L29483" s="711"/>
      <c r="Q29483" s="11"/>
      <c r="R29483" s="11"/>
      <c r="S29483" s="11"/>
      <c r="T29483" s="11"/>
    </row>
    <row r="29484" spans="8:20" x14ac:dyDescent="0.35">
      <c r="H29484" s="711"/>
      <c r="I29484" s="711"/>
      <c r="J29484" s="711"/>
      <c r="K29484" s="711"/>
      <c r="L29484" s="711"/>
      <c r="Q29484" s="11"/>
      <c r="R29484" s="11"/>
      <c r="S29484" s="11"/>
      <c r="T29484" s="11"/>
    </row>
    <row r="29485" spans="8:20" x14ac:dyDescent="0.35">
      <c r="H29485" s="711"/>
      <c r="I29485" s="711"/>
      <c r="J29485" s="711"/>
      <c r="K29485" s="711"/>
      <c r="L29485" s="711"/>
      <c r="Q29485" s="11"/>
      <c r="R29485" s="11"/>
      <c r="S29485" s="11"/>
      <c r="T29485" s="11"/>
    </row>
    <row r="29486" spans="8:20" x14ac:dyDescent="0.35">
      <c r="H29486" s="711"/>
      <c r="I29486" s="711"/>
      <c r="J29486" s="711"/>
      <c r="K29486" s="711"/>
      <c r="L29486" s="711"/>
      <c r="Q29486" s="11"/>
      <c r="R29486" s="11"/>
      <c r="S29486" s="11"/>
      <c r="T29486" s="11"/>
    </row>
    <row r="29487" spans="8:20" x14ac:dyDescent="0.35">
      <c r="H29487" s="711"/>
      <c r="I29487" s="711"/>
      <c r="J29487" s="711"/>
      <c r="K29487" s="711"/>
      <c r="L29487" s="711"/>
      <c r="Q29487" s="11"/>
      <c r="R29487" s="11"/>
      <c r="S29487" s="11"/>
      <c r="T29487" s="11"/>
    </row>
    <row r="29488" spans="8:20" x14ac:dyDescent="0.35">
      <c r="H29488" s="711"/>
      <c r="I29488" s="711"/>
      <c r="J29488" s="711"/>
      <c r="K29488" s="711"/>
      <c r="L29488" s="711"/>
      <c r="Q29488" s="11"/>
      <c r="R29488" s="11"/>
      <c r="S29488" s="11"/>
      <c r="T29488" s="11"/>
    </row>
    <row r="29489" spans="8:20" x14ac:dyDescent="0.35">
      <c r="H29489" s="711"/>
      <c r="I29489" s="711"/>
      <c r="J29489" s="711"/>
      <c r="K29489" s="711"/>
      <c r="L29489" s="711"/>
      <c r="Q29489" s="11"/>
      <c r="R29489" s="11"/>
      <c r="S29489" s="11"/>
      <c r="T29489" s="11"/>
    </row>
    <row r="29490" spans="8:20" x14ac:dyDescent="0.35">
      <c r="H29490" s="711"/>
      <c r="I29490" s="711"/>
      <c r="J29490" s="711"/>
      <c r="K29490" s="711"/>
      <c r="L29490" s="711"/>
      <c r="Q29490" s="11"/>
      <c r="R29490" s="11"/>
      <c r="S29490" s="11"/>
      <c r="T29490" s="11"/>
    </row>
    <row r="29491" spans="8:20" x14ac:dyDescent="0.35">
      <c r="H29491" s="711"/>
      <c r="I29491" s="711"/>
      <c r="J29491" s="711"/>
      <c r="K29491" s="711"/>
      <c r="L29491" s="711"/>
      <c r="Q29491" s="11"/>
      <c r="R29491" s="11"/>
      <c r="S29491" s="11"/>
      <c r="T29491" s="11"/>
    </row>
    <row r="29492" spans="8:20" x14ac:dyDescent="0.35">
      <c r="H29492" s="711"/>
      <c r="I29492" s="711"/>
      <c r="J29492" s="711"/>
      <c r="K29492" s="711"/>
      <c r="L29492" s="711"/>
      <c r="Q29492" s="11"/>
      <c r="R29492" s="11"/>
      <c r="S29492" s="11"/>
      <c r="T29492" s="11"/>
    </row>
    <row r="29493" spans="8:20" x14ac:dyDescent="0.35">
      <c r="H29493" s="711"/>
      <c r="I29493" s="711"/>
      <c r="J29493" s="711"/>
      <c r="K29493" s="711"/>
      <c r="L29493" s="711"/>
      <c r="Q29493" s="11"/>
      <c r="R29493" s="11"/>
      <c r="S29493" s="11"/>
      <c r="T29493" s="11"/>
    </row>
    <row r="29494" spans="8:20" x14ac:dyDescent="0.35">
      <c r="H29494" s="711"/>
      <c r="I29494" s="711"/>
      <c r="J29494" s="711"/>
      <c r="K29494" s="711"/>
      <c r="L29494" s="711"/>
      <c r="Q29494" s="11"/>
      <c r="R29494" s="11"/>
      <c r="S29494" s="11"/>
      <c r="T29494" s="11"/>
    </row>
    <row r="29495" spans="8:20" x14ac:dyDescent="0.35">
      <c r="H29495" s="711"/>
      <c r="I29495" s="711"/>
      <c r="J29495" s="711"/>
      <c r="K29495" s="711"/>
      <c r="L29495" s="711"/>
      <c r="Q29495" s="11"/>
      <c r="R29495" s="11"/>
      <c r="S29495" s="11"/>
      <c r="T29495" s="11"/>
    </row>
    <row r="29496" spans="8:20" x14ac:dyDescent="0.35">
      <c r="H29496" s="711"/>
      <c r="I29496" s="711"/>
      <c r="J29496" s="711"/>
      <c r="K29496" s="711"/>
      <c r="L29496" s="711"/>
      <c r="Q29496" s="11"/>
      <c r="R29496" s="11"/>
      <c r="S29496" s="11"/>
      <c r="T29496" s="11"/>
    </row>
    <row r="29497" spans="8:20" x14ac:dyDescent="0.35">
      <c r="H29497" s="711"/>
      <c r="I29497" s="711"/>
      <c r="J29497" s="711"/>
      <c r="K29497" s="711"/>
      <c r="L29497" s="711"/>
      <c r="Q29497" s="11"/>
      <c r="R29497" s="11"/>
      <c r="S29497" s="11"/>
      <c r="T29497" s="11"/>
    </row>
    <row r="29498" spans="8:20" x14ac:dyDescent="0.35">
      <c r="H29498" s="711"/>
      <c r="I29498" s="711"/>
      <c r="J29498" s="711"/>
      <c r="K29498" s="711"/>
      <c r="L29498" s="711"/>
      <c r="Q29498" s="11"/>
      <c r="R29498" s="11"/>
      <c r="S29498" s="11"/>
      <c r="T29498" s="11"/>
    </row>
    <row r="29499" spans="8:20" x14ac:dyDescent="0.35">
      <c r="H29499" s="711"/>
      <c r="I29499" s="711"/>
      <c r="J29499" s="711"/>
      <c r="K29499" s="711"/>
      <c r="L29499" s="711"/>
      <c r="Q29499" s="11"/>
      <c r="R29499" s="11"/>
      <c r="S29499" s="11"/>
      <c r="T29499" s="11"/>
    </row>
    <row r="29500" spans="8:20" x14ac:dyDescent="0.35">
      <c r="H29500" s="711"/>
      <c r="I29500" s="711"/>
      <c r="J29500" s="711"/>
      <c r="K29500" s="711"/>
      <c r="L29500" s="711"/>
      <c r="Q29500" s="11"/>
      <c r="R29500" s="11"/>
      <c r="S29500" s="11"/>
      <c r="T29500" s="11"/>
    </row>
    <row r="29501" spans="8:20" x14ac:dyDescent="0.35">
      <c r="H29501" s="711"/>
      <c r="I29501" s="711"/>
      <c r="J29501" s="711"/>
      <c r="K29501" s="711"/>
      <c r="L29501" s="711"/>
      <c r="Q29501" s="11"/>
      <c r="R29501" s="11"/>
      <c r="S29501" s="11"/>
      <c r="T29501" s="11"/>
    </row>
    <row r="29502" spans="8:20" x14ac:dyDescent="0.35">
      <c r="H29502" s="711"/>
      <c r="I29502" s="711"/>
      <c r="J29502" s="711"/>
      <c r="K29502" s="711"/>
      <c r="L29502" s="711"/>
      <c r="Q29502" s="11"/>
      <c r="R29502" s="11"/>
      <c r="S29502" s="11"/>
      <c r="T29502" s="11"/>
    </row>
    <row r="29503" spans="8:20" x14ac:dyDescent="0.35">
      <c r="H29503" s="711"/>
      <c r="I29503" s="711"/>
      <c r="J29503" s="711"/>
      <c r="K29503" s="711"/>
      <c r="L29503" s="711"/>
      <c r="Q29503" s="11"/>
      <c r="R29503" s="11"/>
      <c r="S29503" s="11"/>
      <c r="T29503" s="11"/>
    </row>
    <row r="29504" spans="8:20" x14ac:dyDescent="0.35">
      <c r="H29504" s="711"/>
      <c r="I29504" s="711"/>
      <c r="J29504" s="711"/>
      <c r="K29504" s="711"/>
      <c r="L29504" s="711"/>
      <c r="Q29504" s="11"/>
      <c r="R29504" s="11"/>
      <c r="S29504" s="11"/>
      <c r="T29504" s="11"/>
    </row>
    <row r="29505" spans="8:20" x14ac:dyDescent="0.35">
      <c r="H29505" s="711"/>
      <c r="I29505" s="711"/>
      <c r="J29505" s="711"/>
      <c r="K29505" s="711"/>
      <c r="L29505" s="711"/>
      <c r="Q29505" s="11"/>
      <c r="R29505" s="11"/>
      <c r="S29505" s="11"/>
      <c r="T29505" s="11"/>
    </row>
    <row r="29506" spans="8:20" x14ac:dyDescent="0.35">
      <c r="H29506" s="711"/>
      <c r="I29506" s="711"/>
      <c r="J29506" s="711"/>
      <c r="K29506" s="711"/>
      <c r="L29506" s="711"/>
      <c r="Q29506" s="11"/>
      <c r="R29506" s="11"/>
      <c r="S29506" s="11"/>
      <c r="T29506" s="11"/>
    </row>
    <row r="29507" spans="8:20" x14ac:dyDescent="0.35">
      <c r="H29507" s="711"/>
      <c r="I29507" s="711"/>
      <c r="J29507" s="711"/>
      <c r="K29507" s="711"/>
      <c r="L29507" s="711"/>
      <c r="Q29507" s="11"/>
      <c r="R29507" s="11"/>
      <c r="S29507" s="11"/>
      <c r="T29507" s="11"/>
    </row>
    <row r="29508" spans="8:20" x14ac:dyDescent="0.35">
      <c r="H29508" s="711"/>
      <c r="I29508" s="711"/>
      <c r="J29508" s="711"/>
      <c r="K29508" s="711"/>
      <c r="L29508" s="711"/>
      <c r="Q29508" s="11"/>
      <c r="R29508" s="11"/>
      <c r="S29508" s="11"/>
      <c r="T29508" s="11"/>
    </row>
    <row r="29509" spans="8:20" x14ac:dyDescent="0.35">
      <c r="H29509" s="711"/>
      <c r="I29509" s="711"/>
      <c r="J29509" s="711"/>
      <c r="K29509" s="711"/>
      <c r="L29509" s="711"/>
      <c r="Q29509" s="11"/>
      <c r="R29509" s="11"/>
      <c r="S29509" s="11"/>
      <c r="T29509" s="11"/>
    </row>
    <row r="29510" spans="8:20" x14ac:dyDescent="0.35">
      <c r="H29510" s="711"/>
      <c r="I29510" s="711"/>
      <c r="J29510" s="711"/>
      <c r="K29510" s="711"/>
      <c r="L29510" s="711"/>
      <c r="Q29510" s="11"/>
      <c r="R29510" s="11"/>
      <c r="S29510" s="11"/>
      <c r="T29510" s="11"/>
    </row>
    <row r="29511" spans="8:20" x14ac:dyDescent="0.35">
      <c r="H29511" s="711"/>
      <c r="I29511" s="711"/>
      <c r="J29511" s="711"/>
      <c r="K29511" s="711"/>
      <c r="L29511" s="711"/>
      <c r="Q29511" s="11"/>
      <c r="R29511" s="11"/>
      <c r="S29511" s="11"/>
      <c r="T29511" s="11"/>
    </row>
    <row r="29512" spans="8:20" x14ac:dyDescent="0.35">
      <c r="H29512" s="711"/>
      <c r="I29512" s="711"/>
      <c r="J29512" s="711"/>
      <c r="K29512" s="711"/>
      <c r="L29512" s="711"/>
      <c r="Q29512" s="11"/>
      <c r="R29512" s="11"/>
      <c r="S29512" s="11"/>
      <c r="T29512" s="11"/>
    </row>
    <row r="29513" spans="8:20" x14ac:dyDescent="0.35">
      <c r="H29513" s="711"/>
      <c r="I29513" s="711"/>
      <c r="J29513" s="711"/>
      <c r="K29513" s="711"/>
      <c r="L29513" s="711"/>
      <c r="Q29513" s="11"/>
      <c r="R29513" s="11"/>
      <c r="S29513" s="11"/>
      <c r="T29513" s="11"/>
    </row>
    <row r="29514" spans="8:20" x14ac:dyDescent="0.35">
      <c r="H29514" s="711"/>
      <c r="I29514" s="711"/>
      <c r="J29514" s="711"/>
      <c r="K29514" s="711"/>
      <c r="L29514" s="711"/>
      <c r="Q29514" s="11"/>
      <c r="R29514" s="11"/>
      <c r="S29514" s="11"/>
      <c r="T29514" s="11"/>
    </row>
    <row r="29515" spans="8:20" x14ac:dyDescent="0.35">
      <c r="H29515" s="711"/>
      <c r="I29515" s="711"/>
      <c r="J29515" s="711"/>
      <c r="K29515" s="711"/>
      <c r="L29515" s="711"/>
      <c r="Q29515" s="11"/>
      <c r="R29515" s="11"/>
      <c r="S29515" s="11"/>
      <c r="T29515" s="11"/>
    </row>
    <row r="29516" spans="8:20" x14ac:dyDescent="0.35">
      <c r="H29516" s="711"/>
      <c r="I29516" s="711"/>
      <c r="J29516" s="711"/>
      <c r="K29516" s="711"/>
      <c r="L29516" s="711"/>
      <c r="Q29516" s="11"/>
      <c r="R29516" s="11"/>
      <c r="S29516" s="11"/>
      <c r="T29516" s="11"/>
    </row>
    <row r="29517" spans="8:20" x14ac:dyDescent="0.35">
      <c r="H29517" s="711"/>
      <c r="I29517" s="711"/>
      <c r="J29517" s="711"/>
      <c r="K29517" s="711"/>
      <c r="L29517" s="711"/>
      <c r="Q29517" s="11"/>
      <c r="R29517" s="11"/>
      <c r="S29517" s="11"/>
      <c r="T29517" s="11"/>
    </row>
    <row r="29518" spans="8:20" x14ac:dyDescent="0.35">
      <c r="H29518" s="711"/>
      <c r="I29518" s="711"/>
      <c r="J29518" s="711"/>
      <c r="K29518" s="711"/>
      <c r="L29518" s="711"/>
      <c r="Q29518" s="11"/>
      <c r="R29518" s="11"/>
      <c r="S29518" s="11"/>
      <c r="T29518" s="11"/>
    </row>
    <row r="29519" spans="8:20" x14ac:dyDescent="0.35">
      <c r="H29519" s="711"/>
      <c r="I29519" s="711"/>
      <c r="J29519" s="711"/>
      <c r="K29519" s="711"/>
      <c r="L29519" s="711"/>
      <c r="Q29519" s="11"/>
      <c r="R29519" s="11"/>
      <c r="S29519" s="11"/>
      <c r="T29519" s="11"/>
    </row>
    <row r="29520" spans="8:20" x14ac:dyDescent="0.35">
      <c r="H29520" s="711"/>
      <c r="I29520" s="711"/>
      <c r="J29520" s="711"/>
      <c r="K29520" s="711"/>
      <c r="L29520" s="711"/>
      <c r="Q29520" s="11"/>
      <c r="R29520" s="11"/>
      <c r="S29520" s="11"/>
      <c r="T29520" s="11"/>
    </row>
    <row r="29521" spans="8:20" x14ac:dyDescent="0.35">
      <c r="H29521" s="711"/>
      <c r="I29521" s="711"/>
      <c r="J29521" s="711"/>
      <c r="K29521" s="711"/>
      <c r="L29521" s="711"/>
      <c r="Q29521" s="11"/>
      <c r="R29521" s="11"/>
      <c r="S29521" s="11"/>
      <c r="T29521" s="11"/>
    </row>
    <row r="29522" spans="8:20" x14ac:dyDescent="0.35">
      <c r="H29522" s="711"/>
      <c r="I29522" s="711"/>
      <c r="J29522" s="711"/>
      <c r="K29522" s="711"/>
      <c r="L29522" s="711"/>
      <c r="Q29522" s="11"/>
      <c r="R29522" s="11"/>
      <c r="S29522" s="11"/>
      <c r="T29522" s="11"/>
    </row>
    <row r="29523" spans="8:20" x14ac:dyDescent="0.35">
      <c r="H29523" s="711"/>
      <c r="I29523" s="711"/>
      <c r="J29523" s="711"/>
      <c r="K29523" s="711"/>
      <c r="L29523" s="711"/>
      <c r="Q29523" s="11"/>
      <c r="R29523" s="11"/>
      <c r="S29523" s="11"/>
      <c r="T29523" s="11"/>
    </row>
    <row r="29524" spans="8:20" x14ac:dyDescent="0.35">
      <c r="H29524" s="711"/>
      <c r="I29524" s="711"/>
      <c r="J29524" s="711"/>
      <c r="K29524" s="711"/>
      <c r="L29524" s="711"/>
      <c r="Q29524" s="11"/>
      <c r="R29524" s="11"/>
      <c r="S29524" s="11"/>
      <c r="T29524" s="11"/>
    </row>
    <row r="29525" spans="8:20" x14ac:dyDescent="0.35">
      <c r="H29525" s="711"/>
      <c r="I29525" s="711"/>
      <c r="J29525" s="711"/>
      <c r="K29525" s="711"/>
      <c r="L29525" s="711"/>
      <c r="Q29525" s="11"/>
      <c r="R29525" s="11"/>
      <c r="S29525" s="11"/>
      <c r="T29525" s="11"/>
    </row>
    <row r="29526" spans="8:20" x14ac:dyDescent="0.35">
      <c r="H29526" s="711"/>
      <c r="I29526" s="711"/>
      <c r="J29526" s="711"/>
      <c r="K29526" s="711"/>
      <c r="L29526" s="711"/>
      <c r="Q29526" s="11"/>
      <c r="R29526" s="11"/>
      <c r="S29526" s="11"/>
      <c r="T29526" s="11"/>
    </row>
    <row r="29527" spans="8:20" x14ac:dyDescent="0.35">
      <c r="H29527" s="711"/>
      <c r="I29527" s="711"/>
      <c r="J29527" s="711"/>
      <c r="K29527" s="711"/>
      <c r="L29527" s="711"/>
      <c r="Q29527" s="11"/>
      <c r="R29527" s="11"/>
      <c r="S29527" s="11"/>
      <c r="T29527" s="11"/>
    </row>
    <row r="29528" spans="8:20" x14ac:dyDescent="0.35">
      <c r="H29528" s="711"/>
      <c r="I29528" s="711"/>
      <c r="J29528" s="711"/>
      <c r="K29528" s="711"/>
      <c r="L29528" s="711"/>
      <c r="Q29528" s="11"/>
      <c r="R29528" s="11"/>
      <c r="S29528" s="11"/>
      <c r="T29528" s="11"/>
    </row>
    <row r="29529" spans="8:20" x14ac:dyDescent="0.35">
      <c r="H29529" s="711"/>
      <c r="I29529" s="711"/>
      <c r="J29529" s="711"/>
      <c r="K29529" s="711"/>
      <c r="L29529" s="711"/>
      <c r="Q29529" s="11"/>
      <c r="R29529" s="11"/>
      <c r="S29529" s="11"/>
      <c r="T29529" s="11"/>
    </row>
    <row r="29530" spans="8:20" x14ac:dyDescent="0.35">
      <c r="H29530" s="711"/>
      <c r="I29530" s="711"/>
      <c r="J29530" s="711"/>
      <c r="K29530" s="711"/>
      <c r="L29530" s="711"/>
      <c r="Q29530" s="11"/>
      <c r="R29530" s="11"/>
      <c r="S29530" s="11"/>
      <c r="T29530" s="11"/>
    </row>
    <row r="29531" spans="8:20" x14ac:dyDescent="0.35">
      <c r="H29531" s="711"/>
      <c r="I29531" s="711"/>
      <c r="J29531" s="711"/>
      <c r="K29531" s="711"/>
      <c r="L29531" s="711"/>
      <c r="Q29531" s="11"/>
      <c r="R29531" s="11"/>
      <c r="S29531" s="11"/>
      <c r="T29531" s="11"/>
    </row>
    <row r="29532" spans="8:20" x14ac:dyDescent="0.35">
      <c r="H29532" s="711"/>
      <c r="I29532" s="711"/>
      <c r="J29532" s="711"/>
      <c r="K29532" s="711"/>
      <c r="L29532" s="711"/>
      <c r="Q29532" s="11"/>
      <c r="R29532" s="11"/>
      <c r="S29532" s="11"/>
      <c r="T29532" s="11"/>
    </row>
    <row r="29533" spans="8:20" x14ac:dyDescent="0.35">
      <c r="H29533" s="711"/>
      <c r="I29533" s="711"/>
      <c r="J29533" s="711"/>
      <c r="K29533" s="711"/>
      <c r="L29533" s="711"/>
      <c r="Q29533" s="11"/>
      <c r="R29533" s="11"/>
      <c r="S29533" s="11"/>
      <c r="T29533" s="11"/>
    </row>
    <row r="29534" spans="8:20" x14ac:dyDescent="0.35">
      <c r="H29534" s="711"/>
      <c r="I29534" s="711"/>
      <c r="J29534" s="711"/>
      <c r="K29534" s="711"/>
      <c r="L29534" s="711"/>
      <c r="Q29534" s="11"/>
      <c r="R29534" s="11"/>
      <c r="S29534" s="11"/>
      <c r="T29534" s="11"/>
    </row>
    <row r="29535" spans="8:20" x14ac:dyDescent="0.35">
      <c r="H29535" s="711"/>
      <c r="I29535" s="711"/>
      <c r="J29535" s="711"/>
      <c r="K29535" s="711"/>
      <c r="L29535" s="711"/>
      <c r="Q29535" s="11"/>
      <c r="R29535" s="11"/>
      <c r="S29535" s="11"/>
      <c r="T29535" s="11"/>
    </row>
    <row r="29536" spans="8:20" x14ac:dyDescent="0.35">
      <c r="H29536" s="711"/>
      <c r="I29536" s="711"/>
      <c r="J29536" s="711"/>
      <c r="K29536" s="711"/>
      <c r="L29536" s="711"/>
      <c r="Q29536" s="11"/>
      <c r="R29536" s="11"/>
      <c r="S29536" s="11"/>
      <c r="T29536" s="11"/>
    </row>
    <row r="29537" spans="8:20" x14ac:dyDescent="0.35">
      <c r="H29537" s="711"/>
      <c r="I29537" s="711"/>
      <c r="J29537" s="711"/>
      <c r="K29537" s="711"/>
      <c r="L29537" s="711"/>
      <c r="Q29537" s="11"/>
      <c r="R29537" s="11"/>
      <c r="S29537" s="11"/>
      <c r="T29537" s="11"/>
    </row>
    <row r="29538" spans="8:20" x14ac:dyDescent="0.35">
      <c r="H29538" s="711"/>
      <c r="I29538" s="711"/>
      <c r="J29538" s="711"/>
      <c r="K29538" s="711"/>
      <c r="L29538" s="711"/>
      <c r="Q29538" s="11"/>
      <c r="R29538" s="11"/>
      <c r="S29538" s="11"/>
      <c r="T29538" s="11"/>
    </row>
    <row r="29539" spans="8:20" x14ac:dyDescent="0.35">
      <c r="H29539" s="711"/>
      <c r="I29539" s="711"/>
      <c r="J29539" s="711"/>
      <c r="K29539" s="711"/>
      <c r="L29539" s="711"/>
      <c r="Q29539" s="11"/>
      <c r="R29539" s="11"/>
      <c r="S29539" s="11"/>
      <c r="T29539" s="11"/>
    </row>
    <row r="29540" spans="8:20" x14ac:dyDescent="0.35">
      <c r="H29540" s="711"/>
      <c r="I29540" s="711"/>
      <c r="J29540" s="711"/>
      <c r="K29540" s="711"/>
      <c r="L29540" s="711"/>
      <c r="Q29540" s="11"/>
      <c r="R29540" s="11"/>
      <c r="S29540" s="11"/>
      <c r="T29540" s="11"/>
    </row>
    <row r="29541" spans="8:20" x14ac:dyDescent="0.35">
      <c r="H29541" s="711"/>
      <c r="I29541" s="711"/>
      <c r="J29541" s="711"/>
      <c r="K29541" s="711"/>
      <c r="L29541" s="711"/>
      <c r="Q29541" s="11"/>
      <c r="R29541" s="11"/>
      <c r="S29541" s="11"/>
      <c r="T29541" s="11"/>
    </row>
    <row r="29542" spans="8:20" x14ac:dyDescent="0.35">
      <c r="H29542" s="711"/>
      <c r="I29542" s="711"/>
      <c r="J29542" s="711"/>
      <c r="K29542" s="711"/>
      <c r="L29542" s="711"/>
      <c r="Q29542" s="11"/>
      <c r="R29542" s="11"/>
      <c r="S29542" s="11"/>
      <c r="T29542" s="11"/>
    </row>
    <row r="29543" spans="8:20" x14ac:dyDescent="0.35">
      <c r="H29543" s="711"/>
      <c r="I29543" s="711"/>
      <c r="J29543" s="711"/>
      <c r="K29543" s="711"/>
      <c r="L29543" s="711"/>
      <c r="Q29543" s="11"/>
      <c r="R29543" s="11"/>
      <c r="S29543" s="11"/>
      <c r="T29543" s="11"/>
    </row>
    <row r="29544" spans="8:20" x14ac:dyDescent="0.35">
      <c r="H29544" s="711"/>
      <c r="I29544" s="711"/>
      <c r="J29544" s="711"/>
      <c r="K29544" s="711"/>
      <c r="L29544" s="711"/>
      <c r="Q29544" s="11"/>
      <c r="R29544" s="11"/>
      <c r="S29544" s="11"/>
      <c r="T29544" s="11"/>
    </row>
    <row r="29545" spans="8:20" x14ac:dyDescent="0.35">
      <c r="H29545" s="711"/>
      <c r="I29545" s="711"/>
      <c r="J29545" s="711"/>
      <c r="K29545" s="711"/>
      <c r="L29545" s="711"/>
      <c r="Q29545" s="11"/>
      <c r="R29545" s="11"/>
      <c r="S29545" s="11"/>
      <c r="T29545" s="11"/>
    </row>
    <row r="29546" spans="8:20" x14ac:dyDescent="0.35">
      <c r="H29546" s="711"/>
      <c r="I29546" s="711"/>
      <c r="J29546" s="711"/>
      <c r="K29546" s="711"/>
      <c r="L29546" s="711"/>
      <c r="Q29546" s="11"/>
      <c r="R29546" s="11"/>
      <c r="S29546" s="11"/>
      <c r="T29546" s="11"/>
    </row>
    <row r="29547" spans="8:20" x14ac:dyDescent="0.35">
      <c r="H29547" s="711"/>
      <c r="I29547" s="711"/>
      <c r="J29547" s="711"/>
      <c r="K29547" s="711"/>
      <c r="L29547" s="711"/>
      <c r="Q29547" s="11"/>
      <c r="R29547" s="11"/>
      <c r="S29547" s="11"/>
      <c r="T29547" s="11"/>
    </row>
    <row r="29548" spans="8:20" x14ac:dyDescent="0.35">
      <c r="H29548" s="711"/>
      <c r="I29548" s="711"/>
      <c r="J29548" s="711"/>
      <c r="K29548" s="711"/>
      <c r="L29548" s="711"/>
      <c r="Q29548" s="11"/>
      <c r="R29548" s="11"/>
      <c r="S29548" s="11"/>
      <c r="T29548" s="11"/>
    </row>
    <row r="29549" spans="8:20" x14ac:dyDescent="0.35">
      <c r="H29549" s="711"/>
      <c r="I29549" s="711"/>
      <c r="J29549" s="711"/>
      <c r="K29549" s="711"/>
      <c r="L29549" s="711"/>
      <c r="Q29549" s="11"/>
      <c r="R29549" s="11"/>
      <c r="S29549" s="11"/>
      <c r="T29549" s="11"/>
    </row>
    <row r="29550" spans="8:20" x14ac:dyDescent="0.35">
      <c r="H29550" s="711"/>
      <c r="I29550" s="711"/>
      <c r="J29550" s="711"/>
      <c r="K29550" s="711"/>
      <c r="L29550" s="711"/>
      <c r="Q29550" s="11"/>
      <c r="R29550" s="11"/>
      <c r="S29550" s="11"/>
      <c r="T29550" s="11"/>
    </row>
    <row r="29551" spans="8:20" x14ac:dyDescent="0.35">
      <c r="H29551" s="711"/>
      <c r="I29551" s="711"/>
      <c r="J29551" s="711"/>
      <c r="K29551" s="711"/>
      <c r="L29551" s="711"/>
      <c r="Q29551" s="11"/>
      <c r="R29551" s="11"/>
      <c r="S29551" s="11"/>
      <c r="T29551" s="11"/>
    </row>
    <row r="29552" spans="8:20" x14ac:dyDescent="0.35">
      <c r="H29552" s="711"/>
      <c r="I29552" s="711"/>
      <c r="J29552" s="711"/>
      <c r="K29552" s="711"/>
      <c r="L29552" s="711"/>
      <c r="Q29552" s="11"/>
      <c r="R29552" s="11"/>
      <c r="S29552" s="11"/>
      <c r="T29552" s="11"/>
    </row>
    <row r="29553" spans="8:20" x14ac:dyDescent="0.35">
      <c r="H29553" s="711"/>
      <c r="I29553" s="711"/>
      <c r="J29553" s="711"/>
      <c r="K29553" s="711"/>
      <c r="L29553" s="711"/>
      <c r="Q29553" s="11"/>
      <c r="R29553" s="11"/>
      <c r="S29553" s="11"/>
      <c r="T29553" s="11"/>
    </row>
    <row r="29554" spans="8:20" x14ac:dyDescent="0.35">
      <c r="H29554" s="711"/>
      <c r="I29554" s="711"/>
      <c r="J29554" s="711"/>
      <c r="K29554" s="711"/>
      <c r="L29554" s="711"/>
      <c r="Q29554" s="11"/>
      <c r="R29554" s="11"/>
      <c r="S29554" s="11"/>
      <c r="T29554" s="11"/>
    </row>
    <row r="29555" spans="8:20" x14ac:dyDescent="0.35">
      <c r="H29555" s="711"/>
      <c r="I29555" s="711"/>
      <c r="J29555" s="711"/>
      <c r="K29555" s="711"/>
      <c r="L29555" s="711"/>
      <c r="Q29555" s="11"/>
      <c r="R29555" s="11"/>
      <c r="S29555" s="11"/>
      <c r="T29555" s="11"/>
    </row>
    <row r="29556" spans="8:20" x14ac:dyDescent="0.35">
      <c r="H29556" s="711"/>
      <c r="I29556" s="711"/>
      <c r="J29556" s="711"/>
      <c r="K29556" s="711"/>
      <c r="L29556" s="711"/>
      <c r="Q29556" s="11"/>
      <c r="R29556" s="11"/>
      <c r="S29556" s="11"/>
      <c r="T29556" s="11"/>
    </row>
    <row r="29557" spans="8:20" x14ac:dyDescent="0.35">
      <c r="H29557" s="711"/>
      <c r="I29557" s="711"/>
      <c r="J29557" s="711"/>
      <c r="K29557" s="711"/>
      <c r="L29557" s="711"/>
      <c r="Q29557" s="11"/>
      <c r="R29557" s="11"/>
      <c r="S29557" s="11"/>
      <c r="T29557" s="11"/>
    </row>
    <row r="29558" spans="8:20" x14ac:dyDescent="0.35">
      <c r="H29558" s="711"/>
      <c r="I29558" s="711"/>
      <c r="J29558" s="711"/>
      <c r="K29558" s="711"/>
      <c r="L29558" s="711"/>
      <c r="Q29558" s="11"/>
      <c r="R29558" s="11"/>
      <c r="S29558" s="11"/>
      <c r="T29558" s="11"/>
    </row>
    <row r="29559" spans="8:20" x14ac:dyDescent="0.35">
      <c r="H29559" s="711"/>
      <c r="I29559" s="711"/>
      <c r="J29559" s="711"/>
      <c r="K29559" s="711"/>
      <c r="L29559" s="711"/>
      <c r="Q29559" s="11"/>
      <c r="R29559" s="11"/>
      <c r="S29559" s="11"/>
      <c r="T29559" s="11"/>
    </row>
    <row r="29560" spans="8:20" x14ac:dyDescent="0.35">
      <c r="H29560" s="711"/>
      <c r="I29560" s="711"/>
      <c r="J29560" s="711"/>
      <c r="K29560" s="711"/>
      <c r="L29560" s="711"/>
      <c r="Q29560" s="11"/>
      <c r="R29560" s="11"/>
      <c r="S29560" s="11"/>
      <c r="T29560" s="11"/>
    </row>
    <row r="29561" spans="8:20" x14ac:dyDescent="0.35">
      <c r="H29561" s="711"/>
      <c r="I29561" s="711"/>
      <c r="J29561" s="711"/>
      <c r="K29561" s="711"/>
      <c r="L29561" s="711"/>
      <c r="Q29561" s="11"/>
      <c r="R29561" s="11"/>
      <c r="S29561" s="11"/>
      <c r="T29561" s="11"/>
    </row>
    <row r="29562" spans="8:20" x14ac:dyDescent="0.35">
      <c r="H29562" s="711"/>
      <c r="I29562" s="711"/>
      <c r="J29562" s="711"/>
      <c r="K29562" s="711"/>
      <c r="L29562" s="711"/>
      <c r="Q29562" s="11"/>
      <c r="R29562" s="11"/>
      <c r="S29562" s="11"/>
      <c r="T29562" s="11"/>
    </row>
    <row r="29563" spans="8:20" x14ac:dyDescent="0.35">
      <c r="H29563" s="711"/>
      <c r="I29563" s="711"/>
      <c r="J29563" s="711"/>
      <c r="K29563" s="711"/>
      <c r="L29563" s="711"/>
      <c r="Q29563" s="11"/>
      <c r="R29563" s="11"/>
      <c r="S29563" s="11"/>
      <c r="T29563" s="11"/>
    </row>
    <row r="29564" spans="8:20" x14ac:dyDescent="0.35">
      <c r="H29564" s="711"/>
      <c r="I29564" s="711"/>
      <c r="J29564" s="711"/>
      <c r="K29564" s="711"/>
      <c r="L29564" s="711"/>
      <c r="Q29564" s="11"/>
      <c r="R29564" s="11"/>
      <c r="S29564" s="11"/>
      <c r="T29564" s="11"/>
    </row>
    <row r="29565" spans="8:20" x14ac:dyDescent="0.35">
      <c r="H29565" s="711"/>
      <c r="I29565" s="711"/>
      <c r="J29565" s="711"/>
      <c r="K29565" s="711"/>
      <c r="L29565" s="711"/>
      <c r="Q29565" s="11"/>
      <c r="R29565" s="11"/>
      <c r="S29565" s="11"/>
      <c r="T29565" s="11"/>
    </row>
    <row r="29566" spans="8:20" x14ac:dyDescent="0.35">
      <c r="H29566" s="711"/>
      <c r="I29566" s="711"/>
      <c r="J29566" s="711"/>
      <c r="K29566" s="711"/>
      <c r="L29566" s="711"/>
      <c r="Q29566" s="11"/>
      <c r="R29566" s="11"/>
      <c r="S29566" s="11"/>
      <c r="T29566" s="11"/>
    </row>
    <row r="29567" spans="8:20" x14ac:dyDescent="0.35">
      <c r="H29567" s="711"/>
      <c r="I29567" s="711"/>
      <c r="J29567" s="711"/>
      <c r="K29567" s="711"/>
      <c r="L29567" s="711"/>
      <c r="Q29567" s="11"/>
      <c r="R29567" s="11"/>
      <c r="S29567" s="11"/>
      <c r="T29567" s="11"/>
    </row>
    <row r="29568" spans="8:20" x14ac:dyDescent="0.35">
      <c r="H29568" s="711"/>
      <c r="I29568" s="711"/>
      <c r="J29568" s="711"/>
      <c r="K29568" s="711"/>
      <c r="L29568" s="711"/>
      <c r="Q29568" s="11"/>
      <c r="R29568" s="11"/>
      <c r="S29568" s="11"/>
      <c r="T29568" s="11"/>
    </row>
    <row r="29569" spans="8:20" x14ac:dyDescent="0.35">
      <c r="H29569" s="711"/>
      <c r="I29569" s="711"/>
      <c r="J29569" s="711"/>
      <c r="K29569" s="711"/>
      <c r="L29569" s="711"/>
      <c r="Q29569" s="11"/>
      <c r="R29569" s="11"/>
      <c r="S29569" s="11"/>
      <c r="T29569" s="11"/>
    </row>
    <row r="29570" spans="8:20" x14ac:dyDescent="0.35">
      <c r="H29570" s="711"/>
      <c r="I29570" s="711"/>
      <c r="J29570" s="711"/>
      <c r="K29570" s="711"/>
      <c r="L29570" s="711"/>
      <c r="Q29570" s="11"/>
      <c r="R29570" s="11"/>
      <c r="S29570" s="11"/>
      <c r="T29570" s="11"/>
    </row>
    <row r="29571" spans="8:20" x14ac:dyDescent="0.35">
      <c r="H29571" s="711"/>
      <c r="I29571" s="711"/>
      <c r="J29571" s="711"/>
      <c r="K29571" s="711"/>
      <c r="L29571" s="711"/>
      <c r="Q29571" s="11"/>
      <c r="R29571" s="11"/>
      <c r="S29571" s="11"/>
      <c r="T29571" s="11"/>
    </row>
    <row r="29572" spans="8:20" x14ac:dyDescent="0.35">
      <c r="H29572" s="711"/>
      <c r="I29572" s="711"/>
      <c r="J29572" s="711"/>
      <c r="K29572" s="711"/>
      <c r="L29572" s="711"/>
      <c r="Q29572" s="11"/>
      <c r="R29572" s="11"/>
      <c r="S29572" s="11"/>
      <c r="T29572" s="11"/>
    </row>
    <row r="29573" spans="8:20" x14ac:dyDescent="0.35">
      <c r="H29573" s="711"/>
      <c r="I29573" s="711"/>
      <c r="J29573" s="711"/>
      <c r="K29573" s="711"/>
      <c r="L29573" s="711"/>
      <c r="Q29573" s="11"/>
      <c r="R29573" s="11"/>
      <c r="S29573" s="11"/>
      <c r="T29573" s="11"/>
    </row>
    <row r="29574" spans="8:20" x14ac:dyDescent="0.35">
      <c r="H29574" s="711"/>
      <c r="I29574" s="711"/>
      <c r="J29574" s="711"/>
      <c r="K29574" s="711"/>
      <c r="L29574" s="711"/>
      <c r="Q29574" s="11"/>
      <c r="R29574" s="11"/>
      <c r="S29574" s="11"/>
      <c r="T29574" s="11"/>
    </row>
    <row r="29575" spans="8:20" x14ac:dyDescent="0.35">
      <c r="H29575" s="711"/>
      <c r="I29575" s="711"/>
      <c r="J29575" s="711"/>
      <c r="K29575" s="711"/>
      <c r="L29575" s="711"/>
      <c r="Q29575" s="11"/>
      <c r="R29575" s="11"/>
      <c r="S29575" s="11"/>
      <c r="T29575" s="11"/>
    </row>
    <row r="29576" spans="8:20" x14ac:dyDescent="0.35">
      <c r="H29576" s="711"/>
      <c r="I29576" s="711"/>
      <c r="J29576" s="711"/>
      <c r="K29576" s="711"/>
      <c r="L29576" s="711"/>
      <c r="Q29576" s="11"/>
      <c r="R29576" s="11"/>
      <c r="S29576" s="11"/>
      <c r="T29576" s="11"/>
    </row>
    <row r="29577" spans="8:20" x14ac:dyDescent="0.35">
      <c r="H29577" s="711"/>
      <c r="I29577" s="711"/>
      <c r="J29577" s="711"/>
      <c r="K29577" s="711"/>
      <c r="L29577" s="711"/>
      <c r="Q29577" s="11"/>
      <c r="R29577" s="11"/>
      <c r="S29577" s="11"/>
      <c r="T29577" s="11"/>
    </row>
    <row r="29578" spans="8:20" x14ac:dyDescent="0.35">
      <c r="H29578" s="711"/>
      <c r="I29578" s="711"/>
      <c r="J29578" s="711"/>
      <c r="K29578" s="711"/>
      <c r="L29578" s="711"/>
      <c r="Q29578" s="11"/>
      <c r="R29578" s="11"/>
      <c r="S29578" s="11"/>
      <c r="T29578" s="11"/>
    </row>
    <row r="29579" spans="8:20" x14ac:dyDescent="0.35">
      <c r="H29579" s="711"/>
      <c r="I29579" s="711"/>
      <c r="J29579" s="711"/>
      <c r="K29579" s="711"/>
      <c r="L29579" s="711"/>
      <c r="Q29579" s="11"/>
      <c r="R29579" s="11"/>
      <c r="S29579" s="11"/>
      <c r="T29579" s="11"/>
    </row>
    <row r="29580" spans="8:20" x14ac:dyDescent="0.35">
      <c r="H29580" s="711"/>
      <c r="I29580" s="711"/>
      <c r="J29580" s="711"/>
      <c r="K29580" s="711"/>
      <c r="L29580" s="711"/>
      <c r="Q29580" s="11"/>
      <c r="R29580" s="11"/>
      <c r="S29580" s="11"/>
      <c r="T29580" s="11"/>
    </row>
    <row r="29581" spans="8:20" x14ac:dyDescent="0.35">
      <c r="H29581" s="711"/>
      <c r="I29581" s="711"/>
      <c r="J29581" s="711"/>
      <c r="K29581" s="711"/>
      <c r="L29581" s="711"/>
      <c r="Q29581" s="11"/>
      <c r="R29581" s="11"/>
      <c r="S29581" s="11"/>
      <c r="T29581" s="11"/>
    </row>
    <row r="29582" spans="8:20" x14ac:dyDescent="0.35">
      <c r="H29582" s="711"/>
      <c r="I29582" s="711"/>
      <c r="J29582" s="711"/>
      <c r="K29582" s="711"/>
      <c r="L29582" s="711"/>
      <c r="Q29582" s="11"/>
      <c r="R29582" s="11"/>
      <c r="S29582" s="11"/>
      <c r="T29582" s="11"/>
    </row>
    <row r="29583" spans="8:20" x14ac:dyDescent="0.35">
      <c r="H29583" s="711"/>
      <c r="I29583" s="711"/>
      <c r="J29583" s="711"/>
      <c r="K29583" s="711"/>
      <c r="L29583" s="711"/>
      <c r="Q29583" s="11"/>
      <c r="R29583" s="11"/>
      <c r="S29583" s="11"/>
      <c r="T29583" s="11"/>
    </row>
    <row r="29584" spans="8:20" x14ac:dyDescent="0.35">
      <c r="H29584" s="711"/>
      <c r="I29584" s="711"/>
      <c r="J29584" s="711"/>
      <c r="K29584" s="711"/>
      <c r="L29584" s="711"/>
      <c r="Q29584" s="11"/>
      <c r="R29584" s="11"/>
      <c r="S29584" s="11"/>
      <c r="T29584" s="11"/>
    </row>
    <row r="29585" spans="8:20" x14ac:dyDescent="0.35">
      <c r="H29585" s="711"/>
      <c r="I29585" s="711"/>
      <c r="J29585" s="711"/>
      <c r="K29585" s="711"/>
      <c r="L29585" s="711"/>
      <c r="Q29585" s="11"/>
      <c r="R29585" s="11"/>
      <c r="S29585" s="11"/>
      <c r="T29585" s="11"/>
    </row>
    <row r="29586" spans="8:20" x14ac:dyDescent="0.35">
      <c r="H29586" s="711"/>
      <c r="I29586" s="711"/>
      <c r="J29586" s="711"/>
      <c r="K29586" s="711"/>
      <c r="L29586" s="711"/>
      <c r="Q29586" s="11"/>
      <c r="R29586" s="11"/>
      <c r="S29586" s="11"/>
      <c r="T29586" s="11"/>
    </row>
    <row r="29587" spans="8:20" x14ac:dyDescent="0.35">
      <c r="H29587" s="711"/>
      <c r="I29587" s="711"/>
      <c r="J29587" s="711"/>
      <c r="K29587" s="711"/>
      <c r="L29587" s="711"/>
      <c r="Q29587" s="11"/>
      <c r="R29587" s="11"/>
      <c r="S29587" s="11"/>
      <c r="T29587" s="11"/>
    </row>
    <row r="29588" spans="8:20" x14ac:dyDescent="0.35">
      <c r="H29588" s="711"/>
      <c r="I29588" s="711"/>
      <c r="J29588" s="711"/>
      <c r="K29588" s="711"/>
      <c r="L29588" s="711"/>
      <c r="Q29588" s="11"/>
      <c r="R29588" s="11"/>
      <c r="S29588" s="11"/>
      <c r="T29588" s="11"/>
    </row>
    <row r="29589" spans="8:20" x14ac:dyDescent="0.35">
      <c r="H29589" s="711"/>
      <c r="I29589" s="711"/>
      <c r="J29589" s="711"/>
      <c r="K29589" s="711"/>
      <c r="L29589" s="711"/>
      <c r="Q29589" s="11"/>
      <c r="R29589" s="11"/>
      <c r="S29589" s="11"/>
      <c r="T29589" s="11"/>
    </row>
    <row r="29590" spans="8:20" x14ac:dyDescent="0.35">
      <c r="H29590" s="711"/>
      <c r="I29590" s="711"/>
      <c r="J29590" s="711"/>
      <c r="K29590" s="711"/>
      <c r="L29590" s="711"/>
      <c r="Q29590" s="11"/>
      <c r="R29590" s="11"/>
      <c r="S29590" s="11"/>
      <c r="T29590" s="11"/>
    </row>
    <row r="29591" spans="8:20" x14ac:dyDescent="0.35">
      <c r="H29591" s="711"/>
      <c r="I29591" s="711"/>
      <c r="J29591" s="711"/>
      <c r="K29591" s="711"/>
      <c r="L29591" s="711"/>
      <c r="Q29591" s="11"/>
      <c r="R29591" s="11"/>
      <c r="S29591" s="11"/>
      <c r="T29591" s="11"/>
    </row>
    <row r="29592" spans="8:20" x14ac:dyDescent="0.35">
      <c r="H29592" s="711"/>
      <c r="I29592" s="711"/>
      <c r="J29592" s="711"/>
      <c r="K29592" s="711"/>
      <c r="L29592" s="711"/>
      <c r="Q29592" s="11"/>
      <c r="R29592" s="11"/>
      <c r="S29592" s="11"/>
      <c r="T29592" s="11"/>
    </row>
    <row r="29593" spans="8:20" x14ac:dyDescent="0.35">
      <c r="H29593" s="711"/>
      <c r="I29593" s="711"/>
      <c r="J29593" s="711"/>
      <c r="K29593" s="711"/>
      <c r="L29593" s="711"/>
      <c r="Q29593" s="11"/>
      <c r="R29593" s="11"/>
      <c r="S29593" s="11"/>
      <c r="T29593" s="11"/>
    </row>
    <row r="29594" spans="8:20" x14ac:dyDescent="0.35">
      <c r="H29594" s="711"/>
      <c r="I29594" s="711"/>
      <c r="J29594" s="711"/>
      <c r="K29594" s="711"/>
      <c r="L29594" s="711"/>
      <c r="Q29594" s="11"/>
      <c r="R29594" s="11"/>
      <c r="S29594" s="11"/>
      <c r="T29594" s="11"/>
    </row>
    <row r="29595" spans="8:20" x14ac:dyDescent="0.35">
      <c r="H29595" s="711"/>
      <c r="I29595" s="711"/>
      <c r="J29595" s="711"/>
      <c r="K29595" s="711"/>
      <c r="L29595" s="711"/>
      <c r="Q29595" s="11"/>
      <c r="R29595" s="11"/>
      <c r="S29595" s="11"/>
      <c r="T29595" s="11"/>
    </row>
    <row r="29596" spans="8:20" x14ac:dyDescent="0.35">
      <c r="H29596" s="711"/>
      <c r="I29596" s="711"/>
      <c r="J29596" s="711"/>
      <c r="K29596" s="711"/>
      <c r="L29596" s="711"/>
      <c r="Q29596" s="11"/>
      <c r="R29596" s="11"/>
      <c r="S29596" s="11"/>
      <c r="T29596" s="11"/>
    </row>
    <row r="29597" spans="8:20" x14ac:dyDescent="0.35">
      <c r="H29597" s="711"/>
      <c r="I29597" s="711"/>
      <c r="J29597" s="711"/>
      <c r="K29597" s="711"/>
      <c r="L29597" s="711"/>
      <c r="Q29597" s="11"/>
      <c r="R29597" s="11"/>
      <c r="S29597" s="11"/>
      <c r="T29597" s="11"/>
    </row>
    <row r="29598" spans="8:20" x14ac:dyDescent="0.35">
      <c r="H29598" s="711"/>
      <c r="I29598" s="711"/>
      <c r="J29598" s="711"/>
      <c r="K29598" s="711"/>
      <c r="L29598" s="711"/>
      <c r="Q29598" s="11"/>
      <c r="R29598" s="11"/>
      <c r="S29598" s="11"/>
      <c r="T29598" s="11"/>
    </row>
    <row r="29599" spans="8:20" x14ac:dyDescent="0.35">
      <c r="H29599" s="711"/>
      <c r="I29599" s="711"/>
      <c r="J29599" s="711"/>
      <c r="K29599" s="711"/>
      <c r="L29599" s="711"/>
      <c r="Q29599" s="11"/>
      <c r="R29599" s="11"/>
      <c r="S29599" s="11"/>
      <c r="T29599" s="11"/>
    </row>
    <row r="29600" spans="8:20" x14ac:dyDescent="0.35">
      <c r="H29600" s="711"/>
      <c r="I29600" s="711"/>
      <c r="J29600" s="711"/>
      <c r="K29600" s="711"/>
      <c r="L29600" s="711"/>
      <c r="Q29600" s="11"/>
      <c r="R29600" s="11"/>
      <c r="S29600" s="11"/>
      <c r="T29600" s="11"/>
    </row>
    <row r="29601" spans="8:20" x14ac:dyDescent="0.35">
      <c r="H29601" s="711"/>
      <c r="I29601" s="711"/>
      <c r="J29601" s="711"/>
      <c r="K29601" s="711"/>
      <c r="L29601" s="711"/>
      <c r="Q29601" s="11"/>
      <c r="R29601" s="11"/>
      <c r="S29601" s="11"/>
      <c r="T29601" s="11"/>
    </row>
    <row r="29602" spans="8:20" x14ac:dyDescent="0.35">
      <c r="H29602" s="711"/>
      <c r="I29602" s="711"/>
      <c r="J29602" s="711"/>
      <c r="K29602" s="711"/>
      <c r="L29602" s="711"/>
      <c r="Q29602" s="11"/>
      <c r="R29602" s="11"/>
      <c r="S29602" s="11"/>
      <c r="T29602" s="11"/>
    </row>
    <row r="29603" spans="8:20" x14ac:dyDescent="0.35">
      <c r="H29603" s="711"/>
      <c r="I29603" s="711"/>
      <c r="J29603" s="711"/>
      <c r="K29603" s="711"/>
      <c r="L29603" s="711"/>
      <c r="Q29603" s="11"/>
      <c r="R29603" s="11"/>
      <c r="S29603" s="11"/>
      <c r="T29603" s="11"/>
    </row>
    <row r="29604" spans="8:20" x14ac:dyDescent="0.35">
      <c r="H29604" s="711"/>
      <c r="I29604" s="711"/>
      <c r="J29604" s="711"/>
      <c r="K29604" s="711"/>
      <c r="L29604" s="711"/>
      <c r="Q29604" s="11"/>
      <c r="R29604" s="11"/>
      <c r="S29604" s="11"/>
      <c r="T29604" s="11"/>
    </row>
    <row r="29605" spans="8:20" x14ac:dyDescent="0.35">
      <c r="H29605" s="711"/>
      <c r="I29605" s="711"/>
      <c r="J29605" s="711"/>
      <c r="K29605" s="711"/>
      <c r="L29605" s="711"/>
      <c r="Q29605" s="11"/>
      <c r="R29605" s="11"/>
      <c r="S29605" s="11"/>
      <c r="T29605" s="11"/>
    </row>
    <row r="29606" spans="8:20" x14ac:dyDescent="0.35">
      <c r="H29606" s="711"/>
      <c r="I29606" s="711"/>
      <c r="J29606" s="711"/>
      <c r="K29606" s="711"/>
      <c r="L29606" s="711"/>
      <c r="Q29606" s="11"/>
      <c r="R29606" s="11"/>
      <c r="S29606" s="11"/>
      <c r="T29606" s="11"/>
    </row>
    <row r="29607" spans="8:20" x14ac:dyDescent="0.35">
      <c r="H29607" s="711"/>
      <c r="I29607" s="711"/>
      <c r="J29607" s="711"/>
      <c r="K29607" s="711"/>
      <c r="L29607" s="711"/>
      <c r="Q29607" s="11"/>
      <c r="R29607" s="11"/>
      <c r="S29607" s="11"/>
      <c r="T29607" s="11"/>
    </row>
    <row r="29608" spans="8:20" x14ac:dyDescent="0.35">
      <c r="H29608" s="711"/>
      <c r="I29608" s="711"/>
      <c r="J29608" s="711"/>
      <c r="K29608" s="711"/>
      <c r="L29608" s="711"/>
      <c r="Q29608" s="11"/>
      <c r="R29608" s="11"/>
      <c r="S29608" s="11"/>
      <c r="T29608" s="11"/>
    </row>
    <row r="29609" spans="8:20" x14ac:dyDescent="0.35">
      <c r="H29609" s="711"/>
      <c r="I29609" s="711"/>
      <c r="J29609" s="711"/>
      <c r="K29609" s="711"/>
      <c r="L29609" s="711"/>
      <c r="Q29609" s="11"/>
      <c r="R29609" s="11"/>
      <c r="S29609" s="11"/>
      <c r="T29609" s="11"/>
    </row>
    <row r="29610" spans="8:20" x14ac:dyDescent="0.35">
      <c r="H29610" s="711"/>
      <c r="I29610" s="711"/>
      <c r="J29610" s="711"/>
      <c r="K29610" s="711"/>
      <c r="L29610" s="711"/>
      <c r="Q29610" s="11"/>
      <c r="R29610" s="11"/>
      <c r="S29610" s="11"/>
      <c r="T29610" s="11"/>
    </row>
    <row r="29611" spans="8:20" x14ac:dyDescent="0.35">
      <c r="H29611" s="711"/>
      <c r="I29611" s="711"/>
      <c r="J29611" s="711"/>
      <c r="K29611" s="711"/>
      <c r="L29611" s="711"/>
      <c r="Q29611" s="11"/>
      <c r="R29611" s="11"/>
      <c r="S29611" s="11"/>
      <c r="T29611" s="11"/>
    </row>
    <row r="29612" spans="8:20" x14ac:dyDescent="0.35">
      <c r="H29612" s="711"/>
      <c r="I29612" s="711"/>
      <c r="J29612" s="711"/>
      <c r="K29612" s="711"/>
      <c r="L29612" s="711"/>
      <c r="Q29612" s="11"/>
      <c r="R29612" s="11"/>
      <c r="S29612" s="11"/>
      <c r="T29612" s="11"/>
    </row>
    <row r="29613" spans="8:20" x14ac:dyDescent="0.35">
      <c r="H29613" s="711"/>
      <c r="I29613" s="711"/>
      <c r="J29613" s="711"/>
      <c r="K29613" s="711"/>
      <c r="L29613" s="711"/>
      <c r="Q29613" s="11"/>
      <c r="R29613" s="11"/>
      <c r="S29613" s="11"/>
      <c r="T29613" s="11"/>
    </row>
    <row r="29614" spans="8:20" x14ac:dyDescent="0.35">
      <c r="H29614" s="711"/>
      <c r="I29614" s="711"/>
      <c r="J29614" s="711"/>
      <c r="K29614" s="711"/>
      <c r="L29614" s="711"/>
      <c r="Q29614" s="11"/>
      <c r="R29614" s="11"/>
      <c r="S29614" s="11"/>
      <c r="T29614" s="11"/>
    </row>
    <row r="29615" spans="8:20" x14ac:dyDescent="0.35">
      <c r="H29615" s="711"/>
      <c r="I29615" s="711"/>
      <c r="J29615" s="711"/>
      <c r="K29615" s="711"/>
      <c r="L29615" s="711"/>
      <c r="Q29615" s="11"/>
      <c r="R29615" s="11"/>
      <c r="S29615" s="11"/>
      <c r="T29615" s="11"/>
    </row>
    <row r="29616" spans="8:20" x14ac:dyDescent="0.35">
      <c r="H29616" s="711"/>
      <c r="I29616" s="711"/>
      <c r="J29616" s="711"/>
      <c r="K29616" s="711"/>
      <c r="L29616" s="711"/>
      <c r="Q29616" s="11"/>
      <c r="R29616" s="11"/>
      <c r="S29616" s="11"/>
      <c r="T29616" s="11"/>
    </row>
    <row r="29617" spans="8:20" x14ac:dyDescent="0.35">
      <c r="H29617" s="711"/>
      <c r="I29617" s="711"/>
      <c r="J29617" s="711"/>
      <c r="K29617" s="711"/>
      <c r="L29617" s="711"/>
      <c r="Q29617" s="11"/>
      <c r="R29617" s="11"/>
      <c r="S29617" s="11"/>
      <c r="T29617" s="11"/>
    </row>
    <row r="29618" spans="8:20" x14ac:dyDescent="0.35">
      <c r="H29618" s="711"/>
      <c r="I29618" s="711"/>
      <c r="J29618" s="711"/>
      <c r="K29618" s="711"/>
      <c r="L29618" s="711"/>
      <c r="Q29618" s="11"/>
      <c r="R29618" s="11"/>
      <c r="S29618" s="11"/>
      <c r="T29618" s="11"/>
    </row>
    <row r="29619" spans="8:20" x14ac:dyDescent="0.35">
      <c r="H29619" s="711"/>
      <c r="I29619" s="711"/>
      <c r="J29619" s="711"/>
      <c r="K29619" s="711"/>
      <c r="L29619" s="711"/>
      <c r="Q29619" s="11"/>
      <c r="R29619" s="11"/>
      <c r="S29619" s="11"/>
      <c r="T29619" s="11"/>
    </row>
    <row r="29620" spans="8:20" x14ac:dyDescent="0.35">
      <c r="H29620" s="711"/>
      <c r="I29620" s="711"/>
      <c r="J29620" s="711"/>
      <c r="K29620" s="711"/>
      <c r="L29620" s="711"/>
      <c r="Q29620" s="11"/>
      <c r="R29620" s="11"/>
      <c r="S29620" s="11"/>
      <c r="T29620" s="11"/>
    </row>
    <row r="29621" spans="8:20" x14ac:dyDescent="0.35">
      <c r="H29621" s="711"/>
      <c r="I29621" s="711"/>
      <c r="J29621" s="711"/>
      <c r="K29621" s="711"/>
      <c r="L29621" s="711"/>
      <c r="Q29621" s="11"/>
      <c r="R29621" s="11"/>
      <c r="S29621" s="11"/>
      <c r="T29621" s="11"/>
    </row>
    <row r="29622" spans="8:20" x14ac:dyDescent="0.35">
      <c r="H29622" s="711"/>
      <c r="I29622" s="711"/>
      <c r="J29622" s="711"/>
      <c r="K29622" s="711"/>
      <c r="L29622" s="711"/>
      <c r="Q29622" s="11"/>
      <c r="R29622" s="11"/>
      <c r="S29622" s="11"/>
      <c r="T29622" s="11"/>
    </row>
    <row r="29623" spans="8:20" x14ac:dyDescent="0.35">
      <c r="H29623" s="711"/>
      <c r="I29623" s="711"/>
      <c r="J29623" s="711"/>
      <c r="K29623" s="711"/>
      <c r="L29623" s="711"/>
      <c r="Q29623" s="11"/>
      <c r="R29623" s="11"/>
      <c r="S29623" s="11"/>
      <c r="T29623" s="11"/>
    </row>
    <row r="29624" spans="8:20" x14ac:dyDescent="0.35">
      <c r="H29624" s="711"/>
      <c r="I29624" s="711"/>
      <c r="J29624" s="711"/>
      <c r="K29624" s="711"/>
      <c r="L29624" s="711"/>
      <c r="Q29624" s="11"/>
      <c r="R29624" s="11"/>
      <c r="S29624" s="11"/>
      <c r="T29624" s="11"/>
    </row>
    <row r="29625" spans="8:20" x14ac:dyDescent="0.35">
      <c r="H29625" s="711"/>
      <c r="I29625" s="711"/>
      <c r="J29625" s="711"/>
      <c r="K29625" s="711"/>
      <c r="L29625" s="711"/>
      <c r="Q29625" s="11"/>
      <c r="R29625" s="11"/>
      <c r="S29625" s="11"/>
      <c r="T29625" s="11"/>
    </row>
    <row r="29626" spans="8:20" x14ac:dyDescent="0.35">
      <c r="H29626" s="711"/>
      <c r="I29626" s="711"/>
      <c r="J29626" s="711"/>
      <c r="K29626" s="711"/>
      <c r="L29626" s="711"/>
      <c r="Q29626" s="11"/>
      <c r="R29626" s="11"/>
      <c r="S29626" s="11"/>
      <c r="T29626" s="11"/>
    </row>
    <row r="29627" spans="8:20" x14ac:dyDescent="0.35">
      <c r="H29627" s="711"/>
      <c r="I29627" s="711"/>
      <c r="J29627" s="711"/>
      <c r="K29627" s="711"/>
      <c r="L29627" s="711"/>
      <c r="Q29627" s="11"/>
      <c r="R29627" s="11"/>
      <c r="S29627" s="11"/>
      <c r="T29627" s="11"/>
    </row>
    <row r="29628" spans="8:20" x14ac:dyDescent="0.35">
      <c r="H29628" s="711"/>
      <c r="I29628" s="711"/>
      <c r="J29628" s="711"/>
      <c r="K29628" s="711"/>
      <c r="L29628" s="711"/>
      <c r="Q29628" s="11"/>
      <c r="R29628" s="11"/>
      <c r="S29628" s="11"/>
      <c r="T29628" s="11"/>
    </row>
    <row r="29629" spans="8:20" x14ac:dyDescent="0.35">
      <c r="H29629" s="711"/>
      <c r="I29629" s="711"/>
      <c r="J29629" s="711"/>
      <c r="K29629" s="711"/>
      <c r="L29629" s="711"/>
      <c r="Q29629" s="11"/>
      <c r="R29629" s="11"/>
      <c r="S29629" s="11"/>
      <c r="T29629" s="11"/>
    </row>
    <row r="29630" spans="8:20" x14ac:dyDescent="0.35">
      <c r="H29630" s="711"/>
      <c r="I29630" s="711"/>
      <c r="J29630" s="711"/>
      <c r="K29630" s="711"/>
      <c r="L29630" s="711"/>
      <c r="Q29630" s="11"/>
      <c r="R29630" s="11"/>
      <c r="S29630" s="11"/>
      <c r="T29630" s="11"/>
    </row>
    <row r="29631" spans="8:20" x14ac:dyDescent="0.35">
      <c r="H29631" s="711"/>
      <c r="I29631" s="711"/>
      <c r="J29631" s="711"/>
      <c r="K29631" s="711"/>
      <c r="L29631" s="711"/>
      <c r="Q29631" s="11"/>
      <c r="R29631" s="11"/>
      <c r="S29631" s="11"/>
      <c r="T29631" s="11"/>
    </row>
    <row r="29632" spans="8:20" x14ac:dyDescent="0.35">
      <c r="H29632" s="711"/>
      <c r="I29632" s="711"/>
      <c r="J29632" s="711"/>
      <c r="K29632" s="711"/>
      <c r="L29632" s="711"/>
      <c r="Q29632" s="11"/>
      <c r="R29632" s="11"/>
      <c r="S29632" s="11"/>
      <c r="T29632" s="11"/>
    </row>
    <row r="29633" spans="8:20" x14ac:dyDescent="0.35">
      <c r="H29633" s="711"/>
      <c r="I29633" s="711"/>
      <c r="J29633" s="711"/>
      <c r="K29633" s="711"/>
      <c r="L29633" s="711"/>
      <c r="Q29633" s="11"/>
      <c r="R29633" s="11"/>
      <c r="S29633" s="11"/>
      <c r="T29633" s="11"/>
    </row>
    <row r="29634" spans="8:20" x14ac:dyDescent="0.35">
      <c r="H29634" s="711"/>
      <c r="I29634" s="711"/>
      <c r="J29634" s="711"/>
      <c r="K29634" s="711"/>
      <c r="L29634" s="711"/>
      <c r="Q29634" s="11"/>
      <c r="R29634" s="11"/>
      <c r="S29634" s="11"/>
      <c r="T29634" s="11"/>
    </row>
    <row r="29635" spans="8:20" x14ac:dyDescent="0.35">
      <c r="H29635" s="711"/>
      <c r="I29635" s="711"/>
      <c r="J29635" s="711"/>
      <c r="K29635" s="711"/>
      <c r="L29635" s="711"/>
      <c r="Q29635" s="11"/>
      <c r="R29635" s="11"/>
      <c r="S29635" s="11"/>
      <c r="T29635" s="11"/>
    </row>
    <row r="29636" spans="8:20" x14ac:dyDescent="0.35">
      <c r="H29636" s="711"/>
      <c r="I29636" s="711"/>
      <c r="J29636" s="711"/>
      <c r="K29636" s="711"/>
      <c r="L29636" s="711"/>
      <c r="Q29636" s="11"/>
      <c r="R29636" s="11"/>
      <c r="S29636" s="11"/>
      <c r="T29636" s="11"/>
    </row>
    <row r="29637" spans="8:20" x14ac:dyDescent="0.35">
      <c r="H29637" s="711"/>
      <c r="I29637" s="711"/>
      <c r="J29637" s="711"/>
      <c r="K29637" s="711"/>
      <c r="L29637" s="711"/>
      <c r="Q29637" s="11"/>
      <c r="R29637" s="11"/>
      <c r="S29637" s="11"/>
      <c r="T29637" s="11"/>
    </row>
    <row r="29638" spans="8:20" x14ac:dyDescent="0.35">
      <c r="H29638" s="711"/>
      <c r="I29638" s="711"/>
      <c r="J29638" s="711"/>
      <c r="K29638" s="711"/>
      <c r="L29638" s="711"/>
      <c r="Q29638" s="11"/>
      <c r="R29638" s="11"/>
      <c r="S29638" s="11"/>
      <c r="T29638" s="11"/>
    </row>
    <row r="29639" spans="8:20" x14ac:dyDescent="0.35">
      <c r="H29639" s="711"/>
      <c r="I29639" s="711"/>
      <c r="J29639" s="711"/>
      <c r="K29639" s="711"/>
      <c r="L29639" s="711"/>
      <c r="Q29639" s="11"/>
      <c r="R29639" s="11"/>
      <c r="S29639" s="11"/>
      <c r="T29639" s="11"/>
    </row>
    <row r="29640" spans="8:20" x14ac:dyDescent="0.35">
      <c r="H29640" s="711"/>
      <c r="I29640" s="711"/>
      <c r="J29640" s="711"/>
      <c r="K29640" s="711"/>
      <c r="L29640" s="711"/>
      <c r="Q29640" s="11"/>
      <c r="R29640" s="11"/>
      <c r="S29640" s="11"/>
      <c r="T29640" s="11"/>
    </row>
    <row r="29641" spans="8:20" x14ac:dyDescent="0.35">
      <c r="H29641" s="711"/>
      <c r="I29641" s="711"/>
      <c r="J29641" s="711"/>
      <c r="K29641" s="711"/>
      <c r="L29641" s="711"/>
      <c r="Q29641" s="11"/>
      <c r="R29641" s="11"/>
      <c r="S29641" s="11"/>
      <c r="T29641" s="11"/>
    </row>
    <row r="29642" spans="8:20" x14ac:dyDescent="0.35">
      <c r="H29642" s="711"/>
      <c r="I29642" s="711"/>
      <c r="J29642" s="711"/>
      <c r="K29642" s="711"/>
      <c r="L29642" s="711"/>
      <c r="Q29642" s="11"/>
      <c r="R29642" s="11"/>
      <c r="S29642" s="11"/>
      <c r="T29642" s="11"/>
    </row>
    <row r="29643" spans="8:20" x14ac:dyDescent="0.35">
      <c r="H29643" s="711"/>
      <c r="I29643" s="711"/>
      <c r="J29643" s="711"/>
      <c r="K29643" s="711"/>
      <c r="L29643" s="711"/>
      <c r="Q29643" s="11"/>
      <c r="R29643" s="11"/>
      <c r="S29643" s="11"/>
      <c r="T29643" s="11"/>
    </row>
    <row r="29644" spans="8:20" x14ac:dyDescent="0.35">
      <c r="H29644" s="711"/>
      <c r="I29644" s="711"/>
      <c r="J29644" s="711"/>
      <c r="K29644" s="711"/>
      <c r="L29644" s="711"/>
      <c r="Q29644" s="11"/>
      <c r="R29644" s="11"/>
      <c r="S29644" s="11"/>
      <c r="T29644" s="11"/>
    </row>
    <row r="29645" spans="8:20" x14ac:dyDescent="0.35">
      <c r="H29645" s="711"/>
      <c r="I29645" s="711"/>
      <c r="J29645" s="711"/>
      <c r="K29645" s="711"/>
      <c r="L29645" s="711"/>
      <c r="Q29645" s="11"/>
      <c r="R29645" s="11"/>
      <c r="S29645" s="11"/>
      <c r="T29645" s="11"/>
    </row>
    <row r="29646" spans="8:20" x14ac:dyDescent="0.35">
      <c r="H29646" s="711"/>
      <c r="I29646" s="711"/>
      <c r="J29646" s="711"/>
      <c r="K29646" s="711"/>
      <c r="L29646" s="711"/>
      <c r="Q29646" s="11"/>
      <c r="R29646" s="11"/>
      <c r="S29646" s="11"/>
      <c r="T29646" s="11"/>
    </row>
    <row r="29647" spans="8:20" x14ac:dyDescent="0.35">
      <c r="H29647" s="711"/>
      <c r="I29647" s="711"/>
      <c r="J29647" s="711"/>
      <c r="K29647" s="711"/>
      <c r="L29647" s="711"/>
      <c r="Q29647" s="11"/>
      <c r="R29647" s="11"/>
      <c r="S29647" s="11"/>
      <c r="T29647" s="11"/>
    </row>
    <row r="29648" spans="8:20" x14ac:dyDescent="0.35">
      <c r="H29648" s="711"/>
      <c r="I29648" s="711"/>
      <c r="J29648" s="711"/>
      <c r="K29648" s="711"/>
      <c r="L29648" s="711"/>
      <c r="Q29648" s="11"/>
      <c r="R29648" s="11"/>
      <c r="S29648" s="11"/>
      <c r="T29648" s="11"/>
    </row>
    <row r="29649" spans="8:20" x14ac:dyDescent="0.35">
      <c r="H29649" s="711"/>
      <c r="I29649" s="711"/>
      <c r="J29649" s="711"/>
      <c r="K29649" s="711"/>
      <c r="L29649" s="711"/>
      <c r="Q29649" s="11"/>
      <c r="R29649" s="11"/>
      <c r="S29649" s="11"/>
      <c r="T29649" s="11"/>
    </row>
    <row r="29650" spans="8:20" x14ac:dyDescent="0.35">
      <c r="H29650" s="711"/>
      <c r="I29650" s="711"/>
      <c r="J29650" s="711"/>
      <c r="K29650" s="711"/>
      <c r="L29650" s="711"/>
      <c r="Q29650" s="11"/>
      <c r="R29650" s="11"/>
      <c r="S29650" s="11"/>
      <c r="T29650" s="11"/>
    </row>
    <row r="29651" spans="8:20" x14ac:dyDescent="0.35">
      <c r="H29651" s="711"/>
      <c r="I29651" s="711"/>
      <c r="J29651" s="711"/>
      <c r="K29651" s="711"/>
      <c r="L29651" s="711"/>
      <c r="Q29651" s="11"/>
      <c r="R29651" s="11"/>
      <c r="S29651" s="11"/>
      <c r="T29651" s="11"/>
    </row>
    <row r="29652" spans="8:20" x14ac:dyDescent="0.35">
      <c r="H29652" s="711"/>
      <c r="I29652" s="711"/>
      <c r="J29652" s="711"/>
      <c r="K29652" s="711"/>
      <c r="L29652" s="711"/>
      <c r="Q29652" s="11"/>
      <c r="R29652" s="11"/>
      <c r="S29652" s="11"/>
      <c r="T29652" s="11"/>
    </row>
    <row r="29653" spans="8:20" x14ac:dyDescent="0.35">
      <c r="H29653" s="711"/>
      <c r="I29653" s="711"/>
      <c r="J29653" s="711"/>
      <c r="K29653" s="711"/>
      <c r="L29653" s="711"/>
      <c r="Q29653" s="11"/>
      <c r="R29653" s="11"/>
      <c r="S29653" s="11"/>
      <c r="T29653" s="11"/>
    </row>
    <row r="29654" spans="8:20" x14ac:dyDescent="0.35">
      <c r="H29654" s="711"/>
      <c r="I29654" s="711"/>
      <c r="J29654" s="711"/>
      <c r="K29654" s="711"/>
      <c r="L29654" s="711"/>
      <c r="Q29654" s="11"/>
      <c r="R29654" s="11"/>
      <c r="S29654" s="11"/>
      <c r="T29654" s="11"/>
    </row>
    <row r="29655" spans="8:20" x14ac:dyDescent="0.35">
      <c r="H29655" s="711"/>
      <c r="I29655" s="711"/>
      <c r="J29655" s="711"/>
      <c r="K29655" s="711"/>
      <c r="L29655" s="711"/>
      <c r="Q29655" s="11"/>
      <c r="R29655" s="11"/>
      <c r="S29655" s="11"/>
      <c r="T29655" s="11"/>
    </row>
    <row r="29656" spans="8:20" x14ac:dyDescent="0.35">
      <c r="H29656" s="711"/>
      <c r="I29656" s="711"/>
      <c r="J29656" s="711"/>
      <c r="K29656" s="711"/>
      <c r="L29656" s="711"/>
      <c r="Q29656" s="11"/>
      <c r="R29656" s="11"/>
      <c r="S29656" s="11"/>
      <c r="T29656" s="11"/>
    </row>
    <row r="29657" spans="8:20" x14ac:dyDescent="0.35">
      <c r="H29657" s="711"/>
      <c r="I29657" s="711"/>
      <c r="J29657" s="711"/>
      <c r="K29657" s="711"/>
      <c r="L29657" s="711"/>
      <c r="Q29657" s="11"/>
      <c r="R29657" s="11"/>
      <c r="S29657" s="11"/>
      <c r="T29657" s="11"/>
    </row>
    <row r="29658" spans="8:20" x14ac:dyDescent="0.35">
      <c r="H29658" s="711"/>
      <c r="I29658" s="711"/>
      <c r="J29658" s="711"/>
      <c r="K29658" s="711"/>
      <c r="L29658" s="711"/>
      <c r="Q29658" s="11"/>
      <c r="R29658" s="11"/>
      <c r="S29658" s="11"/>
      <c r="T29658" s="11"/>
    </row>
    <row r="29659" spans="8:20" x14ac:dyDescent="0.35">
      <c r="H29659" s="711"/>
      <c r="I29659" s="711"/>
      <c r="J29659" s="711"/>
      <c r="K29659" s="711"/>
      <c r="L29659" s="711"/>
      <c r="Q29659" s="11"/>
      <c r="R29659" s="11"/>
      <c r="S29659" s="11"/>
      <c r="T29659" s="11"/>
    </row>
    <row r="29660" spans="8:20" x14ac:dyDescent="0.35">
      <c r="H29660" s="711"/>
      <c r="I29660" s="711"/>
      <c r="J29660" s="711"/>
      <c r="K29660" s="711"/>
      <c r="L29660" s="711"/>
      <c r="Q29660" s="11"/>
      <c r="R29660" s="11"/>
      <c r="S29660" s="11"/>
      <c r="T29660" s="11"/>
    </row>
    <row r="29661" spans="8:20" x14ac:dyDescent="0.35">
      <c r="H29661" s="711"/>
      <c r="I29661" s="711"/>
      <c r="J29661" s="711"/>
      <c r="K29661" s="711"/>
      <c r="L29661" s="711"/>
      <c r="Q29661" s="11"/>
      <c r="R29661" s="11"/>
      <c r="S29661" s="11"/>
      <c r="T29661" s="11"/>
    </row>
    <row r="29662" spans="8:20" x14ac:dyDescent="0.35">
      <c r="H29662" s="711"/>
      <c r="I29662" s="711"/>
      <c r="J29662" s="711"/>
      <c r="K29662" s="711"/>
      <c r="L29662" s="711"/>
      <c r="Q29662" s="11"/>
      <c r="R29662" s="11"/>
      <c r="S29662" s="11"/>
      <c r="T29662" s="11"/>
    </row>
    <row r="29663" spans="8:20" x14ac:dyDescent="0.35">
      <c r="H29663" s="711"/>
      <c r="I29663" s="711"/>
      <c r="J29663" s="711"/>
      <c r="K29663" s="711"/>
      <c r="L29663" s="711"/>
      <c r="Q29663" s="11"/>
      <c r="R29663" s="11"/>
      <c r="S29663" s="11"/>
      <c r="T29663" s="11"/>
    </row>
    <row r="29664" spans="8:20" x14ac:dyDescent="0.35">
      <c r="H29664" s="711"/>
      <c r="I29664" s="711"/>
      <c r="J29664" s="711"/>
      <c r="K29664" s="711"/>
      <c r="L29664" s="711"/>
      <c r="Q29664" s="11"/>
      <c r="R29664" s="11"/>
      <c r="S29664" s="11"/>
      <c r="T29664" s="11"/>
    </row>
    <row r="29665" spans="8:20" x14ac:dyDescent="0.35">
      <c r="H29665" s="711"/>
      <c r="I29665" s="711"/>
      <c r="J29665" s="711"/>
      <c r="K29665" s="711"/>
      <c r="L29665" s="711"/>
      <c r="Q29665" s="11"/>
      <c r="R29665" s="11"/>
      <c r="S29665" s="11"/>
      <c r="T29665" s="11"/>
    </row>
    <row r="29666" spans="8:20" x14ac:dyDescent="0.35">
      <c r="H29666" s="711"/>
      <c r="I29666" s="711"/>
      <c r="J29666" s="711"/>
      <c r="K29666" s="711"/>
      <c r="L29666" s="711"/>
      <c r="Q29666" s="11"/>
      <c r="R29666" s="11"/>
      <c r="S29666" s="11"/>
      <c r="T29666" s="11"/>
    </row>
    <row r="29667" spans="8:20" x14ac:dyDescent="0.35">
      <c r="H29667" s="711"/>
      <c r="I29667" s="711"/>
      <c r="J29667" s="711"/>
      <c r="K29667" s="711"/>
      <c r="L29667" s="711"/>
      <c r="Q29667" s="11"/>
      <c r="R29667" s="11"/>
      <c r="S29667" s="11"/>
      <c r="T29667" s="11"/>
    </row>
    <row r="29668" spans="8:20" x14ac:dyDescent="0.35">
      <c r="H29668" s="711"/>
      <c r="I29668" s="711"/>
      <c r="J29668" s="711"/>
      <c r="K29668" s="711"/>
      <c r="L29668" s="711"/>
      <c r="Q29668" s="11"/>
      <c r="R29668" s="11"/>
      <c r="S29668" s="11"/>
      <c r="T29668" s="11"/>
    </row>
    <row r="29669" spans="8:20" x14ac:dyDescent="0.35">
      <c r="H29669" s="711"/>
      <c r="I29669" s="711"/>
      <c r="J29669" s="711"/>
      <c r="K29669" s="711"/>
      <c r="L29669" s="711"/>
      <c r="Q29669" s="11"/>
      <c r="R29669" s="11"/>
      <c r="S29669" s="11"/>
      <c r="T29669" s="11"/>
    </row>
    <row r="29670" spans="8:20" x14ac:dyDescent="0.35">
      <c r="H29670" s="711"/>
      <c r="I29670" s="711"/>
      <c r="J29670" s="711"/>
      <c r="K29670" s="711"/>
      <c r="L29670" s="711"/>
      <c r="Q29670" s="11"/>
      <c r="R29670" s="11"/>
      <c r="S29670" s="11"/>
      <c r="T29670" s="11"/>
    </row>
    <row r="29671" spans="8:20" x14ac:dyDescent="0.35">
      <c r="H29671" s="711"/>
      <c r="I29671" s="711"/>
      <c r="J29671" s="711"/>
      <c r="K29671" s="711"/>
      <c r="L29671" s="711"/>
      <c r="Q29671" s="11"/>
      <c r="R29671" s="11"/>
      <c r="S29671" s="11"/>
      <c r="T29671" s="11"/>
    </row>
    <row r="29672" spans="8:20" x14ac:dyDescent="0.35">
      <c r="H29672" s="711"/>
      <c r="I29672" s="711"/>
      <c r="J29672" s="711"/>
      <c r="K29672" s="711"/>
      <c r="L29672" s="711"/>
      <c r="Q29672" s="11"/>
      <c r="R29672" s="11"/>
      <c r="S29672" s="11"/>
      <c r="T29672" s="11"/>
    </row>
    <row r="29673" spans="8:20" x14ac:dyDescent="0.35">
      <c r="H29673" s="711"/>
      <c r="I29673" s="711"/>
      <c r="J29673" s="711"/>
      <c r="K29673" s="711"/>
      <c r="L29673" s="711"/>
      <c r="Q29673" s="11"/>
      <c r="R29673" s="11"/>
      <c r="S29673" s="11"/>
      <c r="T29673" s="11"/>
    </row>
    <row r="29674" spans="8:20" x14ac:dyDescent="0.35">
      <c r="H29674" s="711"/>
      <c r="I29674" s="711"/>
      <c r="J29674" s="711"/>
      <c r="K29674" s="711"/>
      <c r="L29674" s="711"/>
      <c r="Q29674" s="11"/>
      <c r="R29674" s="11"/>
      <c r="S29674" s="11"/>
      <c r="T29674" s="11"/>
    </row>
    <row r="29675" spans="8:20" x14ac:dyDescent="0.35">
      <c r="H29675" s="711"/>
      <c r="I29675" s="711"/>
      <c r="J29675" s="711"/>
      <c r="K29675" s="711"/>
      <c r="L29675" s="711"/>
      <c r="Q29675" s="11"/>
      <c r="R29675" s="11"/>
      <c r="S29675" s="11"/>
      <c r="T29675" s="11"/>
    </row>
    <row r="29676" spans="8:20" x14ac:dyDescent="0.35">
      <c r="H29676" s="711"/>
      <c r="I29676" s="711"/>
      <c r="J29676" s="711"/>
      <c r="K29676" s="711"/>
      <c r="L29676" s="711"/>
      <c r="Q29676" s="11"/>
      <c r="R29676" s="11"/>
      <c r="S29676" s="11"/>
      <c r="T29676" s="11"/>
    </row>
    <row r="29677" spans="8:20" x14ac:dyDescent="0.35">
      <c r="H29677" s="711"/>
      <c r="I29677" s="711"/>
      <c r="J29677" s="711"/>
      <c r="K29677" s="711"/>
      <c r="L29677" s="711"/>
      <c r="Q29677" s="11"/>
      <c r="R29677" s="11"/>
      <c r="S29677" s="11"/>
      <c r="T29677" s="11"/>
    </row>
    <row r="29678" spans="8:20" x14ac:dyDescent="0.35">
      <c r="H29678" s="711"/>
      <c r="I29678" s="711"/>
      <c r="J29678" s="711"/>
      <c r="K29678" s="711"/>
      <c r="L29678" s="711"/>
      <c r="Q29678" s="11"/>
      <c r="R29678" s="11"/>
      <c r="S29678" s="11"/>
      <c r="T29678" s="11"/>
    </row>
    <row r="29679" spans="8:20" x14ac:dyDescent="0.35">
      <c r="H29679" s="711"/>
      <c r="I29679" s="711"/>
      <c r="J29679" s="711"/>
      <c r="K29679" s="711"/>
      <c r="L29679" s="711"/>
      <c r="Q29679" s="11"/>
      <c r="R29679" s="11"/>
      <c r="S29679" s="11"/>
      <c r="T29679" s="11"/>
    </row>
    <row r="29680" spans="8:20" x14ac:dyDescent="0.35">
      <c r="H29680" s="711"/>
      <c r="I29680" s="711"/>
      <c r="J29680" s="711"/>
      <c r="K29680" s="711"/>
      <c r="L29680" s="711"/>
      <c r="Q29680" s="11"/>
      <c r="R29680" s="11"/>
      <c r="S29680" s="11"/>
      <c r="T29680" s="11"/>
    </row>
    <row r="29681" spans="8:20" x14ac:dyDescent="0.35">
      <c r="H29681" s="711"/>
      <c r="I29681" s="711"/>
      <c r="J29681" s="711"/>
      <c r="K29681" s="711"/>
      <c r="L29681" s="711"/>
      <c r="Q29681" s="11"/>
      <c r="R29681" s="11"/>
      <c r="S29681" s="11"/>
      <c r="T29681" s="11"/>
    </row>
    <row r="29682" spans="8:20" x14ac:dyDescent="0.35">
      <c r="H29682" s="711"/>
      <c r="I29682" s="711"/>
      <c r="J29682" s="711"/>
      <c r="K29682" s="711"/>
      <c r="L29682" s="711"/>
      <c r="Q29682" s="11"/>
      <c r="R29682" s="11"/>
      <c r="S29682" s="11"/>
      <c r="T29682" s="11"/>
    </row>
    <row r="29683" spans="8:20" x14ac:dyDescent="0.35">
      <c r="H29683" s="711"/>
      <c r="I29683" s="711"/>
      <c r="J29683" s="711"/>
      <c r="K29683" s="711"/>
      <c r="L29683" s="711"/>
      <c r="Q29683" s="11"/>
      <c r="R29683" s="11"/>
      <c r="S29683" s="11"/>
      <c r="T29683" s="11"/>
    </row>
    <row r="29684" spans="8:20" x14ac:dyDescent="0.35">
      <c r="H29684" s="711"/>
      <c r="I29684" s="711"/>
      <c r="J29684" s="711"/>
      <c r="K29684" s="711"/>
      <c r="L29684" s="711"/>
      <c r="Q29684" s="11"/>
      <c r="R29684" s="11"/>
      <c r="S29684" s="11"/>
      <c r="T29684" s="11"/>
    </row>
    <row r="29685" spans="8:20" x14ac:dyDescent="0.35">
      <c r="H29685" s="711"/>
      <c r="I29685" s="711"/>
      <c r="J29685" s="711"/>
      <c r="K29685" s="711"/>
      <c r="L29685" s="711"/>
      <c r="Q29685" s="11"/>
      <c r="R29685" s="11"/>
      <c r="S29685" s="11"/>
      <c r="T29685" s="11"/>
    </row>
    <row r="29686" spans="8:20" x14ac:dyDescent="0.35">
      <c r="H29686" s="711"/>
      <c r="I29686" s="711"/>
      <c r="J29686" s="711"/>
      <c r="K29686" s="711"/>
      <c r="L29686" s="711"/>
      <c r="Q29686" s="11"/>
      <c r="R29686" s="11"/>
      <c r="S29686" s="11"/>
      <c r="T29686" s="11"/>
    </row>
    <row r="29687" spans="8:20" x14ac:dyDescent="0.35">
      <c r="H29687" s="711"/>
      <c r="I29687" s="711"/>
      <c r="J29687" s="711"/>
      <c r="K29687" s="711"/>
      <c r="L29687" s="711"/>
      <c r="Q29687" s="11"/>
      <c r="R29687" s="11"/>
      <c r="S29687" s="11"/>
      <c r="T29687" s="11"/>
    </row>
    <row r="29688" spans="8:20" x14ac:dyDescent="0.35">
      <c r="H29688" s="711"/>
      <c r="I29688" s="711"/>
      <c r="J29688" s="711"/>
      <c r="K29688" s="711"/>
      <c r="L29688" s="711"/>
      <c r="Q29688" s="11"/>
      <c r="R29688" s="11"/>
      <c r="S29688" s="11"/>
      <c r="T29688" s="11"/>
    </row>
    <row r="29689" spans="8:20" x14ac:dyDescent="0.35">
      <c r="H29689" s="711"/>
      <c r="I29689" s="711"/>
      <c r="J29689" s="711"/>
      <c r="K29689" s="711"/>
      <c r="L29689" s="711"/>
      <c r="Q29689" s="11"/>
      <c r="R29689" s="11"/>
      <c r="S29689" s="11"/>
      <c r="T29689" s="11"/>
    </row>
    <row r="29690" spans="8:20" x14ac:dyDescent="0.35">
      <c r="H29690" s="711"/>
      <c r="I29690" s="711"/>
      <c r="J29690" s="711"/>
      <c r="K29690" s="711"/>
      <c r="L29690" s="711"/>
      <c r="Q29690" s="11"/>
      <c r="R29690" s="11"/>
      <c r="S29690" s="11"/>
      <c r="T29690" s="11"/>
    </row>
    <row r="29691" spans="8:20" x14ac:dyDescent="0.35">
      <c r="H29691" s="711"/>
      <c r="I29691" s="711"/>
      <c r="J29691" s="711"/>
      <c r="K29691" s="711"/>
      <c r="L29691" s="711"/>
      <c r="Q29691" s="11"/>
      <c r="R29691" s="11"/>
      <c r="S29691" s="11"/>
      <c r="T29691" s="11"/>
    </row>
    <row r="29692" spans="8:20" x14ac:dyDescent="0.35">
      <c r="H29692" s="711"/>
      <c r="I29692" s="711"/>
      <c r="J29692" s="711"/>
      <c r="K29692" s="711"/>
      <c r="L29692" s="711"/>
      <c r="Q29692" s="11"/>
      <c r="R29692" s="11"/>
      <c r="S29692" s="11"/>
      <c r="T29692" s="11"/>
    </row>
    <row r="29693" spans="8:20" x14ac:dyDescent="0.35">
      <c r="H29693" s="711"/>
      <c r="I29693" s="711"/>
      <c r="J29693" s="711"/>
      <c r="K29693" s="711"/>
      <c r="L29693" s="711"/>
      <c r="Q29693" s="11"/>
      <c r="R29693" s="11"/>
      <c r="S29693" s="11"/>
      <c r="T29693" s="11"/>
    </row>
    <row r="29694" spans="8:20" x14ac:dyDescent="0.35">
      <c r="H29694" s="711"/>
      <c r="I29694" s="711"/>
      <c r="J29694" s="711"/>
      <c r="K29694" s="711"/>
      <c r="L29694" s="711"/>
      <c r="Q29694" s="11"/>
      <c r="R29694" s="11"/>
      <c r="S29694" s="11"/>
      <c r="T29694" s="11"/>
    </row>
    <row r="29695" spans="8:20" x14ac:dyDescent="0.35">
      <c r="H29695" s="711"/>
      <c r="I29695" s="711"/>
      <c r="J29695" s="711"/>
      <c r="K29695" s="711"/>
      <c r="L29695" s="711"/>
      <c r="Q29695" s="11"/>
      <c r="R29695" s="11"/>
      <c r="S29695" s="11"/>
      <c r="T29695" s="11"/>
    </row>
    <row r="29696" spans="8:20" x14ac:dyDescent="0.35">
      <c r="H29696" s="711"/>
      <c r="I29696" s="711"/>
      <c r="J29696" s="711"/>
      <c r="K29696" s="711"/>
      <c r="L29696" s="711"/>
      <c r="Q29696" s="11"/>
      <c r="R29696" s="11"/>
      <c r="S29696" s="11"/>
      <c r="T29696" s="11"/>
    </row>
    <row r="29697" spans="8:20" x14ac:dyDescent="0.35">
      <c r="H29697" s="711"/>
      <c r="I29697" s="711"/>
      <c r="J29697" s="711"/>
      <c r="K29697" s="711"/>
      <c r="L29697" s="711"/>
      <c r="Q29697" s="11"/>
      <c r="R29697" s="11"/>
      <c r="S29697" s="11"/>
      <c r="T29697" s="11"/>
    </row>
    <row r="29698" spans="8:20" x14ac:dyDescent="0.35">
      <c r="H29698" s="711"/>
      <c r="I29698" s="711"/>
      <c r="J29698" s="711"/>
      <c r="K29698" s="711"/>
      <c r="L29698" s="711"/>
      <c r="Q29698" s="11"/>
      <c r="R29698" s="11"/>
      <c r="S29698" s="11"/>
      <c r="T29698" s="11"/>
    </row>
    <row r="29699" spans="8:20" x14ac:dyDescent="0.35">
      <c r="H29699" s="711"/>
      <c r="I29699" s="711"/>
      <c r="J29699" s="711"/>
      <c r="K29699" s="711"/>
      <c r="L29699" s="711"/>
      <c r="Q29699" s="11"/>
      <c r="R29699" s="11"/>
      <c r="S29699" s="11"/>
      <c r="T29699" s="11"/>
    </row>
    <row r="29700" spans="8:20" x14ac:dyDescent="0.35">
      <c r="H29700" s="711"/>
      <c r="I29700" s="711"/>
      <c r="J29700" s="711"/>
      <c r="K29700" s="711"/>
      <c r="L29700" s="711"/>
      <c r="Q29700" s="11"/>
      <c r="R29700" s="11"/>
      <c r="S29700" s="11"/>
      <c r="T29700" s="11"/>
    </row>
    <row r="29701" spans="8:20" x14ac:dyDescent="0.35">
      <c r="H29701" s="711"/>
      <c r="I29701" s="711"/>
      <c r="J29701" s="711"/>
      <c r="K29701" s="711"/>
      <c r="L29701" s="711"/>
      <c r="Q29701" s="11"/>
      <c r="R29701" s="11"/>
      <c r="S29701" s="11"/>
      <c r="T29701" s="11"/>
    </row>
    <row r="29702" spans="8:20" x14ac:dyDescent="0.35">
      <c r="H29702" s="711"/>
      <c r="I29702" s="711"/>
      <c r="J29702" s="711"/>
      <c r="K29702" s="711"/>
      <c r="L29702" s="711"/>
      <c r="Q29702" s="11"/>
      <c r="R29702" s="11"/>
      <c r="S29702" s="11"/>
      <c r="T29702" s="11"/>
    </row>
    <row r="29703" spans="8:20" x14ac:dyDescent="0.35">
      <c r="H29703" s="711"/>
      <c r="I29703" s="711"/>
      <c r="J29703" s="711"/>
      <c r="K29703" s="711"/>
      <c r="L29703" s="711"/>
      <c r="Q29703" s="11"/>
      <c r="R29703" s="11"/>
      <c r="S29703" s="11"/>
      <c r="T29703" s="11"/>
    </row>
    <row r="29704" spans="8:20" x14ac:dyDescent="0.35">
      <c r="H29704" s="711"/>
      <c r="I29704" s="711"/>
      <c r="J29704" s="711"/>
      <c r="K29704" s="711"/>
      <c r="L29704" s="711"/>
      <c r="Q29704" s="11"/>
      <c r="R29704" s="11"/>
      <c r="S29704" s="11"/>
      <c r="T29704" s="11"/>
    </row>
    <row r="29705" spans="8:20" x14ac:dyDescent="0.35">
      <c r="H29705" s="711"/>
      <c r="I29705" s="711"/>
      <c r="J29705" s="711"/>
      <c r="K29705" s="711"/>
      <c r="L29705" s="711"/>
      <c r="Q29705" s="11"/>
      <c r="R29705" s="11"/>
      <c r="S29705" s="11"/>
      <c r="T29705" s="11"/>
    </row>
    <row r="29706" spans="8:20" x14ac:dyDescent="0.35">
      <c r="H29706" s="711"/>
      <c r="I29706" s="711"/>
      <c r="J29706" s="711"/>
      <c r="K29706" s="711"/>
      <c r="L29706" s="711"/>
      <c r="Q29706" s="11"/>
      <c r="R29706" s="11"/>
      <c r="S29706" s="11"/>
      <c r="T29706" s="11"/>
    </row>
    <row r="29707" spans="8:20" x14ac:dyDescent="0.35">
      <c r="H29707" s="711"/>
      <c r="I29707" s="711"/>
      <c r="J29707" s="711"/>
      <c r="K29707" s="711"/>
      <c r="L29707" s="711"/>
      <c r="Q29707" s="11"/>
      <c r="R29707" s="11"/>
      <c r="S29707" s="11"/>
      <c r="T29707" s="11"/>
    </row>
    <row r="29708" spans="8:20" x14ac:dyDescent="0.35">
      <c r="H29708" s="711"/>
      <c r="I29708" s="711"/>
      <c r="J29708" s="711"/>
      <c r="K29708" s="711"/>
      <c r="L29708" s="711"/>
      <c r="Q29708" s="11"/>
      <c r="R29708" s="11"/>
      <c r="S29708" s="11"/>
      <c r="T29708" s="11"/>
    </row>
    <row r="29709" spans="8:20" x14ac:dyDescent="0.35">
      <c r="H29709" s="711"/>
      <c r="I29709" s="711"/>
      <c r="J29709" s="711"/>
      <c r="K29709" s="711"/>
      <c r="L29709" s="711"/>
      <c r="Q29709" s="11"/>
      <c r="R29709" s="11"/>
      <c r="S29709" s="11"/>
      <c r="T29709" s="11"/>
    </row>
    <row r="29710" spans="8:20" x14ac:dyDescent="0.35">
      <c r="H29710" s="711"/>
      <c r="I29710" s="711"/>
      <c r="J29710" s="711"/>
      <c r="K29710" s="711"/>
      <c r="L29710" s="711"/>
      <c r="Q29710" s="11"/>
      <c r="R29710" s="11"/>
      <c r="S29710" s="11"/>
      <c r="T29710" s="11"/>
    </row>
    <row r="29711" spans="8:20" x14ac:dyDescent="0.35">
      <c r="H29711" s="711"/>
      <c r="I29711" s="711"/>
      <c r="J29711" s="711"/>
      <c r="K29711" s="711"/>
      <c r="L29711" s="711"/>
      <c r="Q29711" s="11"/>
      <c r="R29711" s="11"/>
      <c r="S29711" s="11"/>
      <c r="T29711" s="11"/>
    </row>
    <row r="29712" spans="8:20" x14ac:dyDescent="0.35">
      <c r="H29712" s="711"/>
      <c r="I29712" s="711"/>
      <c r="J29712" s="711"/>
      <c r="K29712" s="711"/>
      <c r="L29712" s="711"/>
      <c r="Q29712" s="11"/>
      <c r="R29712" s="11"/>
      <c r="S29712" s="11"/>
      <c r="T29712" s="11"/>
    </row>
    <row r="29713" spans="8:20" x14ac:dyDescent="0.35">
      <c r="H29713" s="711"/>
      <c r="I29713" s="711"/>
      <c r="J29713" s="711"/>
      <c r="K29713" s="711"/>
      <c r="L29713" s="711"/>
      <c r="Q29713" s="11"/>
      <c r="R29713" s="11"/>
      <c r="S29713" s="11"/>
      <c r="T29713" s="11"/>
    </row>
    <row r="29714" spans="8:20" x14ac:dyDescent="0.35">
      <c r="H29714" s="711"/>
      <c r="I29714" s="711"/>
      <c r="J29714" s="711"/>
      <c r="K29714" s="711"/>
      <c r="L29714" s="711"/>
      <c r="Q29714" s="11"/>
      <c r="R29714" s="11"/>
      <c r="S29714" s="11"/>
      <c r="T29714" s="11"/>
    </row>
    <row r="29715" spans="8:20" x14ac:dyDescent="0.35">
      <c r="H29715" s="711"/>
      <c r="I29715" s="711"/>
      <c r="J29715" s="711"/>
      <c r="K29715" s="711"/>
      <c r="L29715" s="711"/>
      <c r="Q29715" s="11"/>
      <c r="R29715" s="11"/>
      <c r="S29715" s="11"/>
      <c r="T29715" s="11"/>
    </row>
    <row r="29716" spans="8:20" x14ac:dyDescent="0.35">
      <c r="H29716" s="711"/>
      <c r="I29716" s="711"/>
      <c r="J29716" s="711"/>
      <c r="K29716" s="711"/>
      <c r="L29716" s="711"/>
      <c r="Q29716" s="11"/>
      <c r="R29716" s="11"/>
      <c r="S29716" s="11"/>
      <c r="T29716" s="11"/>
    </row>
    <row r="29717" spans="8:20" x14ac:dyDescent="0.35">
      <c r="H29717" s="711"/>
      <c r="I29717" s="711"/>
      <c r="J29717" s="711"/>
      <c r="K29717" s="711"/>
      <c r="L29717" s="711"/>
      <c r="Q29717" s="11"/>
      <c r="R29717" s="11"/>
      <c r="S29717" s="11"/>
      <c r="T29717" s="11"/>
    </row>
    <row r="29718" spans="8:20" x14ac:dyDescent="0.35">
      <c r="H29718" s="711"/>
      <c r="I29718" s="711"/>
      <c r="J29718" s="711"/>
      <c r="K29718" s="711"/>
      <c r="L29718" s="711"/>
      <c r="Q29718" s="11"/>
      <c r="R29718" s="11"/>
      <c r="S29718" s="11"/>
      <c r="T29718" s="11"/>
    </row>
    <row r="29719" spans="8:20" x14ac:dyDescent="0.35">
      <c r="H29719" s="711"/>
      <c r="I29719" s="711"/>
      <c r="J29719" s="711"/>
      <c r="K29719" s="711"/>
      <c r="L29719" s="711"/>
      <c r="Q29719" s="11"/>
      <c r="R29719" s="11"/>
      <c r="S29719" s="11"/>
      <c r="T29719" s="11"/>
    </row>
    <row r="29720" spans="8:20" x14ac:dyDescent="0.35">
      <c r="H29720" s="711"/>
      <c r="I29720" s="711"/>
      <c r="J29720" s="711"/>
      <c r="K29720" s="711"/>
      <c r="L29720" s="711"/>
      <c r="Q29720" s="11"/>
      <c r="R29720" s="11"/>
      <c r="S29720" s="11"/>
      <c r="T29720" s="11"/>
    </row>
    <row r="29721" spans="8:20" x14ac:dyDescent="0.35">
      <c r="H29721" s="711"/>
      <c r="I29721" s="711"/>
      <c r="J29721" s="711"/>
      <c r="K29721" s="711"/>
      <c r="L29721" s="711"/>
      <c r="Q29721" s="11"/>
      <c r="R29721" s="11"/>
      <c r="S29721" s="11"/>
      <c r="T29721" s="11"/>
    </row>
    <row r="29722" spans="8:20" x14ac:dyDescent="0.35">
      <c r="H29722" s="711"/>
      <c r="I29722" s="711"/>
      <c r="J29722" s="711"/>
      <c r="K29722" s="711"/>
      <c r="L29722" s="711"/>
      <c r="Q29722" s="11"/>
      <c r="R29722" s="11"/>
      <c r="S29722" s="11"/>
      <c r="T29722" s="11"/>
    </row>
    <row r="29723" spans="8:20" x14ac:dyDescent="0.35">
      <c r="H29723" s="711"/>
      <c r="I29723" s="711"/>
      <c r="J29723" s="711"/>
      <c r="K29723" s="711"/>
      <c r="L29723" s="711"/>
      <c r="Q29723" s="11"/>
      <c r="R29723" s="11"/>
      <c r="S29723" s="11"/>
      <c r="T29723" s="11"/>
    </row>
    <row r="29724" spans="8:20" x14ac:dyDescent="0.35">
      <c r="H29724" s="711"/>
      <c r="I29724" s="711"/>
      <c r="J29724" s="711"/>
      <c r="K29724" s="711"/>
      <c r="L29724" s="711"/>
      <c r="Q29724" s="11"/>
      <c r="R29724" s="11"/>
      <c r="S29724" s="11"/>
      <c r="T29724" s="11"/>
    </row>
    <row r="29725" spans="8:20" x14ac:dyDescent="0.35">
      <c r="H29725" s="711"/>
      <c r="I29725" s="711"/>
      <c r="J29725" s="711"/>
      <c r="K29725" s="711"/>
      <c r="L29725" s="711"/>
      <c r="Q29725" s="11"/>
      <c r="R29725" s="11"/>
      <c r="S29725" s="11"/>
      <c r="T29725" s="11"/>
    </row>
    <row r="29726" spans="8:20" x14ac:dyDescent="0.35">
      <c r="H29726" s="711"/>
      <c r="I29726" s="711"/>
      <c r="J29726" s="711"/>
      <c r="K29726" s="711"/>
      <c r="L29726" s="711"/>
      <c r="Q29726" s="11"/>
      <c r="R29726" s="11"/>
      <c r="S29726" s="11"/>
      <c r="T29726" s="11"/>
    </row>
    <row r="29727" spans="8:20" x14ac:dyDescent="0.35">
      <c r="H29727" s="711"/>
      <c r="I29727" s="711"/>
      <c r="J29727" s="711"/>
      <c r="K29727" s="711"/>
      <c r="L29727" s="711"/>
      <c r="Q29727" s="11"/>
      <c r="R29727" s="11"/>
      <c r="S29727" s="11"/>
      <c r="T29727" s="11"/>
    </row>
    <row r="29728" spans="8:20" x14ac:dyDescent="0.35">
      <c r="H29728" s="711"/>
      <c r="I29728" s="711"/>
      <c r="J29728" s="711"/>
      <c r="K29728" s="711"/>
      <c r="L29728" s="711"/>
      <c r="Q29728" s="11"/>
      <c r="R29728" s="11"/>
      <c r="S29728" s="11"/>
      <c r="T29728" s="11"/>
    </row>
    <row r="29729" spans="8:20" x14ac:dyDescent="0.35">
      <c r="H29729" s="711"/>
      <c r="I29729" s="711"/>
      <c r="J29729" s="711"/>
      <c r="K29729" s="711"/>
      <c r="L29729" s="711"/>
      <c r="Q29729" s="11"/>
      <c r="R29729" s="11"/>
      <c r="S29729" s="11"/>
      <c r="T29729" s="11"/>
    </row>
    <row r="29730" spans="8:20" x14ac:dyDescent="0.35">
      <c r="H29730" s="711"/>
      <c r="I29730" s="711"/>
      <c r="J29730" s="711"/>
      <c r="K29730" s="711"/>
      <c r="L29730" s="711"/>
      <c r="Q29730" s="11"/>
      <c r="R29730" s="11"/>
      <c r="S29730" s="11"/>
      <c r="T29730" s="11"/>
    </row>
    <row r="29731" spans="8:20" x14ac:dyDescent="0.35">
      <c r="H29731" s="711"/>
      <c r="I29731" s="711"/>
      <c r="J29731" s="711"/>
      <c r="K29731" s="711"/>
      <c r="L29731" s="711"/>
      <c r="Q29731" s="11"/>
      <c r="R29731" s="11"/>
      <c r="S29731" s="11"/>
      <c r="T29731" s="11"/>
    </row>
    <row r="29732" spans="8:20" x14ac:dyDescent="0.35">
      <c r="H29732" s="711"/>
      <c r="I29732" s="711"/>
      <c r="J29732" s="711"/>
      <c r="K29732" s="711"/>
      <c r="L29732" s="711"/>
      <c r="Q29732" s="11"/>
      <c r="R29732" s="11"/>
      <c r="S29732" s="11"/>
      <c r="T29732" s="11"/>
    </row>
    <row r="29733" spans="8:20" x14ac:dyDescent="0.35">
      <c r="H29733" s="711"/>
      <c r="I29733" s="711"/>
      <c r="J29733" s="711"/>
      <c r="K29733" s="711"/>
      <c r="L29733" s="711"/>
      <c r="Q29733" s="11"/>
      <c r="R29733" s="11"/>
      <c r="S29733" s="11"/>
      <c r="T29733" s="11"/>
    </row>
    <row r="29734" spans="8:20" x14ac:dyDescent="0.35">
      <c r="H29734" s="711"/>
      <c r="I29734" s="711"/>
      <c r="J29734" s="711"/>
      <c r="K29734" s="711"/>
      <c r="L29734" s="711"/>
      <c r="Q29734" s="11"/>
      <c r="R29734" s="11"/>
      <c r="S29734" s="11"/>
      <c r="T29734" s="11"/>
    </row>
    <row r="29735" spans="8:20" x14ac:dyDescent="0.35">
      <c r="H29735" s="711"/>
      <c r="I29735" s="711"/>
      <c r="J29735" s="711"/>
      <c r="K29735" s="711"/>
      <c r="L29735" s="711"/>
      <c r="Q29735" s="11"/>
      <c r="R29735" s="11"/>
      <c r="S29735" s="11"/>
      <c r="T29735" s="11"/>
    </row>
    <row r="29736" spans="8:20" x14ac:dyDescent="0.35">
      <c r="H29736" s="711"/>
      <c r="I29736" s="711"/>
      <c r="J29736" s="711"/>
      <c r="K29736" s="711"/>
      <c r="L29736" s="711"/>
      <c r="Q29736" s="11"/>
      <c r="R29736" s="11"/>
      <c r="S29736" s="11"/>
      <c r="T29736" s="11"/>
    </row>
    <row r="29737" spans="8:20" x14ac:dyDescent="0.35">
      <c r="H29737" s="711"/>
      <c r="I29737" s="711"/>
      <c r="J29737" s="711"/>
      <c r="K29737" s="711"/>
      <c r="L29737" s="711"/>
      <c r="Q29737" s="11"/>
      <c r="R29737" s="11"/>
      <c r="S29737" s="11"/>
      <c r="T29737" s="11"/>
    </row>
    <row r="29738" spans="8:20" x14ac:dyDescent="0.35">
      <c r="H29738" s="711"/>
      <c r="I29738" s="711"/>
      <c r="J29738" s="711"/>
      <c r="K29738" s="711"/>
      <c r="L29738" s="711"/>
      <c r="Q29738" s="11"/>
      <c r="R29738" s="11"/>
      <c r="S29738" s="11"/>
      <c r="T29738" s="11"/>
    </row>
    <row r="29739" spans="8:20" x14ac:dyDescent="0.35">
      <c r="H29739" s="711"/>
      <c r="I29739" s="711"/>
      <c r="J29739" s="711"/>
      <c r="K29739" s="711"/>
      <c r="L29739" s="711"/>
      <c r="Q29739" s="11"/>
      <c r="R29739" s="11"/>
      <c r="S29739" s="11"/>
      <c r="T29739" s="11"/>
    </row>
    <row r="29740" spans="8:20" x14ac:dyDescent="0.35">
      <c r="H29740" s="711"/>
      <c r="I29740" s="711"/>
      <c r="J29740" s="711"/>
      <c r="K29740" s="711"/>
      <c r="L29740" s="711"/>
      <c r="Q29740" s="11"/>
      <c r="R29740" s="11"/>
      <c r="S29740" s="11"/>
      <c r="T29740" s="11"/>
    </row>
    <row r="29741" spans="8:20" x14ac:dyDescent="0.35">
      <c r="H29741" s="711"/>
      <c r="I29741" s="711"/>
      <c r="J29741" s="711"/>
      <c r="K29741" s="711"/>
      <c r="L29741" s="711"/>
      <c r="Q29741" s="11"/>
      <c r="R29741" s="11"/>
      <c r="S29741" s="11"/>
      <c r="T29741" s="11"/>
    </row>
    <row r="29742" spans="8:20" x14ac:dyDescent="0.35">
      <c r="H29742" s="711"/>
      <c r="I29742" s="711"/>
      <c r="J29742" s="711"/>
      <c r="K29742" s="711"/>
      <c r="L29742" s="711"/>
      <c r="Q29742" s="11"/>
      <c r="R29742" s="11"/>
      <c r="S29742" s="11"/>
      <c r="T29742" s="11"/>
    </row>
    <row r="29743" spans="8:20" x14ac:dyDescent="0.35">
      <c r="H29743" s="711"/>
      <c r="I29743" s="711"/>
      <c r="J29743" s="711"/>
      <c r="K29743" s="711"/>
      <c r="L29743" s="711"/>
      <c r="Q29743" s="11"/>
      <c r="R29743" s="11"/>
      <c r="S29743" s="11"/>
      <c r="T29743" s="11"/>
    </row>
    <row r="29744" spans="8:20" x14ac:dyDescent="0.35">
      <c r="H29744" s="711"/>
      <c r="I29744" s="711"/>
      <c r="J29744" s="711"/>
      <c r="K29744" s="711"/>
      <c r="L29744" s="711"/>
      <c r="Q29744" s="11"/>
      <c r="R29744" s="11"/>
      <c r="S29744" s="11"/>
      <c r="T29744" s="11"/>
    </row>
    <row r="29745" spans="8:20" x14ac:dyDescent="0.35">
      <c r="H29745" s="711"/>
      <c r="I29745" s="711"/>
      <c r="J29745" s="711"/>
      <c r="K29745" s="711"/>
      <c r="L29745" s="711"/>
      <c r="Q29745" s="11"/>
      <c r="R29745" s="11"/>
      <c r="S29745" s="11"/>
      <c r="T29745" s="11"/>
    </row>
    <row r="29746" spans="8:20" x14ac:dyDescent="0.35">
      <c r="H29746" s="711"/>
      <c r="I29746" s="711"/>
      <c r="J29746" s="711"/>
      <c r="K29746" s="711"/>
      <c r="L29746" s="711"/>
      <c r="Q29746" s="11"/>
      <c r="R29746" s="11"/>
      <c r="S29746" s="11"/>
      <c r="T29746" s="11"/>
    </row>
    <row r="29747" spans="8:20" x14ac:dyDescent="0.35">
      <c r="H29747" s="711"/>
      <c r="I29747" s="711"/>
      <c r="J29747" s="711"/>
      <c r="K29747" s="711"/>
      <c r="L29747" s="711"/>
      <c r="Q29747" s="11"/>
      <c r="R29747" s="11"/>
      <c r="S29747" s="11"/>
      <c r="T29747" s="11"/>
    </row>
    <row r="29748" spans="8:20" x14ac:dyDescent="0.35">
      <c r="H29748" s="711"/>
      <c r="I29748" s="711"/>
      <c r="J29748" s="711"/>
      <c r="K29748" s="711"/>
      <c r="L29748" s="711"/>
      <c r="Q29748" s="11"/>
      <c r="R29748" s="11"/>
      <c r="S29748" s="11"/>
      <c r="T29748" s="11"/>
    </row>
    <row r="29749" spans="8:20" x14ac:dyDescent="0.35">
      <c r="H29749" s="711"/>
      <c r="I29749" s="711"/>
      <c r="J29749" s="711"/>
      <c r="K29749" s="711"/>
      <c r="L29749" s="711"/>
      <c r="Q29749" s="11"/>
      <c r="R29749" s="11"/>
      <c r="S29749" s="11"/>
      <c r="T29749" s="11"/>
    </row>
    <row r="29750" spans="8:20" x14ac:dyDescent="0.35">
      <c r="H29750" s="711"/>
      <c r="I29750" s="711"/>
      <c r="J29750" s="711"/>
      <c r="K29750" s="711"/>
      <c r="L29750" s="711"/>
      <c r="Q29750" s="11"/>
      <c r="R29750" s="11"/>
      <c r="S29750" s="11"/>
      <c r="T29750" s="11"/>
    </row>
    <row r="29751" spans="8:20" x14ac:dyDescent="0.35">
      <c r="H29751" s="711"/>
      <c r="I29751" s="711"/>
      <c r="J29751" s="711"/>
      <c r="K29751" s="711"/>
      <c r="L29751" s="711"/>
      <c r="Q29751" s="11"/>
      <c r="R29751" s="11"/>
      <c r="S29751" s="11"/>
      <c r="T29751" s="11"/>
    </row>
    <row r="29752" spans="8:20" x14ac:dyDescent="0.35">
      <c r="H29752" s="711"/>
      <c r="I29752" s="711"/>
      <c r="J29752" s="711"/>
      <c r="K29752" s="711"/>
      <c r="L29752" s="711"/>
      <c r="Q29752" s="11"/>
      <c r="R29752" s="11"/>
      <c r="S29752" s="11"/>
      <c r="T29752" s="11"/>
    </row>
    <row r="29753" spans="8:20" x14ac:dyDescent="0.35">
      <c r="H29753" s="711"/>
      <c r="I29753" s="711"/>
      <c r="J29753" s="711"/>
      <c r="K29753" s="711"/>
      <c r="L29753" s="711"/>
      <c r="Q29753" s="11"/>
      <c r="R29753" s="11"/>
      <c r="S29753" s="11"/>
      <c r="T29753" s="11"/>
    </row>
    <row r="29754" spans="8:20" x14ac:dyDescent="0.35">
      <c r="H29754" s="711"/>
      <c r="I29754" s="711"/>
      <c r="J29754" s="711"/>
      <c r="K29754" s="711"/>
      <c r="L29754" s="711"/>
      <c r="Q29754" s="11"/>
      <c r="R29754" s="11"/>
      <c r="S29754" s="11"/>
      <c r="T29754" s="11"/>
    </row>
    <row r="29755" spans="8:20" x14ac:dyDescent="0.35">
      <c r="H29755" s="711"/>
      <c r="I29755" s="711"/>
      <c r="J29755" s="711"/>
      <c r="K29755" s="711"/>
      <c r="L29755" s="711"/>
      <c r="Q29755" s="11"/>
      <c r="R29755" s="11"/>
      <c r="S29755" s="11"/>
      <c r="T29755" s="11"/>
    </row>
    <row r="29756" spans="8:20" x14ac:dyDescent="0.35">
      <c r="H29756" s="711"/>
      <c r="I29756" s="711"/>
      <c r="J29756" s="711"/>
      <c r="K29756" s="711"/>
      <c r="L29756" s="711"/>
      <c r="Q29756" s="11"/>
      <c r="R29756" s="11"/>
      <c r="S29756" s="11"/>
      <c r="T29756" s="11"/>
    </row>
    <row r="29757" spans="8:20" x14ac:dyDescent="0.35">
      <c r="H29757" s="711"/>
      <c r="I29757" s="711"/>
      <c r="J29757" s="711"/>
      <c r="K29757" s="711"/>
      <c r="L29757" s="711"/>
      <c r="Q29757" s="11"/>
      <c r="R29757" s="11"/>
      <c r="S29757" s="11"/>
      <c r="T29757" s="11"/>
    </row>
    <row r="29758" spans="8:20" x14ac:dyDescent="0.35">
      <c r="H29758" s="711"/>
      <c r="I29758" s="711"/>
      <c r="J29758" s="711"/>
      <c r="K29758" s="711"/>
      <c r="L29758" s="711"/>
      <c r="Q29758" s="11"/>
      <c r="R29758" s="11"/>
      <c r="S29758" s="11"/>
      <c r="T29758" s="11"/>
    </row>
    <row r="29759" spans="8:20" x14ac:dyDescent="0.35">
      <c r="H29759" s="711"/>
      <c r="I29759" s="711"/>
      <c r="J29759" s="711"/>
      <c r="K29759" s="711"/>
      <c r="L29759" s="711"/>
      <c r="Q29759" s="11"/>
      <c r="R29759" s="11"/>
      <c r="S29759" s="11"/>
      <c r="T29759" s="11"/>
    </row>
    <row r="29760" spans="8:20" x14ac:dyDescent="0.35">
      <c r="H29760" s="711"/>
      <c r="I29760" s="711"/>
      <c r="J29760" s="711"/>
      <c r="K29760" s="711"/>
      <c r="L29760" s="711"/>
      <c r="Q29760" s="11"/>
      <c r="R29760" s="11"/>
      <c r="S29760" s="11"/>
      <c r="T29760" s="11"/>
    </row>
    <row r="29761" spans="8:20" x14ac:dyDescent="0.35">
      <c r="H29761" s="711"/>
      <c r="I29761" s="711"/>
      <c r="J29761" s="711"/>
      <c r="K29761" s="711"/>
      <c r="L29761" s="711"/>
      <c r="Q29761" s="11"/>
      <c r="R29761" s="11"/>
      <c r="S29761" s="11"/>
      <c r="T29761" s="11"/>
    </row>
    <row r="29762" spans="8:20" x14ac:dyDescent="0.35">
      <c r="H29762" s="711"/>
      <c r="I29762" s="711"/>
      <c r="J29762" s="711"/>
      <c r="K29762" s="711"/>
      <c r="L29762" s="711"/>
      <c r="Q29762" s="11"/>
      <c r="R29762" s="11"/>
      <c r="S29762" s="11"/>
      <c r="T29762" s="11"/>
    </row>
    <row r="29763" spans="8:20" x14ac:dyDescent="0.35">
      <c r="H29763" s="711"/>
      <c r="I29763" s="711"/>
      <c r="J29763" s="711"/>
      <c r="K29763" s="711"/>
      <c r="L29763" s="711"/>
      <c r="Q29763" s="11"/>
      <c r="R29763" s="11"/>
      <c r="S29763" s="11"/>
      <c r="T29763" s="11"/>
    </row>
    <row r="29764" spans="8:20" x14ac:dyDescent="0.35">
      <c r="H29764" s="711"/>
      <c r="I29764" s="711"/>
      <c r="J29764" s="711"/>
      <c r="K29764" s="711"/>
      <c r="L29764" s="711"/>
      <c r="Q29764" s="11"/>
      <c r="R29764" s="11"/>
      <c r="S29764" s="11"/>
      <c r="T29764" s="11"/>
    </row>
    <row r="29765" spans="8:20" x14ac:dyDescent="0.35">
      <c r="H29765" s="711"/>
      <c r="I29765" s="711"/>
      <c r="J29765" s="711"/>
      <c r="K29765" s="711"/>
      <c r="L29765" s="711"/>
      <c r="Q29765" s="11"/>
      <c r="R29765" s="11"/>
      <c r="S29765" s="11"/>
      <c r="T29765" s="11"/>
    </row>
    <row r="29766" spans="8:20" x14ac:dyDescent="0.35">
      <c r="H29766" s="711"/>
      <c r="I29766" s="711"/>
      <c r="J29766" s="711"/>
      <c r="K29766" s="711"/>
      <c r="L29766" s="711"/>
      <c r="Q29766" s="11"/>
      <c r="R29766" s="11"/>
      <c r="S29766" s="11"/>
      <c r="T29766" s="11"/>
    </row>
    <row r="29767" spans="8:20" x14ac:dyDescent="0.35">
      <c r="H29767" s="711"/>
      <c r="I29767" s="711"/>
      <c r="J29767" s="711"/>
      <c r="K29767" s="711"/>
      <c r="L29767" s="711"/>
      <c r="Q29767" s="11"/>
      <c r="R29767" s="11"/>
      <c r="S29767" s="11"/>
      <c r="T29767" s="11"/>
    </row>
    <row r="29768" spans="8:20" x14ac:dyDescent="0.35">
      <c r="H29768" s="711"/>
      <c r="I29768" s="711"/>
      <c r="J29768" s="711"/>
      <c r="K29768" s="711"/>
      <c r="L29768" s="711"/>
      <c r="Q29768" s="11"/>
      <c r="R29768" s="11"/>
      <c r="S29768" s="11"/>
      <c r="T29768" s="11"/>
    </row>
    <row r="29769" spans="8:20" x14ac:dyDescent="0.35">
      <c r="H29769" s="711"/>
      <c r="I29769" s="711"/>
      <c r="J29769" s="711"/>
      <c r="K29769" s="711"/>
      <c r="L29769" s="711"/>
      <c r="Q29769" s="11"/>
      <c r="R29769" s="11"/>
      <c r="S29769" s="11"/>
      <c r="T29769" s="11"/>
    </row>
    <row r="29770" spans="8:20" x14ac:dyDescent="0.35">
      <c r="H29770" s="711"/>
      <c r="I29770" s="711"/>
      <c r="J29770" s="711"/>
      <c r="K29770" s="711"/>
      <c r="L29770" s="711"/>
      <c r="Q29770" s="11"/>
      <c r="R29770" s="11"/>
      <c r="S29770" s="11"/>
      <c r="T29770" s="11"/>
    </row>
    <row r="29771" spans="8:20" x14ac:dyDescent="0.35">
      <c r="H29771" s="711"/>
      <c r="I29771" s="711"/>
      <c r="J29771" s="711"/>
      <c r="K29771" s="711"/>
      <c r="L29771" s="711"/>
      <c r="Q29771" s="11"/>
      <c r="R29771" s="11"/>
      <c r="S29771" s="11"/>
      <c r="T29771" s="11"/>
    </row>
    <row r="29772" spans="8:20" x14ac:dyDescent="0.35">
      <c r="H29772" s="711"/>
      <c r="I29772" s="711"/>
      <c r="J29772" s="711"/>
      <c r="K29772" s="711"/>
      <c r="L29772" s="711"/>
      <c r="Q29772" s="11"/>
      <c r="R29772" s="11"/>
      <c r="S29772" s="11"/>
      <c r="T29772" s="11"/>
    </row>
    <row r="29773" spans="8:20" x14ac:dyDescent="0.35">
      <c r="H29773" s="711"/>
      <c r="I29773" s="711"/>
      <c r="J29773" s="711"/>
      <c r="K29773" s="711"/>
      <c r="L29773" s="711"/>
      <c r="Q29773" s="11"/>
      <c r="R29773" s="11"/>
      <c r="S29773" s="11"/>
      <c r="T29773" s="11"/>
    </row>
    <row r="29774" spans="8:20" x14ac:dyDescent="0.35">
      <c r="H29774" s="711"/>
      <c r="I29774" s="711"/>
      <c r="J29774" s="711"/>
      <c r="K29774" s="711"/>
      <c r="L29774" s="711"/>
      <c r="Q29774" s="11"/>
      <c r="R29774" s="11"/>
      <c r="S29774" s="11"/>
      <c r="T29774" s="11"/>
    </row>
    <row r="29775" spans="8:20" x14ac:dyDescent="0.35">
      <c r="H29775" s="711"/>
      <c r="I29775" s="711"/>
      <c r="J29775" s="711"/>
      <c r="K29775" s="711"/>
      <c r="L29775" s="711"/>
      <c r="Q29775" s="11"/>
      <c r="R29775" s="11"/>
      <c r="S29775" s="11"/>
      <c r="T29775" s="11"/>
    </row>
    <row r="29776" spans="8:20" x14ac:dyDescent="0.35">
      <c r="H29776" s="711"/>
      <c r="I29776" s="711"/>
      <c r="J29776" s="711"/>
      <c r="K29776" s="711"/>
      <c r="L29776" s="711"/>
      <c r="Q29776" s="11"/>
      <c r="R29776" s="11"/>
      <c r="S29776" s="11"/>
      <c r="T29776" s="11"/>
    </row>
    <row r="29777" spans="8:20" x14ac:dyDescent="0.35">
      <c r="H29777" s="711"/>
      <c r="I29777" s="711"/>
      <c r="J29777" s="711"/>
      <c r="K29777" s="711"/>
      <c r="L29777" s="711"/>
      <c r="Q29777" s="11"/>
      <c r="R29777" s="11"/>
      <c r="S29777" s="11"/>
      <c r="T29777" s="11"/>
    </row>
    <row r="29778" spans="8:20" x14ac:dyDescent="0.35">
      <c r="H29778" s="711"/>
      <c r="I29778" s="711"/>
      <c r="J29778" s="711"/>
      <c r="K29778" s="711"/>
      <c r="L29778" s="711"/>
      <c r="Q29778" s="11"/>
      <c r="R29778" s="11"/>
      <c r="S29778" s="11"/>
      <c r="T29778" s="11"/>
    </row>
    <row r="29779" spans="8:20" x14ac:dyDescent="0.35">
      <c r="H29779" s="711"/>
      <c r="I29779" s="711"/>
      <c r="J29779" s="711"/>
      <c r="K29779" s="711"/>
      <c r="L29779" s="711"/>
      <c r="Q29779" s="11"/>
      <c r="R29779" s="11"/>
      <c r="S29779" s="11"/>
      <c r="T29779" s="11"/>
    </row>
    <row r="29780" spans="8:20" x14ac:dyDescent="0.35">
      <c r="H29780" s="711"/>
      <c r="I29780" s="711"/>
      <c r="J29780" s="711"/>
      <c r="K29780" s="711"/>
      <c r="L29780" s="711"/>
      <c r="Q29780" s="11"/>
      <c r="R29780" s="11"/>
      <c r="S29780" s="11"/>
      <c r="T29780" s="11"/>
    </row>
    <row r="29781" spans="8:20" x14ac:dyDescent="0.35">
      <c r="H29781" s="711"/>
      <c r="I29781" s="711"/>
      <c r="J29781" s="711"/>
      <c r="K29781" s="711"/>
      <c r="L29781" s="711"/>
      <c r="Q29781" s="11"/>
      <c r="R29781" s="11"/>
      <c r="S29781" s="11"/>
      <c r="T29781" s="11"/>
    </row>
    <row r="29782" spans="8:20" x14ac:dyDescent="0.35">
      <c r="H29782" s="711"/>
      <c r="I29782" s="711"/>
      <c r="J29782" s="711"/>
      <c r="K29782" s="711"/>
      <c r="L29782" s="711"/>
      <c r="Q29782" s="11"/>
      <c r="R29782" s="11"/>
      <c r="S29782" s="11"/>
      <c r="T29782" s="11"/>
    </row>
    <row r="29783" spans="8:20" x14ac:dyDescent="0.35">
      <c r="H29783" s="711"/>
      <c r="I29783" s="711"/>
      <c r="J29783" s="711"/>
      <c r="K29783" s="711"/>
      <c r="L29783" s="711"/>
      <c r="Q29783" s="11"/>
      <c r="R29783" s="11"/>
      <c r="S29783" s="11"/>
      <c r="T29783" s="11"/>
    </row>
    <row r="29784" spans="8:20" x14ac:dyDescent="0.35">
      <c r="H29784" s="711"/>
      <c r="I29784" s="711"/>
      <c r="J29784" s="711"/>
      <c r="K29784" s="711"/>
      <c r="L29784" s="711"/>
      <c r="Q29784" s="11"/>
      <c r="R29784" s="11"/>
      <c r="S29784" s="11"/>
      <c r="T29784" s="11"/>
    </row>
    <row r="29785" spans="8:20" x14ac:dyDescent="0.35">
      <c r="H29785" s="711"/>
      <c r="I29785" s="711"/>
      <c r="J29785" s="711"/>
      <c r="K29785" s="711"/>
      <c r="L29785" s="711"/>
      <c r="Q29785" s="11"/>
      <c r="R29785" s="11"/>
      <c r="S29785" s="11"/>
      <c r="T29785" s="11"/>
    </row>
    <row r="29786" spans="8:20" x14ac:dyDescent="0.35">
      <c r="H29786" s="711"/>
      <c r="I29786" s="711"/>
      <c r="J29786" s="711"/>
      <c r="K29786" s="711"/>
      <c r="L29786" s="711"/>
      <c r="Q29786" s="11"/>
      <c r="R29786" s="11"/>
      <c r="S29786" s="11"/>
      <c r="T29786" s="11"/>
    </row>
    <row r="29787" spans="8:20" x14ac:dyDescent="0.35">
      <c r="H29787" s="711"/>
      <c r="I29787" s="711"/>
      <c r="J29787" s="711"/>
      <c r="K29787" s="711"/>
      <c r="L29787" s="711"/>
      <c r="Q29787" s="11"/>
      <c r="R29787" s="11"/>
      <c r="S29787" s="11"/>
      <c r="T29787" s="11"/>
    </row>
    <row r="29788" spans="8:20" x14ac:dyDescent="0.35">
      <c r="H29788" s="711"/>
      <c r="I29788" s="711"/>
      <c r="J29788" s="711"/>
      <c r="K29788" s="711"/>
      <c r="L29788" s="711"/>
      <c r="Q29788" s="11"/>
      <c r="R29788" s="11"/>
      <c r="S29788" s="11"/>
      <c r="T29788" s="11"/>
    </row>
    <row r="29789" spans="8:20" x14ac:dyDescent="0.35">
      <c r="H29789" s="711"/>
      <c r="I29789" s="711"/>
      <c r="J29789" s="711"/>
      <c r="K29789" s="711"/>
      <c r="L29789" s="711"/>
      <c r="Q29789" s="11"/>
      <c r="R29789" s="11"/>
      <c r="S29789" s="11"/>
      <c r="T29789" s="11"/>
    </row>
    <row r="29790" spans="8:20" x14ac:dyDescent="0.35">
      <c r="H29790" s="711"/>
      <c r="I29790" s="711"/>
      <c r="J29790" s="711"/>
      <c r="K29790" s="711"/>
      <c r="L29790" s="711"/>
      <c r="Q29790" s="11"/>
      <c r="R29790" s="11"/>
      <c r="S29790" s="11"/>
      <c r="T29790" s="11"/>
    </row>
    <row r="29791" spans="8:20" x14ac:dyDescent="0.35">
      <c r="H29791" s="711"/>
      <c r="I29791" s="711"/>
      <c r="J29791" s="711"/>
      <c r="K29791" s="711"/>
      <c r="L29791" s="711"/>
      <c r="Q29791" s="11"/>
      <c r="R29791" s="11"/>
      <c r="S29791" s="11"/>
      <c r="T29791" s="11"/>
    </row>
    <row r="29792" spans="8:20" x14ac:dyDescent="0.35">
      <c r="H29792" s="711"/>
      <c r="I29792" s="711"/>
      <c r="J29792" s="711"/>
      <c r="K29792" s="711"/>
      <c r="L29792" s="711"/>
      <c r="Q29792" s="11"/>
      <c r="R29792" s="11"/>
      <c r="S29792" s="11"/>
      <c r="T29792" s="11"/>
    </row>
    <row r="29793" spans="8:20" x14ac:dyDescent="0.35">
      <c r="H29793" s="711"/>
      <c r="I29793" s="711"/>
      <c r="J29793" s="711"/>
      <c r="K29793" s="711"/>
      <c r="L29793" s="711"/>
      <c r="Q29793" s="11"/>
      <c r="R29793" s="11"/>
      <c r="S29793" s="11"/>
      <c r="T29793" s="11"/>
    </row>
    <row r="29794" spans="8:20" x14ac:dyDescent="0.35">
      <c r="H29794" s="711"/>
      <c r="I29794" s="711"/>
      <c r="J29794" s="711"/>
      <c r="K29794" s="711"/>
      <c r="L29794" s="711"/>
      <c r="Q29794" s="11"/>
      <c r="R29794" s="11"/>
      <c r="S29794" s="11"/>
      <c r="T29794" s="11"/>
    </row>
    <row r="29795" spans="8:20" x14ac:dyDescent="0.35">
      <c r="H29795" s="711"/>
      <c r="I29795" s="711"/>
      <c r="J29795" s="711"/>
      <c r="K29795" s="711"/>
      <c r="L29795" s="711"/>
      <c r="Q29795" s="11"/>
      <c r="R29795" s="11"/>
      <c r="S29795" s="11"/>
      <c r="T29795" s="11"/>
    </row>
    <row r="29796" spans="8:20" x14ac:dyDescent="0.35">
      <c r="H29796" s="711"/>
      <c r="I29796" s="711"/>
      <c r="J29796" s="711"/>
      <c r="K29796" s="711"/>
      <c r="L29796" s="711"/>
      <c r="Q29796" s="11"/>
      <c r="R29796" s="11"/>
      <c r="S29796" s="11"/>
      <c r="T29796" s="11"/>
    </row>
    <row r="29797" spans="8:20" x14ac:dyDescent="0.35">
      <c r="H29797" s="711"/>
      <c r="I29797" s="711"/>
      <c r="J29797" s="711"/>
      <c r="K29797" s="711"/>
      <c r="L29797" s="711"/>
      <c r="Q29797" s="11"/>
      <c r="R29797" s="11"/>
      <c r="S29797" s="11"/>
      <c r="T29797" s="11"/>
    </row>
    <row r="29798" spans="8:20" x14ac:dyDescent="0.35">
      <c r="H29798" s="711"/>
      <c r="I29798" s="711"/>
      <c r="J29798" s="711"/>
      <c r="K29798" s="711"/>
      <c r="L29798" s="711"/>
      <c r="Q29798" s="11"/>
      <c r="R29798" s="11"/>
      <c r="S29798" s="11"/>
      <c r="T29798" s="11"/>
    </row>
    <row r="29799" spans="8:20" x14ac:dyDescent="0.35">
      <c r="H29799" s="711"/>
      <c r="I29799" s="711"/>
      <c r="J29799" s="711"/>
      <c r="K29799" s="711"/>
      <c r="L29799" s="711"/>
      <c r="Q29799" s="11"/>
      <c r="R29799" s="11"/>
      <c r="S29799" s="11"/>
      <c r="T29799" s="11"/>
    </row>
    <row r="29800" spans="8:20" x14ac:dyDescent="0.35">
      <c r="H29800" s="711"/>
      <c r="I29800" s="711"/>
      <c r="J29800" s="711"/>
      <c r="K29800" s="711"/>
      <c r="L29800" s="711"/>
      <c r="Q29800" s="11"/>
      <c r="R29800" s="11"/>
      <c r="S29800" s="11"/>
      <c r="T29800" s="11"/>
    </row>
    <row r="29801" spans="8:20" x14ac:dyDescent="0.35">
      <c r="H29801" s="711"/>
      <c r="I29801" s="711"/>
      <c r="J29801" s="711"/>
      <c r="K29801" s="711"/>
      <c r="L29801" s="711"/>
      <c r="Q29801" s="11"/>
      <c r="R29801" s="11"/>
      <c r="S29801" s="11"/>
      <c r="T29801" s="11"/>
    </row>
    <row r="29802" spans="8:20" x14ac:dyDescent="0.35">
      <c r="H29802" s="711"/>
      <c r="I29802" s="711"/>
      <c r="J29802" s="711"/>
      <c r="K29802" s="711"/>
      <c r="L29802" s="711"/>
      <c r="Q29802" s="11"/>
      <c r="R29802" s="11"/>
      <c r="S29802" s="11"/>
      <c r="T29802" s="11"/>
    </row>
    <row r="29803" spans="8:20" x14ac:dyDescent="0.35">
      <c r="H29803" s="711"/>
      <c r="I29803" s="711"/>
      <c r="J29803" s="711"/>
      <c r="K29803" s="711"/>
      <c r="L29803" s="711"/>
      <c r="Q29803" s="11"/>
      <c r="R29803" s="11"/>
      <c r="S29803" s="11"/>
      <c r="T29803" s="11"/>
    </row>
    <row r="29804" spans="8:20" x14ac:dyDescent="0.35">
      <c r="H29804" s="711"/>
      <c r="I29804" s="711"/>
      <c r="J29804" s="711"/>
      <c r="K29804" s="711"/>
      <c r="L29804" s="711"/>
      <c r="Q29804" s="11"/>
      <c r="R29804" s="11"/>
      <c r="S29804" s="11"/>
      <c r="T29804" s="11"/>
    </row>
    <row r="29805" spans="8:20" x14ac:dyDescent="0.35">
      <c r="H29805" s="711"/>
      <c r="I29805" s="711"/>
      <c r="J29805" s="711"/>
      <c r="K29805" s="711"/>
      <c r="L29805" s="711"/>
      <c r="Q29805" s="11"/>
      <c r="R29805" s="11"/>
      <c r="S29805" s="11"/>
      <c r="T29805" s="11"/>
    </row>
    <row r="29806" spans="8:20" x14ac:dyDescent="0.35">
      <c r="H29806" s="711"/>
      <c r="I29806" s="711"/>
      <c r="J29806" s="711"/>
      <c r="K29806" s="711"/>
      <c r="L29806" s="711"/>
      <c r="Q29806" s="11"/>
      <c r="R29806" s="11"/>
      <c r="S29806" s="11"/>
      <c r="T29806" s="11"/>
    </row>
    <row r="29807" spans="8:20" x14ac:dyDescent="0.35">
      <c r="H29807" s="711"/>
      <c r="I29807" s="711"/>
      <c r="J29807" s="711"/>
      <c r="K29807" s="711"/>
      <c r="L29807" s="711"/>
      <c r="Q29807" s="11"/>
      <c r="R29807" s="11"/>
      <c r="S29807" s="11"/>
      <c r="T29807" s="11"/>
    </row>
    <row r="29808" spans="8:20" x14ac:dyDescent="0.35">
      <c r="H29808" s="711"/>
      <c r="I29808" s="711"/>
      <c r="J29808" s="711"/>
      <c r="K29808" s="711"/>
      <c r="L29808" s="711"/>
      <c r="Q29808" s="11"/>
      <c r="R29808" s="11"/>
      <c r="S29808" s="11"/>
      <c r="T29808" s="11"/>
    </row>
    <row r="29809" spans="8:20" x14ac:dyDescent="0.35">
      <c r="H29809" s="711"/>
      <c r="I29809" s="711"/>
      <c r="J29809" s="711"/>
      <c r="K29809" s="711"/>
      <c r="L29809" s="711"/>
      <c r="Q29809" s="11"/>
      <c r="R29809" s="11"/>
      <c r="S29809" s="11"/>
      <c r="T29809" s="11"/>
    </row>
    <row r="29810" spans="8:20" x14ac:dyDescent="0.35">
      <c r="H29810" s="711"/>
      <c r="I29810" s="711"/>
      <c r="J29810" s="711"/>
      <c r="K29810" s="711"/>
      <c r="L29810" s="711"/>
      <c r="Q29810" s="11"/>
      <c r="R29810" s="11"/>
      <c r="S29810" s="11"/>
      <c r="T29810" s="11"/>
    </row>
    <row r="29811" spans="8:20" x14ac:dyDescent="0.35">
      <c r="H29811" s="711"/>
      <c r="I29811" s="711"/>
      <c r="J29811" s="711"/>
      <c r="K29811" s="711"/>
      <c r="L29811" s="711"/>
      <c r="Q29811" s="11"/>
      <c r="R29811" s="11"/>
      <c r="S29811" s="11"/>
      <c r="T29811" s="11"/>
    </row>
    <row r="29812" spans="8:20" x14ac:dyDescent="0.35">
      <c r="H29812" s="711"/>
      <c r="I29812" s="711"/>
      <c r="J29812" s="711"/>
      <c r="K29812" s="711"/>
      <c r="L29812" s="711"/>
      <c r="Q29812" s="11"/>
      <c r="R29812" s="11"/>
      <c r="S29812" s="11"/>
      <c r="T29812" s="11"/>
    </row>
    <row r="29813" spans="8:20" x14ac:dyDescent="0.35">
      <c r="H29813" s="711"/>
      <c r="I29813" s="711"/>
      <c r="J29813" s="711"/>
      <c r="K29813" s="711"/>
      <c r="L29813" s="711"/>
      <c r="Q29813" s="11"/>
      <c r="R29813" s="11"/>
      <c r="S29813" s="11"/>
      <c r="T29813" s="11"/>
    </row>
    <row r="29814" spans="8:20" x14ac:dyDescent="0.35">
      <c r="H29814" s="711"/>
      <c r="I29814" s="711"/>
      <c r="J29814" s="711"/>
      <c r="K29814" s="711"/>
      <c r="L29814" s="711"/>
      <c r="Q29814" s="11"/>
      <c r="R29814" s="11"/>
      <c r="S29814" s="11"/>
      <c r="T29814" s="11"/>
    </row>
    <row r="29815" spans="8:20" x14ac:dyDescent="0.35">
      <c r="H29815" s="711"/>
      <c r="I29815" s="711"/>
      <c r="J29815" s="711"/>
      <c r="K29815" s="711"/>
      <c r="L29815" s="711"/>
      <c r="Q29815" s="11"/>
      <c r="R29815" s="11"/>
      <c r="S29815" s="11"/>
      <c r="T29815" s="11"/>
    </row>
    <row r="29816" spans="8:20" x14ac:dyDescent="0.35">
      <c r="H29816" s="711"/>
      <c r="I29816" s="711"/>
      <c r="J29816" s="711"/>
      <c r="K29816" s="711"/>
      <c r="L29816" s="711"/>
      <c r="Q29816" s="11"/>
      <c r="R29816" s="11"/>
      <c r="S29816" s="11"/>
      <c r="T29816" s="11"/>
    </row>
    <row r="29817" spans="8:20" x14ac:dyDescent="0.35">
      <c r="H29817" s="711"/>
      <c r="I29817" s="711"/>
      <c r="J29817" s="711"/>
      <c r="K29817" s="711"/>
      <c r="L29817" s="711"/>
      <c r="Q29817" s="11"/>
      <c r="R29817" s="11"/>
      <c r="S29817" s="11"/>
      <c r="T29817" s="11"/>
    </row>
    <row r="29818" spans="8:20" x14ac:dyDescent="0.35">
      <c r="H29818" s="711"/>
      <c r="I29818" s="711"/>
      <c r="J29818" s="711"/>
      <c r="K29818" s="711"/>
      <c r="L29818" s="711"/>
      <c r="Q29818" s="11"/>
      <c r="R29818" s="11"/>
      <c r="S29818" s="11"/>
      <c r="T29818" s="11"/>
    </row>
    <row r="29819" spans="8:20" x14ac:dyDescent="0.35">
      <c r="H29819" s="711"/>
      <c r="I29819" s="711"/>
      <c r="J29819" s="711"/>
      <c r="K29819" s="711"/>
      <c r="L29819" s="711"/>
      <c r="Q29819" s="11"/>
      <c r="R29819" s="11"/>
      <c r="S29819" s="11"/>
      <c r="T29819" s="11"/>
    </row>
    <row r="29820" spans="8:20" x14ac:dyDescent="0.35">
      <c r="H29820" s="711"/>
      <c r="I29820" s="711"/>
      <c r="J29820" s="711"/>
      <c r="K29820" s="711"/>
      <c r="L29820" s="711"/>
      <c r="Q29820" s="11"/>
      <c r="R29820" s="11"/>
      <c r="S29820" s="11"/>
      <c r="T29820" s="11"/>
    </row>
    <row r="29821" spans="8:20" x14ac:dyDescent="0.35">
      <c r="H29821" s="711"/>
      <c r="I29821" s="711"/>
      <c r="J29821" s="711"/>
      <c r="K29821" s="711"/>
      <c r="L29821" s="711"/>
      <c r="Q29821" s="11"/>
      <c r="R29821" s="11"/>
      <c r="S29821" s="11"/>
      <c r="T29821" s="11"/>
    </row>
    <row r="29822" spans="8:20" x14ac:dyDescent="0.35">
      <c r="H29822" s="711"/>
      <c r="I29822" s="711"/>
      <c r="J29822" s="711"/>
      <c r="K29822" s="711"/>
      <c r="L29822" s="711"/>
      <c r="Q29822" s="11"/>
      <c r="R29822" s="11"/>
      <c r="S29822" s="11"/>
      <c r="T29822" s="11"/>
    </row>
    <row r="29823" spans="8:20" x14ac:dyDescent="0.35">
      <c r="H29823" s="711"/>
      <c r="I29823" s="711"/>
      <c r="J29823" s="711"/>
      <c r="K29823" s="711"/>
      <c r="L29823" s="711"/>
      <c r="Q29823" s="11"/>
      <c r="R29823" s="11"/>
      <c r="S29823" s="11"/>
      <c r="T29823" s="11"/>
    </row>
    <row r="29824" spans="8:20" x14ac:dyDescent="0.35">
      <c r="H29824" s="711"/>
      <c r="I29824" s="711"/>
      <c r="J29824" s="711"/>
      <c r="K29824" s="711"/>
      <c r="L29824" s="711"/>
      <c r="Q29824" s="11"/>
      <c r="R29824" s="11"/>
      <c r="S29824" s="11"/>
      <c r="T29824" s="11"/>
    </row>
    <row r="29825" spans="8:20" x14ac:dyDescent="0.35">
      <c r="H29825" s="711"/>
      <c r="I29825" s="711"/>
      <c r="J29825" s="711"/>
      <c r="K29825" s="711"/>
      <c r="L29825" s="711"/>
      <c r="Q29825" s="11"/>
      <c r="R29825" s="11"/>
      <c r="S29825" s="11"/>
      <c r="T29825" s="11"/>
    </row>
    <row r="29826" spans="8:20" x14ac:dyDescent="0.35">
      <c r="H29826" s="711"/>
      <c r="I29826" s="711"/>
      <c r="J29826" s="711"/>
      <c r="K29826" s="711"/>
      <c r="L29826" s="711"/>
      <c r="Q29826" s="11"/>
      <c r="R29826" s="11"/>
      <c r="S29826" s="11"/>
      <c r="T29826" s="11"/>
    </row>
    <row r="29827" spans="8:20" x14ac:dyDescent="0.35">
      <c r="H29827" s="711"/>
      <c r="I29827" s="711"/>
      <c r="J29827" s="711"/>
      <c r="K29827" s="711"/>
      <c r="L29827" s="711"/>
      <c r="Q29827" s="11"/>
      <c r="R29827" s="11"/>
      <c r="S29827" s="11"/>
      <c r="T29827" s="11"/>
    </row>
    <row r="29828" spans="8:20" x14ac:dyDescent="0.35">
      <c r="H29828" s="711"/>
      <c r="I29828" s="711"/>
      <c r="J29828" s="711"/>
      <c r="K29828" s="711"/>
      <c r="L29828" s="711"/>
      <c r="Q29828" s="11"/>
      <c r="R29828" s="11"/>
      <c r="S29828" s="11"/>
      <c r="T29828" s="11"/>
    </row>
    <row r="29829" spans="8:20" x14ac:dyDescent="0.35">
      <c r="H29829" s="711"/>
      <c r="I29829" s="711"/>
      <c r="J29829" s="711"/>
      <c r="K29829" s="711"/>
      <c r="L29829" s="711"/>
      <c r="Q29829" s="11"/>
      <c r="R29829" s="11"/>
      <c r="S29829" s="11"/>
      <c r="T29829" s="11"/>
    </row>
    <row r="29830" spans="8:20" x14ac:dyDescent="0.35">
      <c r="H29830" s="711"/>
      <c r="I29830" s="711"/>
      <c r="J29830" s="711"/>
      <c r="K29830" s="711"/>
      <c r="L29830" s="711"/>
      <c r="Q29830" s="11"/>
      <c r="R29830" s="11"/>
      <c r="S29830" s="11"/>
      <c r="T29830" s="11"/>
    </row>
    <row r="29831" spans="8:20" x14ac:dyDescent="0.35">
      <c r="H29831" s="711"/>
      <c r="I29831" s="711"/>
      <c r="J29831" s="711"/>
      <c r="K29831" s="711"/>
      <c r="L29831" s="711"/>
      <c r="Q29831" s="11"/>
      <c r="R29831" s="11"/>
      <c r="S29831" s="11"/>
      <c r="T29831" s="11"/>
    </row>
    <row r="29832" spans="8:20" x14ac:dyDescent="0.35">
      <c r="H29832" s="711"/>
      <c r="I29832" s="711"/>
      <c r="J29832" s="711"/>
      <c r="K29832" s="711"/>
      <c r="L29832" s="711"/>
      <c r="Q29832" s="11"/>
      <c r="R29832" s="11"/>
      <c r="S29832" s="11"/>
      <c r="T29832" s="11"/>
    </row>
    <row r="29833" spans="8:20" x14ac:dyDescent="0.35">
      <c r="H29833" s="711"/>
      <c r="I29833" s="711"/>
      <c r="J29833" s="711"/>
      <c r="K29833" s="711"/>
      <c r="L29833" s="711"/>
      <c r="Q29833" s="11"/>
      <c r="R29833" s="11"/>
      <c r="S29833" s="11"/>
      <c r="T29833" s="11"/>
    </row>
    <row r="29834" spans="8:20" x14ac:dyDescent="0.35">
      <c r="H29834" s="711"/>
      <c r="I29834" s="711"/>
      <c r="J29834" s="711"/>
      <c r="K29834" s="711"/>
      <c r="L29834" s="711"/>
      <c r="Q29834" s="11"/>
      <c r="R29834" s="11"/>
      <c r="S29834" s="11"/>
      <c r="T29834" s="11"/>
    </row>
    <row r="29835" spans="8:20" x14ac:dyDescent="0.35">
      <c r="H29835" s="711"/>
      <c r="I29835" s="711"/>
      <c r="J29835" s="711"/>
      <c r="K29835" s="711"/>
      <c r="L29835" s="711"/>
      <c r="Q29835" s="11"/>
      <c r="R29835" s="11"/>
      <c r="S29835" s="11"/>
      <c r="T29835" s="11"/>
    </row>
    <row r="29836" spans="8:20" x14ac:dyDescent="0.35">
      <c r="H29836" s="711"/>
      <c r="I29836" s="711"/>
      <c r="J29836" s="711"/>
      <c r="K29836" s="711"/>
      <c r="L29836" s="711"/>
      <c r="Q29836" s="11"/>
      <c r="R29836" s="11"/>
      <c r="S29836" s="11"/>
      <c r="T29836" s="11"/>
    </row>
    <row r="29837" spans="8:20" x14ac:dyDescent="0.35">
      <c r="H29837" s="711"/>
      <c r="I29837" s="711"/>
      <c r="J29837" s="711"/>
      <c r="K29837" s="711"/>
      <c r="L29837" s="711"/>
      <c r="Q29837" s="11"/>
      <c r="R29837" s="11"/>
      <c r="S29837" s="11"/>
      <c r="T29837" s="11"/>
    </row>
    <row r="29838" spans="8:20" x14ac:dyDescent="0.35">
      <c r="H29838" s="711"/>
      <c r="I29838" s="711"/>
      <c r="J29838" s="711"/>
      <c r="K29838" s="711"/>
      <c r="L29838" s="711"/>
      <c r="Q29838" s="11"/>
      <c r="R29838" s="11"/>
      <c r="S29838" s="11"/>
      <c r="T29838" s="11"/>
    </row>
    <row r="29839" spans="8:20" x14ac:dyDescent="0.35">
      <c r="H29839" s="711"/>
      <c r="I29839" s="711"/>
      <c r="J29839" s="711"/>
      <c r="K29839" s="711"/>
      <c r="L29839" s="711"/>
      <c r="Q29839" s="11"/>
      <c r="R29839" s="11"/>
      <c r="S29839" s="11"/>
      <c r="T29839" s="11"/>
    </row>
    <row r="29840" spans="8:20" x14ac:dyDescent="0.35">
      <c r="H29840" s="711"/>
      <c r="I29840" s="711"/>
      <c r="J29840" s="711"/>
      <c r="K29840" s="711"/>
      <c r="L29840" s="711"/>
      <c r="Q29840" s="11"/>
      <c r="R29840" s="11"/>
      <c r="S29840" s="11"/>
      <c r="T29840" s="11"/>
    </row>
    <row r="29841" spans="8:20" x14ac:dyDescent="0.35">
      <c r="H29841" s="711"/>
      <c r="I29841" s="711"/>
      <c r="J29841" s="711"/>
      <c r="K29841" s="711"/>
      <c r="L29841" s="711"/>
      <c r="Q29841" s="11"/>
      <c r="R29841" s="11"/>
      <c r="S29841" s="11"/>
      <c r="T29841" s="11"/>
    </row>
    <row r="29842" spans="8:20" x14ac:dyDescent="0.35">
      <c r="H29842" s="711"/>
      <c r="I29842" s="711"/>
      <c r="J29842" s="711"/>
      <c r="K29842" s="711"/>
      <c r="L29842" s="711"/>
      <c r="Q29842" s="11"/>
      <c r="R29842" s="11"/>
      <c r="S29842" s="11"/>
      <c r="T29842" s="11"/>
    </row>
    <row r="29843" spans="8:20" x14ac:dyDescent="0.35">
      <c r="H29843" s="711"/>
      <c r="I29843" s="711"/>
      <c r="J29843" s="711"/>
      <c r="K29843" s="711"/>
      <c r="L29843" s="711"/>
      <c r="Q29843" s="11"/>
      <c r="R29843" s="11"/>
      <c r="S29843" s="11"/>
      <c r="T29843" s="11"/>
    </row>
    <row r="29844" spans="8:20" x14ac:dyDescent="0.35">
      <c r="H29844" s="711"/>
      <c r="I29844" s="711"/>
      <c r="J29844" s="711"/>
      <c r="K29844" s="711"/>
      <c r="L29844" s="711"/>
      <c r="Q29844" s="11"/>
      <c r="R29844" s="11"/>
      <c r="S29844" s="11"/>
      <c r="T29844" s="11"/>
    </row>
    <row r="29845" spans="8:20" x14ac:dyDescent="0.35">
      <c r="H29845" s="711"/>
      <c r="I29845" s="711"/>
      <c r="J29845" s="711"/>
      <c r="K29845" s="711"/>
      <c r="L29845" s="711"/>
      <c r="Q29845" s="11"/>
      <c r="R29845" s="11"/>
      <c r="S29845" s="11"/>
      <c r="T29845" s="11"/>
    </row>
    <row r="29846" spans="8:20" x14ac:dyDescent="0.35">
      <c r="H29846" s="711"/>
      <c r="I29846" s="711"/>
      <c r="J29846" s="711"/>
      <c r="K29846" s="711"/>
      <c r="L29846" s="711"/>
      <c r="Q29846" s="11"/>
      <c r="R29846" s="11"/>
      <c r="S29846" s="11"/>
      <c r="T29846" s="11"/>
    </row>
    <row r="29847" spans="8:20" x14ac:dyDescent="0.35">
      <c r="H29847" s="711"/>
      <c r="I29847" s="711"/>
      <c r="J29847" s="711"/>
      <c r="K29847" s="711"/>
      <c r="L29847" s="711"/>
      <c r="Q29847" s="11"/>
      <c r="R29847" s="11"/>
      <c r="S29847" s="11"/>
      <c r="T29847" s="11"/>
    </row>
    <row r="29848" spans="8:20" x14ac:dyDescent="0.35">
      <c r="H29848" s="711"/>
      <c r="I29848" s="711"/>
      <c r="J29848" s="711"/>
      <c r="K29848" s="711"/>
      <c r="L29848" s="711"/>
      <c r="Q29848" s="11"/>
      <c r="R29848" s="11"/>
      <c r="S29848" s="11"/>
      <c r="T29848" s="11"/>
    </row>
    <row r="29849" spans="8:20" x14ac:dyDescent="0.35">
      <c r="H29849" s="711"/>
      <c r="I29849" s="711"/>
      <c r="J29849" s="711"/>
      <c r="K29849" s="711"/>
      <c r="L29849" s="711"/>
      <c r="Q29849" s="11"/>
      <c r="R29849" s="11"/>
      <c r="S29849" s="11"/>
      <c r="T29849" s="11"/>
    </row>
    <row r="29850" spans="8:20" x14ac:dyDescent="0.35">
      <c r="H29850" s="711"/>
      <c r="I29850" s="711"/>
      <c r="J29850" s="711"/>
      <c r="K29850" s="711"/>
      <c r="L29850" s="711"/>
      <c r="Q29850" s="11"/>
      <c r="R29850" s="11"/>
      <c r="S29850" s="11"/>
      <c r="T29850" s="11"/>
    </row>
    <row r="29851" spans="8:20" x14ac:dyDescent="0.35">
      <c r="H29851" s="711"/>
      <c r="I29851" s="711"/>
      <c r="J29851" s="711"/>
      <c r="K29851" s="711"/>
      <c r="L29851" s="711"/>
      <c r="Q29851" s="11"/>
      <c r="R29851" s="11"/>
      <c r="S29851" s="11"/>
      <c r="T29851" s="11"/>
    </row>
    <row r="29852" spans="8:20" x14ac:dyDescent="0.35">
      <c r="H29852" s="711"/>
      <c r="I29852" s="711"/>
      <c r="J29852" s="711"/>
      <c r="K29852" s="711"/>
      <c r="L29852" s="711"/>
      <c r="Q29852" s="11"/>
      <c r="R29852" s="11"/>
      <c r="S29852" s="11"/>
      <c r="T29852" s="11"/>
    </row>
    <row r="29853" spans="8:20" x14ac:dyDescent="0.35">
      <c r="H29853" s="711"/>
      <c r="I29853" s="711"/>
      <c r="J29853" s="711"/>
      <c r="K29853" s="711"/>
      <c r="L29853" s="711"/>
      <c r="Q29853" s="11"/>
      <c r="R29853" s="11"/>
      <c r="S29853" s="11"/>
      <c r="T29853" s="11"/>
    </row>
    <row r="29854" spans="8:20" x14ac:dyDescent="0.35">
      <c r="H29854" s="711"/>
      <c r="I29854" s="711"/>
      <c r="J29854" s="711"/>
      <c r="K29854" s="711"/>
      <c r="L29854" s="711"/>
      <c r="Q29854" s="11"/>
      <c r="R29854" s="11"/>
      <c r="S29854" s="11"/>
      <c r="T29854" s="11"/>
    </row>
    <row r="29855" spans="8:20" x14ac:dyDescent="0.35">
      <c r="H29855" s="711"/>
      <c r="I29855" s="711"/>
      <c r="J29855" s="711"/>
      <c r="K29855" s="711"/>
      <c r="L29855" s="711"/>
      <c r="Q29855" s="11"/>
      <c r="R29855" s="11"/>
      <c r="S29855" s="11"/>
      <c r="T29855" s="11"/>
    </row>
    <row r="29856" spans="8:20" x14ac:dyDescent="0.35">
      <c r="H29856" s="711"/>
      <c r="I29856" s="711"/>
      <c r="J29856" s="711"/>
      <c r="K29856" s="711"/>
      <c r="L29856" s="711"/>
      <c r="Q29856" s="11"/>
      <c r="R29856" s="11"/>
      <c r="S29856" s="11"/>
      <c r="T29856" s="11"/>
    </row>
    <row r="29857" spans="8:20" x14ac:dyDescent="0.35">
      <c r="H29857" s="711"/>
      <c r="I29857" s="711"/>
      <c r="J29857" s="711"/>
      <c r="K29857" s="711"/>
      <c r="L29857" s="711"/>
      <c r="Q29857" s="11"/>
      <c r="R29857" s="11"/>
      <c r="S29857" s="11"/>
      <c r="T29857" s="11"/>
    </row>
    <row r="29858" spans="8:20" x14ac:dyDescent="0.35">
      <c r="H29858" s="711"/>
      <c r="I29858" s="711"/>
      <c r="J29858" s="711"/>
      <c r="K29858" s="711"/>
      <c r="L29858" s="711"/>
      <c r="Q29858" s="11"/>
      <c r="R29858" s="11"/>
      <c r="S29858" s="11"/>
      <c r="T29858" s="11"/>
    </row>
    <row r="29859" spans="8:20" x14ac:dyDescent="0.35">
      <c r="H29859" s="711"/>
      <c r="I29859" s="711"/>
      <c r="J29859" s="711"/>
      <c r="K29859" s="711"/>
      <c r="L29859" s="711"/>
      <c r="Q29859" s="11"/>
      <c r="R29859" s="11"/>
      <c r="S29859" s="11"/>
      <c r="T29859" s="11"/>
    </row>
    <row r="29860" spans="8:20" x14ac:dyDescent="0.35">
      <c r="H29860" s="711"/>
      <c r="I29860" s="711"/>
      <c r="J29860" s="711"/>
      <c r="K29860" s="711"/>
      <c r="L29860" s="711"/>
      <c r="Q29860" s="11"/>
      <c r="R29860" s="11"/>
      <c r="S29860" s="11"/>
      <c r="T29860" s="11"/>
    </row>
    <row r="29861" spans="8:20" x14ac:dyDescent="0.35">
      <c r="H29861" s="711"/>
      <c r="I29861" s="711"/>
      <c r="J29861" s="711"/>
      <c r="K29861" s="711"/>
      <c r="L29861" s="711"/>
      <c r="Q29861" s="11"/>
      <c r="R29861" s="11"/>
      <c r="S29861" s="11"/>
      <c r="T29861" s="11"/>
    </row>
    <row r="29862" spans="8:20" x14ac:dyDescent="0.35">
      <c r="H29862" s="711"/>
      <c r="I29862" s="711"/>
      <c r="J29862" s="711"/>
      <c r="K29862" s="711"/>
      <c r="L29862" s="711"/>
      <c r="Q29862" s="11"/>
      <c r="R29862" s="11"/>
      <c r="S29862" s="11"/>
      <c r="T29862" s="11"/>
    </row>
    <row r="29863" spans="8:20" x14ac:dyDescent="0.35">
      <c r="H29863" s="711"/>
      <c r="I29863" s="711"/>
      <c r="J29863" s="711"/>
      <c r="K29863" s="711"/>
      <c r="L29863" s="711"/>
      <c r="Q29863" s="11"/>
      <c r="R29863" s="11"/>
      <c r="S29863" s="11"/>
      <c r="T29863" s="11"/>
    </row>
    <row r="29864" spans="8:20" x14ac:dyDescent="0.35">
      <c r="H29864" s="711"/>
      <c r="I29864" s="711"/>
      <c r="J29864" s="711"/>
      <c r="K29864" s="711"/>
      <c r="L29864" s="711"/>
      <c r="Q29864" s="11"/>
      <c r="R29864" s="11"/>
      <c r="S29864" s="11"/>
      <c r="T29864" s="11"/>
    </row>
    <row r="29865" spans="8:20" x14ac:dyDescent="0.35">
      <c r="H29865" s="711"/>
      <c r="I29865" s="711"/>
      <c r="J29865" s="711"/>
      <c r="K29865" s="711"/>
      <c r="L29865" s="711"/>
      <c r="Q29865" s="11"/>
      <c r="R29865" s="11"/>
      <c r="S29865" s="11"/>
      <c r="T29865" s="11"/>
    </row>
    <row r="29866" spans="8:20" x14ac:dyDescent="0.35">
      <c r="H29866" s="711"/>
      <c r="I29866" s="711"/>
      <c r="J29866" s="711"/>
      <c r="K29866" s="711"/>
      <c r="L29866" s="711"/>
      <c r="Q29866" s="11"/>
      <c r="R29866" s="11"/>
      <c r="S29866" s="11"/>
      <c r="T29866" s="11"/>
    </row>
    <row r="29867" spans="8:20" x14ac:dyDescent="0.35">
      <c r="H29867" s="711"/>
      <c r="I29867" s="711"/>
      <c r="J29867" s="711"/>
      <c r="K29867" s="711"/>
      <c r="L29867" s="711"/>
      <c r="Q29867" s="11"/>
      <c r="R29867" s="11"/>
      <c r="S29867" s="11"/>
      <c r="T29867" s="11"/>
    </row>
    <row r="29868" spans="8:20" x14ac:dyDescent="0.35">
      <c r="H29868" s="711"/>
      <c r="I29868" s="711"/>
      <c r="J29868" s="711"/>
      <c r="K29868" s="711"/>
      <c r="L29868" s="711"/>
      <c r="Q29868" s="11"/>
      <c r="R29868" s="11"/>
      <c r="S29868" s="11"/>
      <c r="T29868" s="11"/>
    </row>
    <row r="29869" spans="8:20" x14ac:dyDescent="0.35">
      <c r="H29869" s="711"/>
      <c r="I29869" s="711"/>
      <c r="J29869" s="711"/>
      <c r="K29869" s="711"/>
      <c r="L29869" s="711"/>
      <c r="Q29869" s="11"/>
      <c r="R29869" s="11"/>
      <c r="S29869" s="11"/>
      <c r="T29869" s="11"/>
    </row>
    <row r="29870" spans="8:20" x14ac:dyDescent="0.35">
      <c r="H29870" s="711"/>
      <c r="I29870" s="711"/>
      <c r="J29870" s="711"/>
      <c r="K29870" s="711"/>
      <c r="L29870" s="711"/>
      <c r="Q29870" s="11"/>
      <c r="R29870" s="11"/>
      <c r="S29870" s="11"/>
      <c r="T29870" s="11"/>
    </row>
    <row r="29871" spans="8:20" x14ac:dyDescent="0.35">
      <c r="H29871" s="711"/>
      <c r="I29871" s="711"/>
      <c r="J29871" s="711"/>
      <c r="K29871" s="711"/>
      <c r="L29871" s="711"/>
      <c r="Q29871" s="11"/>
      <c r="R29871" s="11"/>
      <c r="S29871" s="11"/>
      <c r="T29871" s="11"/>
    </row>
    <row r="29872" spans="8:20" x14ac:dyDescent="0.35">
      <c r="H29872" s="711"/>
      <c r="I29872" s="711"/>
      <c r="J29872" s="711"/>
      <c r="K29872" s="711"/>
      <c r="L29872" s="711"/>
      <c r="Q29872" s="11"/>
      <c r="R29872" s="11"/>
      <c r="S29872" s="11"/>
      <c r="T29872" s="11"/>
    </row>
    <row r="29873" spans="8:20" x14ac:dyDescent="0.35">
      <c r="H29873" s="711"/>
      <c r="I29873" s="711"/>
      <c r="J29873" s="711"/>
      <c r="K29873" s="711"/>
      <c r="L29873" s="711"/>
      <c r="Q29873" s="11"/>
      <c r="R29873" s="11"/>
      <c r="S29873" s="11"/>
      <c r="T29873" s="11"/>
    </row>
    <row r="29874" spans="8:20" x14ac:dyDescent="0.35">
      <c r="H29874" s="711"/>
      <c r="I29874" s="711"/>
      <c r="J29874" s="711"/>
      <c r="K29874" s="711"/>
      <c r="L29874" s="711"/>
      <c r="Q29874" s="11"/>
      <c r="R29874" s="11"/>
      <c r="S29874" s="11"/>
      <c r="T29874" s="11"/>
    </row>
    <row r="29875" spans="8:20" x14ac:dyDescent="0.35">
      <c r="H29875" s="711"/>
      <c r="I29875" s="711"/>
      <c r="J29875" s="711"/>
      <c r="K29875" s="711"/>
      <c r="L29875" s="711"/>
      <c r="Q29875" s="11"/>
      <c r="R29875" s="11"/>
      <c r="S29875" s="11"/>
      <c r="T29875" s="11"/>
    </row>
    <row r="29876" spans="8:20" x14ac:dyDescent="0.35">
      <c r="H29876" s="711"/>
      <c r="I29876" s="711"/>
      <c r="J29876" s="711"/>
      <c r="K29876" s="711"/>
      <c r="L29876" s="711"/>
      <c r="Q29876" s="11"/>
      <c r="R29876" s="11"/>
      <c r="S29876" s="11"/>
      <c r="T29876" s="11"/>
    </row>
    <row r="29877" spans="8:20" x14ac:dyDescent="0.35">
      <c r="H29877" s="711"/>
      <c r="I29877" s="711"/>
      <c r="J29877" s="711"/>
      <c r="K29877" s="711"/>
      <c r="L29877" s="711"/>
      <c r="Q29877" s="11"/>
      <c r="R29877" s="11"/>
      <c r="S29877" s="11"/>
      <c r="T29877" s="11"/>
    </row>
    <row r="29878" spans="8:20" x14ac:dyDescent="0.35">
      <c r="H29878" s="711"/>
      <c r="I29878" s="711"/>
      <c r="J29878" s="711"/>
      <c r="K29878" s="711"/>
      <c r="L29878" s="711"/>
      <c r="Q29878" s="11"/>
      <c r="R29878" s="11"/>
      <c r="S29878" s="11"/>
      <c r="T29878" s="11"/>
    </row>
    <row r="29879" spans="8:20" x14ac:dyDescent="0.35">
      <c r="H29879" s="711"/>
      <c r="I29879" s="711"/>
      <c r="J29879" s="711"/>
      <c r="K29879" s="711"/>
      <c r="L29879" s="711"/>
      <c r="Q29879" s="11"/>
      <c r="R29879" s="11"/>
      <c r="S29879" s="11"/>
      <c r="T29879" s="11"/>
    </row>
    <row r="29880" spans="8:20" x14ac:dyDescent="0.35">
      <c r="H29880" s="711"/>
      <c r="I29880" s="711"/>
      <c r="J29880" s="711"/>
      <c r="K29880" s="711"/>
      <c r="L29880" s="711"/>
      <c r="Q29880" s="11"/>
      <c r="R29880" s="11"/>
      <c r="S29880" s="11"/>
      <c r="T29880" s="11"/>
    </row>
    <row r="29881" spans="8:20" x14ac:dyDescent="0.35">
      <c r="H29881" s="711"/>
      <c r="I29881" s="711"/>
      <c r="J29881" s="711"/>
      <c r="K29881" s="711"/>
      <c r="L29881" s="711"/>
      <c r="Q29881" s="11"/>
      <c r="R29881" s="11"/>
      <c r="S29881" s="11"/>
      <c r="T29881" s="11"/>
    </row>
    <row r="29882" spans="8:20" x14ac:dyDescent="0.35">
      <c r="H29882" s="711"/>
      <c r="I29882" s="711"/>
      <c r="J29882" s="711"/>
      <c r="K29882" s="711"/>
      <c r="L29882" s="711"/>
      <c r="Q29882" s="11"/>
      <c r="R29882" s="11"/>
      <c r="S29882" s="11"/>
      <c r="T29882" s="11"/>
    </row>
    <row r="29883" spans="8:20" x14ac:dyDescent="0.35">
      <c r="H29883" s="711"/>
      <c r="I29883" s="711"/>
      <c r="J29883" s="711"/>
      <c r="K29883" s="711"/>
      <c r="L29883" s="711"/>
      <c r="Q29883" s="11"/>
      <c r="R29883" s="11"/>
      <c r="S29883" s="11"/>
      <c r="T29883" s="11"/>
    </row>
    <row r="29884" spans="8:20" x14ac:dyDescent="0.35">
      <c r="H29884" s="711"/>
      <c r="I29884" s="711"/>
      <c r="J29884" s="711"/>
      <c r="K29884" s="711"/>
      <c r="L29884" s="711"/>
      <c r="Q29884" s="11"/>
      <c r="R29884" s="11"/>
      <c r="S29884" s="11"/>
      <c r="T29884" s="11"/>
    </row>
    <row r="29885" spans="8:20" x14ac:dyDescent="0.35">
      <c r="H29885" s="711"/>
      <c r="I29885" s="711"/>
      <c r="J29885" s="711"/>
      <c r="K29885" s="711"/>
      <c r="L29885" s="711"/>
      <c r="Q29885" s="11"/>
      <c r="R29885" s="11"/>
      <c r="S29885" s="11"/>
      <c r="T29885" s="11"/>
    </row>
    <row r="29886" spans="8:20" x14ac:dyDescent="0.35">
      <c r="H29886" s="711"/>
      <c r="I29886" s="711"/>
      <c r="J29886" s="711"/>
      <c r="K29886" s="711"/>
      <c r="L29886" s="711"/>
      <c r="Q29886" s="11"/>
      <c r="R29886" s="11"/>
      <c r="S29886" s="11"/>
      <c r="T29886" s="11"/>
    </row>
    <row r="29887" spans="8:20" x14ac:dyDescent="0.35">
      <c r="H29887" s="711"/>
      <c r="I29887" s="711"/>
      <c r="J29887" s="711"/>
      <c r="K29887" s="711"/>
      <c r="L29887" s="711"/>
      <c r="Q29887" s="11"/>
      <c r="R29887" s="11"/>
      <c r="S29887" s="11"/>
      <c r="T29887" s="11"/>
    </row>
    <row r="29888" spans="8:20" x14ac:dyDescent="0.35">
      <c r="H29888" s="711"/>
      <c r="I29888" s="711"/>
      <c r="J29888" s="711"/>
      <c r="K29888" s="711"/>
      <c r="L29888" s="711"/>
      <c r="Q29888" s="11"/>
      <c r="R29888" s="11"/>
      <c r="S29888" s="11"/>
      <c r="T29888" s="11"/>
    </row>
    <row r="29889" spans="8:20" x14ac:dyDescent="0.35">
      <c r="H29889" s="711"/>
      <c r="I29889" s="711"/>
      <c r="J29889" s="711"/>
      <c r="K29889" s="711"/>
      <c r="L29889" s="711"/>
      <c r="Q29889" s="11"/>
      <c r="R29889" s="11"/>
      <c r="S29889" s="11"/>
      <c r="T29889" s="11"/>
    </row>
    <row r="29890" spans="8:20" x14ac:dyDescent="0.35">
      <c r="H29890" s="711"/>
      <c r="I29890" s="711"/>
      <c r="J29890" s="711"/>
      <c r="K29890" s="711"/>
      <c r="L29890" s="711"/>
      <c r="Q29890" s="11"/>
      <c r="R29890" s="11"/>
      <c r="S29890" s="11"/>
      <c r="T29890" s="11"/>
    </row>
    <row r="29891" spans="8:20" x14ac:dyDescent="0.35">
      <c r="H29891" s="711"/>
      <c r="I29891" s="711"/>
      <c r="J29891" s="711"/>
      <c r="K29891" s="711"/>
      <c r="L29891" s="711"/>
      <c r="Q29891" s="11"/>
      <c r="R29891" s="11"/>
      <c r="S29891" s="11"/>
      <c r="T29891" s="11"/>
    </row>
    <row r="29892" spans="8:20" x14ac:dyDescent="0.35">
      <c r="H29892" s="711"/>
      <c r="I29892" s="711"/>
      <c r="J29892" s="711"/>
      <c r="K29892" s="711"/>
      <c r="L29892" s="711"/>
      <c r="Q29892" s="11"/>
      <c r="R29892" s="11"/>
      <c r="S29892" s="11"/>
      <c r="T29892" s="11"/>
    </row>
    <row r="29893" spans="8:20" x14ac:dyDescent="0.35">
      <c r="H29893" s="711"/>
      <c r="I29893" s="711"/>
      <c r="J29893" s="711"/>
      <c r="K29893" s="711"/>
      <c r="L29893" s="711"/>
      <c r="Q29893" s="11"/>
      <c r="R29893" s="11"/>
      <c r="S29893" s="11"/>
      <c r="T29893" s="11"/>
    </row>
    <row r="29894" spans="8:20" x14ac:dyDescent="0.35">
      <c r="H29894" s="711"/>
      <c r="I29894" s="711"/>
      <c r="J29894" s="711"/>
      <c r="K29894" s="711"/>
      <c r="L29894" s="711"/>
      <c r="Q29894" s="11"/>
      <c r="R29894" s="11"/>
      <c r="S29894" s="11"/>
      <c r="T29894" s="11"/>
    </row>
    <row r="29895" spans="8:20" x14ac:dyDescent="0.35">
      <c r="H29895" s="711"/>
      <c r="I29895" s="711"/>
      <c r="J29895" s="711"/>
      <c r="K29895" s="711"/>
      <c r="L29895" s="711"/>
      <c r="Q29895" s="11"/>
      <c r="R29895" s="11"/>
      <c r="S29895" s="11"/>
      <c r="T29895" s="11"/>
    </row>
    <row r="29896" spans="8:20" x14ac:dyDescent="0.35">
      <c r="H29896" s="711"/>
      <c r="I29896" s="711"/>
      <c r="J29896" s="711"/>
      <c r="K29896" s="711"/>
      <c r="L29896" s="711"/>
      <c r="Q29896" s="11"/>
      <c r="R29896" s="11"/>
      <c r="S29896" s="11"/>
      <c r="T29896" s="11"/>
    </row>
    <row r="29897" spans="8:20" x14ac:dyDescent="0.35">
      <c r="H29897" s="711"/>
      <c r="I29897" s="711"/>
      <c r="J29897" s="711"/>
      <c r="K29897" s="711"/>
      <c r="L29897" s="711"/>
      <c r="Q29897" s="11"/>
      <c r="R29897" s="11"/>
      <c r="S29897" s="11"/>
      <c r="T29897" s="11"/>
    </row>
    <row r="29898" spans="8:20" x14ac:dyDescent="0.35">
      <c r="H29898" s="711"/>
      <c r="I29898" s="711"/>
      <c r="J29898" s="711"/>
      <c r="K29898" s="711"/>
      <c r="L29898" s="711"/>
      <c r="Q29898" s="11"/>
      <c r="R29898" s="11"/>
      <c r="S29898" s="11"/>
      <c r="T29898" s="11"/>
    </row>
    <row r="29899" spans="8:20" x14ac:dyDescent="0.35">
      <c r="H29899" s="711"/>
      <c r="I29899" s="711"/>
      <c r="J29899" s="711"/>
      <c r="K29899" s="711"/>
      <c r="L29899" s="711"/>
      <c r="Q29899" s="11"/>
      <c r="R29899" s="11"/>
      <c r="S29899" s="11"/>
      <c r="T29899" s="11"/>
    </row>
    <row r="29900" spans="8:20" x14ac:dyDescent="0.35">
      <c r="H29900" s="711"/>
      <c r="I29900" s="711"/>
      <c r="J29900" s="711"/>
      <c r="K29900" s="711"/>
      <c r="L29900" s="711"/>
      <c r="Q29900" s="11"/>
      <c r="R29900" s="11"/>
      <c r="S29900" s="11"/>
      <c r="T29900" s="11"/>
    </row>
    <row r="29901" spans="8:20" x14ac:dyDescent="0.35">
      <c r="H29901" s="711"/>
      <c r="I29901" s="711"/>
      <c r="J29901" s="711"/>
      <c r="K29901" s="711"/>
      <c r="L29901" s="711"/>
      <c r="Q29901" s="11"/>
      <c r="R29901" s="11"/>
      <c r="S29901" s="11"/>
      <c r="T29901" s="11"/>
    </row>
    <row r="29902" spans="8:20" x14ac:dyDescent="0.35">
      <c r="H29902" s="711"/>
      <c r="I29902" s="711"/>
      <c r="J29902" s="711"/>
      <c r="K29902" s="711"/>
      <c r="L29902" s="711"/>
      <c r="Q29902" s="11"/>
      <c r="R29902" s="11"/>
      <c r="S29902" s="11"/>
      <c r="T29902" s="11"/>
    </row>
    <row r="29903" spans="8:20" x14ac:dyDescent="0.35">
      <c r="H29903" s="711"/>
      <c r="I29903" s="711"/>
      <c r="J29903" s="711"/>
      <c r="K29903" s="711"/>
      <c r="L29903" s="711"/>
      <c r="Q29903" s="11"/>
      <c r="R29903" s="11"/>
      <c r="S29903" s="11"/>
      <c r="T29903" s="11"/>
    </row>
    <row r="29904" spans="8:20" x14ac:dyDescent="0.35">
      <c r="H29904" s="711"/>
      <c r="I29904" s="711"/>
      <c r="J29904" s="711"/>
      <c r="K29904" s="711"/>
      <c r="L29904" s="711"/>
      <c r="Q29904" s="11"/>
      <c r="R29904" s="11"/>
      <c r="S29904" s="11"/>
      <c r="T29904" s="11"/>
    </row>
    <row r="29905" spans="8:20" x14ac:dyDescent="0.35">
      <c r="H29905" s="711"/>
      <c r="I29905" s="711"/>
      <c r="J29905" s="711"/>
      <c r="K29905" s="711"/>
      <c r="L29905" s="711"/>
      <c r="Q29905" s="11"/>
      <c r="R29905" s="11"/>
      <c r="S29905" s="11"/>
      <c r="T29905" s="11"/>
    </row>
    <row r="29906" spans="8:20" x14ac:dyDescent="0.35">
      <c r="H29906" s="711"/>
      <c r="I29906" s="711"/>
      <c r="J29906" s="711"/>
      <c r="K29906" s="711"/>
      <c r="L29906" s="711"/>
      <c r="Q29906" s="11"/>
      <c r="R29906" s="11"/>
      <c r="S29906" s="11"/>
      <c r="T29906" s="11"/>
    </row>
    <row r="29907" spans="8:20" x14ac:dyDescent="0.35">
      <c r="H29907" s="711"/>
      <c r="I29907" s="711"/>
      <c r="J29907" s="711"/>
      <c r="K29907" s="711"/>
      <c r="L29907" s="711"/>
      <c r="Q29907" s="11"/>
      <c r="R29907" s="11"/>
      <c r="S29907" s="11"/>
      <c r="T29907" s="11"/>
    </row>
    <row r="29908" spans="8:20" x14ac:dyDescent="0.35">
      <c r="H29908" s="711"/>
      <c r="I29908" s="711"/>
      <c r="J29908" s="711"/>
      <c r="K29908" s="711"/>
      <c r="L29908" s="711"/>
      <c r="Q29908" s="11"/>
      <c r="R29908" s="11"/>
      <c r="S29908" s="11"/>
      <c r="T29908" s="11"/>
    </row>
    <row r="29909" spans="8:20" x14ac:dyDescent="0.35">
      <c r="H29909" s="711"/>
      <c r="I29909" s="711"/>
      <c r="J29909" s="711"/>
      <c r="K29909" s="711"/>
      <c r="L29909" s="711"/>
      <c r="Q29909" s="11"/>
      <c r="R29909" s="11"/>
      <c r="S29909" s="11"/>
      <c r="T29909" s="11"/>
    </row>
    <row r="29910" spans="8:20" x14ac:dyDescent="0.35">
      <c r="H29910" s="711"/>
      <c r="I29910" s="711"/>
      <c r="J29910" s="711"/>
      <c r="K29910" s="711"/>
      <c r="L29910" s="711"/>
      <c r="Q29910" s="11"/>
      <c r="R29910" s="11"/>
      <c r="S29910" s="11"/>
      <c r="T29910" s="11"/>
    </row>
    <row r="29911" spans="8:20" x14ac:dyDescent="0.35">
      <c r="H29911" s="711"/>
      <c r="I29911" s="711"/>
      <c r="J29911" s="711"/>
      <c r="K29911" s="711"/>
      <c r="L29911" s="711"/>
      <c r="Q29911" s="11"/>
      <c r="R29911" s="11"/>
      <c r="S29911" s="11"/>
      <c r="T29911" s="11"/>
    </row>
    <row r="29912" spans="8:20" x14ac:dyDescent="0.35">
      <c r="H29912" s="711"/>
      <c r="I29912" s="711"/>
      <c r="J29912" s="711"/>
      <c r="K29912" s="711"/>
      <c r="L29912" s="711"/>
      <c r="Q29912" s="11"/>
      <c r="R29912" s="11"/>
      <c r="S29912" s="11"/>
      <c r="T29912" s="11"/>
    </row>
    <row r="29913" spans="8:20" x14ac:dyDescent="0.35">
      <c r="H29913" s="711"/>
      <c r="I29913" s="711"/>
      <c r="J29913" s="711"/>
      <c r="K29913" s="711"/>
      <c r="L29913" s="711"/>
      <c r="Q29913" s="11"/>
      <c r="R29913" s="11"/>
      <c r="S29913" s="11"/>
      <c r="T29913" s="11"/>
    </row>
    <row r="29914" spans="8:20" x14ac:dyDescent="0.35">
      <c r="H29914" s="711"/>
      <c r="I29914" s="711"/>
      <c r="J29914" s="711"/>
      <c r="K29914" s="711"/>
      <c r="L29914" s="711"/>
      <c r="Q29914" s="11"/>
      <c r="R29914" s="11"/>
      <c r="S29914" s="11"/>
      <c r="T29914" s="11"/>
    </row>
    <row r="29915" spans="8:20" x14ac:dyDescent="0.35">
      <c r="H29915" s="711"/>
      <c r="I29915" s="711"/>
      <c r="J29915" s="711"/>
      <c r="K29915" s="711"/>
      <c r="L29915" s="711"/>
      <c r="Q29915" s="11"/>
      <c r="R29915" s="11"/>
      <c r="S29915" s="11"/>
      <c r="T29915" s="11"/>
    </row>
    <row r="29916" spans="8:20" x14ac:dyDescent="0.35">
      <c r="H29916" s="711"/>
      <c r="I29916" s="711"/>
      <c r="J29916" s="711"/>
      <c r="K29916" s="711"/>
      <c r="L29916" s="711"/>
      <c r="Q29916" s="11"/>
      <c r="R29916" s="11"/>
      <c r="S29916" s="11"/>
      <c r="T29916" s="11"/>
    </row>
    <row r="29917" spans="8:20" x14ac:dyDescent="0.35">
      <c r="H29917" s="711"/>
      <c r="I29917" s="711"/>
      <c r="J29917" s="711"/>
      <c r="K29917" s="711"/>
      <c r="L29917" s="711"/>
      <c r="Q29917" s="11"/>
      <c r="R29917" s="11"/>
      <c r="S29917" s="11"/>
      <c r="T29917" s="11"/>
    </row>
    <row r="29918" spans="8:20" x14ac:dyDescent="0.35">
      <c r="H29918" s="711"/>
      <c r="I29918" s="711"/>
      <c r="J29918" s="711"/>
      <c r="K29918" s="711"/>
      <c r="L29918" s="711"/>
      <c r="Q29918" s="11"/>
      <c r="R29918" s="11"/>
      <c r="S29918" s="11"/>
      <c r="T29918" s="11"/>
    </row>
    <row r="29919" spans="8:20" x14ac:dyDescent="0.35">
      <c r="H29919" s="711"/>
      <c r="I29919" s="711"/>
      <c r="J29919" s="711"/>
      <c r="K29919" s="711"/>
      <c r="L29919" s="711"/>
      <c r="Q29919" s="11"/>
      <c r="R29919" s="11"/>
      <c r="S29919" s="11"/>
      <c r="T29919" s="11"/>
    </row>
    <row r="29920" spans="8:20" x14ac:dyDescent="0.35">
      <c r="H29920" s="711"/>
      <c r="I29920" s="711"/>
      <c r="J29920" s="711"/>
      <c r="K29920" s="711"/>
      <c r="L29920" s="711"/>
      <c r="Q29920" s="11"/>
      <c r="R29920" s="11"/>
      <c r="S29920" s="11"/>
      <c r="T29920" s="11"/>
    </row>
    <row r="29921" spans="8:20" x14ac:dyDescent="0.35">
      <c r="H29921" s="711"/>
      <c r="I29921" s="711"/>
      <c r="J29921" s="711"/>
      <c r="K29921" s="711"/>
      <c r="L29921" s="711"/>
      <c r="Q29921" s="11"/>
      <c r="R29921" s="11"/>
      <c r="S29921" s="11"/>
      <c r="T29921" s="11"/>
    </row>
    <row r="29922" spans="8:20" x14ac:dyDescent="0.35">
      <c r="H29922" s="711"/>
      <c r="I29922" s="711"/>
      <c r="J29922" s="711"/>
      <c r="K29922" s="711"/>
      <c r="L29922" s="711"/>
      <c r="Q29922" s="11"/>
      <c r="R29922" s="11"/>
      <c r="S29922" s="11"/>
      <c r="T29922" s="11"/>
    </row>
    <row r="29923" spans="8:20" x14ac:dyDescent="0.35">
      <c r="H29923" s="711"/>
      <c r="I29923" s="711"/>
      <c r="J29923" s="711"/>
      <c r="K29923" s="711"/>
      <c r="L29923" s="711"/>
      <c r="Q29923" s="11"/>
      <c r="R29923" s="11"/>
      <c r="S29923" s="11"/>
      <c r="T29923" s="11"/>
    </row>
    <row r="29924" spans="8:20" x14ac:dyDescent="0.35">
      <c r="H29924" s="711"/>
      <c r="I29924" s="711"/>
      <c r="J29924" s="711"/>
      <c r="K29924" s="711"/>
      <c r="L29924" s="711"/>
      <c r="Q29924" s="11"/>
      <c r="R29924" s="11"/>
      <c r="S29924" s="11"/>
      <c r="T29924" s="11"/>
    </row>
    <row r="29925" spans="8:20" x14ac:dyDescent="0.35">
      <c r="H29925" s="711"/>
      <c r="I29925" s="711"/>
      <c r="J29925" s="711"/>
      <c r="K29925" s="711"/>
      <c r="L29925" s="711"/>
      <c r="Q29925" s="11"/>
      <c r="R29925" s="11"/>
      <c r="S29925" s="11"/>
      <c r="T29925" s="11"/>
    </row>
    <row r="29926" spans="8:20" x14ac:dyDescent="0.35">
      <c r="H29926" s="711"/>
      <c r="I29926" s="711"/>
      <c r="J29926" s="711"/>
      <c r="K29926" s="711"/>
      <c r="L29926" s="711"/>
      <c r="Q29926" s="11"/>
      <c r="R29926" s="11"/>
      <c r="S29926" s="11"/>
      <c r="T29926" s="11"/>
    </row>
    <row r="29927" spans="8:20" x14ac:dyDescent="0.35">
      <c r="H29927" s="711"/>
      <c r="I29927" s="711"/>
      <c r="J29927" s="711"/>
      <c r="K29927" s="711"/>
      <c r="L29927" s="711"/>
      <c r="Q29927" s="11"/>
      <c r="R29927" s="11"/>
      <c r="S29927" s="11"/>
      <c r="T29927" s="11"/>
    </row>
    <row r="29928" spans="8:20" x14ac:dyDescent="0.35">
      <c r="H29928" s="711"/>
      <c r="I29928" s="711"/>
      <c r="J29928" s="711"/>
      <c r="K29928" s="711"/>
      <c r="L29928" s="711"/>
      <c r="Q29928" s="11"/>
      <c r="R29928" s="11"/>
      <c r="S29928" s="11"/>
      <c r="T29928" s="11"/>
    </row>
    <row r="29929" spans="8:20" x14ac:dyDescent="0.35">
      <c r="H29929" s="711"/>
      <c r="I29929" s="711"/>
      <c r="J29929" s="711"/>
      <c r="K29929" s="711"/>
      <c r="L29929" s="711"/>
      <c r="Q29929" s="11"/>
      <c r="R29929" s="11"/>
      <c r="S29929" s="11"/>
      <c r="T29929" s="11"/>
    </row>
    <row r="29930" spans="8:20" x14ac:dyDescent="0.35">
      <c r="H29930" s="711"/>
      <c r="I29930" s="711"/>
      <c r="J29930" s="711"/>
      <c r="K29930" s="711"/>
      <c r="L29930" s="711"/>
      <c r="Q29930" s="11"/>
      <c r="R29930" s="11"/>
      <c r="S29930" s="11"/>
      <c r="T29930" s="11"/>
    </row>
    <row r="29931" spans="8:20" x14ac:dyDescent="0.35">
      <c r="H29931" s="711"/>
      <c r="I29931" s="711"/>
      <c r="J29931" s="711"/>
      <c r="K29931" s="711"/>
      <c r="L29931" s="711"/>
      <c r="Q29931" s="11"/>
      <c r="R29931" s="11"/>
      <c r="S29931" s="11"/>
      <c r="T29931" s="11"/>
    </row>
    <row r="29932" spans="8:20" x14ac:dyDescent="0.35">
      <c r="H29932" s="711"/>
      <c r="I29932" s="711"/>
      <c r="J29932" s="711"/>
      <c r="K29932" s="711"/>
      <c r="L29932" s="711"/>
      <c r="Q29932" s="11"/>
      <c r="R29932" s="11"/>
      <c r="S29932" s="11"/>
      <c r="T29932" s="11"/>
    </row>
    <row r="29933" spans="8:20" x14ac:dyDescent="0.35">
      <c r="H29933" s="711"/>
      <c r="I29933" s="711"/>
      <c r="J29933" s="711"/>
      <c r="K29933" s="711"/>
      <c r="L29933" s="711"/>
      <c r="Q29933" s="11"/>
      <c r="R29933" s="11"/>
      <c r="S29933" s="11"/>
      <c r="T29933" s="11"/>
    </row>
    <row r="29934" spans="8:20" x14ac:dyDescent="0.35">
      <c r="H29934" s="711"/>
      <c r="I29934" s="711"/>
      <c r="J29934" s="711"/>
      <c r="K29934" s="711"/>
      <c r="L29934" s="711"/>
      <c r="Q29934" s="11"/>
      <c r="R29934" s="11"/>
      <c r="S29934" s="11"/>
      <c r="T29934" s="11"/>
    </row>
    <row r="29935" spans="8:20" x14ac:dyDescent="0.35">
      <c r="H29935" s="711"/>
      <c r="I29935" s="711"/>
      <c r="J29935" s="711"/>
      <c r="K29935" s="711"/>
      <c r="L29935" s="711"/>
      <c r="Q29935" s="11"/>
      <c r="R29935" s="11"/>
      <c r="S29935" s="11"/>
      <c r="T29935" s="11"/>
    </row>
    <row r="29936" spans="8:20" x14ac:dyDescent="0.35">
      <c r="H29936" s="711"/>
      <c r="I29936" s="711"/>
      <c r="J29936" s="711"/>
      <c r="K29936" s="711"/>
      <c r="L29936" s="711"/>
      <c r="Q29936" s="11"/>
      <c r="R29936" s="11"/>
      <c r="S29936" s="11"/>
      <c r="T29936" s="11"/>
    </row>
    <row r="29937" spans="8:20" x14ac:dyDescent="0.35">
      <c r="H29937" s="711"/>
      <c r="I29937" s="711"/>
      <c r="J29937" s="711"/>
      <c r="K29937" s="711"/>
      <c r="L29937" s="711"/>
      <c r="Q29937" s="11"/>
      <c r="R29937" s="11"/>
      <c r="S29937" s="11"/>
      <c r="T29937" s="11"/>
    </row>
    <row r="29938" spans="8:20" x14ac:dyDescent="0.35">
      <c r="H29938" s="711"/>
      <c r="I29938" s="711"/>
      <c r="J29938" s="711"/>
      <c r="K29938" s="711"/>
      <c r="L29938" s="711"/>
      <c r="Q29938" s="11"/>
      <c r="R29938" s="11"/>
      <c r="S29938" s="11"/>
      <c r="T29938" s="11"/>
    </row>
    <row r="29939" spans="8:20" x14ac:dyDescent="0.35">
      <c r="H29939" s="711"/>
      <c r="I29939" s="711"/>
      <c r="J29939" s="711"/>
      <c r="K29939" s="711"/>
      <c r="L29939" s="711"/>
      <c r="Q29939" s="11"/>
      <c r="R29939" s="11"/>
      <c r="S29939" s="11"/>
      <c r="T29939" s="11"/>
    </row>
    <row r="29940" spans="8:20" x14ac:dyDescent="0.35">
      <c r="H29940" s="711"/>
      <c r="I29940" s="711"/>
      <c r="J29940" s="711"/>
      <c r="K29940" s="711"/>
      <c r="L29940" s="711"/>
      <c r="Q29940" s="11"/>
      <c r="R29940" s="11"/>
      <c r="S29940" s="11"/>
      <c r="T29940" s="11"/>
    </row>
    <row r="29941" spans="8:20" x14ac:dyDescent="0.35">
      <c r="H29941" s="711"/>
      <c r="I29941" s="711"/>
      <c r="J29941" s="711"/>
      <c r="K29941" s="711"/>
      <c r="L29941" s="711"/>
      <c r="Q29941" s="11"/>
      <c r="R29941" s="11"/>
      <c r="S29941" s="11"/>
      <c r="T29941" s="11"/>
    </row>
    <row r="29942" spans="8:20" x14ac:dyDescent="0.35">
      <c r="H29942" s="711"/>
      <c r="I29942" s="711"/>
      <c r="J29942" s="711"/>
      <c r="K29942" s="711"/>
      <c r="L29942" s="711"/>
      <c r="Q29942" s="11"/>
      <c r="R29942" s="11"/>
      <c r="S29942" s="11"/>
      <c r="T29942" s="11"/>
    </row>
    <row r="29943" spans="8:20" x14ac:dyDescent="0.35">
      <c r="H29943" s="711"/>
      <c r="I29943" s="711"/>
      <c r="J29943" s="711"/>
      <c r="K29943" s="711"/>
      <c r="L29943" s="711"/>
      <c r="Q29943" s="11"/>
      <c r="R29943" s="11"/>
      <c r="S29943" s="11"/>
      <c r="T29943" s="11"/>
    </row>
    <row r="29944" spans="8:20" x14ac:dyDescent="0.35">
      <c r="H29944" s="711"/>
      <c r="I29944" s="711"/>
      <c r="J29944" s="711"/>
      <c r="K29944" s="711"/>
      <c r="L29944" s="711"/>
      <c r="Q29944" s="11"/>
      <c r="R29944" s="11"/>
      <c r="S29944" s="11"/>
      <c r="T29944" s="11"/>
    </row>
    <row r="29945" spans="8:20" x14ac:dyDescent="0.35">
      <c r="H29945" s="711"/>
      <c r="I29945" s="711"/>
      <c r="J29945" s="711"/>
      <c r="K29945" s="711"/>
      <c r="L29945" s="711"/>
      <c r="Q29945" s="11"/>
      <c r="R29945" s="11"/>
      <c r="S29945" s="11"/>
      <c r="T29945" s="11"/>
    </row>
    <row r="29946" spans="8:20" x14ac:dyDescent="0.35">
      <c r="H29946" s="711"/>
      <c r="I29946" s="711"/>
      <c r="J29946" s="711"/>
      <c r="K29946" s="711"/>
      <c r="L29946" s="711"/>
      <c r="Q29946" s="11"/>
      <c r="R29946" s="11"/>
      <c r="S29946" s="11"/>
      <c r="T29946" s="11"/>
    </row>
    <row r="29947" spans="8:20" x14ac:dyDescent="0.35">
      <c r="H29947" s="711"/>
      <c r="I29947" s="711"/>
      <c r="J29947" s="711"/>
      <c r="K29947" s="711"/>
      <c r="L29947" s="711"/>
      <c r="Q29947" s="11"/>
      <c r="R29947" s="11"/>
      <c r="S29947" s="11"/>
      <c r="T29947" s="11"/>
    </row>
    <row r="29948" spans="8:20" x14ac:dyDescent="0.35">
      <c r="H29948" s="711"/>
      <c r="I29948" s="711"/>
      <c r="J29948" s="711"/>
      <c r="K29948" s="711"/>
      <c r="L29948" s="711"/>
      <c r="Q29948" s="11"/>
      <c r="R29948" s="11"/>
      <c r="S29948" s="11"/>
      <c r="T29948" s="11"/>
    </row>
    <row r="29949" spans="8:20" x14ac:dyDescent="0.35">
      <c r="H29949" s="711"/>
      <c r="I29949" s="711"/>
      <c r="J29949" s="711"/>
      <c r="K29949" s="711"/>
      <c r="L29949" s="711"/>
      <c r="Q29949" s="11"/>
      <c r="R29949" s="11"/>
      <c r="S29949" s="11"/>
      <c r="T29949" s="11"/>
    </row>
    <row r="29950" spans="8:20" x14ac:dyDescent="0.35">
      <c r="H29950" s="711"/>
      <c r="I29950" s="711"/>
      <c r="J29950" s="711"/>
      <c r="K29950" s="711"/>
      <c r="L29950" s="711"/>
      <c r="Q29950" s="11"/>
      <c r="R29950" s="11"/>
      <c r="S29950" s="11"/>
      <c r="T29950" s="11"/>
    </row>
    <row r="29951" spans="8:20" x14ac:dyDescent="0.35">
      <c r="H29951" s="711"/>
      <c r="I29951" s="711"/>
      <c r="J29951" s="711"/>
      <c r="K29951" s="711"/>
      <c r="L29951" s="711"/>
      <c r="Q29951" s="11"/>
      <c r="R29951" s="11"/>
      <c r="S29951" s="11"/>
      <c r="T29951" s="11"/>
    </row>
    <row r="29952" spans="8:20" x14ac:dyDescent="0.35">
      <c r="H29952" s="711"/>
      <c r="I29952" s="711"/>
      <c r="J29952" s="711"/>
      <c r="K29952" s="711"/>
      <c r="L29952" s="711"/>
      <c r="Q29952" s="11"/>
      <c r="R29952" s="11"/>
      <c r="S29952" s="11"/>
      <c r="T29952" s="11"/>
    </row>
    <row r="29953" spans="8:20" x14ac:dyDescent="0.35">
      <c r="H29953" s="711"/>
      <c r="I29953" s="711"/>
      <c r="J29953" s="711"/>
      <c r="K29953" s="711"/>
      <c r="L29953" s="711"/>
      <c r="Q29953" s="11"/>
      <c r="R29953" s="11"/>
      <c r="S29953" s="11"/>
      <c r="T29953" s="11"/>
    </row>
    <row r="29954" spans="8:20" x14ac:dyDescent="0.35">
      <c r="H29954" s="711"/>
      <c r="I29954" s="711"/>
      <c r="J29954" s="711"/>
      <c r="K29954" s="711"/>
      <c r="L29954" s="711"/>
      <c r="Q29954" s="11"/>
      <c r="R29954" s="11"/>
      <c r="S29954" s="11"/>
      <c r="T29954" s="11"/>
    </row>
    <row r="29955" spans="8:20" x14ac:dyDescent="0.35">
      <c r="H29955" s="711"/>
      <c r="I29955" s="711"/>
      <c r="J29955" s="711"/>
      <c r="K29955" s="711"/>
      <c r="L29955" s="711"/>
      <c r="Q29955" s="11"/>
      <c r="R29955" s="11"/>
      <c r="S29955" s="11"/>
      <c r="T29955" s="11"/>
    </row>
    <row r="29956" spans="8:20" x14ac:dyDescent="0.35">
      <c r="H29956" s="711"/>
      <c r="I29956" s="711"/>
      <c r="J29956" s="711"/>
      <c r="K29956" s="711"/>
      <c r="L29956" s="711"/>
      <c r="Q29956" s="11"/>
      <c r="R29956" s="11"/>
      <c r="S29956" s="11"/>
      <c r="T29956" s="11"/>
    </row>
    <row r="29957" spans="8:20" x14ac:dyDescent="0.35">
      <c r="H29957" s="711"/>
      <c r="I29957" s="711"/>
      <c r="J29957" s="711"/>
      <c r="K29957" s="711"/>
      <c r="L29957" s="711"/>
      <c r="Q29957" s="11"/>
      <c r="R29957" s="11"/>
      <c r="S29957" s="11"/>
      <c r="T29957" s="11"/>
    </row>
    <row r="29958" spans="8:20" x14ac:dyDescent="0.35">
      <c r="H29958" s="711"/>
      <c r="I29958" s="711"/>
      <c r="J29958" s="711"/>
      <c r="K29958" s="711"/>
      <c r="L29958" s="711"/>
      <c r="Q29958" s="11"/>
      <c r="R29958" s="11"/>
      <c r="S29958" s="11"/>
      <c r="T29958" s="11"/>
    </row>
    <row r="29959" spans="8:20" x14ac:dyDescent="0.35">
      <c r="H29959" s="711"/>
      <c r="I29959" s="711"/>
      <c r="J29959" s="711"/>
      <c r="K29959" s="711"/>
      <c r="L29959" s="711"/>
      <c r="Q29959" s="11"/>
      <c r="R29959" s="11"/>
      <c r="S29959" s="11"/>
      <c r="T29959" s="11"/>
    </row>
    <row r="29960" spans="8:20" x14ac:dyDescent="0.35">
      <c r="H29960" s="711"/>
      <c r="I29960" s="711"/>
      <c r="J29960" s="711"/>
      <c r="K29960" s="711"/>
      <c r="L29960" s="711"/>
      <c r="Q29960" s="11"/>
      <c r="R29960" s="11"/>
      <c r="S29960" s="11"/>
      <c r="T29960" s="11"/>
    </row>
    <row r="29961" spans="8:20" x14ac:dyDescent="0.35">
      <c r="H29961" s="711"/>
      <c r="I29961" s="711"/>
      <c r="J29961" s="711"/>
      <c r="K29961" s="711"/>
      <c r="L29961" s="711"/>
      <c r="Q29961" s="11"/>
      <c r="R29961" s="11"/>
      <c r="S29961" s="11"/>
      <c r="T29961" s="11"/>
    </row>
    <row r="29962" spans="8:20" x14ac:dyDescent="0.35">
      <c r="H29962" s="711"/>
      <c r="I29962" s="711"/>
      <c r="J29962" s="711"/>
      <c r="K29962" s="711"/>
      <c r="L29962" s="711"/>
      <c r="Q29962" s="11"/>
      <c r="R29962" s="11"/>
      <c r="S29962" s="11"/>
      <c r="T29962" s="11"/>
    </row>
    <row r="29963" spans="8:20" x14ac:dyDescent="0.35">
      <c r="H29963" s="711"/>
      <c r="I29963" s="711"/>
      <c r="J29963" s="711"/>
      <c r="K29963" s="711"/>
      <c r="L29963" s="711"/>
      <c r="Q29963" s="11"/>
      <c r="R29963" s="11"/>
      <c r="S29963" s="11"/>
      <c r="T29963" s="11"/>
    </row>
    <row r="29964" spans="8:20" x14ac:dyDescent="0.35">
      <c r="H29964" s="711"/>
      <c r="I29964" s="711"/>
      <c r="J29964" s="711"/>
      <c r="K29964" s="711"/>
      <c r="L29964" s="711"/>
      <c r="Q29964" s="11"/>
      <c r="R29964" s="11"/>
      <c r="S29964" s="11"/>
      <c r="T29964" s="11"/>
    </row>
    <row r="29965" spans="8:20" x14ac:dyDescent="0.35">
      <c r="H29965" s="711"/>
      <c r="I29965" s="711"/>
      <c r="J29965" s="711"/>
      <c r="K29965" s="711"/>
      <c r="L29965" s="711"/>
      <c r="Q29965" s="11"/>
      <c r="R29965" s="11"/>
      <c r="S29965" s="11"/>
      <c r="T29965" s="11"/>
    </row>
    <row r="29966" spans="8:20" x14ac:dyDescent="0.35">
      <c r="H29966" s="711"/>
      <c r="I29966" s="711"/>
      <c r="J29966" s="711"/>
      <c r="K29966" s="711"/>
      <c r="L29966" s="711"/>
      <c r="Q29966" s="11"/>
      <c r="R29966" s="11"/>
      <c r="S29966" s="11"/>
      <c r="T29966" s="11"/>
    </row>
    <row r="29967" spans="8:20" x14ac:dyDescent="0.35">
      <c r="H29967" s="711"/>
      <c r="I29967" s="711"/>
      <c r="J29967" s="711"/>
      <c r="K29967" s="711"/>
      <c r="L29967" s="711"/>
      <c r="Q29967" s="11"/>
      <c r="R29967" s="11"/>
      <c r="S29967" s="11"/>
      <c r="T29967" s="11"/>
    </row>
    <row r="29968" spans="8:20" x14ac:dyDescent="0.35">
      <c r="H29968" s="711"/>
      <c r="I29968" s="711"/>
      <c r="J29968" s="711"/>
      <c r="K29968" s="711"/>
      <c r="L29968" s="711"/>
      <c r="Q29968" s="11"/>
      <c r="R29968" s="11"/>
      <c r="S29968" s="11"/>
      <c r="T29968" s="11"/>
    </row>
    <row r="29969" spans="8:20" x14ac:dyDescent="0.35">
      <c r="H29969" s="711"/>
      <c r="I29969" s="711"/>
      <c r="J29969" s="711"/>
      <c r="K29969" s="711"/>
      <c r="L29969" s="711"/>
      <c r="Q29969" s="11"/>
      <c r="R29969" s="11"/>
      <c r="S29969" s="11"/>
      <c r="T29969" s="11"/>
    </row>
    <row r="29970" spans="8:20" x14ac:dyDescent="0.35">
      <c r="H29970" s="711"/>
      <c r="I29970" s="711"/>
      <c r="J29970" s="711"/>
      <c r="K29970" s="711"/>
      <c r="L29970" s="711"/>
      <c r="Q29970" s="11"/>
      <c r="R29970" s="11"/>
      <c r="S29970" s="11"/>
      <c r="T29970" s="11"/>
    </row>
    <row r="29971" spans="8:20" x14ac:dyDescent="0.35">
      <c r="H29971" s="711"/>
      <c r="I29971" s="711"/>
      <c r="J29971" s="711"/>
      <c r="K29971" s="711"/>
      <c r="L29971" s="711"/>
      <c r="Q29971" s="11"/>
      <c r="R29971" s="11"/>
      <c r="S29971" s="11"/>
      <c r="T29971" s="11"/>
    </row>
    <row r="29972" spans="8:20" x14ac:dyDescent="0.35">
      <c r="H29972" s="711"/>
      <c r="I29972" s="711"/>
      <c r="J29972" s="711"/>
      <c r="K29972" s="711"/>
      <c r="L29972" s="711"/>
      <c r="Q29972" s="11"/>
      <c r="R29972" s="11"/>
      <c r="S29972" s="11"/>
      <c r="T29972" s="11"/>
    </row>
    <row r="29973" spans="8:20" x14ac:dyDescent="0.35">
      <c r="H29973" s="711"/>
      <c r="I29973" s="711"/>
      <c r="J29973" s="711"/>
      <c r="K29973" s="711"/>
      <c r="L29973" s="711"/>
      <c r="Q29973" s="11"/>
      <c r="R29973" s="11"/>
      <c r="S29973" s="11"/>
      <c r="T29973" s="11"/>
    </row>
    <row r="29974" spans="8:20" x14ac:dyDescent="0.35">
      <c r="H29974" s="711"/>
      <c r="I29974" s="711"/>
      <c r="J29974" s="711"/>
      <c r="K29974" s="711"/>
      <c r="L29974" s="711"/>
      <c r="Q29974" s="11"/>
      <c r="R29974" s="11"/>
      <c r="S29974" s="11"/>
      <c r="T29974" s="11"/>
    </row>
    <row r="29975" spans="8:20" x14ac:dyDescent="0.35">
      <c r="H29975" s="711"/>
      <c r="I29975" s="711"/>
      <c r="J29975" s="711"/>
      <c r="K29975" s="711"/>
      <c r="L29975" s="711"/>
      <c r="Q29975" s="11"/>
      <c r="R29975" s="11"/>
      <c r="S29975" s="11"/>
      <c r="T29975" s="11"/>
    </row>
    <row r="29976" spans="8:20" x14ac:dyDescent="0.35">
      <c r="H29976" s="711"/>
      <c r="I29976" s="711"/>
      <c r="J29976" s="711"/>
      <c r="K29976" s="711"/>
      <c r="L29976" s="711"/>
      <c r="Q29976" s="11"/>
      <c r="R29976" s="11"/>
      <c r="S29976" s="11"/>
      <c r="T29976" s="11"/>
    </row>
    <row r="29977" spans="8:20" x14ac:dyDescent="0.35">
      <c r="H29977" s="711"/>
      <c r="I29977" s="711"/>
      <c r="J29977" s="711"/>
      <c r="K29977" s="711"/>
      <c r="L29977" s="711"/>
      <c r="Q29977" s="11"/>
      <c r="R29977" s="11"/>
      <c r="S29977" s="11"/>
      <c r="T29977" s="11"/>
    </row>
    <row r="29978" spans="8:20" x14ac:dyDescent="0.35">
      <c r="H29978" s="711"/>
      <c r="I29978" s="711"/>
      <c r="J29978" s="711"/>
      <c r="K29978" s="711"/>
      <c r="L29978" s="711"/>
      <c r="Q29978" s="11"/>
      <c r="R29978" s="11"/>
      <c r="S29978" s="11"/>
      <c r="T29978" s="11"/>
    </row>
    <row r="29979" spans="8:20" x14ac:dyDescent="0.35">
      <c r="H29979" s="711"/>
      <c r="I29979" s="711"/>
      <c r="J29979" s="711"/>
      <c r="K29979" s="711"/>
      <c r="L29979" s="711"/>
      <c r="Q29979" s="11"/>
      <c r="R29979" s="11"/>
      <c r="S29979" s="11"/>
      <c r="T29979" s="11"/>
    </row>
    <row r="29980" spans="8:20" x14ac:dyDescent="0.35">
      <c r="H29980" s="711"/>
      <c r="I29980" s="711"/>
      <c r="J29980" s="711"/>
      <c r="K29980" s="711"/>
      <c r="L29980" s="711"/>
      <c r="Q29980" s="11"/>
      <c r="R29980" s="11"/>
      <c r="S29980" s="11"/>
      <c r="T29980" s="11"/>
    </row>
    <row r="29981" spans="8:20" x14ac:dyDescent="0.35">
      <c r="H29981" s="711"/>
      <c r="I29981" s="711"/>
      <c r="J29981" s="711"/>
      <c r="K29981" s="711"/>
      <c r="L29981" s="711"/>
      <c r="Q29981" s="11"/>
      <c r="R29981" s="11"/>
      <c r="S29981" s="11"/>
      <c r="T29981" s="11"/>
    </row>
    <row r="29982" spans="8:20" x14ac:dyDescent="0.35">
      <c r="H29982" s="711"/>
      <c r="I29982" s="711"/>
      <c r="J29982" s="711"/>
      <c r="K29982" s="711"/>
      <c r="L29982" s="711"/>
      <c r="Q29982" s="11"/>
      <c r="R29982" s="11"/>
      <c r="S29982" s="11"/>
      <c r="T29982" s="11"/>
    </row>
    <row r="29983" spans="8:20" x14ac:dyDescent="0.35">
      <c r="H29983" s="711"/>
      <c r="I29983" s="711"/>
      <c r="J29983" s="711"/>
      <c r="K29983" s="711"/>
      <c r="L29983" s="711"/>
      <c r="Q29983" s="11"/>
      <c r="R29983" s="11"/>
      <c r="S29983" s="11"/>
      <c r="T29983" s="11"/>
    </row>
    <row r="29984" spans="8:20" x14ac:dyDescent="0.35">
      <c r="H29984" s="711"/>
      <c r="I29984" s="711"/>
      <c r="J29984" s="711"/>
      <c r="K29984" s="711"/>
      <c r="L29984" s="711"/>
      <c r="Q29984" s="11"/>
      <c r="R29984" s="11"/>
      <c r="S29984" s="11"/>
      <c r="T29984" s="11"/>
    </row>
    <row r="29985" spans="8:20" x14ac:dyDescent="0.35">
      <c r="H29985" s="711"/>
      <c r="I29985" s="711"/>
      <c r="J29985" s="711"/>
      <c r="K29985" s="711"/>
      <c r="L29985" s="711"/>
      <c r="Q29985" s="11"/>
      <c r="R29985" s="11"/>
      <c r="S29985" s="11"/>
      <c r="T29985" s="11"/>
    </row>
    <row r="29986" spans="8:20" x14ac:dyDescent="0.35">
      <c r="H29986" s="711"/>
      <c r="I29986" s="711"/>
      <c r="J29986" s="711"/>
      <c r="K29986" s="711"/>
      <c r="L29986" s="711"/>
      <c r="Q29986" s="11"/>
      <c r="R29986" s="11"/>
      <c r="S29986" s="11"/>
      <c r="T29986" s="11"/>
    </row>
    <row r="29987" spans="8:20" x14ac:dyDescent="0.35">
      <c r="H29987" s="711"/>
      <c r="I29987" s="711"/>
      <c r="J29987" s="711"/>
      <c r="K29987" s="711"/>
      <c r="L29987" s="711"/>
      <c r="Q29987" s="11"/>
      <c r="R29987" s="11"/>
      <c r="S29987" s="11"/>
      <c r="T29987" s="11"/>
    </row>
    <row r="29988" spans="8:20" x14ac:dyDescent="0.35">
      <c r="H29988" s="711"/>
      <c r="I29988" s="711"/>
      <c r="J29988" s="711"/>
      <c r="K29988" s="711"/>
      <c r="L29988" s="711"/>
      <c r="Q29988" s="11"/>
      <c r="R29988" s="11"/>
      <c r="S29988" s="11"/>
      <c r="T29988" s="11"/>
    </row>
    <row r="29989" spans="8:20" x14ac:dyDescent="0.35">
      <c r="H29989" s="711"/>
      <c r="I29989" s="711"/>
      <c r="J29989" s="711"/>
      <c r="K29989" s="711"/>
      <c r="L29989" s="711"/>
      <c r="Q29989" s="11"/>
      <c r="R29989" s="11"/>
      <c r="S29989" s="11"/>
      <c r="T29989" s="11"/>
    </row>
    <row r="29990" spans="8:20" x14ac:dyDescent="0.35">
      <c r="H29990" s="711"/>
      <c r="I29990" s="711"/>
      <c r="J29990" s="711"/>
      <c r="K29990" s="711"/>
      <c r="L29990" s="711"/>
      <c r="Q29990" s="11"/>
      <c r="R29990" s="11"/>
      <c r="S29990" s="11"/>
      <c r="T29990" s="11"/>
    </row>
    <row r="29991" spans="8:20" x14ac:dyDescent="0.35">
      <c r="H29991" s="711"/>
      <c r="I29991" s="711"/>
      <c r="J29991" s="711"/>
      <c r="K29991" s="711"/>
      <c r="L29991" s="711"/>
      <c r="Q29991" s="11"/>
      <c r="R29991" s="11"/>
      <c r="S29991" s="11"/>
      <c r="T29991" s="11"/>
    </row>
    <row r="29992" spans="8:20" x14ac:dyDescent="0.35">
      <c r="H29992" s="711"/>
      <c r="I29992" s="711"/>
      <c r="J29992" s="711"/>
      <c r="K29992" s="711"/>
      <c r="L29992" s="711"/>
      <c r="Q29992" s="11"/>
      <c r="R29992" s="11"/>
      <c r="S29992" s="11"/>
      <c r="T29992" s="11"/>
    </row>
    <row r="29993" spans="8:20" x14ac:dyDescent="0.35">
      <c r="H29993" s="711"/>
      <c r="I29993" s="711"/>
      <c r="J29993" s="711"/>
      <c r="K29993" s="711"/>
      <c r="L29993" s="711"/>
      <c r="Q29993" s="11"/>
      <c r="R29993" s="11"/>
      <c r="S29993" s="11"/>
      <c r="T29993" s="11"/>
    </row>
    <row r="29994" spans="8:20" x14ac:dyDescent="0.35">
      <c r="H29994" s="711"/>
      <c r="I29994" s="711"/>
      <c r="J29994" s="711"/>
      <c r="K29994" s="711"/>
      <c r="L29994" s="711"/>
      <c r="Q29994" s="11"/>
      <c r="R29994" s="11"/>
      <c r="S29994" s="11"/>
      <c r="T29994" s="11"/>
    </row>
    <row r="29995" spans="8:20" x14ac:dyDescent="0.35">
      <c r="H29995" s="711"/>
      <c r="I29995" s="711"/>
      <c r="J29995" s="711"/>
      <c r="K29995" s="711"/>
      <c r="L29995" s="711"/>
      <c r="Q29995" s="11"/>
      <c r="R29995" s="11"/>
      <c r="S29995" s="11"/>
      <c r="T29995" s="11"/>
    </row>
    <row r="29996" spans="8:20" x14ac:dyDescent="0.35">
      <c r="H29996" s="711"/>
      <c r="I29996" s="711"/>
      <c r="J29996" s="711"/>
      <c r="K29996" s="711"/>
      <c r="L29996" s="711"/>
      <c r="Q29996" s="11"/>
      <c r="R29996" s="11"/>
      <c r="S29996" s="11"/>
      <c r="T29996" s="11"/>
    </row>
    <row r="29997" spans="8:20" x14ac:dyDescent="0.35">
      <c r="H29997" s="711"/>
      <c r="I29997" s="711"/>
      <c r="J29997" s="711"/>
      <c r="K29997" s="711"/>
      <c r="L29997" s="711"/>
      <c r="Q29997" s="11"/>
      <c r="R29997" s="11"/>
      <c r="S29997" s="11"/>
      <c r="T29997" s="11"/>
    </row>
    <row r="29998" spans="8:20" x14ac:dyDescent="0.35">
      <c r="H29998" s="711"/>
      <c r="I29998" s="711"/>
      <c r="J29998" s="711"/>
      <c r="K29998" s="711"/>
      <c r="L29998" s="711"/>
      <c r="Q29998" s="11"/>
      <c r="R29998" s="11"/>
      <c r="S29998" s="11"/>
      <c r="T29998" s="11"/>
    </row>
    <row r="29999" spans="8:20" x14ac:dyDescent="0.35">
      <c r="H29999" s="711"/>
      <c r="I29999" s="711"/>
      <c r="J29999" s="711"/>
      <c r="K29999" s="711"/>
      <c r="L29999" s="711"/>
      <c r="Q29999" s="11"/>
      <c r="R29999" s="11"/>
      <c r="S29999" s="11"/>
      <c r="T29999" s="11"/>
    </row>
    <row r="30000" spans="8:20" x14ac:dyDescent="0.35">
      <c r="H30000" s="711"/>
      <c r="I30000" s="711"/>
      <c r="J30000" s="711"/>
      <c r="K30000" s="711"/>
      <c r="L30000" s="711"/>
      <c r="Q30000" s="11"/>
      <c r="R30000" s="11"/>
      <c r="S30000" s="11"/>
      <c r="T30000" s="11"/>
    </row>
    <row r="30001" spans="8:20" x14ac:dyDescent="0.35">
      <c r="H30001" s="711"/>
      <c r="I30001" s="711"/>
      <c r="J30001" s="711"/>
      <c r="K30001" s="711"/>
      <c r="L30001" s="711"/>
      <c r="Q30001" s="11"/>
      <c r="R30001" s="11"/>
      <c r="S30001" s="11"/>
      <c r="T30001" s="11"/>
    </row>
    <row r="30002" spans="8:20" x14ac:dyDescent="0.35">
      <c r="H30002" s="711"/>
      <c r="I30002" s="711"/>
      <c r="J30002" s="711"/>
      <c r="K30002" s="711"/>
      <c r="L30002" s="711"/>
      <c r="Q30002" s="11"/>
      <c r="R30002" s="11"/>
      <c r="S30002" s="11"/>
      <c r="T30002" s="11"/>
    </row>
    <row r="30003" spans="8:20" x14ac:dyDescent="0.35">
      <c r="H30003" s="711"/>
      <c r="I30003" s="711"/>
      <c r="J30003" s="711"/>
      <c r="K30003" s="711"/>
      <c r="L30003" s="711"/>
      <c r="Q30003" s="11"/>
      <c r="R30003" s="11"/>
      <c r="S30003" s="11"/>
      <c r="T30003" s="11"/>
    </row>
    <row r="30004" spans="8:20" x14ac:dyDescent="0.35">
      <c r="H30004" s="711"/>
      <c r="I30004" s="711"/>
      <c r="J30004" s="711"/>
      <c r="K30004" s="711"/>
      <c r="L30004" s="711"/>
      <c r="Q30004" s="11"/>
      <c r="R30004" s="11"/>
      <c r="S30004" s="11"/>
      <c r="T30004" s="11"/>
    </row>
    <row r="30005" spans="8:20" x14ac:dyDescent="0.35">
      <c r="H30005" s="711"/>
      <c r="I30005" s="711"/>
      <c r="J30005" s="711"/>
      <c r="K30005" s="711"/>
      <c r="L30005" s="711"/>
      <c r="Q30005" s="11"/>
      <c r="R30005" s="11"/>
      <c r="S30005" s="11"/>
      <c r="T30005" s="11"/>
    </row>
    <row r="30006" spans="8:20" x14ac:dyDescent="0.35">
      <c r="H30006" s="711"/>
      <c r="I30006" s="711"/>
      <c r="J30006" s="711"/>
      <c r="K30006" s="711"/>
      <c r="L30006" s="711"/>
      <c r="Q30006" s="11"/>
      <c r="R30006" s="11"/>
      <c r="S30006" s="11"/>
      <c r="T30006" s="11"/>
    </row>
    <row r="30007" spans="8:20" x14ac:dyDescent="0.35">
      <c r="H30007" s="711"/>
      <c r="I30007" s="711"/>
      <c r="J30007" s="711"/>
      <c r="K30007" s="711"/>
      <c r="L30007" s="711"/>
      <c r="Q30007" s="11"/>
      <c r="R30007" s="11"/>
      <c r="S30007" s="11"/>
      <c r="T30007" s="11"/>
    </row>
    <row r="30008" spans="8:20" x14ac:dyDescent="0.35">
      <c r="H30008" s="711"/>
      <c r="I30008" s="711"/>
      <c r="J30008" s="711"/>
      <c r="K30008" s="711"/>
      <c r="L30008" s="711"/>
      <c r="Q30008" s="11"/>
      <c r="R30008" s="11"/>
      <c r="S30008" s="11"/>
      <c r="T30008" s="11"/>
    </row>
    <row r="30009" spans="8:20" x14ac:dyDescent="0.35">
      <c r="H30009" s="711"/>
      <c r="I30009" s="711"/>
      <c r="J30009" s="711"/>
      <c r="K30009" s="711"/>
      <c r="L30009" s="711"/>
      <c r="Q30009" s="11"/>
      <c r="R30009" s="11"/>
      <c r="S30009" s="11"/>
      <c r="T30009" s="11"/>
    </row>
    <row r="30010" spans="8:20" x14ac:dyDescent="0.35">
      <c r="H30010" s="711"/>
      <c r="I30010" s="711"/>
      <c r="J30010" s="711"/>
      <c r="K30010" s="711"/>
      <c r="L30010" s="711"/>
      <c r="Q30010" s="11"/>
      <c r="R30010" s="11"/>
      <c r="S30010" s="11"/>
      <c r="T30010" s="11"/>
    </row>
    <row r="30011" spans="8:20" x14ac:dyDescent="0.35">
      <c r="H30011" s="711"/>
      <c r="I30011" s="711"/>
      <c r="J30011" s="711"/>
      <c r="K30011" s="711"/>
      <c r="L30011" s="711"/>
      <c r="Q30011" s="11"/>
      <c r="R30011" s="11"/>
      <c r="S30011" s="11"/>
      <c r="T30011" s="11"/>
    </row>
    <row r="30012" spans="8:20" x14ac:dyDescent="0.35">
      <c r="H30012" s="711"/>
      <c r="I30012" s="711"/>
      <c r="J30012" s="711"/>
      <c r="K30012" s="711"/>
      <c r="L30012" s="711"/>
      <c r="Q30012" s="11"/>
      <c r="R30012" s="11"/>
      <c r="S30012" s="11"/>
      <c r="T30012" s="11"/>
    </row>
    <row r="30013" spans="8:20" x14ac:dyDescent="0.35">
      <c r="H30013" s="711"/>
      <c r="I30013" s="711"/>
      <c r="J30013" s="711"/>
      <c r="K30013" s="711"/>
      <c r="L30013" s="711"/>
      <c r="Q30013" s="11"/>
      <c r="R30013" s="11"/>
      <c r="S30013" s="11"/>
      <c r="T30013" s="11"/>
    </row>
    <row r="30014" spans="8:20" x14ac:dyDescent="0.35">
      <c r="H30014" s="711"/>
      <c r="I30014" s="711"/>
      <c r="J30014" s="711"/>
      <c r="K30014" s="711"/>
      <c r="L30014" s="711"/>
      <c r="Q30014" s="11"/>
      <c r="R30014" s="11"/>
      <c r="S30014" s="11"/>
      <c r="T30014" s="11"/>
    </row>
    <row r="30015" spans="8:20" x14ac:dyDescent="0.35">
      <c r="H30015" s="711"/>
      <c r="I30015" s="711"/>
      <c r="J30015" s="711"/>
      <c r="K30015" s="711"/>
      <c r="L30015" s="711"/>
      <c r="Q30015" s="11"/>
      <c r="R30015" s="11"/>
      <c r="S30015" s="11"/>
      <c r="T30015" s="11"/>
    </row>
    <row r="30016" spans="8:20" x14ac:dyDescent="0.35">
      <c r="H30016" s="711"/>
      <c r="I30016" s="711"/>
      <c r="J30016" s="711"/>
      <c r="K30016" s="711"/>
      <c r="L30016" s="711"/>
      <c r="Q30016" s="11"/>
      <c r="R30016" s="11"/>
      <c r="S30016" s="11"/>
      <c r="T30016" s="11"/>
    </row>
    <row r="30017" spans="8:20" x14ac:dyDescent="0.35">
      <c r="H30017" s="711"/>
      <c r="I30017" s="711"/>
      <c r="J30017" s="711"/>
      <c r="K30017" s="711"/>
      <c r="L30017" s="711"/>
      <c r="Q30017" s="11"/>
      <c r="R30017" s="11"/>
      <c r="S30017" s="11"/>
      <c r="T30017" s="11"/>
    </row>
    <row r="30018" spans="8:20" x14ac:dyDescent="0.35">
      <c r="H30018" s="711"/>
      <c r="I30018" s="711"/>
      <c r="J30018" s="711"/>
      <c r="K30018" s="711"/>
      <c r="L30018" s="711"/>
      <c r="Q30018" s="11"/>
      <c r="R30018" s="11"/>
      <c r="S30018" s="11"/>
      <c r="T30018" s="11"/>
    </row>
    <row r="30019" spans="8:20" x14ac:dyDescent="0.35">
      <c r="H30019" s="711"/>
      <c r="I30019" s="711"/>
      <c r="J30019" s="711"/>
      <c r="K30019" s="711"/>
      <c r="L30019" s="711"/>
      <c r="Q30019" s="11"/>
      <c r="R30019" s="11"/>
      <c r="S30019" s="11"/>
      <c r="T30019" s="11"/>
    </row>
    <row r="30020" spans="8:20" x14ac:dyDescent="0.35">
      <c r="H30020" s="711"/>
      <c r="I30020" s="711"/>
      <c r="J30020" s="711"/>
      <c r="K30020" s="711"/>
      <c r="L30020" s="711"/>
      <c r="Q30020" s="11"/>
      <c r="R30020" s="11"/>
      <c r="S30020" s="11"/>
      <c r="T30020" s="11"/>
    </row>
    <row r="30021" spans="8:20" x14ac:dyDescent="0.35">
      <c r="H30021" s="711"/>
      <c r="I30021" s="711"/>
      <c r="J30021" s="711"/>
      <c r="K30021" s="711"/>
      <c r="L30021" s="711"/>
      <c r="Q30021" s="11"/>
      <c r="R30021" s="11"/>
      <c r="S30021" s="11"/>
      <c r="T30021" s="11"/>
    </row>
    <row r="30022" spans="8:20" x14ac:dyDescent="0.35">
      <c r="H30022" s="711"/>
      <c r="I30022" s="711"/>
      <c r="J30022" s="711"/>
      <c r="K30022" s="711"/>
      <c r="L30022" s="711"/>
      <c r="Q30022" s="11"/>
      <c r="R30022" s="11"/>
      <c r="S30022" s="11"/>
      <c r="T30022" s="11"/>
    </row>
    <row r="30023" spans="8:20" x14ac:dyDescent="0.35">
      <c r="H30023" s="711"/>
      <c r="I30023" s="711"/>
      <c r="J30023" s="711"/>
      <c r="K30023" s="711"/>
      <c r="L30023" s="711"/>
      <c r="Q30023" s="11"/>
      <c r="R30023" s="11"/>
      <c r="S30023" s="11"/>
      <c r="T30023" s="11"/>
    </row>
    <row r="30024" spans="8:20" x14ac:dyDescent="0.35">
      <c r="H30024" s="711"/>
      <c r="I30024" s="711"/>
      <c r="J30024" s="711"/>
      <c r="K30024" s="711"/>
      <c r="L30024" s="711"/>
      <c r="Q30024" s="11"/>
      <c r="R30024" s="11"/>
      <c r="S30024" s="11"/>
      <c r="T30024" s="11"/>
    </row>
    <row r="30025" spans="8:20" x14ac:dyDescent="0.35">
      <c r="H30025" s="711"/>
      <c r="I30025" s="711"/>
      <c r="J30025" s="711"/>
      <c r="K30025" s="711"/>
      <c r="L30025" s="711"/>
      <c r="Q30025" s="11"/>
      <c r="R30025" s="11"/>
      <c r="S30025" s="11"/>
      <c r="T30025" s="11"/>
    </row>
    <row r="30026" spans="8:20" x14ac:dyDescent="0.35">
      <c r="H30026" s="711"/>
      <c r="I30026" s="711"/>
      <c r="J30026" s="711"/>
      <c r="K30026" s="711"/>
      <c r="L30026" s="711"/>
      <c r="Q30026" s="11"/>
      <c r="R30026" s="11"/>
      <c r="S30026" s="11"/>
      <c r="T30026" s="11"/>
    </row>
    <row r="30027" spans="8:20" x14ac:dyDescent="0.35">
      <c r="H30027" s="711"/>
      <c r="I30027" s="711"/>
      <c r="J30027" s="711"/>
      <c r="K30027" s="711"/>
      <c r="L30027" s="711"/>
      <c r="Q30027" s="11"/>
      <c r="R30027" s="11"/>
      <c r="S30027" s="11"/>
      <c r="T30027" s="11"/>
    </row>
    <row r="30028" spans="8:20" x14ac:dyDescent="0.35">
      <c r="H30028" s="711"/>
      <c r="I30028" s="711"/>
      <c r="J30028" s="711"/>
      <c r="K30028" s="711"/>
      <c r="L30028" s="711"/>
      <c r="Q30028" s="11"/>
      <c r="R30028" s="11"/>
      <c r="S30028" s="11"/>
      <c r="T30028" s="11"/>
    </row>
    <row r="30029" spans="8:20" x14ac:dyDescent="0.35">
      <c r="H30029" s="711"/>
      <c r="I30029" s="711"/>
      <c r="J30029" s="711"/>
      <c r="K30029" s="711"/>
      <c r="L30029" s="711"/>
      <c r="Q30029" s="11"/>
      <c r="R30029" s="11"/>
      <c r="S30029" s="11"/>
      <c r="T30029" s="11"/>
    </row>
    <row r="30030" spans="8:20" x14ac:dyDescent="0.35">
      <c r="H30030" s="711"/>
      <c r="I30030" s="711"/>
      <c r="J30030" s="711"/>
      <c r="K30030" s="711"/>
      <c r="L30030" s="711"/>
      <c r="Q30030" s="11"/>
      <c r="R30030" s="11"/>
      <c r="S30030" s="11"/>
      <c r="T30030" s="11"/>
    </row>
    <row r="30031" spans="8:20" x14ac:dyDescent="0.35">
      <c r="H30031" s="711"/>
      <c r="I30031" s="711"/>
      <c r="J30031" s="711"/>
      <c r="K30031" s="711"/>
      <c r="L30031" s="711"/>
      <c r="Q30031" s="11"/>
      <c r="R30031" s="11"/>
      <c r="S30031" s="11"/>
      <c r="T30031" s="11"/>
    </row>
    <row r="30032" spans="8:20" x14ac:dyDescent="0.35">
      <c r="H30032" s="711"/>
      <c r="I30032" s="711"/>
      <c r="J30032" s="711"/>
      <c r="K30032" s="711"/>
      <c r="L30032" s="711"/>
      <c r="Q30032" s="11"/>
      <c r="R30032" s="11"/>
      <c r="S30032" s="11"/>
      <c r="T30032" s="11"/>
    </row>
    <row r="30033" spans="8:20" x14ac:dyDescent="0.35">
      <c r="H30033" s="711"/>
      <c r="I30033" s="711"/>
      <c r="J30033" s="711"/>
      <c r="K30033" s="711"/>
      <c r="L30033" s="711"/>
      <c r="Q30033" s="11"/>
      <c r="R30033" s="11"/>
      <c r="S30033" s="11"/>
      <c r="T30033" s="11"/>
    </row>
    <row r="30034" spans="8:20" x14ac:dyDescent="0.35">
      <c r="H30034" s="711"/>
      <c r="I30034" s="711"/>
      <c r="J30034" s="711"/>
      <c r="K30034" s="711"/>
      <c r="L30034" s="711"/>
      <c r="Q30034" s="11"/>
      <c r="R30034" s="11"/>
      <c r="S30034" s="11"/>
      <c r="T30034" s="11"/>
    </row>
    <row r="30035" spans="8:20" x14ac:dyDescent="0.35">
      <c r="H30035" s="711"/>
      <c r="I30035" s="711"/>
      <c r="J30035" s="711"/>
      <c r="K30035" s="711"/>
      <c r="L30035" s="711"/>
      <c r="Q30035" s="11"/>
      <c r="R30035" s="11"/>
      <c r="S30035" s="11"/>
      <c r="T30035" s="11"/>
    </row>
    <row r="30036" spans="8:20" x14ac:dyDescent="0.35">
      <c r="H30036" s="711"/>
      <c r="I30036" s="711"/>
      <c r="J30036" s="711"/>
      <c r="K30036" s="711"/>
      <c r="L30036" s="711"/>
      <c r="Q30036" s="11"/>
      <c r="R30036" s="11"/>
      <c r="S30036" s="11"/>
      <c r="T30036" s="11"/>
    </row>
    <row r="30037" spans="8:20" x14ac:dyDescent="0.35">
      <c r="H30037" s="711"/>
      <c r="I30037" s="711"/>
      <c r="J30037" s="711"/>
      <c r="K30037" s="711"/>
      <c r="L30037" s="711"/>
      <c r="Q30037" s="11"/>
      <c r="R30037" s="11"/>
      <c r="S30037" s="11"/>
      <c r="T30037" s="11"/>
    </row>
    <row r="30038" spans="8:20" x14ac:dyDescent="0.35">
      <c r="H30038" s="711"/>
      <c r="I30038" s="711"/>
      <c r="J30038" s="711"/>
      <c r="K30038" s="711"/>
      <c r="L30038" s="711"/>
      <c r="Q30038" s="11"/>
      <c r="R30038" s="11"/>
      <c r="S30038" s="11"/>
      <c r="T30038" s="11"/>
    </row>
    <row r="30039" spans="8:20" x14ac:dyDescent="0.35">
      <c r="H30039" s="711"/>
      <c r="I30039" s="711"/>
      <c r="J30039" s="711"/>
      <c r="K30039" s="711"/>
      <c r="L30039" s="711"/>
      <c r="Q30039" s="11"/>
      <c r="R30039" s="11"/>
      <c r="S30039" s="11"/>
      <c r="T30039" s="11"/>
    </row>
    <row r="30040" spans="8:20" x14ac:dyDescent="0.35">
      <c r="H30040" s="711"/>
      <c r="I30040" s="711"/>
      <c r="J30040" s="711"/>
      <c r="K30040" s="711"/>
      <c r="L30040" s="711"/>
      <c r="Q30040" s="11"/>
      <c r="R30040" s="11"/>
      <c r="S30040" s="11"/>
      <c r="T30040" s="11"/>
    </row>
    <row r="30041" spans="8:20" x14ac:dyDescent="0.35">
      <c r="H30041" s="711"/>
      <c r="I30041" s="711"/>
      <c r="J30041" s="711"/>
      <c r="K30041" s="711"/>
      <c r="L30041" s="711"/>
      <c r="Q30041" s="11"/>
      <c r="R30041" s="11"/>
      <c r="S30041" s="11"/>
      <c r="T30041" s="11"/>
    </row>
    <row r="30042" spans="8:20" x14ac:dyDescent="0.35">
      <c r="H30042" s="711"/>
      <c r="I30042" s="711"/>
      <c r="J30042" s="711"/>
      <c r="K30042" s="711"/>
      <c r="L30042" s="711"/>
      <c r="Q30042" s="11"/>
      <c r="R30042" s="11"/>
      <c r="S30042" s="11"/>
      <c r="T30042" s="11"/>
    </row>
    <row r="30043" spans="8:20" x14ac:dyDescent="0.35">
      <c r="H30043" s="711"/>
      <c r="I30043" s="711"/>
      <c r="J30043" s="711"/>
      <c r="K30043" s="711"/>
      <c r="L30043" s="711"/>
      <c r="Q30043" s="11"/>
      <c r="R30043" s="11"/>
      <c r="S30043" s="11"/>
      <c r="T30043" s="11"/>
    </row>
    <row r="30044" spans="8:20" x14ac:dyDescent="0.35">
      <c r="H30044" s="711"/>
      <c r="I30044" s="711"/>
      <c r="J30044" s="711"/>
      <c r="K30044" s="711"/>
      <c r="L30044" s="711"/>
      <c r="Q30044" s="11"/>
      <c r="R30044" s="11"/>
      <c r="S30044" s="11"/>
      <c r="T30044" s="11"/>
    </row>
    <row r="30045" spans="8:20" x14ac:dyDescent="0.35">
      <c r="H30045" s="711"/>
      <c r="I30045" s="711"/>
      <c r="J30045" s="711"/>
      <c r="K30045" s="711"/>
      <c r="L30045" s="711"/>
      <c r="Q30045" s="11"/>
      <c r="R30045" s="11"/>
      <c r="S30045" s="11"/>
      <c r="T30045" s="11"/>
    </row>
    <row r="30046" spans="8:20" x14ac:dyDescent="0.35">
      <c r="H30046" s="711"/>
      <c r="I30046" s="711"/>
      <c r="J30046" s="711"/>
      <c r="K30046" s="711"/>
      <c r="L30046" s="711"/>
      <c r="Q30046" s="11"/>
      <c r="R30046" s="11"/>
      <c r="S30046" s="11"/>
      <c r="T30046" s="11"/>
    </row>
    <row r="30047" spans="8:20" x14ac:dyDescent="0.35">
      <c r="H30047" s="711"/>
      <c r="I30047" s="711"/>
      <c r="J30047" s="711"/>
      <c r="K30047" s="711"/>
      <c r="L30047" s="711"/>
      <c r="Q30047" s="11"/>
      <c r="R30047" s="11"/>
      <c r="S30047" s="11"/>
      <c r="T30047" s="11"/>
    </row>
    <row r="30048" spans="8:20" x14ac:dyDescent="0.35">
      <c r="H30048" s="711"/>
      <c r="I30048" s="711"/>
      <c r="J30048" s="711"/>
      <c r="K30048" s="711"/>
      <c r="L30048" s="711"/>
      <c r="Q30048" s="11"/>
      <c r="R30048" s="11"/>
      <c r="S30048" s="11"/>
      <c r="T30048" s="11"/>
    </row>
    <row r="30049" spans="8:20" x14ac:dyDescent="0.35">
      <c r="H30049" s="711"/>
      <c r="I30049" s="711"/>
      <c r="J30049" s="711"/>
      <c r="K30049" s="711"/>
      <c r="L30049" s="711"/>
      <c r="Q30049" s="11"/>
      <c r="R30049" s="11"/>
      <c r="S30049" s="11"/>
      <c r="T30049" s="11"/>
    </row>
    <row r="30050" spans="8:20" x14ac:dyDescent="0.35">
      <c r="H30050" s="711"/>
      <c r="I30050" s="711"/>
      <c r="J30050" s="711"/>
      <c r="K30050" s="711"/>
      <c r="L30050" s="711"/>
      <c r="Q30050" s="11"/>
      <c r="R30050" s="11"/>
      <c r="S30050" s="11"/>
      <c r="T30050" s="11"/>
    </row>
    <row r="30051" spans="8:20" x14ac:dyDescent="0.35">
      <c r="H30051" s="711"/>
      <c r="I30051" s="711"/>
      <c r="J30051" s="711"/>
      <c r="K30051" s="711"/>
      <c r="L30051" s="711"/>
      <c r="Q30051" s="11"/>
      <c r="R30051" s="11"/>
      <c r="S30051" s="11"/>
      <c r="T30051" s="11"/>
    </row>
    <row r="30052" spans="8:20" x14ac:dyDescent="0.35">
      <c r="H30052" s="711"/>
      <c r="I30052" s="711"/>
      <c r="J30052" s="711"/>
      <c r="K30052" s="711"/>
      <c r="L30052" s="711"/>
      <c r="Q30052" s="11"/>
      <c r="R30052" s="11"/>
      <c r="S30052" s="11"/>
      <c r="T30052" s="11"/>
    </row>
    <row r="30053" spans="8:20" x14ac:dyDescent="0.35">
      <c r="H30053" s="711"/>
      <c r="I30053" s="711"/>
      <c r="J30053" s="711"/>
      <c r="K30053" s="711"/>
      <c r="L30053" s="711"/>
      <c r="Q30053" s="11"/>
      <c r="R30053" s="11"/>
      <c r="S30053" s="11"/>
      <c r="T30053" s="11"/>
    </row>
    <row r="30054" spans="8:20" x14ac:dyDescent="0.35">
      <c r="H30054" s="711"/>
      <c r="I30054" s="711"/>
      <c r="J30054" s="711"/>
      <c r="K30054" s="711"/>
      <c r="L30054" s="711"/>
      <c r="Q30054" s="11"/>
      <c r="R30054" s="11"/>
      <c r="S30054" s="11"/>
      <c r="T30054" s="11"/>
    </row>
    <row r="30055" spans="8:20" x14ac:dyDescent="0.35">
      <c r="H30055" s="711"/>
      <c r="I30055" s="711"/>
      <c r="J30055" s="711"/>
      <c r="K30055" s="711"/>
      <c r="L30055" s="711"/>
      <c r="Q30055" s="11"/>
      <c r="R30055" s="11"/>
      <c r="S30055" s="11"/>
      <c r="T30055" s="11"/>
    </row>
    <row r="30056" spans="8:20" x14ac:dyDescent="0.35">
      <c r="H30056" s="711"/>
      <c r="I30056" s="711"/>
      <c r="J30056" s="711"/>
      <c r="K30056" s="711"/>
      <c r="L30056" s="711"/>
      <c r="Q30056" s="11"/>
      <c r="R30056" s="11"/>
      <c r="S30056" s="11"/>
      <c r="T30056" s="11"/>
    </row>
    <row r="30057" spans="8:20" x14ac:dyDescent="0.35">
      <c r="H30057" s="711"/>
      <c r="I30057" s="711"/>
      <c r="J30057" s="711"/>
      <c r="K30057" s="711"/>
      <c r="L30057" s="711"/>
      <c r="Q30057" s="11"/>
      <c r="R30057" s="11"/>
      <c r="S30057" s="11"/>
      <c r="T30057" s="11"/>
    </row>
    <row r="30058" spans="8:20" x14ac:dyDescent="0.35">
      <c r="H30058" s="711"/>
      <c r="I30058" s="711"/>
      <c r="J30058" s="711"/>
      <c r="K30058" s="711"/>
      <c r="L30058" s="711"/>
      <c r="Q30058" s="11"/>
      <c r="R30058" s="11"/>
      <c r="S30058" s="11"/>
      <c r="T30058" s="11"/>
    </row>
    <row r="30059" spans="8:20" x14ac:dyDescent="0.35">
      <c r="H30059" s="711"/>
      <c r="I30059" s="711"/>
      <c r="J30059" s="711"/>
      <c r="K30059" s="711"/>
      <c r="L30059" s="711"/>
      <c r="Q30059" s="11"/>
      <c r="R30059" s="11"/>
      <c r="S30059" s="11"/>
      <c r="T30059" s="11"/>
    </row>
    <row r="30060" spans="8:20" x14ac:dyDescent="0.35">
      <c r="H30060" s="711"/>
      <c r="I30060" s="711"/>
      <c r="J30060" s="711"/>
      <c r="K30060" s="711"/>
      <c r="L30060" s="711"/>
      <c r="Q30060" s="11"/>
      <c r="R30060" s="11"/>
      <c r="S30060" s="11"/>
      <c r="T30060" s="11"/>
    </row>
    <row r="30061" spans="8:20" x14ac:dyDescent="0.35">
      <c r="H30061" s="711"/>
      <c r="I30061" s="711"/>
      <c r="J30061" s="711"/>
      <c r="K30061" s="711"/>
      <c r="L30061" s="711"/>
      <c r="Q30061" s="11"/>
      <c r="R30061" s="11"/>
      <c r="S30061" s="11"/>
      <c r="T30061" s="11"/>
    </row>
    <row r="30062" spans="8:20" x14ac:dyDescent="0.35">
      <c r="H30062" s="711"/>
      <c r="I30062" s="711"/>
      <c r="J30062" s="711"/>
      <c r="K30062" s="711"/>
      <c r="L30062" s="711"/>
      <c r="Q30062" s="11"/>
      <c r="R30062" s="11"/>
      <c r="S30062" s="11"/>
      <c r="T30062" s="11"/>
    </row>
    <row r="30063" spans="8:20" x14ac:dyDescent="0.35">
      <c r="H30063" s="711"/>
      <c r="I30063" s="711"/>
      <c r="J30063" s="711"/>
      <c r="K30063" s="711"/>
      <c r="L30063" s="711"/>
      <c r="Q30063" s="11"/>
      <c r="R30063" s="11"/>
      <c r="S30063" s="11"/>
      <c r="T30063" s="11"/>
    </row>
    <row r="30064" spans="8:20" x14ac:dyDescent="0.35">
      <c r="H30064" s="711"/>
      <c r="I30064" s="711"/>
      <c r="J30064" s="711"/>
      <c r="K30064" s="711"/>
      <c r="L30064" s="711"/>
      <c r="Q30064" s="11"/>
      <c r="R30064" s="11"/>
      <c r="S30064" s="11"/>
      <c r="T30064" s="11"/>
    </row>
    <row r="30065" spans="8:20" x14ac:dyDescent="0.35">
      <c r="H30065" s="711"/>
      <c r="I30065" s="711"/>
      <c r="J30065" s="711"/>
      <c r="K30065" s="711"/>
      <c r="L30065" s="711"/>
      <c r="Q30065" s="11"/>
      <c r="R30065" s="11"/>
      <c r="S30065" s="11"/>
      <c r="T30065" s="11"/>
    </row>
    <row r="30066" spans="8:20" x14ac:dyDescent="0.35">
      <c r="H30066" s="711"/>
      <c r="I30066" s="711"/>
      <c r="J30066" s="711"/>
      <c r="K30066" s="711"/>
      <c r="L30066" s="711"/>
      <c r="Q30066" s="11"/>
      <c r="R30066" s="11"/>
      <c r="S30066" s="11"/>
      <c r="T30066" s="11"/>
    </row>
    <row r="30067" spans="8:20" x14ac:dyDescent="0.35">
      <c r="H30067" s="711"/>
      <c r="I30067" s="711"/>
      <c r="J30067" s="711"/>
      <c r="K30067" s="711"/>
      <c r="L30067" s="711"/>
      <c r="Q30067" s="11"/>
      <c r="R30067" s="11"/>
      <c r="S30067" s="11"/>
      <c r="T30067" s="11"/>
    </row>
    <row r="30068" spans="8:20" x14ac:dyDescent="0.35">
      <c r="H30068" s="711"/>
      <c r="I30068" s="711"/>
      <c r="J30068" s="711"/>
      <c r="K30068" s="711"/>
      <c r="L30068" s="711"/>
      <c r="Q30068" s="11"/>
      <c r="R30068" s="11"/>
      <c r="S30068" s="11"/>
      <c r="T30068" s="11"/>
    </row>
    <row r="30069" spans="8:20" x14ac:dyDescent="0.35">
      <c r="H30069" s="711"/>
      <c r="I30069" s="711"/>
      <c r="J30069" s="711"/>
      <c r="K30069" s="711"/>
      <c r="L30069" s="711"/>
      <c r="Q30069" s="11"/>
      <c r="R30069" s="11"/>
      <c r="S30069" s="11"/>
      <c r="T30069" s="11"/>
    </row>
    <row r="30070" spans="8:20" x14ac:dyDescent="0.35">
      <c r="H30070" s="711"/>
      <c r="I30070" s="711"/>
      <c r="J30070" s="711"/>
      <c r="K30070" s="711"/>
      <c r="L30070" s="711"/>
      <c r="Q30070" s="11"/>
      <c r="R30070" s="11"/>
      <c r="S30070" s="11"/>
      <c r="T30070" s="11"/>
    </row>
    <row r="30071" spans="8:20" x14ac:dyDescent="0.35">
      <c r="H30071" s="711"/>
      <c r="I30071" s="711"/>
      <c r="J30071" s="711"/>
      <c r="K30071" s="711"/>
      <c r="L30071" s="711"/>
      <c r="Q30071" s="11"/>
      <c r="R30071" s="11"/>
      <c r="S30071" s="11"/>
      <c r="T30071" s="11"/>
    </row>
    <row r="30072" spans="8:20" x14ac:dyDescent="0.35">
      <c r="H30072" s="711"/>
      <c r="I30072" s="711"/>
      <c r="J30072" s="711"/>
      <c r="K30072" s="711"/>
      <c r="L30072" s="711"/>
      <c r="Q30072" s="11"/>
      <c r="R30072" s="11"/>
      <c r="S30072" s="11"/>
      <c r="T30072" s="11"/>
    </row>
    <row r="30073" spans="8:20" x14ac:dyDescent="0.35">
      <c r="H30073" s="711"/>
      <c r="I30073" s="711"/>
      <c r="J30073" s="711"/>
      <c r="K30073" s="711"/>
      <c r="L30073" s="711"/>
      <c r="Q30073" s="11"/>
      <c r="R30073" s="11"/>
      <c r="S30073" s="11"/>
      <c r="T30073" s="11"/>
    </row>
    <row r="30074" spans="8:20" x14ac:dyDescent="0.35">
      <c r="H30074" s="711"/>
      <c r="I30074" s="711"/>
      <c r="J30074" s="711"/>
      <c r="K30074" s="711"/>
      <c r="L30074" s="711"/>
      <c r="Q30074" s="11"/>
      <c r="R30074" s="11"/>
      <c r="S30074" s="11"/>
      <c r="T30074" s="11"/>
    </row>
    <row r="30075" spans="8:20" x14ac:dyDescent="0.35">
      <c r="H30075" s="711"/>
      <c r="I30075" s="711"/>
      <c r="J30075" s="711"/>
      <c r="K30075" s="711"/>
      <c r="L30075" s="711"/>
      <c r="Q30075" s="11"/>
      <c r="R30075" s="11"/>
      <c r="S30075" s="11"/>
      <c r="T30075" s="11"/>
    </row>
    <row r="30076" spans="8:20" x14ac:dyDescent="0.35">
      <c r="H30076" s="711"/>
      <c r="I30076" s="711"/>
      <c r="J30076" s="711"/>
      <c r="K30076" s="711"/>
      <c r="L30076" s="711"/>
      <c r="Q30076" s="11"/>
      <c r="R30076" s="11"/>
      <c r="S30076" s="11"/>
      <c r="T30076" s="11"/>
    </row>
    <row r="30077" spans="8:20" x14ac:dyDescent="0.35">
      <c r="H30077" s="711"/>
      <c r="I30077" s="711"/>
      <c r="J30077" s="711"/>
      <c r="K30077" s="711"/>
      <c r="L30077" s="711"/>
      <c r="Q30077" s="11"/>
      <c r="R30077" s="11"/>
      <c r="S30077" s="11"/>
      <c r="T30077" s="11"/>
    </row>
    <row r="30078" spans="8:20" x14ac:dyDescent="0.35">
      <c r="H30078" s="711"/>
      <c r="I30078" s="711"/>
      <c r="J30078" s="711"/>
      <c r="K30078" s="711"/>
      <c r="L30078" s="711"/>
      <c r="Q30078" s="11"/>
      <c r="R30078" s="11"/>
      <c r="S30078" s="11"/>
      <c r="T30078" s="11"/>
    </row>
    <row r="30079" spans="8:20" x14ac:dyDescent="0.35">
      <c r="H30079" s="711"/>
      <c r="I30079" s="711"/>
      <c r="J30079" s="711"/>
      <c r="K30079" s="711"/>
      <c r="L30079" s="711"/>
      <c r="Q30079" s="11"/>
      <c r="R30079" s="11"/>
      <c r="S30079" s="11"/>
      <c r="T30079" s="11"/>
    </row>
    <row r="30080" spans="8:20" x14ac:dyDescent="0.35">
      <c r="H30080" s="711"/>
      <c r="I30080" s="711"/>
      <c r="J30080" s="711"/>
      <c r="K30080" s="711"/>
      <c r="L30080" s="711"/>
      <c r="Q30080" s="11"/>
      <c r="R30080" s="11"/>
      <c r="S30080" s="11"/>
      <c r="T30080" s="11"/>
    </row>
    <row r="30081" spans="8:20" x14ac:dyDescent="0.35">
      <c r="H30081" s="711"/>
      <c r="I30081" s="711"/>
      <c r="J30081" s="711"/>
      <c r="K30081" s="711"/>
      <c r="L30081" s="711"/>
      <c r="Q30081" s="11"/>
      <c r="R30081" s="11"/>
      <c r="S30081" s="11"/>
      <c r="T30081" s="11"/>
    </row>
    <row r="30082" spans="8:20" x14ac:dyDescent="0.35">
      <c r="H30082" s="711"/>
      <c r="I30082" s="711"/>
      <c r="J30082" s="711"/>
      <c r="K30082" s="711"/>
      <c r="L30082" s="711"/>
      <c r="Q30082" s="11"/>
      <c r="R30082" s="11"/>
      <c r="S30082" s="11"/>
      <c r="T30082" s="11"/>
    </row>
    <row r="30083" spans="8:20" x14ac:dyDescent="0.35">
      <c r="H30083" s="711"/>
      <c r="I30083" s="711"/>
      <c r="J30083" s="711"/>
      <c r="K30083" s="711"/>
      <c r="L30083" s="711"/>
      <c r="Q30083" s="11"/>
      <c r="R30083" s="11"/>
      <c r="S30083" s="11"/>
      <c r="T30083" s="11"/>
    </row>
    <row r="30084" spans="8:20" x14ac:dyDescent="0.35">
      <c r="H30084" s="711"/>
      <c r="I30084" s="711"/>
      <c r="J30084" s="711"/>
      <c r="K30084" s="711"/>
      <c r="L30084" s="711"/>
      <c r="Q30084" s="11"/>
      <c r="R30084" s="11"/>
      <c r="S30084" s="11"/>
      <c r="T30084" s="11"/>
    </row>
    <row r="30085" spans="8:20" x14ac:dyDescent="0.35">
      <c r="H30085" s="711"/>
      <c r="I30085" s="711"/>
      <c r="J30085" s="711"/>
      <c r="K30085" s="711"/>
      <c r="L30085" s="711"/>
      <c r="Q30085" s="11"/>
      <c r="R30085" s="11"/>
      <c r="S30085" s="11"/>
      <c r="T30085" s="11"/>
    </row>
    <row r="30086" spans="8:20" x14ac:dyDescent="0.35">
      <c r="H30086" s="711"/>
      <c r="I30086" s="711"/>
      <c r="J30086" s="711"/>
      <c r="K30086" s="711"/>
      <c r="L30086" s="711"/>
      <c r="Q30086" s="11"/>
      <c r="R30086" s="11"/>
      <c r="S30086" s="11"/>
      <c r="T30086" s="11"/>
    </row>
    <row r="30087" spans="8:20" x14ac:dyDescent="0.35">
      <c r="H30087" s="711"/>
      <c r="I30087" s="711"/>
      <c r="J30087" s="711"/>
      <c r="K30087" s="711"/>
      <c r="L30087" s="711"/>
      <c r="Q30087" s="11"/>
      <c r="R30087" s="11"/>
      <c r="S30087" s="11"/>
      <c r="T30087" s="11"/>
    </row>
    <row r="30088" spans="8:20" x14ac:dyDescent="0.35">
      <c r="H30088" s="711"/>
      <c r="I30088" s="711"/>
      <c r="J30088" s="711"/>
      <c r="K30088" s="711"/>
      <c r="L30088" s="711"/>
      <c r="Q30088" s="11"/>
      <c r="R30088" s="11"/>
      <c r="S30088" s="11"/>
      <c r="T30088" s="11"/>
    </row>
    <row r="30089" spans="8:20" x14ac:dyDescent="0.35">
      <c r="H30089" s="711"/>
      <c r="I30089" s="711"/>
      <c r="J30089" s="711"/>
      <c r="K30089" s="711"/>
      <c r="L30089" s="711"/>
      <c r="Q30089" s="11"/>
      <c r="R30089" s="11"/>
      <c r="S30089" s="11"/>
      <c r="T30089" s="11"/>
    </row>
    <row r="30090" spans="8:20" x14ac:dyDescent="0.35">
      <c r="H30090" s="711"/>
      <c r="I30090" s="711"/>
      <c r="J30090" s="711"/>
      <c r="K30090" s="711"/>
      <c r="L30090" s="711"/>
      <c r="Q30090" s="11"/>
      <c r="R30090" s="11"/>
      <c r="S30090" s="11"/>
      <c r="T30090" s="11"/>
    </row>
    <row r="30091" spans="8:20" x14ac:dyDescent="0.35">
      <c r="H30091" s="711"/>
      <c r="I30091" s="711"/>
      <c r="J30091" s="711"/>
      <c r="K30091" s="711"/>
      <c r="L30091" s="711"/>
      <c r="Q30091" s="11"/>
      <c r="R30091" s="11"/>
      <c r="S30091" s="11"/>
      <c r="T30091" s="11"/>
    </row>
    <row r="30092" spans="8:20" x14ac:dyDescent="0.35">
      <c r="H30092" s="711"/>
      <c r="I30092" s="711"/>
      <c r="J30092" s="711"/>
      <c r="K30092" s="711"/>
      <c r="L30092" s="711"/>
      <c r="Q30092" s="11"/>
      <c r="R30092" s="11"/>
      <c r="S30092" s="11"/>
      <c r="T30092" s="11"/>
    </row>
    <row r="30093" spans="8:20" x14ac:dyDescent="0.35">
      <c r="H30093" s="711"/>
      <c r="I30093" s="711"/>
      <c r="J30093" s="711"/>
      <c r="K30093" s="711"/>
      <c r="L30093" s="711"/>
      <c r="Q30093" s="11"/>
      <c r="R30093" s="11"/>
      <c r="S30093" s="11"/>
      <c r="T30093" s="11"/>
    </row>
    <row r="30094" spans="8:20" x14ac:dyDescent="0.35">
      <c r="H30094" s="711"/>
      <c r="I30094" s="711"/>
      <c r="J30094" s="711"/>
      <c r="K30094" s="711"/>
      <c r="L30094" s="711"/>
      <c r="Q30094" s="11"/>
      <c r="R30094" s="11"/>
      <c r="S30094" s="11"/>
      <c r="T30094" s="11"/>
    </row>
    <row r="30095" spans="8:20" x14ac:dyDescent="0.35">
      <c r="H30095" s="711"/>
      <c r="I30095" s="711"/>
      <c r="J30095" s="711"/>
      <c r="K30095" s="711"/>
      <c r="L30095" s="711"/>
      <c r="Q30095" s="11"/>
      <c r="R30095" s="11"/>
      <c r="S30095" s="11"/>
      <c r="T30095" s="11"/>
    </row>
    <row r="30096" spans="8:20" x14ac:dyDescent="0.35">
      <c r="H30096" s="711"/>
      <c r="I30096" s="711"/>
      <c r="J30096" s="711"/>
      <c r="K30096" s="711"/>
      <c r="L30096" s="711"/>
      <c r="Q30096" s="11"/>
      <c r="R30096" s="11"/>
      <c r="S30096" s="11"/>
      <c r="T30096" s="11"/>
    </row>
    <row r="30097" spans="8:20" x14ac:dyDescent="0.35">
      <c r="H30097" s="711"/>
      <c r="I30097" s="711"/>
      <c r="J30097" s="711"/>
      <c r="K30097" s="711"/>
      <c r="L30097" s="711"/>
      <c r="Q30097" s="11"/>
      <c r="R30097" s="11"/>
      <c r="S30097" s="11"/>
      <c r="T30097" s="11"/>
    </row>
    <row r="30098" spans="8:20" x14ac:dyDescent="0.35">
      <c r="H30098" s="711"/>
      <c r="I30098" s="711"/>
      <c r="J30098" s="711"/>
      <c r="K30098" s="711"/>
      <c r="L30098" s="711"/>
      <c r="Q30098" s="11"/>
      <c r="R30098" s="11"/>
      <c r="S30098" s="11"/>
      <c r="T30098" s="11"/>
    </row>
    <row r="30099" spans="8:20" x14ac:dyDescent="0.35">
      <c r="H30099" s="711"/>
      <c r="I30099" s="711"/>
      <c r="J30099" s="711"/>
      <c r="K30099" s="711"/>
      <c r="L30099" s="711"/>
      <c r="Q30099" s="11"/>
      <c r="R30099" s="11"/>
      <c r="S30099" s="11"/>
      <c r="T30099" s="11"/>
    </row>
    <row r="30100" spans="8:20" x14ac:dyDescent="0.35">
      <c r="H30100" s="711"/>
      <c r="I30100" s="711"/>
      <c r="J30100" s="711"/>
      <c r="K30100" s="711"/>
      <c r="L30100" s="711"/>
      <c r="Q30100" s="11"/>
      <c r="R30100" s="11"/>
      <c r="S30100" s="11"/>
      <c r="T30100" s="11"/>
    </row>
    <row r="30101" spans="8:20" x14ac:dyDescent="0.35">
      <c r="H30101" s="711"/>
      <c r="I30101" s="711"/>
      <c r="J30101" s="711"/>
      <c r="K30101" s="711"/>
      <c r="L30101" s="711"/>
      <c r="Q30101" s="11"/>
      <c r="R30101" s="11"/>
      <c r="S30101" s="11"/>
      <c r="T30101" s="11"/>
    </row>
    <row r="30102" spans="8:20" x14ac:dyDescent="0.35">
      <c r="H30102" s="711"/>
      <c r="I30102" s="711"/>
      <c r="J30102" s="711"/>
      <c r="K30102" s="711"/>
      <c r="L30102" s="711"/>
      <c r="Q30102" s="11"/>
      <c r="R30102" s="11"/>
      <c r="S30102" s="11"/>
      <c r="T30102" s="11"/>
    </row>
    <row r="30103" spans="8:20" x14ac:dyDescent="0.35">
      <c r="H30103" s="711"/>
      <c r="I30103" s="711"/>
      <c r="J30103" s="711"/>
      <c r="K30103" s="711"/>
      <c r="L30103" s="711"/>
      <c r="Q30103" s="11"/>
      <c r="R30103" s="11"/>
      <c r="S30103" s="11"/>
      <c r="T30103" s="11"/>
    </row>
    <row r="30104" spans="8:20" x14ac:dyDescent="0.35">
      <c r="H30104" s="711"/>
      <c r="I30104" s="711"/>
      <c r="J30104" s="711"/>
      <c r="K30104" s="711"/>
      <c r="L30104" s="711"/>
      <c r="Q30104" s="11"/>
      <c r="R30104" s="11"/>
      <c r="S30104" s="11"/>
      <c r="T30104" s="11"/>
    </row>
    <row r="30105" spans="8:20" x14ac:dyDescent="0.35">
      <c r="H30105" s="711"/>
      <c r="I30105" s="711"/>
      <c r="J30105" s="711"/>
      <c r="K30105" s="711"/>
      <c r="L30105" s="711"/>
      <c r="Q30105" s="11"/>
      <c r="R30105" s="11"/>
      <c r="S30105" s="11"/>
      <c r="T30105" s="11"/>
    </row>
    <row r="30106" spans="8:20" x14ac:dyDescent="0.35">
      <c r="H30106" s="711"/>
      <c r="I30106" s="711"/>
      <c r="J30106" s="711"/>
      <c r="K30106" s="711"/>
      <c r="L30106" s="711"/>
      <c r="Q30106" s="11"/>
      <c r="R30106" s="11"/>
      <c r="S30106" s="11"/>
      <c r="T30106" s="11"/>
    </row>
    <row r="30107" spans="8:20" x14ac:dyDescent="0.35">
      <c r="H30107" s="711"/>
      <c r="I30107" s="711"/>
      <c r="J30107" s="711"/>
      <c r="K30107" s="711"/>
      <c r="L30107" s="711"/>
      <c r="Q30107" s="11"/>
      <c r="R30107" s="11"/>
      <c r="S30107" s="11"/>
      <c r="T30107" s="11"/>
    </row>
    <row r="30108" spans="8:20" x14ac:dyDescent="0.35">
      <c r="H30108" s="711"/>
      <c r="I30108" s="711"/>
      <c r="J30108" s="711"/>
      <c r="K30108" s="711"/>
      <c r="L30108" s="711"/>
      <c r="Q30108" s="11"/>
      <c r="R30108" s="11"/>
      <c r="S30108" s="11"/>
      <c r="T30108" s="11"/>
    </row>
    <row r="30109" spans="8:20" x14ac:dyDescent="0.35">
      <c r="H30109" s="711"/>
      <c r="I30109" s="711"/>
      <c r="J30109" s="711"/>
      <c r="K30109" s="711"/>
      <c r="L30109" s="711"/>
      <c r="Q30109" s="11"/>
      <c r="R30109" s="11"/>
      <c r="S30109" s="11"/>
      <c r="T30109" s="11"/>
    </row>
    <row r="30110" spans="8:20" x14ac:dyDescent="0.35">
      <c r="H30110" s="711"/>
      <c r="I30110" s="711"/>
      <c r="J30110" s="711"/>
      <c r="K30110" s="711"/>
      <c r="L30110" s="711"/>
      <c r="Q30110" s="11"/>
      <c r="R30110" s="11"/>
      <c r="S30110" s="11"/>
      <c r="T30110" s="11"/>
    </row>
    <row r="30111" spans="8:20" x14ac:dyDescent="0.35">
      <c r="H30111" s="711"/>
      <c r="I30111" s="711"/>
      <c r="J30111" s="711"/>
      <c r="K30111" s="711"/>
      <c r="L30111" s="711"/>
      <c r="Q30111" s="11"/>
      <c r="R30111" s="11"/>
      <c r="S30111" s="11"/>
      <c r="T30111" s="11"/>
    </row>
    <row r="30112" spans="8:20" x14ac:dyDescent="0.35">
      <c r="H30112" s="711"/>
      <c r="I30112" s="711"/>
      <c r="J30112" s="711"/>
      <c r="K30112" s="711"/>
      <c r="L30112" s="711"/>
      <c r="Q30112" s="11"/>
      <c r="R30112" s="11"/>
      <c r="S30112" s="11"/>
      <c r="T30112" s="11"/>
    </row>
    <row r="30113" spans="8:20" x14ac:dyDescent="0.35">
      <c r="H30113" s="711"/>
      <c r="I30113" s="711"/>
      <c r="J30113" s="711"/>
      <c r="K30113" s="711"/>
      <c r="L30113" s="711"/>
      <c r="Q30113" s="11"/>
      <c r="R30113" s="11"/>
      <c r="S30113" s="11"/>
      <c r="T30113" s="11"/>
    </row>
    <row r="30114" spans="8:20" x14ac:dyDescent="0.35">
      <c r="H30114" s="711"/>
      <c r="I30114" s="711"/>
      <c r="J30114" s="711"/>
      <c r="K30114" s="711"/>
      <c r="L30114" s="711"/>
      <c r="Q30114" s="11"/>
      <c r="R30114" s="11"/>
      <c r="S30114" s="11"/>
      <c r="T30114" s="11"/>
    </row>
    <row r="30115" spans="8:20" x14ac:dyDescent="0.35">
      <c r="H30115" s="711"/>
      <c r="I30115" s="711"/>
      <c r="J30115" s="711"/>
      <c r="K30115" s="711"/>
      <c r="L30115" s="711"/>
      <c r="Q30115" s="11"/>
      <c r="R30115" s="11"/>
      <c r="S30115" s="11"/>
      <c r="T30115" s="11"/>
    </row>
    <row r="30116" spans="8:20" x14ac:dyDescent="0.35">
      <c r="H30116" s="711"/>
      <c r="I30116" s="711"/>
      <c r="J30116" s="711"/>
      <c r="K30116" s="711"/>
      <c r="L30116" s="711"/>
      <c r="Q30116" s="11"/>
      <c r="R30116" s="11"/>
      <c r="S30116" s="11"/>
      <c r="T30116" s="11"/>
    </row>
    <row r="30117" spans="8:20" x14ac:dyDescent="0.35">
      <c r="H30117" s="711"/>
      <c r="I30117" s="711"/>
      <c r="J30117" s="711"/>
      <c r="K30117" s="711"/>
      <c r="L30117" s="711"/>
      <c r="Q30117" s="11"/>
      <c r="R30117" s="11"/>
      <c r="S30117" s="11"/>
      <c r="T30117" s="11"/>
    </row>
    <row r="30118" spans="8:20" x14ac:dyDescent="0.35">
      <c r="H30118" s="711"/>
      <c r="I30118" s="711"/>
      <c r="J30118" s="711"/>
      <c r="K30118" s="711"/>
      <c r="L30118" s="711"/>
      <c r="Q30118" s="11"/>
      <c r="R30118" s="11"/>
      <c r="S30118" s="11"/>
      <c r="T30118" s="11"/>
    </row>
    <row r="30119" spans="8:20" x14ac:dyDescent="0.35">
      <c r="H30119" s="711"/>
      <c r="I30119" s="711"/>
      <c r="J30119" s="711"/>
      <c r="K30119" s="711"/>
      <c r="L30119" s="711"/>
      <c r="Q30119" s="11"/>
      <c r="R30119" s="11"/>
      <c r="S30119" s="11"/>
      <c r="T30119" s="11"/>
    </row>
    <row r="30120" spans="8:20" x14ac:dyDescent="0.35">
      <c r="H30120" s="711"/>
      <c r="I30120" s="711"/>
      <c r="J30120" s="711"/>
      <c r="K30120" s="711"/>
      <c r="L30120" s="711"/>
      <c r="Q30120" s="11"/>
      <c r="R30120" s="11"/>
      <c r="S30120" s="11"/>
      <c r="T30120" s="11"/>
    </row>
    <row r="30121" spans="8:20" x14ac:dyDescent="0.35">
      <c r="H30121" s="711"/>
      <c r="I30121" s="711"/>
      <c r="J30121" s="711"/>
      <c r="K30121" s="711"/>
      <c r="L30121" s="711"/>
      <c r="Q30121" s="11"/>
      <c r="R30121" s="11"/>
      <c r="S30121" s="11"/>
      <c r="T30121" s="11"/>
    </row>
    <row r="30122" spans="8:20" x14ac:dyDescent="0.35">
      <c r="H30122" s="711"/>
      <c r="I30122" s="711"/>
      <c r="J30122" s="711"/>
      <c r="K30122" s="711"/>
      <c r="L30122" s="711"/>
      <c r="Q30122" s="11"/>
      <c r="R30122" s="11"/>
      <c r="S30122" s="11"/>
      <c r="T30122" s="11"/>
    </row>
    <row r="30123" spans="8:20" x14ac:dyDescent="0.35">
      <c r="H30123" s="711"/>
      <c r="I30123" s="711"/>
      <c r="J30123" s="711"/>
      <c r="K30123" s="711"/>
      <c r="L30123" s="711"/>
      <c r="Q30123" s="11"/>
      <c r="R30123" s="11"/>
      <c r="S30123" s="11"/>
      <c r="T30123" s="11"/>
    </row>
    <row r="30124" spans="8:20" x14ac:dyDescent="0.35">
      <c r="H30124" s="711"/>
      <c r="I30124" s="711"/>
      <c r="J30124" s="711"/>
      <c r="K30124" s="711"/>
      <c r="L30124" s="711"/>
      <c r="Q30124" s="11"/>
      <c r="R30124" s="11"/>
      <c r="S30124" s="11"/>
      <c r="T30124" s="11"/>
    </row>
    <row r="30125" spans="8:20" x14ac:dyDescent="0.35">
      <c r="H30125" s="711"/>
      <c r="I30125" s="711"/>
      <c r="J30125" s="711"/>
      <c r="K30125" s="711"/>
      <c r="L30125" s="711"/>
      <c r="Q30125" s="11"/>
      <c r="R30125" s="11"/>
      <c r="S30125" s="11"/>
      <c r="T30125" s="11"/>
    </row>
    <row r="30126" spans="8:20" x14ac:dyDescent="0.35">
      <c r="H30126" s="711"/>
      <c r="I30126" s="711"/>
      <c r="J30126" s="711"/>
      <c r="K30126" s="711"/>
      <c r="L30126" s="711"/>
      <c r="Q30126" s="11"/>
      <c r="R30126" s="11"/>
      <c r="S30126" s="11"/>
      <c r="T30126" s="11"/>
    </row>
    <row r="30127" spans="8:20" x14ac:dyDescent="0.35">
      <c r="H30127" s="711"/>
      <c r="I30127" s="711"/>
      <c r="J30127" s="711"/>
      <c r="K30127" s="711"/>
      <c r="L30127" s="711"/>
      <c r="Q30127" s="11"/>
      <c r="R30127" s="11"/>
      <c r="S30127" s="11"/>
      <c r="T30127" s="11"/>
    </row>
    <row r="30128" spans="8:20" x14ac:dyDescent="0.35">
      <c r="H30128" s="711"/>
      <c r="I30128" s="711"/>
      <c r="J30128" s="711"/>
      <c r="K30128" s="711"/>
      <c r="L30128" s="711"/>
      <c r="Q30128" s="11"/>
      <c r="R30128" s="11"/>
      <c r="S30128" s="11"/>
      <c r="T30128" s="11"/>
    </row>
    <row r="30129" spans="8:20" x14ac:dyDescent="0.35">
      <c r="H30129" s="711"/>
      <c r="I30129" s="711"/>
      <c r="J30129" s="711"/>
      <c r="K30129" s="711"/>
      <c r="L30129" s="711"/>
      <c r="Q30129" s="11"/>
      <c r="R30129" s="11"/>
      <c r="S30129" s="11"/>
      <c r="T30129" s="11"/>
    </row>
    <row r="30130" spans="8:20" x14ac:dyDescent="0.35">
      <c r="H30130" s="711"/>
      <c r="I30130" s="711"/>
      <c r="J30130" s="711"/>
      <c r="K30130" s="711"/>
      <c r="L30130" s="711"/>
      <c r="Q30130" s="11"/>
      <c r="R30130" s="11"/>
      <c r="S30130" s="11"/>
      <c r="T30130" s="11"/>
    </row>
    <row r="30131" spans="8:20" x14ac:dyDescent="0.35">
      <c r="H30131" s="711"/>
      <c r="I30131" s="711"/>
      <c r="J30131" s="711"/>
      <c r="K30131" s="711"/>
      <c r="L30131" s="711"/>
      <c r="Q30131" s="11"/>
      <c r="R30131" s="11"/>
      <c r="S30131" s="11"/>
      <c r="T30131" s="11"/>
    </row>
    <row r="30132" spans="8:20" x14ac:dyDescent="0.35">
      <c r="H30132" s="711"/>
      <c r="I30132" s="711"/>
      <c r="J30132" s="711"/>
      <c r="K30132" s="711"/>
      <c r="L30132" s="711"/>
      <c r="Q30132" s="11"/>
      <c r="R30132" s="11"/>
      <c r="S30132" s="11"/>
      <c r="T30132" s="11"/>
    </row>
    <row r="30133" spans="8:20" x14ac:dyDescent="0.35">
      <c r="H30133" s="711"/>
      <c r="I30133" s="711"/>
      <c r="J30133" s="711"/>
      <c r="K30133" s="711"/>
      <c r="L30133" s="711"/>
      <c r="Q30133" s="11"/>
      <c r="R30133" s="11"/>
      <c r="S30133" s="11"/>
      <c r="T30133" s="11"/>
    </row>
    <row r="30134" spans="8:20" x14ac:dyDescent="0.35">
      <c r="H30134" s="711"/>
      <c r="I30134" s="711"/>
      <c r="J30134" s="711"/>
      <c r="K30134" s="711"/>
      <c r="L30134" s="711"/>
      <c r="Q30134" s="11"/>
      <c r="R30134" s="11"/>
      <c r="S30134" s="11"/>
      <c r="T30134" s="11"/>
    </row>
    <row r="30135" spans="8:20" x14ac:dyDescent="0.35">
      <c r="H30135" s="711"/>
      <c r="I30135" s="711"/>
      <c r="J30135" s="711"/>
      <c r="K30135" s="711"/>
      <c r="L30135" s="711"/>
      <c r="Q30135" s="11"/>
      <c r="R30135" s="11"/>
      <c r="S30135" s="11"/>
      <c r="T30135" s="11"/>
    </row>
    <row r="30136" spans="8:20" x14ac:dyDescent="0.35">
      <c r="H30136" s="711"/>
      <c r="I30136" s="711"/>
      <c r="J30136" s="711"/>
      <c r="K30136" s="711"/>
      <c r="L30136" s="711"/>
      <c r="Q30136" s="11"/>
      <c r="R30136" s="11"/>
      <c r="S30136" s="11"/>
      <c r="T30136" s="11"/>
    </row>
    <row r="30137" spans="8:20" x14ac:dyDescent="0.35">
      <c r="H30137" s="711"/>
      <c r="I30137" s="711"/>
      <c r="J30137" s="711"/>
      <c r="K30137" s="711"/>
      <c r="L30137" s="711"/>
      <c r="Q30137" s="11"/>
      <c r="R30137" s="11"/>
      <c r="S30137" s="11"/>
      <c r="T30137" s="11"/>
    </row>
    <row r="30138" spans="8:20" x14ac:dyDescent="0.35">
      <c r="H30138" s="711"/>
      <c r="I30138" s="711"/>
      <c r="J30138" s="711"/>
      <c r="K30138" s="711"/>
      <c r="L30138" s="711"/>
      <c r="Q30138" s="11"/>
      <c r="R30138" s="11"/>
      <c r="S30138" s="11"/>
      <c r="T30138" s="11"/>
    </row>
    <row r="30139" spans="8:20" x14ac:dyDescent="0.35">
      <c r="H30139" s="711"/>
      <c r="I30139" s="711"/>
      <c r="J30139" s="711"/>
      <c r="K30139" s="711"/>
      <c r="L30139" s="711"/>
      <c r="Q30139" s="11"/>
      <c r="R30139" s="11"/>
      <c r="S30139" s="11"/>
      <c r="T30139" s="11"/>
    </row>
    <row r="30140" spans="8:20" x14ac:dyDescent="0.35">
      <c r="H30140" s="711"/>
      <c r="I30140" s="711"/>
      <c r="J30140" s="711"/>
      <c r="K30140" s="711"/>
      <c r="L30140" s="711"/>
      <c r="Q30140" s="11"/>
      <c r="R30140" s="11"/>
      <c r="S30140" s="11"/>
      <c r="T30140" s="11"/>
    </row>
    <row r="30141" spans="8:20" x14ac:dyDescent="0.35">
      <c r="H30141" s="711"/>
      <c r="I30141" s="711"/>
      <c r="J30141" s="711"/>
      <c r="K30141" s="711"/>
      <c r="L30141" s="711"/>
      <c r="Q30141" s="11"/>
      <c r="R30141" s="11"/>
      <c r="S30141" s="11"/>
      <c r="T30141" s="11"/>
    </row>
    <row r="30142" spans="8:20" x14ac:dyDescent="0.35">
      <c r="H30142" s="711"/>
      <c r="I30142" s="711"/>
      <c r="J30142" s="711"/>
      <c r="K30142" s="711"/>
      <c r="L30142" s="711"/>
      <c r="Q30142" s="11"/>
      <c r="R30142" s="11"/>
      <c r="S30142" s="11"/>
      <c r="T30142" s="11"/>
    </row>
    <row r="30143" spans="8:20" x14ac:dyDescent="0.35">
      <c r="H30143" s="711"/>
      <c r="I30143" s="711"/>
      <c r="J30143" s="711"/>
      <c r="K30143" s="711"/>
      <c r="L30143" s="711"/>
      <c r="Q30143" s="11"/>
      <c r="R30143" s="11"/>
      <c r="S30143" s="11"/>
      <c r="T30143" s="11"/>
    </row>
    <row r="30144" spans="8:20" x14ac:dyDescent="0.35">
      <c r="H30144" s="711"/>
      <c r="I30144" s="711"/>
      <c r="J30144" s="711"/>
      <c r="K30144" s="711"/>
      <c r="L30144" s="711"/>
      <c r="Q30144" s="11"/>
      <c r="R30144" s="11"/>
      <c r="S30144" s="11"/>
      <c r="T30144" s="11"/>
    </row>
    <row r="30145" spans="8:20" x14ac:dyDescent="0.35">
      <c r="H30145" s="711"/>
      <c r="I30145" s="711"/>
      <c r="J30145" s="711"/>
      <c r="K30145" s="711"/>
      <c r="L30145" s="711"/>
      <c r="Q30145" s="11"/>
      <c r="R30145" s="11"/>
      <c r="S30145" s="11"/>
      <c r="T30145" s="11"/>
    </row>
    <row r="30146" spans="8:20" x14ac:dyDescent="0.35">
      <c r="H30146" s="711"/>
      <c r="I30146" s="711"/>
      <c r="J30146" s="711"/>
      <c r="K30146" s="711"/>
      <c r="L30146" s="711"/>
      <c r="Q30146" s="11"/>
      <c r="R30146" s="11"/>
      <c r="S30146" s="11"/>
      <c r="T30146" s="11"/>
    </row>
    <row r="30147" spans="8:20" x14ac:dyDescent="0.35">
      <c r="H30147" s="711"/>
      <c r="I30147" s="711"/>
      <c r="J30147" s="711"/>
      <c r="K30147" s="711"/>
      <c r="L30147" s="711"/>
      <c r="Q30147" s="11"/>
      <c r="R30147" s="11"/>
      <c r="S30147" s="11"/>
      <c r="T30147" s="11"/>
    </row>
    <row r="30148" spans="8:20" x14ac:dyDescent="0.35">
      <c r="H30148" s="711"/>
      <c r="I30148" s="711"/>
      <c r="J30148" s="711"/>
      <c r="K30148" s="711"/>
      <c r="L30148" s="711"/>
      <c r="Q30148" s="11"/>
      <c r="R30148" s="11"/>
      <c r="S30148" s="11"/>
      <c r="T30148" s="11"/>
    </row>
    <row r="30149" spans="8:20" x14ac:dyDescent="0.35">
      <c r="H30149" s="711"/>
      <c r="I30149" s="711"/>
      <c r="J30149" s="711"/>
      <c r="K30149" s="711"/>
      <c r="L30149" s="711"/>
      <c r="Q30149" s="11"/>
      <c r="R30149" s="11"/>
      <c r="S30149" s="11"/>
      <c r="T30149" s="11"/>
    </row>
    <row r="30150" spans="8:20" x14ac:dyDescent="0.35">
      <c r="H30150" s="711"/>
      <c r="I30150" s="711"/>
      <c r="J30150" s="711"/>
      <c r="K30150" s="711"/>
      <c r="L30150" s="711"/>
      <c r="Q30150" s="11"/>
      <c r="R30150" s="11"/>
      <c r="S30150" s="11"/>
      <c r="T30150" s="11"/>
    </row>
    <row r="30151" spans="8:20" x14ac:dyDescent="0.35">
      <c r="H30151" s="711"/>
      <c r="I30151" s="711"/>
      <c r="J30151" s="711"/>
      <c r="K30151" s="711"/>
      <c r="L30151" s="711"/>
      <c r="Q30151" s="11"/>
      <c r="R30151" s="11"/>
      <c r="S30151" s="11"/>
      <c r="T30151" s="11"/>
    </row>
    <row r="30152" spans="8:20" x14ac:dyDescent="0.35">
      <c r="H30152" s="711"/>
      <c r="I30152" s="711"/>
      <c r="J30152" s="711"/>
      <c r="K30152" s="711"/>
      <c r="L30152" s="711"/>
      <c r="Q30152" s="11"/>
      <c r="R30152" s="11"/>
      <c r="S30152" s="11"/>
      <c r="T30152" s="11"/>
    </row>
    <row r="30153" spans="8:20" x14ac:dyDescent="0.35">
      <c r="H30153" s="711"/>
      <c r="I30153" s="711"/>
      <c r="J30153" s="711"/>
      <c r="K30153" s="711"/>
      <c r="L30153" s="711"/>
      <c r="Q30153" s="11"/>
      <c r="R30153" s="11"/>
      <c r="S30153" s="11"/>
      <c r="T30153" s="11"/>
    </row>
    <row r="30154" spans="8:20" x14ac:dyDescent="0.35">
      <c r="H30154" s="711"/>
      <c r="I30154" s="711"/>
      <c r="J30154" s="711"/>
      <c r="K30154" s="711"/>
      <c r="L30154" s="711"/>
      <c r="Q30154" s="11"/>
      <c r="R30154" s="11"/>
      <c r="S30154" s="11"/>
      <c r="T30154" s="11"/>
    </row>
    <row r="30155" spans="8:20" x14ac:dyDescent="0.35">
      <c r="H30155" s="711"/>
      <c r="I30155" s="711"/>
      <c r="J30155" s="711"/>
      <c r="K30155" s="711"/>
      <c r="L30155" s="711"/>
      <c r="Q30155" s="11"/>
      <c r="R30155" s="11"/>
      <c r="S30155" s="11"/>
      <c r="T30155" s="11"/>
    </row>
    <row r="30156" spans="8:20" x14ac:dyDescent="0.35">
      <c r="H30156" s="711"/>
      <c r="I30156" s="711"/>
      <c r="J30156" s="711"/>
      <c r="K30156" s="711"/>
      <c r="L30156" s="711"/>
      <c r="Q30156" s="11"/>
      <c r="R30156" s="11"/>
      <c r="S30156" s="11"/>
      <c r="T30156" s="11"/>
    </row>
    <row r="30157" spans="8:20" x14ac:dyDescent="0.35">
      <c r="H30157" s="711"/>
      <c r="I30157" s="711"/>
      <c r="J30157" s="711"/>
      <c r="K30157" s="711"/>
      <c r="L30157" s="711"/>
      <c r="Q30157" s="11"/>
      <c r="R30157" s="11"/>
      <c r="S30157" s="11"/>
      <c r="T30157" s="11"/>
    </row>
    <row r="30158" spans="8:20" x14ac:dyDescent="0.35">
      <c r="H30158" s="711"/>
      <c r="I30158" s="711"/>
      <c r="J30158" s="711"/>
      <c r="K30158" s="711"/>
      <c r="L30158" s="711"/>
      <c r="Q30158" s="11"/>
      <c r="R30158" s="11"/>
      <c r="S30158" s="11"/>
      <c r="T30158" s="11"/>
    </row>
    <row r="30159" spans="8:20" x14ac:dyDescent="0.35">
      <c r="H30159" s="711"/>
      <c r="I30159" s="711"/>
      <c r="J30159" s="711"/>
      <c r="K30159" s="711"/>
      <c r="L30159" s="711"/>
      <c r="Q30159" s="11"/>
      <c r="R30159" s="11"/>
      <c r="S30159" s="11"/>
      <c r="T30159" s="11"/>
    </row>
    <row r="30160" spans="8:20" x14ac:dyDescent="0.35">
      <c r="H30160" s="711"/>
      <c r="I30160" s="711"/>
      <c r="J30160" s="711"/>
      <c r="K30160" s="711"/>
      <c r="L30160" s="711"/>
      <c r="Q30160" s="11"/>
      <c r="R30160" s="11"/>
      <c r="S30160" s="11"/>
      <c r="T30160" s="11"/>
    </row>
    <row r="30161" spans="8:20" x14ac:dyDescent="0.35">
      <c r="H30161" s="711"/>
      <c r="I30161" s="711"/>
      <c r="J30161" s="711"/>
      <c r="K30161" s="711"/>
      <c r="L30161" s="711"/>
      <c r="Q30161" s="11"/>
      <c r="R30161" s="11"/>
      <c r="S30161" s="11"/>
      <c r="T30161" s="11"/>
    </row>
    <row r="30162" spans="8:20" x14ac:dyDescent="0.35">
      <c r="H30162" s="711"/>
      <c r="I30162" s="711"/>
      <c r="J30162" s="711"/>
      <c r="K30162" s="711"/>
      <c r="L30162" s="711"/>
      <c r="Q30162" s="11"/>
      <c r="R30162" s="11"/>
      <c r="S30162" s="11"/>
      <c r="T30162" s="11"/>
    </row>
    <row r="30163" spans="8:20" x14ac:dyDescent="0.35">
      <c r="H30163" s="711"/>
      <c r="I30163" s="711"/>
      <c r="J30163" s="711"/>
      <c r="K30163" s="711"/>
      <c r="L30163" s="711"/>
      <c r="Q30163" s="11"/>
      <c r="R30163" s="11"/>
      <c r="S30163" s="11"/>
      <c r="T30163" s="11"/>
    </row>
    <row r="30164" spans="8:20" x14ac:dyDescent="0.35">
      <c r="H30164" s="711"/>
      <c r="I30164" s="711"/>
      <c r="J30164" s="711"/>
      <c r="K30164" s="711"/>
      <c r="L30164" s="711"/>
      <c r="Q30164" s="11"/>
      <c r="R30164" s="11"/>
      <c r="S30164" s="11"/>
      <c r="T30164" s="11"/>
    </row>
    <row r="30165" spans="8:20" x14ac:dyDescent="0.35">
      <c r="H30165" s="711"/>
      <c r="I30165" s="711"/>
      <c r="J30165" s="711"/>
      <c r="K30165" s="711"/>
      <c r="L30165" s="711"/>
      <c r="Q30165" s="11"/>
      <c r="R30165" s="11"/>
      <c r="S30165" s="11"/>
      <c r="T30165" s="11"/>
    </row>
    <row r="30166" spans="8:20" x14ac:dyDescent="0.35">
      <c r="H30166" s="711"/>
      <c r="I30166" s="711"/>
      <c r="J30166" s="711"/>
      <c r="K30166" s="711"/>
      <c r="L30166" s="711"/>
      <c r="Q30166" s="11"/>
      <c r="R30166" s="11"/>
      <c r="S30166" s="11"/>
      <c r="T30166" s="11"/>
    </row>
    <row r="30167" spans="8:20" x14ac:dyDescent="0.35">
      <c r="H30167" s="711"/>
      <c r="I30167" s="711"/>
      <c r="J30167" s="711"/>
      <c r="K30167" s="711"/>
      <c r="L30167" s="711"/>
      <c r="Q30167" s="11"/>
      <c r="R30167" s="11"/>
      <c r="S30167" s="11"/>
      <c r="T30167" s="11"/>
    </row>
    <row r="30168" spans="8:20" x14ac:dyDescent="0.35">
      <c r="H30168" s="711"/>
      <c r="I30168" s="711"/>
      <c r="J30168" s="711"/>
      <c r="K30168" s="711"/>
      <c r="L30168" s="711"/>
      <c r="Q30168" s="11"/>
      <c r="R30168" s="11"/>
      <c r="S30168" s="11"/>
      <c r="T30168" s="11"/>
    </row>
    <row r="30169" spans="8:20" x14ac:dyDescent="0.35">
      <c r="H30169" s="711"/>
      <c r="I30169" s="711"/>
      <c r="J30169" s="711"/>
      <c r="K30169" s="711"/>
      <c r="L30169" s="711"/>
      <c r="Q30169" s="11"/>
      <c r="R30169" s="11"/>
      <c r="S30169" s="11"/>
      <c r="T30169" s="11"/>
    </row>
    <row r="30170" spans="8:20" x14ac:dyDescent="0.35">
      <c r="H30170" s="711"/>
      <c r="I30170" s="711"/>
      <c r="J30170" s="711"/>
      <c r="K30170" s="711"/>
      <c r="L30170" s="711"/>
      <c r="Q30170" s="11"/>
      <c r="R30170" s="11"/>
      <c r="S30170" s="11"/>
      <c r="T30170" s="11"/>
    </row>
    <row r="30171" spans="8:20" x14ac:dyDescent="0.35">
      <c r="H30171" s="711"/>
      <c r="I30171" s="711"/>
      <c r="J30171" s="711"/>
      <c r="K30171" s="711"/>
      <c r="L30171" s="711"/>
      <c r="Q30171" s="11"/>
      <c r="R30171" s="11"/>
      <c r="S30171" s="11"/>
      <c r="T30171" s="11"/>
    </row>
    <row r="30172" spans="8:20" x14ac:dyDescent="0.35">
      <c r="H30172" s="711"/>
      <c r="I30172" s="711"/>
      <c r="J30172" s="711"/>
      <c r="K30172" s="711"/>
      <c r="L30172" s="711"/>
      <c r="Q30172" s="11"/>
      <c r="R30172" s="11"/>
      <c r="S30172" s="11"/>
      <c r="T30172" s="11"/>
    </row>
    <row r="30173" spans="8:20" x14ac:dyDescent="0.35">
      <c r="H30173" s="711"/>
      <c r="I30173" s="711"/>
      <c r="J30173" s="711"/>
      <c r="K30173" s="711"/>
      <c r="L30173" s="711"/>
      <c r="Q30173" s="11"/>
      <c r="R30173" s="11"/>
      <c r="S30173" s="11"/>
      <c r="T30173" s="11"/>
    </row>
    <row r="30174" spans="8:20" x14ac:dyDescent="0.35">
      <c r="H30174" s="711"/>
      <c r="I30174" s="711"/>
      <c r="J30174" s="711"/>
      <c r="K30174" s="711"/>
      <c r="L30174" s="711"/>
      <c r="Q30174" s="11"/>
      <c r="R30174" s="11"/>
      <c r="S30174" s="11"/>
      <c r="T30174" s="11"/>
    </row>
    <row r="30175" spans="8:20" x14ac:dyDescent="0.35">
      <c r="H30175" s="711"/>
      <c r="I30175" s="711"/>
      <c r="J30175" s="711"/>
      <c r="K30175" s="711"/>
      <c r="L30175" s="711"/>
      <c r="Q30175" s="11"/>
      <c r="R30175" s="11"/>
      <c r="S30175" s="11"/>
      <c r="T30175" s="11"/>
    </row>
    <row r="30176" spans="8:20" x14ac:dyDescent="0.35">
      <c r="H30176" s="711"/>
      <c r="I30176" s="711"/>
      <c r="J30176" s="711"/>
      <c r="K30176" s="711"/>
      <c r="L30176" s="711"/>
      <c r="Q30176" s="11"/>
      <c r="R30176" s="11"/>
      <c r="S30176" s="11"/>
      <c r="T30176" s="11"/>
    </row>
    <row r="30177" spans="8:20" x14ac:dyDescent="0.35">
      <c r="H30177" s="711"/>
      <c r="I30177" s="711"/>
      <c r="J30177" s="711"/>
      <c r="K30177" s="711"/>
      <c r="L30177" s="711"/>
      <c r="Q30177" s="11"/>
      <c r="R30177" s="11"/>
      <c r="S30177" s="11"/>
      <c r="T30177" s="11"/>
    </row>
    <row r="30178" spans="8:20" x14ac:dyDescent="0.35">
      <c r="H30178" s="711"/>
      <c r="I30178" s="711"/>
      <c r="J30178" s="711"/>
      <c r="K30178" s="711"/>
      <c r="L30178" s="711"/>
      <c r="Q30178" s="11"/>
      <c r="R30178" s="11"/>
      <c r="S30178" s="11"/>
      <c r="T30178" s="11"/>
    </row>
    <row r="30179" spans="8:20" x14ac:dyDescent="0.35">
      <c r="H30179" s="711"/>
      <c r="I30179" s="711"/>
      <c r="J30179" s="711"/>
      <c r="K30179" s="711"/>
      <c r="L30179" s="711"/>
      <c r="Q30179" s="11"/>
      <c r="R30179" s="11"/>
      <c r="S30179" s="11"/>
      <c r="T30179" s="11"/>
    </row>
    <row r="30180" spans="8:20" x14ac:dyDescent="0.35">
      <c r="H30180" s="711"/>
      <c r="I30180" s="711"/>
      <c r="J30180" s="711"/>
      <c r="K30180" s="711"/>
      <c r="L30180" s="711"/>
      <c r="Q30180" s="11"/>
      <c r="R30180" s="11"/>
      <c r="S30180" s="11"/>
      <c r="T30180" s="11"/>
    </row>
    <row r="30181" spans="8:20" x14ac:dyDescent="0.35">
      <c r="H30181" s="711"/>
      <c r="I30181" s="711"/>
      <c r="J30181" s="711"/>
      <c r="K30181" s="711"/>
      <c r="L30181" s="711"/>
      <c r="Q30181" s="11"/>
      <c r="R30181" s="11"/>
      <c r="S30181" s="11"/>
      <c r="T30181" s="11"/>
    </row>
    <row r="30182" spans="8:20" x14ac:dyDescent="0.35">
      <c r="H30182" s="711"/>
      <c r="I30182" s="711"/>
      <c r="J30182" s="711"/>
      <c r="K30182" s="711"/>
      <c r="L30182" s="711"/>
      <c r="Q30182" s="11"/>
      <c r="R30182" s="11"/>
      <c r="S30182" s="11"/>
      <c r="T30182" s="11"/>
    </row>
    <row r="30183" spans="8:20" x14ac:dyDescent="0.35">
      <c r="H30183" s="711"/>
      <c r="I30183" s="711"/>
      <c r="J30183" s="711"/>
      <c r="K30183" s="711"/>
      <c r="L30183" s="711"/>
      <c r="Q30183" s="11"/>
      <c r="R30183" s="11"/>
      <c r="S30183" s="11"/>
      <c r="T30183" s="11"/>
    </row>
    <row r="30184" spans="8:20" x14ac:dyDescent="0.35">
      <c r="H30184" s="711"/>
      <c r="I30184" s="711"/>
      <c r="J30184" s="711"/>
      <c r="K30184" s="711"/>
      <c r="L30184" s="711"/>
      <c r="Q30184" s="11"/>
      <c r="R30184" s="11"/>
      <c r="S30184" s="11"/>
      <c r="T30184" s="11"/>
    </row>
    <row r="30185" spans="8:20" x14ac:dyDescent="0.35">
      <c r="H30185" s="711"/>
      <c r="I30185" s="711"/>
      <c r="J30185" s="711"/>
      <c r="K30185" s="711"/>
      <c r="L30185" s="711"/>
      <c r="Q30185" s="11"/>
      <c r="R30185" s="11"/>
      <c r="S30185" s="11"/>
      <c r="T30185" s="11"/>
    </row>
    <row r="30186" spans="8:20" x14ac:dyDescent="0.35">
      <c r="H30186" s="711"/>
      <c r="I30186" s="711"/>
      <c r="J30186" s="711"/>
      <c r="K30186" s="711"/>
      <c r="L30186" s="711"/>
      <c r="Q30186" s="11"/>
      <c r="R30186" s="11"/>
      <c r="S30186" s="11"/>
      <c r="T30186" s="11"/>
    </row>
    <row r="30187" spans="8:20" x14ac:dyDescent="0.35">
      <c r="H30187" s="711"/>
      <c r="I30187" s="711"/>
      <c r="J30187" s="711"/>
      <c r="K30187" s="711"/>
      <c r="L30187" s="711"/>
      <c r="Q30187" s="11"/>
      <c r="R30187" s="11"/>
      <c r="S30187" s="11"/>
      <c r="T30187" s="11"/>
    </row>
    <row r="30188" spans="8:20" x14ac:dyDescent="0.35">
      <c r="H30188" s="711"/>
      <c r="I30188" s="711"/>
      <c r="J30188" s="711"/>
      <c r="K30188" s="711"/>
      <c r="L30188" s="711"/>
      <c r="Q30188" s="11"/>
      <c r="R30188" s="11"/>
      <c r="S30188" s="11"/>
      <c r="T30188" s="11"/>
    </row>
    <row r="30189" spans="8:20" x14ac:dyDescent="0.35">
      <c r="H30189" s="711"/>
      <c r="I30189" s="711"/>
      <c r="J30189" s="711"/>
      <c r="K30189" s="711"/>
      <c r="L30189" s="711"/>
      <c r="Q30189" s="11"/>
      <c r="R30189" s="11"/>
      <c r="S30189" s="11"/>
      <c r="T30189" s="11"/>
    </row>
    <row r="30190" spans="8:20" x14ac:dyDescent="0.35">
      <c r="H30190" s="711"/>
      <c r="I30190" s="711"/>
      <c r="J30190" s="711"/>
      <c r="K30190" s="711"/>
      <c r="L30190" s="711"/>
      <c r="Q30190" s="11"/>
      <c r="R30190" s="11"/>
      <c r="S30190" s="11"/>
      <c r="T30190" s="11"/>
    </row>
    <row r="30191" spans="8:20" x14ac:dyDescent="0.35">
      <c r="H30191" s="711"/>
      <c r="I30191" s="711"/>
      <c r="J30191" s="711"/>
      <c r="K30191" s="711"/>
      <c r="L30191" s="711"/>
      <c r="Q30191" s="11"/>
      <c r="R30191" s="11"/>
      <c r="S30191" s="11"/>
      <c r="T30191" s="11"/>
    </row>
    <row r="30192" spans="8:20" x14ac:dyDescent="0.35">
      <c r="H30192" s="711"/>
      <c r="I30192" s="711"/>
      <c r="J30192" s="711"/>
      <c r="K30192" s="711"/>
      <c r="L30192" s="711"/>
      <c r="Q30192" s="11"/>
      <c r="R30192" s="11"/>
      <c r="S30192" s="11"/>
      <c r="T30192" s="11"/>
    </row>
    <row r="30193" spans="8:20" x14ac:dyDescent="0.35">
      <c r="H30193" s="711"/>
      <c r="I30193" s="711"/>
      <c r="J30193" s="711"/>
      <c r="K30193" s="711"/>
      <c r="L30193" s="711"/>
      <c r="Q30193" s="11"/>
      <c r="R30193" s="11"/>
      <c r="S30193" s="11"/>
      <c r="T30193" s="11"/>
    </row>
    <row r="30194" spans="8:20" x14ac:dyDescent="0.35">
      <c r="H30194" s="711"/>
      <c r="I30194" s="711"/>
      <c r="J30194" s="711"/>
      <c r="K30194" s="711"/>
      <c r="L30194" s="711"/>
      <c r="Q30194" s="11"/>
      <c r="R30194" s="11"/>
      <c r="S30194" s="11"/>
      <c r="T30194" s="11"/>
    </row>
    <row r="30195" spans="8:20" x14ac:dyDescent="0.35">
      <c r="H30195" s="711"/>
      <c r="I30195" s="711"/>
      <c r="J30195" s="711"/>
      <c r="K30195" s="711"/>
      <c r="L30195" s="711"/>
      <c r="Q30195" s="11"/>
      <c r="R30195" s="11"/>
      <c r="S30195" s="11"/>
      <c r="T30195" s="11"/>
    </row>
    <row r="30196" spans="8:20" x14ac:dyDescent="0.35">
      <c r="H30196" s="711"/>
      <c r="I30196" s="711"/>
      <c r="J30196" s="711"/>
      <c r="K30196" s="711"/>
      <c r="L30196" s="711"/>
      <c r="Q30196" s="11"/>
      <c r="R30196" s="11"/>
      <c r="S30196" s="11"/>
      <c r="T30196" s="11"/>
    </row>
    <row r="30197" spans="8:20" x14ac:dyDescent="0.35">
      <c r="H30197" s="711"/>
      <c r="I30197" s="711"/>
      <c r="J30197" s="711"/>
      <c r="K30197" s="711"/>
      <c r="L30197" s="711"/>
      <c r="Q30197" s="11"/>
      <c r="R30197" s="11"/>
      <c r="S30197" s="11"/>
      <c r="T30197" s="11"/>
    </row>
    <row r="30198" spans="8:20" x14ac:dyDescent="0.35">
      <c r="H30198" s="711"/>
      <c r="I30198" s="711"/>
      <c r="J30198" s="711"/>
      <c r="K30198" s="711"/>
      <c r="L30198" s="711"/>
      <c r="Q30198" s="11"/>
      <c r="R30198" s="11"/>
      <c r="S30198" s="11"/>
      <c r="T30198" s="11"/>
    </row>
    <row r="30199" spans="8:20" x14ac:dyDescent="0.35">
      <c r="H30199" s="711"/>
      <c r="I30199" s="711"/>
      <c r="J30199" s="711"/>
      <c r="K30199" s="711"/>
      <c r="L30199" s="711"/>
      <c r="Q30199" s="11"/>
      <c r="R30199" s="11"/>
      <c r="S30199" s="11"/>
      <c r="T30199" s="11"/>
    </row>
    <row r="30200" spans="8:20" x14ac:dyDescent="0.35">
      <c r="H30200" s="711"/>
      <c r="I30200" s="711"/>
      <c r="J30200" s="711"/>
      <c r="K30200" s="711"/>
      <c r="L30200" s="711"/>
      <c r="Q30200" s="11"/>
      <c r="R30200" s="11"/>
      <c r="S30200" s="11"/>
      <c r="T30200" s="11"/>
    </row>
    <row r="30201" spans="8:20" x14ac:dyDescent="0.35">
      <c r="H30201" s="711"/>
      <c r="I30201" s="711"/>
      <c r="J30201" s="711"/>
      <c r="K30201" s="711"/>
      <c r="L30201" s="711"/>
      <c r="Q30201" s="11"/>
      <c r="R30201" s="11"/>
      <c r="S30201" s="11"/>
      <c r="T30201" s="11"/>
    </row>
    <row r="30202" spans="8:20" x14ac:dyDescent="0.35">
      <c r="H30202" s="711"/>
      <c r="I30202" s="711"/>
      <c r="J30202" s="711"/>
      <c r="K30202" s="711"/>
      <c r="L30202" s="711"/>
      <c r="Q30202" s="11"/>
      <c r="R30202" s="11"/>
      <c r="S30202" s="11"/>
      <c r="T30202" s="11"/>
    </row>
    <row r="30203" spans="8:20" x14ac:dyDescent="0.35">
      <c r="H30203" s="711"/>
      <c r="I30203" s="711"/>
      <c r="J30203" s="711"/>
      <c r="K30203" s="711"/>
      <c r="L30203" s="711"/>
      <c r="Q30203" s="11"/>
      <c r="R30203" s="11"/>
      <c r="S30203" s="11"/>
      <c r="T30203" s="11"/>
    </row>
    <row r="30204" spans="8:20" x14ac:dyDescent="0.35">
      <c r="H30204" s="711"/>
      <c r="I30204" s="711"/>
      <c r="J30204" s="711"/>
      <c r="K30204" s="711"/>
      <c r="L30204" s="711"/>
      <c r="Q30204" s="11"/>
      <c r="R30204" s="11"/>
      <c r="S30204" s="11"/>
      <c r="T30204" s="11"/>
    </row>
    <row r="30205" spans="8:20" x14ac:dyDescent="0.35">
      <c r="H30205" s="711"/>
      <c r="I30205" s="711"/>
      <c r="J30205" s="711"/>
      <c r="K30205" s="711"/>
      <c r="L30205" s="711"/>
      <c r="Q30205" s="11"/>
      <c r="R30205" s="11"/>
      <c r="S30205" s="11"/>
      <c r="T30205" s="11"/>
    </row>
    <row r="30206" spans="8:20" x14ac:dyDescent="0.35">
      <c r="H30206" s="711"/>
      <c r="I30206" s="711"/>
      <c r="J30206" s="711"/>
      <c r="K30206" s="711"/>
      <c r="L30206" s="711"/>
      <c r="Q30206" s="11"/>
      <c r="R30206" s="11"/>
      <c r="S30206" s="11"/>
      <c r="T30206" s="11"/>
    </row>
    <row r="30207" spans="8:20" x14ac:dyDescent="0.35">
      <c r="H30207" s="711"/>
      <c r="I30207" s="711"/>
      <c r="J30207" s="711"/>
      <c r="K30207" s="711"/>
      <c r="L30207" s="711"/>
      <c r="Q30207" s="11"/>
      <c r="R30207" s="11"/>
      <c r="S30207" s="11"/>
      <c r="T30207" s="11"/>
    </row>
    <row r="30208" spans="8:20" x14ac:dyDescent="0.35">
      <c r="H30208" s="711"/>
      <c r="I30208" s="711"/>
      <c r="J30208" s="711"/>
      <c r="K30208" s="711"/>
      <c r="L30208" s="711"/>
      <c r="Q30208" s="11"/>
      <c r="R30208" s="11"/>
      <c r="S30208" s="11"/>
      <c r="T30208" s="11"/>
    </row>
    <row r="30209" spans="8:20" x14ac:dyDescent="0.35">
      <c r="H30209" s="711"/>
      <c r="I30209" s="711"/>
      <c r="J30209" s="711"/>
      <c r="K30209" s="711"/>
      <c r="L30209" s="711"/>
      <c r="Q30209" s="11"/>
      <c r="R30209" s="11"/>
      <c r="S30209" s="11"/>
      <c r="T30209" s="11"/>
    </row>
    <row r="30210" spans="8:20" x14ac:dyDescent="0.35">
      <c r="H30210" s="711"/>
      <c r="I30210" s="711"/>
      <c r="J30210" s="711"/>
      <c r="K30210" s="711"/>
      <c r="L30210" s="711"/>
      <c r="Q30210" s="11"/>
      <c r="R30210" s="11"/>
      <c r="S30210" s="11"/>
      <c r="T30210" s="11"/>
    </row>
    <row r="30211" spans="8:20" x14ac:dyDescent="0.35">
      <c r="H30211" s="711"/>
      <c r="I30211" s="711"/>
      <c r="J30211" s="711"/>
      <c r="K30211" s="711"/>
      <c r="L30211" s="711"/>
      <c r="Q30211" s="11"/>
      <c r="R30211" s="11"/>
      <c r="S30211" s="11"/>
      <c r="T30211" s="11"/>
    </row>
    <row r="30212" spans="8:20" x14ac:dyDescent="0.35">
      <c r="H30212" s="711"/>
      <c r="I30212" s="711"/>
      <c r="J30212" s="711"/>
      <c r="K30212" s="711"/>
      <c r="L30212" s="711"/>
      <c r="Q30212" s="11"/>
      <c r="R30212" s="11"/>
      <c r="S30212" s="11"/>
      <c r="T30212" s="11"/>
    </row>
    <row r="30213" spans="8:20" x14ac:dyDescent="0.35">
      <c r="H30213" s="711"/>
      <c r="I30213" s="711"/>
      <c r="J30213" s="711"/>
      <c r="K30213" s="711"/>
      <c r="L30213" s="711"/>
      <c r="Q30213" s="11"/>
      <c r="R30213" s="11"/>
      <c r="S30213" s="11"/>
      <c r="T30213" s="11"/>
    </row>
    <row r="30214" spans="8:20" x14ac:dyDescent="0.35">
      <c r="H30214" s="711"/>
      <c r="I30214" s="711"/>
      <c r="J30214" s="711"/>
      <c r="K30214" s="711"/>
      <c r="L30214" s="711"/>
      <c r="Q30214" s="11"/>
      <c r="R30214" s="11"/>
      <c r="S30214" s="11"/>
      <c r="T30214" s="11"/>
    </row>
    <row r="30215" spans="8:20" x14ac:dyDescent="0.35">
      <c r="H30215" s="711"/>
      <c r="I30215" s="711"/>
      <c r="J30215" s="711"/>
      <c r="K30215" s="711"/>
      <c r="L30215" s="711"/>
      <c r="Q30215" s="11"/>
      <c r="R30215" s="11"/>
      <c r="S30215" s="11"/>
      <c r="T30215" s="11"/>
    </row>
    <row r="30216" spans="8:20" x14ac:dyDescent="0.35">
      <c r="H30216" s="711"/>
      <c r="I30216" s="711"/>
      <c r="J30216" s="711"/>
      <c r="K30216" s="711"/>
      <c r="L30216" s="711"/>
      <c r="Q30216" s="11"/>
      <c r="R30216" s="11"/>
      <c r="S30216" s="11"/>
      <c r="T30216" s="11"/>
    </row>
    <row r="30217" spans="8:20" x14ac:dyDescent="0.35">
      <c r="H30217" s="711"/>
      <c r="I30217" s="711"/>
      <c r="J30217" s="711"/>
      <c r="K30217" s="711"/>
      <c r="L30217" s="711"/>
      <c r="Q30217" s="11"/>
      <c r="R30217" s="11"/>
      <c r="S30217" s="11"/>
      <c r="T30217" s="11"/>
    </row>
    <row r="30218" spans="8:20" x14ac:dyDescent="0.35">
      <c r="H30218" s="711"/>
      <c r="I30218" s="711"/>
      <c r="J30218" s="711"/>
      <c r="K30218" s="711"/>
      <c r="L30218" s="711"/>
      <c r="Q30218" s="11"/>
      <c r="R30218" s="11"/>
      <c r="S30218" s="11"/>
      <c r="T30218" s="11"/>
    </row>
    <row r="30219" spans="8:20" x14ac:dyDescent="0.35">
      <c r="H30219" s="711"/>
      <c r="I30219" s="711"/>
      <c r="J30219" s="711"/>
      <c r="K30219" s="711"/>
      <c r="L30219" s="711"/>
      <c r="Q30219" s="11"/>
      <c r="R30219" s="11"/>
      <c r="S30219" s="11"/>
      <c r="T30219" s="11"/>
    </row>
    <row r="30220" spans="8:20" x14ac:dyDescent="0.35">
      <c r="H30220" s="711"/>
      <c r="I30220" s="711"/>
      <c r="J30220" s="711"/>
      <c r="K30220" s="711"/>
      <c r="L30220" s="711"/>
      <c r="Q30220" s="11"/>
      <c r="R30220" s="11"/>
      <c r="S30220" s="11"/>
      <c r="T30220" s="11"/>
    </row>
    <row r="30221" spans="8:20" x14ac:dyDescent="0.35">
      <c r="H30221" s="711"/>
      <c r="I30221" s="711"/>
      <c r="J30221" s="711"/>
      <c r="K30221" s="711"/>
      <c r="L30221" s="711"/>
      <c r="Q30221" s="11"/>
      <c r="R30221" s="11"/>
      <c r="S30221" s="11"/>
      <c r="T30221" s="11"/>
    </row>
    <row r="30222" spans="8:20" x14ac:dyDescent="0.35">
      <c r="H30222" s="711"/>
      <c r="I30222" s="711"/>
      <c r="J30222" s="711"/>
      <c r="K30222" s="711"/>
      <c r="L30222" s="711"/>
      <c r="Q30222" s="11"/>
      <c r="R30222" s="11"/>
      <c r="S30222" s="11"/>
      <c r="T30222" s="11"/>
    </row>
    <row r="30223" spans="8:20" x14ac:dyDescent="0.35">
      <c r="H30223" s="711"/>
      <c r="I30223" s="711"/>
      <c r="J30223" s="711"/>
      <c r="K30223" s="711"/>
      <c r="L30223" s="711"/>
      <c r="Q30223" s="11"/>
      <c r="R30223" s="11"/>
      <c r="S30223" s="11"/>
      <c r="T30223" s="11"/>
    </row>
    <row r="30224" spans="8:20" x14ac:dyDescent="0.35">
      <c r="H30224" s="711"/>
      <c r="I30224" s="711"/>
      <c r="J30224" s="711"/>
      <c r="K30224" s="711"/>
      <c r="L30224" s="711"/>
      <c r="Q30224" s="11"/>
      <c r="R30224" s="11"/>
      <c r="S30224" s="11"/>
      <c r="T30224" s="11"/>
    </row>
    <row r="30225" spans="8:20" x14ac:dyDescent="0.35">
      <c r="H30225" s="711"/>
      <c r="I30225" s="711"/>
      <c r="J30225" s="711"/>
      <c r="K30225" s="711"/>
      <c r="L30225" s="711"/>
      <c r="Q30225" s="11"/>
      <c r="R30225" s="11"/>
      <c r="S30225" s="11"/>
      <c r="T30225" s="11"/>
    </row>
    <row r="30226" spans="8:20" x14ac:dyDescent="0.35">
      <c r="H30226" s="711"/>
      <c r="I30226" s="711"/>
      <c r="J30226" s="711"/>
      <c r="K30226" s="711"/>
      <c r="L30226" s="711"/>
      <c r="Q30226" s="11"/>
      <c r="R30226" s="11"/>
      <c r="S30226" s="11"/>
      <c r="T30226" s="11"/>
    </row>
    <row r="30227" spans="8:20" x14ac:dyDescent="0.35">
      <c r="H30227" s="711"/>
      <c r="I30227" s="711"/>
      <c r="J30227" s="711"/>
      <c r="K30227" s="711"/>
      <c r="L30227" s="711"/>
      <c r="Q30227" s="11"/>
      <c r="R30227" s="11"/>
      <c r="S30227" s="11"/>
      <c r="T30227" s="11"/>
    </row>
    <row r="30228" spans="8:20" x14ac:dyDescent="0.35">
      <c r="H30228" s="711"/>
      <c r="I30228" s="711"/>
      <c r="J30228" s="711"/>
      <c r="K30228" s="711"/>
      <c r="L30228" s="711"/>
      <c r="Q30228" s="11"/>
      <c r="R30228" s="11"/>
      <c r="S30228" s="11"/>
      <c r="T30228" s="11"/>
    </row>
    <row r="30229" spans="8:20" x14ac:dyDescent="0.35">
      <c r="H30229" s="711"/>
      <c r="I30229" s="711"/>
      <c r="J30229" s="711"/>
      <c r="K30229" s="711"/>
      <c r="L30229" s="711"/>
      <c r="Q30229" s="11"/>
      <c r="R30229" s="11"/>
      <c r="S30229" s="11"/>
      <c r="T30229" s="11"/>
    </row>
    <row r="30230" spans="8:20" x14ac:dyDescent="0.35">
      <c r="H30230" s="711"/>
      <c r="I30230" s="711"/>
      <c r="J30230" s="711"/>
      <c r="K30230" s="711"/>
      <c r="L30230" s="711"/>
      <c r="Q30230" s="11"/>
      <c r="R30230" s="11"/>
      <c r="S30230" s="11"/>
      <c r="T30230" s="11"/>
    </row>
    <row r="30231" spans="8:20" x14ac:dyDescent="0.35">
      <c r="H30231" s="711"/>
      <c r="I30231" s="711"/>
      <c r="J30231" s="711"/>
      <c r="K30231" s="711"/>
      <c r="L30231" s="711"/>
      <c r="Q30231" s="11"/>
      <c r="R30231" s="11"/>
      <c r="S30231" s="11"/>
      <c r="T30231" s="11"/>
    </row>
    <row r="30232" spans="8:20" x14ac:dyDescent="0.35">
      <c r="H30232" s="711"/>
      <c r="I30232" s="711"/>
      <c r="J30232" s="711"/>
      <c r="K30232" s="711"/>
      <c r="L30232" s="711"/>
      <c r="Q30232" s="11"/>
      <c r="R30232" s="11"/>
      <c r="S30232" s="11"/>
      <c r="T30232" s="11"/>
    </row>
    <row r="30233" spans="8:20" x14ac:dyDescent="0.35">
      <c r="H30233" s="711"/>
      <c r="I30233" s="711"/>
      <c r="J30233" s="711"/>
      <c r="K30233" s="711"/>
      <c r="L30233" s="711"/>
      <c r="Q30233" s="11"/>
      <c r="R30233" s="11"/>
      <c r="S30233" s="11"/>
      <c r="T30233" s="11"/>
    </row>
    <row r="30234" spans="8:20" x14ac:dyDescent="0.35">
      <c r="H30234" s="711"/>
      <c r="I30234" s="711"/>
      <c r="J30234" s="711"/>
      <c r="K30234" s="711"/>
      <c r="L30234" s="711"/>
      <c r="Q30234" s="11"/>
      <c r="R30234" s="11"/>
      <c r="S30234" s="11"/>
      <c r="T30234" s="11"/>
    </row>
    <row r="30235" spans="8:20" x14ac:dyDescent="0.35">
      <c r="H30235" s="711"/>
      <c r="I30235" s="711"/>
      <c r="J30235" s="711"/>
      <c r="K30235" s="711"/>
      <c r="L30235" s="711"/>
      <c r="Q30235" s="11"/>
      <c r="R30235" s="11"/>
      <c r="S30235" s="11"/>
      <c r="T30235" s="11"/>
    </row>
    <row r="30236" spans="8:20" x14ac:dyDescent="0.35">
      <c r="H30236" s="711"/>
      <c r="I30236" s="711"/>
      <c r="J30236" s="711"/>
      <c r="K30236" s="711"/>
      <c r="L30236" s="711"/>
      <c r="Q30236" s="11"/>
      <c r="R30236" s="11"/>
      <c r="S30236" s="11"/>
      <c r="T30236" s="11"/>
    </row>
    <row r="30237" spans="8:20" x14ac:dyDescent="0.35">
      <c r="H30237" s="711"/>
      <c r="I30237" s="711"/>
      <c r="J30237" s="711"/>
      <c r="K30237" s="711"/>
      <c r="L30237" s="711"/>
      <c r="Q30237" s="11"/>
      <c r="R30237" s="11"/>
      <c r="S30237" s="11"/>
      <c r="T30237" s="11"/>
    </row>
    <row r="30238" spans="8:20" x14ac:dyDescent="0.35">
      <c r="H30238" s="711"/>
      <c r="I30238" s="711"/>
      <c r="J30238" s="711"/>
      <c r="K30238" s="711"/>
      <c r="L30238" s="711"/>
      <c r="Q30238" s="11"/>
      <c r="R30238" s="11"/>
      <c r="S30238" s="11"/>
      <c r="T30238" s="11"/>
    </row>
    <row r="30239" spans="8:20" x14ac:dyDescent="0.35">
      <c r="H30239" s="711"/>
      <c r="I30239" s="711"/>
      <c r="J30239" s="711"/>
      <c r="K30239" s="711"/>
      <c r="L30239" s="711"/>
      <c r="Q30239" s="11"/>
      <c r="R30239" s="11"/>
      <c r="S30239" s="11"/>
      <c r="T30239" s="11"/>
    </row>
    <row r="30240" spans="8:20" x14ac:dyDescent="0.35">
      <c r="H30240" s="711"/>
      <c r="I30240" s="711"/>
      <c r="J30240" s="711"/>
      <c r="K30240" s="711"/>
      <c r="L30240" s="711"/>
      <c r="Q30240" s="11"/>
      <c r="R30240" s="11"/>
      <c r="S30240" s="11"/>
      <c r="T30240" s="11"/>
    </row>
    <row r="30241" spans="8:20" x14ac:dyDescent="0.35">
      <c r="H30241" s="711"/>
      <c r="I30241" s="711"/>
      <c r="J30241" s="711"/>
      <c r="K30241" s="711"/>
      <c r="L30241" s="711"/>
      <c r="Q30241" s="11"/>
      <c r="R30241" s="11"/>
      <c r="S30241" s="11"/>
      <c r="T30241" s="11"/>
    </row>
    <row r="30242" spans="8:20" x14ac:dyDescent="0.35">
      <c r="H30242" s="711"/>
      <c r="I30242" s="711"/>
      <c r="J30242" s="711"/>
      <c r="K30242" s="711"/>
      <c r="L30242" s="711"/>
      <c r="Q30242" s="11"/>
      <c r="R30242" s="11"/>
      <c r="S30242" s="11"/>
      <c r="T30242" s="11"/>
    </row>
    <row r="30243" spans="8:20" x14ac:dyDescent="0.35">
      <c r="H30243" s="711"/>
      <c r="I30243" s="711"/>
      <c r="J30243" s="711"/>
      <c r="K30243" s="711"/>
      <c r="L30243" s="711"/>
      <c r="Q30243" s="11"/>
      <c r="R30243" s="11"/>
      <c r="S30243" s="11"/>
      <c r="T30243" s="11"/>
    </row>
    <row r="30244" spans="8:20" x14ac:dyDescent="0.35">
      <c r="H30244" s="711"/>
      <c r="I30244" s="711"/>
      <c r="J30244" s="711"/>
      <c r="K30244" s="711"/>
      <c r="L30244" s="711"/>
      <c r="Q30244" s="11"/>
      <c r="R30244" s="11"/>
      <c r="S30244" s="11"/>
      <c r="T30244" s="11"/>
    </row>
    <row r="30245" spans="8:20" x14ac:dyDescent="0.35">
      <c r="H30245" s="711"/>
      <c r="I30245" s="711"/>
      <c r="J30245" s="711"/>
      <c r="K30245" s="711"/>
      <c r="L30245" s="711"/>
      <c r="Q30245" s="11"/>
      <c r="R30245" s="11"/>
      <c r="S30245" s="11"/>
      <c r="T30245" s="11"/>
    </row>
    <row r="30246" spans="8:20" x14ac:dyDescent="0.35">
      <c r="H30246" s="711"/>
      <c r="I30246" s="711"/>
      <c r="J30246" s="711"/>
      <c r="K30246" s="711"/>
      <c r="L30246" s="711"/>
      <c r="Q30246" s="11"/>
      <c r="R30246" s="11"/>
      <c r="S30246" s="11"/>
      <c r="T30246" s="11"/>
    </row>
    <row r="30247" spans="8:20" x14ac:dyDescent="0.35">
      <c r="H30247" s="711"/>
      <c r="I30247" s="711"/>
      <c r="J30247" s="711"/>
      <c r="K30247" s="711"/>
      <c r="L30247" s="711"/>
      <c r="Q30247" s="11"/>
      <c r="R30247" s="11"/>
      <c r="S30247" s="11"/>
      <c r="T30247" s="11"/>
    </row>
    <row r="30248" spans="8:20" x14ac:dyDescent="0.35">
      <c r="H30248" s="711"/>
      <c r="I30248" s="711"/>
      <c r="J30248" s="711"/>
      <c r="K30248" s="711"/>
      <c r="L30248" s="711"/>
      <c r="Q30248" s="11"/>
      <c r="R30248" s="11"/>
      <c r="S30248" s="11"/>
      <c r="T30248" s="11"/>
    </row>
    <row r="30249" spans="8:20" x14ac:dyDescent="0.35">
      <c r="H30249" s="711"/>
      <c r="I30249" s="711"/>
      <c r="J30249" s="711"/>
      <c r="K30249" s="711"/>
      <c r="L30249" s="711"/>
      <c r="Q30249" s="11"/>
      <c r="R30249" s="11"/>
      <c r="S30249" s="11"/>
      <c r="T30249" s="11"/>
    </row>
    <row r="30250" spans="8:20" x14ac:dyDescent="0.35">
      <c r="H30250" s="711"/>
      <c r="I30250" s="711"/>
      <c r="J30250" s="711"/>
      <c r="K30250" s="711"/>
      <c r="L30250" s="711"/>
      <c r="Q30250" s="11"/>
      <c r="R30250" s="11"/>
      <c r="S30250" s="11"/>
      <c r="T30250" s="11"/>
    </row>
    <row r="30251" spans="8:20" x14ac:dyDescent="0.35">
      <c r="H30251" s="711"/>
      <c r="I30251" s="711"/>
      <c r="J30251" s="711"/>
      <c r="K30251" s="711"/>
      <c r="L30251" s="711"/>
      <c r="Q30251" s="11"/>
      <c r="R30251" s="11"/>
      <c r="S30251" s="11"/>
      <c r="T30251" s="11"/>
    </row>
    <row r="30252" spans="8:20" x14ac:dyDescent="0.35">
      <c r="H30252" s="711"/>
      <c r="I30252" s="711"/>
      <c r="J30252" s="711"/>
      <c r="K30252" s="711"/>
      <c r="L30252" s="711"/>
      <c r="Q30252" s="11"/>
      <c r="R30252" s="11"/>
      <c r="S30252" s="11"/>
      <c r="T30252" s="11"/>
    </row>
    <row r="30253" spans="8:20" x14ac:dyDescent="0.35">
      <c r="H30253" s="711"/>
      <c r="I30253" s="711"/>
      <c r="J30253" s="711"/>
      <c r="K30253" s="711"/>
      <c r="L30253" s="711"/>
      <c r="Q30253" s="11"/>
      <c r="R30253" s="11"/>
      <c r="S30253" s="11"/>
      <c r="T30253" s="11"/>
    </row>
    <row r="30254" spans="8:20" x14ac:dyDescent="0.35">
      <c r="H30254" s="711"/>
      <c r="I30254" s="711"/>
      <c r="J30254" s="711"/>
      <c r="K30254" s="711"/>
      <c r="L30254" s="711"/>
      <c r="Q30254" s="11"/>
      <c r="R30254" s="11"/>
      <c r="S30254" s="11"/>
      <c r="T30254" s="11"/>
    </row>
    <row r="30255" spans="8:20" x14ac:dyDescent="0.35">
      <c r="H30255" s="711"/>
      <c r="I30255" s="711"/>
      <c r="J30255" s="711"/>
      <c r="K30255" s="711"/>
      <c r="L30255" s="711"/>
      <c r="Q30255" s="11"/>
      <c r="R30255" s="11"/>
      <c r="S30255" s="11"/>
      <c r="T30255" s="11"/>
    </row>
    <row r="30256" spans="8:20" x14ac:dyDescent="0.35">
      <c r="H30256" s="711"/>
      <c r="I30256" s="711"/>
      <c r="J30256" s="711"/>
      <c r="K30256" s="711"/>
      <c r="L30256" s="711"/>
      <c r="Q30256" s="11"/>
      <c r="R30256" s="11"/>
      <c r="S30256" s="11"/>
      <c r="T30256" s="11"/>
    </row>
    <row r="30257" spans="8:20" x14ac:dyDescent="0.35">
      <c r="H30257" s="711"/>
      <c r="I30257" s="711"/>
      <c r="J30257" s="711"/>
      <c r="K30257" s="711"/>
      <c r="L30257" s="711"/>
      <c r="Q30257" s="11"/>
      <c r="R30257" s="11"/>
      <c r="S30257" s="11"/>
      <c r="T30257" s="11"/>
    </row>
    <row r="30258" spans="8:20" x14ac:dyDescent="0.35">
      <c r="H30258" s="711"/>
      <c r="I30258" s="711"/>
      <c r="J30258" s="711"/>
      <c r="K30258" s="711"/>
      <c r="L30258" s="711"/>
      <c r="Q30258" s="11"/>
      <c r="R30258" s="11"/>
      <c r="S30258" s="11"/>
      <c r="T30258" s="11"/>
    </row>
    <row r="30259" spans="8:20" x14ac:dyDescent="0.35">
      <c r="H30259" s="711"/>
      <c r="I30259" s="711"/>
      <c r="J30259" s="711"/>
      <c r="K30259" s="711"/>
      <c r="L30259" s="711"/>
      <c r="Q30259" s="11"/>
      <c r="R30259" s="11"/>
      <c r="S30259" s="11"/>
      <c r="T30259" s="11"/>
    </row>
    <row r="30260" spans="8:20" x14ac:dyDescent="0.35">
      <c r="H30260" s="711"/>
      <c r="I30260" s="711"/>
      <c r="J30260" s="711"/>
      <c r="K30260" s="711"/>
      <c r="L30260" s="711"/>
      <c r="Q30260" s="11"/>
      <c r="R30260" s="11"/>
      <c r="S30260" s="11"/>
      <c r="T30260" s="11"/>
    </row>
    <row r="30261" spans="8:20" x14ac:dyDescent="0.35">
      <c r="H30261" s="711"/>
      <c r="I30261" s="711"/>
      <c r="J30261" s="711"/>
      <c r="K30261" s="711"/>
      <c r="L30261" s="711"/>
      <c r="Q30261" s="11"/>
      <c r="R30261" s="11"/>
      <c r="S30261" s="11"/>
      <c r="T30261" s="11"/>
    </row>
    <row r="30262" spans="8:20" x14ac:dyDescent="0.35">
      <c r="H30262" s="711"/>
      <c r="I30262" s="711"/>
      <c r="J30262" s="711"/>
      <c r="K30262" s="711"/>
      <c r="L30262" s="711"/>
      <c r="Q30262" s="11"/>
      <c r="R30262" s="11"/>
      <c r="S30262" s="11"/>
      <c r="T30262" s="11"/>
    </row>
    <row r="30263" spans="8:20" x14ac:dyDescent="0.35">
      <c r="H30263" s="711"/>
      <c r="I30263" s="711"/>
      <c r="J30263" s="711"/>
      <c r="K30263" s="711"/>
      <c r="L30263" s="711"/>
      <c r="Q30263" s="11"/>
      <c r="R30263" s="11"/>
      <c r="S30263" s="11"/>
      <c r="T30263" s="11"/>
    </row>
    <row r="30264" spans="8:20" x14ac:dyDescent="0.35">
      <c r="H30264" s="711"/>
      <c r="I30264" s="711"/>
      <c r="J30264" s="711"/>
      <c r="K30264" s="711"/>
      <c r="L30264" s="711"/>
      <c r="Q30264" s="11"/>
      <c r="R30264" s="11"/>
      <c r="S30264" s="11"/>
      <c r="T30264" s="11"/>
    </row>
    <row r="30265" spans="8:20" x14ac:dyDescent="0.35">
      <c r="H30265" s="711"/>
      <c r="I30265" s="711"/>
      <c r="J30265" s="711"/>
      <c r="K30265" s="711"/>
      <c r="L30265" s="711"/>
      <c r="Q30265" s="11"/>
      <c r="R30265" s="11"/>
      <c r="S30265" s="11"/>
      <c r="T30265" s="11"/>
    </row>
    <row r="30266" spans="8:20" x14ac:dyDescent="0.35">
      <c r="H30266" s="711"/>
      <c r="I30266" s="711"/>
      <c r="J30266" s="711"/>
      <c r="K30266" s="711"/>
      <c r="L30266" s="711"/>
      <c r="Q30266" s="11"/>
      <c r="R30266" s="11"/>
      <c r="S30266" s="11"/>
      <c r="T30266" s="11"/>
    </row>
    <row r="30267" spans="8:20" x14ac:dyDescent="0.35">
      <c r="H30267" s="711"/>
      <c r="I30267" s="711"/>
      <c r="J30267" s="711"/>
      <c r="K30267" s="711"/>
      <c r="L30267" s="711"/>
      <c r="Q30267" s="11"/>
      <c r="R30267" s="11"/>
      <c r="S30267" s="11"/>
      <c r="T30267" s="11"/>
    </row>
    <row r="30268" spans="8:20" x14ac:dyDescent="0.35">
      <c r="H30268" s="711"/>
      <c r="I30268" s="711"/>
      <c r="J30268" s="711"/>
      <c r="K30268" s="711"/>
      <c r="L30268" s="711"/>
      <c r="Q30268" s="11"/>
      <c r="R30268" s="11"/>
      <c r="S30268" s="11"/>
      <c r="T30268" s="11"/>
    </row>
    <row r="30269" spans="8:20" x14ac:dyDescent="0.35">
      <c r="H30269" s="711"/>
      <c r="I30269" s="711"/>
      <c r="J30269" s="711"/>
      <c r="K30269" s="711"/>
      <c r="L30269" s="711"/>
      <c r="Q30269" s="11"/>
      <c r="R30269" s="11"/>
      <c r="S30269" s="11"/>
      <c r="T30269" s="11"/>
    </row>
    <row r="30270" spans="8:20" x14ac:dyDescent="0.35">
      <c r="H30270" s="711"/>
      <c r="I30270" s="711"/>
      <c r="J30270" s="711"/>
      <c r="K30270" s="711"/>
      <c r="L30270" s="711"/>
      <c r="Q30270" s="11"/>
      <c r="R30270" s="11"/>
      <c r="S30270" s="11"/>
      <c r="T30270" s="11"/>
    </row>
    <row r="30271" spans="8:20" x14ac:dyDescent="0.35">
      <c r="H30271" s="711"/>
      <c r="I30271" s="711"/>
      <c r="J30271" s="711"/>
      <c r="K30271" s="711"/>
      <c r="L30271" s="711"/>
      <c r="Q30271" s="11"/>
      <c r="R30271" s="11"/>
      <c r="S30271" s="11"/>
      <c r="T30271" s="11"/>
    </row>
    <row r="30272" spans="8:20" x14ac:dyDescent="0.35">
      <c r="H30272" s="711"/>
      <c r="I30272" s="711"/>
      <c r="J30272" s="711"/>
      <c r="K30272" s="711"/>
      <c r="L30272" s="711"/>
      <c r="Q30272" s="11"/>
      <c r="R30272" s="11"/>
      <c r="S30272" s="11"/>
      <c r="T30272" s="11"/>
    </row>
    <row r="30273" spans="8:20" x14ac:dyDescent="0.35">
      <c r="H30273" s="711"/>
      <c r="I30273" s="711"/>
      <c r="J30273" s="711"/>
      <c r="K30273" s="711"/>
      <c r="L30273" s="711"/>
      <c r="Q30273" s="11"/>
      <c r="R30273" s="11"/>
      <c r="S30273" s="11"/>
      <c r="T30273" s="11"/>
    </row>
    <row r="30274" spans="8:20" x14ac:dyDescent="0.35">
      <c r="H30274" s="711"/>
      <c r="I30274" s="711"/>
      <c r="J30274" s="711"/>
      <c r="K30274" s="711"/>
      <c r="L30274" s="711"/>
      <c r="Q30274" s="11"/>
      <c r="R30274" s="11"/>
      <c r="S30274" s="11"/>
      <c r="T30274" s="11"/>
    </row>
    <row r="30275" spans="8:20" x14ac:dyDescent="0.35">
      <c r="H30275" s="711"/>
      <c r="I30275" s="711"/>
      <c r="J30275" s="711"/>
      <c r="K30275" s="711"/>
      <c r="L30275" s="711"/>
      <c r="Q30275" s="11"/>
      <c r="R30275" s="11"/>
      <c r="S30275" s="11"/>
      <c r="T30275" s="11"/>
    </row>
    <row r="30276" spans="8:20" x14ac:dyDescent="0.35">
      <c r="H30276" s="711"/>
      <c r="I30276" s="711"/>
      <c r="J30276" s="711"/>
      <c r="K30276" s="711"/>
      <c r="L30276" s="711"/>
      <c r="Q30276" s="11"/>
      <c r="R30276" s="11"/>
      <c r="S30276" s="11"/>
      <c r="T30276" s="11"/>
    </row>
    <row r="30277" spans="8:20" x14ac:dyDescent="0.35">
      <c r="H30277" s="711"/>
      <c r="I30277" s="711"/>
      <c r="J30277" s="711"/>
      <c r="K30277" s="711"/>
      <c r="L30277" s="711"/>
      <c r="Q30277" s="11"/>
      <c r="R30277" s="11"/>
      <c r="S30277" s="11"/>
      <c r="T30277" s="11"/>
    </row>
    <row r="30278" spans="8:20" x14ac:dyDescent="0.35">
      <c r="H30278" s="711"/>
      <c r="I30278" s="711"/>
      <c r="J30278" s="711"/>
      <c r="K30278" s="711"/>
      <c r="L30278" s="711"/>
      <c r="Q30278" s="11"/>
      <c r="R30278" s="11"/>
      <c r="S30278" s="11"/>
      <c r="T30278" s="11"/>
    </row>
    <row r="30279" spans="8:20" x14ac:dyDescent="0.35">
      <c r="H30279" s="711"/>
      <c r="I30279" s="711"/>
      <c r="J30279" s="711"/>
      <c r="K30279" s="711"/>
      <c r="L30279" s="711"/>
      <c r="Q30279" s="11"/>
      <c r="R30279" s="11"/>
      <c r="S30279" s="11"/>
      <c r="T30279" s="11"/>
    </row>
    <row r="30280" spans="8:20" x14ac:dyDescent="0.35">
      <c r="H30280" s="711"/>
      <c r="I30280" s="711"/>
      <c r="J30280" s="711"/>
      <c r="K30280" s="711"/>
      <c r="L30280" s="711"/>
      <c r="Q30280" s="11"/>
      <c r="R30280" s="11"/>
      <c r="S30280" s="11"/>
      <c r="T30280" s="11"/>
    </row>
    <row r="30281" spans="8:20" x14ac:dyDescent="0.35">
      <c r="H30281" s="711"/>
      <c r="I30281" s="711"/>
      <c r="J30281" s="711"/>
      <c r="K30281" s="711"/>
      <c r="L30281" s="711"/>
      <c r="Q30281" s="11"/>
      <c r="R30281" s="11"/>
      <c r="S30281" s="11"/>
      <c r="T30281" s="11"/>
    </row>
    <row r="30282" spans="8:20" x14ac:dyDescent="0.35">
      <c r="H30282" s="711"/>
      <c r="I30282" s="711"/>
      <c r="J30282" s="711"/>
      <c r="K30282" s="711"/>
      <c r="L30282" s="711"/>
      <c r="Q30282" s="11"/>
      <c r="R30282" s="11"/>
      <c r="S30282" s="11"/>
      <c r="T30282" s="11"/>
    </row>
    <row r="30283" spans="8:20" x14ac:dyDescent="0.35">
      <c r="H30283" s="711"/>
      <c r="I30283" s="711"/>
      <c r="J30283" s="711"/>
      <c r="K30283" s="711"/>
      <c r="L30283" s="711"/>
      <c r="Q30283" s="11"/>
      <c r="R30283" s="11"/>
      <c r="S30283" s="11"/>
      <c r="T30283" s="11"/>
    </row>
    <row r="30284" spans="8:20" x14ac:dyDescent="0.35">
      <c r="H30284" s="711"/>
      <c r="I30284" s="711"/>
      <c r="J30284" s="711"/>
      <c r="K30284" s="711"/>
      <c r="L30284" s="711"/>
      <c r="Q30284" s="11"/>
      <c r="R30284" s="11"/>
      <c r="S30284" s="11"/>
      <c r="T30284" s="11"/>
    </row>
    <row r="30285" spans="8:20" x14ac:dyDescent="0.35">
      <c r="H30285" s="711"/>
      <c r="I30285" s="711"/>
      <c r="J30285" s="711"/>
      <c r="K30285" s="711"/>
      <c r="L30285" s="711"/>
      <c r="Q30285" s="11"/>
      <c r="R30285" s="11"/>
      <c r="S30285" s="11"/>
      <c r="T30285" s="11"/>
    </row>
    <row r="30286" spans="8:20" x14ac:dyDescent="0.35">
      <c r="H30286" s="711"/>
      <c r="I30286" s="711"/>
      <c r="J30286" s="711"/>
      <c r="K30286" s="711"/>
      <c r="L30286" s="711"/>
      <c r="Q30286" s="11"/>
      <c r="R30286" s="11"/>
      <c r="S30286" s="11"/>
      <c r="T30286" s="11"/>
    </row>
    <row r="30287" spans="8:20" x14ac:dyDescent="0.35">
      <c r="H30287" s="711"/>
      <c r="I30287" s="711"/>
      <c r="J30287" s="711"/>
      <c r="K30287" s="711"/>
      <c r="L30287" s="711"/>
      <c r="Q30287" s="11"/>
      <c r="R30287" s="11"/>
      <c r="S30287" s="11"/>
      <c r="T30287" s="11"/>
    </row>
    <row r="30288" spans="8:20" x14ac:dyDescent="0.35">
      <c r="H30288" s="711"/>
      <c r="I30288" s="711"/>
      <c r="J30288" s="711"/>
      <c r="K30288" s="711"/>
      <c r="L30288" s="711"/>
      <c r="Q30288" s="11"/>
      <c r="R30288" s="11"/>
      <c r="S30288" s="11"/>
      <c r="T30288" s="11"/>
    </row>
    <row r="30289" spans="8:20" x14ac:dyDescent="0.35">
      <c r="H30289" s="711"/>
      <c r="I30289" s="711"/>
      <c r="J30289" s="711"/>
      <c r="K30289" s="711"/>
      <c r="L30289" s="711"/>
      <c r="Q30289" s="11"/>
      <c r="R30289" s="11"/>
      <c r="S30289" s="11"/>
      <c r="T30289" s="11"/>
    </row>
    <row r="30290" spans="8:20" x14ac:dyDescent="0.35">
      <c r="H30290" s="711"/>
      <c r="I30290" s="711"/>
      <c r="J30290" s="711"/>
      <c r="K30290" s="711"/>
      <c r="L30290" s="711"/>
      <c r="Q30290" s="11"/>
      <c r="R30290" s="11"/>
      <c r="S30290" s="11"/>
      <c r="T30290" s="11"/>
    </row>
    <row r="30291" spans="8:20" x14ac:dyDescent="0.35">
      <c r="H30291" s="711"/>
      <c r="I30291" s="711"/>
      <c r="J30291" s="711"/>
      <c r="K30291" s="711"/>
      <c r="L30291" s="711"/>
      <c r="Q30291" s="11"/>
      <c r="R30291" s="11"/>
      <c r="S30291" s="11"/>
      <c r="T30291" s="11"/>
    </row>
    <row r="30292" spans="8:20" x14ac:dyDescent="0.35">
      <c r="H30292" s="711"/>
      <c r="I30292" s="711"/>
      <c r="J30292" s="711"/>
      <c r="K30292" s="711"/>
      <c r="L30292" s="711"/>
      <c r="Q30292" s="11"/>
      <c r="R30292" s="11"/>
      <c r="S30292" s="11"/>
      <c r="T30292" s="11"/>
    </row>
    <row r="30293" spans="8:20" x14ac:dyDescent="0.35">
      <c r="H30293" s="711"/>
      <c r="I30293" s="711"/>
      <c r="J30293" s="711"/>
      <c r="K30293" s="711"/>
      <c r="L30293" s="711"/>
      <c r="Q30293" s="11"/>
      <c r="R30293" s="11"/>
      <c r="S30293" s="11"/>
      <c r="T30293" s="11"/>
    </row>
    <row r="30294" spans="8:20" x14ac:dyDescent="0.35">
      <c r="H30294" s="711"/>
      <c r="I30294" s="711"/>
      <c r="J30294" s="711"/>
      <c r="K30294" s="711"/>
      <c r="L30294" s="711"/>
      <c r="Q30294" s="11"/>
      <c r="R30294" s="11"/>
      <c r="S30294" s="11"/>
      <c r="T30294" s="11"/>
    </row>
    <row r="30295" spans="8:20" x14ac:dyDescent="0.35">
      <c r="H30295" s="711"/>
      <c r="I30295" s="711"/>
      <c r="J30295" s="711"/>
      <c r="K30295" s="711"/>
      <c r="L30295" s="711"/>
      <c r="Q30295" s="11"/>
      <c r="R30295" s="11"/>
      <c r="S30295" s="11"/>
      <c r="T30295" s="11"/>
    </row>
    <row r="30296" spans="8:20" x14ac:dyDescent="0.35">
      <c r="H30296" s="711"/>
      <c r="I30296" s="711"/>
      <c r="J30296" s="711"/>
      <c r="K30296" s="711"/>
      <c r="L30296" s="711"/>
      <c r="Q30296" s="11"/>
      <c r="R30296" s="11"/>
      <c r="S30296" s="11"/>
      <c r="T30296" s="11"/>
    </row>
    <row r="30297" spans="8:20" x14ac:dyDescent="0.35">
      <c r="H30297" s="711"/>
      <c r="I30297" s="711"/>
      <c r="J30297" s="711"/>
      <c r="K30297" s="711"/>
      <c r="L30297" s="711"/>
      <c r="Q30297" s="11"/>
      <c r="R30297" s="11"/>
      <c r="S30297" s="11"/>
      <c r="T30297" s="11"/>
    </row>
    <row r="30298" spans="8:20" x14ac:dyDescent="0.35">
      <c r="H30298" s="711"/>
      <c r="I30298" s="711"/>
      <c r="J30298" s="711"/>
      <c r="K30298" s="711"/>
      <c r="L30298" s="711"/>
      <c r="Q30298" s="11"/>
      <c r="R30298" s="11"/>
      <c r="S30298" s="11"/>
      <c r="T30298" s="11"/>
    </row>
    <row r="30299" spans="8:20" x14ac:dyDescent="0.35">
      <c r="H30299" s="711"/>
      <c r="I30299" s="711"/>
      <c r="J30299" s="711"/>
      <c r="K30299" s="711"/>
      <c r="L30299" s="711"/>
      <c r="Q30299" s="11"/>
      <c r="R30299" s="11"/>
      <c r="S30299" s="11"/>
      <c r="T30299" s="11"/>
    </row>
    <row r="30300" spans="8:20" x14ac:dyDescent="0.35">
      <c r="H30300" s="711"/>
      <c r="I30300" s="711"/>
      <c r="J30300" s="711"/>
      <c r="K30300" s="711"/>
      <c r="L30300" s="711"/>
      <c r="Q30300" s="11"/>
      <c r="R30300" s="11"/>
      <c r="S30300" s="11"/>
      <c r="T30300" s="11"/>
    </row>
    <row r="30301" spans="8:20" x14ac:dyDescent="0.35">
      <c r="H30301" s="711"/>
      <c r="I30301" s="711"/>
      <c r="J30301" s="711"/>
      <c r="K30301" s="711"/>
      <c r="L30301" s="711"/>
      <c r="Q30301" s="11"/>
      <c r="R30301" s="11"/>
      <c r="S30301" s="11"/>
      <c r="T30301" s="11"/>
    </row>
    <row r="30302" spans="8:20" x14ac:dyDescent="0.35">
      <c r="H30302" s="711"/>
      <c r="I30302" s="711"/>
      <c r="J30302" s="711"/>
      <c r="K30302" s="711"/>
      <c r="L30302" s="711"/>
      <c r="Q30302" s="11"/>
      <c r="R30302" s="11"/>
      <c r="S30302" s="11"/>
      <c r="T30302" s="11"/>
    </row>
    <row r="30303" spans="8:20" x14ac:dyDescent="0.35">
      <c r="H30303" s="711"/>
      <c r="I30303" s="711"/>
      <c r="J30303" s="711"/>
      <c r="K30303" s="711"/>
      <c r="L30303" s="711"/>
      <c r="Q30303" s="11"/>
      <c r="R30303" s="11"/>
      <c r="S30303" s="11"/>
      <c r="T30303" s="11"/>
    </row>
    <row r="30304" spans="8:20" x14ac:dyDescent="0.35">
      <c r="H30304" s="711"/>
      <c r="I30304" s="711"/>
      <c r="J30304" s="711"/>
      <c r="K30304" s="711"/>
      <c r="L30304" s="711"/>
      <c r="Q30304" s="11"/>
      <c r="R30304" s="11"/>
      <c r="S30304" s="11"/>
      <c r="T30304" s="11"/>
    </row>
    <row r="30305" spans="8:20" x14ac:dyDescent="0.35">
      <c r="H30305" s="711"/>
      <c r="I30305" s="711"/>
      <c r="J30305" s="711"/>
      <c r="K30305" s="711"/>
      <c r="L30305" s="711"/>
      <c r="Q30305" s="11"/>
      <c r="R30305" s="11"/>
      <c r="S30305" s="11"/>
      <c r="T30305" s="11"/>
    </row>
    <row r="30306" spans="8:20" x14ac:dyDescent="0.35">
      <c r="H30306" s="711"/>
      <c r="I30306" s="711"/>
      <c r="J30306" s="711"/>
      <c r="K30306" s="711"/>
      <c r="L30306" s="711"/>
      <c r="Q30306" s="11"/>
      <c r="R30306" s="11"/>
      <c r="S30306" s="11"/>
      <c r="T30306" s="11"/>
    </row>
    <row r="30307" spans="8:20" x14ac:dyDescent="0.35">
      <c r="H30307" s="711"/>
      <c r="I30307" s="711"/>
      <c r="J30307" s="711"/>
      <c r="K30307" s="711"/>
      <c r="L30307" s="711"/>
      <c r="Q30307" s="11"/>
      <c r="R30307" s="11"/>
      <c r="S30307" s="11"/>
      <c r="T30307" s="11"/>
    </row>
    <row r="30308" spans="8:20" x14ac:dyDescent="0.35">
      <c r="H30308" s="711"/>
      <c r="I30308" s="711"/>
      <c r="J30308" s="711"/>
      <c r="K30308" s="711"/>
      <c r="L30308" s="711"/>
      <c r="Q30308" s="11"/>
      <c r="R30308" s="11"/>
      <c r="S30308" s="11"/>
      <c r="T30308" s="11"/>
    </row>
    <row r="30309" spans="8:20" x14ac:dyDescent="0.35">
      <c r="H30309" s="711"/>
      <c r="I30309" s="711"/>
      <c r="J30309" s="711"/>
      <c r="K30309" s="711"/>
      <c r="L30309" s="711"/>
      <c r="Q30309" s="11"/>
      <c r="R30309" s="11"/>
      <c r="S30309" s="11"/>
      <c r="T30309" s="11"/>
    </row>
    <row r="30310" spans="8:20" x14ac:dyDescent="0.35">
      <c r="H30310" s="711"/>
      <c r="I30310" s="711"/>
      <c r="J30310" s="711"/>
      <c r="K30310" s="711"/>
      <c r="L30310" s="711"/>
      <c r="Q30310" s="11"/>
      <c r="R30310" s="11"/>
      <c r="S30310" s="11"/>
      <c r="T30310" s="11"/>
    </row>
    <row r="30311" spans="8:20" x14ac:dyDescent="0.35">
      <c r="H30311" s="711"/>
      <c r="I30311" s="711"/>
      <c r="J30311" s="711"/>
      <c r="K30311" s="711"/>
      <c r="L30311" s="711"/>
      <c r="Q30311" s="11"/>
      <c r="R30311" s="11"/>
      <c r="S30311" s="11"/>
      <c r="T30311" s="11"/>
    </row>
    <row r="30312" spans="8:20" x14ac:dyDescent="0.35">
      <c r="H30312" s="711"/>
      <c r="I30312" s="711"/>
      <c r="J30312" s="711"/>
      <c r="K30312" s="711"/>
      <c r="L30312" s="711"/>
      <c r="Q30312" s="11"/>
      <c r="R30312" s="11"/>
      <c r="S30312" s="11"/>
      <c r="T30312" s="11"/>
    </row>
    <row r="30313" spans="8:20" x14ac:dyDescent="0.35">
      <c r="H30313" s="711"/>
      <c r="I30313" s="711"/>
      <c r="J30313" s="711"/>
      <c r="K30313" s="711"/>
      <c r="L30313" s="711"/>
      <c r="Q30313" s="11"/>
      <c r="R30313" s="11"/>
      <c r="S30313" s="11"/>
      <c r="T30313" s="11"/>
    </row>
    <row r="30314" spans="8:20" x14ac:dyDescent="0.35">
      <c r="H30314" s="711"/>
      <c r="I30314" s="711"/>
      <c r="J30314" s="711"/>
      <c r="K30314" s="711"/>
      <c r="L30314" s="711"/>
      <c r="Q30314" s="11"/>
      <c r="R30314" s="11"/>
      <c r="S30314" s="11"/>
      <c r="T30314" s="11"/>
    </row>
    <row r="30315" spans="8:20" x14ac:dyDescent="0.35">
      <c r="H30315" s="711"/>
      <c r="I30315" s="711"/>
      <c r="J30315" s="711"/>
      <c r="K30315" s="711"/>
      <c r="L30315" s="711"/>
      <c r="Q30315" s="11"/>
      <c r="R30315" s="11"/>
      <c r="S30315" s="11"/>
      <c r="T30315" s="11"/>
    </row>
    <row r="30316" spans="8:20" x14ac:dyDescent="0.35">
      <c r="H30316" s="711"/>
      <c r="I30316" s="711"/>
      <c r="J30316" s="711"/>
      <c r="K30316" s="711"/>
      <c r="L30316" s="711"/>
      <c r="Q30316" s="11"/>
      <c r="R30316" s="11"/>
      <c r="S30316" s="11"/>
      <c r="T30316" s="11"/>
    </row>
    <row r="30317" spans="8:20" x14ac:dyDescent="0.35">
      <c r="H30317" s="711"/>
      <c r="I30317" s="711"/>
      <c r="J30317" s="711"/>
      <c r="K30317" s="711"/>
      <c r="L30317" s="711"/>
      <c r="Q30317" s="11"/>
      <c r="R30317" s="11"/>
      <c r="S30317" s="11"/>
      <c r="T30317" s="11"/>
    </row>
    <row r="30318" spans="8:20" x14ac:dyDescent="0.35">
      <c r="H30318" s="711"/>
      <c r="I30318" s="711"/>
      <c r="J30318" s="711"/>
      <c r="K30318" s="711"/>
      <c r="L30318" s="711"/>
      <c r="Q30318" s="11"/>
      <c r="R30318" s="11"/>
      <c r="S30318" s="11"/>
      <c r="T30318" s="11"/>
    </row>
    <row r="30319" spans="8:20" x14ac:dyDescent="0.35">
      <c r="H30319" s="711"/>
      <c r="I30319" s="711"/>
      <c r="J30319" s="711"/>
      <c r="K30319" s="711"/>
      <c r="L30319" s="711"/>
      <c r="Q30319" s="11"/>
      <c r="R30319" s="11"/>
      <c r="S30319" s="11"/>
      <c r="T30319" s="11"/>
    </row>
    <row r="30320" spans="8:20" x14ac:dyDescent="0.35">
      <c r="H30320" s="711"/>
      <c r="I30320" s="711"/>
      <c r="J30320" s="711"/>
      <c r="K30320" s="711"/>
      <c r="L30320" s="711"/>
      <c r="Q30320" s="11"/>
      <c r="R30320" s="11"/>
      <c r="S30320" s="11"/>
      <c r="T30320" s="11"/>
    </row>
    <row r="30321" spans="8:20" x14ac:dyDescent="0.35">
      <c r="H30321" s="711"/>
      <c r="I30321" s="711"/>
      <c r="J30321" s="711"/>
      <c r="K30321" s="711"/>
      <c r="L30321" s="711"/>
      <c r="Q30321" s="11"/>
      <c r="R30321" s="11"/>
      <c r="S30321" s="11"/>
      <c r="T30321" s="11"/>
    </row>
    <row r="30322" spans="8:20" x14ac:dyDescent="0.35">
      <c r="H30322" s="711"/>
      <c r="I30322" s="711"/>
      <c r="J30322" s="711"/>
      <c r="K30322" s="711"/>
      <c r="L30322" s="711"/>
      <c r="Q30322" s="11"/>
      <c r="R30322" s="11"/>
      <c r="S30322" s="11"/>
      <c r="T30322" s="11"/>
    </row>
    <row r="30323" spans="8:20" x14ac:dyDescent="0.35">
      <c r="H30323" s="711"/>
      <c r="I30323" s="711"/>
      <c r="J30323" s="711"/>
      <c r="K30323" s="711"/>
      <c r="L30323" s="711"/>
      <c r="Q30323" s="11"/>
      <c r="R30323" s="11"/>
      <c r="S30323" s="11"/>
      <c r="T30323" s="11"/>
    </row>
    <row r="30324" spans="8:20" x14ac:dyDescent="0.35">
      <c r="H30324" s="711"/>
      <c r="I30324" s="711"/>
      <c r="J30324" s="711"/>
      <c r="K30324" s="711"/>
      <c r="L30324" s="711"/>
      <c r="Q30324" s="11"/>
      <c r="R30324" s="11"/>
      <c r="S30324" s="11"/>
      <c r="T30324" s="11"/>
    </row>
    <row r="30325" spans="8:20" x14ac:dyDescent="0.35">
      <c r="H30325" s="711"/>
      <c r="I30325" s="711"/>
      <c r="J30325" s="711"/>
      <c r="K30325" s="711"/>
      <c r="L30325" s="711"/>
      <c r="Q30325" s="11"/>
      <c r="R30325" s="11"/>
      <c r="S30325" s="11"/>
      <c r="T30325" s="11"/>
    </row>
    <row r="30326" spans="8:20" x14ac:dyDescent="0.35">
      <c r="H30326" s="711"/>
      <c r="I30326" s="711"/>
      <c r="J30326" s="711"/>
      <c r="K30326" s="711"/>
      <c r="L30326" s="711"/>
      <c r="Q30326" s="11"/>
      <c r="R30326" s="11"/>
      <c r="S30326" s="11"/>
      <c r="T30326" s="11"/>
    </row>
    <row r="30327" spans="8:20" x14ac:dyDescent="0.35">
      <c r="H30327" s="711"/>
      <c r="I30327" s="711"/>
      <c r="J30327" s="711"/>
      <c r="K30327" s="711"/>
      <c r="L30327" s="711"/>
      <c r="Q30327" s="11"/>
      <c r="R30327" s="11"/>
      <c r="S30327" s="11"/>
      <c r="T30327" s="11"/>
    </row>
    <row r="30328" spans="8:20" x14ac:dyDescent="0.35">
      <c r="H30328" s="711"/>
      <c r="I30328" s="711"/>
      <c r="J30328" s="711"/>
      <c r="K30328" s="711"/>
      <c r="L30328" s="711"/>
      <c r="Q30328" s="11"/>
      <c r="R30328" s="11"/>
      <c r="S30328" s="11"/>
      <c r="T30328" s="11"/>
    </row>
    <row r="30329" spans="8:20" x14ac:dyDescent="0.35">
      <c r="H30329" s="711"/>
      <c r="I30329" s="711"/>
      <c r="J30329" s="711"/>
      <c r="K30329" s="711"/>
      <c r="L30329" s="711"/>
      <c r="Q30329" s="11"/>
      <c r="R30329" s="11"/>
      <c r="S30329" s="11"/>
      <c r="T30329" s="11"/>
    </row>
    <row r="30330" spans="8:20" x14ac:dyDescent="0.35">
      <c r="H30330" s="711"/>
      <c r="I30330" s="711"/>
      <c r="J30330" s="711"/>
      <c r="K30330" s="711"/>
      <c r="L30330" s="711"/>
      <c r="Q30330" s="11"/>
      <c r="R30330" s="11"/>
      <c r="S30330" s="11"/>
      <c r="T30330" s="11"/>
    </row>
    <row r="30331" spans="8:20" x14ac:dyDescent="0.35">
      <c r="H30331" s="711"/>
      <c r="I30331" s="711"/>
      <c r="J30331" s="711"/>
      <c r="K30331" s="711"/>
      <c r="L30331" s="711"/>
      <c r="Q30331" s="11"/>
      <c r="R30331" s="11"/>
      <c r="S30331" s="11"/>
      <c r="T30331" s="11"/>
    </row>
    <row r="30332" spans="8:20" x14ac:dyDescent="0.35">
      <c r="H30332" s="711"/>
      <c r="I30332" s="711"/>
      <c r="J30332" s="711"/>
      <c r="K30332" s="711"/>
      <c r="L30332" s="711"/>
      <c r="Q30332" s="11"/>
      <c r="R30332" s="11"/>
      <c r="S30332" s="11"/>
      <c r="T30332" s="11"/>
    </row>
    <row r="30333" spans="8:20" x14ac:dyDescent="0.35">
      <c r="H30333" s="711"/>
      <c r="I30333" s="711"/>
      <c r="J30333" s="711"/>
      <c r="K30333" s="711"/>
      <c r="L30333" s="711"/>
      <c r="Q30333" s="11"/>
      <c r="R30333" s="11"/>
      <c r="S30333" s="11"/>
      <c r="T30333" s="11"/>
    </row>
    <row r="30334" spans="8:20" x14ac:dyDescent="0.35">
      <c r="H30334" s="711"/>
      <c r="I30334" s="711"/>
      <c r="J30334" s="711"/>
      <c r="K30334" s="711"/>
      <c r="L30334" s="711"/>
      <c r="Q30334" s="11"/>
      <c r="R30334" s="11"/>
      <c r="S30334" s="11"/>
      <c r="T30334" s="11"/>
    </row>
    <row r="30335" spans="8:20" x14ac:dyDescent="0.35">
      <c r="H30335" s="711"/>
      <c r="I30335" s="711"/>
      <c r="J30335" s="711"/>
      <c r="K30335" s="711"/>
      <c r="L30335" s="711"/>
      <c r="Q30335" s="11"/>
      <c r="R30335" s="11"/>
      <c r="S30335" s="11"/>
      <c r="T30335" s="11"/>
    </row>
    <row r="30336" spans="8:20" x14ac:dyDescent="0.35">
      <c r="H30336" s="711"/>
      <c r="I30336" s="711"/>
      <c r="J30336" s="711"/>
      <c r="K30336" s="711"/>
      <c r="L30336" s="711"/>
      <c r="Q30336" s="11"/>
      <c r="R30336" s="11"/>
      <c r="S30336" s="11"/>
      <c r="T30336" s="11"/>
    </row>
    <row r="30337" spans="8:20" x14ac:dyDescent="0.35">
      <c r="H30337" s="711"/>
      <c r="I30337" s="711"/>
      <c r="J30337" s="711"/>
      <c r="K30337" s="711"/>
      <c r="L30337" s="711"/>
      <c r="Q30337" s="11"/>
      <c r="R30337" s="11"/>
      <c r="S30337" s="11"/>
      <c r="T30337" s="11"/>
    </row>
    <row r="30338" spans="8:20" x14ac:dyDescent="0.35">
      <c r="H30338" s="711"/>
      <c r="I30338" s="711"/>
      <c r="J30338" s="711"/>
      <c r="K30338" s="711"/>
      <c r="L30338" s="711"/>
      <c r="Q30338" s="11"/>
      <c r="R30338" s="11"/>
      <c r="S30338" s="11"/>
      <c r="T30338" s="11"/>
    </row>
    <row r="30339" spans="8:20" x14ac:dyDescent="0.35">
      <c r="H30339" s="711"/>
      <c r="I30339" s="711"/>
      <c r="J30339" s="711"/>
      <c r="K30339" s="711"/>
      <c r="L30339" s="711"/>
      <c r="Q30339" s="11"/>
      <c r="R30339" s="11"/>
      <c r="S30339" s="11"/>
      <c r="T30339" s="11"/>
    </row>
    <row r="30340" spans="8:20" x14ac:dyDescent="0.35">
      <c r="H30340" s="711"/>
      <c r="I30340" s="711"/>
      <c r="J30340" s="711"/>
      <c r="K30340" s="711"/>
      <c r="L30340" s="711"/>
      <c r="Q30340" s="11"/>
      <c r="R30340" s="11"/>
      <c r="S30340" s="11"/>
      <c r="T30340" s="11"/>
    </row>
    <row r="30341" spans="8:20" x14ac:dyDescent="0.35">
      <c r="H30341" s="711"/>
      <c r="I30341" s="711"/>
      <c r="J30341" s="711"/>
      <c r="K30341" s="711"/>
      <c r="L30341" s="711"/>
      <c r="Q30341" s="11"/>
      <c r="R30341" s="11"/>
      <c r="S30341" s="11"/>
      <c r="T30341" s="11"/>
    </row>
    <row r="30342" spans="8:20" x14ac:dyDescent="0.35">
      <c r="H30342" s="711"/>
      <c r="I30342" s="711"/>
      <c r="J30342" s="711"/>
      <c r="K30342" s="711"/>
      <c r="L30342" s="711"/>
      <c r="Q30342" s="11"/>
      <c r="R30342" s="11"/>
      <c r="S30342" s="11"/>
      <c r="T30342" s="11"/>
    </row>
    <row r="30343" spans="8:20" x14ac:dyDescent="0.35">
      <c r="H30343" s="711"/>
      <c r="I30343" s="711"/>
      <c r="J30343" s="711"/>
      <c r="K30343" s="711"/>
      <c r="L30343" s="711"/>
      <c r="Q30343" s="11"/>
      <c r="R30343" s="11"/>
      <c r="S30343" s="11"/>
      <c r="T30343" s="11"/>
    </row>
    <row r="30344" spans="8:20" x14ac:dyDescent="0.35">
      <c r="H30344" s="711"/>
      <c r="I30344" s="711"/>
      <c r="J30344" s="711"/>
      <c r="K30344" s="711"/>
      <c r="L30344" s="711"/>
      <c r="Q30344" s="11"/>
      <c r="R30344" s="11"/>
      <c r="S30344" s="11"/>
      <c r="T30344" s="11"/>
    </row>
    <row r="30345" spans="8:20" x14ac:dyDescent="0.35">
      <c r="H30345" s="711"/>
      <c r="I30345" s="711"/>
      <c r="J30345" s="711"/>
      <c r="K30345" s="711"/>
      <c r="L30345" s="711"/>
      <c r="Q30345" s="11"/>
      <c r="R30345" s="11"/>
      <c r="S30345" s="11"/>
      <c r="T30345" s="11"/>
    </row>
    <row r="30346" spans="8:20" x14ac:dyDescent="0.35">
      <c r="H30346" s="711"/>
      <c r="I30346" s="711"/>
      <c r="J30346" s="711"/>
      <c r="K30346" s="711"/>
      <c r="L30346" s="711"/>
      <c r="Q30346" s="11"/>
      <c r="R30346" s="11"/>
      <c r="S30346" s="11"/>
      <c r="T30346" s="11"/>
    </row>
    <row r="30347" spans="8:20" x14ac:dyDescent="0.35">
      <c r="H30347" s="711"/>
      <c r="I30347" s="711"/>
      <c r="J30347" s="711"/>
      <c r="K30347" s="711"/>
      <c r="L30347" s="711"/>
      <c r="Q30347" s="11"/>
      <c r="R30347" s="11"/>
      <c r="S30347" s="11"/>
      <c r="T30347" s="11"/>
    </row>
    <row r="30348" spans="8:20" x14ac:dyDescent="0.35">
      <c r="H30348" s="711"/>
      <c r="I30348" s="711"/>
      <c r="J30348" s="711"/>
      <c r="K30348" s="711"/>
      <c r="L30348" s="711"/>
      <c r="Q30348" s="11"/>
      <c r="R30348" s="11"/>
      <c r="S30348" s="11"/>
      <c r="T30348" s="11"/>
    </row>
    <row r="30349" spans="8:20" x14ac:dyDescent="0.35">
      <c r="H30349" s="711"/>
      <c r="I30349" s="711"/>
      <c r="J30349" s="711"/>
      <c r="K30349" s="711"/>
      <c r="L30349" s="711"/>
      <c r="Q30349" s="11"/>
      <c r="R30349" s="11"/>
      <c r="S30349" s="11"/>
      <c r="T30349" s="11"/>
    </row>
    <row r="30350" spans="8:20" x14ac:dyDescent="0.35">
      <c r="H30350" s="711"/>
      <c r="I30350" s="711"/>
      <c r="J30350" s="711"/>
      <c r="K30350" s="711"/>
      <c r="L30350" s="711"/>
      <c r="Q30350" s="11"/>
      <c r="R30350" s="11"/>
      <c r="S30350" s="11"/>
      <c r="T30350" s="11"/>
    </row>
    <row r="30351" spans="8:20" x14ac:dyDescent="0.35">
      <c r="H30351" s="711"/>
      <c r="I30351" s="711"/>
      <c r="J30351" s="711"/>
      <c r="K30351" s="711"/>
      <c r="L30351" s="711"/>
      <c r="Q30351" s="11"/>
      <c r="R30351" s="11"/>
      <c r="S30351" s="11"/>
      <c r="T30351" s="11"/>
    </row>
    <row r="30352" spans="8:20" x14ac:dyDescent="0.35">
      <c r="H30352" s="711"/>
      <c r="I30352" s="711"/>
      <c r="J30352" s="711"/>
      <c r="K30352" s="711"/>
      <c r="L30352" s="711"/>
      <c r="Q30352" s="11"/>
      <c r="R30352" s="11"/>
      <c r="S30352" s="11"/>
      <c r="T30352" s="11"/>
    </row>
    <row r="30353" spans="8:20" x14ac:dyDescent="0.35">
      <c r="H30353" s="711"/>
      <c r="I30353" s="711"/>
      <c r="J30353" s="711"/>
      <c r="K30353" s="711"/>
      <c r="L30353" s="711"/>
      <c r="Q30353" s="11"/>
      <c r="R30353" s="11"/>
      <c r="S30353" s="11"/>
      <c r="T30353" s="11"/>
    </row>
    <row r="30354" spans="8:20" x14ac:dyDescent="0.35">
      <c r="H30354" s="711"/>
      <c r="I30354" s="711"/>
      <c r="J30354" s="711"/>
      <c r="K30354" s="711"/>
      <c r="L30354" s="711"/>
      <c r="Q30354" s="11"/>
      <c r="R30354" s="11"/>
      <c r="S30354" s="11"/>
      <c r="T30354" s="11"/>
    </row>
    <row r="30355" spans="8:20" x14ac:dyDescent="0.35">
      <c r="H30355" s="711"/>
      <c r="I30355" s="711"/>
      <c r="J30355" s="711"/>
      <c r="K30355" s="711"/>
      <c r="L30355" s="711"/>
      <c r="Q30355" s="11"/>
      <c r="R30355" s="11"/>
      <c r="S30355" s="11"/>
      <c r="T30355" s="11"/>
    </row>
    <row r="30356" spans="8:20" x14ac:dyDescent="0.35">
      <c r="H30356" s="711"/>
      <c r="I30356" s="711"/>
      <c r="J30356" s="711"/>
      <c r="K30356" s="711"/>
      <c r="L30356" s="711"/>
      <c r="Q30356" s="11"/>
      <c r="R30356" s="11"/>
      <c r="S30356" s="11"/>
      <c r="T30356" s="11"/>
    </row>
    <row r="30357" spans="8:20" x14ac:dyDescent="0.35">
      <c r="H30357" s="711"/>
      <c r="I30357" s="711"/>
      <c r="J30357" s="711"/>
      <c r="K30357" s="711"/>
      <c r="L30357" s="711"/>
      <c r="Q30357" s="11"/>
      <c r="R30357" s="11"/>
      <c r="S30357" s="11"/>
      <c r="T30357" s="11"/>
    </row>
    <row r="30358" spans="8:20" x14ac:dyDescent="0.35">
      <c r="H30358" s="711"/>
      <c r="I30358" s="711"/>
      <c r="J30358" s="711"/>
      <c r="K30358" s="711"/>
      <c r="L30358" s="711"/>
      <c r="Q30358" s="11"/>
      <c r="R30358" s="11"/>
      <c r="S30358" s="11"/>
      <c r="T30358" s="11"/>
    </row>
    <row r="30359" spans="8:20" x14ac:dyDescent="0.35">
      <c r="H30359" s="711"/>
      <c r="I30359" s="711"/>
      <c r="J30359" s="711"/>
      <c r="K30359" s="711"/>
      <c r="L30359" s="711"/>
      <c r="Q30359" s="11"/>
      <c r="R30359" s="11"/>
      <c r="S30359" s="11"/>
      <c r="T30359" s="11"/>
    </row>
    <row r="30360" spans="8:20" x14ac:dyDescent="0.35">
      <c r="H30360" s="711"/>
      <c r="I30360" s="711"/>
      <c r="J30360" s="711"/>
      <c r="K30360" s="711"/>
      <c r="L30360" s="711"/>
      <c r="Q30360" s="11"/>
      <c r="R30360" s="11"/>
      <c r="S30360" s="11"/>
      <c r="T30360" s="11"/>
    </row>
    <row r="30361" spans="8:20" x14ac:dyDescent="0.35">
      <c r="H30361" s="711"/>
      <c r="I30361" s="711"/>
      <c r="J30361" s="711"/>
      <c r="K30361" s="711"/>
      <c r="L30361" s="711"/>
      <c r="Q30361" s="11"/>
      <c r="R30361" s="11"/>
      <c r="S30361" s="11"/>
      <c r="T30361" s="11"/>
    </row>
    <row r="30362" spans="8:20" x14ac:dyDescent="0.35">
      <c r="H30362" s="711"/>
      <c r="I30362" s="711"/>
      <c r="J30362" s="711"/>
      <c r="K30362" s="711"/>
      <c r="L30362" s="711"/>
      <c r="Q30362" s="11"/>
      <c r="R30362" s="11"/>
      <c r="S30362" s="11"/>
      <c r="T30362" s="11"/>
    </row>
    <row r="30363" spans="8:20" x14ac:dyDescent="0.35">
      <c r="H30363" s="711"/>
      <c r="I30363" s="711"/>
      <c r="J30363" s="711"/>
      <c r="K30363" s="711"/>
      <c r="L30363" s="711"/>
      <c r="Q30363" s="11"/>
      <c r="R30363" s="11"/>
      <c r="S30363" s="11"/>
      <c r="T30363" s="11"/>
    </row>
    <row r="30364" spans="8:20" x14ac:dyDescent="0.35">
      <c r="H30364" s="711"/>
      <c r="I30364" s="711"/>
      <c r="J30364" s="711"/>
      <c r="K30364" s="711"/>
      <c r="L30364" s="711"/>
      <c r="Q30364" s="11"/>
      <c r="R30364" s="11"/>
      <c r="S30364" s="11"/>
      <c r="T30364" s="11"/>
    </row>
    <row r="30365" spans="8:20" x14ac:dyDescent="0.35">
      <c r="H30365" s="711"/>
      <c r="I30365" s="711"/>
      <c r="J30365" s="711"/>
      <c r="K30365" s="711"/>
      <c r="L30365" s="711"/>
      <c r="Q30365" s="11"/>
      <c r="R30365" s="11"/>
      <c r="S30365" s="11"/>
      <c r="T30365" s="11"/>
    </row>
    <row r="30366" spans="8:20" x14ac:dyDescent="0.35">
      <c r="H30366" s="711"/>
      <c r="I30366" s="711"/>
      <c r="J30366" s="711"/>
      <c r="K30366" s="711"/>
      <c r="L30366" s="711"/>
      <c r="Q30366" s="11"/>
      <c r="R30366" s="11"/>
      <c r="S30366" s="11"/>
      <c r="T30366" s="11"/>
    </row>
    <row r="30367" spans="8:20" x14ac:dyDescent="0.35">
      <c r="H30367" s="711"/>
      <c r="I30367" s="711"/>
      <c r="J30367" s="711"/>
      <c r="K30367" s="711"/>
      <c r="L30367" s="711"/>
      <c r="Q30367" s="11"/>
      <c r="R30367" s="11"/>
      <c r="S30367" s="11"/>
      <c r="T30367" s="11"/>
    </row>
    <row r="30368" spans="8:20" x14ac:dyDescent="0.35">
      <c r="H30368" s="711"/>
      <c r="I30368" s="711"/>
      <c r="J30368" s="711"/>
      <c r="K30368" s="711"/>
      <c r="L30368" s="711"/>
      <c r="Q30368" s="11"/>
      <c r="R30368" s="11"/>
      <c r="S30368" s="11"/>
      <c r="T30368" s="11"/>
    </row>
    <row r="30369" spans="8:20" x14ac:dyDescent="0.35">
      <c r="H30369" s="711"/>
      <c r="I30369" s="711"/>
      <c r="J30369" s="711"/>
      <c r="K30369" s="711"/>
      <c r="L30369" s="711"/>
      <c r="Q30369" s="11"/>
      <c r="R30369" s="11"/>
      <c r="S30369" s="11"/>
      <c r="T30369" s="11"/>
    </row>
    <row r="30370" spans="8:20" x14ac:dyDescent="0.35">
      <c r="H30370" s="711"/>
      <c r="I30370" s="711"/>
      <c r="J30370" s="711"/>
      <c r="K30370" s="711"/>
      <c r="L30370" s="711"/>
      <c r="Q30370" s="11"/>
      <c r="R30370" s="11"/>
      <c r="S30370" s="11"/>
      <c r="T30370" s="11"/>
    </row>
    <row r="30371" spans="8:20" x14ac:dyDescent="0.35">
      <c r="H30371" s="711"/>
      <c r="I30371" s="711"/>
      <c r="J30371" s="711"/>
      <c r="K30371" s="711"/>
      <c r="L30371" s="711"/>
      <c r="Q30371" s="11"/>
      <c r="R30371" s="11"/>
      <c r="S30371" s="11"/>
      <c r="T30371" s="11"/>
    </row>
    <row r="30372" spans="8:20" x14ac:dyDescent="0.35">
      <c r="H30372" s="711"/>
      <c r="I30372" s="711"/>
      <c r="J30372" s="711"/>
      <c r="K30372" s="711"/>
      <c r="L30372" s="711"/>
      <c r="Q30372" s="11"/>
      <c r="R30372" s="11"/>
      <c r="S30372" s="11"/>
      <c r="T30372" s="11"/>
    </row>
    <row r="30373" spans="8:20" x14ac:dyDescent="0.35">
      <c r="H30373" s="711"/>
      <c r="I30373" s="711"/>
      <c r="J30373" s="711"/>
      <c r="K30373" s="711"/>
      <c r="L30373" s="711"/>
      <c r="Q30373" s="11"/>
      <c r="R30373" s="11"/>
      <c r="S30373" s="11"/>
      <c r="T30373" s="11"/>
    </row>
    <row r="30374" spans="8:20" x14ac:dyDescent="0.35">
      <c r="H30374" s="711"/>
      <c r="I30374" s="711"/>
      <c r="J30374" s="711"/>
      <c r="K30374" s="711"/>
      <c r="L30374" s="711"/>
      <c r="Q30374" s="11"/>
      <c r="R30374" s="11"/>
      <c r="S30374" s="11"/>
      <c r="T30374" s="11"/>
    </row>
    <row r="30375" spans="8:20" x14ac:dyDescent="0.35">
      <c r="H30375" s="711"/>
      <c r="I30375" s="711"/>
      <c r="J30375" s="711"/>
      <c r="K30375" s="711"/>
      <c r="L30375" s="711"/>
      <c r="Q30375" s="11"/>
      <c r="R30375" s="11"/>
      <c r="S30375" s="11"/>
      <c r="T30375" s="11"/>
    </row>
    <row r="30376" spans="8:20" x14ac:dyDescent="0.35">
      <c r="H30376" s="711"/>
      <c r="I30376" s="711"/>
      <c r="J30376" s="711"/>
      <c r="K30376" s="711"/>
      <c r="L30376" s="711"/>
      <c r="Q30376" s="11"/>
      <c r="R30376" s="11"/>
      <c r="S30376" s="11"/>
      <c r="T30376" s="11"/>
    </row>
    <row r="30377" spans="8:20" x14ac:dyDescent="0.35">
      <c r="H30377" s="711"/>
      <c r="I30377" s="711"/>
      <c r="J30377" s="711"/>
      <c r="K30377" s="711"/>
      <c r="L30377" s="711"/>
      <c r="Q30377" s="11"/>
      <c r="R30377" s="11"/>
      <c r="S30377" s="11"/>
      <c r="T30377" s="11"/>
    </row>
    <row r="30378" spans="8:20" x14ac:dyDescent="0.35">
      <c r="H30378" s="711"/>
      <c r="I30378" s="711"/>
      <c r="J30378" s="711"/>
      <c r="K30378" s="711"/>
      <c r="L30378" s="711"/>
      <c r="Q30378" s="11"/>
      <c r="R30378" s="11"/>
      <c r="S30378" s="11"/>
      <c r="T30378" s="11"/>
    </row>
    <row r="30379" spans="8:20" x14ac:dyDescent="0.35">
      <c r="H30379" s="711"/>
      <c r="I30379" s="711"/>
      <c r="J30379" s="711"/>
      <c r="K30379" s="711"/>
      <c r="L30379" s="711"/>
      <c r="Q30379" s="11"/>
      <c r="R30379" s="11"/>
      <c r="S30379" s="11"/>
      <c r="T30379" s="11"/>
    </row>
    <row r="30380" spans="8:20" x14ac:dyDescent="0.35">
      <c r="H30380" s="711"/>
      <c r="I30380" s="711"/>
      <c r="J30380" s="711"/>
      <c r="K30380" s="711"/>
      <c r="L30380" s="711"/>
      <c r="Q30380" s="11"/>
      <c r="R30380" s="11"/>
      <c r="S30380" s="11"/>
      <c r="T30380" s="11"/>
    </row>
    <row r="30381" spans="8:20" x14ac:dyDescent="0.35">
      <c r="H30381" s="711"/>
      <c r="I30381" s="711"/>
      <c r="J30381" s="711"/>
      <c r="K30381" s="711"/>
      <c r="L30381" s="711"/>
      <c r="Q30381" s="11"/>
      <c r="R30381" s="11"/>
      <c r="S30381" s="11"/>
      <c r="T30381" s="11"/>
    </row>
    <row r="30382" spans="8:20" x14ac:dyDescent="0.35">
      <c r="H30382" s="711"/>
      <c r="I30382" s="711"/>
      <c r="J30382" s="711"/>
      <c r="K30382" s="711"/>
      <c r="L30382" s="711"/>
      <c r="Q30382" s="11"/>
      <c r="R30382" s="11"/>
      <c r="S30382" s="11"/>
      <c r="T30382" s="11"/>
    </row>
    <row r="30383" spans="8:20" x14ac:dyDescent="0.35">
      <c r="H30383" s="711"/>
      <c r="I30383" s="711"/>
      <c r="J30383" s="711"/>
      <c r="K30383" s="711"/>
      <c r="L30383" s="711"/>
      <c r="Q30383" s="11"/>
      <c r="R30383" s="11"/>
      <c r="S30383" s="11"/>
      <c r="T30383" s="11"/>
    </row>
    <row r="30384" spans="8:20" x14ac:dyDescent="0.35">
      <c r="H30384" s="711"/>
      <c r="I30384" s="711"/>
      <c r="J30384" s="711"/>
      <c r="K30384" s="711"/>
      <c r="L30384" s="711"/>
      <c r="Q30384" s="11"/>
      <c r="R30384" s="11"/>
      <c r="S30384" s="11"/>
      <c r="T30384" s="11"/>
    </row>
    <row r="30385" spans="8:20" x14ac:dyDescent="0.35">
      <c r="H30385" s="711"/>
      <c r="I30385" s="711"/>
      <c r="J30385" s="711"/>
      <c r="K30385" s="711"/>
      <c r="L30385" s="711"/>
      <c r="Q30385" s="11"/>
      <c r="R30385" s="11"/>
      <c r="S30385" s="11"/>
      <c r="T30385" s="11"/>
    </row>
    <row r="30386" spans="8:20" x14ac:dyDescent="0.35">
      <c r="H30386" s="711"/>
      <c r="I30386" s="711"/>
      <c r="J30386" s="711"/>
      <c r="K30386" s="711"/>
      <c r="L30386" s="711"/>
      <c r="Q30386" s="11"/>
      <c r="R30386" s="11"/>
      <c r="S30386" s="11"/>
      <c r="T30386" s="11"/>
    </row>
    <row r="30387" spans="8:20" x14ac:dyDescent="0.35">
      <c r="H30387" s="711"/>
      <c r="I30387" s="711"/>
      <c r="J30387" s="711"/>
      <c r="K30387" s="711"/>
      <c r="L30387" s="711"/>
      <c r="Q30387" s="11"/>
      <c r="R30387" s="11"/>
      <c r="S30387" s="11"/>
      <c r="T30387" s="11"/>
    </row>
    <row r="30388" spans="8:20" x14ac:dyDescent="0.35">
      <c r="H30388" s="711"/>
      <c r="I30388" s="711"/>
      <c r="J30388" s="711"/>
      <c r="K30388" s="711"/>
      <c r="L30388" s="711"/>
      <c r="Q30388" s="11"/>
      <c r="R30388" s="11"/>
      <c r="S30388" s="11"/>
      <c r="T30388" s="11"/>
    </row>
    <row r="30389" spans="8:20" x14ac:dyDescent="0.35">
      <c r="H30389" s="711"/>
      <c r="I30389" s="711"/>
      <c r="J30389" s="711"/>
      <c r="K30389" s="711"/>
      <c r="L30389" s="711"/>
      <c r="Q30389" s="11"/>
      <c r="R30389" s="11"/>
      <c r="S30389" s="11"/>
      <c r="T30389" s="11"/>
    </row>
    <row r="30390" spans="8:20" x14ac:dyDescent="0.35">
      <c r="H30390" s="711"/>
      <c r="I30390" s="711"/>
      <c r="J30390" s="711"/>
      <c r="K30390" s="711"/>
      <c r="L30390" s="711"/>
      <c r="Q30390" s="11"/>
      <c r="R30390" s="11"/>
      <c r="S30390" s="11"/>
      <c r="T30390" s="11"/>
    </row>
    <row r="30391" spans="8:20" x14ac:dyDescent="0.35">
      <c r="H30391" s="711"/>
      <c r="I30391" s="711"/>
      <c r="J30391" s="711"/>
      <c r="K30391" s="711"/>
      <c r="L30391" s="711"/>
      <c r="Q30391" s="11"/>
      <c r="R30391" s="11"/>
      <c r="S30391" s="11"/>
      <c r="T30391" s="11"/>
    </row>
    <row r="30392" spans="8:20" x14ac:dyDescent="0.35">
      <c r="H30392" s="711"/>
      <c r="I30392" s="711"/>
      <c r="J30392" s="711"/>
      <c r="K30392" s="711"/>
      <c r="L30392" s="711"/>
      <c r="Q30392" s="11"/>
      <c r="R30392" s="11"/>
      <c r="S30392" s="11"/>
      <c r="T30392" s="11"/>
    </row>
    <row r="30393" spans="8:20" x14ac:dyDescent="0.35">
      <c r="H30393" s="711"/>
      <c r="I30393" s="711"/>
      <c r="J30393" s="711"/>
      <c r="K30393" s="711"/>
      <c r="L30393" s="711"/>
      <c r="Q30393" s="11"/>
      <c r="R30393" s="11"/>
      <c r="S30393" s="11"/>
      <c r="T30393" s="11"/>
    </row>
    <row r="30394" spans="8:20" x14ac:dyDescent="0.35">
      <c r="H30394" s="711"/>
      <c r="I30394" s="711"/>
      <c r="J30394" s="711"/>
      <c r="K30394" s="711"/>
      <c r="L30394" s="711"/>
      <c r="Q30394" s="11"/>
      <c r="R30394" s="11"/>
      <c r="S30394" s="11"/>
      <c r="T30394" s="11"/>
    </row>
    <row r="30395" spans="8:20" x14ac:dyDescent="0.35">
      <c r="H30395" s="711"/>
      <c r="I30395" s="711"/>
      <c r="J30395" s="711"/>
      <c r="K30395" s="711"/>
      <c r="L30395" s="711"/>
      <c r="Q30395" s="11"/>
      <c r="R30395" s="11"/>
      <c r="S30395" s="11"/>
      <c r="T30395" s="11"/>
    </row>
    <row r="30396" spans="8:20" x14ac:dyDescent="0.35">
      <c r="H30396" s="711"/>
      <c r="I30396" s="711"/>
      <c r="J30396" s="711"/>
      <c r="K30396" s="711"/>
      <c r="L30396" s="711"/>
      <c r="Q30396" s="11"/>
      <c r="R30396" s="11"/>
      <c r="S30396" s="11"/>
      <c r="T30396" s="11"/>
    </row>
    <row r="30397" spans="8:20" x14ac:dyDescent="0.35">
      <c r="H30397" s="711"/>
      <c r="I30397" s="711"/>
      <c r="J30397" s="711"/>
      <c r="K30397" s="711"/>
      <c r="L30397" s="711"/>
      <c r="Q30397" s="11"/>
      <c r="R30397" s="11"/>
      <c r="S30397" s="11"/>
      <c r="T30397" s="11"/>
    </row>
    <row r="30398" spans="8:20" x14ac:dyDescent="0.35">
      <c r="H30398" s="711"/>
      <c r="I30398" s="711"/>
      <c r="J30398" s="711"/>
      <c r="K30398" s="711"/>
      <c r="L30398" s="711"/>
      <c r="Q30398" s="11"/>
      <c r="R30398" s="11"/>
      <c r="S30398" s="11"/>
      <c r="T30398" s="11"/>
    </row>
    <row r="30399" spans="8:20" x14ac:dyDescent="0.35">
      <c r="H30399" s="711"/>
      <c r="I30399" s="711"/>
      <c r="J30399" s="711"/>
      <c r="K30399" s="711"/>
      <c r="L30399" s="711"/>
      <c r="Q30399" s="11"/>
      <c r="R30399" s="11"/>
      <c r="S30399" s="11"/>
      <c r="T30399" s="11"/>
    </row>
    <row r="30400" spans="8:20" x14ac:dyDescent="0.35">
      <c r="H30400" s="711"/>
      <c r="I30400" s="711"/>
      <c r="J30400" s="711"/>
      <c r="K30400" s="711"/>
      <c r="L30400" s="711"/>
      <c r="Q30400" s="11"/>
      <c r="R30400" s="11"/>
      <c r="S30400" s="11"/>
      <c r="T30400" s="11"/>
    </row>
    <row r="30401" spans="8:20" x14ac:dyDescent="0.35">
      <c r="H30401" s="711"/>
      <c r="I30401" s="711"/>
      <c r="J30401" s="711"/>
      <c r="K30401" s="711"/>
      <c r="L30401" s="711"/>
      <c r="Q30401" s="11"/>
      <c r="R30401" s="11"/>
      <c r="S30401" s="11"/>
      <c r="T30401" s="11"/>
    </row>
    <row r="30402" spans="8:20" x14ac:dyDescent="0.35">
      <c r="H30402" s="711"/>
      <c r="I30402" s="711"/>
      <c r="J30402" s="711"/>
      <c r="K30402" s="711"/>
      <c r="L30402" s="711"/>
      <c r="Q30402" s="11"/>
      <c r="R30402" s="11"/>
      <c r="S30402" s="11"/>
      <c r="T30402" s="11"/>
    </row>
    <row r="30403" spans="8:20" x14ac:dyDescent="0.35">
      <c r="H30403" s="711"/>
      <c r="I30403" s="711"/>
      <c r="J30403" s="711"/>
      <c r="K30403" s="711"/>
      <c r="L30403" s="711"/>
      <c r="Q30403" s="11"/>
      <c r="R30403" s="11"/>
      <c r="S30403" s="11"/>
      <c r="T30403" s="11"/>
    </row>
    <row r="30404" spans="8:20" x14ac:dyDescent="0.35">
      <c r="H30404" s="711"/>
      <c r="I30404" s="711"/>
      <c r="J30404" s="711"/>
      <c r="K30404" s="711"/>
      <c r="L30404" s="711"/>
      <c r="Q30404" s="11"/>
      <c r="R30404" s="11"/>
      <c r="S30404" s="11"/>
      <c r="T30404" s="11"/>
    </row>
    <row r="30405" spans="8:20" x14ac:dyDescent="0.35">
      <c r="H30405" s="711"/>
      <c r="I30405" s="711"/>
      <c r="J30405" s="711"/>
      <c r="K30405" s="711"/>
      <c r="L30405" s="711"/>
      <c r="Q30405" s="11"/>
      <c r="R30405" s="11"/>
      <c r="S30405" s="11"/>
      <c r="T30405" s="11"/>
    </row>
    <row r="30406" spans="8:20" x14ac:dyDescent="0.35">
      <c r="H30406" s="711"/>
      <c r="I30406" s="711"/>
      <c r="J30406" s="711"/>
      <c r="K30406" s="711"/>
      <c r="L30406" s="711"/>
      <c r="Q30406" s="11"/>
      <c r="R30406" s="11"/>
      <c r="S30406" s="11"/>
      <c r="T30406" s="11"/>
    </row>
    <row r="30407" spans="8:20" x14ac:dyDescent="0.35">
      <c r="H30407" s="711"/>
      <c r="I30407" s="711"/>
      <c r="J30407" s="711"/>
      <c r="K30407" s="711"/>
      <c r="L30407" s="711"/>
      <c r="Q30407" s="11"/>
      <c r="R30407" s="11"/>
      <c r="S30407" s="11"/>
      <c r="T30407" s="11"/>
    </row>
    <row r="30408" spans="8:20" x14ac:dyDescent="0.35">
      <c r="H30408" s="711"/>
      <c r="I30408" s="711"/>
      <c r="J30408" s="711"/>
      <c r="K30408" s="711"/>
      <c r="L30408" s="711"/>
      <c r="Q30408" s="11"/>
      <c r="R30408" s="11"/>
      <c r="S30408" s="11"/>
      <c r="T30408" s="11"/>
    </row>
    <row r="30409" spans="8:20" x14ac:dyDescent="0.35">
      <c r="H30409" s="711"/>
      <c r="I30409" s="711"/>
      <c r="J30409" s="711"/>
      <c r="K30409" s="711"/>
      <c r="L30409" s="711"/>
      <c r="Q30409" s="11"/>
      <c r="R30409" s="11"/>
      <c r="S30409" s="11"/>
      <c r="T30409" s="11"/>
    </row>
    <row r="30410" spans="8:20" x14ac:dyDescent="0.35">
      <c r="H30410" s="711"/>
      <c r="I30410" s="711"/>
      <c r="J30410" s="711"/>
      <c r="K30410" s="711"/>
      <c r="L30410" s="711"/>
      <c r="Q30410" s="11"/>
      <c r="R30410" s="11"/>
      <c r="S30410" s="11"/>
      <c r="T30410" s="11"/>
    </row>
    <row r="30411" spans="8:20" x14ac:dyDescent="0.35">
      <c r="H30411" s="711"/>
      <c r="I30411" s="711"/>
      <c r="J30411" s="711"/>
      <c r="K30411" s="711"/>
      <c r="L30411" s="711"/>
      <c r="Q30411" s="11"/>
      <c r="R30411" s="11"/>
      <c r="S30411" s="11"/>
      <c r="T30411" s="11"/>
    </row>
    <row r="30412" spans="8:20" x14ac:dyDescent="0.35">
      <c r="H30412" s="711"/>
      <c r="I30412" s="711"/>
      <c r="J30412" s="711"/>
      <c r="K30412" s="711"/>
      <c r="L30412" s="711"/>
      <c r="Q30412" s="11"/>
      <c r="R30412" s="11"/>
      <c r="S30412" s="11"/>
      <c r="T30412" s="11"/>
    </row>
    <row r="30413" spans="8:20" x14ac:dyDescent="0.35">
      <c r="H30413" s="711"/>
      <c r="I30413" s="711"/>
      <c r="J30413" s="711"/>
      <c r="K30413" s="711"/>
      <c r="L30413" s="711"/>
      <c r="Q30413" s="11"/>
      <c r="R30413" s="11"/>
      <c r="S30413" s="11"/>
      <c r="T30413" s="11"/>
    </row>
    <row r="30414" spans="8:20" x14ac:dyDescent="0.35">
      <c r="H30414" s="711"/>
      <c r="I30414" s="711"/>
      <c r="J30414" s="711"/>
      <c r="K30414" s="711"/>
      <c r="L30414" s="711"/>
      <c r="Q30414" s="11"/>
      <c r="R30414" s="11"/>
      <c r="S30414" s="11"/>
      <c r="T30414" s="11"/>
    </row>
    <row r="30415" spans="8:20" x14ac:dyDescent="0.35">
      <c r="H30415" s="711"/>
      <c r="I30415" s="711"/>
      <c r="J30415" s="711"/>
      <c r="K30415" s="711"/>
      <c r="L30415" s="711"/>
      <c r="Q30415" s="11"/>
      <c r="R30415" s="11"/>
      <c r="S30415" s="11"/>
      <c r="T30415" s="11"/>
    </row>
    <row r="30416" spans="8:20" x14ac:dyDescent="0.35">
      <c r="H30416" s="711"/>
      <c r="I30416" s="711"/>
      <c r="J30416" s="711"/>
      <c r="K30416" s="711"/>
      <c r="L30416" s="711"/>
      <c r="Q30416" s="11"/>
      <c r="R30416" s="11"/>
      <c r="S30416" s="11"/>
      <c r="T30416" s="11"/>
    </row>
    <row r="30417" spans="8:20" x14ac:dyDescent="0.35">
      <c r="H30417" s="711"/>
      <c r="I30417" s="711"/>
      <c r="J30417" s="711"/>
      <c r="K30417" s="711"/>
      <c r="L30417" s="711"/>
      <c r="Q30417" s="11"/>
      <c r="R30417" s="11"/>
      <c r="S30417" s="11"/>
      <c r="T30417" s="11"/>
    </row>
    <row r="30418" spans="8:20" x14ac:dyDescent="0.35">
      <c r="H30418" s="711"/>
      <c r="I30418" s="711"/>
      <c r="J30418" s="711"/>
      <c r="K30418" s="711"/>
      <c r="L30418" s="711"/>
      <c r="Q30418" s="11"/>
      <c r="R30418" s="11"/>
      <c r="S30418" s="11"/>
      <c r="T30418" s="11"/>
    </row>
    <row r="30419" spans="8:20" x14ac:dyDescent="0.35">
      <c r="H30419" s="711"/>
      <c r="I30419" s="711"/>
      <c r="J30419" s="711"/>
      <c r="K30419" s="711"/>
      <c r="L30419" s="711"/>
      <c r="Q30419" s="11"/>
      <c r="R30419" s="11"/>
      <c r="S30419" s="11"/>
      <c r="T30419" s="11"/>
    </row>
    <row r="30420" spans="8:20" x14ac:dyDescent="0.35">
      <c r="H30420" s="711"/>
      <c r="I30420" s="711"/>
      <c r="J30420" s="711"/>
      <c r="K30420" s="711"/>
      <c r="L30420" s="711"/>
      <c r="Q30420" s="11"/>
      <c r="R30420" s="11"/>
      <c r="S30420" s="11"/>
      <c r="T30420" s="11"/>
    </row>
    <row r="30421" spans="8:20" x14ac:dyDescent="0.35">
      <c r="H30421" s="711"/>
      <c r="I30421" s="711"/>
      <c r="J30421" s="711"/>
      <c r="K30421" s="711"/>
      <c r="L30421" s="711"/>
      <c r="Q30421" s="11"/>
      <c r="R30421" s="11"/>
      <c r="S30421" s="11"/>
      <c r="T30421" s="11"/>
    </row>
    <row r="30422" spans="8:20" x14ac:dyDescent="0.35">
      <c r="H30422" s="711"/>
      <c r="I30422" s="711"/>
      <c r="J30422" s="711"/>
      <c r="K30422" s="711"/>
      <c r="L30422" s="711"/>
      <c r="Q30422" s="11"/>
      <c r="R30422" s="11"/>
      <c r="S30422" s="11"/>
      <c r="T30422" s="11"/>
    </row>
    <row r="30423" spans="8:20" x14ac:dyDescent="0.35">
      <c r="H30423" s="711"/>
      <c r="I30423" s="711"/>
      <c r="J30423" s="711"/>
      <c r="K30423" s="711"/>
      <c r="L30423" s="711"/>
      <c r="Q30423" s="11"/>
      <c r="R30423" s="11"/>
      <c r="S30423" s="11"/>
      <c r="T30423" s="11"/>
    </row>
    <row r="30424" spans="8:20" x14ac:dyDescent="0.35">
      <c r="H30424" s="711"/>
      <c r="I30424" s="711"/>
      <c r="J30424" s="711"/>
      <c r="K30424" s="711"/>
      <c r="L30424" s="711"/>
      <c r="Q30424" s="11"/>
      <c r="R30424" s="11"/>
      <c r="S30424" s="11"/>
      <c r="T30424" s="11"/>
    </row>
    <row r="30425" spans="8:20" x14ac:dyDescent="0.35">
      <c r="H30425" s="711"/>
      <c r="I30425" s="711"/>
      <c r="J30425" s="711"/>
      <c r="K30425" s="711"/>
      <c r="L30425" s="711"/>
      <c r="Q30425" s="11"/>
      <c r="R30425" s="11"/>
      <c r="S30425" s="11"/>
      <c r="T30425" s="11"/>
    </row>
    <row r="30426" spans="8:20" x14ac:dyDescent="0.35">
      <c r="H30426" s="711"/>
      <c r="I30426" s="711"/>
      <c r="J30426" s="711"/>
      <c r="K30426" s="711"/>
      <c r="L30426" s="711"/>
      <c r="Q30426" s="11"/>
      <c r="R30426" s="11"/>
      <c r="S30426" s="11"/>
      <c r="T30426" s="11"/>
    </row>
    <row r="30427" spans="8:20" x14ac:dyDescent="0.35">
      <c r="H30427" s="711"/>
      <c r="I30427" s="711"/>
      <c r="J30427" s="711"/>
      <c r="K30427" s="711"/>
      <c r="L30427" s="711"/>
      <c r="Q30427" s="11"/>
      <c r="R30427" s="11"/>
      <c r="S30427" s="11"/>
      <c r="T30427" s="11"/>
    </row>
    <row r="30428" spans="8:20" x14ac:dyDescent="0.35">
      <c r="H30428" s="711"/>
      <c r="I30428" s="711"/>
      <c r="J30428" s="711"/>
      <c r="K30428" s="711"/>
      <c r="L30428" s="711"/>
      <c r="Q30428" s="11"/>
      <c r="R30428" s="11"/>
      <c r="S30428" s="11"/>
      <c r="T30428" s="11"/>
    </row>
    <row r="30429" spans="8:20" x14ac:dyDescent="0.35">
      <c r="H30429" s="711"/>
      <c r="I30429" s="711"/>
      <c r="J30429" s="711"/>
      <c r="K30429" s="711"/>
      <c r="L30429" s="711"/>
      <c r="Q30429" s="11"/>
      <c r="R30429" s="11"/>
      <c r="S30429" s="11"/>
      <c r="T30429" s="11"/>
    </row>
    <row r="30430" spans="8:20" x14ac:dyDescent="0.35">
      <c r="H30430" s="711"/>
      <c r="I30430" s="711"/>
      <c r="J30430" s="711"/>
      <c r="K30430" s="711"/>
      <c r="L30430" s="711"/>
      <c r="Q30430" s="11"/>
      <c r="R30430" s="11"/>
      <c r="S30430" s="11"/>
      <c r="T30430" s="11"/>
    </row>
    <row r="30431" spans="8:20" x14ac:dyDescent="0.35">
      <c r="H30431" s="711"/>
      <c r="I30431" s="711"/>
      <c r="J30431" s="711"/>
      <c r="K30431" s="711"/>
      <c r="L30431" s="711"/>
      <c r="Q30431" s="11"/>
      <c r="R30431" s="11"/>
      <c r="S30431" s="11"/>
      <c r="T30431" s="11"/>
    </row>
    <row r="30432" spans="8:20" x14ac:dyDescent="0.35">
      <c r="H30432" s="711"/>
      <c r="I30432" s="711"/>
      <c r="J30432" s="711"/>
      <c r="K30432" s="711"/>
      <c r="L30432" s="711"/>
      <c r="Q30432" s="11"/>
      <c r="R30432" s="11"/>
      <c r="S30432" s="11"/>
      <c r="T30432" s="11"/>
    </row>
    <row r="30433" spans="8:20" x14ac:dyDescent="0.35">
      <c r="H30433" s="711"/>
      <c r="I30433" s="711"/>
      <c r="J30433" s="711"/>
      <c r="K30433" s="711"/>
      <c r="L30433" s="711"/>
      <c r="Q30433" s="11"/>
      <c r="R30433" s="11"/>
      <c r="S30433" s="11"/>
      <c r="T30433" s="11"/>
    </row>
    <row r="30434" spans="8:20" x14ac:dyDescent="0.35">
      <c r="H30434" s="711"/>
      <c r="I30434" s="711"/>
      <c r="J30434" s="711"/>
      <c r="K30434" s="711"/>
      <c r="L30434" s="711"/>
      <c r="Q30434" s="11"/>
      <c r="R30434" s="11"/>
      <c r="S30434" s="11"/>
      <c r="T30434" s="11"/>
    </row>
    <row r="30435" spans="8:20" x14ac:dyDescent="0.35">
      <c r="H30435" s="711"/>
      <c r="I30435" s="711"/>
      <c r="J30435" s="711"/>
      <c r="K30435" s="711"/>
      <c r="L30435" s="711"/>
      <c r="Q30435" s="11"/>
      <c r="R30435" s="11"/>
      <c r="S30435" s="11"/>
      <c r="T30435" s="11"/>
    </row>
    <row r="30436" spans="8:20" x14ac:dyDescent="0.35">
      <c r="H30436" s="711"/>
      <c r="I30436" s="711"/>
      <c r="J30436" s="711"/>
      <c r="K30436" s="711"/>
      <c r="L30436" s="711"/>
      <c r="Q30436" s="11"/>
      <c r="R30436" s="11"/>
      <c r="S30436" s="11"/>
      <c r="T30436" s="11"/>
    </row>
    <row r="30437" spans="8:20" x14ac:dyDescent="0.35">
      <c r="H30437" s="711"/>
      <c r="I30437" s="711"/>
      <c r="J30437" s="711"/>
      <c r="K30437" s="711"/>
      <c r="L30437" s="711"/>
      <c r="Q30437" s="11"/>
      <c r="R30437" s="11"/>
      <c r="S30437" s="11"/>
      <c r="T30437" s="11"/>
    </row>
    <row r="30438" spans="8:20" x14ac:dyDescent="0.35">
      <c r="H30438" s="711"/>
      <c r="I30438" s="711"/>
      <c r="J30438" s="711"/>
      <c r="K30438" s="711"/>
      <c r="L30438" s="711"/>
      <c r="Q30438" s="11"/>
      <c r="R30438" s="11"/>
      <c r="S30438" s="11"/>
      <c r="T30438" s="11"/>
    </row>
    <row r="30439" spans="8:20" x14ac:dyDescent="0.35">
      <c r="H30439" s="711"/>
      <c r="I30439" s="711"/>
      <c r="J30439" s="711"/>
      <c r="K30439" s="711"/>
      <c r="L30439" s="711"/>
      <c r="Q30439" s="11"/>
      <c r="R30439" s="11"/>
      <c r="S30439" s="11"/>
      <c r="T30439" s="11"/>
    </row>
    <row r="30440" spans="8:20" x14ac:dyDescent="0.35">
      <c r="H30440" s="711"/>
      <c r="I30440" s="711"/>
      <c r="J30440" s="711"/>
      <c r="K30440" s="711"/>
      <c r="L30440" s="711"/>
      <c r="Q30440" s="11"/>
      <c r="R30440" s="11"/>
      <c r="S30440" s="11"/>
      <c r="T30440" s="11"/>
    </row>
    <row r="30441" spans="8:20" x14ac:dyDescent="0.35">
      <c r="H30441" s="711"/>
      <c r="I30441" s="711"/>
      <c r="J30441" s="711"/>
      <c r="K30441" s="711"/>
      <c r="L30441" s="711"/>
      <c r="Q30441" s="11"/>
      <c r="R30441" s="11"/>
      <c r="S30441" s="11"/>
      <c r="T30441" s="11"/>
    </row>
    <row r="30442" spans="8:20" x14ac:dyDescent="0.35">
      <c r="H30442" s="711"/>
      <c r="I30442" s="711"/>
      <c r="J30442" s="711"/>
      <c r="K30442" s="711"/>
      <c r="L30442" s="711"/>
      <c r="Q30442" s="11"/>
      <c r="R30442" s="11"/>
      <c r="S30442" s="11"/>
      <c r="T30442" s="11"/>
    </row>
    <row r="30443" spans="8:20" x14ac:dyDescent="0.35">
      <c r="H30443" s="711"/>
      <c r="I30443" s="711"/>
      <c r="J30443" s="711"/>
      <c r="K30443" s="711"/>
      <c r="L30443" s="711"/>
      <c r="Q30443" s="11"/>
      <c r="R30443" s="11"/>
      <c r="S30443" s="11"/>
      <c r="T30443" s="11"/>
    </row>
    <row r="30444" spans="8:20" x14ac:dyDescent="0.35">
      <c r="H30444" s="711"/>
      <c r="I30444" s="711"/>
      <c r="J30444" s="711"/>
      <c r="K30444" s="711"/>
      <c r="L30444" s="711"/>
      <c r="Q30444" s="11"/>
      <c r="R30444" s="11"/>
      <c r="S30444" s="11"/>
      <c r="T30444" s="11"/>
    </row>
    <row r="30445" spans="8:20" x14ac:dyDescent="0.35">
      <c r="H30445" s="711"/>
      <c r="I30445" s="711"/>
      <c r="J30445" s="711"/>
      <c r="K30445" s="711"/>
      <c r="L30445" s="711"/>
      <c r="Q30445" s="11"/>
      <c r="R30445" s="11"/>
      <c r="S30445" s="11"/>
      <c r="T30445" s="11"/>
    </row>
    <row r="30446" spans="8:20" x14ac:dyDescent="0.35">
      <c r="H30446" s="711"/>
      <c r="I30446" s="711"/>
      <c r="J30446" s="711"/>
      <c r="K30446" s="711"/>
      <c r="L30446" s="711"/>
      <c r="Q30446" s="11"/>
      <c r="R30446" s="11"/>
      <c r="S30446" s="11"/>
      <c r="T30446" s="11"/>
    </row>
    <row r="30447" spans="8:20" x14ac:dyDescent="0.35">
      <c r="H30447" s="711"/>
      <c r="I30447" s="711"/>
      <c r="J30447" s="711"/>
      <c r="K30447" s="711"/>
      <c r="L30447" s="711"/>
      <c r="Q30447" s="11"/>
      <c r="R30447" s="11"/>
      <c r="S30447" s="11"/>
      <c r="T30447" s="11"/>
    </row>
    <row r="30448" spans="8:20" x14ac:dyDescent="0.35">
      <c r="H30448" s="711"/>
      <c r="I30448" s="711"/>
      <c r="J30448" s="711"/>
      <c r="K30448" s="711"/>
      <c r="L30448" s="711"/>
      <c r="Q30448" s="11"/>
      <c r="R30448" s="11"/>
      <c r="S30448" s="11"/>
      <c r="T30448" s="11"/>
    </row>
    <row r="30449" spans="8:20" x14ac:dyDescent="0.35">
      <c r="H30449" s="711"/>
      <c r="I30449" s="711"/>
      <c r="J30449" s="711"/>
      <c r="K30449" s="711"/>
      <c r="L30449" s="711"/>
      <c r="Q30449" s="11"/>
      <c r="R30449" s="11"/>
      <c r="S30449" s="11"/>
      <c r="T30449" s="11"/>
    </row>
    <row r="30450" spans="8:20" x14ac:dyDescent="0.35">
      <c r="H30450" s="711"/>
      <c r="I30450" s="711"/>
      <c r="J30450" s="711"/>
      <c r="K30450" s="711"/>
      <c r="L30450" s="711"/>
      <c r="Q30450" s="11"/>
      <c r="R30450" s="11"/>
      <c r="S30450" s="11"/>
      <c r="T30450" s="11"/>
    </row>
    <row r="30451" spans="8:20" x14ac:dyDescent="0.35">
      <c r="H30451" s="711"/>
      <c r="I30451" s="711"/>
      <c r="J30451" s="711"/>
      <c r="K30451" s="711"/>
      <c r="L30451" s="711"/>
      <c r="Q30451" s="11"/>
      <c r="R30451" s="11"/>
      <c r="S30451" s="11"/>
      <c r="T30451" s="11"/>
    </row>
    <row r="30452" spans="8:20" x14ac:dyDescent="0.35">
      <c r="H30452" s="711"/>
      <c r="I30452" s="711"/>
      <c r="J30452" s="711"/>
      <c r="K30452" s="711"/>
      <c r="L30452" s="711"/>
      <c r="Q30452" s="11"/>
      <c r="R30452" s="11"/>
      <c r="S30452" s="11"/>
      <c r="T30452" s="11"/>
    </row>
    <row r="30453" spans="8:20" x14ac:dyDescent="0.35">
      <c r="H30453" s="711"/>
      <c r="I30453" s="711"/>
      <c r="J30453" s="711"/>
      <c r="K30453" s="711"/>
      <c r="L30453" s="711"/>
      <c r="Q30453" s="11"/>
      <c r="R30453" s="11"/>
      <c r="S30453" s="11"/>
      <c r="T30453" s="11"/>
    </row>
    <row r="30454" spans="8:20" x14ac:dyDescent="0.35">
      <c r="H30454" s="711"/>
      <c r="I30454" s="711"/>
      <c r="J30454" s="711"/>
      <c r="K30454" s="711"/>
      <c r="L30454" s="711"/>
      <c r="Q30454" s="11"/>
      <c r="R30454" s="11"/>
      <c r="S30454" s="11"/>
      <c r="T30454" s="11"/>
    </row>
    <row r="30455" spans="8:20" x14ac:dyDescent="0.35">
      <c r="H30455" s="711"/>
      <c r="I30455" s="711"/>
      <c r="J30455" s="711"/>
      <c r="K30455" s="711"/>
      <c r="L30455" s="711"/>
      <c r="Q30455" s="11"/>
      <c r="R30455" s="11"/>
      <c r="S30455" s="11"/>
      <c r="T30455" s="11"/>
    </row>
    <row r="30456" spans="8:20" x14ac:dyDescent="0.35">
      <c r="H30456" s="711"/>
      <c r="I30456" s="711"/>
      <c r="J30456" s="711"/>
      <c r="K30456" s="711"/>
      <c r="L30456" s="711"/>
      <c r="Q30456" s="11"/>
      <c r="R30456" s="11"/>
      <c r="S30456" s="11"/>
      <c r="T30456" s="11"/>
    </row>
    <row r="30457" spans="8:20" x14ac:dyDescent="0.35">
      <c r="H30457" s="711"/>
      <c r="I30457" s="711"/>
      <c r="J30457" s="711"/>
      <c r="K30457" s="711"/>
      <c r="L30457" s="711"/>
      <c r="Q30457" s="11"/>
      <c r="R30457" s="11"/>
      <c r="S30457" s="11"/>
      <c r="T30457" s="11"/>
    </row>
    <row r="30458" spans="8:20" x14ac:dyDescent="0.35">
      <c r="H30458" s="711"/>
      <c r="I30458" s="711"/>
      <c r="J30458" s="711"/>
      <c r="K30458" s="711"/>
      <c r="L30458" s="711"/>
      <c r="Q30458" s="11"/>
      <c r="R30458" s="11"/>
      <c r="S30458" s="11"/>
      <c r="T30458" s="11"/>
    </row>
    <row r="30459" spans="8:20" x14ac:dyDescent="0.35">
      <c r="H30459" s="711"/>
      <c r="I30459" s="711"/>
      <c r="J30459" s="711"/>
      <c r="K30459" s="711"/>
      <c r="L30459" s="711"/>
      <c r="Q30459" s="11"/>
      <c r="R30459" s="11"/>
      <c r="S30459" s="11"/>
      <c r="T30459" s="11"/>
    </row>
    <row r="30460" spans="8:20" x14ac:dyDescent="0.35">
      <c r="H30460" s="711"/>
      <c r="I30460" s="711"/>
      <c r="J30460" s="711"/>
      <c r="K30460" s="711"/>
      <c r="L30460" s="711"/>
      <c r="Q30460" s="11"/>
      <c r="R30460" s="11"/>
      <c r="S30460" s="11"/>
      <c r="T30460" s="11"/>
    </row>
    <row r="30461" spans="8:20" x14ac:dyDescent="0.35">
      <c r="H30461" s="711"/>
      <c r="I30461" s="711"/>
      <c r="J30461" s="711"/>
      <c r="K30461" s="711"/>
      <c r="L30461" s="711"/>
      <c r="Q30461" s="11"/>
      <c r="R30461" s="11"/>
      <c r="S30461" s="11"/>
      <c r="T30461" s="11"/>
    </row>
    <row r="30462" spans="8:20" x14ac:dyDescent="0.35">
      <c r="H30462" s="711"/>
      <c r="I30462" s="711"/>
      <c r="J30462" s="711"/>
      <c r="K30462" s="711"/>
      <c r="L30462" s="711"/>
      <c r="Q30462" s="11"/>
      <c r="R30462" s="11"/>
      <c r="S30462" s="11"/>
      <c r="T30462" s="11"/>
    </row>
    <row r="30463" spans="8:20" x14ac:dyDescent="0.35">
      <c r="H30463" s="711"/>
      <c r="I30463" s="711"/>
      <c r="J30463" s="711"/>
      <c r="K30463" s="711"/>
      <c r="L30463" s="711"/>
      <c r="Q30463" s="11"/>
      <c r="R30463" s="11"/>
      <c r="S30463" s="11"/>
      <c r="T30463" s="11"/>
    </row>
    <row r="30464" spans="8:20" x14ac:dyDescent="0.35">
      <c r="H30464" s="711"/>
      <c r="I30464" s="711"/>
      <c r="J30464" s="711"/>
      <c r="K30464" s="711"/>
      <c r="L30464" s="711"/>
      <c r="Q30464" s="11"/>
      <c r="R30464" s="11"/>
      <c r="S30464" s="11"/>
      <c r="T30464" s="11"/>
    </row>
    <row r="30465" spans="8:20" x14ac:dyDescent="0.35">
      <c r="H30465" s="711"/>
      <c r="I30465" s="711"/>
      <c r="J30465" s="711"/>
      <c r="K30465" s="711"/>
      <c r="L30465" s="711"/>
      <c r="Q30465" s="11"/>
      <c r="R30465" s="11"/>
      <c r="S30465" s="11"/>
      <c r="T30465" s="11"/>
    </row>
    <row r="30466" spans="8:20" x14ac:dyDescent="0.35">
      <c r="H30466" s="711"/>
      <c r="I30466" s="711"/>
      <c r="J30466" s="711"/>
      <c r="K30466" s="711"/>
      <c r="L30466" s="711"/>
      <c r="Q30466" s="11"/>
      <c r="R30466" s="11"/>
      <c r="S30466" s="11"/>
      <c r="T30466" s="11"/>
    </row>
    <row r="30467" spans="8:20" x14ac:dyDescent="0.35">
      <c r="H30467" s="711"/>
      <c r="I30467" s="711"/>
      <c r="J30467" s="711"/>
      <c r="K30467" s="711"/>
      <c r="L30467" s="711"/>
      <c r="Q30467" s="11"/>
      <c r="R30467" s="11"/>
      <c r="S30467" s="11"/>
      <c r="T30467" s="11"/>
    </row>
    <row r="30468" spans="8:20" x14ac:dyDescent="0.35">
      <c r="H30468" s="711"/>
      <c r="I30468" s="711"/>
      <c r="J30468" s="711"/>
      <c r="K30468" s="711"/>
      <c r="L30468" s="711"/>
      <c r="Q30468" s="11"/>
      <c r="R30468" s="11"/>
      <c r="S30468" s="11"/>
      <c r="T30468" s="11"/>
    </row>
    <row r="30469" spans="8:20" x14ac:dyDescent="0.35">
      <c r="H30469" s="711"/>
      <c r="I30469" s="711"/>
      <c r="J30469" s="711"/>
      <c r="K30469" s="711"/>
      <c r="L30469" s="711"/>
      <c r="Q30469" s="11"/>
      <c r="R30469" s="11"/>
      <c r="S30469" s="11"/>
      <c r="T30469" s="11"/>
    </row>
    <row r="30470" spans="8:20" x14ac:dyDescent="0.35">
      <c r="H30470" s="711"/>
      <c r="I30470" s="711"/>
      <c r="J30470" s="711"/>
      <c r="K30470" s="711"/>
      <c r="L30470" s="711"/>
      <c r="Q30470" s="11"/>
      <c r="R30470" s="11"/>
      <c r="S30470" s="11"/>
      <c r="T30470" s="11"/>
    </row>
    <row r="30471" spans="8:20" x14ac:dyDescent="0.35">
      <c r="H30471" s="711"/>
      <c r="I30471" s="711"/>
      <c r="J30471" s="711"/>
      <c r="K30471" s="711"/>
      <c r="L30471" s="711"/>
      <c r="Q30471" s="11"/>
      <c r="R30471" s="11"/>
      <c r="S30471" s="11"/>
      <c r="T30471" s="11"/>
    </row>
    <row r="30472" spans="8:20" x14ac:dyDescent="0.35">
      <c r="H30472" s="711"/>
      <c r="I30472" s="711"/>
      <c r="J30472" s="711"/>
      <c r="K30472" s="711"/>
      <c r="L30472" s="711"/>
      <c r="Q30472" s="11"/>
      <c r="R30472" s="11"/>
      <c r="S30472" s="11"/>
      <c r="T30472" s="11"/>
    </row>
    <row r="30473" spans="8:20" x14ac:dyDescent="0.35">
      <c r="H30473" s="711"/>
      <c r="I30473" s="711"/>
      <c r="J30473" s="711"/>
      <c r="K30473" s="711"/>
      <c r="L30473" s="711"/>
      <c r="Q30473" s="11"/>
      <c r="R30473" s="11"/>
      <c r="S30473" s="11"/>
      <c r="T30473" s="11"/>
    </row>
    <row r="30474" spans="8:20" x14ac:dyDescent="0.35">
      <c r="H30474" s="711"/>
      <c r="I30474" s="711"/>
      <c r="J30474" s="711"/>
      <c r="K30474" s="711"/>
      <c r="L30474" s="711"/>
      <c r="Q30474" s="11"/>
      <c r="R30474" s="11"/>
      <c r="S30474" s="11"/>
      <c r="T30474" s="11"/>
    </row>
    <row r="30475" spans="8:20" x14ac:dyDescent="0.35">
      <c r="H30475" s="711"/>
      <c r="I30475" s="711"/>
      <c r="J30475" s="711"/>
      <c r="K30475" s="711"/>
      <c r="L30475" s="711"/>
      <c r="Q30475" s="11"/>
      <c r="R30475" s="11"/>
      <c r="S30475" s="11"/>
      <c r="T30475" s="11"/>
    </row>
    <row r="30476" spans="8:20" x14ac:dyDescent="0.35">
      <c r="H30476" s="711"/>
      <c r="I30476" s="711"/>
      <c r="J30476" s="711"/>
      <c r="K30476" s="711"/>
      <c r="L30476" s="711"/>
      <c r="Q30476" s="11"/>
      <c r="R30476" s="11"/>
      <c r="S30476" s="11"/>
      <c r="T30476" s="11"/>
    </row>
    <row r="30477" spans="8:20" x14ac:dyDescent="0.35">
      <c r="H30477" s="711"/>
      <c r="I30477" s="711"/>
      <c r="J30477" s="711"/>
      <c r="K30477" s="711"/>
      <c r="L30477" s="711"/>
      <c r="Q30477" s="11"/>
      <c r="R30477" s="11"/>
      <c r="S30477" s="11"/>
      <c r="T30477" s="11"/>
    </row>
    <row r="30478" spans="8:20" x14ac:dyDescent="0.35">
      <c r="H30478" s="711"/>
      <c r="I30478" s="711"/>
      <c r="J30478" s="711"/>
      <c r="K30478" s="711"/>
      <c r="L30478" s="711"/>
      <c r="Q30478" s="11"/>
      <c r="R30478" s="11"/>
      <c r="S30478" s="11"/>
      <c r="T30478" s="11"/>
    </row>
    <row r="30479" spans="8:20" x14ac:dyDescent="0.35">
      <c r="H30479" s="711"/>
      <c r="I30479" s="711"/>
      <c r="J30479" s="711"/>
      <c r="K30479" s="711"/>
      <c r="L30479" s="711"/>
      <c r="Q30479" s="11"/>
      <c r="R30479" s="11"/>
      <c r="S30479" s="11"/>
      <c r="T30479" s="11"/>
    </row>
    <row r="30480" spans="8:20" x14ac:dyDescent="0.35">
      <c r="H30480" s="711"/>
      <c r="I30480" s="711"/>
      <c r="J30480" s="711"/>
      <c r="K30480" s="711"/>
      <c r="L30480" s="711"/>
      <c r="Q30480" s="11"/>
      <c r="R30480" s="11"/>
      <c r="S30480" s="11"/>
      <c r="T30480" s="11"/>
    </row>
    <row r="30481" spans="8:20" x14ac:dyDescent="0.35">
      <c r="H30481" s="711"/>
      <c r="I30481" s="711"/>
      <c r="J30481" s="711"/>
      <c r="K30481" s="711"/>
      <c r="L30481" s="711"/>
      <c r="Q30481" s="11"/>
      <c r="R30481" s="11"/>
      <c r="S30481" s="11"/>
      <c r="T30481" s="11"/>
    </row>
    <row r="30482" spans="8:20" x14ac:dyDescent="0.35">
      <c r="H30482" s="711"/>
      <c r="I30482" s="711"/>
      <c r="J30482" s="711"/>
      <c r="K30482" s="711"/>
      <c r="L30482" s="711"/>
      <c r="Q30482" s="11"/>
      <c r="R30482" s="11"/>
      <c r="S30482" s="11"/>
      <c r="T30482" s="11"/>
    </row>
    <row r="30483" spans="8:20" x14ac:dyDescent="0.35">
      <c r="H30483" s="711"/>
      <c r="I30483" s="711"/>
      <c r="J30483" s="711"/>
      <c r="K30483" s="711"/>
      <c r="L30483" s="711"/>
      <c r="Q30483" s="11"/>
      <c r="R30483" s="11"/>
      <c r="S30483" s="11"/>
      <c r="T30483" s="11"/>
    </row>
    <row r="30484" spans="8:20" x14ac:dyDescent="0.35">
      <c r="H30484" s="711"/>
      <c r="I30484" s="711"/>
      <c r="J30484" s="711"/>
      <c r="K30484" s="711"/>
      <c r="L30484" s="711"/>
      <c r="Q30484" s="11"/>
      <c r="R30484" s="11"/>
      <c r="S30484" s="11"/>
      <c r="T30484" s="11"/>
    </row>
    <row r="30485" spans="8:20" x14ac:dyDescent="0.35">
      <c r="H30485" s="711"/>
      <c r="I30485" s="711"/>
      <c r="J30485" s="711"/>
      <c r="K30485" s="711"/>
      <c r="L30485" s="711"/>
      <c r="Q30485" s="11"/>
      <c r="R30485" s="11"/>
      <c r="S30485" s="11"/>
      <c r="T30485" s="11"/>
    </row>
    <row r="30486" spans="8:20" x14ac:dyDescent="0.35">
      <c r="H30486" s="711"/>
      <c r="I30486" s="711"/>
      <c r="J30486" s="711"/>
      <c r="K30486" s="711"/>
      <c r="L30486" s="711"/>
      <c r="Q30486" s="11"/>
      <c r="R30486" s="11"/>
      <c r="S30486" s="11"/>
      <c r="T30486" s="11"/>
    </row>
    <row r="30487" spans="8:20" x14ac:dyDescent="0.35">
      <c r="H30487" s="711"/>
      <c r="I30487" s="711"/>
      <c r="J30487" s="711"/>
      <c r="K30487" s="711"/>
      <c r="L30487" s="711"/>
      <c r="Q30487" s="11"/>
      <c r="R30487" s="11"/>
      <c r="S30487" s="11"/>
      <c r="T30487" s="11"/>
    </row>
    <row r="30488" spans="8:20" x14ac:dyDescent="0.35">
      <c r="H30488" s="711"/>
      <c r="I30488" s="711"/>
      <c r="J30488" s="711"/>
      <c r="K30488" s="711"/>
      <c r="L30488" s="711"/>
      <c r="Q30488" s="11"/>
      <c r="R30488" s="11"/>
      <c r="S30488" s="11"/>
      <c r="T30488" s="11"/>
    </row>
    <row r="30489" spans="8:20" x14ac:dyDescent="0.35">
      <c r="H30489" s="711"/>
      <c r="I30489" s="711"/>
      <c r="J30489" s="711"/>
      <c r="K30489" s="711"/>
      <c r="L30489" s="711"/>
      <c r="Q30489" s="11"/>
      <c r="R30489" s="11"/>
      <c r="S30489" s="11"/>
      <c r="T30489" s="11"/>
    </row>
    <row r="30490" spans="8:20" x14ac:dyDescent="0.35">
      <c r="H30490" s="711"/>
      <c r="I30490" s="711"/>
      <c r="J30490" s="711"/>
      <c r="K30490" s="711"/>
      <c r="L30490" s="711"/>
      <c r="Q30490" s="11"/>
      <c r="R30490" s="11"/>
      <c r="S30490" s="11"/>
      <c r="T30490" s="11"/>
    </row>
    <row r="30491" spans="8:20" x14ac:dyDescent="0.35">
      <c r="H30491" s="711"/>
      <c r="I30491" s="711"/>
      <c r="J30491" s="711"/>
      <c r="K30491" s="711"/>
      <c r="L30491" s="711"/>
      <c r="Q30491" s="11"/>
      <c r="R30491" s="11"/>
      <c r="S30491" s="11"/>
      <c r="T30491" s="11"/>
    </row>
    <row r="30492" spans="8:20" x14ac:dyDescent="0.35">
      <c r="H30492" s="711"/>
      <c r="I30492" s="711"/>
      <c r="J30492" s="711"/>
      <c r="K30492" s="711"/>
      <c r="L30492" s="711"/>
      <c r="Q30492" s="11"/>
      <c r="R30492" s="11"/>
      <c r="S30492" s="11"/>
      <c r="T30492" s="11"/>
    </row>
    <row r="30493" spans="8:20" x14ac:dyDescent="0.35">
      <c r="H30493" s="711"/>
      <c r="I30493" s="711"/>
      <c r="J30493" s="711"/>
      <c r="K30493" s="711"/>
      <c r="L30493" s="711"/>
      <c r="Q30493" s="11"/>
      <c r="R30493" s="11"/>
      <c r="S30493" s="11"/>
      <c r="T30493" s="11"/>
    </row>
    <row r="30494" spans="8:20" x14ac:dyDescent="0.35">
      <c r="H30494" s="711"/>
      <c r="I30494" s="711"/>
      <c r="J30494" s="711"/>
      <c r="K30494" s="711"/>
      <c r="L30494" s="711"/>
      <c r="Q30494" s="11"/>
      <c r="R30494" s="11"/>
      <c r="S30494" s="11"/>
      <c r="T30494" s="11"/>
    </row>
    <row r="30495" spans="8:20" x14ac:dyDescent="0.35">
      <c r="H30495" s="711"/>
      <c r="I30495" s="711"/>
      <c r="J30495" s="711"/>
      <c r="K30495" s="711"/>
      <c r="L30495" s="711"/>
      <c r="Q30495" s="11"/>
      <c r="R30495" s="11"/>
      <c r="S30495" s="11"/>
      <c r="T30495" s="11"/>
    </row>
    <row r="30496" spans="8:20" x14ac:dyDescent="0.35">
      <c r="H30496" s="711"/>
      <c r="I30496" s="711"/>
      <c r="J30496" s="711"/>
      <c r="K30496" s="711"/>
      <c r="L30496" s="711"/>
      <c r="Q30496" s="11"/>
      <c r="R30496" s="11"/>
      <c r="S30496" s="11"/>
      <c r="T30496" s="11"/>
    </row>
    <row r="30497" spans="8:20" x14ac:dyDescent="0.35">
      <c r="H30497" s="711"/>
      <c r="I30497" s="711"/>
      <c r="J30497" s="711"/>
      <c r="K30497" s="711"/>
      <c r="L30497" s="711"/>
      <c r="Q30497" s="11"/>
      <c r="R30497" s="11"/>
      <c r="S30497" s="11"/>
      <c r="T30497" s="11"/>
    </row>
    <row r="30498" spans="8:20" x14ac:dyDescent="0.35">
      <c r="H30498" s="711"/>
      <c r="I30498" s="711"/>
      <c r="J30498" s="711"/>
      <c r="K30498" s="711"/>
      <c r="L30498" s="711"/>
      <c r="Q30498" s="11"/>
      <c r="R30498" s="11"/>
      <c r="S30498" s="11"/>
      <c r="T30498" s="11"/>
    </row>
    <row r="30499" spans="8:20" x14ac:dyDescent="0.35">
      <c r="H30499" s="711"/>
      <c r="I30499" s="711"/>
      <c r="J30499" s="711"/>
      <c r="K30499" s="711"/>
      <c r="L30499" s="711"/>
      <c r="Q30499" s="11"/>
      <c r="R30499" s="11"/>
      <c r="S30499" s="11"/>
      <c r="T30499" s="11"/>
    </row>
    <row r="30500" spans="8:20" x14ac:dyDescent="0.35">
      <c r="H30500" s="711"/>
      <c r="I30500" s="711"/>
      <c r="J30500" s="711"/>
      <c r="K30500" s="711"/>
      <c r="L30500" s="711"/>
      <c r="Q30500" s="11"/>
      <c r="R30500" s="11"/>
      <c r="S30500" s="11"/>
      <c r="T30500" s="11"/>
    </row>
    <row r="30501" spans="8:20" x14ac:dyDescent="0.35">
      <c r="H30501" s="711"/>
      <c r="I30501" s="711"/>
      <c r="J30501" s="711"/>
      <c r="K30501" s="711"/>
      <c r="L30501" s="711"/>
      <c r="Q30501" s="11"/>
      <c r="R30501" s="11"/>
      <c r="S30501" s="11"/>
      <c r="T30501" s="11"/>
    </row>
    <row r="30502" spans="8:20" x14ac:dyDescent="0.35">
      <c r="H30502" s="711"/>
      <c r="I30502" s="711"/>
      <c r="J30502" s="711"/>
      <c r="K30502" s="711"/>
      <c r="L30502" s="711"/>
      <c r="Q30502" s="11"/>
      <c r="R30502" s="11"/>
      <c r="S30502" s="11"/>
      <c r="T30502" s="11"/>
    </row>
    <row r="30503" spans="8:20" x14ac:dyDescent="0.35">
      <c r="H30503" s="711"/>
      <c r="I30503" s="711"/>
      <c r="J30503" s="711"/>
      <c r="K30503" s="711"/>
      <c r="L30503" s="711"/>
      <c r="Q30503" s="11"/>
      <c r="R30503" s="11"/>
      <c r="S30503" s="11"/>
      <c r="T30503" s="11"/>
    </row>
    <row r="30504" spans="8:20" x14ac:dyDescent="0.35">
      <c r="H30504" s="711"/>
      <c r="I30504" s="711"/>
      <c r="J30504" s="711"/>
      <c r="K30504" s="711"/>
      <c r="L30504" s="711"/>
      <c r="Q30504" s="11"/>
      <c r="R30504" s="11"/>
      <c r="S30504" s="11"/>
      <c r="T30504" s="11"/>
    </row>
    <row r="30505" spans="8:20" x14ac:dyDescent="0.35">
      <c r="H30505" s="711"/>
      <c r="I30505" s="711"/>
      <c r="J30505" s="711"/>
      <c r="K30505" s="711"/>
      <c r="L30505" s="711"/>
      <c r="Q30505" s="11"/>
      <c r="R30505" s="11"/>
      <c r="S30505" s="11"/>
      <c r="T30505" s="11"/>
    </row>
    <row r="30506" spans="8:20" x14ac:dyDescent="0.35">
      <c r="H30506" s="711"/>
      <c r="I30506" s="711"/>
      <c r="J30506" s="711"/>
      <c r="K30506" s="711"/>
      <c r="L30506" s="711"/>
      <c r="Q30506" s="11"/>
      <c r="R30506" s="11"/>
      <c r="S30506" s="11"/>
      <c r="T30506" s="11"/>
    </row>
    <row r="30507" spans="8:20" x14ac:dyDescent="0.35">
      <c r="H30507" s="711"/>
      <c r="I30507" s="711"/>
      <c r="J30507" s="711"/>
      <c r="K30507" s="711"/>
      <c r="L30507" s="711"/>
      <c r="Q30507" s="11"/>
      <c r="R30507" s="11"/>
      <c r="S30507" s="11"/>
      <c r="T30507" s="11"/>
    </row>
    <row r="30508" spans="8:20" x14ac:dyDescent="0.35">
      <c r="H30508" s="711"/>
      <c r="I30508" s="711"/>
      <c r="J30508" s="711"/>
      <c r="K30508" s="711"/>
      <c r="L30508" s="711"/>
      <c r="Q30508" s="11"/>
      <c r="R30508" s="11"/>
      <c r="S30508" s="11"/>
      <c r="T30508" s="11"/>
    </row>
    <row r="30509" spans="8:20" x14ac:dyDescent="0.35">
      <c r="H30509" s="711"/>
      <c r="I30509" s="711"/>
      <c r="J30509" s="711"/>
      <c r="K30509" s="711"/>
      <c r="L30509" s="711"/>
      <c r="Q30509" s="11"/>
      <c r="R30509" s="11"/>
      <c r="S30509" s="11"/>
      <c r="T30509" s="11"/>
    </row>
    <row r="30510" spans="8:20" x14ac:dyDescent="0.35">
      <c r="H30510" s="711"/>
      <c r="I30510" s="711"/>
      <c r="J30510" s="711"/>
      <c r="K30510" s="711"/>
      <c r="L30510" s="711"/>
      <c r="Q30510" s="11"/>
      <c r="R30510" s="11"/>
      <c r="S30510" s="11"/>
      <c r="T30510" s="11"/>
    </row>
    <row r="30511" spans="8:20" x14ac:dyDescent="0.35">
      <c r="H30511" s="711"/>
      <c r="I30511" s="711"/>
      <c r="J30511" s="711"/>
      <c r="K30511" s="711"/>
      <c r="L30511" s="711"/>
      <c r="Q30511" s="11"/>
      <c r="R30511" s="11"/>
      <c r="S30511" s="11"/>
      <c r="T30511" s="11"/>
    </row>
    <row r="30512" spans="8:20" x14ac:dyDescent="0.35">
      <c r="H30512" s="711"/>
      <c r="I30512" s="711"/>
      <c r="J30512" s="711"/>
      <c r="K30512" s="711"/>
      <c r="L30512" s="711"/>
      <c r="Q30512" s="11"/>
      <c r="R30512" s="11"/>
      <c r="S30512" s="11"/>
      <c r="T30512" s="11"/>
    </row>
    <row r="30513" spans="8:20" x14ac:dyDescent="0.35">
      <c r="H30513" s="711"/>
      <c r="I30513" s="711"/>
      <c r="J30513" s="711"/>
      <c r="K30513" s="711"/>
      <c r="L30513" s="711"/>
      <c r="Q30513" s="11"/>
      <c r="R30513" s="11"/>
      <c r="S30513" s="11"/>
      <c r="T30513" s="11"/>
    </row>
    <row r="30514" spans="8:20" x14ac:dyDescent="0.35">
      <c r="H30514" s="711"/>
      <c r="I30514" s="711"/>
      <c r="J30514" s="711"/>
      <c r="K30514" s="711"/>
      <c r="L30514" s="711"/>
      <c r="Q30514" s="11"/>
      <c r="R30514" s="11"/>
      <c r="S30514" s="11"/>
      <c r="T30514" s="11"/>
    </row>
    <row r="30515" spans="8:20" x14ac:dyDescent="0.35">
      <c r="H30515" s="711"/>
      <c r="I30515" s="711"/>
      <c r="J30515" s="711"/>
      <c r="K30515" s="711"/>
      <c r="L30515" s="711"/>
      <c r="Q30515" s="11"/>
      <c r="R30515" s="11"/>
      <c r="S30515" s="11"/>
      <c r="T30515" s="11"/>
    </row>
    <row r="30516" spans="8:20" x14ac:dyDescent="0.35">
      <c r="H30516" s="711"/>
      <c r="I30516" s="711"/>
      <c r="J30516" s="711"/>
      <c r="K30516" s="711"/>
      <c r="L30516" s="711"/>
      <c r="Q30516" s="11"/>
      <c r="R30516" s="11"/>
      <c r="S30516" s="11"/>
      <c r="T30516" s="11"/>
    </row>
    <row r="30517" spans="8:20" x14ac:dyDescent="0.35">
      <c r="H30517" s="711"/>
      <c r="I30517" s="711"/>
      <c r="J30517" s="711"/>
      <c r="K30517" s="711"/>
      <c r="L30517" s="711"/>
      <c r="Q30517" s="11"/>
      <c r="R30517" s="11"/>
      <c r="S30517" s="11"/>
      <c r="T30517" s="11"/>
    </row>
    <row r="30518" spans="8:20" x14ac:dyDescent="0.35">
      <c r="H30518" s="711"/>
      <c r="I30518" s="711"/>
      <c r="J30518" s="711"/>
      <c r="K30518" s="711"/>
      <c r="L30518" s="711"/>
      <c r="Q30518" s="11"/>
      <c r="R30518" s="11"/>
      <c r="S30518" s="11"/>
      <c r="T30518" s="11"/>
    </row>
    <row r="30519" spans="8:20" x14ac:dyDescent="0.35">
      <c r="H30519" s="711"/>
      <c r="I30519" s="711"/>
      <c r="J30519" s="711"/>
      <c r="K30519" s="711"/>
      <c r="L30519" s="711"/>
      <c r="Q30519" s="11"/>
      <c r="R30519" s="11"/>
      <c r="S30519" s="11"/>
      <c r="T30519" s="11"/>
    </row>
    <row r="30520" spans="8:20" x14ac:dyDescent="0.35">
      <c r="H30520" s="711"/>
      <c r="I30520" s="711"/>
      <c r="J30520" s="711"/>
      <c r="K30520" s="711"/>
      <c r="L30520" s="711"/>
      <c r="Q30520" s="11"/>
      <c r="R30520" s="11"/>
      <c r="S30520" s="11"/>
      <c r="T30520" s="11"/>
    </row>
    <row r="30521" spans="8:20" x14ac:dyDescent="0.35">
      <c r="H30521" s="711"/>
      <c r="I30521" s="711"/>
      <c r="J30521" s="711"/>
      <c r="K30521" s="711"/>
      <c r="L30521" s="711"/>
      <c r="Q30521" s="11"/>
      <c r="R30521" s="11"/>
      <c r="S30521" s="11"/>
      <c r="T30521" s="11"/>
    </row>
    <row r="30522" spans="8:20" x14ac:dyDescent="0.35">
      <c r="H30522" s="711"/>
      <c r="I30522" s="711"/>
      <c r="J30522" s="711"/>
      <c r="K30522" s="711"/>
      <c r="L30522" s="711"/>
      <c r="Q30522" s="11"/>
      <c r="R30522" s="11"/>
      <c r="S30522" s="11"/>
      <c r="T30522" s="11"/>
    </row>
    <row r="30523" spans="8:20" x14ac:dyDescent="0.35">
      <c r="H30523" s="711"/>
      <c r="I30523" s="711"/>
      <c r="J30523" s="711"/>
      <c r="K30523" s="711"/>
      <c r="L30523" s="711"/>
      <c r="Q30523" s="11"/>
      <c r="R30523" s="11"/>
      <c r="S30523" s="11"/>
      <c r="T30523" s="11"/>
    </row>
    <row r="30524" spans="8:20" x14ac:dyDescent="0.35">
      <c r="H30524" s="711"/>
      <c r="I30524" s="711"/>
      <c r="J30524" s="711"/>
      <c r="K30524" s="711"/>
      <c r="L30524" s="711"/>
      <c r="Q30524" s="11"/>
      <c r="R30524" s="11"/>
      <c r="S30524" s="11"/>
      <c r="T30524" s="11"/>
    </row>
    <row r="30525" spans="8:20" x14ac:dyDescent="0.35">
      <c r="H30525" s="711"/>
      <c r="I30525" s="711"/>
      <c r="J30525" s="711"/>
      <c r="K30525" s="711"/>
      <c r="L30525" s="711"/>
      <c r="Q30525" s="11"/>
      <c r="R30525" s="11"/>
      <c r="S30525" s="11"/>
      <c r="T30525" s="11"/>
    </row>
    <row r="30526" spans="8:20" x14ac:dyDescent="0.35">
      <c r="H30526" s="711"/>
      <c r="I30526" s="711"/>
      <c r="J30526" s="711"/>
      <c r="K30526" s="711"/>
      <c r="L30526" s="711"/>
      <c r="Q30526" s="11"/>
      <c r="R30526" s="11"/>
      <c r="S30526" s="11"/>
      <c r="T30526" s="11"/>
    </row>
    <row r="30527" spans="8:20" x14ac:dyDescent="0.35">
      <c r="H30527" s="711"/>
      <c r="I30527" s="711"/>
      <c r="J30527" s="711"/>
      <c r="K30527" s="711"/>
      <c r="L30527" s="711"/>
      <c r="Q30527" s="11"/>
      <c r="R30527" s="11"/>
      <c r="S30527" s="11"/>
      <c r="T30527" s="11"/>
    </row>
    <row r="30528" spans="8:20" x14ac:dyDescent="0.35">
      <c r="H30528" s="711"/>
      <c r="I30528" s="711"/>
      <c r="J30528" s="711"/>
      <c r="K30528" s="711"/>
      <c r="L30528" s="711"/>
      <c r="Q30528" s="11"/>
      <c r="R30528" s="11"/>
      <c r="S30528" s="11"/>
      <c r="T30528" s="11"/>
    </row>
    <row r="30529" spans="8:20" x14ac:dyDescent="0.35">
      <c r="H30529" s="711"/>
      <c r="I30529" s="711"/>
      <c r="J30529" s="711"/>
      <c r="K30529" s="711"/>
      <c r="L30529" s="711"/>
      <c r="Q30529" s="11"/>
      <c r="R30529" s="11"/>
      <c r="S30529" s="11"/>
      <c r="T30529" s="11"/>
    </row>
    <row r="30530" spans="8:20" x14ac:dyDescent="0.35">
      <c r="H30530" s="711"/>
      <c r="I30530" s="711"/>
      <c r="J30530" s="711"/>
      <c r="K30530" s="711"/>
      <c r="L30530" s="711"/>
      <c r="Q30530" s="11"/>
      <c r="R30530" s="11"/>
      <c r="S30530" s="11"/>
      <c r="T30530" s="11"/>
    </row>
    <row r="30531" spans="8:20" x14ac:dyDescent="0.35">
      <c r="H30531" s="711"/>
      <c r="I30531" s="711"/>
      <c r="J30531" s="711"/>
      <c r="K30531" s="711"/>
      <c r="L30531" s="711"/>
      <c r="Q30531" s="11"/>
      <c r="R30531" s="11"/>
      <c r="S30531" s="11"/>
      <c r="T30531" s="11"/>
    </row>
    <row r="30532" spans="8:20" x14ac:dyDescent="0.35">
      <c r="H30532" s="711"/>
      <c r="I30532" s="711"/>
      <c r="J30532" s="711"/>
      <c r="K30532" s="711"/>
      <c r="L30532" s="711"/>
      <c r="Q30532" s="11"/>
      <c r="R30532" s="11"/>
      <c r="S30532" s="11"/>
      <c r="T30532" s="11"/>
    </row>
    <row r="30533" spans="8:20" x14ac:dyDescent="0.35">
      <c r="H30533" s="711"/>
      <c r="I30533" s="711"/>
      <c r="J30533" s="711"/>
      <c r="K30533" s="711"/>
      <c r="L30533" s="711"/>
      <c r="Q30533" s="11"/>
      <c r="R30533" s="11"/>
      <c r="S30533" s="11"/>
      <c r="T30533" s="11"/>
    </row>
    <row r="30534" spans="8:20" x14ac:dyDescent="0.35">
      <c r="H30534" s="711"/>
      <c r="I30534" s="711"/>
      <c r="J30534" s="711"/>
      <c r="K30534" s="711"/>
      <c r="L30534" s="711"/>
      <c r="Q30534" s="11"/>
      <c r="R30534" s="11"/>
      <c r="S30534" s="11"/>
      <c r="T30534" s="11"/>
    </row>
    <row r="30535" spans="8:20" x14ac:dyDescent="0.35">
      <c r="H30535" s="711"/>
      <c r="I30535" s="711"/>
      <c r="J30535" s="711"/>
      <c r="K30535" s="711"/>
      <c r="L30535" s="711"/>
      <c r="Q30535" s="11"/>
      <c r="R30535" s="11"/>
      <c r="S30535" s="11"/>
      <c r="T30535" s="11"/>
    </row>
    <row r="30536" spans="8:20" x14ac:dyDescent="0.35">
      <c r="H30536" s="711"/>
      <c r="I30536" s="711"/>
      <c r="J30536" s="711"/>
      <c r="K30536" s="711"/>
      <c r="L30536" s="711"/>
      <c r="Q30536" s="11"/>
      <c r="R30536" s="11"/>
      <c r="S30536" s="11"/>
      <c r="T30536" s="11"/>
    </row>
    <row r="30537" spans="8:20" x14ac:dyDescent="0.35">
      <c r="H30537" s="711"/>
      <c r="I30537" s="711"/>
      <c r="J30537" s="711"/>
      <c r="K30537" s="711"/>
      <c r="L30537" s="711"/>
      <c r="Q30537" s="11"/>
      <c r="R30537" s="11"/>
      <c r="S30537" s="11"/>
      <c r="T30537" s="11"/>
    </row>
    <row r="30538" spans="8:20" x14ac:dyDescent="0.35">
      <c r="H30538" s="711"/>
      <c r="I30538" s="711"/>
      <c r="J30538" s="711"/>
      <c r="K30538" s="711"/>
      <c r="L30538" s="711"/>
      <c r="Q30538" s="11"/>
      <c r="R30538" s="11"/>
      <c r="S30538" s="11"/>
      <c r="T30538" s="11"/>
    </row>
    <row r="30539" spans="8:20" x14ac:dyDescent="0.35">
      <c r="H30539" s="711"/>
      <c r="I30539" s="711"/>
      <c r="J30539" s="711"/>
      <c r="K30539" s="711"/>
      <c r="L30539" s="711"/>
      <c r="Q30539" s="11"/>
      <c r="R30539" s="11"/>
      <c r="S30539" s="11"/>
      <c r="T30539" s="11"/>
    </row>
    <row r="30540" spans="8:20" x14ac:dyDescent="0.35">
      <c r="H30540" s="711"/>
      <c r="I30540" s="711"/>
      <c r="J30540" s="711"/>
      <c r="K30540" s="711"/>
      <c r="L30540" s="711"/>
      <c r="Q30540" s="11"/>
      <c r="R30540" s="11"/>
      <c r="S30540" s="11"/>
      <c r="T30540" s="11"/>
    </row>
    <row r="30541" spans="8:20" x14ac:dyDescent="0.35">
      <c r="H30541" s="711"/>
      <c r="I30541" s="711"/>
      <c r="J30541" s="711"/>
      <c r="K30541" s="711"/>
      <c r="L30541" s="711"/>
      <c r="Q30541" s="11"/>
      <c r="R30541" s="11"/>
      <c r="S30541" s="11"/>
      <c r="T30541" s="11"/>
    </row>
    <row r="30542" spans="8:20" x14ac:dyDescent="0.35">
      <c r="H30542" s="711"/>
      <c r="I30542" s="711"/>
      <c r="J30542" s="711"/>
      <c r="K30542" s="711"/>
      <c r="L30542" s="711"/>
      <c r="Q30542" s="11"/>
      <c r="R30542" s="11"/>
      <c r="S30542" s="11"/>
      <c r="T30542" s="11"/>
    </row>
    <row r="30543" spans="8:20" x14ac:dyDescent="0.35">
      <c r="H30543" s="711"/>
      <c r="I30543" s="711"/>
      <c r="J30543" s="711"/>
      <c r="K30543" s="711"/>
      <c r="L30543" s="711"/>
      <c r="Q30543" s="11"/>
      <c r="R30543" s="11"/>
      <c r="S30543" s="11"/>
      <c r="T30543" s="11"/>
    </row>
    <row r="30544" spans="8:20" x14ac:dyDescent="0.35">
      <c r="H30544" s="711"/>
      <c r="I30544" s="711"/>
      <c r="J30544" s="711"/>
      <c r="K30544" s="711"/>
      <c r="L30544" s="711"/>
      <c r="Q30544" s="11"/>
      <c r="R30544" s="11"/>
      <c r="S30544" s="11"/>
      <c r="T30544" s="11"/>
    </row>
    <row r="30545" spans="8:20" x14ac:dyDescent="0.35">
      <c r="H30545" s="711"/>
      <c r="I30545" s="711"/>
      <c r="J30545" s="711"/>
      <c r="K30545" s="711"/>
      <c r="L30545" s="711"/>
      <c r="Q30545" s="11"/>
      <c r="R30545" s="11"/>
      <c r="S30545" s="11"/>
      <c r="T30545" s="11"/>
    </row>
    <row r="30546" spans="8:20" x14ac:dyDescent="0.35">
      <c r="H30546" s="711"/>
      <c r="I30546" s="711"/>
      <c r="J30546" s="711"/>
      <c r="K30546" s="711"/>
      <c r="L30546" s="711"/>
      <c r="Q30546" s="11"/>
      <c r="R30546" s="11"/>
      <c r="S30546" s="11"/>
      <c r="T30546" s="11"/>
    </row>
    <row r="30547" spans="8:20" x14ac:dyDescent="0.35">
      <c r="H30547" s="711"/>
      <c r="I30547" s="711"/>
      <c r="J30547" s="711"/>
      <c r="K30547" s="711"/>
      <c r="L30547" s="711"/>
      <c r="Q30547" s="11"/>
      <c r="R30547" s="11"/>
      <c r="S30547" s="11"/>
      <c r="T30547" s="11"/>
    </row>
    <row r="30548" spans="8:20" x14ac:dyDescent="0.35">
      <c r="H30548" s="711"/>
      <c r="I30548" s="711"/>
      <c r="J30548" s="711"/>
      <c r="K30548" s="711"/>
      <c r="L30548" s="711"/>
      <c r="Q30548" s="11"/>
      <c r="R30548" s="11"/>
      <c r="S30548" s="11"/>
      <c r="T30548" s="11"/>
    </row>
    <row r="30549" spans="8:20" x14ac:dyDescent="0.35">
      <c r="H30549" s="711"/>
      <c r="I30549" s="711"/>
      <c r="J30549" s="711"/>
      <c r="K30549" s="711"/>
      <c r="L30549" s="711"/>
      <c r="Q30549" s="11"/>
      <c r="R30549" s="11"/>
      <c r="S30549" s="11"/>
      <c r="T30549" s="11"/>
    </row>
    <row r="30550" spans="8:20" x14ac:dyDescent="0.35">
      <c r="H30550" s="711"/>
      <c r="I30550" s="711"/>
      <c r="J30550" s="711"/>
      <c r="K30550" s="711"/>
      <c r="L30550" s="711"/>
      <c r="Q30550" s="11"/>
      <c r="R30550" s="11"/>
      <c r="S30550" s="11"/>
      <c r="T30550" s="11"/>
    </row>
    <row r="30551" spans="8:20" x14ac:dyDescent="0.35">
      <c r="H30551" s="711"/>
      <c r="I30551" s="711"/>
      <c r="J30551" s="711"/>
      <c r="K30551" s="711"/>
      <c r="L30551" s="711"/>
      <c r="Q30551" s="11"/>
      <c r="R30551" s="11"/>
      <c r="S30551" s="11"/>
      <c r="T30551" s="11"/>
    </row>
    <row r="30552" spans="8:20" x14ac:dyDescent="0.35">
      <c r="H30552" s="711"/>
      <c r="I30552" s="711"/>
      <c r="J30552" s="711"/>
      <c r="K30552" s="711"/>
      <c r="L30552" s="711"/>
      <c r="Q30552" s="11"/>
      <c r="R30552" s="11"/>
      <c r="S30552" s="11"/>
      <c r="T30552" s="11"/>
    </row>
    <row r="30553" spans="8:20" x14ac:dyDescent="0.35">
      <c r="H30553" s="711"/>
      <c r="I30553" s="711"/>
      <c r="J30553" s="711"/>
      <c r="K30553" s="711"/>
      <c r="L30553" s="711"/>
      <c r="Q30553" s="11"/>
      <c r="R30553" s="11"/>
      <c r="S30553" s="11"/>
      <c r="T30553" s="11"/>
    </row>
    <row r="30554" spans="8:20" x14ac:dyDescent="0.35">
      <c r="H30554" s="711"/>
      <c r="I30554" s="711"/>
      <c r="J30554" s="711"/>
      <c r="K30554" s="711"/>
      <c r="L30554" s="711"/>
      <c r="Q30554" s="11"/>
      <c r="R30554" s="11"/>
      <c r="S30554" s="11"/>
      <c r="T30554" s="11"/>
    </row>
    <row r="30555" spans="8:20" x14ac:dyDescent="0.35">
      <c r="H30555" s="711"/>
      <c r="I30555" s="711"/>
      <c r="J30555" s="711"/>
      <c r="K30555" s="711"/>
      <c r="L30555" s="711"/>
      <c r="Q30555" s="11"/>
      <c r="R30555" s="11"/>
      <c r="S30555" s="11"/>
      <c r="T30555" s="11"/>
    </row>
    <row r="30556" spans="8:20" x14ac:dyDescent="0.35">
      <c r="H30556" s="711"/>
      <c r="I30556" s="711"/>
      <c r="J30556" s="711"/>
      <c r="K30556" s="711"/>
      <c r="L30556" s="711"/>
      <c r="Q30556" s="11"/>
      <c r="R30556" s="11"/>
      <c r="S30556" s="11"/>
      <c r="T30556" s="11"/>
    </row>
    <row r="30557" spans="8:20" x14ac:dyDescent="0.35">
      <c r="H30557" s="711"/>
      <c r="I30557" s="711"/>
      <c r="J30557" s="711"/>
      <c r="K30557" s="711"/>
      <c r="L30557" s="711"/>
      <c r="Q30557" s="11"/>
      <c r="R30557" s="11"/>
      <c r="S30557" s="11"/>
      <c r="T30557" s="11"/>
    </row>
    <row r="30558" spans="8:20" x14ac:dyDescent="0.35">
      <c r="H30558" s="711"/>
      <c r="I30558" s="711"/>
      <c r="J30558" s="711"/>
      <c r="K30558" s="711"/>
      <c r="L30558" s="711"/>
      <c r="Q30558" s="11"/>
      <c r="R30558" s="11"/>
      <c r="S30558" s="11"/>
      <c r="T30558" s="11"/>
    </row>
    <row r="30559" spans="8:20" x14ac:dyDescent="0.35">
      <c r="H30559" s="711"/>
      <c r="I30559" s="711"/>
      <c r="J30559" s="711"/>
      <c r="K30559" s="711"/>
      <c r="L30559" s="711"/>
      <c r="Q30559" s="11"/>
      <c r="R30559" s="11"/>
      <c r="S30559" s="11"/>
      <c r="T30559" s="11"/>
    </row>
    <row r="30560" spans="8:20" x14ac:dyDescent="0.35">
      <c r="H30560" s="711"/>
      <c r="I30560" s="711"/>
      <c r="J30560" s="711"/>
      <c r="K30560" s="711"/>
      <c r="L30560" s="711"/>
      <c r="Q30560" s="11"/>
      <c r="R30560" s="11"/>
      <c r="S30560" s="11"/>
      <c r="T30560" s="11"/>
    </row>
    <row r="30561" spans="8:20" x14ac:dyDescent="0.35">
      <c r="H30561" s="711"/>
      <c r="I30561" s="711"/>
      <c r="J30561" s="711"/>
      <c r="K30561" s="711"/>
      <c r="L30561" s="711"/>
      <c r="Q30561" s="11"/>
      <c r="R30561" s="11"/>
      <c r="S30561" s="11"/>
      <c r="T30561" s="11"/>
    </row>
    <row r="30562" spans="8:20" x14ac:dyDescent="0.35">
      <c r="H30562" s="711"/>
      <c r="I30562" s="711"/>
      <c r="J30562" s="711"/>
      <c r="K30562" s="711"/>
      <c r="L30562" s="711"/>
      <c r="Q30562" s="11"/>
      <c r="R30562" s="11"/>
      <c r="S30562" s="11"/>
      <c r="T30562" s="11"/>
    </row>
    <row r="30563" spans="8:20" x14ac:dyDescent="0.35">
      <c r="H30563" s="711"/>
      <c r="I30563" s="711"/>
      <c r="J30563" s="711"/>
      <c r="K30563" s="711"/>
      <c r="L30563" s="711"/>
      <c r="Q30563" s="11"/>
      <c r="R30563" s="11"/>
      <c r="S30563" s="11"/>
      <c r="T30563" s="11"/>
    </row>
    <row r="30564" spans="8:20" x14ac:dyDescent="0.35">
      <c r="H30564" s="711"/>
      <c r="I30564" s="711"/>
      <c r="J30564" s="711"/>
      <c r="K30564" s="711"/>
      <c r="L30564" s="711"/>
      <c r="Q30564" s="11"/>
      <c r="R30564" s="11"/>
      <c r="S30564" s="11"/>
      <c r="T30564" s="11"/>
    </row>
    <row r="30565" spans="8:20" x14ac:dyDescent="0.35">
      <c r="H30565" s="711"/>
      <c r="I30565" s="711"/>
      <c r="J30565" s="711"/>
      <c r="K30565" s="711"/>
      <c r="L30565" s="711"/>
      <c r="Q30565" s="11"/>
      <c r="R30565" s="11"/>
      <c r="S30565" s="11"/>
      <c r="T30565" s="11"/>
    </row>
    <row r="30566" spans="8:20" x14ac:dyDescent="0.35">
      <c r="H30566" s="711"/>
      <c r="I30566" s="711"/>
      <c r="J30566" s="711"/>
      <c r="K30566" s="711"/>
      <c r="L30566" s="711"/>
      <c r="Q30566" s="11"/>
      <c r="R30566" s="11"/>
      <c r="S30566" s="11"/>
      <c r="T30566" s="11"/>
    </row>
    <row r="30567" spans="8:20" x14ac:dyDescent="0.35">
      <c r="H30567" s="711"/>
      <c r="I30567" s="711"/>
      <c r="J30567" s="711"/>
      <c r="K30567" s="711"/>
      <c r="L30567" s="711"/>
      <c r="Q30567" s="11"/>
      <c r="R30567" s="11"/>
      <c r="S30567" s="11"/>
      <c r="T30567" s="11"/>
    </row>
    <row r="30568" spans="8:20" x14ac:dyDescent="0.35">
      <c r="H30568" s="711"/>
      <c r="I30568" s="711"/>
      <c r="J30568" s="711"/>
      <c r="K30568" s="711"/>
      <c r="L30568" s="711"/>
      <c r="Q30568" s="11"/>
      <c r="R30568" s="11"/>
      <c r="S30568" s="11"/>
      <c r="T30568" s="11"/>
    </row>
    <row r="30569" spans="8:20" x14ac:dyDescent="0.35">
      <c r="H30569" s="711"/>
      <c r="I30569" s="711"/>
      <c r="J30569" s="711"/>
      <c r="K30569" s="711"/>
      <c r="L30569" s="711"/>
      <c r="Q30569" s="11"/>
      <c r="R30569" s="11"/>
      <c r="S30569" s="11"/>
      <c r="T30569" s="11"/>
    </row>
    <row r="30570" spans="8:20" x14ac:dyDescent="0.35">
      <c r="H30570" s="711"/>
      <c r="I30570" s="711"/>
      <c r="J30570" s="711"/>
      <c r="K30570" s="711"/>
      <c r="L30570" s="711"/>
      <c r="Q30570" s="11"/>
      <c r="R30570" s="11"/>
      <c r="S30570" s="11"/>
      <c r="T30570" s="11"/>
    </row>
    <row r="30571" spans="8:20" x14ac:dyDescent="0.35">
      <c r="H30571" s="711"/>
      <c r="I30571" s="711"/>
      <c r="J30571" s="711"/>
      <c r="K30571" s="711"/>
      <c r="L30571" s="711"/>
      <c r="Q30571" s="11"/>
      <c r="R30571" s="11"/>
      <c r="S30571" s="11"/>
      <c r="T30571" s="11"/>
    </row>
    <row r="30572" spans="8:20" x14ac:dyDescent="0.35">
      <c r="H30572" s="711"/>
      <c r="I30572" s="711"/>
      <c r="J30572" s="711"/>
      <c r="K30572" s="711"/>
      <c r="L30572" s="711"/>
      <c r="Q30572" s="11"/>
      <c r="R30572" s="11"/>
      <c r="S30572" s="11"/>
      <c r="T30572" s="11"/>
    </row>
    <row r="30573" spans="8:20" x14ac:dyDescent="0.35">
      <c r="H30573" s="711"/>
      <c r="I30573" s="711"/>
      <c r="J30573" s="711"/>
      <c r="K30573" s="711"/>
      <c r="L30573" s="711"/>
      <c r="Q30573" s="11"/>
      <c r="R30573" s="11"/>
      <c r="S30573" s="11"/>
      <c r="T30573" s="11"/>
    </row>
    <row r="30574" spans="8:20" x14ac:dyDescent="0.35">
      <c r="H30574" s="711"/>
      <c r="I30574" s="711"/>
      <c r="J30574" s="711"/>
      <c r="K30574" s="711"/>
      <c r="L30574" s="711"/>
      <c r="Q30574" s="11"/>
      <c r="R30574" s="11"/>
      <c r="S30574" s="11"/>
      <c r="T30574" s="11"/>
    </row>
    <row r="30575" spans="8:20" x14ac:dyDescent="0.35">
      <c r="H30575" s="711"/>
      <c r="I30575" s="711"/>
      <c r="J30575" s="711"/>
      <c r="K30575" s="711"/>
      <c r="L30575" s="711"/>
      <c r="Q30575" s="11"/>
      <c r="R30575" s="11"/>
      <c r="S30575" s="11"/>
      <c r="T30575" s="11"/>
    </row>
    <row r="30576" spans="8:20" x14ac:dyDescent="0.35">
      <c r="H30576" s="711"/>
      <c r="I30576" s="711"/>
      <c r="J30576" s="711"/>
      <c r="K30576" s="711"/>
      <c r="L30576" s="711"/>
      <c r="Q30576" s="11"/>
      <c r="R30576" s="11"/>
      <c r="S30576" s="11"/>
      <c r="T30576" s="11"/>
    </row>
    <row r="30577" spans="8:20" x14ac:dyDescent="0.35">
      <c r="H30577" s="711"/>
      <c r="I30577" s="711"/>
      <c r="J30577" s="711"/>
      <c r="K30577" s="711"/>
      <c r="L30577" s="711"/>
      <c r="Q30577" s="11"/>
      <c r="R30577" s="11"/>
      <c r="S30577" s="11"/>
      <c r="T30577" s="11"/>
    </row>
    <row r="30578" spans="8:20" x14ac:dyDescent="0.35">
      <c r="H30578" s="711"/>
      <c r="I30578" s="711"/>
      <c r="J30578" s="711"/>
      <c r="K30578" s="711"/>
      <c r="L30578" s="711"/>
      <c r="Q30578" s="11"/>
      <c r="R30578" s="11"/>
      <c r="S30578" s="11"/>
      <c r="T30578" s="11"/>
    </row>
    <row r="30579" spans="8:20" x14ac:dyDescent="0.35">
      <c r="H30579" s="711"/>
      <c r="I30579" s="711"/>
      <c r="J30579" s="711"/>
      <c r="K30579" s="711"/>
      <c r="L30579" s="711"/>
      <c r="Q30579" s="11"/>
      <c r="R30579" s="11"/>
      <c r="S30579" s="11"/>
      <c r="T30579" s="11"/>
    </row>
    <row r="30580" spans="8:20" x14ac:dyDescent="0.35">
      <c r="H30580" s="711"/>
      <c r="I30580" s="711"/>
      <c r="J30580" s="711"/>
      <c r="K30580" s="711"/>
      <c r="L30580" s="711"/>
      <c r="Q30580" s="11"/>
      <c r="R30580" s="11"/>
      <c r="S30580" s="11"/>
      <c r="T30580" s="11"/>
    </row>
    <row r="30581" spans="8:20" x14ac:dyDescent="0.35">
      <c r="H30581" s="711"/>
      <c r="I30581" s="711"/>
      <c r="J30581" s="711"/>
      <c r="K30581" s="711"/>
      <c r="L30581" s="711"/>
      <c r="Q30581" s="11"/>
      <c r="R30581" s="11"/>
      <c r="S30581" s="11"/>
      <c r="T30581" s="11"/>
    </row>
    <row r="30582" spans="8:20" x14ac:dyDescent="0.35">
      <c r="H30582" s="711"/>
      <c r="I30582" s="711"/>
      <c r="J30582" s="711"/>
      <c r="K30582" s="711"/>
      <c r="L30582" s="711"/>
      <c r="Q30582" s="11"/>
      <c r="R30582" s="11"/>
      <c r="S30582" s="11"/>
      <c r="T30582" s="11"/>
    </row>
    <row r="30583" spans="8:20" x14ac:dyDescent="0.35">
      <c r="H30583" s="711"/>
      <c r="I30583" s="711"/>
      <c r="J30583" s="711"/>
      <c r="K30583" s="711"/>
      <c r="L30583" s="711"/>
      <c r="Q30583" s="11"/>
      <c r="R30583" s="11"/>
      <c r="S30583" s="11"/>
      <c r="T30583" s="11"/>
    </row>
    <row r="30584" spans="8:20" x14ac:dyDescent="0.35">
      <c r="H30584" s="711"/>
      <c r="I30584" s="711"/>
      <c r="J30584" s="711"/>
      <c r="K30584" s="711"/>
      <c r="L30584" s="711"/>
      <c r="Q30584" s="11"/>
      <c r="R30584" s="11"/>
      <c r="S30584" s="11"/>
      <c r="T30584" s="11"/>
    </row>
    <row r="30585" spans="8:20" x14ac:dyDescent="0.35">
      <c r="H30585" s="711"/>
      <c r="I30585" s="711"/>
      <c r="J30585" s="711"/>
      <c r="K30585" s="711"/>
      <c r="L30585" s="711"/>
      <c r="Q30585" s="11"/>
      <c r="R30585" s="11"/>
      <c r="S30585" s="11"/>
      <c r="T30585" s="11"/>
    </row>
    <row r="30586" spans="8:20" x14ac:dyDescent="0.35">
      <c r="H30586" s="711"/>
      <c r="I30586" s="711"/>
      <c r="J30586" s="711"/>
      <c r="K30586" s="711"/>
      <c r="L30586" s="711"/>
      <c r="Q30586" s="11"/>
      <c r="R30586" s="11"/>
      <c r="S30586" s="11"/>
      <c r="T30586" s="11"/>
    </row>
    <row r="30587" spans="8:20" x14ac:dyDescent="0.35">
      <c r="H30587" s="711"/>
      <c r="I30587" s="711"/>
      <c r="J30587" s="711"/>
      <c r="K30587" s="711"/>
      <c r="L30587" s="711"/>
      <c r="Q30587" s="11"/>
      <c r="R30587" s="11"/>
      <c r="S30587" s="11"/>
      <c r="T30587" s="11"/>
    </row>
    <row r="30588" spans="8:20" x14ac:dyDescent="0.35">
      <c r="H30588" s="711"/>
      <c r="I30588" s="711"/>
      <c r="J30588" s="711"/>
      <c r="K30588" s="711"/>
      <c r="L30588" s="711"/>
      <c r="Q30588" s="11"/>
      <c r="R30588" s="11"/>
      <c r="S30588" s="11"/>
      <c r="T30588" s="11"/>
    </row>
    <row r="30589" spans="8:20" x14ac:dyDescent="0.35">
      <c r="H30589" s="711"/>
      <c r="I30589" s="711"/>
      <c r="J30589" s="711"/>
      <c r="K30589" s="711"/>
      <c r="L30589" s="711"/>
      <c r="Q30589" s="11"/>
      <c r="R30589" s="11"/>
      <c r="S30589" s="11"/>
      <c r="T30589" s="11"/>
    </row>
    <row r="30590" spans="8:20" x14ac:dyDescent="0.35">
      <c r="H30590" s="711"/>
      <c r="I30590" s="711"/>
      <c r="J30590" s="711"/>
      <c r="K30590" s="711"/>
      <c r="L30590" s="711"/>
      <c r="Q30590" s="11"/>
      <c r="R30590" s="11"/>
      <c r="S30590" s="11"/>
      <c r="T30590" s="11"/>
    </row>
    <row r="30591" spans="8:20" x14ac:dyDescent="0.35">
      <c r="H30591" s="711"/>
      <c r="I30591" s="711"/>
      <c r="J30591" s="711"/>
      <c r="K30591" s="711"/>
      <c r="L30591" s="711"/>
      <c r="Q30591" s="11"/>
      <c r="R30591" s="11"/>
      <c r="S30591" s="11"/>
      <c r="T30591" s="11"/>
    </row>
    <row r="30592" spans="8:20" x14ac:dyDescent="0.35">
      <c r="H30592" s="711"/>
      <c r="I30592" s="711"/>
      <c r="J30592" s="711"/>
      <c r="K30592" s="711"/>
      <c r="L30592" s="711"/>
      <c r="Q30592" s="11"/>
      <c r="R30592" s="11"/>
      <c r="S30592" s="11"/>
      <c r="T30592" s="11"/>
    </row>
    <row r="30593" spans="8:20" x14ac:dyDescent="0.35">
      <c r="H30593" s="711"/>
      <c r="I30593" s="711"/>
      <c r="J30593" s="711"/>
      <c r="K30593" s="711"/>
      <c r="L30593" s="711"/>
      <c r="Q30593" s="11"/>
      <c r="R30593" s="11"/>
      <c r="S30593" s="11"/>
      <c r="T30593" s="11"/>
    </row>
    <row r="30594" spans="8:20" x14ac:dyDescent="0.35">
      <c r="H30594" s="711"/>
      <c r="I30594" s="711"/>
      <c r="J30594" s="711"/>
      <c r="K30594" s="711"/>
      <c r="L30594" s="711"/>
      <c r="Q30594" s="11"/>
      <c r="R30594" s="11"/>
      <c r="S30594" s="11"/>
      <c r="T30594" s="11"/>
    </row>
    <row r="30595" spans="8:20" x14ac:dyDescent="0.35">
      <c r="H30595" s="711"/>
      <c r="I30595" s="711"/>
      <c r="J30595" s="711"/>
      <c r="K30595" s="711"/>
      <c r="L30595" s="711"/>
      <c r="Q30595" s="11"/>
      <c r="R30595" s="11"/>
      <c r="S30595" s="11"/>
      <c r="T30595" s="11"/>
    </row>
    <row r="30596" spans="8:20" x14ac:dyDescent="0.35">
      <c r="H30596" s="711"/>
      <c r="I30596" s="711"/>
      <c r="J30596" s="711"/>
      <c r="K30596" s="711"/>
      <c r="L30596" s="711"/>
      <c r="Q30596" s="11"/>
      <c r="R30596" s="11"/>
      <c r="S30596" s="11"/>
      <c r="T30596" s="11"/>
    </row>
    <row r="30597" spans="8:20" x14ac:dyDescent="0.35">
      <c r="H30597" s="711"/>
      <c r="I30597" s="711"/>
      <c r="J30597" s="711"/>
      <c r="K30597" s="711"/>
      <c r="L30597" s="711"/>
      <c r="Q30597" s="11"/>
      <c r="R30597" s="11"/>
      <c r="S30597" s="11"/>
      <c r="T30597" s="11"/>
    </row>
    <row r="30598" spans="8:20" x14ac:dyDescent="0.35">
      <c r="H30598" s="711"/>
      <c r="I30598" s="711"/>
      <c r="J30598" s="711"/>
      <c r="K30598" s="711"/>
      <c r="L30598" s="711"/>
      <c r="Q30598" s="11"/>
      <c r="R30598" s="11"/>
      <c r="S30598" s="11"/>
      <c r="T30598" s="11"/>
    </row>
    <row r="30599" spans="8:20" x14ac:dyDescent="0.35">
      <c r="H30599" s="711"/>
      <c r="I30599" s="711"/>
      <c r="J30599" s="711"/>
      <c r="K30599" s="711"/>
      <c r="L30599" s="711"/>
      <c r="Q30599" s="11"/>
      <c r="R30599" s="11"/>
      <c r="S30599" s="11"/>
      <c r="T30599" s="11"/>
    </row>
    <row r="30600" spans="8:20" x14ac:dyDescent="0.35">
      <c r="H30600" s="711"/>
      <c r="I30600" s="711"/>
      <c r="J30600" s="711"/>
      <c r="K30600" s="711"/>
      <c r="L30600" s="711"/>
      <c r="Q30600" s="11"/>
      <c r="R30600" s="11"/>
      <c r="S30600" s="11"/>
      <c r="T30600" s="11"/>
    </row>
    <row r="30601" spans="8:20" x14ac:dyDescent="0.35">
      <c r="H30601" s="711"/>
      <c r="I30601" s="711"/>
      <c r="J30601" s="711"/>
      <c r="K30601" s="711"/>
      <c r="L30601" s="711"/>
      <c r="Q30601" s="11"/>
      <c r="R30601" s="11"/>
      <c r="S30601" s="11"/>
      <c r="T30601" s="11"/>
    </row>
    <row r="30602" spans="8:20" x14ac:dyDescent="0.35">
      <c r="H30602" s="711"/>
      <c r="I30602" s="711"/>
      <c r="J30602" s="711"/>
      <c r="K30602" s="711"/>
      <c r="L30602" s="711"/>
      <c r="Q30602" s="11"/>
      <c r="R30602" s="11"/>
      <c r="S30602" s="11"/>
      <c r="T30602" s="11"/>
    </row>
    <row r="30603" spans="8:20" x14ac:dyDescent="0.35">
      <c r="H30603" s="711"/>
      <c r="I30603" s="711"/>
      <c r="J30603" s="711"/>
      <c r="K30603" s="711"/>
      <c r="L30603" s="711"/>
      <c r="Q30603" s="11"/>
      <c r="R30603" s="11"/>
      <c r="S30603" s="11"/>
      <c r="T30603" s="11"/>
    </row>
    <row r="30604" spans="8:20" x14ac:dyDescent="0.35">
      <c r="H30604" s="711"/>
      <c r="I30604" s="711"/>
      <c r="J30604" s="711"/>
      <c r="K30604" s="711"/>
      <c r="L30604" s="711"/>
      <c r="Q30604" s="11"/>
      <c r="R30604" s="11"/>
      <c r="S30604" s="11"/>
      <c r="T30604" s="11"/>
    </row>
    <row r="30605" spans="8:20" x14ac:dyDescent="0.35">
      <c r="H30605" s="711"/>
      <c r="I30605" s="711"/>
      <c r="J30605" s="711"/>
      <c r="K30605" s="711"/>
      <c r="L30605" s="711"/>
      <c r="Q30605" s="11"/>
      <c r="R30605" s="11"/>
      <c r="S30605" s="11"/>
      <c r="T30605" s="11"/>
    </row>
    <row r="30606" spans="8:20" x14ac:dyDescent="0.35">
      <c r="H30606" s="711"/>
      <c r="I30606" s="711"/>
      <c r="J30606" s="711"/>
      <c r="K30606" s="711"/>
      <c r="L30606" s="711"/>
      <c r="Q30606" s="11"/>
      <c r="R30606" s="11"/>
      <c r="S30606" s="11"/>
      <c r="T30606" s="11"/>
    </row>
    <row r="30607" spans="8:20" x14ac:dyDescent="0.35">
      <c r="H30607" s="711"/>
      <c r="I30607" s="711"/>
      <c r="J30607" s="711"/>
      <c r="K30607" s="711"/>
      <c r="L30607" s="711"/>
      <c r="Q30607" s="11"/>
      <c r="R30607" s="11"/>
      <c r="S30607" s="11"/>
      <c r="T30607" s="11"/>
    </row>
    <row r="30608" spans="8:20" x14ac:dyDescent="0.35">
      <c r="H30608" s="711"/>
      <c r="I30608" s="711"/>
      <c r="J30608" s="711"/>
      <c r="K30608" s="711"/>
      <c r="L30608" s="711"/>
      <c r="Q30608" s="11"/>
      <c r="R30608" s="11"/>
      <c r="S30608" s="11"/>
      <c r="T30608" s="11"/>
    </row>
    <row r="30609" spans="8:20" x14ac:dyDescent="0.35">
      <c r="H30609" s="711"/>
      <c r="I30609" s="711"/>
      <c r="J30609" s="711"/>
      <c r="K30609" s="711"/>
      <c r="L30609" s="711"/>
      <c r="Q30609" s="11"/>
      <c r="R30609" s="11"/>
      <c r="S30609" s="11"/>
      <c r="T30609" s="11"/>
    </row>
    <row r="30610" spans="8:20" x14ac:dyDescent="0.35">
      <c r="H30610" s="711"/>
      <c r="I30610" s="711"/>
      <c r="J30610" s="711"/>
      <c r="K30610" s="711"/>
      <c r="L30610" s="711"/>
      <c r="Q30610" s="11"/>
      <c r="R30610" s="11"/>
      <c r="S30610" s="11"/>
      <c r="T30610" s="11"/>
    </row>
    <row r="30611" spans="8:20" x14ac:dyDescent="0.35">
      <c r="H30611" s="711"/>
      <c r="I30611" s="711"/>
      <c r="J30611" s="711"/>
      <c r="K30611" s="711"/>
      <c r="L30611" s="711"/>
      <c r="Q30611" s="11"/>
      <c r="R30611" s="11"/>
      <c r="S30611" s="11"/>
      <c r="T30611" s="11"/>
    </row>
    <row r="30612" spans="8:20" x14ac:dyDescent="0.35">
      <c r="H30612" s="711"/>
      <c r="I30612" s="711"/>
      <c r="J30612" s="711"/>
      <c r="K30612" s="711"/>
      <c r="L30612" s="711"/>
      <c r="Q30612" s="11"/>
      <c r="R30612" s="11"/>
      <c r="S30612" s="11"/>
      <c r="T30612" s="11"/>
    </row>
    <row r="30613" spans="8:20" x14ac:dyDescent="0.35">
      <c r="H30613" s="711"/>
      <c r="I30613" s="711"/>
      <c r="J30613" s="711"/>
      <c r="K30613" s="711"/>
      <c r="L30613" s="711"/>
      <c r="Q30613" s="11"/>
      <c r="R30613" s="11"/>
      <c r="S30613" s="11"/>
      <c r="T30613" s="11"/>
    </row>
    <row r="30614" spans="8:20" x14ac:dyDescent="0.35">
      <c r="H30614" s="711"/>
      <c r="I30614" s="711"/>
      <c r="J30614" s="711"/>
      <c r="K30614" s="711"/>
      <c r="L30614" s="711"/>
      <c r="Q30614" s="11"/>
      <c r="R30614" s="11"/>
      <c r="S30614" s="11"/>
      <c r="T30614" s="11"/>
    </row>
    <row r="30615" spans="8:20" x14ac:dyDescent="0.35">
      <c r="H30615" s="711"/>
      <c r="I30615" s="711"/>
      <c r="J30615" s="711"/>
      <c r="K30615" s="711"/>
      <c r="L30615" s="711"/>
      <c r="Q30615" s="11"/>
      <c r="R30615" s="11"/>
      <c r="S30615" s="11"/>
      <c r="T30615" s="11"/>
    </row>
    <row r="30616" spans="8:20" x14ac:dyDescent="0.35">
      <c r="H30616" s="711"/>
      <c r="I30616" s="711"/>
      <c r="J30616" s="711"/>
      <c r="K30616" s="711"/>
      <c r="L30616" s="711"/>
      <c r="Q30616" s="11"/>
      <c r="R30616" s="11"/>
      <c r="S30616" s="11"/>
      <c r="T30616" s="11"/>
    </row>
    <row r="30617" spans="8:20" x14ac:dyDescent="0.35">
      <c r="H30617" s="711"/>
      <c r="I30617" s="711"/>
      <c r="J30617" s="711"/>
      <c r="K30617" s="711"/>
      <c r="L30617" s="711"/>
      <c r="Q30617" s="11"/>
      <c r="R30617" s="11"/>
      <c r="S30617" s="11"/>
      <c r="T30617" s="11"/>
    </row>
    <row r="30618" spans="8:20" x14ac:dyDescent="0.35">
      <c r="H30618" s="711"/>
      <c r="I30618" s="711"/>
      <c r="J30618" s="711"/>
      <c r="K30618" s="711"/>
      <c r="L30618" s="711"/>
      <c r="Q30618" s="11"/>
      <c r="R30618" s="11"/>
      <c r="S30618" s="11"/>
      <c r="T30618" s="11"/>
    </row>
    <row r="30619" spans="8:20" x14ac:dyDescent="0.35">
      <c r="H30619" s="711"/>
      <c r="I30619" s="711"/>
      <c r="J30619" s="711"/>
      <c r="K30619" s="711"/>
      <c r="L30619" s="711"/>
      <c r="Q30619" s="11"/>
      <c r="R30619" s="11"/>
      <c r="S30619" s="11"/>
      <c r="T30619" s="11"/>
    </row>
    <row r="30620" spans="8:20" x14ac:dyDescent="0.35">
      <c r="H30620" s="711"/>
      <c r="I30620" s="711"/>
      <c r="J30620" s="711"/>
      <c r="K30620" s="711"/>
      <c r="L30620" s="711"/>
      <c r="Q30620" s="11"/>
      <c r="R30620" s="11"/>
      <c r="S30620" s="11"/>
      <c r="T30620" s="11"/>
    </row>
    <row r="30621" spans="8:20" x14ac:dyDescent="0.35">
      <c r="H30621" s="711"/>
      <c r="I30621" s="711"/>
      <c r="J30621" s="711"/>
      <c r="K30621" s="711"/>
      <c r="L30621" s="711"/>
      <c r="Q30621" s="11"/>
      <c r="R30621" s="11"/>
      <c r="S30621" s="11"/>
      <c r="T30621" s="11"/>
    </row>
    <row r="30622" spans="8:20" x14ac:dyDescent="0.35">
      <c r="H30622" s="711"/>
      <c r="I30622" s="711"/>
      <c r="J30622" s="711"/>
      <c r="K30622" s="711"/>
      <c r="L30622" s="711"/>
      <c r="Q30622" s="11"/>
      <c r="R30622" s="11"/>
      <c r="S30622" s="11"/>
      <c r="T30622" s="11"/>
    </row>
    <row r="30623" spans="8:20" x14ac:dyDescent="0.35">
      <c r="H30623" s="711"/>
      <c r="I30623" s="711"/>
      <c r="J30623" s="711"/>
      <c r="K30623" s="711"/>
      <c r="L30623" s="711"/>
      <c r="Q30623" s="11"/>
      <c r="R30623" s="11"/>
      <c r="S30623" s="11"/>
      <c r="T30623" s="11"/>
    </row>
    <row r="30624" spans="8:20" x14ac:dyDescent="0.35">
      <c r="H30624" s="711"/>
      <c r="I30624" s="711"/>
      <c r="J30624" s="711"/>
      <c r="K30624" s="711"/>
      <c r="L30624" s="711"/>
      <c r="Q30624" s="11"/>
      <c r="R30624" s="11"/>
      <c r="S30624" s="11"/>
      <c r="T30624" s="11"/>
    </row>
    <row r="30625" spans="8:20" x14ac:dyDescent="0.35">
      <c r="H30625" s="711"/>
      <c r="I30625" s="711"/>
      <c r="J30625" s="711"/>
      <c r="K30625" s="711"/>
      <c r="L30625" s="711"/>
      <c r="Q30625" s="11"/>
      <c r="R30625" s="11"/>
      <c r="S30625" s="11"/>
      <c r="T30625" s="11"/>
    </row>
    <row r="30626" spans="8:20" x14ac:dyDescent="0.35">
      <c r="H30626" s="711"/>
      <c r="I30626" s="711"/>
      <c r="J30626" s="711"/>
      <c r="K30626" s="711"/>
      <c r="L30626" s="711"/>
      <c r="Q30626" s="11"/>
      <c r="R30626" s="11"/>
      <c r="S30626" s="11"/>
      <c r="T30626" s="11"/>
    </row>
    <row r="30627" spans="8:20" x14ac:dyDescent="0.35">
      <c r="H30627" s="711"/>
      <c r="I30627" s="711"/>
      <c r="J30627" s="711"/>
      <c r="K30627" s="711"/>
      <c r="L30627" s="711"/>
      <c r="Q30627" s="11"/>
      <c r="R30627" s="11"/>
      <c r="S30627" s="11"/>
      <c r="T30627" s="11"/>
    </row>
    <row r="30628" spans="8:20" x14ac:dyDescent="0.35">
      <c r="H30628" s="711"/>
      <c r="I30628" s="711"/>
      <c r="J30628" s="711"/>
      <c r="K30628" s="711"/>
      <c r="L30628" s="711"/>
      <c r="Q30628" s="11"/>
      <c r="R30628" s="11"/>
      <c r="S30628" s="11"/>
      <c r="T30628" s="11"/>
    </row>
    <row r="30629" spans="8:20" x14ac:dyDescent="0.35">
      <c r="H30629" s="711"/>
      <c r="I30629" s="711"/>
      <c r="J30629" s="711"/>
      <c r="K30629" s="711"/>
      <c r="L30629" s="711"/>
      <c r="Q30629" s="11"/>
      <c r="R30629" s="11"/>
      <c r="S30629" s="11"/>
      <c r="T30629" s="11"/>
    </row>
    <row r="30630" spans="8:20" x14ac:dyDescent="0.35">
      <c r="H30630" s="711"/>
      <c r="I30630" s="711"/>
      <c r="J30630" s="711"/>
      <c r="K30630" s="711"/>
      <c r="L30630" s="711"/>
      <c r="Q30630" s="11"/>
      <c r="R30630" s="11"/>
      <c r="S30630" s="11"/>
      <c r="T30630" s="11"/>
    </row>
    <row r="30631" spans="8:20" x14ac:dyDescent="0.35">
      <c r="H30631" s="711"/>
      <c r="I30631" s="711"/>
      <c r="J30631" s="711"/>
      <c r="K30631" s="711"/>
      <c r="L30631" s="711"/>
      <c r="Q30631" s="11"/>
      <c r="R30631" s="11"/>
      <c r="S30631" s="11"/>
      <c r="T30631" s="11"/>
    </row>
    <row r="30632" spans="8:20" x14ac:dyDescent="0.35">
      <c r="H30632" s="711"/>
      <c r="I30632" s="711"/>
      <c r="J30632" s="711"/>
      <c r="K30632" s="711"/>
      <c r="L30632" s="711"/>
      <c r="Q30632" s="11"/>
      <c r="R30632" s="11"/>
      <c r="S30632" s="11"/>
      <c r="T30632" s="11"/>
    </row>
    <row r="30633" spans="8:20" x14ac:dyDescent="0.35">
      <c r="H30633" s="711"/>
      <c r="I30633" s="711"/>
      <c r="J30633" s="711"/>
      <c r="K30633" s="711"/>
      <c r="L30633" s="711"/>
      <c r="Q30633" s="11"/>
      <c r="R30633" s="11"/>
      <c r="S30633" s="11"/>
      <c r="T30633" s="11"/>
    </row>
    <row r="30634" spans="8:20" x14ac:dyDescent="0.35">
      <c r="H30634" s="711"/>
      <c r="I30634" s="711"/>
      <c r="J30634" s="711"/>
      <c r="K30634" s="711"/>
      <c r="L30634" s="711"/>
      <c r="Q30634" s="11"/>
      <c r="R30634" s="11"/>
      <c r="S30634" s="11"/>
      <c r="T30634" s="11"/>
    </row>
    <row r="30635" spans="8:20" x14ac:dyDescent="0.35">
      <c r="H30635" s="711"/>
      <c r="I30635" s="711"/>
      <c r="J30635" s="711"/>
      <c r="K30635" s="711"/>
      <c r="L30635" s="711"/>
      <c r="Q30635" s="11"/>
      <c r="R30635" s="11"/>
      <c r="S30635" s="11"/>
      <c r="T30635" s="11"/>
    </row>
    <row r="30636" spans="8:20" x14ac:dyDescent="0.35">
      <c r="H30636" s="711"/>
      <c r="I30636" s="711"/>
      <c r="J30636" s="711"/>
      <c r="K30636" s="711"/>
      <c r="L30636" s="711"/>
      <c r="Q30636" s="11"/>
      <c r="R30636" s="11"/>
      <c r="S30636" s="11"/>
      <c r="T30636" s="11"/>
    </row>
    <row r="30637" spans="8:20" x14ac:dyDescent="0.35">
      <c r="H30637" s="711"/>
      <c r="I30637" s="711"/>
      <c r="J30637" s="711"/>
      <c r="K30637" s="711"/>
      <c r="L30637" s="711"/>
      <c r="Q30637" s="11"/>
      <c r="R30637" s="11"/>
      <c r="S30637" s="11"/>
      <c r="T30637" s="11"/>
    </row>
    <row r="30638" spans="8:20" x14ac:dyDescent="0.35">
      <c r="H30638" s="711"/>
      <c r="I30638" s="711"/>
      <c r="J30638" s="711"/>
      <c r="K30638" s="711"/>
      <c r="L30638" s="711"/>
      <c r="Q30638" s="11"/>
      <c r="R30638" s="11"/>
      <c r="S30638" s="11"/>
      <c r="T30638" s="11"/>
    </row>
    <row r="30639" spans="8:20" x14ac:dyDescent="0.35">
      <c r="H30639" s="711"/>
      <c r="I30639" s="711"/>
      <c r="J30639" s="711"/>
      <c r="K30639" s="711"/>
      <c r="L30639" s="711"/>
      <c r="Q30639" s="11"/>
      <c r="R30639" s="11"/>
      <c r="S30639" s="11"/>
      <c r="T30639" s="11"/>
    </row>
    <row r="30640" spans="8:20" x14ac:dyDescent="0.35">
      <c r="H30640" s="711"/>
      <c r="I30640" s="711"/>
      <c r="J30640" s="711"/>
      <c r="K30640" s="711"/>
      <c r="L30640" s="711"/>
      <c r="Q30640" s="11"/>
      <c r="R30640" s="11"/>
      <c r="S30640" s="11"/>
      <c r="T30640" s="11"/>
    </row>
    <row r="30641" spans="8:20" x14ac:dyDescent="0.35">
      <c r="H30641" s="711"/>
      <c r="I30641" s="711"/>
      <c r="J30641" s="711"/>
      <c r="K30641" s="711"/>
      <c r="L30641" s="711"/>
      <c r="Q30641" s="11"/>
      <c r="R30641" s="11"/>
      <c r="S30641" s="11"/>
      <c r="T30641" s="11"/>
    </row>
    <row r="30642" spans="8:20" x14ac:dyDescent="0.35">
      <c r="H30642" s="711"/>
      <c r="I30642" s="711"/>
      <c r="J30642" s="711"/>
      <c r="K30642" s="711"/>
      <c r="L30642" s="711"/>
      <c r="Q30642" s="11"/>
      <c r="R30642" s="11"/>
      <c r="S30642" s="11"/>
      <c r="T30642" s="11"/>
    </row>
    <row r="30643" spans="8:20" x14ac:dyDescent="0.35">
      <c r="H30643" s="711"/>
      <c r="I30643" s="711"/>
      <c r="J30643" s="711"/>
      <c r="K30643" s="711"/>
      <c r="L30643" s="711"/>
      <c r="Q30643" s="11"/>
      <c r="R30643" s="11"/>
      <c r="S30643" s="11"/>
      <c r="T30643" s="11"/>
    </row>
    <row r="30644" spans="8:20" x14ac:dyDescent="0.35">
      <c r="H30644" s="711"/>
      <c r="I30644" s="711"/>
      <c r="J30644" s="711"/>
      <c r="K30644" s="711"/>
      <c r="L30644" s="711"/>
      <c r="Q30644" s="11"/>
      <c r="R30644" s="11"/>
      <c r="S30644" s="11"/>
      <c r="T30644" s="11"/>
    </row>
    <row r="30645" spans="8:20" x14ac:dyDescent="0.35">
      <c r="H30645" s="711"/>
      <c r="I30645" s="711"/>
      <c r="J30645" s="711"/>
      <c r="K30645" s="711"/>
      <c r="L30645" s="711"/>
      <c r="Q30645" s="11"/>
      <c r="R30645" s="11"/>
      <c r="S30645" s="11"/>
      <c r="T30645" s="11"/>
    </row>
    <row r="30646" spans="8:20" x14ac:dyDescent="0.35">
      <c r="H30646" s="711"/>
      <c r="I30646" s="711"/>
      <c r="J30646" s="711"/>
      <c r="K30646" s="711"/>
      <c r="L30646" s="711"/>
      <c r="Q30646" s="11"/>
      <c r="R30646" s="11"/>
      <c r="S30646" s="11"/>
      <c r="T30646" s="11"/>
    </row>
    <row r="30647" spans="8:20" x14ac:dyDescent="0.35">
      <c r="H30647" s="711"/>
      <c r="I30647" s="711"/>
      <c r="J30647" s="711"/>
      <c r="K30647" s="711"/>
      <c r="L30647" s="711"/>
      <c r="Q30647" s="11"/>
      <c r="R30647" s="11"/>
      <c r="S30647" s="11"/>
      <c r="T30647" s="11"/>
    </row>
    <row r="30648" spans="8:20" x14ac:dyDescent="0.35">
      <c r="H30648" s="711"/>
      <c r="I30648" s="711"/>
      <c r="J30648" s="711"/>
      <c r="K30648" s="711"/>
      <c r="L30648" s="711"/>
      <c r="Q30648" s="11"/>
      <c r="R30648" s="11"/>
      <c r="S30648" s="11"/>
      <c r="T30648" s="11"/>
    </row>
    <row r="30649" spans="8:20" x14ac:dyDescent="0.35">
      <c r="H30649" s="711"/>
      <c r="I30649" s="711"/>
      <c r="J30649" s="711"/>
      <c r="K30649" s="711"/>
      <c r="L30649" s="711"/>
      <c r="Q30649" s="11"/>
      <c r="R30649" s="11"/>
      <c r="S30649" s="11"/>
      <c r="T30649" s="11"/>
    </row>
    <row r="30650" spans="8:20" x14ac:dyDescent="0.35">
      <c r="H30650" s="711"/>
      <c r="I30650" s="711"/>
      <c r="J30650" s="711"/>
      <c r="K30650" s="711"/>
      <c r="L30650" s="711"/>
      <c r="Q30650" s="11"/>
      <c r="R30650" s="11"/>
      <c r="S30650" s="11"/>
      <c r="T30650" s="11"/>
    </row>
    <row r="30651" spans="8:20" x14ac:dyDescent="0.35">
      <c r="H30651" s="711"/>
      <c r="I30651" s="711"/>
      <c r="J30651" s="711"/>
      <c r="K30651" s="711"/>
      <c r="L30651" s="711"/>
      <c r="Q30651" s="11"/>
      <c r="R30651" s="11"/>
      <c r="S30651" s="11"/>
      <c r="T30651" s="11"/>
    </row>
    <row r="30652" spans="8:20" x14ac:dyDescent="0.35">
      <c r="H30652" s="711"/>
      <c r="I30652" s="711"/>
      <c r="J30652" s="711"/>
      <c r="K30652" s="711"/>
      <c r="L30652" s="711"/>
      <c r="Q30652" s="11"/>
      <c r="R30652" s="11"/>
      <c r="S30652" s="11"/>
      <c r="T30652" s="11"/>
    </row>
    <row r="30653" spans="8:20" x14ac:dyDescent="0.35">
      <c r="H30653" s="711"/>
      <c r="I30653" s="711"/>
      <c r="J30653" s="711"/>
      <c r="K30653" s="711"/>
      <c r="L30653" s="711"/>
      <c r="Q30653" s="11"/>
      <c r="R30653" s="11"/>
      <c r="S30653" s="11"/>
      <c r="T30653" s="11"/>
    </row>
    <row r="30654" spans="8:20" x14ac:dyDescent="0.35">
      <c r="H30654" s="711"/>
      <c r="I30654" s="711"/>
      <c r="J30654" s="711"/>
      <c r="K30654" s="711"/>
      <c r="L30654" s="711"/>
      <c r="Q30654" s="11"/>
      <c r="R30654" s="11"/>
      <c r="S30654" s="11"/>
      <c r="T30654" s="11"/>
    </row>
    <row r="30655" spans="8:20" x14ac:dyDescent="0.35">
      <c r="H30655" s="711"/>
      <c r="I30655" s="711"/>
      <c r="J30655" s="711"/>
      <c r="K30655" s="711"/>
      <c r="L30655" s="711"/>
      <c r="Q30655" s="11"/>
      <c r="R30655" s="11"/>
      <c r="S30655" s="11"/>
      <c r="T30655" s="11"/>
    </row>
    <row r="30656" spans="8:20" x14ac:dyDescent="0.35">
      <c r="H30656" s="711"/>
      <c r="I30656" s="711"/>
      <c r="J30656" s="711"/>
      <c r="K30656" s="711"/>
      <c r="L30656" s="711"/>
      <c r="Q30656" s="11"/>
      <c r="R30656" s="11"/>
      <c r="S30656" s="11"/>
      <c r="T30656" s="11"/>
    </row>
    <row r="30657" spans="8:20" x14ac:dyDescent="0.35">
      <c r="H30657" s="711"/>
      <c r="I30657" s="711"/>
      <c r="J30657" s="711"/>
      <c r="K30657" s="711"/>
      <c r="L30657" s="711"/>
      <c r="Q30657" s="11"/>
      <c r="R30657" s="11"/>
      <c r="S30657" s="11"/>
      <c r="T30657" s="11"/>
    </row>
    <row r="30658" spans="8:20" x14ac:dyDescent="0.35">
      <c r="H30658" s="711"/>
      <c r="I30658" s="711"/>
      <c r="J30658" s="711"/>
      <c r="K30658" s="711"/>
      <c r="L30658" s="711"/>
      <c r="Q30658" s="11"/>
      <c r="R30658" s="11"/>
      <c r="S30658" s="11"/>
      <c r="T30658" s="11"/>
    </row>
    <row r="30659" spans="8:20" x14ac:dyDescent="0.35">
      <c r="H30659" s="711"/>
      <c r="I30659" s="711"/>
      <c r="J30659" s="711"/>
      <c r="K30659" s="711"/>
      <c r="L30659" s="711"/>
      <c r="Q30659" s="11"/>
      <c r="R30659" s="11"/>
      <c r="S30659" s="11"/>
      <c r="T30659" s="11"/>
    </row>
    <row r="30660" spans="8:20" x14ac:dyDescent="0.35">
      <c r="H30660" s="711"/>
      <c r="I30660" s="711"/>
      <c r="J30660" s="711"/>
      <c r="K30660" s="711"/>
      <c r="L30660" s="711"/>
      <c r="Q30660" s="11"/>
      <c r="R30660" s="11"/>
      <c r="S30660" s="11"/>
      <c r="T30660" s="11"/>
    </row>
    <row r="30661" spans="8:20" x14ac:dyDescent="0.35">
      <c r="H30661" s="711"/>
      <c r="I30661" s="711"/>
      <c r="J30661" s="711"/>
      <c r="K30661" s="711"/>
      <c r="L30661" s="711"/>
      <c r="Q30661" s="11"/>
      <c r="R30661" s="11"/>
      <c r="S30661" s="11"/>
      <c r="T30661" s="11"/>
    </row>
    <row r="30662" spans="8:20" x14ac:dyDescent="0.35">
      <c r="H30662" s="711"/>
      <c r="I30662" s="711"/>
      <c r="J30662" s="711"/>
      <c r="K30662" s="711"/>
      <c r="L30662" s="711"/>
      <c r="Q30662" s="11"/>
      <c r="R30662" s="11"/>
      <c r="S30662" s="11"/>
      <c r="T30662" s="11"/>
    </row>
    <row r="30663" spans="8:20" x14ac:dyDescent="0.35">
      <c r="H30663" s="711"/>
      <c r="I30663" s="711"/>
      <c r="J30663" s="711"/>
      <c r="K30663" s="711"/>
      <c r="L30663" s="711"/>
      <c r="Q30663" s="11"/>
      <c r="R30663" s="11"/>
      <c r="S30663" s="11"/>
      <c r="T30663" s="11"/>
    </row>
    <row r="30664" spans="8:20" x14ac:dyDescent="0.35">
      <c r="H30664" s="711"/>
      <c r="I30664" s="711"/>
      <c r="J30664" s="711"/>
      <c r="K30664" s="711"/>
      <c r="L30664" s="711"/>
      <c r="Q30664" s="11"/>
      <c r="R30664" s="11"/>
      <c r="S30664" s="11"/>
      <c r="T30664" s="11"/>
    </row>
    <row r="30665" spans="8:20" x14ac:dyDescent="0.35">
      <c r="H30665" s="711"/>
      <c r="I30665" s="711"/>
      <c r="J30665" s="711"/>
      <c r="K30665" s="711"/>
      <c r="L30665" s="711"/>
      <c r="Q30665" s="11"/>
      <c r="R30665" s="11"/>
      <c r="S30665" s="11"/>
      <c r="T30665" s="11"/>
    </row>
    <row r="30666" spans="8:20" x14ac:dyDescent="0.35">
      <c r="H30666" s="711"/>
      <c r="I30666" s="711"/>
      <c r="J30666" s="711"/>
      <c r="K30666" s="711"/>
      <c r="L30666" s="711"/>
      <c r="Q30666" s="11"/>
      <c r="R30666" s="11"/>
      <c r="S30666" s="11"/>
      <c r="T30666" s="11"/>
    </row>
    <row r="30667" spans="8:20" x14ac:dyDescent="0.35">
      <c r="H30667" s="711"/>
      <c r="I30667" s="711"/>
      <c r="J30667" s="711"/>
      <c r="K30667" s="711"/>
      <c r="L30667" s="711"/>
      <c r="Q30667" s="11"/>
      <c r="R30667" s="11"/>
      <c r="S30667" s="11"/>
      <c r="T30667" s="11"/>
    </row>
    <row r="30668" spans="8:20" x14ac:dyDescent="0.35">
      <c r="H30668" s="711"/>
      <c r="I30668" s="711"/>
      <c r="J30668" s="711"/>
      <c r="K30668" s="711"/>
      <c r="L30668" s="711"/>
      <c r="Q30668" s="11"/>
      <c r="R30668" s="11"/>
      <c r="S30668" s="11"/>
      <c r="T30668" s="11"/>
    </row>
    <row r="30669" spans="8:20" x14ac:dyDescent="0.35">
      <c r="H30669" s="711"/>
      <c r="I30669" s="711"/>
      <c r="J30669" s="711"/>
      <c r="K30669" s="711"/>
      <c r="L30669" s="711"/>
      <c r="Q30669" s="11"/>
      <c r="R30669" s="11"/>
      <c r="S30669" s="11"/>
      <c r="T30669" s="11"/>
    </row>
    <row r="30670" spans="8:20" x14ac:dyDescent="0.35">
      <c r="H30670" s="711"/>
      <c r="I30670" s="711"/>
      <c r="J30670" s="711"/>
      <c r="K30670" s="711"/>
      <c r="L30670" s="711"/>
      <c r="Q30670" s="11"/>
      <c r="R30670" s="11"/>
      <c r="S30670" s="11"/>
      <c r="T30670" s="11"/>
    </row>
    <row r="30671" spans="8:20" x14ac:dyDescent="0.35">
      <c r="H30671" s="711"/>
      <c r="I30671" s="711"/>
      <c r="J30671" s="711"/>
      <c r="K30671" s="711"/>
      <c r="L30671" s="711"/>
      <c r="Q30671" s="11"/>
      <c r="R30671" s="11"/>
      <c r="S30671" s="11"/>
      <c r="T30671" s="11"/>
    </row>
    <row r="30672" spans="8:20" x14ac:dyDescent="0.35">
      <c r="H30672" s="711"/>
      <c r="I30672" s="711"/>
      <c r="J30672" s="711"/>
      <c r="K30672" s="711"/>
      <c r="L30672" s="711"/>
      <c r="Q30672" s="11"/>
      <c r="R30672" s="11"/>
      <c r="S30672" s="11"/>
      <c r="T30672" s="11"/>
    </row>
    <row r="30673" spans="8:20" x14ac:dyDescent="0.35">
      <c r="H30673" s="711"/>
      <c r="I30673" s="711"/>
      <c r="J30673" s="711"/>
      <c r="K30673" s="711"/>
      <c r="L30673" s="711"/>
      <c r="Q30673" s="11"/>
      <c r="R30673" s="11"/>
      <c r="S30673" s="11"/>
      <c r="T30673" s="11"/>
    </row>
    <row r="30674" spans="8:20" x14ac:dyDescent="0.35">
      <c r="H30674" s="711"/>
      <c r="I30674" s="711"/>
      <c r="J30674" s="711"/>
      <c r="K30674" s="711"/>
      <c r="L30674" s="711"/>
      <c r="Q30674" s="11"/>
      <c r="R30674" s="11"/>
      <c r="S30674" s="11"/>
      <c r="T30674" s="11"/>
    </row>
    <row r="30675" spans="8:20" x14ac:dyDescent="0.35">
      <c r="H30675" s="711"/>
      <c r="I30675" s="711"/>
      <c r="J30675" s="711"/>
      <c r="K30675" s="711"/>
      <c r="L30675" s="711"/>
      <c r="Q30675" s="11"/>
      <c r="R30675" s="11"/>
      <c r="S30675" s="11"/>
      <c r="T30675" s="11"/>
    </row>
    <row r="30676" spans="8:20" x14ac:dyDescent="0.35">
      <c r="H30676" s="711"/>
      <c r="I30676" s="711"/>
      <c r="J30676" s="711"/>
      <c r="K30676" s="711"/>
      <c r="L30676" s="711"/>
      <c r="Q30676" s="11"/>
      <c r="R30676" s="11"/>
      <c r="S30676" s="11"/>
      <c r="T30676" s="11"/>
    </row>
    <row r="30677" spans="8:20" x14ac:dyDescent="0.35">
      <c r="H30677" s="711"/>
      <c r="I30677" s="711"/>
      <c r="J30677" s="711"/>
      <c r="K30677" s="711"/>
      <c r="L30677" s="711"/>
      <c r="Q30677" s="11"/>
      <c r="R30677" s="11"/>
      <c r="S30677" s="11"/>
      <c r="T30677" s="11"/>
    </row>
    <row r="30678" spans="8:20" x14ac:dyDescent="0.35">
      <c r="H30678" s="711"/>
      <c r="I30678" s="711"/>
      <c r="J30678" s="711"/>
      <c r="K30678" s="711"/>
      <c r="L30678" s="711"/>
      <c r="Q30678" s="11"/>
      <c r="R30678" s="11"/>
      <c r="S30678" s="11"/>
      <c r="T30678" s="11"/>
    </row>
    <row r="30679" spans="8:20" x14ac:dyDescent="0.35">
      <c r="H30679" s="711"/>
      <c r="I30679" s="711"/>
      <c r="J30679" s="711"/>
      <c r="K30679" s="711"/>
      <c r="L30679" s="711"/>
      <c r="Q30679" s="11"/>
      <c r="R30679" s="11"/>
      <c r="S30679" s="11"/>
      <c r="T30679" s="11"/>
    </row>
    <row r="30680" spans="8:20" x14ac:dyDescent="0.35">
      <c r="H30680" s="711"/>
      <c r="I30680" s="711"/>
      <c r="J30680" s="711"/>
      <c r="K30680" s="711"/>
      <c r="L30680" s="711"/>
      <c r="Q30680" s="11"/>
      <c r="R30680" s="11"/>
      <c r="S30680" s="11"/>
      <c r="T30680" s="11"/>
    </row>
    <row r="30681" spans="8:20" x14ac:dyDescent="0.35">
      <c r="H30681" s="711"/>
      <c r="I30681" s="711"/>
      <c r="J30681" s="711"/>
      <c r="K30681" s="711"/>
      <c r="L30681" s="711"/>
      <c r="Q30681" s="11"/>
      <c r="R30681" s="11"/>
      <c r="S30681" s="11"/>
      <c r="T30681" s="11"/>
    </row>
    <row r="30682" spans="8:20" x14ac:dyDescent="0.35">
      <c r="H30682" s="711"/>
      <c r="I30682" s="711"/>
      <c r="J30682" s="711"/>
      <c r="K30682" s="711"/>
      <c r="L30682" s="711"/>
      <c r="Q30682" s="11"/>
      <c r="R30682" s="11"/>
      <c r="S30682" s="11"/>
      <c r="T30682" s="11"/>
    </row>
    <row r="30683" spans="8:20" x14ac:dyDescent="0.35">
      <c r="H30683" s="711"/>
      <c r="I30683" s="711"/>
      <c r="J30683" s="711"/>
      <c r="K30683" s="711"/>
      <c r="L30683" s="711"/>
      <c r="Q30683" s="11"/>
      <c r="R30683" s="11"/>
      <c r="S30683" s="11"/>
      <c r="T30683" s="11"/>
    </row>
    <row r="30684" spans="8:20" x14ac:dyDescent="0.35">
      <c r="H30684" s="711"/>
      <c r="I30684" s="711"/>
      <c r="J30684" s="711"/>
      <c r="K30684" s="711"/>
      <c r="L30684" s="711"/>
      <c r="Q30684" s="11"/>
      <c r="R30684" s="11"/>
      <c r="S30684" s="11"/>
      <c r="T30684" s="11"/>
    </row>
    <row r="30685" spans="8:20" x14ac:dyDescent="0.35">
      <c r="H30685" s="711"/>
      <c r="I30685" s="711"/>
      <c r="J30685" s="711"/>
      <c r="K30685" s="711"/>
      <c r="L30685" s="711"/>
      <c r="Q30685" s="11"/>
      <c r="R30685" s="11"/>
      <c r="S30685" s="11"/>
      <c r="T30685" s="11"/>
    </row>
    <row r="30686" spans="8:20" x14ac:dyDescent="0.35">
      <c r="H30686" s="711"/>
      <c r="I30686" s="711"/>
      <c r="J30686" s="711"/>
      <c r="K30686" s="711"/>
      <c r="L30686" s="711"/>
      <c r="Q30686" s="11"/>
      <c r="R30686" s="11"/>
      <c r="S30686" s="11"/>
      <c r="T30686" s="11"/>
    </row>
    <row r="30687" spans="8:20" x14ac:dyDescent="0.35">
      <c r="H30687" s="711"/>
      <c r="I30687" s="711"/>
      <c r="J30687" s="711"/>
      <c r="K30687" s="711"/>
      <c r="L30687" s="711"/>
      <c r="Q30687" s="11"/>
      <c r="R30687" s="11"/>
      <c r="S30687" s="11"/>
      <c r="T30687" s="11"/>
    </row>
    <row r="30688" spans="8:20" x14ac:dyDescent="0.35">
      <c r="H30688" s="711"/>
      <c r="I30688" s="711"/>
      <c r="J30688" s="711"/>
      <c r="K30688" s="711"/>
      <c r="L30688" s="711"/>
      <c r="Q30688" s="11"/>
      <c r="R30688" s="11"/>
      <c r="S30688" s="11"/>
      <c r="T30688" s="11"/>
    </row>
    <row r="30689" spans="8:20" x14ac:dyDescent="0.35">
      <c r="H30689" s="711"/>
      <c r="I30689" s="711"/>
      <c r="J30689" s="711"/>
      <c r="K30689" s="711"/>
      <c r="L30689" s="711"/>
      <c r="Q30689" s="11"/>
      <c r="R30689" s="11"/>
      <c r="S30689" s="11"/>
      <c r="T30689" s="11"/>
    </row>
    <row r="30690" spans="8:20" x14ac:dyDescent="0.35">
      <c r="H30690" s="711"/>
      <c r="I30690" s="711"/>
      <c r="J30690" s="711"/>
      <c r="K30690" s="711"/>
      <c r="L30690" s="711"/>
      <c r="Q30690" s="11"/>
      <c r="R30690" s="11"/>
      <c r="S30690" s="11"/>
      <c r="T30690" s="11"/>
    </row>
    <row r="30691" spans="8:20" x14ac:dyDescent="0.35">
      <c r="H30691" s="711"/>
      <c r="I30691" s="711"/>
      <c r="J30691" s="711"/>
      <c r="K30691" s="711"/>
      <c r="L30691" s="711"/>
      <c r="Q30691" s="11"/>
      <c r="R30691" s="11"/>
      <c r="S30691" s="11"/>
      <c r="T30691" s="11"/>
    </row>
    <row r="30692" spans="8:20" x14ac:dyDescent="0.35">
      <c r="H30692" s="711"/>
      <c r="I30692" s="711"/>
      <c r="J30692" s="711"/>
      <c r="K30692" s="711"/>
      <c r="L30692" s="711"/>
      <c r="Q30692" s="11"/>
      <c r="R30692" s="11"/>
      <c r="S30692" s="11"/>
      <c r="T30692" s="11"/>
    </row>
    <row r="30693" spans="8:20" x14ac:dyDescent="0.35">
      <c r="H30693" s="711"/>
      <c r="I30693" s="711"/>
      <c r="J30693" s="711"/>
      <c r="K30693" s="711"/>
      <c r="L30693" s="711"/>
      <c r="Q30693" s="11"/>
      <c r="R30693" s="11"/>
      <c r="S30693" s="11"/>
      <c r="T30693" s="11"/>
    </row>
    <row r="30694" spans="8:20" x14ac:dyDescent="0.35">
      <c r="H30694" s="711"/>
      <c r="I30694" s="711"/>
      <c r="J30694" s="711"/>
      <c r="K30694" s="711"/>
      <c r="L30694" s="711"/>
      <c r="Q30694" s="11"/>
      <c r="R30694" s="11"/>
      <c r="S30694" s="11"/>
      <c r="T30694" s="11"/>
    </row>
    <row r="30695" spans="8:20" x14ac:dyDescent="0.35">
      <c r="H30695" s="711"/>
      <c r="I30695" s="711"/>
      <c r="J30695" s="711"/>
      <c r="K30695" s="711"/>
      <c r="L30695" s="711"/>
      <c r="Q30695" s="11"/>
      <c r="R30695" s="11"/>
      <c r="S30695" s="11"/>
      <c r="T30695" s="11"/>
    </row>
    <row r="30696" spans="8:20" x14ac:dyDescent="0.35">
      <c r="H30696" s="711"/>
      <c r="I30696" s="711"/>
      <c r="J30696" s="711"/>
      <c r="K30696" s="711"/>
      <c r="L30696" s="711"/>
      <c r="Q30696" s="11"/>
      <c r="R30696" s="11"/>
      <c r="S30696" s="11"/>
      <c r="T30696" s="11"/>
    </row>
    <row r="30697" spans="8:20" x14ac:dyDescent="0.35">
      <c r="H30697" s="711"/>
      <c r="I30697" s="711"/>
      <c r="J30697" s="711"/>
      <c r="K30697" s="711"/>
      <c r="L30697" s="711"/>
      <c r="Q30697" s="11"/>
      <c r="R30697" s="11"/>
      <c r="S30697" s="11"/>
      <c r="T30697" s="11"/>
    </row>
    <row r="30698" spans="8:20" x14ac:dyDescent="0.35">
      <c r="H30698" s="711"/>
      <c r="I30698" s="711"/>
      <c r="J30698" s="711"/>
      <c r="K30698" s="711"/>
      <c r="L30698" s="711"/>
      <c r="Q30698" s="11"/>
      <c r="R30698" s="11"/>
      <c r="S30698" s="11"/>
      <c r="T30698" s="11"/>
    </row>
    <row r="30699" spans="8:20" x14ac:dyDescent="0.35">
      <c r="H30699" s="711"/>
      <c r="I30699" s="711"/>
      <c r="J30699" s="711"/>
      <c r="K30699" s="711"/>
      <c r="L30699" s="711"/>
      <c r="Q30699" s="11"/>
      <c r="R30699" s="11"/>
      <c r="S30699" s="11"/>
      <c r="T30699" s="11"/>
    </row>
    <row r="30700" spans="8:20" x14ac:dyDescent="0.35">
      <c r="H30700" s="711"/>
      <c r="I30700" s="711"/>
      <c r="J30700" s="711"/>
      <c r="K30700" s="711"/>
      <c r="L30700" s="711"/>
      <c r="Q30700" s="11"/>
      <c r="R30700" s="11"/>
      <c r="S30700" s="11"/>
      <c r="T30700" s="11"/>
    </row>
    <row r="30701" spans="8:20" x14ac:dyDescent="0.35">
      <c r="H30701" s="711"/>
      <c r="I30701" s="711"/>
      <c r="J30701" s="711"/>
      <c r="K30701" s="711"/>
      <c r="L30701" s="711"/>
      <c r="Q30701" s="11"/>
      <c r="R30701" s="11"/>
      <c r="S30701" s="11"/>
      <c r="T30701" s="11"/>
    </row>
    <row r="30702" spans="8:20" x14ac:dyDescent="0.35">
      <c r="H30702" s="711"/>
      <c r="I30702" s="711"/>
      <c r="J30702" s="711"/>
      <c r="K30702" s="711"/>
      <c r="L30702" s="711"/>
      <c r="Q30702" s="11"/>
      <c r="R30702" s="11"/>
      <c r="S30702" s="11"/>
      <c r="T30702" s="11"/>
    </row>
    <row r="30703" spans="8:20" x14ac:dyDescent="0.35">
      <c r="H30703" s="711"/>
      <c r="I30703" s="711"/>
      <c r="J30703" s="711"/>
      <c r="K30703" s="711"/>
      <c r="L30703" s="711"/>
      <c r="Q30703" s="11"/>
      <c r="R30703" s="11"/>
      <c r="S30703" s="11"/>
      <c r="T30703" s="11"/>
    </row>
    <row r="30704" spans="8:20" x14ac:dyDescent="0.35">
      <c r="H30704" s="711"/>
      <c r="I30704" s="711"/>
      <c r="J30704" s="711"/>
      <c r="K30704" s="711"/>
      <c r="L30704" s="711"/>
      <c r="Q30704" s="11"/>
      <c r="R30704" s="11"/>
      <c r="S30704" s="11"/>
      <c r="T30704" s="11"/>
    </row>
    <row r="30705" spans="8:20" x14ac:dyDescent="0.35">
      <c r="H30705" s="711"/>
      <c r="I30705" s="711"/>
      <c r="J30705" s="711"/>
      <c r="K30705" s="711"/>
      <c r="L30705" s="711"/>
      <c r="Q30705" s="11"/>
      <c r="R30705" s="11"/>
      <c r="S30705" s="11"/>
      <c r="T30705" s="11"/>
    </row>
    <row r="30706" spans="8:20" x14ac:dyDescent="0.35">
      <c r="H30706" s="711"/>
      <c r="I30706" s="711"/>
      <c r="J30706" s="711"/>
      <c r="K30706" s="711"/>
      <c r="L30706" s="711"/>
      <c r="Q30706" s="11"/>
      <c r="R30706" s="11"/>
      <c r="S30706" s="11"/>
      <c r="T30706" s="11"/>
    </row>
    <row r="30707" spans="8:20" x14ac:dyDescent="0.35">
      <c r="H30707" s="711"/>
      <c r="I30707" s="711"/>
      <c r="J30707" s="711"/>
      <c r="K30707" s="711"/>
      <c r="L30707" s="711"/>
      <c r="Q30707" s="11"/>
      <c r="R30707" s="11"/>
      <c r="S30707" s="11"/>
      <c r="T30707" s="11"/>
    </row>
    <row r="30708" spans="8:20" x14ac:dyDescent="0.35">
      <c r="H30708" s="711"/>
      <c r="I30708" s="711"/>
      <c r="J30708" s="711"/>
      <c r="K30708" s="711"/>
      <c r="L30708" s="711"/>
      <c r="Q30708" s="11"/>
      <c r="R30708" s="11"/>
      <c r="S30708" s="11"/>
      <c r="T30708" s="11"/>
    </row>
    <row r="30709" spans="8:20" x14ac:dyDescent="0.35">
      <c r="H30709" s="711"/>
      <c r="I30709" s="711"/>
      <c r="J30709" s="711"/>
      <c r="K30709" s="711"/>
      <c r="L30709" s="711"/>
      <c r="Q30709" s="11"/>
      <c r="R30709" s="11"/>
      <c r="S30709" s="11"/>
      <c r="T30709" s="11"/>
    </row>
    <row r="30710" spans="8:20" x14ac:dyDescent="0.35">
      <c r="H30710" s="711"/>
      <c r="I30710" s="711"/>
      <c r="J30710" s="711"/>
      <c r="K30710" s="711"/>
      <c r="L30710" s="711"/>
      <c r="Q30710" s="11"/>
      <c r="R30710" s="11"/>
      <c r="S30710" s="11"/>
      <c r="T30710" s="11"/>
    </row>
    <row r="30711" spans="8:20" x14ac:dyDescent="0.35">
      <c r="H30711" s="711"/>
      <c r="I30711" s="711"/>
      <c r="J30711" s="711"/>
      <c r="K30711" s="711"/>
      <c r="L30711" s="711"/>
      <c r="Q30711" s="11"/>
      <c r="R30711" s="11"/>
      <c r="S30711" s="11"/>
      <c r="T30711" s="11"/>
    </row>
    <row r="30712" spans="8:20" x14ac:dyDescent="0.35">
      <c r="H30712" s="711"/>
      <c r="I30712" s="711"/>
      <c r="J30712" s="711"/>
      <c r="K30712" s="711"/>
      <c r="L30712" s="711"/>
      <c r="Q30712" s="11"/>
      <c r="R30712" s="11"/>
      <c r="S30712" s="11"/>
      <c r="T30712" s="11"/>
    </row>
    <row r="30713" spans="8:20" x14ac:dyDescent="0.35">
      <c r="H30713" s="711"/>
      <c r="I30713" s="711"/>
      <c r="J30713" s="711"/>
      <c r="K30713" s="711"/>
      <c r="L30713" s="711"/>
      <c r="Q30713" s="11"/>
      <c r="R30713" s="11"/>
      <c r="S30713" s="11"/>
      <c r="T30713" s="11"/>
    </row>
    <row r="30714" spans="8:20" x14ac:dyDescent="0.35">
      <c r="H30714" s="711"/>
      <c r="I30714" s="711"/>
      <c r="J30714" s="711"/>
      <c r="K30714" s="711"/>
      <c r="L30714" s="711"/>
      <c r="Q30714" s="11"/>
      <c r="R30714" s="11"/>
      <c r="S30714" s="11"/>
      <c r="T30714" s="11"/>
    </row>
    <row r="30715" spans="8:20" x14ac:dyDescent="0.35">
      <c r="H30715" s="711"/>
      <c r="I30715" s="711"/>
      <c r="J30715" s="711"/>
      <c r="K30715" s="711"/>
      <c r="L30715" s="711"/>
      <c r="Q30715" s="11"/>
      <c r="R30715" s="11"/>
      <c r="S30715" s="11"/>
      <c r="T30715" s="11"/>
    </row>
    <row r="30716" spans="8:20" x14ac:dyDescent="0.35">
      <c r="H30716" s="711"/>
      <c r="I30716" s="711"/>
      <c r="J30716" s="711"/>
      <c r="K30716" s="711"/>
      <c r="L30716" s="711"/>
      <c r="Q30716" s="11"/>
      <c r="R30716" s="11"/>
      <c r="S30716" s="11"/>
      <c r="T30716" s="11"/>
    </row>
    <row r="30717" spans="8:20" x14ac:dyDescent="0.35">
      <c r="H30717" s="711"/>
      <c r="I30717" s="711"/>
      <c r="J30717" s="711"/>
      <c r="K30717" s="711"/>
      <c r="L30717" s="711"/>
      <c r="Q30717" s="11"/>
      <c r="R30717" s="11"/>
      <c r="S30717" s="11"/>
      <c r="T30717" s="11"/>
    </row>
    <row r="30718" spans="8:20" x14ac:dyDescent="0.35">
      <c r="H30718" s="711"/>
      <c r="I30718" s="711"/>
      <c r="J30718" s="711"/>
      <c r="K30718" s="711"/>
      <c r="L30718" s="711"/>
      <c r="Q30718" s="11"/>
      <c r="R30718" s="11"/>
      <c r="S30718" s="11"/>
      <c r="T30718" s="11"/>
    </row>
    <row r="30719" spans="8:20" x14ac:dyDescent="0.35">
      <c r="H30719" s="711"/>
      <c r="I30719" s="711"/>
      <c r="J30719" s="711"/>
      <c r="K30719" s="711"/>
      <c r="L30719" s="711"/>
      <c r="Q30719" s="11"/>
      <c r="R30719" s="11"/>
      <c r="S30719" s="11"/>
      <c r="T30719" s="11"/>
    </row>
    <row r="30720" spans="8:20" x14ac:dyDescent="0.35">
      <c r="H30720" s="711"/>
      <c r="I30720" s="711"/>
      <c r="J30720" s="711"/>
      <c r="K30720" s="711"/>
      <c r="L30720" s="711"/>
      <c r="Q30720" s="11"/>
      <c r="R30720" s="11"/>
      <c r="S30720" s="11"/>
      <c r="T30720" s="11"/>
    </row>
    <row r="30721" spans="8:20" x14ac:dyDescent="0.35">
      <c r="H30721" s="711"/>
      <c r="I30721" s="711"/>
      <c r="J30721" s="711"/>
      <c r="K30721" s="711"/>
      <c r="L30721" s="711"/>
      <c r="Q30721" s="11"/>
      <c r="R30721" s="11"/>
      <c r="S30721" s="11"/>
      <c r="T30721" s="11"/>
    </row>
    <row r="30722" spans="8:20" x14ac:dyDescent="0.35">
      <c r="H30722" s="711"/>
      <c r="I30722" s="711"/>
      <c r="J30722" s="711"/>
      <c r="K30722" s="711"/>
      <c r="L30722" s="711"/>
      <c r="Q30722" s="11"/>
      <c r="R30722" s="11"/>
      <c r="S30722" s="11"/>
      <c r="T30722" s="11"/>
    </row>
    <row r="30723" spans="8:20" x14ac:dyDescent="0.35">
      <c r="H30723" s="711"/>
      <c r="I30723" s="711"/>
      <c r="J30723" s="711"/>
      <c r="K30723" s="711"/>
      <c r="L30723" s="711"/>
      <c r="Q30723" s="11"/>
      <c r="R30723" s="11"/>
      <c r="S30723" s="11"/>
      <c r="T30723" s="11"/>
    </row>
    <row r="30724" spans="8:20" x14ac:dyDescent="0.35">
      <c r="H30724" s="711"/>
      <c r="I30724" s="711"/>
      <c r="J30724" s="711"/>
      <c r="K30724" s="711"/>
      <c r="L30724" s="711"/>
      <c r="Q30724" s="11"/>
      <c r="R30724" s="11"/>
      <c r="S30724" s="11"/>
      <c r="T30724" s="11"/>
    </row>
    <row r="30725" spans="8:20" x14ac:dyDescent="0.35">
      <c r="H30725" s="711"/>
      <c r="I30725" s="711"/>
      <c r="J30725" s="711"/>
      <c r="K30725" s="711"/>
      <c r="L30725" s="711"/>
      <c r="Q30725" s="11"/>
      <c r="R30725" s="11"/>
      <c r="S30725" s="11"/>
      <c r="T30725" s="11"/>
    </row>
    <row r="30726" spans="8:20" x14ac:dyDescent="0.35">
      <c r="H30726" s="711"/>
      <c r="I30726" s="711"/>
      <c r="J30726" s="711"/>
      <c r="K30726" s="711"/>
      <c r="L30726" s="711"/>
      <c r="Q30726" s="11"/>
      <c r="R30726" s="11"/>
      <c r="S30726" s="11"/>
      <c r="T30726" s="11"/>
    </row>
    <row r="30727" spans="8:20" x14ac:dyDescent="0.35">
      <c r="H30727" s="711"/>
      <c r="I30727" s="711"/>
      <c r="J30727" s="711"/>
      <c r="K30727" s="711"/>
      <c r="L30727" s="711"/>
      <c r="Q30727" s="11"/>
      <c r="R30727" s="11"/>
      <c r="S30727" s="11"/>
      <c r="T30727" s="11"/>
    </row>
    <row r="30728" spans="8:20" x14ac:dyDescent="0.35">
      <c r="H30728" s="711"/>
      <c r="I30728" s="711"/>
      <c r="J30728" s="711"/>
      <c r="K30728" s="711"/>
      <c r="L30728" s="711"/>
      <c r="Q30728" s="11"/>
      <c r="R30728" s="11"/>
      <c r="S30728" s="11"/>
      <c r="T30728" s="11"/>
    </row>
    <row r="30729" spans="8:20" x14ac:dyDescent="0.35">
      <c r="H30729" s="711"/>
      <c r="I30729" s="711"/>
      <c r="J30729" s="711"/>
      <c r="K30729" s="711"/>
      <c r="L30729" s="711"/>
      <c r="Q30729" s="11"/>
      <c r="R30729" s="11"/>
      <c r="S30729" s="11"/>
      <c r="T30729" s="11"/>
    </row>
    <row r="30730" spans="8:20" x14ac:dyDescent="0.35">
      <c r="H30730" s="711"/>
      <c r="I30730" s="711"/>
      <c r="J30730" s="711"/>
      <c r="K30730" s="711"/>
      <c r="L30730" s="711"/>
      <c r="Q30730" s="11"/>
      <c r="R30730" s="11"/>
      <c r="S30730" s="11"/>
      <c r="T30730" s="11"/>
    </row>
    <row r="30731" spans="8:20" x14ac:dyDescent="0.35">
      <c r="H30731" s="711"/>
      <c r="I30731" s="711"/>
      <c r="J30731" s="711"/>
      <c r="K30731" s="711"/>
      <c r="L30731" s="711"/>
      <c r="Q30731" s="11"/>
      <c r="R30731" s="11"/>
      <c r="S30731" s="11"/>
      <c r="T30731" s="11"/>
    </row>
    <row r="30732" spans="8:20" x14ac:dyDescent="0.35">
      <c r="H30732" s="711"/>
      <c r="I30732" s="711"/>
      <c r="J30732" s="711"/>
      <c r="K30732" s="711"/>
      <c r="L30732" s="711"/>
      <c r="Q30732" s="11"/>
      <c r="R30732" s="11"/>
      <c r="S30732" s="11"/>
      <c r="T30732" s="11"/>
    </row>
    <row r="30733" spans="8:20" x14ac:dyDescent="0.35">
      <c r="H30733" s="711"/>
      <c r="I30733" s="711"/>
      <c r="J30733" s="711"/>
      <c r="K30733" s="711"/>
      <c r="L30733" s="711"/>
      <c r="Q30733" s="11"/>
      <c r="R30733" s="11"/>
      <c r="S30733" s="11"/>
      <c r="T30733" s="11"/>
    </row>
    <row r="30734" spans="8:20" x14ac:dyDescent="0.35">
      <c r="H30734" s="711"/>
      <c r="I30734" s="711"/>
      <c r="J30734" s="711"/>
      <c r="K30734" s="711"/>
      <c r="L30734" s="711"/>
      <c r="Q30734" s="11"/>
      <c r="R30734" s="11"/>
      <c r="S30734" s="11"/>
      <c r="T30734" s="11"/>
    </row>
    <row r="30735" spans="8:20" x14ac:dyDescent="0.35">
      <c r="H30735" s="711"/>
      <c r="I30735" s="711"/>
      <c r="J30735" s="711"/>
      <c r="K30735" s="711"/>
      <c r="L30735" s="711"/>
      <c r="Q30735" s="11"/>
      <c r="R30735" s="11"/>
      <c r="S30735" s="11"/>
      <c r="T30735" s="11"/>
    </row>
    <row r="30736" spans="8:20" x14ac:dyDescent="0.35">
      <c r="H30736" s="711"/>
      <c r="I30736" s="711"/>
      <c r="J30736" s="711"/>
      <c r="K30736" s="711"/>
      <c r="L30736" s="711"/>
      <c r="Q30736" s="11"/>
      <c r="R30736" s="11"/>
      <c r="S30736" s="11"/>
      <c r="T30736" s="11"/>
    </row>
    <row r="30737" spans="8:20" x14ac:dyDescent="0.35">
      <c r="H30737" s="711"/>
      <c r="I30737" s="711"/>
      <c r="J30737" s="711"/>
      <c r="K30737" s="711"/>
      <c r="L30737" s="711"/>
      <c r="Q30737" s="11"/>
      <c r="R30737" s="11"/>
      <c r="S30737" s="11"/>
      <c r="T30737" s="11"/>
    </row>
    <row r="30738" spans="8:20" x14ac:dyDescent="0.35">
      <c r="H30738" s="711"/>
      <c r="I30738" s="711"/>
      <c r="J30738" s="711"/>
      <c r="K30738" s="711"/>
      <c r="L30738" s="711"/>
      <c r="Q30738" s="11"/>
      <c r="R30738" s="11"/>
      <c r="S30738" s="11"/>
      <c r="T30738" s="11"/>
    </row>
    <row r="30739" spans="8:20" x14ac:dyDescent="0.35">
      <c r="H30739" s="711"/>
      <c r="I30739" s="711"/>
      <c r="J30739" s="711"/>
      <c r="K30739" s="711"/>
      <c r="L30739" s="711"/>
      <c r="Q30739" s="11"/>
      <c r="R30739" s="11"/>
      <c r="S30739" s="11"/>
      <c r="T30739" s="11"/>
    </row>
    <row r="30740" spans="8:20" x14ac:dyDescent="0.35">
      <c r="H30740" s="711"/>
      <c r="I30740" s="711"/>
      <c r="J30740" s="711"/>
      <c r="K30740" s="711"/>
      <c r="L30740" s="711"/>
      <c r="Q30740" s="11"/>
      <c r="R30740" s="11"/>
      <c r="S30740" s="11"/>
      <c r="T30740" s="11"/>
    </row>
    <row r="30741" spans="8:20" x14ac:dyDescent="0.35">
      <c r="H30741" s="711"/>
      <c r="I30741" s="711"/>
      <c r="J30741" s="711"/>
      <c r="K30741" s="711"/>
      <c r="L30741" s="711"/>
      <c r="Q30741" s="11"/>
      <c r="R30741" s="11"/>
      <c r="S30741" s="11"/>
      <c r="T30741" s="11"/>
    </row>
    <row r="30742" spans="8:20" x14ac:dyDescent="0.35">
      <c r="H30742" s="711"/>
      <c r="I30742" s="711"/>
      <c r="J30742" s="711"/>
      <c r="K30742" s="711"/>
      <c r="L30742" s="711"/>
      <c r="Q30742" s="11"/>
      <c r="R30742" s="11"/>
      <c r="S30742" s="11"/>
      <c r="T30742" s="11"/>
    </row>
    <row r="30743" spans="8:20" x14ac:dyDescent="0.35">
      <c r="H30743" s="711"/>
      <c r="I30743" s="711"/>
      <c r="J30743" s="711"/>
      <c r="K30743" s="711"/>
      <c r="L30743" s="711"/>
      <c r="Q30743" s="11"/>
      <c r="R30743" s="11"/>
      <c r="S30743" s="11"/>
      <c r="T30743" s="11"/>
    </row>
    <row r="30744" spans="8:20" x14ac:dyDescent="0.35">
      <c r="H30744" s="711"/>
      <c r="I30744" s="711"/>
      <c r="J30744" s="711"/>
      <c r="K30744" s="711"/>
      <c r="L30744" s="711"/>
      <c r="Q30744" s="11"/>
      <c r="R30744" s="11"/>
      <c r="S30744" s="11"/>
      <c r="T30744" s="11"/>
    </row>
    <row r="30745" spans="8:20" x14ac:dyDescent="0.35">
      <c r="H30745" s="711"/>
      <c r="I30745" s="711"/>
      <c r="J30745" s="711"/>
      <c r="K30745" s="711"/>
      <c r="L30745" s="711"/>
      <c r="Q30745" s="11"/>
      <c r="R30745" s="11"/>
      <c r="S30745" s="11"/>
      <c r="T30745" s="11"/>
    </row>
    <row r="30746" spans="8:20" x14ac:dyDescent="0.35">
      <c r="H30746" s="711"/>
      <c r="I30746" s="711"/>
      <c r="J30746" s="711"/>
      <c r="K30746" s="711"/>
      <c r="L30746" s="711"/>
      <c r="Q30746" s="11"/>
      <c r="R30746" s="11"/>
      <c r="S30746" s="11"/>
      <c r="T30746" s="11"/>
    </row>
    <row r="30747" spans="8:20" x14ac:dyDescent="0.35">
      <c r="H30747" s="711"/>
      <c r="I30747" s="711"/>
      <c r="J30747" s="711"/>
      <c r="K30747" s="711"/>
      <c r="L30747" s="711"/>
      <c r="Q30747" s="11"/>
      <c r="R30747" s="11"/>
      <c r="S30747" s="11"/>
      <c r="T30747" s="11"/>
    </row>
    <row r="30748" spans="8:20" x14ac:dyDescent="0.35">
      <c r="H30748" s="711"/>
      <c r="I30748" s="711"/>
      <c r="J30748" s="711"/>
      <c r="K30748" s="711"/>
      <c r="L30748" s="711"/>
      <c r="Q30748" s="11"/>
      <c r="R30748" s="11"/>
      <c r="S30748" s="11"/>
      <c r="T30748" s="11"/>
    </row>
    <row r="30749" spans="8:20" x14ac:dyDescent="0.35">
      <c r="H30749" s="711"/>
      <c r="I30749" s="711"/>
      <c r="J30749" s="711"/>
      <c r="K30749" s="711"/>
      <c r="L30749" s="711"/>
      <c r="Q30749" s="11"/>
      <c r="R30749" s="11"/>
      <c r="S30749" s="11"/>
      <c r="T30749" s="11"/>
    </row>
    <row r="30750" spans="8:20" x14ac:dyDescent="0.35">
      <c r="H30750" s="711"/>
      <c r="I30750" s="711"/>
      <c r="J30750" s="711"/>
      <c r="K30750" s="711"/>
      <c r="L30750" s="711"/>
      <c r="Q30750" s="11"/>
      <c r="R30750" s="11"/>
      <c r="S30750" s="11"/>
      <c r="T30750" s="11"/>
    </row>
    <row r="30751" spans="8:20" x14ac:dyDescent="0.35">
      <c r="H30751" s="711"/>
      <c r="I30751" s="711"/>
      <c r="J30751" s="711"/>
      <c r="K30751" s="711"/>
      <c r="L30751" s="711"/>
      <c r="Q30751" s="11"/>
      <c r="R30751" s="11"/>
      <c r="S30751" s="11"/>
      <c r="T30751" s="11"/>
    </row>
    <row r="30752" spans="8:20" x14ac:dyDescent="0.35">
      <c r="H30752" s="711"/>
      <c r="I30752" s="711"/>
      <c r="J30752" s="711"/>
      <c r="K30752" s="711"/>
      <c r="L30752" s="711"/>
      <c r="Q30752" s="11"/>
      <c r="R30752" s="11"/>
      <c r="S30752" s="11"/>
      <c r="T30752" s="11"/>
    </row>
    <row r="30753" spans="8:20" x14ac:dyDescent="0.35">
      <c r="H30753" s="711"/>
      <c r="I30753" s="711"/>
      <c r="J30753" s="711"/>
      <c r="K30753" s="711"/>
      <c r="L30753" s="711"/>
      <c r="Q30753" s="11"/>
      <c r="R30753" s="11"/>
      <c r="S30753" s="11"/>
      <c r="T30753" s="11"/>
    </row>
    <row r="30754" spans="8:20" x14ac:dyDescent="0.35">
      <c r="H30754" s="711"/>
      <c r="I30754" s="711"/>
      <c r="J30754" s="711"/>
      <c r="K30754" s="711"/>
      <c r="L30754" s="711"/>
      <c r="Q30754" s="11"/>
      <c r="R30754" s="11"/>
      <c r="S30754" s="11"/>
      <c r="T30754" s="11"/>
    </row>
    <row r="30755" spans="8:20" x14ac:dyDescent="0.35">
      <c r="H30755" s="711"/>
      <c r="I30755" s="711"/>
      <c r="J30755" s="711"/>
      <c r="K30755" s="711"/>
      <c r="L30755" s="711"/>
      <c r="Q30755" s="11"/>
      <c r="R30755" s="11"/>
      <c r="S30755" s="11"/>
      <c r="T30755" s="11"/>
    </row>
    <row r="30756" spans="8:20" x14ac:dyDescent="0.35">
      <c r="H30756" s="711"/>
      <c r="I30756" s="711"/>
      <c r="J30756" s="711"/>
      <c r="K30756" s="711"/>
      <c r="L30756" s="711"/>
      <c r="Q30756" s="11"/>
      <c r="R30756" s="11"/>
      <c r="S30756" s="11"/>
      <c r="T30756" s="11"/>
    </row>
    <row r="30757" spans="8:20" x14ac:dyDescent="0.35">
      <c r="H30757" s="711"/>
      <c r="I30757" s="711"/>
      <c r="J30757" s="711"/>
      <c r="K30757" s="711"/>
      <c r="L30757" s="711"/>
      <c r="Q30757" s="11"/>
      <c r="R30757" s="11"/>
      <c r="S30757" s="11"/>
      <c r="T30757" s="11"/>
    </row>
    <row r="30758" spans="8:20" x14ac:dyDescent="0.35">
      <c r="H30758" s="711"/>
      <c r="I30758" s="711"/>
      <c r="J30758" s="711"/>
      <c r="K30758" s="711"/>
      <c r="L30758" s="711"/>
      <c r="Q30758" s="11"/>
      <c r="R30758" s="11"/>
      <c r="S30758" s="11"/>
      <c r="T30758" s="11"/>
    </row>
    <row r="30759" spans="8:20" x14ac:dyDescent="0.35">
      <c r="H30759" s="711"/>
      <c r="I30759" s="711"/>
      <c r="J30759" s="711"/>
      <c r="K30759" s="711"/>
      <c r="L30759" s="711"/>
      <c r="Q30759" s="11"/>
      <c r="R30759" s="11"/>
      <c r="S30759" s="11"/>
      <c r="T30759" s="11"/>
    </row>
    <row r="30760" spans="8:20" x14ac:dyDescent="0.35">
      <c r="H30760" s="711"/>
      <c r="I30760" s="711"/>
      <c r="J30760" s="711"/>
      <c r="K30760" s="711"/>
      <c r="L30760" s="711"/>
      <c r="Q30760" s="11"/>
      <c r="R30760" s="11"/>
      <c r="S30760" s="11"/>
      <c r="T30760" s="11"/>
    </row>
    <row r="30761" spans="8:20" x14ac:dyDescent="0.35">
      <c r="H30761" s="711"/>
      <c r="I30761" s="711"/>
      <c r="J30761" s="711"/>
      <c r="K30761" s="711"/>
      <c r="L30761" s="711"/>
      <c r="Q30761" s="11"/>
      <c r="R30761" s="11"/>
      <c r="S30761" s="11"/>
      <c r="T30761" s="11"/>
    </row>
    <row r="30762" spans="8:20" x14ac:dyDescent="0.35">
      <c r="H30762" s="711"/>
      <c r="I30762" s="711"/>
      <c r="J30762" s="711"/>
      <c r="K30762" s="711"/>
      <c r="L30762" s="711"/>
      <c r="Q30762" s="11"/>
      <c r="R30762" s="11"/>
      <c r="S30762" s="11"/>
      <c r="T30762" s="11"/>
    </row>
    <row r="30763" spans="8:20" x14ac:dyDescent="0.35">
      <c r="H30763" s="711"/>
      <c r="I30763" s="711"/>
      <c r="J30763" s="711"/>
      <c r="K30763" s="711"/>
      <c r="L30763" s="711"/>
      <c r="Q30763" s="11"/>
      <c r="R30763" s="11"/>
      <c r="S30763" s="11"/>
      <c r="T30763" s="11"/>
    </row>
    <row r="30764" spans="8:20" x14ac:dyDescent="0.35">
      <c r="H30764" s="711"/>
      <c r="I30764" s="711"/>
      <c r="J30764" s="711"/>
      <c r="K30764" s="711"/>
      <c r="L30764" s="711"/>
      <c r="Q30764" s="11"/>
      <c r="R30764" s="11"/>
      <c r="S30764" s="11"/>
      <c r="T30764" s="11"/>
    </row>
    <row r="30765" spans="8:20" x14ac:dyDescent="0.35">
      <c r="H30765" s="711"/>
      <c r="I30765" s="711"/>
      <c r="J30765" s="711"/>
      <c r="K30765" s="711"/>
      <c r="L30765" s="711"/>
      <c r="Q30765" s="11"/>
      <c r="R30765" s="11"/>
      <c r="S30765" s="11"/>
      <c r="T30765" s="11"/>
    </row>
    <row r="30766" spans="8:20" x14ac:dyDescent="0.35">
      <c r="H30766" s="711"/>
      <c r="I30766" s="711"/>
      <c r="J30766" s="711"/>
      <c r="K30766" s="711"/>
      <c r="L30766" s="711"/>
      <c r="Q30766" s="11"/>
      <c r="R30766" s="11"/>
      <c r="S30766" s="11"/>
      <c r="T30766" s="11"/>
    </row>
    <row r="30767" spans="8:20" x14ac:dyDescent="0.35">
      <c r="H30767" s="711"/>
      <c r="I30767" s="711"/>
      <c r="J30767" s="711"/>
      <c r="K30767" s="711"/>
      <c r="L30767" s="711"/>
      <c r="Q30767" s="11"/>
      <c r="R30767" s="11"/>
      <c r="S30767" s="11"/>
      <c r="T30767" s="11"/>
    </row>
    <row r="30768" spans="8:20" x14ac:dyDescent="0.35">
      <c r="H30768" s="711"/>
      <c r="I30768" s="711"/>
      <c r="J30768" s="711"/>
      <c r="K30768" s="711"/>
      <c r="L30768" s="711"/>
      <c r="Q30768" s="11"/>
      <c r="R30768" s="11"/>
      <c r="S30768" s="11"/>
      <c r="T30768" s="11"/>
    </row>
    <row r="30769" spans="8:20" x14ac:dyDescent="0.35">
      <c r="H30769" s="711"/>
      <c r="I30769" s="711"/>
      <c r="J30769" s="711"/>
      <c r="K30769" s="711"/>
      <c r="L30769" s="711"/>
      <c r="Q30769" s="11"/>
      <c r="R30769" s="11"/>
      <c r="S30769" s="11"/>
      <c r="T30769" s="11"/>
    </row>
    <row r="30770" spans="8:20" x14ac:dyDescent="0.35">
      <c r="H30770" s="711"/>
      <c r="I30770" s="711"/>
      <c r="J30770" s="711"/>
      <c r="K30770" s="711"/>
      <c r="L30770" s="711"/>
      <c r="Q30770" s="11"/>
      <c r="R30770" s="11"/>
      <c r="S30770" s="11"/>
      <c r="T30770" s="11"/>
    </row>
    <row r="30771" spans="8:20" x14ac:dyDescent="0.35">
      <c r="H30771" s="711"/>
      <c r="I30771" s="711"/>
      <c r="J30771" s="711"/>
      <c r="K30771" s="711"/>
      <c r="L30771" s="711"/>
      <c r="Q30771" s="11"/>
      <c r="R30771" s="11"/>
      <c r="S30771" s="11"/>
      <c r="T30771" s="11"/>
    </row>
    <row r="30772" spans="8:20" x14ac:dyDescent="0.35">
      <c r="H30772" s="711"/>
      <c r="I30772" s="711"/>
      <c r="J30772" s="711"/>
      <c r="K30772" s="711"/>
      <c r="L30772" s="711"/>
      <c r="Q30772" s="11"/>
      <c r="R30772" s="11"/>
      <c r="S30772" s="11"/>
      <c r="T30772" s="11"/>
    </row>
    <row r="30773" spans="8:20" x14ac:dyDescent="0.35">
      <c r="H30773" s="711"/>
      <c r="I30773" s="711"/>
      <c r="J30773" s="711"/>
      <c r="K30773" s="711"/>
      <c r="L30773" s="711"/>
      <c r="Q30773" s="11"/>
      <c r="R30773" s="11"/>
      <c r="S30773" s="11"/>
      <c r="T30773" s="11"/>
    </row>
    <row r="30774" spans="8:20" x14ac:dyDescent="0.35">
      <c r="H30774" s="711"/>
      <c r="I30774" s="711"/>
      <c r="J30774" s="711"/>
      <c r="K30774" s="711"/>
      <c r="L30774" s="711"/>
      <c r="Q30774" s="11"/>
      <c r="R30774" s="11"/>
      <c r="S30774" s="11"/>
      <c r="T30774" s="11"/>
    </row>
    <row r="30775" spans="8:20" x14ac:dyDescent="0.35">
      <c r="H30775" s="711"/>
      <c r="I30775" s="711"/>
      <c r="J30775" s="711"/>
      <c r="K30775" s="711"/>
      <c r="L30775" s="711"/>
      <c r="Q30775" s="11"/>
      <c r="R30775" s="11"/>
      <c r="S30775" s="11"/>
      <c r="T30775" s="11"/>
    </row>
    <row r="30776" spans="8:20" x14ac:dyDescent="0.35">
      <c r="H30776" s="711"/>
      <c r="I30776" s="711"/>
      <c r="J30776" s="711"/>
      <c r="K30776" s="711"/>
      <c r="L30776" s="711"/>
      <c r="Q30776" s="11"/>
      <c r="R30776" s="11"/>
      <c r="S30776" s="11"/>
      <c r="T30776" s="11"/>
    </row>
    <row r="30777" spans="8:20" x14ac:dyDescent="0.35">
      <c r="H30777" s="711"/>
      <c r="I30777" s="711"/>
      <c r="J30777" s="711"/>
      <c r="K30777" s="711"/>
      <c r="L30777" s="711"/>
      <c r="Q30777" s="11"/>
      <c r="R30777" s="11"/>
      <c r="S30777" s="11"/>
      <c r="T30777" s="11"/>
    </row>
    <row r="30778" spans="8:20" x14ac:dyDescent="0.35">
      <c r="H30778" s="711"/>
      <c r="I30778" s="711"/>
      <c r="J30778" s="711"/>
      <c r="K30778" s="711"/>
      <c r="L30778" s="711"/>
      <c r="Q30778" s="11"/>
      <c r="R30778" s="11"/>
      <c r="S30778" s="11"/>
      <c r="T30778" s="11"/>
    </row>
    <row r="30779" spans="8:20" x14ac:dyDescent="0.35">
      <c r="H30779" s="711"/>
      <c r="I30779" s="711"/>
      <c r="J30779" s="711"/>
      <c r="K30779" s="711"/>
      <c r="L30779" s="711"/>
      <c r="Q30779" s="11"/>
      <c r="R30779" s="11"/>
      <c r="S30779" s="11"/>
      <c r="T30779" s="11"/>
    </row>
    <row r="30780" spans="8:20" x14ac:dyDescent="0.35">
      <c r="H30780" s="711"/>
      <c r="I30780" s="711"/>
      <c r="J30780" s="711"/>
      <c r="K30780" s="711"/>
      <c r="L30780" s="711"/>
      <c r="Q30780" s="11"/>
      <c r="R30780" s="11"/>
      <c r="S30780" s="11"/>
      <c r="T30780" s="11"/>
    </row>
    <row r="30781" spans="8:20" x14ac:dyDescent="0.35">
      <c r="H30781" s="711"/>
      <c r="I30781" s="711"/>
      <c r="J30781" s="711"/>
      <c r="K30781" s="711"/>
      <c r="L30781" s="711"/>
      <c r="Q30781" s="11"/>
      <c r="R30781" s="11"/>
      <c r="S30781" s="11"/>
      <c r="T30781" s="11"/>
    </row>
    <row r="30782" spans="8:20" x14ac:dyDescent="0.35">
      <c r="H30782" s="711"/>
      <c r="I30782" s="711"/>
      <c r="J30782" s="711"/>
      <c r="K30782" s="711"/>
      <c r="L30782" s="711"/>
      <c r="Q30782" s="11"/>
      <c r="R30782" s="11"/>
      <c r="S30782" s="11"/>
      <c r="T30782" s="11"/>
    </row>
    <row r="30783" spans="8:20" x14ac:dyDescent="0.35">
      <c r="H30783" s="711"/>
      <c r="I30783" s="711"/>
      <c r="J30783" s="711"/>
      <c r="K30783" s="711"/>
      <c r="L30783" s="711"/>
      <c r="Q30783" s="11"/>
      <c r="R30783" s="11"/>
      <c r="S30783" s="11"/>
      <c r="T30783" s="11"/>
    </row>
    <row r="30784" spans="8:20" x14ac:dyDescent="0.35">
      <c r="H30784" s="711"/>
      <c r="I30784" s="711"/>
      <c r="J30784" s="711"/>
      <c r="K30784" s="711"/>
      <c r="L30784" s="711"/>
      <c r="Q30784" s="11"/>
      <c r="R30784" s="11"/>
      <c r="S30784" s="11"/>
      <c r="T30784" s="11"/>
    </row>
    <row r="30785" spans="8:20" x14ac:dyDescent="0.35">
      <c r="H30785" s="711"/>
      <c r="I30785" s="711"/>
      <c r="J30785" s="711"/>
      <c r="K30785" s="711"/>
      <c r="L30785" s="711"/>
      <c r="Q30785" s="11"/>
      <c r="R30785" s="11"/>
      <c r="S30785" s="11"/>
      <c r="T30785" s="11"/>
    </row>
    <row r="30786" spans="8:20" x14ac:dyDescent="0.35">
      <c r="H30786" s="711"/>
      <c r="I30786" s="711"/>
      <c r="J30786" s="711"/>
      <c r="K30786" s="711"/>
      <c r="L30786" s="711"/>
      <c r="Q30786" s="11"/>
      <c r="R30786" s="11"/>
      <c r="S30786" s="11"/>
      <c r="T30786" s="11"/>
    </row>
    <row r="30787" spans="8:20" x14ac:dyDescent="0.35">
      <c r="H30787" s="711"/>
      <c r="I30787" s="711"/>
      <c r="J30787" s="711"/>
      <c r="K30787" s="711"/>
      <c r="L30787" s="711"/>
      <c r="Q30787" s="11"/>
      <c r="R30787" s="11"/>
      <c r="S30787" s="11"/>
      <c r="T30787" s="11"/>
    </row>
    <row r="30788" spans="8:20" x14ac:dyDescent="0.35">
      <c r="H30788" s="711"/>
      <c r="I30788" s="711"/>
      <c r="J30788" s="711"/>
      <c r="K30788" s="711"/>
      <c r="L30788" s="711"/>
      <c r="Q30788" s="11"/>
      <c r="R30788" s="11"/>
      <c r="S30788" s="11"/>
      <c r="T30788" s="11"/>
    </row>
    <row r="30789" spans="8:20" x14ac:dyDescent="0.35">
      <c r="H30789" s="711"/>
      <c r="I30789" s="711"/>
      <c r="J30789" s="711"/>
      <c r="K30789" s="711"/>
      <c r="L30789" s="711"/>
      <c r="Q30789" s="11"/>
      <c r="R30789" s="11"/>
      <c r="S30789" s="11"/>
      <c r="T30789" s="11"/>
    </row>
    <row r="30790" spans="8:20" x14ac:dyDescent="0.35">
      <c r="H30790" s="711"/>
      <c r="I30790" s="711"/>
      <c r="J30790" s="711"/>
      <c r="K30790" s="711"/>
      <c r="L30790" s="711"/>
      <c r="Q30790" s="11"/>
      <c r="R30790" s="11"/>
      <c r="S30790" s="11"/>
      <c r="T30790" s="11"/>
    </row>
    <row r="30791" spans="8:20" x14ac:dyDescent="0.35">
      <c r="H30791" s="711"/>
      <c r="I30791" s="711"/>
      <c r="J30791" s="711"/>
      <c r="K30791" s="711"/>
      <c r="L30791" s="711"/>
      <c r="Q30791" s="11"/>
      <c r="R30791" s="11"/>
      <c r="S30791" s="11"/>
      <c r="T30791" s="11"/>
    </row>
    <row r="30792" spans="8:20" x14ac:dyDescent="0.35">
      <c r="H30792" s="711"/>
      <c r="I30792" s="711"/>
      <c r="J30792" s="711"/>
      <c r="K30792" s="711"/>
      <c r="L30792" s="711"/>
      <c r="Q30792" s="11"/>
      <c r="R30792" s="11"/>
      <c r="S30792" s="11"/>
      <c r="T30792" s="11"/>
    </row>
    <row r="30793" spans="8:20" x14ac:dyDescent="0.35">
      <c r="H30793" s="711"/>
      <c r="I30793" s="711"/>
      <c r="J30793" s="711"/>
      <c r="K30793" s="711"/>
      <c r="L30793" s="711"/>
      <c r="Q30793" s="11"/>
      <c r="R30793" s="11"/>
      <c r="S30793" s="11"/>
      <c r="T30793" s="11"/>
    </row>
    <row r="30794" spans="8:20" x14ac:dyDescent="0.35">
      <c r="H30794" s="711"/>
      <c r="I30794" s="711"/>
      <c r="J30794" s="711"/>
      <c r="K30794" s="711"/>
      <c r="L30794" s="711"/>
      <c r="Q30794" s="11"/>
      <c r="R30794" s="11"/>
      <c r="S30794" s="11"/>
      <c r="T30794" s="11"/>
    </row>
    <row r="30795" spans="8:20" x14ac:dyDescent="0.35">
      <c r="H30795" s="711"/>
      <c r="I30795" s="711"/>
      <c r="J30795" s="711"/>
      <c r="K30795" s="711"/>
      <c r="L30795" s="711"/>
      <c r="Q30795" s="11"/>
      <c r="R30795" s="11"/>
      <c r="S30795" s="11"/>
      <c r="T30795" s="11"/>
    </row>
    <row r="30796" spans="8:20" x14ac:dyDescent="0.35">
      <c r="H30796" s="711"/>
      <c r="I30796" s="711"/>
      <c r="J30796" s="711"/>
      <c r="K30796" s="711"/>
      <c r="L30796" s="711"/>
      <c r="Q30796" s="11"/>
      <c r="R30796" s="11"/>
      <c r="S30796" s="11"/>
      <c r="T30796" s="11"/>
    </row>
    <row r="30797" spans="8:20" x14ac:dyDescent="0.35">
      <c r="H30797" s="711"/>
      <c r="I30797" s="711"/>
      <c r="J30797" s="711"/>
      <c r="K30797" s="711"/>
      <c r="L30797" s="711"/>
      <c r="Q30797" s="11"/>
      <c r="R30797" s="11"/>
      <c r="S30797" s="11"/>
      <c r="T30797" s="11"/>
    </row>
    <row r="30798" spans="8:20" x14ac:dyDescent="0.35">
      <c r="H30798" s="711"/>
      <c r="I30798" s="711"/>
      <c r="J30798" s="711"/>
      <c r="K30798" s="711"/>
      <c r="L30798" s="711"/>
      <c r="Q30798" s="11"/>
      <c r="R30798" s="11"/>
      <c r="S30798" s="11"/>
      <c r="T30798" s="11"/>
    </row>
    <row r="30799" spans="8:20" x14ac:dyDescent="0.35">
      <c r="H30799" s="711"/>
      <c r="I30799" s="711"/>
      <c r="J30799" s="711"/>
      <c r="K30799" s="711"/>
      <c r="L30799" s="711"/>
      <c r="Q30799" s="11"/>
      <c r="R30799" s="11"/>
      <c r="S30799" s="11"/>
      <c r="T30799" s="11"/>
    </row>
    <row r="30800" spans="8:20" x14ac:dyDescent="0.35">
      <c r="H30800" s="711"/>
      <c r="I30800" s="711"/>
      <c r="J30800" s="711"/>
      <c r="K30800" s="711"/>
      <c r="L30800" s="711"/>
      <c r="Q30800" s="11"/>
      <c r="R30800" s="11"/>
      <c r="S30800" s="11"/>
      <c r="T30800" s="11"/>
    </row>
    <row r="30801" spans="8:20" x14ac:dyDescent="0.35">
      <c r="H30801" s="711"/>
      <c r="I30801" s="711"/>
      <c r="J30801" s="711"/>
      <c r="K30801" s="711"/>
      <c r="L30801" s="711"/>
      <c r="Q30801" s="11"/>
      <c r="R30801" s="11"/>
      <c r="S30801" s="11"/>
      <c r="T30801" s="11"/>
    </row>
    <row r="30802" spans="8:20" x14ac:dyDescent="0.35">
      <c r="H30802" s="711"/>
      <c r="I30802" s="711"/>
      <c r="J30802" s="711"/>
      <c r="K30802" s="711"/>
      <c r="L30802" s="711"/>
      <c r="Q30802" s="11"/>
      <c r="R30802" s="11"/>
      <c r="S30802" s="11"/>
      <c r="T30802" s="11"/>
    </row>
    <row r="30803" spans="8:20" x14ac:dyDescent="0.35">
      <c r="H30803" s="711"/>
      <c r="I30803" s="711"/>
      <c r="J30803" s="711"/>
      <c r="K30803" s="711"/>
      <c r="L30803" s="711"/>
      <c r="Q30803" s="11"/>
      <c r="R30803" s="11"/>
      <c r="S30803" s="11"/>
      <c r="T30803" s="11"/>
    </row>
    <row r="30804" spans="8:20" x14ac:dyDescent="0.35">
      <c r="H30804" s="711"/>
      <c r="I30804" s="711"/>
      <c r="J30804" s="711"/>
      <c r="K30804" s="711"/>
      <c r="L30804" s="711"/>
      <c r="Q30804" s="11"/>
      <c r="R30804" s="11"/>
      <c r="S30804" s="11"/>
      <c r="T30804" s="11"/>
    </row>
    <row r="30805" spans="8:20" x14ac:dyDescent="0.35">
      <c r="H30805" s="711"/>
      <c r="I30805" s="711"/>
      <c r="J30805" s="711"/>
      <c r="K30805" s="711"/>
      <c r="L30805" s="711"/>
      <c r="Q30805" s="11"/>
      <c r="R30805" s="11"/>
      <c r="S30805" s="11"/>
      <c r="T30805" s="11"/>
    </row>
    <row r="30806" spans="8:20" x14ac:dyDescent="0.35">
      <c r="H30806" s="711"/>
      <c r="I30806" s="711"/>
      <c r="J30806" s="711"/>
      <c r="K30806" s="711"/>
      <c r="L30806" s="711"/>
      <c r="Q30806" s="11"/>
      <c r="R30806" s="11"/>
      <c r="S30806" s="11"/>
      <c r="T30806" s="11"/>
    </row>
    <row r="30807" spans="8:20" x14ac:dyDescent="0.35">
      <c r="H30807" s="711"/>
      <c r="I30807" s="711"/>
      <c r="J30807" s="711"/>
      <c r="K30807" s="711"/>
      <c r="L30807" s="711"/>
      <c r="Q30807" s="11"/>
      <c r="R30807" s="11"/>
      <c r="S30807" s="11"/>
      <c r="T30807" s="11"/>
    </row>
    <row r="30808" spans="8:20" x14ac:dyDescent="0.35">
      <c r="H30808" s="711"/>
      <c r="I30808" s="711"/>
      <c r="J30808" s="711"/>
      <c r="K30808" s="711"/>
      <c r="L30808" s="711"/>
      <c r="Q30808" s="11"/>
      <c r="R30808" s="11"/>
      <c r="S30808" s="11"/>
      <c r="T30808" s="11"/>
    </row>
    <row r="30809" spans="8:20" x14ac:dyDescent="0.35">
      <c r="H30809" s="711"/>
      <c r="I30809" s="711"/>
      <c r="J30809" s="711"/>
      <c r="K30809" s="711"/>
      <c r="L30809" s="711"/>
      <c r="Q30809" s="11"/>
      <c r="R30809" s="11"/>
      <c r="S30809" s="11"/>
      <c r="T30809" s="11"/>
    </row>
    <row r="30810" spans="8:20" x14ac:dyDescent="0.35">
      <c r="H30810" s="711"/>
      <c r="I30810" s="711"/>
      <c r="J30810" s="711"/>
      <c r="K30810" s="711"/>
      <c r="L30810" s="711"/>
      <c r="Q30810" s="11"/>
      <c r="R30810" s="11"/>
      <c r="S30810" s="11"/>
      <c r="T30810" s="11"/>
    </row>
    <row r="30811" spans="8:20" x14ac:dyDescent="0.35">
      <c r="H30811" s="711"/>
      <c r="I30811" s="711"/>
      <c r="J30811" s="711"/>
      <c r="K30811" s="711"/>
      <c r="L30811" s="711"/>
      <c r="Q30811" s="11"/>
      <c r="R30811" s="11"/>
      <c r="S30811" s="11"/>
      <c r="T30811" s="11"/>
    </row>
    <row r="30812" spans="8:20" x14ac:dyDescent="0.35">
      <c r="H30812" s="711"/>
      <c r="I30812" s="711"/>
      <c r="J30812" s="711"/>
      <c r="K30812" s="711"/>
      <c r="L30812" s="711"/>
      <c r="Q30812" s="11"/>
      <c r="R30812" s="11"/>
      <c r="S30812" s="11"/>
      <c r="T30812" s="11"/>
    </row>
    <row r="30813" spans="8:20" x14ac:dyDescent="0.35">
      <c r="H30813" s="711"/>
      <c r="I30813" s="711"/>
      <c r="J30813" s="711"/>
      <c r="K30813" s="711"/>
      <c r="L30813" s="711"/>
      <c r="Q30813" s="11"/>
      <c r="R30813" s="11"/>
      <c r="S30813" s="11"/>
      <c r="T30813" s="11"/>
    </row>
    <row r="30814" spans="8:20" x14ac:dyDescent="0.35">
      <c r="H30814" s="711"/>
      <c r="I30814" s="711"/>
      <c r="J30814" s="711"/>
      <c r="K30814" s="711"/>
      <c r="L30814" s="711"/>
      <c r="Q30814" s="11"/>
      <c r="R30814" s="11"/>
      <c r="S30814" s="11"/>
      <c r="T30814" s="11"/>
    </row>
    <row r="30815" spans="8:20" x14ac:dyDescent="0.35">
      <c r="H30815" s="711"/>
      <c r="I30815" s="711"/>
      <c r="J30815" s="711"/>
      <c r="K30815" s="711"/>
      <c r="L30815" s="711"/>
      <c r="Q30815" s="11"/>
      <c r="R30815" s="11"/>
      <c r="S30815" s="11"/>
      <c r="T30815" s="11"/>
    </row>
    <row r="30816" spans="8:20" x14ac:dyDescent="0.35">
      <c r="H30816" s="711"/>
      <c r="I30816" s="711"/>
      <c r="J30816" s="711"/>
      <c r="K30816" s="711"/>
      <c r="L30816" s="711"/>
      <c r="Q30816" s="11"/>
      <c r="R30816" s="11"/>
      <c r="S30816" s="11"/>
      <c r="T30816" s="11"/>
    </row>
    <row r="30817" spans="8:20" x14ac:dyDescent="0.35">
      <c r="H30817" s="711"/>
      <c r="I30817" s="711"/>
      <c r="J30817" s="711"/>
      <c r="K30817" s="711"/>
      <c r="L30817" s="711"/>
      <c r="Q30817" s="11"/>
      <c r="R30817" s="11"/>
      <c r="S30817" s="11"/>
      <c r="T30817" s="11"/>
    </row>
    <row r="30818" spans="8:20" x14ac:dyDescent="0.35">
      <c r="H30818" s="711"/>
      <c r="I30818" s="711"/>
      <c r="J30818" s="711"/>
      <c r="K30818" s="711"/>
      <c r="L30818" s="711"/>
      <c r="Q30818" s="11"/>
      <c r="R30818" s="11"/>
      <c r="S30818" s="11"/>
      <c r="T30818" s="11"/>
    </row>
    <row r="30819" spans="8:20" x14ac:dyDescent="0.35">
      <c r="H30819" s="711"/>
      <c r="I30819" s="711"/>
      <c r="J30819" s="711"/>
      <c r="K30819" s="711"/>
      <c r="L30819" s="711"/>
      <c r="Q30819" s="11"/>
      <c r="R30819" s="11"/>
      <c r="S30819" s="11"/>
      <c r="T30819" s="11"/>
    </row>
    <row r="30820" spans="8:20" x14ac:dyDescent="0.35">
      <c r="H30820" s="711"/>
      <c r="I30820" s="711"/>
      <c r="J30820" s="711"/>
      <c r="K30820" s="711"/>
      <c r="L30820" s="711"/>
      <c r="Q30820" s="11"/>
      <c r="R30820" s="11"/>
      <c r="S30820" s="11"/>
      <c r="T30820" s="11"/>
    </row>
    <row r="30821" spans="8:20" x14ac:dyDescent="0.35">
      <c r="H30821" s="711"/>
      <c r="I30821" s="711"/>
      <c r="J30821" s="711"/>
      <c r="K30821" s="711"/>
      <c r="L30821" s="711"/>
      <c r="Q30821" s="11"/>
      <c r="R30821" s="11"/>
      <c r="S30821" s="11"/>
      <c r="T30821" s="11"/>
    </row>
    <row r="30822" spans="8:20" x14ac:dyDescent="0.35">
      <c r="H30822" s="711"/>
      <c r="I30822" s="711"/>
      <c r="J30822" s="711"/>
      <c r="K30822" s="711"/>
      <c r="L30822" s="711"/>
      <c r="Q30822" s="11"/>
      <c r="R30822" s="11"/>
      <c r="S30822" s="11"/>
      <c r="T30822" s="11"/>
    </row>
    <row r="30823" spans="8:20" x14ac:dyDescent="0.35">
      <c r="H30823" s="711"/>
      <c r="I30823" s="711"/>
      <c r="J30823" s="711"/>
      <c r="K30823" s="711"/>
      <c r="L30823" s="711"/>
      <c r="Q30823" s="11"/>
      <c r="R30823" s="11"/>
      <c r="S30823" s="11"/>
      <c r="T30823" s="11"/>
    </row>
    <row r="30824" spans="8:20" x14ac:dyDescent="0.35">
      <c r="H30824" s="711"/>
      <c r="I30824" s="711"/>
      <c r="J30824" s="711"/>
      <c r="K30824" s="711"/>
      <c r="L30824" s="711"/>
      <c r="Q30824" s="11"/>
      <c r="R30824" s="11"/>
      <c r="S30824" s="11"/>
      <c r="T30824" s="11"/>
    </row>
    <row r="30825" spans="8:20" x14ac:dyDescent="0.35">
      <c r="H30825" s="711"/>
      <c r="I30825" s="711"/>
      <c r="J30825" s="711"/>
      <c r="K30825" s="711"/>
      <c r="L30825" s="711"/>
      <c r="Q30825" s="11"/>
      <c r="R30825" s="11"/>
      <c r="S30825" s="11"/>
      <c r="T30825" s="11"/>
    </row>
    <row r="30826" spans="8:20" x14ac:dyDescent="0.35">
      <c r="H30826" s="711"/>
      <c r="I30826" s="711"/>
      <c r="J30826" s="711"/>
      <c r="K30826" s="711"/>
      <c r="L30826" s="711"/>
      <c r="Q30826" s="11"/>
      <c r="R30826" s="11"/>
      <c r="S30826" s="11"/>
      <c r="T30826" s="11"/>
    </row>
    <row r="30827" spans="8:20" x14ac:dyDescent="0.35">
      <c r="H30827" s="711"/>
      <c r="I30827" s="711"/>
      <c r="J30827" s="711"/>
      <c r="K30827" s="711"/>
      <c r="L30827" s="711"/>
      <c r="Q30827" s="11"/>
      <c r="R30827" s="11"/>
      <c r="S30827" s="11"/>
      <c r="T30827" s="11"/>
    </row>
    <row r="30828" spans="8:20" x14ac:dyDescent="0.35">
      <c r="H30828" s="711"/>
      <c r="I30828" s="711"/>
      <c r="J30828" s="711"/>
      <c r="K30828" s="711"/>
      <c r="L30828" s="711"/>
      <c r="Q30828" s="11"/>
      <c r="R30828" s="11"/>
      <c r="S30828" s="11"/>
      <c r="T30828" s="11"/>
    </row>
    <row r="30829" spans="8:20" x14ac:dyDescent="0.35">
      <c r="H30829" s="711"/>
      <c r="I30829" s="711"/>
      <c r="J30829" s="711"/>
      <c r="K30829" s="711"/>
      <c r="L30829" s="711"/>
      <c r="Q30829" s="11"/>
      <c r="R30829" s="11"/>
      <c r="S30829" s="11"/>
      <c r="T30829" s="11"/>
    </row>
    <row r="30830" spans="8:20" x14ac:dyDescent="0.35">
      <c r="H30830" s="711"/>
      <c r="I30830" s="711"/>
      <c r="J30830" s="711"/>
      <c r="K30830" s="711"/>
      <c r="L30830" s="711"/>
      <c r="Q30830" s="11"/>
      <c r="R30830" s="11"/>
      <c r="S30830" s="11"/>
      <c r="T30830" s="11"/>
    </row>
    <row r="30831" spans="8:20" x14ac:dyDescent="0.35">
      <c r="H30831" s="711"/>
      <c r="I30831" s="711"/>
      <c r="J30831" s="711"/>
      <c r="K30831" s="711"/>
      <c r="L30831" s="711"/>
      <c r="Q30831" s="11"/>
      <c r="R30831" s="11"/>
      <c r="S30831" s="11"/>
      <c r="T30831" s="11"/>
    </row>
    <row r="30832" spans="8:20" x14ac:dyDescent="0.35">
      <c r="H30832" s="711"/>
      <c r="I30832" s="711"/>
      <c r="J30832" s="711"/>
      <c r="K30832" s="711"/>
      <c r="L30832" s="711"/>
      <c r="Q30832" s="11"/>
      <c r="R30832" s="11"/>
      <c r="S30832" s="11"/>
      <c r="T30832" s="11"/>
    </row>
    <row r="30833" spans="8:20" x14ac:dyDescent="0.35">
      <c r="H30833" s="711"/>
      <c r="I30833" s="711"/>
      <c r="J30833" s="711"/>
      <c r="K30833" s="711"/>
      <c r="L30833" s="711"/>
      <c r="Q30833" s="11"/>
      <c r="R30833" s="11"/>
      <c r="S30833" s="11"/>
      <c r="T30833" s="11"/>
    </row>
    <row r="30834" spans="8:20" x14ac:dyDescent="0.35">
      <c r="H30834" s="711"/>
      <c r="I30834" s="711"/>
      <c r="J30834" s="711"/>
      <c r="K30834" s="711"/>
      <c r="L30834" s="711"/>
      <c r="Q30834" s="11"/>
      <c r="R30834" s="11"/>
      <c r="S30834" s="11"/>
      <c r="T30834" s="11"/>
    </row>
    <row r="30835" spans="8:20" x14ac:dyDescent="0.35">
      <c r="H30835" s="711"/>
      <c r="I30835" s="711"/>
      <c r="J30835" s="711"/>
      <c r="K30835" s="711"/>
      <c r="L30835" s="711"/>
      <c r="Q30835" s="11"/>
      <c r="R30835" s="11"/>
      <c r="S30835" s="11"/>
      <c r="T30835" s="11"/>
    </row>
    <row r="30836" spans="8:20" x14ac:dyDescent="0.35">
      <c r="H30836" s="711"/>
      <c r="I30836" s="711"/>
      <c r="J30836" s="711"/>
      <c r="K30836" s="711"/>
      <c r="L30836" s="711"/>
      <c r="Q30836" s="11"/>
      <c r="R30836" s="11"/>
      <c r="S30836" s="11"/>
      <c r="T30836" s="11"/>
    </row>
    <row r="30837" spans="8:20" x14ac:dyDescent="0.35">
      <c r="H30837" s="711"/>
      <c r="I30837" s="711"/>
      <c r="J30837" s="711"/>
      <c r="K30837" s="711"/>
      <c r="L30837" s="711"/>
      <c r="Q30837" s="11"/>
      <c r="R30837" s="11"/>
      <c r="S30837" s="11"/>
      <c r="T30837" s="11"/>
    </row>
    <row r="30838" spans="8:20" x14ac:dyDescent="0.35">
      <c r="H30838" s="711"/>
      <c r="I30838" s="711"/>
      <c r="J30838" s="711"/>
      <c r="K30838" s="711"/>
      <c r="L30838" s="711"/>
      <c r="Q30838" s="11"/>
      <c r="R30838" s="11"/>
      <c r="S30838" s="11"/>
      <c r="T30838" s="11"/>
    </row>
    <row r="30839" spans="8:20" x14ac:dyDescent="0.35">
      <c r="H30839" s="711"/>
      <c r="I30839" s="711"/>
      <c r="J30839" s="711"/>
      <c r="K30839" s="711"/>
      <c r="L30839" s="711"/>
      <c r="Q30839" s="11"/>
      <c r="R30839" s="11"/>
      <c r="S30839" s="11"/>
      <c r="T30839" s="11"/>
    </row>
    <row r="30840" spans="8:20" x14ac:dyDescent="0.35">
      <c r="H30840" s="711"/>
      <c r="I30840" s="711"/>
      <c r="J30840" s="711"/>
      <c r="K30840" s="711"/>
      <c r="L30840" s="711"/>
      <c r="Q30840" s="11"/>
      <c r="R30840" s="11"/>
      <c r="S30840" s="11"/>
      <c r="T30840" s="11"/>
    </row>
    <row r="30841" spans="8:20" x14ac:dyDescent="0.35">
      <c r="H30841" s="711"/>
      <c r="I30841" s="711"/>
      <c r="J30841" s="711"/>
      <c r="K30841" s="711"/>
      <c r="L30841" s="711"/>
      <c r="Q30841" s="11"/>
      <c r="R30841" s="11"/>
      <c r="S30841" s="11"/>
      <c r="T30841" s="11"/>
    </row>
    <row r="30842" spans="8:20" x14ac:dyDescent="0.35">
      <c r="H30842" s="711"/>
      <c r="I30842" s="711"/>
      <c r="J30842" s="711"/>
      <c r="K30842" s="711"/>
      <c r="L30842" s="711"/>
      <c r="Q30842" s="11"/>
      <c r="R30842" s="11"/>
      <c r="S30842" s="11"/>
      <c r="T30842" s="11"/>
    </row>
    <row r="30843" spans="8:20" x14ac:dyDescent="0.35">
      <c r="H30843" s="711"/>
      <c r="I30843" s="711"/>
      <c r="J30843" s="711"/>
      <c r="K30843" s="711"/>
      <c r="L30843" s="711"/>
      <c r="Q30843" s="11"/>
      <c r="R30843" s="11"/>
      <c r="S30843" s="11"/>
      <c r="T30843" s="11"/>
    </row>
    <row r="30844" spans="8:20" x14ac:dyDescent="0.35">
      <c r="H30844" s="711"/>
      <c r="I30844" s="711"/>
      <c r="J30844" s="711"/>
      <c r="K30844" s="711"/>
      <c r="L30844" s="711"/>
      <c r="Q30844" s="11"/>
      <c r="R30844" s="11"/>
      <c r="S30844" s="11"/>
      <c r="T30844" s="11"/>
    </row>
    <row r="30845" spans="8:20" x14ac:dyDescent="0.35">
      <c r="H30845" s="711"/>
      <c r="I30845" s="711"/>
      <c r="J30845" s="711"/>
      <c r="K30845" s="711"/>
      <c r="L30845" s="711"/>
      <c r="Q30845" s="11"/>
      <c r="R30845" s="11"/>
      <c r="S30845" s="11"/>
      <c r="T30845" s="11"/>
    </row>
    <row r="30846" spans="8:20" x14ac:dyDescent="0.35">
      <c r="H30846" s="711"/>
      <c r="I30846" s="711"/>
      <c r="J30846" s="711"/>
      <c r="K30846" s="711"/>
      <c r="L30846" s="711"/>
      <c r="Q30846" s="11"/>
      <c r="R30846" s="11"/>
      <c r="S30846" s="11"/>
      <c r="T30846" s="11"/>
    </row>
    <row r="30847" spans="8:20" x14ac:dyDescent="0.35">
      <c r="H30847" s="711"/>
      <c r="I30847" s="711"/>
      <c r="J30847" s="711"/>
      <c r="K30847" s="711"/>
      <c r="L30847" s="711"/>
      <c r="Q30847" s="11"/>
      <c r="R30847" s="11"/>
      <c r="S30847" s="11"/>
      <c r="T30847" s="11"/>
    </row>
    <row r="30848" spans="8:20" x14ac:dyDescent="0.35">
      <c r="H30848" s="711"/>
      <c r="I30848" s="711"/>
      <c r="J30848" s="711"/>
      <c r="K30848" s="711"/>
      <c r="L30848" s="711"/>
      <c r="Q30848" s="11"/>
      <c r="R30848" s="11"/>
      <c r="S30848" s="11"/>
      <c r="T30848" s="11"/>
    </row>
    <row r="30849" spans="8:20" x14ac:dyDescent="0.35">
      <c r="H30849" s="711"/>
      <c r="I30849" s="711"/>
      <c r="J30849" s="711"/>
      <c r="K30849" s="711"/>
      <c r="L30849" s="711"/>
      <c r="Q30849" s="11"/>
      <c r="R30849" s="11"/>
      <c r="S30849" s="11"/>
      <c r="T30849" s="11"/>
    </row>
    <row r="30850" spans="8:20" x14ac:dyDescent="0.35">
      <c r="H30850" s="711"/>
      <c r="I30850" s="711"/>
      <c r="J30850" s="711"/>
      <c r="K30850" s="711"/>
      <c r="L30850" s="711"/>
      <c r="Q30850" s="11"/>
      <c r="R30850" s="11"/>
      <c r="S30850" s="11"/>
      <c r="T30850" s="11"/>
    </row>
    <row r="30851" spans="8:20" x14ac:dyDescent="0.35">
      <c r="H30851" s="711"/>
      <c r="I30851" s="711"/>
      <c r="J30851" s="711"/>
      <c r="K30851" s="711"/>
      <c r="L30851" s="711"/>
      <c r="Q30851" s="11"/>
      <c r="R30851" s="11"/>
      <c r="S30851" s="11"/>
      <c r="T30851" s="11"/>
    </row>
    <row r="30852" spans="8:20" x14ac:dyDescent="0.35">
      <c r="H30852" s="711"/>
      <c r="I30852" s="711"/>
      <c r="J30852" s="711"/>
      <c r="K30852" s="711"/>
      <c r="L30852" s="711"/>
      <c r="Q30852" s="11"/>
      <c r="R30852" s="11"/>
      <c r="S30852" s="11"/>
      <c r="T30852" s="11"/>
    </row>
    <row r="30853" spans="8:20" x14ac:dyDescent="0.35">
      <c r="H30853" s="711"/>
      <c r="I30853" s="711"/>
      <c r="J30853" s="711"/>
      <c r="K30853" s="711"/>
      <c r="L30853" s="711"/>
      <c r="Q30853" s="11"/>
      <c r="R30853" s="11"/>
      <c r="S30853" s="11"/>
      <c r="T30853" s="11"/>
    </row>
    <row r="30854" spans="8:20" x14ac:dyDescent="0.35">
      <c r="H30854" s="711"/>
      <c r="I30854" s="711"/>
      <c r="J30854" s="711"/>
      <c r="K30854" s="711"/>
      <c r="L30854" s="711"/>
      <c r="Q30854" s="11"/>
      <c r="R30854" s="11"/>
      <c r="S30854" s="11"/>
      <c r="T30854" s="11"/>
    </row>
    <row r="30855" spans="8:20" x14ac:dyDescent="0.35">
      <c r="H30855" s="711"/>
      <c r="I30855" s="711"/>
      <c r="J30855" s="711"/>
      <c r="K30855" s="711"/>
      <c r="L30855" s="711"/>
      <c r="Q30855" s="11"/>
      <c r="R30855" s="11"/>
      <c r="S30855" s="11"/>
      <c r="T30855" s="11"/>
    </row>
    <row r="30856" spans="8:20" x14ac:dyDescent="0.35">
      <c r="H30856" s="711"/>
      <c r="I30856" s="711"/>
      <c r="J30856" s="711"/>
      <c r="K30856" s="711"/>
      <c r="L30856" s="711"/>
      <c r="Q30856" s="11"/>
      <c r="R30856" s="11"/>
      <c r="S30856" s="11"/>
      <c r="T30856" s="11"/>
    </row>
    <row r="30857" spans="8:20" x14ac:dyDescent="0.35">
      <c r="H30857" s="711"/>
      <c r="I30857" s="711"/>
      <c r="J30857" s="711"/>
      <c r="K30857" s="711"/>
      <c r="L30857" s="711"/>
      <c r="Q30857" s="11"/>
      <c r="R30857" s="11"/>
      <c r="S30857" s="11"/>
      <c r="T30857" s="11"/>
    </row>
    <row r="30858" spans="8:20" x14ac:dyDescent="0.35">
      <c r="H30858" s="711"/>
      <c r="I30858" s="711"/>
      <c r="J30858" s="711"/>
      <c r="K30858" s="711"/>
      <c r="L30858" s="711"/>
      <c r="Q30858" s="11"/>
      <c r="R30858" s="11"/>
      <c r="S30858" s="11"/>
      <c r="T30858" s="11"/>
    </row>
    <row r="30859" spans="8:20" x14ac:dyDescent="0.35">
      <c r="H30859" s="711"/>
      <c r="I30859" s="711"/>
      <c r="J30859" s="711"/>
      <c r="K30859" s="711"/>
      <c r="L30859" s="711"/>
      <c r="Q30859" s="11"/>
      <c r="R30859" s="11"/>
      <c r="S30859" s="11"/>
      <c r="T30859" s="11"/>
    </row>
    <row r="30860" spans="8:20" x14ac:dyDescent="0.35">
      <c r="H30860" s="711"/>
      <c r="I30860" s="711"/>
      <c r="J30860" s="711"/>
      <c r="K30860" s="711"/>
      <c r="L30860" s="711"/>
      <c r="Q30860" s="11"/>
      <c r="R30860" s="11"/>
      <c r="S30860" s="11"/>
      <c r="T30860" s="11"/>
    </row>
    <row r="30861" spans="8:20" x14ac:dyDescent="0.35">
      <c r="H30861" s="711"/>
      <c r="I30861" s="711"/>
      <c r="J30861" s="711"/>
      <c r="K30861" s="711"/>
      <c r="L30861" s="711"/>
      <c r="Q30861" s="11"/>
      <c r="R30861" s="11"/>
      <c r="S30861" s="11"/>
      <c r="T30861" s="11"/>
    </row>
    <row r="30862" spans="8:20" x14ac:dyDescent="0.35">
      <c r="H30862" s="711"/>
      <c r="I30862" s="711"/>
      <c r="J30862" s="711"/>
      <c r="K30862" s="711"/>
      <c r="L30862" s="711"/>
      <c r="Q30862" s="11"/>
      <c r="R30862" s="11"/>
      <c r="S30862" s="11"/>
      <c r="T30862" s="11"/>
    </row>
    <row r="30863" spans="8:20" x14ac:dyDescent="0.35">
      <c r="H30863" s="711"/>
      <c r="I30863" s="711"/>
      <c r="J30863" s="711"/>
      <c r="K30863" s="711"/>
      <c r="L30863" s="711"/>
      <c r="Q30863" s="11"/>
      <c r="R30863" s="11"/>
      <c r="S30863" s="11"/>
      <c r="T30863" s="11"/>
    </row>
    <row r="30864" spans="8:20" x14ac:dyDescent="0.35">
      <c r="H30864" s="711"/>
      <c r="I30864" s="711"/>
      <c r="J30864" s="711"/>
      <c r="K30864" s="711"/>
      <c r="L30864" s="711"/>
      <c r="Q30864" s="11"/>
      <c r="R30864" s="11"/>
      <c r="S30864" s="11"/>
      <c r="T30864" s="11"/>
    </row>
    <row r="30865" spans="8:20" x14ac:dyDescent="0.35">
      <c r="H30865" s="711"/>
      <c r="I30865" s="711"/>
      <c r="J30865" s="711"/>
      <c r="K30865" s="711"/>
      <c r="L30865" s="711"/>
      <c r="Q30865" s="11"/>
      <c r="R30865" s="11"/>
      <c r="S30865" s="11"/>
      <c r="T30865" s="11"/>
    </row>
    <row r="30866" spans="8:20" x14ac:dyDescent="0.35">
      <c r="H30866" s="711"/>
      <c r="I30866" s="711"/>
      <c r="J30866" s="711"/>
      <c r="K30866" s="711"/>
      <c r="L30866" s="711"/>
      <c r="Q30866" s="11"/>
      <c r="R30866" s="11"/>
      <c r="S30866" s="11"/>
      <c r="T30866" s="11"/>
    </row>
    <row r="30867" spans="8:20" x14ac:dyDescent="0.35">
      <c r="H30867" s="711"/>
      <c r="I30867" s="711"/>
      <c r="J30867" s="711"/>
      <c r="K30867" s="711"/>
      <c r="L30867" s="711"/>
      <c r="Q30867" s="11"/>
      <c r="R30867" s="11"/>
      <c r="S30867" s="11"/>
      <c r="T30867" s="11"/>
    </row>
    <row r="30868" spans="8:20" x14ac:dyDescent="0.35">
      <c r="H30868" s="711"/>
      <c r="I30868" s="711"/>
      <c r="J30868" s="711"/>
      <c r="K30868" s="711"/>
      <c r="L30868" s="711"/>
      <c r="Q30868" s="11"/>
      <c r="R30868" s="11"/>
      <c r="S30868" s="11"/>
      <c r="T30868" s="11"/>
    </row>
    <row r="30869" spans="8:20" x14ac:dyDescent="0.35">
      <c r="H30869" s="711"/>
      <c r="I30869" s="711"/>
      <c r="J30869" s="711"/>
      <c r="K30869" s="711"/>
      <c r="L30869" s="711"/>
      <c r="Q30869" s="11"/>
      <c r="R30869" s="11"/>
      <c r="S30869" s="11"/>
      <c r="T30869" s="11"/>
    </row>
    <row r="30870" spans="8:20" x14ac:dyDescent="0.35">
      <c r="H30870" s="711"/>
      <c r="I30870" s="711"/>
      <c r="J30870" s="711"/>
      <c r="K30870" s="711"/>
      <c r="L30870" s="711"/>
      <c r="Q30870" s="11"/>
      <c r="R30870" s="11"/>
      <c r="S30870" s="11"/>
      <c r="T30870" s="11"/>
    </row>
    <row r="30871" spans="8:20" x14ac:dyDescent="0.35">
      <c r="H30871" s="711"/>
      <c r="I30871" s="711"/>
      <c r="J30871" s="711"/>
      <c r="K30871" s="711"/>
      <c r="L30871" s="711"/>
      <c r="Q30871" s="11"/>
      <c r="R30871" s="11"/>
      <c r="S30871" s="11"/>
      <c r="T30871" s="11"/>
    </row>
    <row r="30872" spans="8:20" x14ac:dyDescent="0.35">
      <c r="H30872" s="711"/>
      <c r="I30872" s="711"/>
      <c r="J30872" s="711"/>
      <c r="K30872" s="711"/>
      <c r="L30872" s="711"/>
      <c r="Q30872" s="11"/>
      <c r="R30872" s="11"/>
      <c r="S30872" s="11"/>
      <c r="T30872" s="11"/>
    </row>
    <row r="30873" spans="8:20" x14ac:dyDescent="0.35">
      <c r="H30873" s="711"/>
      <c r="I30873" s="711"/>
      <c r="J30873" s="711"/>
      <c r="K30873" s="711"/>
      <c r="L30873" s="711"/>
      <c r="Q30873" s="11"/>
      <c r="R30873" s="11"/>
      <c r="S30873" s="11"/>
      <c r="T30873" s="11"/>
    </row>
    <row r="30874" spans="8:20" x14ac:dyDescent="0.35">
      <c r="H30874" s="711"/>
      <c r="I30874" s="711"/>
      <c r="J30874" s="711"/>
      <c r="K30874" s="711"/>
      <c r="L30874" s="711"/>
      <c r="Q30874" s="11"/>
      <c r="R30874" s="11"/>
      <c r="S30874" s="11"/>
      <c r="T30874" s="11"/>
    </row>
    <row r="30875" spans="8:20" x14ac:dyDescent="0.35">
      <c r="H30875" s="711"/>
      <c r="I30875" s="711"/>
      <c r="J30875" s="711"/>
      <c r="K30875" s="711"/>
      <c r="L30875" s="711"/>
      <c r="Q30875" s="11"/>
      <c r="R30875" s="11"/>
      <c r="S30875" s="11"/>
      <c r="T30875" s="11"/>
    </row>
    <row r="30876" spans="8:20" x14ac:dyDescent="0.35">
      <c r="H30876" s="711"/>
      <c r="I30876" s="711"/>
      <c r="J30876" s="711"/>
      <c r="K30876" s="711"/>
      <c r="L30876" s="711"/>
      <c r="Q30876" s="11"/>
      <c r="R30876" s="11"/>
      <c r="S30876" s="11"/>
      <c r="T30876" s="11"/>
    </row>
    <row r="30877" spans="8:20" x14ac:dyDescent="0.35">
      <c r="H30877" s="711"/>
      <c r="I30877" s="711"/>
      <c r="J30877" s="711"/>
      <c r="K30877" s="711"/>
      <c r="L30877" s="711"/>
      <c r="Q30877" s="11"/>
      <c r="R30877" s="11"/>
      <c r="S30877" s="11"/>
      <c r="T30877" s="11"/>
    </row>
    <row r="30878" spans="8:20" x14ac:dyDescent="0.35">
      <c r="H30878" s="711"/>
      <c r="I30878" s="711"/>
      <c r="J30878" s="711"/>
      <c r="K30878" s="711"/>
      <c r="L30878" s="711"/>
      <c r="Q30878" s="11"/>
      <c r="R30878" s="11"/>
      <c r="S30878" s="11"/>
      <c r="T30878" s="11"/>
    </row>
    <row r="30879" spans="8:20" x14ac:dyDescent="0.35">
      <c r="H30879" s="711"/>
      <c r="I30879" s="711"/>
      <c r="J30879" s="711"/>
      <c r="K30879" s="711"/>
      <c r="L30879" s="711"/>
      <c r="Q30879" s="11"/>
      <c r="R30879" s="11"/>
      <c r="S30879" s="11"/>
      <c r="T30879" s="11"/>
    </row>
    <row r="30880" spans="8:20" x14ac:dyDescent="0.35">
      <c r="H30880" s="711"/>
      <c r="I30880" s="711"/>
      <c r="J30880" s="711"/>
      <c r="K30880" s="711"/>
      <c r="L30880" s="711"/>
      <c r="Q30880" s="11"/>
      <c r="R30880" s="11"/>
      <c r="S30880" s="11"/>
      <c r="T30880" s="11"/>
    </row>
    <row r="30881" spans="8:20" x14ac:dyDescent="0.35">
      <c r="H30881" s="711"/>
      <c r="I30881" s="711"/>
      <c r="J30881" s="711"/>
      <c r="K30881" s="711"/>
      <c r="L30881" s="711"/>
      <c r="Q30881" s="11"/>
      <c r="R30881" s="11"/>
      <c r="S30881" s="11"/>
      <c r="T30881" s="11"/>
    </row>
    <row r="30882" spans="8:20" x14ac:dyDescent="0.35">
      <c r="H30882" s="711"/>
      <c r="I30882" s="711"/>
      <c r="J30882" s="711"/>
      <c r="K30882" s="711"/>
      <c r="L30882" s="711"/>
      <c r="Q30882" s="11"/>
      <c r="R30882" s="11"/>
      <c r="S30882" s="11"/>
      <c r="T30882" s="11"/>
    </row>
    <row r="30883" spans="8:20" x14ac:dyDescent="0.35">
      <c r="H30883" s="711"/>
      <c r="I30883" s="711"/>
      <c r="J30883" s="711"/>
      <c r="K30883" s="711"/>
      <c r="L30883" s="711"/>
      <c r="Q30883" s="11"/>
      <c r="R30883" s="11"/>
      <c r="S30883" s="11"/>
      <c r="T30883" s="11"/>
    </row>
    <row r="30884" spans="8:20" x14ac:dyDescent="0.35">
      <c r="H30884" s="711"/>
      <c r="I30884" s="711"/>
      <c r="J30884" s="711"/>
      <c r="K30884" s="711"/>
      <c r="L30884" s="711"/>
      <c r="Q30884" s="11"/>
      <c r="R30884" s="11"/>
      <c r="S30884" s="11"/>
      <c r="T30884" s="11"/>
    </row>
    <row r="30885" spans="8:20" x14ac:dyDescent="0.35">
      <c r="H30885" s="711"/>
      <c r="I30885" s="711"/>
      <c r="J30885" s="711"/>
      <c r="K30885" s="711"/>
      <c r="L30885" s="711"/>
      <c r="Q30885" s="11"/>
      <c r="R30885" s="11"/>
      <c r="S30885" s="11"/>
      <c r="T30885" s="11"/>
    </row>
    <row r="30886" spans="8:20" x14ac:dyDescent="0.35">
      <c r="H30886" s="711"/>
      <c r="I30886" s="711"/>
      <c r="J30886" s="711"/>
      <c r="K30886" s="711"/>
      <c r="L30886" s="711"/>
      <c r="Q30886" s="11"/>
      <c r="R30886" s="11"/>
      <c r="S30886" s="11"/>
      <c r="T30886" s="11"/>
    </row>
    <row r="30887" spans="8:20" x14ac:dyDescent="0.35">
      <c r="H30887" s="711"/>
      <c r="I30887" s="711"/>
      <c r="J30887" s="711"/>
      <c r="K30887" s="711"/>
      <c r="L30887" s="711"/>
      <c r="Q30887" s="11"/>
      <c r="R30887" s="11"/>
      <c r="S30887" s="11"/>
      <c r="T30887" s="11"/>
    </row>
    <row r="30888" spans="8:20" x14ac:dyDescent="0.35">
      <c r="H30888" s="711"/>
      <c r="I30888" s="711"/>
      <c r="J30888" s="711"/>
      <c r="K30888" s="711"/>
      <c r="L30888" s="711"/>
      <c r="Q30888" s="11"/>
      <c r="R30888" s="11"/>
      <c r="S30888" s="11"/>
      <c r="T30888" s="11"/>
    </row>
    <row r="30889" spans="8:20" x14ac:dyDescent="0.35">
      <c r="H30889" s="711"/>
      <c r="I30889" s="711"/>
      <c r="J30889" s="711"/>
      <c r="K30889" s="711"/>
      <c r="L30889" s="711"/>
      <c r="Q30889" s="11"/>
      <c r="R30889" s="11"/>
      <c r="S30889" s="11"/>
      <c r="T30889" s="11"/>
    </row>
    <row r="30890" spans="8:20" x14ac:dyDescent="0.35">
      <c r="H30890" s="711"/>
      <c r="I30890" s="711"/>
      <c r="J30890" s="711"/>
      <c r="K30890" s="711"/>
      <c r="L30890" s="711"/>
      <c r="Q30890" s="11"/>
      <c r="R30890" s="11"/>
      <c r="S30890" s="11"/>
      <c r="T30890" s="11"/>
    </row>
    <row r="30891" spans="8:20" x14ac:dyDescent="0.35">
      <c r="H30891" s="711"/>
      <c r="I30891" s="711"/>
      <c r="J30891" s="711"/>
      <c r="K30891" s="711"/>
      <c r="L30891" s="711"/>
      <c r="Q30891" s="11"/>
      <c r="R30891" s="11"/>
      <c r="S30891" s="11"/>
      <c r="T30891" s="11"/>
    </row>
    <row r="30892" spans="8:20" x14ac:dyDescent="0.35">
      <c r="H30892" s="711"/>
      <c r="I30892" s="711"/>
      <c r="J30892" s="711"/>
      <c r="K30892" s="711"/>
      <c r="L30892" s="711"/>
      <c r="Q30892" s="11"/>
      <c r="R30892" s="11"/>
      <c r="S30892" s="11"/>
      <c r="T30892" s="11"/>
    </row>
    <row r="30893" spans="8:20" x14ac:dyDescent="0.35">
      <c r="H30893" s="711"/>
      <c r="I30893" s="711"/>
      <c r="J30893" s="711"/>
      <c r="K30893" s="711"/>
      <c r="L30893" s="711"/>
      <c r="Q30893" s="11"/>
      <c r="R30893" s="11"/>
      <c r="S30893" s="11"/>
      <c r="T30893" s="11"/>
    </row>
    <row r="30894" spans="8:20" x14ac:dyDescent="0.35">
      <c r="H30894" s="711"/>
      <c r="I30894" s="711"/>
      <c r="J30894" s="711"/>
      <c r="K30894" s="711"/>
      <c r="L30894" s="711"/>
      <c r="Q30894" s="11"/>
      <c r="R30894" s="11"/>
      <c r="S30894" s="11"/>
      <c r="T30894" s="11"/>
    </row>
    <row r="30895" spans="8:20" x14ac:dyDescent="0.35">
      <c r="H30895" s="711"/>
      <c r="I30895" s="711"/>
      <c r="J30895" s="711"/>
      <c r="K30895" s="711"/>
      <c r="L30895" s="711"/>
      <c r="Q30895" s="11"/>
      <c r="R30895" s="11"/>
      <c r="S30895" s="11"/>
      <c r="T30895" s="11"/>
    </row>
    <row r="30896" spans="8:20" x14ac:dyDescent="0.35">
      <c r="H30896" s="711"/>
      <c r="I30896" s="711"/>
      <c r="J30896" s="711"/>
      <c r="K30896" s="711"/>
      <c r="L30896" s="711"/>
      <c r="Q30896" s="11"/>
      <c r="R30896" s="11"/>
      <c r="S30896" s="11"/>
      <c r="T30896" s="11"/>
    </row>
    <row r="30897" spans="8:20" x14ac:dyDescent="0.35">
      <c r="H30897" s="711"/>
      <c r="I30897" s="711"/>
      <c r="J30897" s="711"/>
      <c r="K30897" s="711"/>
      <c r="L30897" s="711"/>
      <c r="Q30897" s="11"/>
      <c r="R30897" s="11"/>
      <c r="S30897" s="11"/>
      <c r="T30897" s="11"/>
    </row>
    <row r="30898" spans="8:20" x14ac:dyDescent="0.35">
      <c r="H30898" s="711"/>
      <c r="I30898" s="711"/>
      <c r="J30898" s="711"/>
      <c r="K30898" s="711"/>
      <c r="L30898" s="711"/>
      <c r="Q30898" s="11"/>
      <c r="R30898" s="11"/>
      <c r="S30898" s="11"/>
      <c r="T30898" s="11"/>
    </row>
    <row r="30899" spans="8:20" x14ac:dyDescent="0.35">
      <c r="H30899" s="711"/>
      <c r="I30899" s="711"/>
      <c r="J30899" s="711"/>
      <c r="K30899" s="711"/>
      <c r="L30899" s="711"/>
      <c r="Q30899" s="11"/>
      <c r="R30899" s="11"/>
      <c r="S30899" s="11"/>
      <c r="T30899" s="11"/>
    </row>
    <row r="30900" spans="8:20" x14ac:dyDescent="0.35">
      <c r="H30900" s="711"/>
      <c r="I30900" s="711"/>
      <c r="J30900" s="711"/>
      <c r="K30900" s="711"/>
      <c r="L30900" s="711"/>
      <c r="Q30900" s="11"/>
      <c r="R30900" s="11"/>
      <c r="S30900" s="11"/>
      <c r="T30900" s="11"/>
    </row>
    <row r="30901" spans="8:20" x14ac:dyDescent="0.35">
      <c r="H30901" s="711"/>
      <c r="I30901" s="711"/>
      <c r="J30901" s="711"/>
      <c r="K30901" s="711"/>
      <c r="L30901" s="711"/>
      <c r="Q30901" s="11"/>
      <c r="R30901" s="11"/>
      <c r="S30901" s="11"/>
      <c r="T30901" s="11"/>
    </row>
    <row r="30902" spans="8:20" x14ac:dyDescent="0.35">
      <c r="H30902" s="711"/>
      <c r="I30902" s="711"/>
      <c r="J30902" s="711"/>
      <c r="K30902" s="711"/>
      <c r="L30902" s="711"/>
      <c r="Q30902" s="11"/>
      <c r="R30902" s="11"/>
      <c r="S30902" s="11"/>
      <c r="T30902" s="11"/>
    </row>
    <row r="30903" spans="8:20" x14ac:dyDescent="0.35">
      <c r="H30903" s="711"/>
      <c r="I30903" s="711"/>
      <c r="J30903" s="711"/>
      <c r="K30903" s="711"/>
      <c r="L30903" s="711"/>
      <c r="Q30903" s="11"/>
      <c r="R30903" s="11"/>
      <c r="S30903" s="11"/>
      <c r="T30903" s="11"/>
    </row>
    <row r="30904" spans="8:20" x14ac:dyDescent="0.35">
      <c r="H30904" s="711"/>
      <c r="I30904" s="711"/>
      <c r="J30904" s="711"/>
      <c r="K30904" s="711"/>
      <c r="L30904" s="711"/>
      <c r="Q30904" s="11"/>
      <c r="R30904" s="11"/>
      <c r="S30904" s="11"/>
      <c r="T30904" s="11"/>
    </row>
    <row r="30905" spans="8:20" x14ac:dyDescent="0.35">
      <c r="H30905" s="711"/>
      <c r="I30905" s="711"/>
      <c r="J30905" s="711"/>
      <c r="K30905" s="711"/>
      <c r="L30905" s="711"/>
      <c r="Q30905" s="11"/>
      <c r="R30905" s="11"/>
      <c r="S30905" s="11"/>
      <c r="T30905" s="11"/>
    </row>
    <row r="30906" spans="8:20" x14ac:dyDescent="0.35">
      <c r="H30906" s="711"/>
      <c r="I30906" s="711"/>
      <c r="J30906" s="711"/>
      <c r="K30906" s="711"/>
      <c r="L30906" s="711"/>
      <c r="Q30906" s="11"/>
      <c r="R30906" s="11"/>
      <c r="S30906" s="11"/>
      <c r="T30906" s="11"/>
    </row>
    <row r="30907" spans="8:20" x14ac:dyDescent="0.35">
      <c r="H30907" s="711"/>
      <c r="I30907" s="711"/>
      <c r="J30907" s="711"/>
      <c r="K30907" s="711"/>
      <c r="L30907" s="711"/>
      <c r="Q30907" s="11"/>
      <c r="R30907" s="11"/>
      <c r="S30907" s="11"/>
      <c r="T30907" s="11"/>
    </row>
    <row r="30908" spans="8:20" x14ac:dyDescent="0.35">
      <c r="H30908" s="711"/>
      <c r="I30908" s="711"/>
      <c r="J30908" s="711"/>
      <c r="K30908" s="711"/>
      <c r="L30908" s="711"/>
      <c r="Q30908" s="11"/>
      <c r="R30908" s="11"/>
      <c r="S30908" s="11"/>
      <c r="T30908" s="11"/>
    </row>
    <row r="30909" spans="8:20" x14ac:dyDescent="0.35">
      <c r="H30909" s="711"/>
      <c r="I30909" s="711"/>
      <c r="J30909" s="711"/>
      <c r="K30909" s="711"/>
      <c r="L30909" s="711"/>
      <c r="Q30909" s="11"/>
      <c r="R30909" s="11"/>
      <c r="S30909" s="11"/>
      <c r="T30909" s="11"/>
    </row>
    <row r="30910" spans="8:20" x14ac:dyDescent="0.35">
      <c r="H30910" s="711"/>
      <c r="I30910" s="711"/>
      <c r="J30910" s="711"/>
      <c r="K30910" s="711"/>
      <c r="L30910" s="711"/>
      <c r="Q30910" s="11"/>
      <c r="R30910" s="11"/>
      <c r="S30910" s="11"/>
      <c r="T30910" s="11"/>
    </row>
    <row r="30911" spans="8:20" x14ac:dyDescent="0.35">
      <c r="H30911" s="711"/>
      <c r="I30911" s="711"/>
      <c r="J30911" s="711"/>
      <c r="K30911" s="711"/>
      <c r="L30911" s="711"/>
      <c r="Q30911" s="11"/>
      <c r="R30911" s="11"/>
      <c r="S30911" s="11"/>
      <c r="T30911" s="11"/>
    </row>
    <row r="30912" spans="8:20" x14ac:dyDescent="0.35">
      <c r="H30912" s="711"/>
      <c r="I30912" s="711"/>
      <c r="J30912" s="711"/>
      <c r="K30912" s="711"/>
      <c r="L30912" s="711"/>
      <c r="Q30912" s="11"/>
      <c r="R30912" s="11"/>
      <c r="S30912" s="11"/>
      <c r="T30912" s="11"/>
    </row>
    <row r="30913" spans="8:20" x14ac:dyDescent="0.35">
      <c r="H30913" s="711"/>
      <c r="I30913" s="711"/>
      <c r="J30913" s="711"/>
      <c r="K30913" s="711"/>
      <c r="L30913" s="711"/>
      <c r="Q30913" s="11"/>
      <c r="R30913" s="11"/>
      <c r="S30913" s="11"/>
      <c r="T30913" s="11"/>
    </row>
    <row r="30914" spans="8:20" x14ac:dyDescent="0.35">
      <c r="H30914" s="711"/>
      <c r="I30914" s="711"/>
      <c r="J30914" s="711"/>
      <c r="K30914" s="711"/>
      <c r="L30914" s="711"/>
      <c r="Q30914" s="11"/>
      <c r="R30914" s="11"/>
      <c r="S30914" s="11"/>
      <c r="T30914" s="11"/>
    </row>
    <row r="30915" spans="8:20" x14ac:dyDescent="0.35">
      <c r="H30915" s="711"/>
      <c r="I30915" s="711"/>
      <c r="J30915" s="711"/>
      <c r="K30915" s="711"/>
      <c r="L30915" s="711"/>
      <c r="Q30915" s="11"/>
      <c r="R30915" s="11"/>
      <c r="S30915" s="11"/>
      <c r="T30915" s="11"/>
    </row>
    <row r="30916" spans="8:20" x14ac:dyDescent="0.35">
      <c r="H30916" s="711"/>
      <c r="I30916" s="711"/>
      <c r="J30916" s="711"/>
      <c r="K30916" s="711"/>
      <c r="L30916" s="711"/>
      <c r="Q30916" s="11"/>
      <c r="R30916" s="11"/>
      <c r="S30916" s="11"/>
      <c r="T30916" s="11"/>
    </row>
    <row r="30917" spans="8:20" x14ac:dyDescent="0.35">
      <c r="H30917" s="711"/>
      <c r="I30917" s="711"/>
      <c r="J30917" s="711"/>
      <c r="K30917" s="711"/>
      <c r="L30917" s="711"/>
      <c r="Q30917" s="11"/>
      <c r="R30917" s="11"/>
      <c r="S30917" s="11"/>
      <c r="T30917" s="11"/>
    </row>
    <row r="30918" spans="8:20" x14ac:dyDescent="0.35">
      <c r="H30918" s="711"/>
      <c r="I30918" s="711"/>
      <c r="J30918" s="711"/>
      <c r="K30918" s="711"/>
      <c r="L30918" s="711"/>
      <c r="Q30918" s="11"/>
      <c r="R30918" s="11"/>
      <c r="S30918" s="11"/>
      <c r="T30918" s="11"/>
    </row>
    <row r="30919" spans="8:20" x14ac:dyDescent="0.35">
      <c r="H30919" s="711"/>
      <c r="I30919" s="711"/>
      <c r="J30919" s="711"/>
      <c r="K30919" s="711"/>
      <c r="L30919" s="711"/>
      <c r="Q30919" s="11"/>
      <c r="R30919" s="11"/>
      <c r="S30919" s="11"/>
      <c r="T30919" s="11"/>
    </row>
    <row r="30920" spans="8:20" x14ac:dyDescent="0.35">
      <c r="H30920" s="711"/>
      <c r="I30920" s="711"/>
      <c r="J30920" s="711"/>
      <c r="K30920" s="711"/>
      <c r="L30920" s="711"/>
      <c r="Q30920" s="11"/>
      <c r="R30920" s="11"/>
      <c r="S30920" s="11"/>
      <c r="T30920" s="11"/>
    </row>
    <row r="30921" spans="8:20" x14ac:dyDescent="0.35">
      <c r="H30921" s="711"/>
      <c r="I30921" s="711"/>
      <c r="J30921" s="711"/>
      <c r="K30921" s="711"/>
      <c r="L30921" s="711"/>
      <c r="Q30921" s="11"/>
      <c r="R30921" s="11"/>
      <c r="S30921" s="11"/>
      <c r="T30921" s="11"/>
    </row>
    <row r="30922" spans="8:20" x14ac:dyDescent="0.35">
      <c r="H30922" s="711"/>
      <c r="I30922" s="711"/>
      <c r="J30922" s="711"/>
      <c r="K30922" s="711"/>
      <c r="L30922" s="711"/>
      <c r="Q30922" s="11"/>
      <c r="R30922" s="11"/>
      <c r="S30922" s="11"/>
      <c r="T30922" s="11"/>
    </row>
    <row r="30923" spans="8:20" x14ac:dyDescent="0.35">
      <c r="H30923" s="711"/>
      <c r="I30923" s="711"/>
      <c r="J30923" s="711"/>
      <c r="K30923" s="711"/>
      <c r="L30923" s="711"/>
      <c r="Q30923" s="11"/>
      <c r="R30923" s="11"/>
      <c r="S30923" s="11"/>
      <c r="T30923" s="11"/>
    </row>
    <row r="30924" spans="8:20" x14ac:dyDescent="0.35">
      <c r="H30924" s="711"/>
      <c r="I30924" s="711"/>
      <c r="J30924" s="711"/>
      <c r="K30924" s="711"/>
      <c r="L30924" s="711"/>
      <c r="Q30924" s="11"/>
      <c r="R30924" s="11"/>
      <c r="S30924" s="11"/>
      <c r="T30924" s="11"/>
    </row>
    <row r="30925" spans="8:20" x14ac:dyDescent="0.35">
      <c r="H30925" s="711"/>
      <c r="I30925" s="711"/>
      <c r="J30925" s="711"/>
      <c r="K30925" s="711"/>
      <c r="L30925" s="711"/>
      <c r="Q30925" s="11"/>
      <c r="R30925" s="11"/>
      <c r="S30925" s="11"/>
      <c r="T30925" s="11"/>
    </row>
    <row r="30926" spans="8:20" x14ac:dyDescent="0.35">
      <c r="H30926" s="711"/>
      <c r="I30926" s="711"/>
      <c r="J30926" s="711"/>
      <c r="K30926" s="711"/>
      <c r="L30926" s="711"/>
      <c r="Q30926" s="11"/>
      <c r="R30926" s="11"/>
      <c r="S30926" s="11"/>
      <c r="T30926" s="11"/>
    </row>
    <row r="30927" spans="8:20" x14ac:dyDescent="0.35">
      <c r="H30927" s="711"/>
      <c r="I30927" s="711"/>
      <c r="J30927" s="711"/>
      <c r="K30927" s="711"/>
      <c r="L30927" s="711"/>
      <c r="Q30927" s="11"/>
      <c r="R30927" s="11"/>
      <c r="S30927" s="11"/>
      <c r="T30927" s="11"/>
    </row>
    <row r="30928" spans="8:20" x14ac:dyDescent="0.35">
      <c r="H30928" s="711"/>
      <c r="I30928" s="711"/>
      <c r="J30928" s="711"/>
      <c r="K30928" s="711"/>
      <c r="L30928" s="711"/>
      <c r="Q30928" s="11"/>
      <c r="R30928" s="11"/>
      <c r="S30928" s="11"/>
      <c r="T30928" s="11"/>
    </row>
    <row r="30929" spans="8:20" x14ac:dyDescent="0.35">
      <c r="H30929" s="711"/>
      <c r="I30929" s="711"/>
      <c r="J30929" s="711"/>
      <c r="K30929" s="711"/>
      <c r="L30929" s="711"/>
      <c r="Q30929" s="11"/>
      <c r="R30929" s="11"/>
      <c r="S30929" s="11"/>
      <c r="T30929" s="11"/>
    </row>
    <row r="30930" spans="8:20" x14ac:dyDescent="0.35">
      <c r="H30930" s="711"/>
      <c r="I30930" s="711"/>
      <c r="J30930" s="711"/>
      <c r="K30930" s="711"/>
      <c r="L30930" s="711"/>
      <c r="Q30930" s="11"/>
      <c r="R30930" s="11"/>
      <c r="S30930" s="11"/>
      <c r="T30930" s="11"/>
    </row>
    <row r="30931" spans="8:20" x14ac:dyDescent="0.35">
      <c r="H30931" s="711"/>
      <c r="I30931" s="711"/>
      <c r="J30931" s="711"/>
      <c r="K30931" s="711"/>
      <c r="L30931" s="711"/>
      <c r="Q30931" s="11"/>
      <c r="R30931" s="11"/>
      <c r="S30931" s="11"/>
      <c r="T30931" s="11"/>
    </row>
    <row r="30932" spans="8:20" x14ac:dyDescent="0.35">
      <c r="H30932" s="711"/>
      <c r="I30932" s="711"/>
      <c r="J30932" s="711"/>
      <c r="K30932" s="711"/>
      <c r="L30932" s="711"/>
      <c r="Q30932" s="11"/>
      <c r="R30932" s="11"/>
      <c r="S30932" s="11"/>
      <c r="T30932" s="11"/>
    </row>
    <row r="30933" spans="8:20" x14ac:dyDescent="0.35">
      <c r="H30933" s="711"/>
      <c r="I30933" s="711"/>
      <c r="J30933" s="711"/>
      <c r="K30933" s="711"/>
      <c r="L30933" s="711"/>
      <c r="Q30933" s="11"/>
      <c r="R30933" s="11"/>
      <c r="S30933" s="11"/>
      <c r="T30933" s="11"/>
    </row>
    <row r="30934" spans="8:20" x14ac:dyDescent="0.35">
      <c r="H30934" s="711"/>
      <c r="I30934" s="711"/>
      <c r="J30934" s="711"/>
      <c r="K30934" s="711"/>
      <c r="L30934" s="711"/>
      <c r="Q30934" s="11"/>
      <c r="R30934" s="11"/>
      <c r="S30934" s="11"/>
      <c r="T30934" s="11"/>
    </row>
    <row r="30935" spans="8:20" x14ac:dyDescent="0.35">
      <c r="H30935" s="711"/>
      <c r="I30935" s="711"/>
      <c r="J30935" s="711"/>
      <c r="K30935" s="711"/>
      <c r="L30935" s="711"/>
      <c r="Q30935" s="11"/>
      <c r="R30935" s="11"/>
      <c r="S30935" s="11"/>
      <c r="T30935" s="11"/>
    </row>
    <row r="30936" spans="8:20" x14ac:dyDescent="0.35">
      <c r="H30936" s="711"/>
      <c r="I30936" s="711"/>
      <c r="J30936" s="711"/>
      <c r="K30936" s="711"/>
      <c r="L30936" s="711"/>
      <c r="Q30936" s="11"/>
      <c r="R30936" s="11"/>
      <c r="S30936" s="11"/>
      <c r="T30936" s="11"/>
    </row>
    <row r="30937" spans="8:20" x14ac:dyDescent="0.35">
      <c r="H30937" s="711"/>
      <c r="I30937" s="711"/>
      <c r="J30937" s="711"/>
      <c r="K30937" s="711"/>
      <c r="L30937" s="711"/>
      <c r="Q30937" s="11"/>
      <c r="R30937" s="11"/>
      <c r="S30937" s="11"/>
      <c r="T30937" s="11"/>
    </row>
    <row r="30938" spans="8:20" x14ac:dyDescent="0.35">
      <c r="H30938" s="711"/>
      <c r="I30938" s="711"/>
      <c r="J30938" s="711"/>
      <c r="K30938" s="711"/>
      <c r="L30938" s="711"/>
      <c r="Q30938" s="11"/>
      <c r="R30938" s="11"/>
      <c r="S30938" s="11"/>
      <c r="T30938" s="11"/>
    </row>
    <row r="30939" spans="8:20" x14ac:dyDescent="0.35">
      <c r="H30939" s="711"/>
      <c r="I30939" s="711"/>
      <c r="J30939" s="711"/>
      <c r="K30939" s="711"/>
      <c r="L30939" s="711"/>
      <c r="Q30939" s="11"/>
      <c r="R30939" s="11"/>
      <c r="S30939" s="11"/>
      <c r="T30939" s="11"/>
    </row>
    <row r="30940" spans="8:20" x14ac:dyDescent="0.35">
      <c r="H30940" s="711"/>
      <c r="I30940" s="711"/>
      <c r="J30940" s="711"/>
      <c r="K30940" s="711"/>
      <c r="L30940" s="711"/>
      <c r="Q30940" s="11"/>
      <c r="R30940" s="11"/>
      <c r="S30940" s="11"/>
      <c r="T30940" s="11"/>
    </row>
    <row r="30941" spans="8:20" x14ac:dyDescent="0.35">
      <c r="H30941" s="711"/>
      <c r="I30941" s="711"/>
      <c r="J30941" s="711"/>
      <c r="K30941" s="711"/>
      <c r="L30941" s="711"/>
      <c r="Q30941" s="11"/>
      <c r="R30941" s="11"/>
      <c r="S30941" s="11"/>
      <c r="T30941" s="11"/>
    </row>
    <row r="30942" spans="8:20" x14ac:dyDescent="0.35">
      <c r="H30942" s="711"/>
      <c r="I30942" s="711"/>
      <c r="J30942" s="711"/>
      <c r="K30942" s="711"/>
      <c r="L30942" s="711"/>
      <c r="Q30942" s="11"/>
      <c r="R30942" s="11"/>
      <c r="S30942" s="11"/>
      <c r="T30942" s="11"/>
    </row>
    <row r="30943" spans="8:20" x14ac:dyDescent="0.35">
      <c r="H30943" s="711"/>
      <c r="I30943" s="711"/>
      <c r="J30943" s="711"/>
      <c r="K30943" s="711"/>
      <c r="L30943" s="711"/>
      <c r="Q30943" s="11"/>
      <c r="R30943" s="11"/>
      <c r="S30943" s="11"/>
      <c r="T30943" s="11"/>
    </row>
    <row r="30944" spans="8:20" x14ac:dyDescent="0.35">
      <c r="H30944" s="711"/>
      <c r="I30944" s="711"/>
      <c r="J30944" s="711"/>
      <c r="K30944" s="711"/>
      <c r="L30944" s="711"/>
      <c r="Q30944" s="11"/>
      <c r="R30944" s="11"/>
      <c r="S30944" s="11"/>
      <c r="T30944" s="11"/>
    </row>
    <row r="30945" spans="8:20" x14ac:dyDescent="0.35">
      <c r="H30945" s="711"/>
      <c r="I30945" s="711"/>
      <c r="J30945" s="711"/>
      <c r="K30945" s="711"/>
      <c r="L30945" s="711"/>
      <c r="Q30945" s="11"/>
      <c r="R30945" s="11"/>
      <c r="S30945" s="11"/>
      <c r="T30945" s="11"/>
    </row>
    <row r="30946" spans="8:20" x14ac:dyDescent="0.35">
      <c r="H30946" s="711"/>
      <c r="I30946" s="711"/>
      <c r="J30946" s="711"/>
      <c r="K30946" s="711"/>
      <c r="L30946" s="711"/>
      <c r="Q30946" s="11"/>
      <c r="R30946" s="11"/>
      <c r="S30946" s="11"/>
      <c r="T30946" s="11"/>
    </row>
    <row r="30947" spans="8:20" x14ac:dyDescent="0.35">
      <c r="H30947" s="711"/>
      <c r="I30947" s="711"/>
      <c r="J30947" s="711"/>
      <c r="K30947" s="711"/>
      <c r="L30947" s="711"/>
      <c r="Q30947" s="11"/>
      <c r="R30947" s="11"/>
      <c r="S30947" s="11"/>
      <c r="T30947" s="11"/>
    </row>
    <row r="30948" spans="8:20" x14ac:dyDescent="0.35">
      <c r="H30948" s="711"/>
      <c r="I30948" s="711"/>
      <c r="J30948" s="711"/>
      <c r="K30948" s="711"/>
      <c r="L30948" s="711"/>
      <c r="Q30948" s="11"/>
      <c r="R30948" s="11"/>
      <c r="S30948" s="11"/>
      <c r="T30948" s="11"/>
    </row>
    <row r="30949" spans="8:20" x14ac:dyDescent="0.35">
      <c r="H30949" s="711"/>
      <c r="I30949" s="711"/>
      <c r="J30949" s="711"/>
      <c r="K30949" s="711"/>
      <c r="L30949" s="711"/>
      <c r="Q30949" s="11"/>
      <c r="R30949" s="11"/>
      <c r="S30949" s="11"/>
      <c r="T30949" s="11"/>
    </row>
    <row r="30950" spans="8:20" x14ac:dyDescent="0.35">
      <c r="H30950" s="711"/>
      <c r="I30950" s="711"/>
      <c r="J30950" s="711"/>
      <c r="K30950" s="711"/>
      <c r="L30950" s="711"/>
      <c r="Q30950" s="11"/>
      <c r="R30950" s="11"/>
      <c r="S30950" s="11"/>
      <c r="T30950" s="11"/>
    </row>
    <row r="30951" spans="8:20" x14ac:dyDescent="0.35">
      <c r="H30951" s="711"/>
      <c r="I30951" s="711"/>
      <c r="J30951" s="711"/>
      <c r="K30951" s="711"/>
      <c r="L30951" s="711"/>
      <c r="Q30951" s="11"/>
      <c r="R30951" s="11"/>
      <c r="S30951" s="11"/>
      <c r="T30951" s="11"/>
    </row>
    <row r="30952" spans="8:20" x14ac:dyDescent="0.35">
      <c r="H30952" s="711"/>
      <c r="I30952" s="711"/>
      <c r="J30952" s="711"/>
      <c r="K30952" s="711"/>
      <c r="L30952" s="711"/>
      <c r="Q30952" s="11"/>
      <c r="R30952" s="11"/>
      <c r="S30952" s="11"/>
      <c r="T30952" s="11"/>
    </row>
    <row r="30953" spans="8:20" x14ac:dyDescent="0.35">
      <c r="H30953" s="711"/>
      <c r="I30953" s="711"/>
      <c r="J30953" s="711"/>
      <c r="K30953" s="711"/>
      <c r="L30953" s="711"/>
      <c r="Q30953" s="11"/>
      <c r="R30953" s="11"/>
      <c r="S30953" s="11"/>
      <c r="T30953" s="11"/>
    </row>
    <row r="30954" spans="8:20" x14ac:dyDescent="0.35">
      <c r="H30954" s="711"/>
      <c r="I30954" s="711"/>
      <c r="J30954" s="711"/>
      <c r="K30954" s="711"/>
      <c r="L30954" s="711"/>
      <c r="Q30954" s="11"/>
      <c r="R30954" s="11"/>
      <c r="S30954" s="11"/>
      <c r="T30954" s="11"/>
    </row>
    <row r="30955" spans="8:20" x14ac:dyDescent="0.35">
      <c r="H30955" s="711"/>
      <c r="I30955" s="711"/>
      <c r="J30955" s="711"/>
      <c r="K30955" s="711"/>
      <c r="L30955" s="711"/>
      <c r="Q30955" s="11"/>
      <c r="R30955" s="11"/>
      <c r="S30955" s="11"/>
      <c r="T30955" s="11"/>
    </row>
    <row r="30956" spans="8:20" x14ac:dyDescent="0.35">
      <c r="H30956" s="711"/>
      <c r="I30956" s="711"/>
      <c r="J30956" s="711"/>
      <c r="K30956" s="711"/>
      <c r="L30956" s="711"/>
      <c r="Q30956" s="11"/>
      <c r="R30956" s="11"/>
      <c r="S30956" s="11"/>
      <c r="T30956" s="11"/>
    </row>
    <row r="30957" spans="8:20" x14ac:dyDescent="0.35">
      <c r="H30957" s="711"/>
      <c r="I30957" s="711"/>
      <c r="J30957" s="711"/>
      <c r="K30957" s="711"/>
      <c r="L30957" s="711"/>
      <c r="Q30957" s="11"/>
      <c r="R30957" s="11"/>
      <c r="S30957" s="11"/>
      <c r="T30957" s="11"/>
    </row>
    <row r="30958" spans="8:20" x14ac:dyDescent="0.35">
      <c r="H30958" s="711"/>
      <c r="I30958" s="711"/>
      <c r="J30958" s="711"/>
      <c r="K30958" s="711"/>
      <c r="L30958" s="711"/>
      <c r="Q30958" s="11"/>
      <c r="R30958" s="11"/>
      <c r="S30958" s="11"/>
      <c r="T30958" s="11"/>
    </row>
    <row r="30959" spans="8:20" x14ac:dyDescent="0.35">
      <c r="H30959" s="711"/>
      <c r="I30959" s="711"/>
      <c r="J30959" s="711"/>
      <c r="K30959" s="711"/>
      <c r="L30959" s="711"/>
      <c r="Q30959" s="11"/>
      <c r="R30959" s="11"/>
      <c r="S30959" s="11"/>
      <c r="T30959" s="11"/>
    </row>
    <row r="30960" spans="8:20" x14ac:dyDescent="0.35">
      <c r="H30960" s="711"/>
      <c r="I30960" s="711"/>
      <c r="J30960" s="711"/>
      <c r="K30960" s="711"/>
      <c r="L30960" s="711"/>
      <c r="Q30960" s="11"/>
      <c r="R30960" s="11"/>
      <c r="S30960" s="11"/>
      <c r="T30960" s="11"/>
    </row>
    <row r="30961" spans="8:20" x14ac:dyDescent="0.35">
      <c r="H30961" s="711"/>
      <c r="I30961" s="711"/>
      <c r="J30961" s="711"/>
      <c r="K30961" s="711"/>
      <c r="L30961" s="711"/>
      <c r="Q30961" s="11"/>
      <c r="R30961" s="11"/>
      <c r="S30961" s="11"/>
      <c r="T30961" s="11"/>
    </row>
    <row r="30962" spans="8:20" x14ac:dyDescent="0.35">
      <c r="H30962" s="711"/>
      <c r="I30962" s="711"/>
      <c r="J30962" s="711"/>
      <c r="K30962" s="711"/>
      <c r="L30962" s="711"/>
      <c r="Q30962" s="11"/>
      <c r="R30962" s="11"/>
      <c r="S30962" s="11"/>
      <c r="T30962" s="11"/>
    </row>
    <row r="30963" spans="8:20" x14ac:dyDescent="0.35">
      <c r="H30963" s="711"/>
      <c r="I30963" s="711"/>
      <c r="J30963" s="711"/>
      <c r="K30963" s="711"/>
      <c r="L30963" s="711"/>
      <c r="Q30963" s="11"/>
      <c r="R30963" s="11"/>
      <c r="S30963" s="11"/>
      <c r="T30963" s="11"/>
    </row>
    <row r="30964" spans="8:20" x14ac:dyDescent="0.35">
      <c r="H30964" s="711"/>
      <c r="I30964" s="711"/>
      <c r="J30964" s="711"/>
      <c r="K30964" s="711"/>
      <c r="L30964" s="711"/>
      <c r="Q30964" s="11"/>
      <c r="R30964" s="11"/>
      <c r="S30964" s="11"/>
      <c r="T30964" s="11"/>
    </row>
    <row r="30965" spans="8:20" x14ac:dyDescent="0.35">
      <c r="H30965" s="711"/>
      <c r="I30965" s="711"/>
      <c r="J30965" s="711"/>
      <c r="K30965" s="711"/>
      <c r="L30965" s="711"/>
      <c r="Q30965" s="11"/>
      <c r="R30965" s="11"/>
      <c r="S30965" s="11"/>
      <c r="T30965" s="11"/>
    </row>
    <row r="30966" spans="8:20" x14ac:dyDescent="0.35">
      <c r="H30966" s="711"/>
      <c r="I30966" s="711"/>
      <c r="J30966" s="711"/>
      <c r="K30966" s="711"/>
      <c r="L30966" s="711"/>
      <c r="Q30966" s="11"/>
      <c r="R30966" s="11"/>
      <c r="S30966" s="11"/>
      <c r="T30966" s="11"/>
    </row>
    <row r="30967" spans="8:20" x14ac:dyDescent="0.35">
      <c r="H30967" s="711"/>
      <c r="I30967" s="711"/>
      <c r="J30967" s="711"/>
      <c r="K30967" s="711"/>
      <c r="L30967" s="711"/>
      <c r="Q30967" s="11"/>
      <c r="R30967" s="11"/>
      <c r="S30967" s="11"/>
      <c r="T30967" s="11"/>
    </row>
    <row r="30968" spans="8:20" x14ac:dyDescent="0.35">
      <c r="H30968" s="711"/>
      <c r="I30968" s="711"/>
      <c r="J30968" s="711"/>
      <c r="K30968" s="711"/>
      <c r="L30968" s="711"/>
      <c r="Q30968" s="11"/>
      <c r="R30968" s="11"/>
      <c r="S30968" s="11"/>
      <c r="T30968" s="11"/>
    </row>
    <row r="30969" spans="8:20" x14ac:dyDescent="0.35">
      <c r="H30969" s="711"/>
      <c r="I30969" s="711"/>
      <c r="J30969" s="711"/>
      <c r="K30969" s="711"/>
      <c r="L30969" s="711"/>
      <c r="Q30969" s="11"/>
      <c r="R30969" s="11"/>
      <c r="S30969" s="11"/>
      <c r="T30969" s="11"/>
    </row>
    <row r="30970" spans="8:20" x14ac:dyDescent="0.35">
      <c r="H30970" s="711"/>
      <c r="I30970" s="711"/>
      <c r="J30970" s="711"/>
      <c r="K30970" s="711"/>
      <c r="L30970" s="711"/>
      <c r="Q30970" s="11"/>
      <c r="R30970" s="11"/>
      <c r="S30970" s="11"/>
      <c r="T30970" s="11"/>
    </row>
    <row r="30971" spans="8:20" x14ac:dyDescent="0.35">
      <c r="H30971" s="711"/>
      <c r="I30971" s="711"/>
      <c r="J30971" s="711"/>
      <c r="K30971" s="711"/>
      <c r="L30971" s="711"/>
      <c r="Q30971" s="11"/>
      <c r="R30971" s="11"/>
      <c r="S30971" s="11"/>
      <c r="T30971" s="11"/>
    </row>
    <row r="30972" spans="8:20" x14ac:dyDescent="0.35">
      <c r="H30972" s="711"/>
      <c r="I30972" s="711"/>
      <c r="J30972" s="711"/>
      <c r="K30972" s="711"/>
      <c r="L30972" s="711"/>
      <c r="Q30972" s="11"/>
      <c r="R30972" s="11"/>
      <c r="S30972" s="11"/>
      <c r="T30972" s="11"/>
    </row>
    <row r="30973" spans="8:20" x14ac:dyDescent="0.35">
      <c r="H30973" s="711"/>
      <c r="I30973" s="711"/>
      <c r="J30973" s="711"/>
      <c r="K30973" s="711"/>
      <c r="L30973" s="711"/>
      <c r="Q30973" s="11"/>
      <c r="R30973" s="11"/>
      <c r="S30973" s="11"/>
      <c r="T30973" s="11"/>
    </row>
    <row r="30974" spans="8:20" x14ac:dyDescent="0.35">
      <c r="H30974" s="711"/>
      <c r="I30974" s="711"/>
      <c r="J30974" s="711"/>
      <c r="K30974" s="711"/>
      <c r="L30974" s="711"/>
      <c r="Q30974" s="11"/>
      <c r="R30974" s="11"/>
      <c r="S30974" s="11"/>
      <c r="T30974" s="11"/>
    </row>
    <row r="30975" spans="8:20" x14ac:dyDescent="0.35">
      <c r="H30975" s="711"/>
      <c r="I30975" s="711"/>
      <c r="J30975" s="711"/>
      <c r="K30975" s="711"/>
      <c r="L30975" s="711"/>
      <c r="Q30975" s="11"/>
      <c r="R30975" s="11"/>
      <c r="S30975" s="11"/>
      <c r="T30975" s="11"/>
    </row>
    <row r="30976" spans="8:20" x14ac:dyDescent="0.35">
      <c r="H30976" s="711"/>
      <c r="I30976" s="711"/>
      <c r="J30976" s="711"/>
      <c r="K30976" s="711"/>
      <c r="L30976" s="711"/>
      <c r="Q30976" s="11"/>
      <c r="R30976" s="11"/>
      <c r="S30976" s="11"/>
      <c r="T30976" s="11"/>
    </row>
    <row r="30977" spans="8:20" x14ac:dyDescent="0.35">
      <c r="H30977" s="711"/>
      <c r="I30977" s="711"/>
      <c r="J30977" s="711"/>
      <c r="K30977" s="711"/>
      <c r="L30977" s="711"/>
      <c r="Q30977" s="11"/>
      <c r="R30977" s="11"/>
      <c r="S30977" s="11"/>
      <c r="T30977" s="11"/>
    </row>
    <row r="30978" spans="8:20" x14ac:dyDescent="0.35">
      <c r="H30978" s="711"/>
      <c r="I30978" s="711"/>
      <c r="J30978" s="711"/>
      <c r="K30978" s="711"/>
      <c r="L30978" s="711"/>
      <c r="Q30978" s="11"/>
      <c r="R30978" s="11"/>
      <c r="S30978" s="11"/>
      <c r="T30978" s="11"/>
    </row>
    <row r="30979" spans="8:20" x14ac:dyDescent="0.35">
      <c r="H30979" s="711"/>
      <c r="I30979" s="711"/>
      <c r="J30979" s="711"/>
      <c r="K30979" s="711"/>
      <c r="L30979" s="711"/>
      <c r="Q30979" s="11"/>
      <c r="R30979" s="11"/>
      <c r="S30979" s="11"/>
      <c r="T30979" s="11"/>
    </row>
    <row r="30980" spans="8:20" x14ac:dyDescent="0.35">
      <c r="H30980" s="711"/>
      <c r="I30980" s="711"/>
      <c r="J30980" s="711"/>
      <c r="K30980" s="711"/>
      <c r="L30980" s="711"/>
      <c r="Q30980" s="11"/>
      <c r="R30980" s="11"/>
      <c r="S30980" s="11"/>
      <c r="T30980" s="11"/>
    </row>
    <row r="30981" spans="8:20" x14ac:dyDescent="0.35">
      <c r="H30981" s="711"/>
      <c r="I30981" s="711"/>
      <c r="J30981" s="711"/>
      <c r="K30981" s="711"/>
      <c r="L30981" s="711"/>
      <c r="Q30981" s="11"/>
      <c r="R30981" s="11"/>
      <c r="S30981" s="11"/>
      <c r="T30981" s="11"/>
    </row>
    <row r="30982" spans="8:20" x14ac:dyDescent="0.35">
      <c r="H30982" s="711"/>
      <c r="I30982" s="711"/>
      <c r="J30982" s="711"/>
      <c r="K30982" s="711"/>
      <c r="L30982" s="711"/>
      <c r="Q30982" s="11"/>
      <c r="R30982" s="11"/>
      <c r="S30982" s="11"/>
      <c r="T30982" s="11"/>
    </row>
    <row r="30983" spans="8:20" x14ac:dyDescent="0.35">
      <c r="H30983" s="711"/>
      <c r="I30983" s="711"/>
      <c r="J30983" s="711"/>
      <c r="K30983" s="711"/>
      <c r="L30983" s="711"/>
      <c r="Q30983" s="11"/>
      <c r="R30983" s="11"/>
      <c r="S30983" s="11"/>
      <c r="T30983" s="11"/>
    </row>
    <row r="30984" spans="8:20" x14ac:dyDescent="0.35">
      <c r="H30984" s="711"/>
      <c r="I30984" s="711"/>
      <c r="J30984" s="711"/>
      <c r="K30984" s="711"/>
      <c r="L30984" s="711"/>
      <c r="Q30984" s="11"/>
      <c r="R30984" s="11"/>
      <c r="S30984" s="11"/>
      <c r="T30984" s="11"/>
    </row>
    <row r="30985" spans="8:20" x14ac:dyDescent="0.35">
      <c r="H30985" s="711"/>
      <c r="I30985" s="711"/>
      <c r="J30985" s="711"/>
      <c r="K30985" s="711"/>
      <c r="L30985" s="711"/>
      <c r="Q30985" s="11"/>
      <c r="R30985" s="11"/>
      <c r="S30985" s="11"/>
      <c r="T30985" s="11"/>
    </row>
    <row r="30986" spans="8:20" x14ac:dyDescent="0.35">
      <c r="H30986" s="711"/>
      <c r="I30986" s="711"/>
      <c r="J30986" s="711"/>
      <c r="K30986" s="711"/>
      <c r="L30986" s="711"/>
      <c r="Q30986" s="11"/>
      <c r="R30986" s="11"/>
      <c r="S30986" s="11"/>
      <c r="T30986" s="11"/>
    </row>
    <row r="30987" spans="8:20" x14ac:dyDescent="0.35">
      <c r="H30987" s="711"/>
      <c r="I30987" s="711"/>
      <c r="J30987" s="711"/>
      <c r="K30987" s="711"/>
      <c r="L30987" s="711"/>
      <c r="Q30987" s="11"/>
      <c r="R30987" s="11"/>
      <c r="S30987" s="11"/>
      <c r="T30987" s="11"/>
    </row>
    <row r="30988" spans="8:20" x14ac:dyDescent="0.35">
      <c r="H30988" s="711"/>
      <c r="I30988" s="711"/>
      <c r="J30988" s="711"/>
      <c r="K30988" s="711"/>
      <c r="L30988" s="711"/>
      <c r="Q30988" s="11"/>
      <c r="R30988" s="11"/>
      <c r="S30988" s="11"/>
      <c r="T30988" s="11"/>
    </row>
    <row r="30989" spans="8:20" x14ac:dyDescent="0.35">
      <c r="H30989" s="711"/>
      <c r="I30989" s="711"/>
      <c r="J30989" s="711"/>
      <c r="K30989" s="711"/>
      <c r="L30989" s="711"/>
      <c r="Q30989" s="11"/>
      <c r="R30989" s="11"/>
      <c r="S30989" s="11"/>
      <c r="T30989" s="11"/>
    </row>
    <row r="30990" spans="8:20" x14ac:dyDescent="0.35">
      <c r="H30990" s="711"/>
      <c r="I30990" s="711"/>
      <c r="J30990" s="711"/>
      <c r="K30990" s="711"/>
      <c r="L30990" s="711"/>
      <c r="Q30990" s="11"/>
      <c r="R30990" s="11"/>
      <c r="S30990" s="11"/>
      <c r="T30990" s="11"/>
    </row>
    <row r="30991" spans="8:20" x14ac:dyDescent="0.35">
      <c r="H30991" s="711"/>
      <c r="I30991" s="711"/>
      <c r="J30991" s="711"/>
      <c r="K30991" s="711"/>
      <c r="L30991" s="711"/>
      <c r="Q30991" s="11"/>
      <c r="R30991" s="11"/>
      <c r="S30991" s="11"/>
      <c r="T30991" s="11"/>
    </row>
    <row r="30992" spans="8:20" x14ac:dyDescent="0.35">
      <c r="H30992" s="711"/>
      <c r="I30992" s="711"/>
      <c r="J30992" s="711"/>
      <c r="K30992" s="711"/>
      <c r="L30992" s="711"/>
      <c r="Q30992" s="11"/>
      <c r="R30992" s="11"/>
      <c r="S30992" s="11"/>
      <c r="T30992" s="11"/>
    </row>
    <row r="30993" spans="8:20" x14ac:dyDescent="0.35">
      <c r="H30993" s="711"/>
      <c r="I30993" s="711"/>
      <c r="J30993" s="711"/>
      <c r="K30993" s="711"/>
      <c r="L30993" s="711"/>
      <c r="Q30993" s="11"/>
      <c r="R30993" s="11"/>
      <c r="S30993" s="11"/>
      <c r="T30993" s="11"/>
    </row>
    <row r="30994" spans="8:20" x14ac:dyDescent="0.35">
      <c r="H30994" s="711"/>
      <c r="I30994" s="711"/>
      <c r="J30994" s="711"/>
      <c r="K30994" s="711"/>
      <c r="L30994" s="711"/>
      <c r="Q30994" s="11"/>
      <c r="R30994" s="11"/>
      <c r="S30994" s="11"/>
      <c r="T30994" s="11"/>
    </row>
    <row r="30995" spans="8:20" x14ac:dyDescent="0.35">
      <c r="H30995" s="711"/>
      <c r="I30995" s="711"/>
      <c r="J30995" s="711"/>
      <c r="K30995" s="711"/>
      <c r="L30995" s="711"/>
      <c r="Q30995" s="11"/>
      <c r="R30995" s="11"/>
      <c r="S30995" s="11"/>
      <c r="T30995" s="11"/>
    </row>
    <row r="30996" spans="8:20" x14ac:dyDescent="0.35">
      <c r="H30996" s="711"/>
      <c r="I30996" s="711"/>
      <c r="J30996" s="711"/>
      <c r="K30996" s="711"/>
      <c r="L30996" s="711"/>
      <c r="Q30996" s="11"/>
      <c r="R30996" s="11"/>
      <c r="S30996" s="11"/>
      <c r="T30996" s="11"/>
    </row>
    <row r="30997" spans="8:20" x14ac:dyDescent="0.35">
      <c r="H30997" s="711"/>
      <c r="I30997" s="711"/>
      <c r="J30997" s="711"/>
      <c r="K30997" s="711"/>
      <c r="L30997" s="711"/>
      <c r="Q30997" s="11"/>
      <c r="R30997" s="11"/>
      <c r="S30997" s="11"/>
      <c r="T30997" s="11"/>
    </row>
    <row r="30998" spans="8:20" x14ac:dyDescent="0.35">
      <c r="H30998" s="711"/>
      <c r="I30998" s="711"/>
      <c r="J30998" s="711"/>
      <c r="K30998" s="711"/>
      <c r="L30998" s="711"/>
      <c r="Q30998" s="11"/>
      <c r="R30998" s="11"/>
      <c r="S30998" s="11"/>
      <c r="T30998" s="11"/>
    </row>
    <row r="30999" spans="8:20" x14ac:dyDescent="0.35">
      <c r="H30999" s="711"/>
      <c r="I30999" s="711"/>
      <c r="J30999" s="711"/>
      <c r="K30999" s="711"/>
      <c r="L30999" s="711"/>
      <c r="Q30999" s="11"/>
      <c r="R30999" s="11"/>
      <c r="S30999" s="11"/>
      <c r="T30999" s="11"/>
    </row>
    <row r="31000" spans="8:20" x14ac:dyDescent="0.35">
      <c r="H31000" s="711"/>
      <c r="I31000" s="711"/>
      <c r="J31000" s="711"/>
      <c r="K31000" s="711"/>
      <c r="L31000" s="711"/>
      <c r="Q31000" s="11"/>
      <c r="R31000" s="11"/>
      <c r="S31000" s="11"/>
      <c r="T31000" s="11"/>
    </row>
    <row r="31001" spans="8:20" x14ac:dyDescent="0.35">
      <c r="H31001" s="711"/>
      <c r="I31001" s="711"/>
      <c r="J31001" s="711"/>
      <c r="K31001" s="711"/>
      <c r="L31001" s="711"/>
      <c r="Q31001" s="11"/>
      <c r="R31001" s="11"/>
      <c r="S31001" s="11"/>
      <c r="T31001" s="11"/>
    </row>
    <row r="31002" spans="8:20" x14ac:dyDescent="0.35">
      <c r="H31002" s="711"/>
      <c r="I31002" s="711"/>
      <c r="J31002" s="711"/>
      <c r="K31002" s="711"/>
      <c r="L31002" s="711"/>
      <c r="Q31002" s="11"/>
      <c r="R31002" s="11"/>
      <c r="S31002" s="11"/>
      <c r="T31002" s="11"/>
    </row>
    <row r="31003" spans="8:20" x14ac:dyDescent="0.35">
      <c r="H31003" s="711"/>
      <c r="I31003" s="711"/>
      <c r="J31003" s="711"/>
      <c r="K31003" s="711"/>
      <c r="L31003" s="711"/>
      <c r="Q31003" s="11"/>
      <c r="R31003" s="11"/>
      <c r="S31003" s="11"/>
      <c r="T31003" s="11"/>
    </row>
    <row r="31004" spans="8:20" x14ac:dyDescent="0.35">
      <c r="H31004" s="711"/>
      <c r="I31004" s="711"/>
      <c r="J31004" s="711"/>
      <c r="K31004" s="711"/>
      <c r="L31004" s="711"/>
      <c r="Q31004" s="11"/>
      <c r="R31004" s="11"/>
      <c r="S31004" s="11"/>
      <c r="T31004" s="11"/>
    </row>
    <row r="31005" spans="8:20" x14ac:dyDescent="0.35">
      <c r="H31005" s="711"/>
      <c r="I31005" s="711"/>
      <c r="J31005" s="711"/>
      <c r="K31005" s="711"/>
      <c r="L31005" s="711"/>
      <c r="Q31005" s="11"/>
      <c r="R31005" s="11"/>
      <c r="S31005" s="11"/>
      <c r="T31005" s="11"/>
    </row>
    <row r="31006" spans="8:20" x14ac:dyDescent="0.35">
      <c r="H31006" s="711"/>
      <c r="I31006" s="711"/>
      <c r="J31006" s="711"/>
      <c r="K31006" s="711"/>
      <c r="L31006" s="711"/>
      <c r="Q31006" s="11"/>
      <c r="R31006" s="11"/>
      <c r="S31006" s="11"/>
      <c r="T31006" s="11"/>
    </row>
    <row r="31007" spans="8:20" x14ac:dyDescent="0.35">
      <c r="H31007" s="711"/>
      <c r="I31007" s="711"/>
      <c r="J31007" s="711"/>
      <c r="K31007" s="711"/>
      <c r="L31007" s="711"/>
      <c r="Q31007" s="11"/>
      <c r="R31007" s="11"/>
      <c r="S31007" s="11"/>
      <c r="T31007" s="11"/>
    </row>
    <row r="31008" spans="8:20" x14ac:dyDescent="0.35">
      <c r="H31008" s="711"/>
      <c r="I31008" s="711"/>
      <c r="J31008" s="711"/>
      <c r="K31008" s="711"/>
      <c r="L31008" s="711"/>
      <c r="Q31008" s="11"/>
      <c r="R31008" s="11"/>
      <c r="S31008" s="11"/>
      <c r="T31008" s="11"/>
    </row>
    <row r="31009" spans="8:20" x14ac:dyDescent="0.35">
      <c r="H31009" s="711"/>
      <c r="I31009" s="711"/>
      <c r="J31009" s="711"/>
      <c r="K31009" s="711"/>
      <c r="L31009" s="711"/>
      <c r="Q31009" s="11"/>
      <c r="R31009" s="11"/>
      <c r="S31009" s="11"/>
      <c r="T31009" s="11"/>
    </row>
    <row r="31010" spans="8:20" x14ac:dyDescent="0.35">
      <c r="H31010" s="711"/>
      <c r="I31010" s="711"/>
      <c r="J31010" s="711"/>
      <c r="K31010" s="711"/>
      <c r="L31010" s="711"/>
      <c r="Q31010" s="11"/>
      <c r="R31010" s="11"/>
      <c r="S31010" s="11"/>
      <c r="T31010" s="11"/>
    </row>
    <row r="31011" spans="8:20" x14ac:dyDescent="0.35">
      <c r="H31011" s="711"/>
      <c r="I31011" s="711"/>
      <c r="J31011" s="711"/>
      <c r="K31011" s="711"/>
      <c r="L31011" s="711"/>
      <c r="Q31011" s="11"/>
      <c r="R31011" s="11"/>
      <c r="S31011" s="11"/>
      <c r="T31011" s="11"/>
    </row>
    <row r="31012" spans="8:20" x14ac:dyDescent="0.35">
      <c r="H31012" s="711"/>
      <c r="I31012" s="711"/>
      <c r="J31012" s="711"/>
      <c r="K31012" s="711"/>
      <c r="L31012" s="711"/>
      <c r="Q31012" s="11"/>
      <c r="R31012" s="11"/>
      <c r="S31012" s="11"/>
      <c r="T31012" s="11"/>
    </row>
    <row r="31013" spans="8:20" x14ac:dyDescent="0.35">
      <c r="H31013" s="711"/>
      <c r="I31013" s="711"/>
      <c r="J31013" s="711"/>
      <c r="K31013" s="711"/>
      <c r="L31013" s="711"/>
      <c r="Q31013" s="11"/>
      <c r="R31013" s="11"/>
      <c r="S31013" s="11"/>
      <c r="T31013" s="11"/>
    </row>
    <row r="31014" spans="8:20" x14ac:dyDescent="0.35">
      <c r="H31014" s="711"/>
      <c r="I31014" s="711"/>
      <c r="J31014" s="711"/>
      <c r="K31014" s="711"/>
      <c r="L31014" s="711"/>
      <c r="Q31014" s="11"/>
      <c r="R31014" s="11"/>
      <c r="S31014" s="11"/>
      <c r="T31014" s="11"/>
    </row>
    <row r="31015" spans="8:20" x14ac:dyDescent="0.35">
      <c r="H31015" s="711"/>
      <c r="I31015" s="711"/>
      <c r="J31015" s="711"/>
      <c r="K31015" s="711"/>
      <c r="L31015" s="711"/>
      <c r="Q31015" s="11"/>
      <c r="R31015" s="11"/>
      <c r="S31015" s="11"/>
      <c r="T31015" s="11"/>
    </row>
    <row r="31016" spans="8:20" x14ac:dyDescent="0.35">
      <c r="H31016" s="711"/>
      <c r="I31016" s="711"/>
      <c r="J31016" s="711"/>
      <c r="K31016" s="711"/>
      <c r="L31016" s="711"/>
      <c r="Q31016" s="11"/>
      <c r="R31016" s="11"/>
      <c r="S31016" s="11"/>
      <c r="T31016" s="11"/>
    </row>
    <row r="31017" spans="8:20" x14ac:dyDescent="0.35">
      <c r="H31017" s="711"/>
      <c r="I31017" s="711"/>
      <c r="J31017" s="711"/>
      <c r="K31017" s="711"/>
      <c r="L31017" s="711"/>
      <c r="Q31017" s="11"/>
      <c r="R31017" s="11"/>
      <c r="S31017" s="11"/>
      <c r="T31017" s="11"/>
    </row>
    <row r="31018" spans="8:20" x14ac:dyDescent="0.35">
      <c r="H31018" s="711"/>
      <c r="I31018" s="711"/>
      <c r="J31018" s="711"/>
      <c r="K31018" s="711"/>
      <c r="L31018" s="711"/>
      <c r="Q31018" s="11"/>
      <c r="R31018" s="11"/>
      <c r="S31018" s="11"/>
      <c r="T31018" s="11"/>
    </row>
    <row r="31019" spans="8:20" x14ac:dyDescent="0.35">
      <c r="H31019" s="711"/>
      <c r="I31019" s="711"/>
      <c r="J31019" s="711"/>
      <c r="K31019" s="711"/>
      <c r="L31019" s="711"/>
      <c r="Q31019" s="11"/>
      <c r="R31019" s="11"/>
      <c r="S31019" s="11"/>
      <c r="T31019" s="11"/>
    </row>
    <row r="31020" spans="8:20" x14ac:dyDescent="0.35">
      <c r="H31020" s="711"/>
      <c r="I31020" s="711"/>
      <c r="J31020" s="711"/>
      <c r="K31020" s="711"/>
      <c r="L31020" s="711"/>
      <c r="Q31020" s="11"/>
      <c r="R31020" s="11"/>
      <c r="S31020" s="11"/>
      <c r="T31020" s="11"/>
    </row>
    <row r="31021" spans="8:20" x14ac:dyDescent="0.35">
      <c r="H31021" s="711"/>
      <c r="I31021" s="711"/>
      <c r="J31021" s="711"/>
      <c r="K31021" s="711"/>
      <c r="L31021" s="711"/>
      <c r="Q31021" s="11"/>
      <c r="R31021" s="11"/>
      <c r="S31021" s="11"/>
      <c r="T31021" s="11"/>
    </row>
    <row r="31022" spans="8:20" x14ac:dyDescent="0.35">
      <c r="H31022" s="711"/>
      <c r="I31022" s="711"/>
      <c r="J31022" s="711"/>
      <c r="K31022" s="711"/>
      <c r="L31022" s="711"/>
      <c r="Q31022" s="11"/>
      <c r="R31022" s="11"/>
      <c r="S31022" s="11"/>
      <c r="T31022" s="11"/>
    </row>
    <row r="31023" spans="8:20" x14ac:dyDescent="0.35">
      <c r="H31023" s="711"/>
      <c r="I31023" s="711"/>
      <c r="J31023" s="711"/>
      <c r="K31023" s="711"/>
      <c r="L31023" s="711"/>
      <c r="Q31023" s="11"/>
      <c r="R31023" s="11"/>
      <c r="S31023" s="11"/>
      <c r="T31023" s="11"/>
    </row>
    <row r="31024" spans="8:20" x14ac:dyDescent="0.35">
      <c r="H31024" s="711"/>
      <c r="I31024" s="711"/>
      <c r="J31024" s="711"/>
      <c r="K31024" s="711"/>
      <c r="L31024" s="711"/>
      <c r="Q31024" s="11"/>
      <c r="R31024" s="11"/>
      <c r="S31024" s="11"/>
      <c r="T31024" s="11"/>
    </row>
    <row r="31025" spans="8:20" x14ac:dyDescent="0.35">
      <c r="H31025" s="711"/>
      <c r="I31025" s="711"/>
      <c r="J31025" s="711"/>
      <c r="K31025" s="711"/>
      <c r="L31025" s="711"/>
      <c r="Q31025" s="11"/>
      <c r="R31025" s="11"/>
      <c r="S31025" s="11"/>
      <c r="T31025" s="11"/>
    </row>
    <row r="31026" spans="8:20" x14ac:dyDescent="0.35">
      <c r="H31026" s="711"/>
      <c r="I31026" s="711"/>
      <c r="J31026" s="711"/>
      <c r="K31026" s="711"/>
      <c r="L31026" s="711"/>
      <c r="Q31026" s="11"/>
      <c r="R31026" s="11"/>
      <c r="S31026" s="11"/>
      <c r="T31026" s="11"/>
    </row>
    <row r="31027" spans="8:20" x14ac:dyDescent="0.35">
      <c r="H31027" s="711"/>
      <c r="I31027" s="711"/>
      <c r="J31027" s="711"/>
      <c r="K31027" s="711"/>
      <c r="L31027" s="711"/>
      <c r="Q31027" s="11"/>
      <c r="R31027" s="11"/>
      <c r="S31027" s="11"/>
      <c r="T31027" s="11"/>
    </row>
    <row r="31028" spans="8:20" x14ac:dyDescent="0.35">
      <c r="H31028" s="711"/>
      <c r="I31028" s="711"/>
      <c r="J31028" s="711"/>
      <c r="K31028" s="711"/>
      <c r="L31028" s="711"/>
      <c r="Q31028" s="11"/>
      <c r="R31028" s="11"/>
      <c r="S31028" s="11"/>
      <c r="T31028" s="11"/>
    </row>
    <row r="31029" spans="8:20" x14ac:dyDescent="0.35">
      <c r="H31029" s="711"/>
      <c r="I31029" s="711"/>
      <c r="J31029" s="711"/>
      <c r="K31029" s="711"/>
      <c r="L31029" s="711"/>
      <c r="Q31029" s="11"/>
      <c r="R31029" s="11"/>
      <c r="S31029" s="11"/>
      <c r="T31029" s="11"/>
    </row>
    <row r="31030" spans="8:20" x14ac:dyDescent="0.35">
      <c r="H31030" s="711"/>
      <c r="I31030" s="711"/>
      <c r="J31030" s="711"/>
      <c r="K31030" s="711"/>
      <c r="L31030" s="711"/>
      <c r="Q31030" s="11"/>
      <c r="R31030" s="11"/>
      <c r="S31030" s="11"/>
      <c r="T31030" s="11"/>
    </row>
    <row r="31031" spans="8:20" x14ac:dyDescent="0.35">
      <c r="H31031" s="711"/>
      <c r="I31031" s="711"/>
      <c r="J31031" s="711"/>
      <c r="K31031" s="711"/>
      <c r="L31031" s="711"/>
      <c r="Q31031" s="11"/>
      <c r="R31031" s="11"/>
      <c r="S31031" s="11"/>
      <c r="T31031" s="11"/>
    </row>
    <row r="31032" spans="8:20" x14ac:dyDescent="0.35">
      <c r="H31032" s="711"/>
      <c r="I31032" s="711"/>
      <c r="J31032" s="711"/>
      <c r="K31032" s="711"/>
      <c r="L31032" s="711"/>
      <c r="Q31032" s="11"/>
      <c r="R31032" s="11"/>
      <c r="S31032" s="11"/>
      <c r="T31032" s="11"/>
    </row>
    <row r="31033" spans="8:20" x14ac:dyDescent="0.35">
      <c r="H31033" s="711"/>
      <c r="I31033" s="711"/>
      <c r="J31033" s="711"/>
      <c r="K31033" s="711"/>
      <c r="L31033" s="711"/>
      <c r="Q31033" s="11"/>
      <c r="R31033" s="11"/>
      <c r="S31033" s="11"/>
      <c r="T31033" s="11"/>
    </row>
    <row r="31034" spans="8:20" x14ac:dyDescent="0.35">
      <c r="H31034" s="711"/>
      <c r="I31034" s="711"/>
      <c r="J31034" s="711"/>
      <c r="K31034" s="711"/>
      <c r="L31034" s="711"/>
      <c r="Q31034" s="11"/>
      <c r="R31034" s="11"/>
      <c r="S31034" s="11"/>
      <c r="T31034" s="11"/>
    </row>
    <row r="31035" spans="8:20" x14ac:dyDescent="0.35">
      <c r="H31035" s="711"/>
      <c r="I31035" s="711"/>
      <c r="J31035" s="711"/>
      <c r="K31035" s="711"/>
      <c r="L31035" s="711"/>
      <c r="Q31035" s="11"/>
      <c r="R31035" s="11"/>
      <c r="S31035" s="11"/>
      <c r="T31035" s="11"/>
    </row>
    <row r="31036" spans="8:20" x14ac:dyDescent="0.35">
      <c r="H31036" s="711"/>
      <c r="I31036" s="711"/>
      <c r="J31036" s="711"/>
      <c r="K31036" s="711"/>
      <c r="L31036" s="711"/>
      <c r="Q31036" s="11"/>
      <c r="R31036" s="11"/>
      <c r="S31036" s="11"/>
      <c r="T31036" s="11"/>
    </row>
    <row r="31037" spans="8:20" x14ac:dyDescent="0.35">
      <c r="H31037" s="711"/>
      <c r="I31037" s="711"/>
      <c r="J31037" s="711"/>
      <c r="K31037" s="711"/>
      <c r="L31037" s="711"/>
      <c r="Q31037" s="11"/>
      <c r="R31037" s="11"/>
      <c r="S31037" s="11"/>
      <c r="T31037" s="11"/>
    </row>
    <row r="31038" spans="8:20" x14ac:dyDescent="0.35">
      <c r="H31038" s="711"/>
      <c r="I31038" s="711"/>
      <c r="J31038" s="711"/>
      <c r="K31038" s="711"/>
      <c r="L31038" s="711"/>
      <c r="Q31038" s="11"/>
      <c r="R31038" s="11"/>
      <c r="S31038" s="11"/>
      <c r="T31038" s="11"/>
    </row>
    <row r="31039" spans="8:20" x14ac:dyDescent="0.35">
      <c r="H31039" s="711"/>
      <c r="I31039" s="711"/>
      <c r="J31039" s="711"/>
      <c r="K31039" s="711"/>
      <c r="L31039" s="711"/>
      <c r="Q31039" s="11"/>
      <c r="R31039" s="11"/>
      <c r="S31039" s="11"/>
      <c r="T31039" s="11"/>
    </row>
    <row r="31040" spans="8:20" x14ac:dyDescent="0.35">
      <c r="H31040" s="711"/>
      <c r="I31040" s="711"/>
      <c r="J31040" s="711"/>
      <c r="K31040" s="711"/>
      <c r="L31040" s="711"/>
      <c r="Q31040" s="11"/>
      <c r="R31040" s="11"/>
      <c r="S31040" s="11"/>
      <c r="T31040" s="11"/>
    </row>
    <row r="31041" spans="8:20" x14ac:dyDescent="0.35">
      <c r="H31041" s="711"/>
      <c r="I31041" s="711"/>
      <c r="J31041" s="711"/>
      <c r="K31041" s="711"/>
      <c r="L31041" s="711"/>
      <c r="Q31041" s="11"/>
      <c r="R31041" s="11"/>
      <c r="S31041" s="11"/>
      <c r="T31041" s="11"/>
    </row>
    <row r="31042" spans="8:20" x14ac:dyDescent="0.35">
      <c r="H31042" s="711"/>
      <c r="I31042" s="711"/>
      <c r="J31042" s="711"/>
      <c r="K31042" s="711"/>
      <c r="L31042" s="711"/>
      <c r="Q31042" s="11"/>
      <c r="R31042" s="11"/>
      <c r="S31042" s="11"/>
      <c r="T31042" s="11"/>
    </row>
    <row r="31043" spans="8:20" x14ac:dyDescent="0.35">
      <c r="H31043" s="711"/>
      <c r="I31043" s="711"/>
      <c r="J31043" s="711"/>
      <c r="K31043" s="711"/>
      <c r="L31043" s="711"/>
      <c r="Q31043" s="11"/>
      <c r="R31043" s="11"/>
      <c r="S31043" s="11"/>
      <c r="T31043" s="11"/>
    </row>
    <row r="31044" spans="8:20" x14ac:dyDescent="0.35">
      <c r="H31044" s="711"/>
      <c r="I31044" s="711"/>
      <c r="J31044" s="711"/>
      <c r="K31044" s="711"/>
      <c r="L31044" s="711"/>
      <c r="Q31044" s="11"/>
      <c r="R31044" s="11"/>
      <c r="S31044" s="11"/>
      <c r="T31044" s="11"/>
    </row>
    <row r="31045" spans="8:20" x14ac:dyDescent="0.35">
      <c r="H31045" s="711"/>
      <c r="I31045" s="711"/>
      <c r="J31045" s="711"/>
      <c r="K31045" s="711"/>
      <c r="L31045" s="711"/>
      <c r="Q31045" s="11"/>
      <c r="R31045" s="11"/>
      <c r="S31045" s="11"/>
      <c r="T31045" s="11"/>
    </row>
    <row r="31046" spans="8:20" x14ac:dyDescent="0.35">
      <c r="H31046" s="711"/>
      <c r="I31046" s="711"/>
      <c r="J31046" s="711"/>
      <c r="K31046" s="711"/>
      <c r="L31046" s="711"/>
      <c r="Q31046" s="11"/>
      <c r="R31046" s="11"/>
      <c r="S31046" s="11"/>
      <c r="T31046" s="11"/>
    </row>
    <row r="31047" spans="8:20" x14ac:dyDescent="0.35">
      <c r="H31047" s="711"/>
      <c r="I31047" s="711"/>
      <c r="J31047" s="711"/>
      <c r="K31047" s="711"/>
      <c r="L31047" s="711"/>
      <c r="Q31047" s="11"/>
      <c r="R31047" s="11"/>
      <c r="S31047" s="11"/>
      <c r="T31047" s="11"/>
    </row>
    <row r="31048" spans="8:20" x14ac:dyDescent="0.35">
      <c r="H31048" s="711"/>
      <c r="I31048" s="711"/>
      <c r="J31048" s="711"/>
      <c r="K31048" s="711"/>
      <c r="L31048" s="711"/>
      <c r="Q31048" s="11"/>
      <c r="R31048" s="11"/>
      <c r="S31048" s="11"/>
      <c r="T31048" s="11"/>
    </row>
    <row r="31049" spans="8:20" x14ac:dyDescent="0.35">
      <c r="H31049" s="711"/>
      <c r="I31049" s="711"/>
      <c r="J31049" s="711"/>
      <c r="K31049" s="711"/>
      <c r="L31049" s="711"/>
      <c r="Q31049" s="11"/>
      <c r="R31049" s="11"/>
      <c r="S31049" s="11"/>
      <c r="T31049" s="11"/>
    </row>
    <row r="31050" spans="8:20" x14ac:dyDescent="0.35">
      <c r="H31050" s="711"/>
      <c r="I31050" s="711"/>
      <c r="J31050" s="711"/>
      <c r="K31050" s="711"/>
      <c r="L31050" s="711"/>
      <c r="Q31050" s="11"/>
      <c r="R31050" s="11"/>
      <c r="S31050" s="11"/>
      <c r="T31050" s="11"/>
    </row>
    <row r="31051" spans="8:20" x14ac:dyDescent="0.35">
      <c r="H31051" s="711"/>
      <c r="I31051" s="711"/>
      <c r="J31051" s="711"/>
      <c r="K31051" s="711"/>
      <c r="L31051" s="711"/>
      <c r="Q31051" s="11"/>
      <c r="R31051" s="11"/>
      <c r="S31051" s="11"/>
      <c r="T31051" s="11"/>
    </row>
    <row r="31052" spans="8:20" x14ac:dyDescent="0.35">
      <c r="H31052" s="711"/>
      <c r="I31052" s="711"/>
      <c r="J31052" s="711"/>
      <c r="K31052" s="711"/>
      <c r="L31052" s="711"/>
      <c r="Q31052" s="11"/>
      <c r="R31052" s="11"/>
      <c r="S31052" s="11"/>
      <c r="T31052" s="11"/>
    </row>
    <row r="31053" spans="8:20" x14ac:dyDescent="0.35">
      <c r="H31053" s="711"/>
      <c r="I31053" s="711"/>
      <c r="J31053" s="711"/>
      <c r="K31053" s="711"/>
      <c r="L31053" s="711"/>
      <c r="Q31053" s="11"/>
      <c r="R31053" s="11"/>
      <c r="S31053" s="11"/>
      <c r="T31053" s="11"/>
    </row>
    <row r="31054" spans="8:20" x14ac:dyDescent="0.35">
      <c r="H31054" s="711"/>
      <c r="I31054" s="711"/>
      <c r="J31054" s="711"/>
      <c r="K31054" s="711"/>
      <c r="L31054" s="711"/>
      <c r="Q31054" s="11"/>
      <c r="R31054" s="11"/>
      <c r="S31054" s="11"/>
      <c r="T31054" s="11"/>
    </row>
    <row r="31055" spans="8:20" x14ac:dyDescent="0.35">
      <c r="H31055" s="711"/>
      <c r="I31055" s="711"/>
      <c r="J31055" s="711"/>
      <c r="K31055" s="711"/>
      <c r="L31055" s="711"/>
      <c r="Q31055" s="11"/>
      <c r="R31055" s="11"/>
      <c r="S31055" s="11"/>
      <c r="T31055" s="11"/>
    </row>
    <row r="31056" spans="8:20" x14ac:dyDescent="0.35">
      <c r="H31056" s="711"/>
      <c r="I31056" s="711"/>
      <c r="J31056" s="711"/>
      <c r="K31056" s="711"/>
      <c r="L31056" s="711"/>
      <c r="Q31056" s="11"/>
      <c r="R31056" s="11"/>
      <c r="S31056" s="11"/>
      <c r="T31056" s="11"/>
    </row>
    <row r="31057" spans="8:20" x14ac:dyDescent="0.35">
      <c r="H31057" s="711"/>
      <c r="I31057" s="711"/>
      <c r="J31057" s="711"/>
      <c r="K31057" s="711"/>
      <c r="L31057" s="711"/>
      <c r="Q31057" s="11"/>
      <c r="R31057" s="11"/>
      <c r="S31057" s="11"/>
      <c r="T31057" s="11"/>
    </row>
    <row r="31058" spans="8:20" x14ac:dyDescent="0.35">
      <c r="H31058" s="711"/>
      <c r="I31058" s="711"/>
      <c r="J31058" s="711"/>
      <c r="K31058" s="711"/>
      <c r="L31058" s="711"/>
      <c r="Q31058" s="11"/>
      <c r="R31058" s="11"/>
      <c r="S31058" s="11"/>
      <c r="T31058" s="11"/>
    </row>
    <row r="31059" spans="8:20" x14ac:dyDescent="0.35">
      <c r="H31059" s="711"/>
      <c r="I31059" s="711"/>
      <c r="J31059" s="711"/>
      <c r="K31059" s="711"/>
      <c r="L31059" s="711"/>
      <c r="Q31059" s="11"/>
      <c r="R31059" s="11"/>
      <c r="S31059" s="11"/>
      <c r="T31059" s="11"/>
    </row>
    <row r="31060" spans="8:20" x14ac:dyDescent="0.35">
      <c r="H31060" s="711"/>
      <c r="I31060" s="711"/>
      <c r="J31060" s="711"/>
      <c r="K31060" s="711"/>
      <c r="L31060" s="711"/>
      <c r="Q31060" s="11"/>
      <c r="R31060" s="11"/>
      <c r="S31060" s="11"/>
      <c r="T31060" s="11"/>
    </row>
    <row r="31061" spans="8:20" x14ac:dyDescent="0.35">
      <c r="H31061" s="711"/>
      <c r="I31061" s="711"/>
      <c r="J31061" s="711"/>
      <c r="K31061" s="711"/>
      <c r="L31061" s="711"/>
      <c r="Q31061" s="11"/>
      <c r="R31061" s="11"/>
      <c r="S31061" s="11"/>
      <c r="T31061" s="11"/>
    </row>
    <row r="31062" spans="8:20" x14ac:dyDescent="0.35">
      <c r="H31062" s="711"/>
      <c r="I31062" s="711"/>
      <c r="J31062" s="711"/>
      <c r="K31062" s="711"/>
      <c r="L31062" s="711"/>
      <c r="Q31062" s="11"/>
      <c r="R31062" s="11"/>
      <c r="S31062" s="11"/>
      <c r="T31062" s="11"/>
    </row>
    <row r="31063" spans="8:20" x14ac:dyDescent="0.35">
      <c r="H31063" s="711"/>
      <c r="I31063" s="711"/>
      <c r="J31063" s="711"/>
      <c r="K31063" s="711"/>
      <c r="L31063" s="711"/>
      <c r="Q31063" s="11"/>
      <c r="R31063" s="11"/>
      <c r="S31063" s="11"/>
      <c r="T31063" s="11"/>
    </row>
    <row r="31064" spans="8:20" x14ac:dyDescent="0.35">
      <c r="H31064" s="711"/>
      <c r="I31064" s="711"/>
      <c r="J31064" s="711"/>
      <c r="K31064" s="711"/>
      <c r="L31064" s="711"/>
      <c r="Q31064" s="11"/>
      <c r="R31064" s="11"/>
      <c r="S31064" s="11"/>
      <c r="T31064" s="11"/>
    </row>
    <row r="31065" spans="8:20" x14ac:dyDescent="0.35">
      <c r="H31065" s="711"/>
      <c r="I31065" s="711"/>
      <c r="J31065" s="711"/>
      <c r="K31065" s="711"/>
      <c r="L31065" s="711"/>
      <c r="Q31065" s="11"/>
      <c r="R31065" s="11"/>
      <c r="S31065" s="11"/>
      <c r="T31065" s="11"/>
    </row>
    <row r="31066" spans="8:20" x14ac:dyDescent="0.35">
      <c r="H31066" s="711"/>
      <c r="I31066" s="711"/>
      <c r="J31066" s="711"/>
      <c r="K31066" s="711"/>
      <c r="L31066" s="711"/>
      <c r="Q31066" s="11"/>
      <c r="R31066" s="11"/>
      <c r="S31066" s="11"/>
      <c r="T31066" s="11"/>
    </row>
    <row r="31067" spans="8:20" x14ac:dyDescent="0.35">
      <c r="H31067" s="711"/>
      <c r="I31067" s="711"/>
      <c r="J31067" s="711"/>
      <c r="K31067" s="711"/>
      <c r="L31067" s="711"/>
      <c r="Q31067" s="11"/>
      <c r="R31067" s="11"/>
      <c r="S31067" s="11"/>
      <c r="T31067" s="11"/>
    </row>
    <row r="31068" spans="8:20" x14ac:dyDescent="0.35">
      <c r="H31068" s="711"/>
      <c r="I31068" s="711"/>
      <c r="J31068" s="711"/>
      <c r="K31068" s="711"/>
      <c r="L31068" s="711"/>
      <c r="Q31068" s="11"/>
      <c r="R31068" s="11"/>
      <c r="S31068" s="11"/>
      <c r="T31068" s="11"/>
    </row>
    <row r="31069" spans="8:20" x14ac:dyDescent="0.35">
      <c r="H31069" s="711"/>
      <c r="I31069" s="711"/>
      <c r="J31069" s="711"/>
      <c r="K31069" s="711"/>
      <c r="L31069" s="711"/>
      <c r="Q31069" s="11"/>
      <c r="R31069" s="11"/>
      <c r="S31069" s="11"/>
      <c r="T31069" s="11"/>
    </row>
    <row r="31070" spans="8:20" x14ac:dyDescent="0.35">
      <c r="H31070" s="711"/>
      <c r="I31070" s="711"/>
      <c r="J31070" s="711"/>
      <c r="K31070" s="711"/>
      <c r="L31070" s="711"/>
      <c r="Q31070" s="11"/>
      <c r="R31070" s="11"/>
      <c r="S31070" s="11"/>
      <c r="T31070" s="11"/>
    </row>
    <row r="31071" spans="8:20" x14ac:dyDescent="0.35">
      <c r="H31071" s="711"/>
      <c r="I31071" s="711"/>
      <c r="J31071" s="711"/>
      <c r="K31071" s="711"/>
      <c r="L31071" s="711"/>
      <c r="Q31071" s="11"/>
      <c r="R31071" s="11"/>
      <c r="S31071" s="11"/>
      <c r="T31071" s="11"/>
    </row>
    <row r="31072" spans="8:20" x14ac:dyDescent="0.35">
      <c r="H31072" s="711"/>
      <c r="I31072" s="711"/>
      <c r="J31072" s="711"/>
      <c r="K31072" s="711"/>
      <c r="L31072" s="711"/>
      <c r="Q31072" s="11"/>
      <c r="R31072" s="11"/>
      <c r="S31072" s="11"/>
      <c r="T31072" s="11"/>
    </row>
    <row r="31073" spans="8:20" x14ac:dyDescent="0.35">
      <c r="H31073" s="711"/>
      <c r="I31073" s="711"/>
      <c r="J31073" s="711"/>
      <c r="K31073" s="711"/>
      <c r="L31073" s="711"/>
      <c r="Q31073" s="11"/>
      <c r="R31073" s="11"/>
      <c r="S31073" s="11"/>
      <c r="T31073" s="11"/>
    </row>
    <row r="31074" spans="8:20" x14ac:dyDescent="0.35">
      <c r="H31074" s="711"/>
      <c r="I31074" s="711"/>
      <c r="J31074" s="711"/>
      <c r="K31074" s="711"/>
      <c r="L31074" s="711"/>
      <c r="Q31074" s="11"/>
      <c r="R31074" s="11"/>
      <c r="S31074" s="11"/>
      <c r="T31074" s="11"/>
    </row>
    <row r="31075" spans="8:20" x14ac:dyDescent="0.35">
      <c r="H31075" s="711"/>
      <c r="I31075" s="711"/>
      <c r="J31075" s="711"/>
      <c r="K31075" s="711"/>
      <c r="L31075" s="711"/>
      <c r="Q31075" s="11"/>
      <c r="R31075" s="11"/>
      <c r="S31075" s="11"/>
      <c r="T31075" s="11"/>
    </row>
    <row r="31076" spans="8:20" x14ac:dyDescent="0.35">
      <c r="H31076" s="711"/>
      <c r="I31076" s="711"/>
      <c r="J31076" s="711"/>
      <c r="K31076" s="711"/>
      <c r="L31076" s="711"/>
      <c r="Q31076" s="11"/>
      <c r="R31076" s="11"/>
      <c r="S31076" s="11"/>
      <c r="T31076" s="11"/>
    </row>
    <row r="31077" spans="8:20" x14ac:dyDescent="0.35">
      <c r="H31077" s="711"/>
      <c r="I31077" s="711"/>
      <c r="J31077" s="711"/>
      <c r="K31077" s="711"/>
      <c r="L31077" s="711"/>
      <c r="Q31077" s="11"/>
      <c r="R31077" s="11"/>
      <c r="S31077" s="11"/>
      <c r="T31077" s="11"/>
    </row>
    <row r="31078" spans="8:20" x14ac:dyDescent="0.35">
      <c r="H31078" s="711"/>
      <c r="I31078" s="711"/>
      <c r="J31078" s="711"/>
      <c r="K31078" s="711"/>
      <c r="L31078" s="711"/>
      <c r="Q31078" s="11"/>
      <c r="R31078" s="11"/>
      <c r="S31078" s="11"/>
      <c r="T31078" s="11"/>
    </row>
    <row r="31079" spans="8:20" x14ac:dyDescent="0.35">
      <c r="H31079" s="711"/>
      <c r="I31079" s="711"/>
      <c r="J31079" s="711"/>
      <c r="K31079" s="711"/>
      <c r="L31079" s="711"/>
      <c r="Q31079" s="11"/>
      <c r="R31079" s="11"/>
      <c r="S31079" s="11"/>
      <c r="T31079" s="11"/>
    </row>
    <row r="31080" spans="8:20" x14ac:dyDescent="0.35">
      <c r="H31080" s="711"/>
      <c r="I31080" s="711"/>
      <c r="J31080" s="711"/>
      <c r="K31080" s="711"/>
      <c r="L31080" s="711"/>
      <c r="Q31080" s="11"/>
      <c r="R31080" s="11"/>
      <c r="S31080" s="11"/>
      <c r="T31080" s="11"/>
    </row>
    <row r="31081" spans="8:20" x14ac:dyDescent="0.35">
      <c r="H31081" s="711"/>
      <c r="I31081" s="711"/>
      <c r="J31081" s="711"/>
      <c r="K31081" s="711"/>
      <c r="L31081" s="711"/>
      <c r="Q31081" s="11"/>
      <c r="R31081" s="11"/>
      <c r="S31081" s="11"/>
      <c r="T31081" s="11"/>
    </row>
    <row r="31082" spans="8:20" x14ac:dyDescent="0.35">
      <c r="H31082" s="711"/>
      <c r="I31082" s="711"/>
      <c r="J31082" s="711"/>
      <c r="K31082" s="711"/>
      <c r="L31082" s="711"/>
      <c r="Q31082" s="11"/>
      <c r="R31082" s="11"/>
      <c r="S31082" s="11"/>
      <c r="T31082" s="11"/>
    </row>
    <row r="31083" spans="8:20" x14ac:dyDescent="0.35">
      <c r="H31083" s="711"/>
      <c r="I31083" s="711"/>
      <c r="J31083" s="711"/>
      <c r="K31083" s="711"/>
      <c r="L31083" s="711"/>
      <c r="Q31083" s="11"/>
      <c r="R31083" s="11"/>
      <c r="S31083" s="11"/>
      <c r="T31083" s="11"/>
    </row>
    <row r="31084" spans="8:20" x14ac:dyDescent="0.35">
      <c r="H31084" s="711"/>
      <c r="I31084" s="711"/>
      <c r="J31084" s="711"/>
      <c r="K31084" s="711"/>
      <c r="L31084" s="711"/>
      <c r="Q31084" s="11"/>
      <c r="R31084" s="11"/>
      <c r="S31084" s="11"/>
      <c r="T31084" s="11"/>
    </row>
    <row r="31085" spans="8:20" x14ac:dyDescent="0.35">
      <c r="H31085" s="711"/>
      <c r="I31085" s="711"/>
      <c r="J31085" s="711"/>
      <c r="K31085" s="711"/>
      <c r="L31085" s="711"/>
      <c r="Q31085" s="11"/>
      <c r="R31085" s="11"/>
      <c r="S31085" s="11"/>
      <c r="T31085" s="11"/>
    </row>
    <row r="31086" spans="8:20" x14ac:dyDescent="0.35">
      <c r="H31086" s="711"/>
      <c r="I31086" s="711"/>
      <c r="J31086" s="711"/>
      <c r="K31086" s="711"/>
      <c r="L31086" s="711"/>
      <c r="Q31086" s="11"/>
      <c r="R31086" s="11"/>
      <c r="S31086" s="11"/>
      <c r="T31086" s="11"/>
    </row>
    <row r="31087" spans="8:20" x14ac:dyDescent="0.35">
      <c r="H31087" s="711"/>
      <c r="I31087" s="711"/>
      <c r="J31087" s="711"/>
      <c r="K31087" s="711"/>
      <c r="L31087" s="711"/>
      <c r="Q31087" s="11"/>
      <c r="R31087" s="11"/>
      <c r="S31087" s="11"/>
      <c r="T31087" s="11"/>
    </row>
    <row r="31088" spans="8:20" x14ac:dyDescent="0.35">
      <c r="H31088" s="711"/>
      <c r="I31088" s="711"/>
      <c r="J31088" s="711"/>
      <c r="K31088" s="711"/>
      <c r="L31088" s="711"/>
      <c r="Q31088" s="11"/>
      <c r="R31088" s="11"/>
      <c r="S31088" s="11"/>
      <c r="T31088" s="11"/>
    </row>
    <row r="31089" spans="8:20" x14ac:dyDescent="0.35">
      <c r="H31089" s="711"/>
      <c r="I31089" s="711"/>
      <c r="J31089" s="711"/>
      <c r="K31089" s="711"/>
      <c r="L31089" s="711"/>
      <c r="Q31089" s="11"/>
      <c r="R31089" s="11"/>
      <c r="S31089" s="11"/>
      <c r="T31089" s="11"/>
    </row>
    <row r="31090" spans="8:20" x14ac:dyDescent="0.35">
      <c r="H31090" s="711"/>
      <c r="I31090" s="711"/>
      <c r="J31090" s="711"/>
      <c r="K31090" s="711"/>
      <c r="L31090" s="711"/>
      <c r="Q31090" s="11"/>
      <c r="R31090" s="11"/>
      <c r="S31090" s="11"/>
      <c r="T31090" s="11"/>
    </row>
    <row r="31091" spans="8:20" x14ac:dyDescent="0.35">
      <c r="H31091" s="711"/>
      <c r="I31091" s="711"/>
      <c r="J31091" s="711"/>
      <c r="K31091" s="711"/>
      <c r="L31091" s="711"/>
      <c r="Q31091" s="11"/>
      <c r="R31091" s="11"/>
      <c r="S31091" s="11"/>
      <c r="T31091" s="11"/>
    </row>
    <row r="31092" spans="8:20" x14ac:dyDescent="0.35">
      <c r="H31092" s="711"/>
      <c r="I31092" s="711"/>
      <c r="J31092" s="711"/>
      <c r="K31092" s="711"/>
      <c r="L31092" s="711"/>
      <c r="Q31092" s="11"/>
      <c r="R31092" s="11"/>
      <c r="S31092" s="11"/>
      <c r="T31092" s="11"/>
    </row>
    <row r="31093" spans="8:20" x14ac:dyDescent="0.35">
      <c r="H31093" s="711"/>
      <c r="I31093" s="711"/>
      <c r="J31093" s="711"/>
      <c r="K31093" s="711"/>
      <c r="L31093" s="711"/>
      <c r="Q31093" s="11"/>
      <c r="R31093" s="11"/>
      <c r="S31093" s="11"/>
      <c r="T31093" s="11"/>
    </row>
    <row r="31094" spans="8:20" x14ac:dyDescent="0.35">
      <c r="H31094" s="711"/>
      <c r="I31094" s="711"/>
      <c r="J31094" s="711"/>
      <c r="K31094" s="711"/>
      <c r="L31094" s="711"/>
      <c r="Q31094" s="11"/>
      <c r="R31094" s="11"/>
      <c r="S31094" s="11"/>
      <c r="T31094" s="11"/>
    </row>
    <row r="31095" spans="8:20" x14ac:dyDescent="0.35">
      <c r="H31095" s="711"/>
      <c r="I31095" s="711"/>
      <c r="J31095" s="711"/>
      <c r="K31095" s="711"/>
      <c r="L31095" s="711"/>
      <c r="Q31095" s="11"/>
      <c r="R31095" s="11"/>
      <c r="S31095" s="11"/>
      <c r="T31095" s="11"/>
    </row>
    <row r="31096" spans="8:20" x14ac:dyDescent="0.35">
      <c r="H31096" s="711"/>
      <c r="I31096" s="711"/>
      <c r="J31096" s="711"/>
      <c r="K31096" s="711"/>
      <c r="L31096" s="711"/>
      <c r="Q31096" s="11"/>
      <c r="R31096" s="11"/>
      <c r="S31096" s="11"/>
      <c r="T31096" s="11"/>
    </row>
    <row r="31097" spans="8:20" x14ac:dyDescent="0.35">
      <c r="H31097" s="711"/>
      <c r="I31097" s="711"/>
      <c r="J31097" s="711"/>
      <c r="K31097" s="711"/>
      <c r="L31097" s="711"/>
      <c r="Q31097" s="11"/>
      <c r="R31097" s="11"/>
      <c r="S31097" s="11"/>
      <c r="T31097" s="11"/>
    </row>
    <row r="31098" spans="8:20" x14ac:dyDescent="0.35">
      <c r="H31098" s="711"/>
      <c r="I31098" s="711"/>
      <c r="J31098" s="711"/>
      <c r="K31098" s="711"/>
      <c r="L31098" s="711"/>
      <c r="Q31098" s="11"/>
      <c r="R31098" s="11"/>
      <c r="S31098" s="11"/>
      <c r="T31098" s="11"/>
    </row>
    <row r="31099" spans="8:20" x14ac:dyDescent="0.35">
      <c r="H31099" s="711"/>
      <c r="I31099" s="711"/>
      <c r="J31099" s="711"/>
      <c r="K31099" s="711"/>
      <c r="L31099" s="711"/>
      <c r="Q31099" s="11"/>
      <c r="R31099" s="11"/>
      <c r="S31099" s="11"/>
      <c r="T31099" s="11"/>
    </row>
    <row r="31100" spans="8:20" x14ac:dyDescent="0.35">
      <c r="H31100" s="711"/>
      <c r="I31100" s="711"/>
      <c r="J31100" s="711"/>
      <c r="K31100" s="711"/>
      <c r="L31100" s="711"/>
      <c r="Q31100" s="11"/>
      <c r="R31100" s="11"/>
      <c r="S31100" s="11"/>
      <c r="T31100" s="11"/>
    </row>
    <row r="31101" spans="8:20" x14ac:dyDescent="0.35">
      <c r="H31101" s="711"/>
      <c r="I31101" s="711"/>
      <c r="J31101" s="711"/>
      <c r="K31101" s="711"/>
      <c r="L31101" s="711"/>
      <c r="Q31101" s="11"/>
      <c r="R31101" s="11"/>
      <c r="S31101" s="11"/>
      <c r="T31101" s="11"/>
    </row>
    <row r="31102" spans="8:20" x14ac:dyDescent="0.35">
      <c r="H31102" s="711"/>
      <c r="I31102" s="711"/>
      <c r="J31102" s="711"/>
      <c r="K31102" s="711"/>
      <c r="L31102" s="711"/>
      <c r="Q31102" s="11"/>
      <c r="R31102" s="11"/>
      <c r="S31102" s="11"/>
      <c r="T31102" s="11"/>
    </row>
    <row r="31103" spans="8:20" x14ac:dyDescent="0.35">
      <c r="H31103" s="711"/>
      <c r="I31103" s="711"/>
      <c r="J31103" s="711"/>
      <c r="K31103" s="711"/>
      <c r="L31103" s="711"/>
      <c r="Q31103" s="11"/>
      <c r="R31103" s="11"/>
      <c r="S31103" s="11"/>
      <c r="T31103" s="11"/>
    </row>
    <row r="31104" spans="8:20" x14ac:dyDescent="0.35">
      <c r="H31104" s="711"/>
      <c r="I31104" s="711"/>
      <c r="J31104" s="711"/>
      <c r="K31104" s="711"/>
      <c r="L31104" s="711"/>
      <c r="Q31104" s="11"/>
      <c r="R31104" s="11"/>
      <c r="S31104" s="11"/>
      <c r="T31104" s="11"/>
    </row>
    <row r="31105" spans="8:20" x14ac:dyDescent="0.35">
      <c r="H31105" s="711"/>
      <c r="I31105" s="711"/>
      <c r="J31105" s="711"/>
      <c r="K31105" s="711"/>
      <c r="L31105" s="711"/>
      <c r="Q31105" s="11"/>
      <c r="R31105" s="11"/>
      <c r="S31105" s="11"/>
      <c r="T31105" s="11"/>
    </row>
    <row r="31106" spans="8:20" x14ac:dyDescent="0.35">
      <c r="H31106" s="711"/>
      <c r="I31106" s="711"/>
      <c r="J31106" s="711"/>
      <c r="K31106" s="711"/>
      <c r="L31106" s="711"/>
      <c r="Q31106" s="11"/>
      <c r="R31106" s="11"/>
      <c r="S31106" s="11"/>
      <c r="T31106" s="11"/>
    </row>
    <row r="31107" spans="8:20" x14ac:dyDescent="0.35">
      <c r="H31107" s="711"/>
      <c r="I31107" s="711"/>
      <c r="J31107" s="711"/>
      <c r="K31107" s="711"/>
      <c r="L31107" s="711"/>
      <c r="Q31107" s="11"/>
      <c r="R31107" s="11"/>
      <c r="S31107" s="11"/>
      <c r="T31107" s="11"/>
    </row>
    <row r="31108" spans="8:20" x14ac:dyDescent="0.35">
      <c r="H31108" s="711"/>
      <c r="I31108" s="711"/>
      <c r="J31108" s="711"/>
      <c r="K31108" s="711"/>
      <c r="L31108" s="711"/>
      <c r="Q31108" s="11"/>
      <c r="R31108" s="11"/>
      <c r="S31108" s="11"/>
      <c r="T31108" s="11"/>
    </row>
    <row r="31109" spans="8:20" x14ac:dyDescent="0.35">
      <c r="H31109" s="711"/>
      <c r="I31109" s="711"/>
      <c r="J31109" s="711"/>
      <c r="K31109" s="711"/>
      <c r="L31109" s="711"/>
      <c r="Q31109" s="11"/>
      <c r="R31109" s="11"/>
      <c r="S31109" s="11"/>
      <c r="T31109" s="11"/>
    </row>
    <row r="31110" spans="8:20" x14ac:dyDescent="0.35">
      <c r="H31110" s="711"/>
      <c r="I31110" s="711"/>
      <c r="J31110" s="711"/>
      <c r="K31110" s="711"/>
      <c r="L31110" s="711"/>
      <c r="Q31110" s="11"/>
      <c r="R31110" s="11"/>
      <c r="S31110" s="11"/>
      <c r="T31110" s="11"/>
    </row>
    <row r="31111" spans="8:20" x14ac:dyDescent="0.35">
      <c r="H31111" s="711"/>
      <c r="I31111" s="711"/>
      <c r="J31111" s="711"/>
      <c r="K31111" s="711"/>
      <c r="L31111" s="711"/>
      <c r="Q31111" s="11"/>
      <c r="R31111" s="11"/>
      <c r="S31111" s="11"/>
      <c r="T31111" s="11"/>
    </row>
    <row r="31112" spans="8:20" x14ac:dyDescent="0.35">
      <c r="H31112" s="711"/>
      <c r="I31112" s="711"/>
      <c r="J31112" s="711"/>
      <c r="K31112" s="711"/>
      <c r="L31112" s="711"/>
      <c r="Q31112" s="11"/>
      <c r="R31112" s="11"/>
      <c r="S31112" s="11"/>
      <c r="T31112" s="11"/>
    </row>
    <row r="31113" spans="8:20" x14ac:dyDescent="0.35">
      <c r="H31113" s="711"/>
      <c r="I31113" s="711"/>
      <c r="J31113" s="711"/>
      <c r="K31113" s="711"/>
      <c r="L31113" s="711"/>
      <c r="Q31113" s="11"/>
      <c r="R31113" s="11"/>
      <c r="S31113" s="11"/>
      <c r="T31113" s="11"/>
    </row>
    <row r="31114" spans="8:20" x14ac:dyDescent="0.35">
      <c r="H31114" s="711"/>
      <c r="I31114" s="711"/>
      <c r="J31114" s="711"/>
      <c r="K31114" s="711"/>
      <c r="L31114" s="711"/>
      <c r="Q31114" s="11"/>
      <c r="R31114" s="11"/>
      <c r="S31114" s="11"/>
      <c r="T31114" s="11"/>
    </row>
    <row r="31115" spans="8:20" x14ac:dyDescent="0.35">
      <c r="H31115" s="711"/>
      <c r="I31115" s="711"/>
      <c r="J31115" s="711"/>
      <c r="K31115" s="711"/>
      <c r="L31115" s="711"/>
      <c r="Q31115" s="11"/>
      <c r="R31115" s="11"/>
      <c r="S31115" s="11"/>
      <c r="T31115" s="11"/>
    </row>
    <row r="31116" spans="8:20" x14ac:dyDescent="0.35">
      <c r="H31116" s="711"/>
      <c r="I31116" s="711"/>
      <c r="J31116" s="711"/>
      <c r="K31116" s="711"/>
      <c r="L31116" s="711"/>
      <c r="Q31116" s="11"/>
      <c r="R31116" s="11"/>
      <c r="S31116" s="11"/>
      <c r="T31116" s="11"/>
    </row>
    <row r="31117" spans="8:20" x14ac:dyDescent="0.35">
      <c r="H31117" s="711"/>
      <c r="I31117" s="711"/>
      <c r="J31117" s="711"/>
      <c r="K31117" s="711"/>
      <c r="L31117" s="711"/>
      <c r="Q31117" s="11"/>
      <c r="R31117" s="11"/>
      <c r="S31117" s="11"/>
      <c r="T31117" s="11"/>
    </row>
    <row r="31118" spans="8:20" x14ac:dyDescent="0.35">
      <c r="H31118" s="711"/>
      <c r="I31118" s="711"/>
      <c r="J31118" s="711"/>
      <c r="K31118" s="711"/>
      <c r="L31118" s="711"/>
      <c r="Q31118" s="11"/>
      <c r="R31118" s="11"/>
      <c r="S31118" s="11"/>
      <c r="T31118" s="11"/>
    </row>
    <row r="31119" spans="8:20" x14ac:dyDescent="0.35">
      <c r="H31119" s="711"/>
      <c r="I31119" s="711"/>
      <c r="J31119" s="711"/>
      <c r="K31119" s="711"/>
      <c r="L31119" s="711"/>
      <c r="Q31119" s="11"/>
      <c r="R31119" s="11"/>
      <c r="S31119" s="11"/>
      <c r="T31119" s="11"/>
    </row>
    <row r="31120" spans="8:20" x14ac:dyDescent="0.35">
      <c r="H31120" s="711"/>
      <c r="I31120" s="711"/>
      <c r="J31120" s="711"/>
      <c r="K31120" s="711"/>
      <c r="L31120" s="711"/>
      <c r="Q31120" s="11"/>
      <c r="R31120" s="11"/>
      <c r="S31120" s="11"/>
      <c r="T31120" s="11"/>
    </row>
    <row r="31121" spans="8:20" x14ac:dyDescent="0.35">
      <c r="H31121" s="711"/>
      <c r="I31121" s="711"/>
      <c r="J31121" s="711"/>
      <c r="K31121" s="711"/>
      <c r="L31121" s="711"/>
      <c r="Q31121" s="11"/>
      <c r="R31121" s="11"/>
      <c r="S31121" s="11"/>
      <c r="T31121" s="11"/>
    </row>
    <row r="31122" spans="8:20" x14ac:dyDescent="0.35">
      <c r="H31122" s="711"/>
      <c r="I31122" s="711"/>
      <c r="J31122" s="711"/>
      <c r="K31122" s="711"/>
      <c r="L31122" s="711"/>
      <c r="Q31122" s="11"/>
      <c r="R31122" s="11"/>
      <c r="S31122" s="11"/>
      <c r="T31122" s="11"/>
    </row>
    <row r="31123" spans="8:20" x14ac:dyDescent="0.35">
      <c r="H31123" s="711"/>
      <c r="I31123" s="711"/>
      <c r="J31123" s="711"/>
      <c r="K31123" s="711"/>
      <c r="L31123" s="711"/>
      <c r="Q31123" s="11"/>
      <c r="R31123" s="11"/>
      <c r="S31123" s="11"/>
      <c r="T31123" s="11"/>
    </row>
    <row r="31124" spans="8:20" x14ac:dyDescent="0.35">
      <c r="H31124" s="711"/>
      <c r="I31124" s="711"/>
      <c r="J31124" s="711"/>
      <c r="K31124" s="711"/>
      <c r="L31124" s="711"/>
      <c r="Q31124" s="11"/>
      <c r="R31124" s="11"/>
      <c r="S31124" s="11"/>
      <c r="T31124" s="11"/>
    </row>
    <row r="31125" spans="8:20" x14ac:dyDescent="0.35">
      <c r="H31125" s="711"/>
      <c r="I31125" s="711"/>
      <c r="J31125" s="711"/>
      <c r="K31125" s="711"/>
      <c r="L31125" s="711"/>
      <c r="Q31125" s="11"/>
      <c r="R31125" s="11"/>
      <c r="S31125" s="11"/>
      <c r="T31125" s="11"/>
    </row>
    <row r="31126" spans="8:20" x14ac:dyDescent="0.35">
      <c r="H31126" s="711"/>
      <c r="I31126" s="711"/>
      <c r="J31126" s="711"/>
      <c r="K31126" s="711"/>
      <c r="L31126" s="711"/>
      <c r="Q31126" s="11"/>
      <c r="R31126" s="11"/>
      <c r="S31126" s="11"/>
      <c r="T31126" s="11"/>
    </row>
    <row r="31127" spans="8:20" x14ac:dyDescent="0.35">
      <c r="H31127" s="711"/>
      <c r="I31127" s="711"/>
      <c r="J31127" s="711"/>
      <c r="K31127" s="711"/>
      <c r="L31127" s="711"/>
      <c r="Q31127" s="11"/>
      <c r="R31127" s="11"/>
      <c r="S31127" s="11"/>
      <c r="T31127" s="11"/>
    </row>
    <row r="31128" spans="8:20" x14ac:dyDescent="0.35">
      <c r="H31128" s="711"/>
      <c r="I31128" s="711"/>
      <c r="J31128" s="711"/>
      <c r="K31128" s="711"/>
      <c r="L31128" s="711"/>
      <c r="Q31128" s="11"/>
      <c r="R31128" s="11"/>
      <c r="S31128" s="11"/>
      <c r="T31128" s="11"/>
    </row>
    <row r="31129" spans="8:20" x14ac:dyDescent="0.35">
      <c r="H31129" s="711"/>
      <c r="I31129" s="711"/>
      <c r="J31129" s="711"/>
      <c r="K31129" s="711"/>
      <c r="L31129" s="711"/>
      <c r="Q31129" s="11"/>
      <c r="R31129" s="11"/>
      <c r="S31129" s="11"/>
      <c r="T31129" s="11"/>
    </row>
    <row r="31130" spans="8:20" x14ac:dyDescent="0.35">
      <c r="H31130" s="711"/>
      <c r="I31130" s="711"/>
      <c r="J31130" s="711"/>
      <c r="K31130" s="711"/>
      <c r="L31130" s="711"/>
      <c r="Q31130" s="11"/>
      <c r="R31130" s="11"/>
      <c r="S31130" s="11"/>
      <c r="T31130" s="11"/>
    </row>
    <row r="31131" spans="8:20" x14ac:dyDescent="0.35">
      <c r="H31131" s="711"/>
      <c r="I31131" s="711"/>
      <c r="J31131" s="711"/>
      <c r="K31131" s="711"/>
      <c r="L31131" s="711"/>
      <c r="Q31131" s="11"/>
      <c r="R31131" s="11"/>
      <c r="S31131" s="11"/>
      <c r="T31131" s="11"/>
    </row>
    <row r="31132" spans="8:20" x14ac:dyDescent="0.35">
      <c r="H31132" s="711"/>
      <c r="I31132" s="711"/>
      <c r="J31132" s="711"/>
      <c r="K31132" s="711"/>
      <c r="L31132" s="711"/>
      <c r="Q31132" s="11"/>
      <c r="R31132" s="11"/>
      <c r="S31132" s="11"/>
      <c r="T31132" s="11"/>
    </row>
    <row r="31133" spans="8:20" x14ac:dyDescent="0.35">
      <c r="H31133" s="711"/>
      <c r="I31133" s="711"/>
      <c r="J31133" s="711"/>
      <c r="K31133" s="711"/>
      <c r="L31133" s="711"/>
      <c r="Q31133" s="11"/>
      <c r="R31133" s="11"/>
      <c r="S31133" s="11"/>
      <c r="T31133" s="11"/>
    </row>
    <row r="31134" spans="8:20" x14ac:dyDescent="0.35">
      <c r="H31134" s="711"/>
      <c r="I31134" s="711"/>
      <c r="J31134" s="711"/>
      <c r="K31134" s="711"/>
      <c r="L31134" s="711"/>
      <c r="Q31134" s="11"/>
      <c r="R31134" s="11"/>
      <c r="S31134" s="11"/>
      <c r="T31134" s="11"/>
    </row>
    <row r="31135" spans="8:20" x14ac:dyDescent="0.35">
      <c r="H31135" s="711"/>
      <c r="I31135" s="711"/>
      <c r="J31135" s="711"/>
      <c r="K31135" s="711"/>
      <c r="L31135" s="711"/>
      <c r="Q31135" s="11"/>
      <c r="R31135" s="11"/>
      <c r="S31135" s="11"/>
      <c r="T31135" s="11"/>
    </row>
    <row r="31136" spans="8:20" x14ac:dyDescent="0.35">
      <c r="H31136" s="711"/>
      <c r="I31136" s="711"/>
      <c r="J31136" s="711"/>
      <c r="K31136" s="711"/>
      <c r="L31136" s="711"/>
      <c r="Q31136" s="11"/>
      <c r="R31136" s="11"/>
      <c r="S31136" s="11"/>
      <c r="T31136" s="11"/>
    </row>
    <row r="31137" spans="8:20" x14ac:dyDescent="0.35">
      <c r="H31137" s="711"/>
      <c r="I31137" s="711"/>
      <c r="J31137" s="711"/>
      <c r="K31137" s="711"/>
      <c r="L31137" s="711"/>
      <c r="Q31137" s="11"/>
      <c r="R31137" s="11"/>
      <c r="S31137" s="11"/>
      <c r="T31137" s="11"/>
    </row>
    <row r="31138" spans="8:20" x14ac:dyDescent="0.35">
      <c r="H31138" s="711"/>
      <c r="I31138" s="711"/>
      <c r="J31138" s="711"/>
      <c r="K31138" s="711"/>
      <c r="L31138" s="711"/>
      <c r="Q31138" s="11"/>
      <c r="R31138" s="11"/>
      <c r="S31138" s="11"/>
      <c r="T31138" s="11"/>
    </row>
    <row r="31139" spans="8:20" x14ac:dyDescent="0.35">
      <c r="H31139" s="711"/>
      <c r="I31139" s="711"/>
      <c r="J31139" s="711"/>
      <c r="K31139" s="711"/>
      <c r="L31139" s="711"/>
      <c r="Q31139" s="11"/>
      <c r="R31139" s="11"/>
      <c r="S31139" s="11"/>
      <c r="T31139" s="11"/>
    </row>
    <row r="31140" spans="8:20" x14ac:dyDescent="0.35">
      <c r="H31140" s="711"/>
      <c r="I31140" s="711"/>
      <c r="J31140" s="711"/>
      <c r="K31140" s="711"/>
      <c r="L31140" s="711"/>
      <c r="Q31140" s="11"/>
      <c r="R31140" s="11"/>
      <c r="S31140" s="11"/>
      <c r="T31140" s="11"/>
    </row>
    <row r="31141" spans="8:20" x14ac:dyDescent="0.35">
      <c r="H31141" s="711"/>
      <c r="I31141" s="711"/>
      <c r="J31141" s="711"/>
      <c r="K31141" s="711"/>
      <c r="L31141" s="711"/>
      <c r="Q31141" s="11"/>
      <c r="R31141" s="11"/>
      <c r="S31141" s="11"/>
      <c r="T31141" s="11"/>
    </row>
    <row r="31142" spans="8:20" x14ac:dyDescent="0.35">
      <c r="H31142" s="711"/>
      <c r="I31142" s="711"/>
      <c r="J31142" s="711"/>
      <c r="K31142" s="711"/>
      <c r="L31142" s="711"/>
      <c r="Q31142" s="11"/>
      <c r="R31142" s="11"/>
      <c r="S31142" s="11"/>
      <c r="T31142" s="11"/>
    </row>
    <row r="31143" spans="8:20" x14ac:dyDescent="0.35">
      <c r="H31143" s="711"/>
      <c r="I31143" s="711"/>
      <c r="J31143" s="711"/>
      <c r="K31143" s="711"/>
      <c r="L31143" s="711"/>
      <c r="Q31143" s="11"/>
      <c r="R31143" s="11"/>
      <c r="S31143" s="11"/>
      <c r="T31143" s="11"/>
    </row>
    <row r="31144" spans="8:20" x14ac:dyDescent="0.35">
      <c r="H31144" s="711"/>
      <c r="I31144" s="711"/>
      <c r="J31144" s="711"/>
      <c r="K31144" s="711"/>
      <c r="L31144" s="711"/>
      <c r="Q31144" s="11"/>
      <c r="R31144" s="11"/>
      <c r="S31144" s="11"/>
      <c r="T31144" s="11"/>
    </row>
    <row r="31145" spans="8:20" x14ac:dyDescent="0.35">
      <c r="H31145" s="711"/>
      <c r="I31145" s="711"/>
      <c r="J31145" s="711"/>
      <c r="K31145" s="711"/>
      <c r="L31145" s="711"/>
      <c r="Q31145" s="11"/>
      <c r="R31145" s="11"/>
      <c r="S31145" s="11"/>
      <c r="T31145" s="11"/>
    </row>
    <row r="31146" spans="8:20" x14ac:dyDescent="0.35">
      <c r="H31146" s="711"/>
      <c r="I31146" s="711"/>
      <c r="J31146" s="711"/>
      <c r="K31146" s="711"/>
      <c r="L31146" s="711"/>
      <c r="Q31146" s="11"/>
      <c r="R31146" s="11"/>
      <c r="S31146" s="11"/>
      <c r="T31146" s="11"/>
    </row>
    <row r="31147" spans="8:20" x14ac:dyDescent="0.35">
      <c r="H31147" s="711"/>
      <c r="I31147" s="711"/>
      <c r="J31147" s="711"/>
      <c r="K31147" s="711"/>
      <c r="L31147" s="711"/>
      <c r="Q31147" s="11"/>
      <c r="R31147" s="11"/>
      <c r="S31147" s="11"/>
      <c r="T31147" s="11"/>
    </row>
    <row r="31148" spans="8:20" x14ac:dyDescent="0.35">
      <c r="H31148" s="711"/>
      <c r="I31148" s="711"/>
      <c r="J31148" s="711"/>
      <c r="K31148" s="711"/>
      <c r="L31148" s="711"/>
      <c r="Q31148" s="11"/>
      <c r="R31148" s="11"/>
      <c r="S31148" s="11"/>
      <c r="T31148" s="11"/>
    </row>
    <row r="31149" spans="8:20" x14ac:dyDescent="0.35">
      <c r="H31149" s="711"/>
      <c r="I31149" s="711"/>
      <c r="J31149" s="711"/>
      <c r="K31149" s="711"/>
      <c r="L31149" s="711"/>
      <c r="Q31149" s="11"/>
      <c r="R31149" s="11"/>
      <c r="S31149" s="11"/>
      <c r="T31149" s="11"/>
    </row>
    <row r="31150" spans="8:20" x14ac:dyDescent="0.35">
      <c r="H31150" s="711"/>
      <c r="I31150" s="711"/>
      <c r="J31150" s="711"/>
      <c r="K31150" s="711"/>
      <c r="L31150" s="711"/>
      <c r="Q31150" s="11"/>
      <c r="R31150" s="11"/>
      <c r="S31150" s="11"/>
      <c r="T31150" s="11"/>
    </row>
    <row r="31151" spans="8:20" x14ac:dyDescent="0.35">
      <c r="H31151" s="711"/>
      <c r="I31151" s="711"/>
      <c r="J31151" s="711"/>
      <c r="K31151" s="711"/>
      <c r="L31151" s="711"/>
      <c r="Q31151" s="11"/>
      <c r="R31151" s="11"/>
      <c r="S31151" s="11"/>
      <c r="T31151" s="11"/>
    </row>
    <row r="31152" spans="8:20" x14ac:dyDescent="0.35">
      <c r="H31152" s="711"/>
      <c r="I31152" s="711"/>
      <c r="J31152" s="711"/>
      <c r="K31152" s="711"/>
      <c r="L31152" s="711"/>
      <c r="Q31152" s="11"/>
      <c r="R31152" s="11"/>
      <c r="S31152" s="11"/>
      <c r="T31152" s="11"/>
    </row>
    <row r="31153" spans="8:20" x14ac:dyDescent="0.35">
      <c r="H31153" s="711"/>
      <c r="I31153" s="711"/>
      <c r="J31153" s="711"/>
      <c r="K31153" s="711"/>
      <c r="L31153" s="711"/>
      <c r="Q31153" s="11"/>
      <c r="R31153" s="11"/>
      <c r="S31153" s="11"/>
      <c r="T31153" s="11"/>
    </row>
    <row r="31154" spans="8:20" x14ac:dyDescent="0.35">
      <c r="H31154" s="711"/>
      <c r="I31154" s="711"/>
      <c r="J31154" s="711"/>
      <c r="K31154" s="711"/>
      <c r="L31154" s="711"/>
      <c r="Q31154" s="11"/>
      <c r="R31154" s="11"/>
      <c r="S31154" s="11"/>
      <c r="T31154" s="11"/>
    </row>
    <row r="31155" spans="8:20" x14ac:dyDescent="0.35">
      <c r="H31155" s="711"/>
      <c r="I31155" s="711"/>
      <c r="J31155" s="711"/>
      <c r="K31155" s="711"/>
      <c r="L31155" s="711"/>
      <c r="Q31155" s="11"/>
      <c r="R31155" s="11"/>
      <c r="S31155" s="11"/>
      <c r="T31155" s="11"/>
    </row>
    <row r="31156" spans="8:20" x14ac:dyDescent="0.35">
      <c r="H31156" s="711"/>
      <c r="I31156" s="711"/>
      <c r="J31156" s="711"/>
      <c r="K31156" s="711"/>
      <c r="L31156" s="711"/>
      <c r="Q31156" s="11"/>
      <c r="R31156" s="11"/>
      <c r="S31156" s="11"/>
      <c r="T31156" s="11"/>
    </row>
    <row r="31157" spans="8:20" x14ac:dyDescent="0.35">
      <c r="H31157" s="711"/>
      <c r="I31157" s="711"/>
      <c r="J31157" s="711"/>
      <c r="K31157" s="711"/>
      <c r="L31157" s="711"/>
      <c r="Q31157" s="11"/>
      <c r="R31157" s="11"/>
      <c r="S31157" s="11"/>
      <c r="T31157" s="11"/>
    </row>
    <row r="31158" spans="8:20" x14ac:dyDescent="0.35">
      <c r="H31158" s="711"/>
      <c r="I31158" s="711"/>
      <c r="J31158" s="711"/>
      <c r="K31158" s="711"/>
      <c r="L31158" s="711"/>
      <c r="Q31158" s="11"/>
      <c r="R31158" s="11"/>
      <c r="S31158" s="11"/>
      <c r="T31158" s="11"/>
    </row>
    <row r="31159" spans="8:20" x14ac:dyDescent="0.35">
      <c r="H31159" s="711"/>
      <c r="I31159" s="711"/>
      <c r="J31159" s="711"/>
      <c r="K31159" s="711"/>
      <c r="L31159" s="711"/>
      <c r="Q31159" s="11"/>
      <c r="R31159" s="11"/>
      <c r="S31159" s="11"/>
      <c r="T31159" s="11"/>
    </row>
    <row r="31160" spans="8:20" x14ac:dyDescent="0.35">
      <c r="H31160" s="711"/>
      <c r="I31160" s="711"/>
      <c r="J31160" s="711"/>
      <c r="K31160" s="711"/>
      <c r="L31160" s="711"/>
      <c r="Q31160" s="11"/>
      <c r="R31160" s="11"/>
      <c r="S31160" s="11"/>
      <c r="T31160" s="11"/>
    </row>
    <row r="31161" spans="8:20" x14ac:dyDescent="0.35">
      <c r="H31161" s="711"/>
      <c r="I31161" s="711"/>
      <c r="J31161" s="711"/>
      <c r="K31161" s="711"/>
      <c r="L31161" s="711"/>
      <c r="Q31161" s="11"/>
      <c r="R31161" s="11"/>
      <c r="S31161" s="11"/>
      <c r="T31161" s="11"/>
    </row>
    <row r="31162" spans="8:20" x14ac:dyDescent="0.35">
      <c r="H31162" s="711"/>
      <c r="I31162" s="711"/>
      <c r="J31162" s="711"/>
      <c r="K31162" s="711"/>
      <c r="L31162" s="711"/>
      <c r="Q31162" s="11"/>
      <c r="R31162" s="11"/>
      <c r="S31162" s="11"/>
      <c r="T31162" s="11"/>
    </row>
    <row r="31163" spans="8:20" x14ac:dyDescent="0.35">
      <c r="H31163" s="711"/>
      <c r="I31163" s="711"/>
      <c r="J31163" s="711"/>
      <c r="K31163" s="711"/>
      <c r="L31163" s="711"/>
      <c r="Q31163" s="11"/>
      <c r="R31163" s="11"/>
      <c r="S31163" s="11"/>
      <c r="T31163" s="11"/>
    </row>
    <row r="31164" spans="8:20" x14ac:dyDescent="0.35">
      <c r="H31164" s="711"/>
      <c r="I31164" s="711"/>
      <c r="J31164" s="711"/>
      <c r="K31164" s="711"/>
      <c r="L31164" s="711"/>
      <c r="Q31164" s="11"/>
      <c r="R31164" s="11"/>
      <c r="S31164" s="11"/>
      <c r="T31164" s="11"/>
    </row>
    <row r="31165" spans="8:20" x14ac:dyDescent="0.35">
      <c r="H31165" s="711"/>
      <c r="I31165" s="711"/>
      <c r="J31165" s="711"/>
      <c r="K31165" s="711"/>
      <c r="L31165" s="711"/>
      <c r="Q31165" s="11"/>
      <c r="R31165" s="11"/>
      <c r="S31165" s="11"/>
      <c r="T31165" s="11"/>
    </row>
    <row r="31166" spans="8:20" x14ac:dyDescent="0.35">
      <c r="H31166" s="711"/>
      <c r="I31166" s="711"/>
      <c r="J31166" s="711"/>
      <c r="K31166" s="711"/>
      <c r="L31166" s="711"/>
      <c r="Q31166" s="11"/>
      <c r="R31166" s="11"/>
      <c r="S31166" s="11"/>
      <c r="T31166" s="11"/>
    </row>
    <row r="31167" spans="8:20" x14ac:dyDescent="0.35">
      <c r="H31167" s="711"/>
      <c r="I31167" s="711"/>
      <c r="J31167" s="711"/>
      <c r="K31167" s="711"/>
      <c r="L31167" s="711"/>
      <c r="Q31167" s="11"/>
      <c r="R31167" s="11"/>
      <c r="S31167" s="11"/>
      <c r="T31167" s="11"/>
    </row>
    <row r="31168" spans="8:20" x14ac:dyDescent="0.35">
      <c r="H31168" s="711"/>
      <c r="I31168" s="711"/>
      <c r="J31168" s="711"/>
      <c r="K31168" s="711"/>
      <c r="L31168" s="711"/>
      <c r="Q31168" s="11"/>
      <c r="R31168" s="11"/>
      <c r="S31168" s="11"/>
      <c r="T31168" s="11"/>
    </row>
    <row r="31169" spans="8:20" x14ac:dyDescent="0.35">
      <c r="H31169" s="711"/>
      <c r="I31169" s="711"/>
      <c r="J31169" s="711"/>
      <c r="K31169" s="711"/>
      <c r="L31169" s="711"/>
      <c r="Q31169" s="11"/>
      <c r="R31169" s="11"/>
      <c r="S31169" s="11"/>
      <c r="T31169" s="11"/>
    </row>
    <row r="31170" spans="8:20" x14ac:dyDescent="0.35">
      <c r="H31170" s="711"/>
      <c r="I31170" s="711"/>
      <c r="J31170" s="711"/>
      <c r="K31170" s="711"/>
      <c r="L31170" s="711"/>
      <c r="Q31170" s="11"/>
      <c r="R31170" s="11"/>
      <c r="S31170" s="11"/>
      <c r="T31170" s="11"/>
    </row>
    <row r="31171" spans="8:20" x14ac:dyDescent="0.35">
      <c r="H31171" s="711"/>
      <c r="I31171" s="711"/>
      <c r="J31171" s="711"/>
      <c r="K31171" s="711"/>
      <c r="L31171" s="711"/>
      <c r="Q31171" s="11"/>
      <c r="R31171" s="11"/>
      <c r="S31171" s="11"/>
      <c r="T31171" s="11"/>
    </row>
    <row r="31172" spans="8:20" x14ac:dyDescent="0.35">
      <c r="H31172" s="711"/>
      <c r="I31172" s="711"/>
      <c r="J31172" s="711"/>
      <c r="K31172" s="711"/>
      <c r="L31172" s="711"/>
      <c r="Q31172" s="11"/>
      <c r="R31172" s="11"/>
      <c r="S31172" s="11"/>
      <c r="T31172" s="11"/>
    </row>
    <row r="31173" spans="8:20" x14ac:dyDescent="0.35">
      <c r="H31173" s="711"/>
      <c r="I31173" s="711"/>
      <c r="J31173" s="711"/>
      <c r="K31173" s="711"/>
      <c r="L31173" s="711"/>
      <c r="Q31173" s="11"/>
      <c r="R31173" s="11"/>
      <c r="S31173" s="11"/>
      <c r="T31173" s="11"/>
    </row>
    <row r="31174" spans="8:20" x14ac:dyDescent="0.35">
      <c r="H31174" s="711"/>
      <c r="I31174" s="711"/>
      <c r="J31174" s="711"/>
      <c r="K31174" s="711"/>
      <c r="L31174" s="711"/>
      <c r="Q31174" s="11"/>
      <c r="R31174" s="11"/>
      <c r="S31174" s="11"/>
      <c r="T31174" s="11"/>
    </row>
    <row r="31175" spans="8:20" x14ac:dyDescent="0.35">
      <c r="H31175" s="711"/>
      <c r="I31175" s="711"/>
      <c r="J31175" s="711"/>
      <c r="K31175" s="711"/>
      <c r="L31175" s="711"/>
      <c r="Q31175" s="11"/>
      <c r="R31175" s="11"/>
      <c r="S31175" s="11"/>
      <c r="T31175" s="11"/>
    </row>
    <row r="31176" spans="8:20" x14ac:dyDescent="0.35">
      <c r="H31176" s="711"/>
      <c r="I31176" s="711"/>
      <c r="J31176" s="711"/>
      <c r="K31176" s="711"/>
      <c r="L31176" s="711"/>
      <c r="Q31176" s="11"/>
      <c r="R31176" s="11"/>
      <c r="S31176" s="11"/>
      <c r="T31176" s="11"/>
    </row>
    <row r="31177" spans="8:20" x14ac:dyDescent="0.35">
      <c r="H31177" s="711"/>
      <c r="I31177" s="711"/>
      <c r="J31177" s="711"/>
      <c r="K31177" s="711"/>
      <c r="L31177" s="711"/>
      <c r="Q31177" s="11"/>
      <c r="R31177" s="11"/>
      <c r="S31177" s="11"/>
      <c r="T31177" s="11"/>
    </row>
    <row r="31178" spans="8:20" x14ac:dyDescent="0.35">
      <c r="H31178" s="711"/>
      <c r="I31178" s="711"/>
      <c r="J31178" s="711"/>
      <c r="K31178" s="711"/>
      <c r="L31178" s="711"/>
      <c r="Q31178" s="11"/>
      <c r="R31178" s="11"/>
      <c r="S31178" s="11"/>
      <c r="T31178" s="11"/>
    </row>
    <row r="31179" spans="8:20" x14ac:dyDescent="0.35">
      <c r="H31179" s="711"/>
      <c r="I31179" s="711"/>
      <c r="J31179" s="711"/>
      <c r="K31179" s="711"/>
      <c r="L31179" s="711"/>
      <c r="Q31179" s="11"/>
      <c r="R31179" s="11"/>
      <c r="S31179" s="11"/>
      <c r="T31179" s="11"/>
    </row>
    <row r="31180" spans="8:20" x14ac:dyDescent="0.35">
      <c r="H31180" s="711"/>
      <c r="I31180" s="711"/>
      <c r="J31180" s="711"/>
      <c r="K31180" s="711"/>
      <c r="L31180" s="711"/>
      <c r="Q31180" s="11"/>
      <c r="R31180" s="11"/>
      <c r="S31180" s="11"/>
      <c r="T31180" s="11"/>
    </row>
    <row r="31181" spans="8:20" x14ac:dyDescent="0.35">
      <c r="H31181" s="711"/>
      <c r="I31181" s="711"/>
      <c r="J31181" s="711"/>
      <c r="K31181" s="711"/>
      <c r="L31181" s="711"/>
      <c r="Q31181" s="11"/>
      <c r="R31181" s="11"/>
      <c r="S31181" s="11"/>
      <c r="T31181" s="11"/>
    </row>
    <row r="31182" spans="8:20" x14ac:dyDescent="0.35">
      <c r="H31182" s="711"/>
      <c r="I31182" s="711"/>
      <c r="J31182" s="711"/>
      <c r="K31182" s="711"/>
      <c r="L31182" s="711"/>
      <c r="Q31182" s="11"/>
      <c r="R31182" s="11"/>
      <c r="S31182" s="11"/>
      <c r="T31182" s="11"/>
    </row>
    <row r="31183" spans="8:20" x14ac:dyDescent="0.35">
      <c r="H31183" s="711"/>
      <c r="I31183" s="711"/>
      <c r="J31183" s="711"/>
      <c r="K31183" s="711"/>
      <c r="L31183" s="711"/>
      <c r="Q31183" s="11"/>
      <c r="R31183" s="11"/>
      <c r="S31183" s="11"/>
      <c r="T31183" s="11"/>
    </row>
    <row r="31184" spans="8:20" x14ac:dyDescent="0.35">
      <c r="H31184" s="711"/>
      <c r="I31184" s="711"/>
      <c r="J31184" s="711"/>
      <c r="K31184" s="711"/>
      <c r="L31184" s="711"/>
      <c r="Q31184" s="11"/>
      <c r="R31184" s="11"/>
      <c r="S31184" s="11"/>
      <c r="T31184" s="11"/>
    </row>
    <row r="31185" spans="8:20" x14ac:dyDescent="0.35">
      <c r="H31185" s="711"/>
      <c r="I31185" s="711"/>
      <c r="J31185" s="711"/>
      <c r="K31185" s="711"/>
      <c r="L31185" s="711"/>
      <c r="Q31185" s="11"/>
      <c r="R31185" s="11"/>
      <c r="S31185" s="11"/>
      <c r="T31185" s="11"/>
    </row>
    <row r="31186" spans="8:20" x14ac:dyDescent="0.35">
      <c r="H31186" s="711"/>
      <c r="I31186" s="711"/>
      <c r="J31186" s="711"/>
      <c r="K31186" s="711"/>
      <c r="L31186" s="711"/>
      <c r="Q31186" s="11"/>
      <c r="R31186" s="11"/>
      <c r="S31186" s="11"/>
      <c r="T31186" s="11"/>
    </row>
    <row r="31187" spans="8:20" x14ac:dyDescent="0.35">
      <c r="H31187" s="711"/>
      <c r="I31187" s="711"/>
      <c r="J31187" s="711"/>
      <c r="K31187" s="711"/>
      <c r="L31187" s="711"/>
      <c r="Q31187" s="11"/>
      <c r="R31187" s="11"/>
      <c r="S31187" s="11"/>
      <c r="T31187" s="11"/>
    </row>
    <row r="31188" spans="8:20" x14ac:dyDescent="0.35">
      <c r="H31188" s="711"/>
      <c r="I31188" s="711"/>
      <c r="J31188" s="711"/>
      <c r="K31188" s="711"/>
      <c r="L31188" s="711"/>
      <c r="Q31188" s="11"/>
      <c r="R31188" s="11"/>
      <c r="S31188" s="11"/>
      <c r="T31188" s="11"/>
    </row>
    <row r="31189" spans="8:20" x14ac:dyDescent="0.35">
      <c r="H31189" s="711"/>
      <c r="I31189" s="711"/>
      <c r="J31189" s="711"/>
      <c r="K31189" s="711"/>
      <c r="L31189" s="711"/>
      <c r="Q31189" s="11"/>
      <c r="R31189" s="11"/>
      <c r="S31189" s="11"/>
      <c r="T31189" s="11"/>
    </row>
    <row r="31190" spans="8:20" x14ac:dyDescent="0.35">
      <c r="H31190" s="711"/>
      <c r="I31190" s="711"/>
      <c r="J31190" s="711"/>
      <c r="K31190" s="711"/>
      <c r="L31190" s="711"/>
      <c r="Q31190" s="11"/>
      <c r="R31190" s="11"/>
      <c r="S31190" s="11"/>
      <c r="T31190" s="11"/>
    </row>
    <row r="31191" spans="8:20" x14ac:dyDescent="0.35">
      <c r="H31191" s="711"/>
      <c r="I31191" s="711"/>
      <c r="J31191" s="711"/>
      <c r="K31191" s="711"/>
      <c r="L31191" s="711"/>
      <c r="Q31191" s="11"/>
      <c r="R31191" s="11"/>
      <c r="S31191" s="11"/>
      <c r="T31191" s="11"/>
    </row>
    <row r="31192" spans="8:20" x14ac:dyDescent="0.35">
      <c r="H31192" s="711"/>
      <c r="I31192" s="711"/>
      <c r="J31192" s="711"/>
      <c r="K31192" s="711"/>
      <c r="L31192" s="711"/>
      <c r="Q31192" s="11"/>
      <c r="R31192" s="11"/>
      <c r="S31192" s="11"/>
      <c r="T31192" s="11"/>
    </row>
    <row r="31193" spans="8:20" x14ac:dyDescent="0.35">
      <c r="H31193" s="711"/>
      <c r="I31193" s="711"/>
      <c r="J31193" s="711"/>
      <c r="K31193" s="711"/>
      <c r="L31193" s="711"/>
      <c r="Q31193" s="11"/>
      <c r="R31193" s="11"/>
      <c r="S31193" s="11"/>
      <c r="T31193" s="11"/>
    </row>
    <row r="31194" spans="8:20" x14ac:dyDescent="0.35">
      <c r="H31194" s="711"/>
      <c r="I31194" s="711"/>
      <c r="J31194" s="711"/>
      <c r="K31194" s="711"/>
      <c r="L31194" s="711"/>
      <c r="Q31194" s="11"/>
      <c r="R31194" s="11"/>
      <c r="S31194" s="11"/>
      <c r="T31194" s="11"/>
    </row>
    <row r="31195" spans="8:20" x14ac:dyDescent="0.35">
      <c r="H31195" s="711"/>
      <c r="I31195" s="711"/>
      <c r="J31195" s="711"/>
      <c r="K31195" s="711"/>
      <c r="L31195" s="711"/>
      <c r="Q31195" s="11"/>
      <c r="R31195" s="11"/>
      <c r="S31195" s="11"/>
      <c r="T31195" s="11"/>
    </row>
    <row r="31196" spans="8:20" x14ac:dyDescent="0.35">
      <c r="H31196" s="711"/>
      <c r="I31196" s="711"/>
      <c r="J31196" s="711"/>
      <c r="K31196" s="711"/>
      <c r="L31196" s="711"/>
      <c r="Q31196" s="11"/>
      <c r="R31196" s="11"/>
      <c r="S31196" s="11"/>
      <c r="T31196" s="11"/>
    </row>
    <row r="31197" spans="8:20" x14ac:dyDescent="0.35">
      <c r="H31197" s="711"/>
      <c r="I31197" s="711"/>
      <c r="J31197" s="711"/>
      <c r="K31197" s="711"/>
      <c r="L31197" s="711"/>
      <c r="Q31197" s="11"/>
      <c r="R31197" s="11"/>
      <c r="S31197" s="11"/>
      <c r="T31197" s="11"/>
    </row>
    <row r="31198" spans="8:20" x14ac:dyDescent="0.35">
      <c r="H31198" s="711"/>
      <c r="I31198" s="711"/>
      <c r="J31198" s="711"/>
      <c r="K31198" s="711"/>
      <c r="L31198" s="711"/>
      <c r="Q31198" s="11"/>
      <c r="R31198" s="11"/>
      <c r="S31198" s="11"/>
      <c r="T31198" s="11"/>
    </row>
    <row r="31199" spans="8:20" x14ac:dyDescent="0.35">
      <c r="H31199" s="711"/>
      <c r="I31199" s="711"/>
      <c r="J31199" s="711"/>
      <c r="K31199" s="711"/>
      <c r="L31199" s="711"/>
      <c r="Q31199" s="11"/>
      <c r="R31199" s="11"/>
      <c r="S31199" s="11"/>
      <c r="T31199" s="11"/>
    </row>
    <row r="31200" spans="8:20" x14ac:dyDescent="0.35">
      <c r="H31200" s="711"/>
      <c r="I31200" s="711"/>
      <c r="J31200" s="711"/>
      <c r="K31200" s="711"/>
      <c r="L31200" s="711"/>
      <c r="Q31200" s="11"/>
      <c r="R31200" s="11"/>
      <c r="S31200" s="11"/>
      <c r="T31200" s="11"/>
    </row>
    <row r="31201" spans="8:20" x14ac:dyDescent="0.35">
      <c r="H31201" s="711"/>
      <c r="I31201" s="711"/>
      <c r="J31201" s="711"/>
      <c r="K31201" s="711"/>
      <c r="L31201" s="711"/>
      <c r="Q31201" s="11"/>
      <c r="R31201" s="11"/>
      <c r="S31201" s="11"/>
      <c r="T31201" s="11"/>
    </row>
    <row r="31202" spans="8:20" x14ac:dyDescent="0.35">
      <c r="H31202" s="711"/>
      <c r="I31202" s="711"/>
      <c r="J31202" s="711"/>
      <c r="K31202" s="711"/>
      <c r="L31202" s="711"/>
      <c r="Q31202" s="11"/>
      <c r="R31202" s="11"/>
      <c r="S31202" s="11"/>
      <c r="T31202" s="11"/>
    </row>
    <row r="31203" spans="8:20" x14ac:dyDescent="0.35">
      <c r="H31203" s="711"/>
      <c r="I31203" s="711"/>
      <c r="J31203" s="711"/>
      <c r="K31203" s="711"/>
      <c r="L31203" s="711"/>
      <c r="Q31203" s="11"/>
      <c r="R31203" s="11"/>
      <c r="S31203" s="11"/>
      <c r="T31203" s="11"/>
    </row>
    <row r="31204" spans="8:20" x14ac:dyDescent="0.35">
      <c r="H31204" s="711"/>
      <c r="I31204" s="711"/>
      <c r="J31204" s="711"/>
      <c r="K31204" s="711"/>
      <c r="L31204" s="711"/>
      <c r="Q31204" s="11"/>
      <c r="R31204" s="11"/>
      <c r="S31204" s="11"/>
      <c r="T31204" s="11"/>
    </row>
    <row r="31205" spans="8:20" x14ac:dyDescent="0.35">
      <c r="H31205" s="711"/>
      <c r="I31205" s="711"/>
      <c r="J31205" s="711"/>
      <c r="K31205" s="711"/>
      <c r="L31205" s="711"/>
      <c r="Q31205" s="11"/>
      <c r="R31205" s="11"/>
      <c r="S31205" s="11"/>
      <c r="T31205" s="11"/>
    </row>
    <row r="31206" spans="8:20" x14ac:dyDescent="0.35">
      <c r="H31206" s="711"/>
      <c r="I31206" s="711"/>
      <c r="J31206" s="711"/>
      <c r="K31206" s="711"/>
      <c r="L31206" s="711"/>
      <c r="Q31206" s="11"/>
      <c r="R31206" s="11"/>
      <c r="S31206" s="11"/>
      <c r="T31206" s="11"/>
    </row>
    <row r="31207" spans="8:20" x14ac:dyDescent="0.35">
      <c r="H31207" s="711"/>
      <c r="I31207" s="711"/>
      <c r="J31207" s="711"/>
      <c r="K31207" s="711"/>
      <c r="L31207" s="711"/>
      <c r="Q31207" s="11"/>
      <c r="R31207" s="11"/>
      <c r="S31207" s="11"/>
      <c r="T31207" s="11"/>
    </row>
    <row r="31208" spans="8:20" x14ac:dyDescent="0.35">
      <c r="H31208" s="711"/>
      <c r="I31208" s="711"/>
      <c r="J31208" s="711"/>
      <c r="K31208" s="711"/>
      <c r="L31208" s="711"/>
      <c r="Q31208" s="11"/>
      <c r="R31208" s="11"/>
      <c r="S31208" s="11"/>
      <c r="T31208" s="11"/>
    </row>
    <row r="31209" spans="8:20" x14ac:dyDescent="0.35">
      <c r="H31209" s="711"/>
      <c r="I31209" s="711"/>
      <c r="J31209" s="711"/>
      <c r="K31209" s="711"/>
      <c r="L31209" s="711"/>
      <c r="Q31209" s="11"/>
      <c r="R31209" s="11"/>
      <c r="S31209" s="11"/>
      <c r="T31209" s="11"/>
    </row>
    <row r="31210" spans="8:20" x14ac:dyDescent="0.35">
      <c r="H31210" s="711"/>
      <c r="I31210" s="711"/>
      <c r="J31210" s="711"/>
      <c r="K31210" s="711"/>
      <c r="L31210" s="711"/>
      <c r="Q31210" s="11"/>
      <c r="R31210" s="11"/>
      <c r="S31210" s="11"/>
      <c r="T31210" s="11"/>
    </row>
    <row r="31211" spans="8:20" x14ac:dyDescent="0.35">
      <c r="H31211" s="711"/>
      <c r="I31211" s="711"/>
      <c r="J31211" s="711"/>
      <c r="K31211" s="711"/>
      <c r="L31211" s="711"/>
      <c r="Q31211" s="11"/>
      <c r="R31211" s="11"/>
      <c r="S31211" s="11"/>
      <c r="T31211" s="11"/>
    </row>
    <row r="31212" spans="8:20" x14ac:dyDescent="0.35">
      <c r="H31212" s="711"/>
      <c r="I31212" s="711"/>
      <c r="J31212" s="711"/>
      <c r="K31212" s="711"/>
      <c r="L31212" s="711"/>
      <c r="Q31212" s="11"/>
      <c r="R31212" s="11"/>
      <c r="S31212" s="11"/>
      <c r="T31212" s="11"/>
    </row>
    <row r="31213" spans="8:20" x14ac:dyDescent="0.35">
      <c r="H31213" s="711"/>
      <c r="I31213" s="711"/>
      <c r="J31213" s="711"/>
      <c r="K31213" s="711"/>
      <c r="L31213" s="711"/>
      <c r="Q31213" s="11"/>
      <c r="R31213" s="11"/>
      <c r="S31213" s="11"/>
      <c r="T31213" s="11"/>
    </row>
    <row r="31214" spans="8:20" x14ac:dyDescent="0.35">
      <c r="H31214" s="711"/>
      <c r="I31214" s="711"/>
      <c r="J31214" s="711"/>
      <c r="K31214" s="711"/>
      <c r="L31214" s="711"/>
      <c r="Q31214" s="11"/>
      <c r="R31214" s="11"/>
      <c r="S31214" s="11"/>
      <c r="T31214" s="11"/>
    </row>
    <row r="31215" spans="8:20" x14ac:dyDescent="0.35">
      <c r="H31215" s="711"/>
      <c r="I31215" s="711"/>
      <c r="J31215" s="711"/>
      <c r="K31215" s="711"/>
      <c r="L31215" s="711"/>
      <c r="Q31215" s="11"/>
      <c r="R31215" s="11"/>
      <c r="S31215" s="11"/>
      <c r="T31215" s="11"/>
    </row>
    <row r="31216" spans="8:20" x14ac:dyDescent="0.35">
      <c r="H31216" s="711"/>
      <c r="I31216" s="711"/>
      <c r="J31216" s="711"/>
      <c r="K31216" s="711"/>
      <c r="L31216" s="711"/>
      <c r="Q31216" s="11"/>
      <c r="R31216" s="11"/>
      <c r="S31216" s="11"/>
      <c r="T31216" s="11"/>
    </row>
    <row r="31217" spans="8:20" x14ac:dyDescent="0.35">
      <c r="H31217" s="711"/>
      <c r="I31217" s="711"/>
      <c r="J31217" s="711"/>
      <c r="K31217" s="711"/>
      <c r="L31217" s="711"/>
      <c r="Q31217" s="11"/>
      <c r="R31217" s="11"/>
      <c r="S31217" s="11"/>
      <c r="T31217" s="11"/>
    </row>
    <row r="31218" spans="8:20" x14ac:dyDescent="0.35">
      <c r="H31218" s="711"/>
      <c r="I31218" s="711"/>
      <c r="J31218" s="711"/>
      <c r="K31218" s="711"/>
      <c r="L31218" s="711"/>
      <c r="Q31218" s="11"/>
      <c r="R31218" s="11"/>
      <c r="S31218" s="11"/>
      <c r="T31218" s="11"/>
    </row>
    <row r="31219" spans="8:20" x14ac:dyDescent="0.35">
      <c r="H31219" s="711"/>
      <c r="I31219" s="711"/>
      <c r="J31219" s="711"/>
      <c r="K31219" s="711"/>
      <c r="L31219" s="711"/>
      <c r="Q31219" s="11"/>
      <c r="R31219" s="11"/>
      <c r="S31219" s="11"/>
      <c r="T31219" s="11"/>
    </row>
    <row r="31220" spans="8:20" x14ac:dyDescent="0.35">
      <c r="H31220" s="711"/>
      <c r="I31220" s="711"/>
      <c r="J31220" s="711"/>
      <c r="K31220" s="711"/>
      <c r="L31220" s="711"/>
      <c r="Q31220" s="11"/>
      <c r="R31220" s="11"/>
      <c r="S31220" s="11"/>
      <c r="T31220" s="11"/>
    </row>
    <row r="31221" spans="8:20" x14ac:dyDescent="0.35">
      <c r="H31221" s="711"/>
      <c r="I31221" s="711"/>
      <c r="J31221" s="711"/>
      <c r="K31221" s="711"/>
      <c r="L31221" s="711"/>
      <c r="Q31221" s="11"/>
      <c r="R31221" s="11"/>
      <c r="S31221" s="11"/>
      <c r="T31221" s="11"/>
    </row>
    <row r="31222" spans="8:20" x14ac:dyDescent="0.35">
      <c r="H31222" s="711"/>
      <c r="I31222" s="711"/>
      <c r="J31222" s="711"/>
      <c r="K31222" s="711"/>
      <c r="L31222" s="711"/>
      <c r="Q31222" s="11"/>
      <c r="R31222" s="11"/>
      <c r="S31222" s="11"/>
      <c r="T31222" s="11"/>
    </row>
    <row r="31223" spans="8:20" x14ac:dyDescent="0.35">
      <c r="H31223" s="711"/>
      <c r="I31223" s="711"/>
      <c r="J31223" s="711"/>
      <c r="K31223" s="711"/>
      <c r="L31223" s="711"/>
      <c r="Q31223" s="11"/>
      <c r="R31223" s="11"/>
      <c r="S31223" s="11"/>
      <c r="T31223" s="11"/>
    </row>
    <row r="31224" spans="8:20" x14ac:dyDescent="0.35">
      <c r="H31224" s="711"/>
      <c r="I31224" s="711"/>
      <c r="J31224" s="711"/>
      <c r="K31224" s="711"/>
      <c r="L31224" s="711"/>
      <c r="Q31224" s="11"/>
      <c r="R31224" s="11"/>
      <c r="S31224" s="11"/>
      <c r="T31224" s="11"/>
    </row>
    <row r="31225" spans="8:20" x14ac:dyDescent="0.35">
      <c r="H31225" s="711"/>
      <c r="I31225" s="711"/>
      <c r="J31225" s="711"/>
      <c r="K31225" s="711"/>
      <c r="L31225" s="711"/>
      <c r="Q31225" s="11"/>
      <c r="R31225" s="11"/>
      <c r="S31225" s="11"/>
      <c r="T31225" s="11"/>
    </row>
    <row r="31226" spans="8:20" x14ac:dyDescent="0.35">
      <c r="H31226" s="711"/>
      <c r="I31226" s="711"/>
      <c r="J31226" s="711"/>
      <c r="K31226" s="711"/>
      <c r="L31226" s="711"/>
      <c r="Q31226" s="11"/>
      <c r="R31226" s="11"/>
      <c r="S31226" s="11"/>
      <c r="T31226" s="11"/>
    </row>
    <row r="31227" spans="8:20" x14ac:dyDescent="0.35">
      <c r="H31227" s="711"/>
      <c r="I31227" s="711"/>
      <c r="J31227" s="711"/>
      <c r="K31227" s="711"/>
      <c r="L31227" s="711"/>
      <c r="Q31227" s="11"/>
      <c r="R31227" s="11"/>
      <c r="S31227" s="11"/>
      <c r="T31227" s="11"/>
    </row>
    <row r="31228" spans="8:20" x14ac:dyDescent="0.35">
      <c r="H31228" s="711"/>
      <c r="I31228" s="711"/>
      <c r="J31228" s="711"/>
      <c r="K31228" s="711"/>
      <c r="L31228" s="711"/>
      <c r="Q31228" s="11"/>
      <c r="R31228" s="11"/>
      <c r="S31228" s="11"/>
      <c r="T31228" s="11"/>
    </row>
    <row r="31229" spans="8:20" x14ac:dyDescent="0.35">
      <c r="H31229" s="711"/>
      <c r="I31229" s="711"/>
      <c r="J31229" s="711"/>
      <c r="K31229" s="711"/>
      <c r="L31229" s="711"/>
      <c r="Q31229" s="11"/>
      <c r="R31229" s="11"/>
      <c r="S31229" s="11"/>
      <c r="T31229" s="11"/>
    </row>
    <row r="31230" spans="8:20" x14ac:dyDescent="0.35">
      <c r="H31230" s="711"/>
      <c r="I31230" s="711"/>
      <c r="J31230" s="711"/>
      <c r="K31230" s="711"/>
      <c r="L31230" s="711"/>
      <c r="Q31230" s="11"/>
      <c r="R31230" s="11"/>
      <c r="S31230" s="11"/>
      <c r="T31230" s="11"/>
    </row>
    <row r="31231" spans="8:20" x14ac:dyDescent="0.35">
      <c r="H31231" s="711"/>
      <c r="I31231" s="711"/>
      <c r="J31231" s="711"/>
      <c r="K31231" s="711"/>
      <c r="L31231" s="711"/>
      <c r="Q31231" s="11"/>
      <c r="R31231" s="11"/>
      <c r="S31231" s="11"/>
      <c r="T31231" s="11"/>
    </row>
    <row r="31232" spans="8:20" x14ac:dyDescent="0.35">
      <c r="H31232" s="711"/>
      <c r="I31232" s="711"/>
      <c r="J31232" s="711"/>
      <c r="K31232" s="711"/>
      <c r="L31232" s="711"/>
      <c r="Q31232" s="11"/>
      <c r="R31232" s="11"/>
      <c r="S31232" s="11"/>
      <c r="T31232" s="11"/>
    </row>
    <row r="31233" spans="8:20" x14ac:dyDescent="0.35">
      <c r="H31233" s="711"/>
      <c r="I31233" s="711"/>
      <c r="J31233" s="711"/>
      <c r="K31233" s="711"/>
      <c r="L31233" s="711"/>
      <c r="Q31233" s="11"/>
      <c r="R31233" s="11"/>
      <c r="S31233" s="11"/>
      <c r="T31233" s="11"/>
    </row>
    <row r="31234" spans="8:20" x14ac:dyDescent="0.35">
      <c r="H31234" s="711"/>
      <c r="I31234" s="711"/>
      <c r="J31234" s="711"/>
      <c r="K31234" s="711"/>
      <c r="L31234" s="711"/>
      <c r="Q31234" s="11"/>
      <c r="R31234" s="11"/>
      <c r="S31234" s="11"/>
      <c r="T31234" s="11"/>
    </row>
    <row r="31235" spans="8:20" x14ac:dyDescent="0.35">
      <c r="H31235" s="711"/>
      <c r="I31235" s="711"/>
      <c r="J31235" s="711"/>
      <c r="K31235" s="711"/>
      <c r="L31235" s="711"/>
      <c r="Q31235" s="11"/>
      <c r="R31235" s="11"/>
      <c r="S31235" s="11"/>
      <c r="T31235" s="11"/>
    </row>
    <row r="31236" spans="8:20" x14ac:dyDescent="0.35">
      <c r="H31236" s="711"/>
      <c r="I31236" s="711"/>
      <c r="J31236" s="711"/>
      <c r="K31236" s="711"/>
      <c r="L31236" s="711"/>
      <c r="Q31236" s="11"/>
      <c r="R31236" s="11"/>
      <c r="S31236" s="11"/>
      <c r="T31236" s="11"/>
    </row>
    <row r="31237" spans="8:20" x14ac:dyDescent="0.35">
      <c r="H31237" s="711"/>
      <c r="I31237" s="711"/>
      <c r="J31237" s="711"/>
      <c r="K31237" s="711"/>
      <c r="L31237" s="711"/>
      <c r="Q31237" s="11"/>
      <c r="R31237" s="11"/>
      <c r="S31237" s="11"/>
      <c r="T31237" s="11"/>
    </row>
    <row r="31238" spans="8:20" x14ac:dyDescent="0.35">
      <c r="H31238" s="711"/>
      <c r="I31238" s="711"/>
      <c r="J31238" s="711"/>
      <c r="K31238" s="711"/>
      <c r="L31238" s="711"/>
      <c r="Q31238" s="11"/>
      <c r="R31238" s="11"/>
      <c r="S31238" s="11"/>
      <c r="T31238" s="11"/>
    </row>
    <row r="31239" spans="8:20" x14ac:dyDescent="0.35">
      <c r="H31239" s="711"/>
      <c r="I31239" s="711"/>
      <c r="J31239" s="711"/>
      <c r="K31239" s="711"/>
      <c r="L31239" s="711"/>
      <c r="Q31239" s="11"/>
      <c r="R31239" s="11"/>
      <c r="S31239" s="11"/>
      <c r="T31239" s="11"/>
    </row>
    <row r="31240" spans="8:20" x14ac:dyDescent="0.35">
      <c r="H31240" s="711"/>
      <c r="I31240" s="711"/>
      <c r="J31240" s="711"/>
      <c r="K31240" s="711"/>
      <c r="L31240" s="711"/>
      <c r="Q31240" s="11"/>
      <c r="R31240" s="11"/>
      <c r="S31240" s="11"/>
      <c r="T31240" s="11"/>
    </row>
    <row r="31241" spans="8:20" x14ac:dyDescent="0.35">
      <c r="H31241" s="711"/>
      <c r="I31241" s="711"/>
      <c r="J31241" s="711"/>
      <c r="K31241" s="711"/>
      <c r="L31241" s="711"/>
      <c r="Q31241" s="11"/>
      <c r="R31241" s="11"/>
      <c r="S31241" s="11"/>
      <c r="T31241" s="11"/>
    </row>
    <row r="31242" spans="8:20" x14ac:dyDescent="0.35">
      <c r="H31242" s="711"/>
      <c r="I31242" s="711"/>
      <c r="J31242" s="711"/>
      <c r="K31242" s="711"/>
      <c r="L31242" s="711"/>
      <c r="Q31242" s="11"/>
      <c r="R31242" s="11"/>
      <c r="S31242" s="11"/>
      <c r="T31242" s="11"/>
    </row>
    <row r="31243" spans="8:20" x14ac:dyDescent="0.35">
      <c r="H31243" s="711"/>
      <c r="I31243" s="711"/>
      <c r="J31243" s="711"/>
      <c r="K31243" s="711"/>
      <c r="L31243" s="711"/>
      <c r="Q31243" s="11"/>
      <c r="R31243" s="11"/>
      <c r="S31243" s="11"/>
      <c r="T31243" s="11"/>
    </row>
    <row r="31244" spans="8:20" x14ac:dyDescent="0.35">
      <c r="H31244" s="711"/>
      <c r="I31244" s="711"/>
      <c r="J31244" s="711"/>
      <c r="K31244" s="711"/>
      <c r="L31244" s="711"/>
      <c r="Q31244" s="11"/>
      <c r="R31244" s="11"/>
      <c r="S31244" s="11"/>
      <c r="T31244" s="11"/>
    </row>
    <row r="31245" spans="8:20" x14ac:dyDescent="0.35">
      <c r="H31245" s="711"/>
      <c r="I31245" s="711"/>
      <c r="J31245" s="711"/>
      <c r="K31245" s="711"/>
      <c r="L31245" s="711"/>
      <c r="Q31245" s="11"/>
      <c r="R31245" s="11"/>
      <c r="S31245" s="11"/>
      <c r="T31245" s="11"/>
    </row>
    <row r="31246" spans="8:20" x14ac:dyDescent="0.35">
      <c r="H31246" s="711"/>
      <c r="I31246" s="711"/>
      <c r="J31246" s="711"/>
      <c r="K31246" s="711"/>
      <c r="L31246" s="711"/>
      <c r="Q31246" s="11"/>
      <c r="R31246" s="11"/>
      <c r="S31246" s="11"/>
      <c r="T31246" s="11"/>
    </row>
    <row r="31247" spans="8:20" x14ac:dyDescent="0.35">
      <c r="H31247" s="711"/>
      <c r="I31247" s="711"/>
      <c r="J31247" s="711"/>
      <c r="K31247" s="711"/>
      <c r="L31247" s="711"/>
      <c r="Q31247" s="11"/>
      <c r="R31247" s="11"/>
      <c r="S31247" s="11"/>
      <c r="T31247" s="11"/>
    </row>
    <row r="31248" spans="8:20" x14ac:dyDescent="0.35">
      <c r="H31248" s="711"/>
      <c r="I31248" s="711"/>
      <c r="J31248" s="711"/>
      <c r="K31248" s="711"/>
      <c r="L31248" s="711"/>
      <c r="Q31248" s="11"/>
      <c r="R31248" s="11"/>
      <c r="S31248" s="11"/>
      <c r="T31248" s="11"/>
    </row>
    <row r="31249" spans="8:20" x14ac:dyDescent="0.35">
      <c r="H31249" s="711"/>
      <c r="I31249" s="711"/>
      <c r="J31249" s="711"/>
      <c r="K31249" s="711"/>
      <c r="L31249" s="711"/>
      <c r="Q31249" s="11"/>
      <c r="R31249" s="11"/>
      <c r="S31249" s="11"/>
      <c r="T31249" s="11"/>
    </row>
    <row r="31250" spans="8:20" x14ac:dyDescent="0.35">
      <c r="H31250" s="711"/>
      <c r="I31250" s="711"/>
      <c r="J31250" s="711"/>
      <c r="K31250" s="711"/>
      <c r="L31250" s="711"/>
      <c r="Q31250" s="11"/>
      <c r="R31250" s="11"/>
      <c r="S31250" s="11"/>
      <c r="T31250" s="11"/>
    </row>
    <row r="31251" spans="8:20" x14ac:dyDescent="0.35">
      <c r="H31251" s="711"/>
      <c r="I31251" s="711"/>
      <c r="J31251" s="711"/>
      <c r="K31251" s="711"/>
      <c r="L31251" s="711"/>
      <c r="Q31251" s="11"/>
      <c r="R31251" s="11"/>
      <c r="S31251" s="11"/>
      <c r="T31251" s="11"/>
    </row>
    <row r="31252" spans="8:20" x14ac:dyDescent="0.35">
      <c r="H31252" s="711"/>
      <c r="I31252" s="711"/>
      <c r="J31252" s="711"/>
      <c r="K31252" s="711"/>
      <c r="L31252" s="711"/>
      <c r="Q31252" s="11"/>
      <c r="R31252" s="11"/>
      <c r="S31252" s="11"/>
      <c r="T31252" s="11"/>
    </row>
    <row r="31253" spans="8:20" x14ac:dyDescent="0.35">
      <c r="H31253" s="711"/>
      <c r="I31253" s="711"/>
      <c r="J31253" s="711"/>
      <c r="K31253" s="711"/>
      <c r="L31253" s="711"/>
      <c r="Q31253" s="11"/>
      <c r="R31253" s="11"/>
      <c r="S31253" s="11"/>
      <c r="T31253" s="11"/>
    </row>
    <row r="31254" spans="8:20" x14ac:dyDescent="0.35">
      <c r="H31254" s="711"/>
      <c r="I31254" s="711"/>
      <c r="J31254" s="711"/>
      <c r="K31254" s="711"/>
      <c r="L31254" s="711"/>
      <c r="Q31254" s="11"/>
      <c r="R31254" s="11"/>
      <c r="S31254" s="11"/>
      <c r="T31254" s="11"/>
    </row>
    <row r="31255" spans="8:20" x14ac:dyDescent="0.35">
      <c r="H31255" s="711"/>
      <c r="I31255" s="711"/>
      <c r="J31255" s="711"/>
      <c r="K31255" s="711"/>
      <c r="L31255" s="711"/>
      <c r="Q31255" s="11"/>
      <c r="R31255" s="11"/>
      <c r="S31255" s="11"/>
      <c r="T31255" s="11"/>
    </row>
    <row r="31256" spans="8:20" x14ac:dyDescent="0.35">
      <c r="H31256" s="711"/>
      <c r="I31256" s="711"/>
      <c r="J31256" s="711"/>
      <c r="K31256" s="711"/>
      <c r="L31256" s="711"/>
      <c r="Q31256" s="11"/>
      <c r="R31256" s="11"/>
      <c r="S31256" s="11"/>
      <c r="T31256" s="11"/>
    </row>
    <row r="31257" spans="8:20" x14ac:dyDescent="0.35">
      <c r="H31257" s="711"/>
      <c r="I31257" s="711"/>
      <c r="J31257" s="711"/>
      <c r="K31257" s="711"/>
      <c r="L31257" s="711"/>
      <c r="Q31257" s="11"/>
      <c r="R31257" s="11"/>
      <c r="S31257" s="11"/>
      <c r="T31257" s="11"/>
    </row>
    <row r="31258" spans="8:20" x14ac:dyDescent="0.35">
      <c r="H31258" s="711"/>
      <c r="I31258" s="711"/>
      <c r="J31258" s="711"/>
      <c r="K31258" s="711"/>
      <c r="L31258" s="711"/>
      <c r="Q31258" s="11"/>
      <c r="R31258" s="11"/>
      <c r="S31258" s="11"/>
      <c r="T31258" s="11"/>
    </row>
    <row r="31259" spans="8:20" x14ac:dyDescent="0.35">
      <c r="H31259" s="711"/>
      <c r="I31259" s="711"/>
      <c r="J31259" s="711"/>
      <c r="K31259" s="711"/>
      <c r="L31259" s="711"/>
      <c r="Q31259" s="11"/>
      <c r="R31259" s="11"/>
      <c r="S31259" s="11"/>
      <c r="T31259" s="11"/>
    </row>
    <row r="31260" spans="8:20" x14ac:dyDescent="0.35">
      <c r="H31260" s="711"/>
      <c r="I31260" s="711"/>
      <c r="J31260" s="711"/>
      <c r="K31260" s="711"/>
      <c r="L31260" s="711"/>
      <c r="Q31260" s="11"/>
      <c r="R31260" s="11"/>
      <c r="S31260" s="11"/>
      <c r="T31260" s="11"/>
    </row>
    <row r="31261" spans="8:20" x14ac:dyDescent="0.35">
      <c r="H31261" s="711"/>
      <c r="I31261" s="711"/>
      <c r="J31261" s="711"/>
      <c r="K31261" s="711"/>
      <c r="L31261" s="711"/>
      <c r="Q31261" s="11"/>
      <c r="R31261" s="11"/>
      <c r="S31261" s="11"/>
      <c r="T31261" s="11"/>
    </row>
    <row r="31262" spans="8:20" x14ac:dyDescent="0.35">
      <c r="H31262" s="711"/>
      <c r="I31262" s="711"/>
      <c r="J31262" s="711"/>
      <c r="K31262" s="711"/>
      <c r="L31262" s="711"/>
      <c r="Q31262" s="11"/>
      <c r="R31262" s="11"/>
      <c r="S31262" s="11"/>
      <c r="T31262" s="11"/>
    </row>
    <row r="31263" spans="8:20" x14ac:dyDescent="0.35">
      <c r="H31263" s="711"/>
      <c r="I31263" s="711"/>
      <c r="J31263" s="711"/>
      <c r="K31263" s="711"/>
      <c r="L31263" s="711"/>
      <c r="Q31263" s="11"/>
      <c r="R31263" s="11"/>
      <c r="S31263" s="11"/>
      <c r="T31263" s="11"/>
    </row>
    <row r="31264" spans="8:20" x14ac:dyDescent="0.35">
      <c r="H31264" s="711"/>
      <c r="I31264" s="711"/>
      <c r="J31264" s="711"/>
      <c r="K31264" s="711"/>
      <c r="L31264" s="711"/>
      <c r="Q31264" s="11"/>
      <c r="R31264" s="11"/>
      <c r="S31264" s="11"/>
      <c r="T31264" s="11"/>
    </row>
    <row r="31265" spans="8:20" x14ac:dyDescent="0.35">
      <c r="H31265" s="711"/>
      <c r="I31265" s="711"/>
      <c r="J31265" s="711"/>
      <c r="K31265" s="711"/>
      <c r="L31265" s="711"/>
      <c r="Q31265" s="11"/>
      <c r="R31265" s="11"/>
      <c r="S31265" s="11"/>
      <c r="T31265" s="11"/>
    </row>
    <row r="31266" spans="8:20" x14ac:dyDescent="0.35">
      <c r="H31266" s="711"/>
      <c r="I31266" s="711"/>
      <c r="J31266" s="711"/>
      <c r="K31266" s="711"/>
      <c r="L31266" s="711"/>
      <c r="Q31266" s="11"/>
      <c r="R31266" s="11"/>
      <c r="S31266" s="11"/>
      <c r="T31266" s="11"/>
    </row>
    <row r="31267" spans="8:20" x14ac:dyDescent="0.35">
      <c r="H31267" s="711"/>
      <c r="I31267" s="711"/>
      <c r="J31267" s="711"/>
      <c r="K31267" s="711"/>
      <c r="L31267" s="711"/>
      <c r="Q31267" s="11"/>
      <c r="R31267" s="11"/>
      <c r="S31267" s="11"/>
      <c r="T31267" s="11"/>
    </row>
    <row r="31268" spans="8:20" x14ac:dyDescent="0.35">
      <c r="H31268" s="711"/>
      <c r="I31268" s="711"/>
      <c r="J31268" s="711"/>
      <c r="K31268" s="711"/>
      <c r="L31268" s="711"/>
      <c r="Q31268" s="11"/>
      <c r="R31268" s="11"/>
      <c r="S31268" s="11"/>
      <c r="T31268" s="11"/>
    </row>
    <row r="31269" spans="8:20" x14ac:dyDescent="0.35">
      <c r="H31269" s="711"/>
      <c r="I31269" s="711"/>
      <c r="J31269" s="711"/>
      <c r="K31269" s="711"/>
      <c r="L31269" s="711"/>
      <c r="Q31269" s="11"/>
      <c r="R31269" s="11"/>
      <c r="S31269" s="11"/>
      <c r="T31269" s="11"/>
    </row>
    <row r="31270" spans="8:20" x14ac:dyDescent="0.35">
      <c r="H31270" s="711"/>
      <c r="I31270" s="711"/>
      <c r="J31270" s="711"/>
      <c r="K31270" s="711"/>
      <c r="L31270" s="711"/>
      <c r="Q31270" s="11"/>
      <c r="R31270" s="11"/>
      <c r="S31270" s="11"/>
      <c r="T31270" s="11"/>
    </row>
    <row r="31271" spans="8:20" x14ac:dyDescent="0.35">
      <c r="H31271" s="711"/>
      <c r="I31271" s="711"/>
      <c r="J31271" s="711"/>
      <c r="K31271" s="711"/>
      <c r="L31271" s="711"/>
      <c r="Q31271" s="11"/>
      <c r="R31271" s="11"/>
      <c r="S31271" s="11"/>
      <c r="T31271" s="11"/>
    </row>
    <row r="31272" spans="8:20" x14ac:dyDescent="0.35">
      <c r="H31272" s="711"/>
      <c r="I31272" s="711"/>
      <c r="J31272" s="711"/>
      <c r="K31272" s="711"/>
      <c r="L31272" s="711"/>
      <c r="Q31272" s="11"/>
      <c r="R31272" s="11"/>
      <c r="S31272" s="11"/>
      <c r="T31272" s="11"/>
    </row>
    <row r="31273" spans="8:20" x14ac:dyDescent="0.35">
      <c r="H31273" s="711"/>
      <c r="I31273" s="711"/>
      <c r="J31273" s="711"/>
      <c r="K31273" s="711"/>
      <c r="L31273" s="711"/>
      <c r="Q31273" s="11"/>
      <c r="R31273" s="11"/>
      <c r="S31273" s="11"/>
      <c r="T31273" s="11"/>
    </row>
    <row r="31274" spans="8:20" x14ac:dyDescent="0.35">
      <c r="H31274" s="711"/>
      <c r="I31274" s="711"/>
      <c r="J31274" s="711"/>
      <c r="K31274" s="711"/>
      <c r="L31274" s="711"/>
      <c r="Q31274" s="11"/>
      <c r="R31274" s="11"/>
      <c r="S31274" s="11"/>
      <c r="T31274" s="11"/>
    </row>
    <row r="31275" spans="8:20" x14ac:dyDescent="0.35">
      <c r="H31275" s="711"/>
      <c r="I31275" s="711"/>
      <c r="J31275" s="711"/>
      <c r="K31275" s="711"/>
      <c r="L31275" s="711"/>
      <c r="Q31275" s="11"/>
      <c r="R31275" s="11"/>
      <c r="S31275" s="11"/>
      <c r="T31275" s="11"/>
    </row>
    <row r="31276" spans="8:20" x14ac:dyDescent="0.35">
      <c r="H31276" s="711"/>
      <c r="I31276" s="711"/>
      <c r="J31276" s="711"/>
      <c r="K31276" s="711"/>
      <c r="L31276" s="711"/>
      <c r="Q31276" s="11"/>
      <c r="R31276" s="11"/>
      <c r="S31276" s="11"/>
      <c r="T31276" s="11"/>
    </row>
    <row r="31277" spans="8:20" x14ac:dyDescent="0.35">
      <c r="H31277" s="711"/>
      <c r="I31277" s="711"/>
      <c r="J31277" s="711"/>
      <c r="K31277" s="711"/>
      <c r="L31277" s="711"/>
      <c r="Q31277" s="11"/>
      <c r="R31277" s="11"/>
      <c r="S31277" s="11"/>
      <c r="T31277" s="11"/>
    </row>
    <row r="31278" spans="8:20" x14ac:dyDescent="0.35">
      <c r="H31278" s="711"/>
      <c r="I31278" s="711"/>
      <c r="J31278" s="711"/>
      <c r="K31278" s="711"/>
      <c r="L31278" s="711"/>
      <c r="Q31278" s="11"/>
      <c r="R31278" s="11"/>
      <c r="S31278" s="11"/>
      <c r="T31278" s="11"/>
    </row>
    <row r="31279" spans="8:20" x14ac:dyDescent="0.35">
      <c r="H31279" s="711"/>
      <c r="I31279" s="711"/>
      <c r="J31279" s="711"/>
      <c r="K31279" s="711"/>
      <c r="L31279" s="711"/>
      <c r="Q31279" s="11"/>
      <c r="R31279" s="11"/>
      <c r="S31279" s="11"/>
      <c r="T31279" s="11"/>
    </row>
    <row r="31280" spans="8:20" x14ac:dyDescent="0.35">
      <c r="H31280" s="711"/>
      <c r="I31280" s="711"/>
      <c r="J31280" s="711"/>
      <c r="K31280" s="711"/>
      <c r="L31280" s="711"/>
      <c r="Q31280" s="11"/>
      <c r="R31280" s="11"/>
      <c r="S31280" s="11"/>
      <c r="T31280" s="11"/>
    </row>
    <row r="31281" spans="8:20" x14ac:dyDescent="0.35">
      <c r="H31281" s="711"/>
      <c r="I31281" s="711"/>
      <c r="J31281" s="711"/>
      <c r="K31281" s="711"/>
      <c r="L31281" s="711"/>
      <c r="Q31281" s="11"/>
      <c r="R31281" s="11"/>
      <c r="S31281" s="11"/>
      <c r="T31281" s="11"/>
    </row>
    <row r="31282" spans="8:20" x14ac:dyDescent="0.35">
      <c r="H31282" s="711"/>
      <c r="I31282" s="711"/>
      <c r="J31282" s="711"/>
      <c r="K31282" s="711"/>
      <c r="L31282" s="711"/>
      <c r="Q31282" s="11"/>
      <c r="R31282" s="11"/>
      <c r="S31282" s="11"/>
      <c r="T31282" s="11"/>
    </row>
    <row r="31283" spans="8:20" x14ac:dyDescent="0.35">
      <c r="H31283" s="711"/>
      <c r="I31283" s="711"/>
      <c r="J31283" s="711"/>
      <c r="K31283" s="711"/>
      <c r="L31283" s="711"/>
      <c r="Q31283" s="11"/>
      <c r="R31283" s="11"/>
      <c r="S31283" s="11"/>
      <c r="T31283" s="11"/>
    </row>
    <row r="31284" spans="8:20" x14ac:dyDescent="0.35">
      <c r="H31284" s="711"/>
      <c r="I31284" s="711"/>
      <c r="J31284" s="711"/>
      <c r="K31284" s="711"/>
      <c r="L31284" s="711"/>
      <c r="Q31284" s="11"/>
      <c r="R31284" s="11"/>
      <c r="S31284" s="11"/>
      <c r="T31284" s="11"/>
    </row>
    <row r="31285" spans="8:20" x14ac:dyDescent="0.35">
      <c r="H31285" s="711"/>
      <c r="I31285" s="711"/>
      <c r="J31285" s="711"/>
      <c r="K31285" s="711"/>
      <c r="L31285" s="711"/>
      <c r="Q31285" s="11"/>
      <c r="R31285" s="11"/>
      <c r="S31285" s="11"/>
      <c r="T31285" s="11"/>
    </row>
    <row r="31286" spans="8:20" x14ac:dyDescent="0.35">
      <c r="H31286" s="711"/>
      <c r="I31286" s="711"/>
      <c r="J31286" s="711"/>
      <c r="K31286" s="711"/>
      <c r="L31286" s="711"/>
      <c r="Q31286" s="11"/>
      <c r="R31286" s="11"/>
      <c r="S31286" s="11"/>
      <c r="T31286" s="11"/>
    </row>
    <row r="31287" spans="8:20" x14ac:dyDescent="0.35">
      <c r="H31287" s="711"/>
      <c r="I31287" s="711"/>
      <c r="J31287" s="711"/>
      <c r="K31287" s="711"/>
      <c r="L31287" s="711"/>
      <c r="Q31287" s="11"/>
      <c r="R31287" s="11"/>
      <c r="S31287" s="11"/>
      <c r="T31287" s="11"/>
    </row>
    <row r="31288" spans="8:20" x14ac:dyDescent="0.35">
      <c r="H31288" s="711"/>
      <c r="I31288" s="711"/>
      <c r="J31288" s="711"/>
      <c r="K31288" s="711"/>
      <c r="L31288" s="711"/>
      <c r="Q31288" s="11"/>
      <c r="R31288" s="11"/>
      <c r="S31288" s="11"/>
      <c r="T31288" s="11"/>
    </row>
    <row r="31289" spans="8:20" x14ac:dyDescent="0.35">
      <c r="H31289" s="711"/>
      <c r="I31289" s="711"/>
      <c r="J31289" s="711"/>
      <c r="K31289" s="711"/>
      <c r="L31289" s="711"/>
      <c r="Q31289" s="11"/>
      <c r="R31289" s="11"/>
      <c r="S31289" s="11"/>
      <c r="T31289" s="11"/>
    </row>
    <row r="31290" spans="8:20" x14ac:dyDescent="0.35">
      <c r="H31290" s="711"/>
      <c r="I31290" s="711"/>
      <c r="J31290" s="711"/>
      <c r="K31290" s="711"/>
      <c r="L31290" s="711"/>
      <c r="Q31290" s="11"/>
      <c r="R31290" s="11"/>
      <c r="S31290" s="11"/>
      <c r="T31290" s="11"/>
    </row>
    <row r="31291" spans="8:20" x14ac:dyDescent="0.35">
      <c r="H31291" s="711"/>
      <c r="I31291" s="711"/>
      <c r="J31291" s="711"/>
      <c r="K31291" s="711"/>
      <c r="L31291" s="711"/>
      <c r="Q31291" s="11"/>
      <c r="R31291" s="11"/>
      <c r="S31291" s="11"/>
      <c r="T31291" s="11"/>
    </row>
    <row r="31292" spans="8:20" x14ac:dyDescent="0.35">
      <c r="H31292" s="711"/>
      <c r="I31292" s="711"/>
      <c r="J31292" s="711"/>
      <c r="K31292" s="711"/>
      <c r="L31292" s="711"/>
      <c r="Q31292" s="11"/>
      <c r="R31292" s="11"/>
      <c r="S31292" s="11"/>
      <c r="T31292" s="11"/>
    </row>
    <row r="31293" spans="8:20" x14ac:dyDescent="0.35">
      <c r="H31293" s="711"/>
      <c r="I31293" s="711"/>
      <c r="J31293" s="711"/>
      <c r="K31293" s="711"/>
      <c r="L31293" s="711"/>
      <c r="Q31293" s="11"/>
      <c r="R31293" s="11"/>
      <c r="S31293" s="11"/>
      <c r="T31293" s="11"/>
    </row>
    <row r="31294" spans="8:20" x14ac:dyDescent="0.35">
      <c r="H31294" s="711"/>
      <c r="I31294" s="711"/>
      <c r="J31294" s="711"/>
      <c r="K31294" s="711"/>
      <c r="L31294" s="711"/>
      <c r="Q31294" s="11"/>
      <c r="R31294" s="11"/>
      <c r="S31294" s="11"/>
      <c r="T31294" s="11"/>
    </row>
    <row r="31295" spans="8:20" x14ac:dyDescent="0.35">
      <c r="H31295" s="711"/>
      <c r="I31295" s="711"/>
      <c r="J31295" s="711"/>
      <c r="K31295" s="711"/>
      <c r="L31295" s="711"/>
      <c r="Q31295" s="11"/>
      <c r="R31295" s="11"/>
      <c r="S31295" s="11"/>
      <c r="T31295" s="11"/>
    </row>
    <row r="31296" spans="8:20" x14ac:dyDescent="0.35">
      <c r="H31296" s="711"/>
      <c r="I31296" s="711"/>
      <c r="J31296" s="711"/>
      <c r="K31296" s="711"/>
      <c r="L31296" s="711"/>
      <c r="Q31296" s="11"/>
      <c r="R31296" s="11"/>
      <c r="S31296" s="11"/>
      <c r="T31296" s="11"/>
    </row>
    <row r="31297" spans="8:20" x14ac:dyDescent="0.35">
      <c r="H31297" s="711"/>
      <c r="I31297" s="711"/>
      <c r="J31297" s="711"/>
      <c r="K31297" s="711"/>
      <c r="L31297" s="711"/>
      <c r="Q31297" s="11"/>
      <c r="R31297" s="11"/>
      <c r="S31297" s="11"/>
      <c r="T31297" s="11"/>
    </row>
    <row r="31298" spans="8:20" x14ac:dyDescent="0.35">
      <c r="H31298" s="711"/>
      <c r="I31298" s="711"/>
      <c r="J31298" s="711"/>
      <c r="K31298" s="711"/>
      <c r="L31298" s="711"/>
      <c r="Q31298" s="11"/>
      <c r="R31298" s="11"/>
      <c r="S31298" s="11"/>
      <c r="T31298" s="11"/>
    </row>
    <row r="31299" spans="8:20" x14ac:dyDescent="0.35">
      <c r="H31299" s="711"/>
      <c r="I31299" s="711"/>
      <c r="J31299" s="711"/>
      <c r="K31299" s="711"/>
      <c r="L31299" s="711"/>
      <c r="Q31299" s="11"/>
      <c r="R31299" s="11"/>
      <c r="S31299" s="11"/>
      <c r="T31299" s="11"/>
    </row>
    <row r="31300" spans="8:20" x14ac:dyDescent="0.35">
      <c r="H31300" s="711"/>
      <c r="I31300" s="711"/>
      <c r="J31300" s="711"/>
      <c r="K31300" s="711"/>
      <c r="L31300" s="711"/>
      <c r="Q31300" s="11"/>
      <c r="R31300" s="11"/>
      <c r="S31300" s="11"/>
      <c r="T31300" s="11"/>
    </row>
    <row r="31301" spans="8:20" x14ac:dyDescent="0.35">
      <c r="H31301" s="711"/>
      <c r="I31301" s="711"/>
      <c r="J31301" s="711"/>
      <c r="K31301" s="711"/>
      <c r="L31301" s="711"/>
      <c r="Q31301" s="11"/>
      <c r="R31301" s="11"/>
      <c r="S31301" s="11"/>
      <c r="T31301" s="11"/>
    </row>
    <row r="31302" spans="8:20" x14ac:dyDescent="0.35">
      <c r="H31302" s="711"/>
      <c r="I31302" s="711"/>
      <c r="J31302" s="711"/>
      <c r="K31302" s="711"/>
      <c r="L31302" s="711"/>
      <c r="Q31302" s="11"/>
      <c r="R31302" s="11"/>
      <c r="S31302" s="11"/>
      <c r="T31302" s="11"/>
    </row>
    <row r="31303" spans="8:20" x14ac:dyDescent="0.35">
      <c r="H31303" s="711"/>
      <c r="I31303" s="711"/>
      <c r="J31303" s="711"/>
      <c r="K31303" s="711"/>
      <c r="L31303" s="711"/>
      <c r="Q31303" s="11"/>
      <c r="R31303" s="11"/>
      <c r="S31303" s="11"/>
      <c r="T31303" s="11"/>
    </row>
    <row r="31304" spans="8:20" x14ac:dyDescent="0.35">
      <c r="H31304" s="711"/>
      <c r="I31304" s="711"/>
      <c r="J31304" s="711"/>
      <c r="K31304" s="711"/>
      <c r="L31304" s="711"/>
      <c r="Q31304" s="11"/>
      <c r="R31304" s="11"/>
      <c r="S31304" s="11"/>
      <c r="T31304" s="11"/>
    </row>
    <row r="31305" spans="8:20" x14ac:dyDescent="0.35">
      <c r="H31305" s="711"/>
      <c r="I31305" s="711"/>
      <c r="J31305" s="711"/>
      <c r="K31305" s="711"/>
      <c r="L31305" s="711"/>
      <c r="Q31305" s="11"/>
      <c r="R31305" s="11"/>
      <c r="S31305" s="11"/>
      <c r="T31305" s="11"/>
    </row>
    <row r="31306" spans="8:20" x14ac:dyDescent="0.35">
      <c r="H31306" s="711"/>
      <c r="I31306" s="711"/>
      <c r="J31306" s="711"/>
      <c r="K31306" s="711"/>
      <c r="L31306" s="711"/>
      <c r="Q31306" s="11"/>
      <c r="R31306" s="11"/>
      <c r="S31306" s="11"/>
      <c r="T31306" s="11"/>
    </row>
    <row r="31307" spans="8:20" x14ac:dyDescent="0.35">
      <c r="H31307" s="711"/>
      <c r="I31307" s="711"/>
      <c r="J31307" s="711"/>
      <c r="K31307" s="711"/>
      <c r="L31307" s="711"/>
      <c r="Q31307" s="11"/>
      <c r="R31307" s="11"/>
      <c r="S31307" s="11"/>
      <c r="T31307" s="11"/>
    </row>
    <row r="31308" spans="8:20" x14ac:dyDescent="0.35">
      <c r="H31308" s="711"/>
      <c r="I31308" s="711"/>
      <c r="J31308" s="711"/>
      <c r="K31308" s="711"/>
      <c r="L31308" s="711"/>
      <c r="Q31308" s="11"/>
      <c r="R31308" s="11"/>
      <c r="S31308" s="11"/>
      <c r="T31308" s="11"/>
    </row>
    <row r="31309" spans="8:20" x14ac:dyDescent="0.35">
      <c r="H31309" s="711"/>
      <c r="I31309" s="711"/>
      <c r="J31309" s="711"/>
      <c r="K31309" s="711"/>
      <c r="L31309" s="711"/>
      <c r="Q31309" s="11"/>
      <c r="R31309" s="11"/>
      <c r="S31309" s="11"/>
      <c r="T31309" s="11"/>
    </row>
    <row r="31310" spans="8:20" x14ac:dyDescent="0.35">
      <c r="H31310" s="711"/>
      <c r="I31310" s="711"/>
      <c r="J31310" s="711"/>
      <c r="K31310" s="711"/>
      <c r="L31310" s="711"/>
      <c r="Q31310" s="11"/>
      <c r="R31310" s="11"/>
      <c r="S31310" s="11"/>
      <c r="T31310" s="11"/>
    </row>
    <row r="31311" spans="8:20" x14ac:dyDescent="0.35">
      <c r="H31311" s="711"/>
      <c r="I31311" s="711"/>
      <c r="J31311" s="711"/>
      <c r="K31311" s="711"/>
      <c r="L31311" s="711"/>
      <c r="Q31311" s="11"/>
      <c r="R31311" s="11"/>
      <c r="S31311" s="11"/>
      <c r="T31311" s="11"/>
    </row>
    <row r="31312" spans="8:20" x14ac:dyDescent="0.35">
      <c r="H31312" s="711"/>
      <c r="I31312" s="711"/>
      <c r="J31312" s="711"/>
      <c r="K31312" s="711"/>
      <c r="L31312" s="711"/>
      <c r="Q31312" s="11"/>
      <c r="R31312" s="11"/>
      <c r="S31312" s="11"/>
      <c r="T31312" s="11"/>
    </row>
    <row r="31313" spans="8:20" x14ac:dyDescent="0.35">
      <c r="H31313" s="711"/>
      <c r="I31313" s="711"/>
      <c r="J31313" s="711"/>
      <c r="K31313" s="711"/>
      <c r="L31313" s="711"/>
      <c r="Q31313" s="11"/>
      <c r="R31313" s="11"/>
      <c r="S31313" s="11"/>
      <c r="T31313" s="11"/>
    </row>
    <row r="31314" spans="8:20" x14ac:dyDescent="0.35">
      <c r="H31314" s="711"/>
      <c r="I31314" s="711"/>
      <c r="J31314" s="711"/>
      <c r="K31314" s="711"/>
      <c r="L31314" s="711"/>
      <c r="Q31314" s="11"/>
      <c r="R31314" s="11"/>
      <c r="S31314" s="11"/>
      <c r="T31314" s="11"/>
    </row>
    <row r="31315" spans="8:20" x14ac:dyDescent="0.35">
      <c r="H31315" s="711"/>
      <c r="I31315" s="711"/>
      <c r="J31315" s="711"/>
      <c r="K31315" s="711"/>
      <c r="L31315" s="711"/>
      <c r="Q31315" s="11"/>
      <c r="R31315" s="11"/>
      <c r="S31315" s="11"/>
      <c r="T31315" s="11"/>
    </row>
    <row r="31316" spans="8:20" x14ac:dyDescent="0.35">
      <c r="H31316" s="711"/>
      <c r="I31316" s="711"/>
      <c r="J31316" s="711"/>
      <c r="K31316" s="711"/>
      <c r="L31316" s="711"/>
      <c r="Q31316" s="11"/>
      <c r="R31316" s="11"/>
      <c r="S31316" s="11"/>
      <c r="T31316" s="11"/>
    </row>
    <row r="31317" spans="8:20" x14ac:dyDescent="0.35">
      <c r="H31317" s="711"/>
      <c r="I31317" s="711"/>
      <c r="J31317" s="711"/>
      <c r="K31317" s="711"/>
      <c r="L31317" s="711"/>
      <c r="Q31317" s="11"/>
      <c r="R31317" s="11"/>
      <c r="S31317" s="11"/>
      <c r="T31317" s="11"/>
    </row>
    <row r="31318" spans="8:20" x14ac:dyDescent="0.35">
      <c r="H31318" s="711"/>
      <c r="I31318" s="711"/>
      <c r="J31318" s="711"/>
      <c r="K31318" s="711"/>
      <c r="L31318" s="711"/>
      <c r="Q31318" s="11"/>
      <c r="R31318" s="11"/>
      <c r="S31318" s="11"/>
      <c r="T31318" s="11"/>
    </row>
    <row r="31319" spans="8:20" x14ac:dyDescent="0.35">
      <c r="H31319" s="711"/>
      <c r="I31319" s="711"/>
      <c r="J31319" s="711"/>
      <c r="K31319" s="711"/>
      <c r="L31319" s="711"/>
      <c r="Q31319" s="11"/>
      <c r="R31319" s="11"/>
      <c r="S31319" s="11"/>
      <c r="T31319" s="11"/>
    </row>
    <row r="31320" spans="8:20" x14ac:dyDescent="0.35">
      <c r="H31320" s="711"/>
      <c r="I31320" s="711"/>
      <c r="J31320" s="711"/>
      <c r="K31320" s="711"/>
      <c r="L31320" s="711"/>
      <c r="Q31320" s="11"/>
      <c r="R31320" s="11"/>
      <c r="S31320" s="11"/>
      <c r="T31320" s="11"/>
    </row>
    <row r="31321" spans="8:20" x14ac:dyDescent="0.35">
      <c r="H31321" s="711"/>
      <c r="I31321" s="711"/>
      <c r="J31321" s="711"/>
      <c r="K31321" s="711"/>
      <c r="L31321" s="711"/>
      <c r="Q31321" s="11"/>
      <c r="R31321" s="11"/>
      <c r="S31321" s="11"/>
      <c r="T31321" s="11"/>
    </row>
    <row r="31322" spans="8:20" x14ac:dyDescent="0.35">
      <c r="H31322" s="711"/>
      <c r="I31322" s="711"/>
      <c r="J31322" s="711"/>
      <c r="K31322" s="711"/>
      <c r="L31322" s="711"/>
      <c r="Q31322" s="11"/>
      <c r="R31322" s="11"/>
      <c r="S31322" s="11"/>
      <c r="T31322" s="11"/>
    </row>
    <row r="31323" spans="8:20" x14ac:dyDescent="0.35">
      <c r="H31323" s="711"/>
      <c r="I31323" s="711"/>
      <c r="J31323" s="711"/>
      <c r="K31323" s="711"/>
      <c r="L31323" s="711"/>
      <c r="Q31323" s="11"/>
      <c r="R31323" s="11"/>
      <c r="S31323" s="11"/>
      <c r="T31323" s="11"/>
    </row>
    <row r="31324" spans="8:20" x14ac:dyDescent="0.35">
      <c r="H31324" s="711"/>
      <c r="I31324" s="711"/>
      <c r="J31324" s="711"/>
      <c r="K31324" s="711"/>
      <c r="L31324" s="711"/>
      <c r="Q31324" s="11"/>
      <c r="R31324" s="11"/>
      <c r="S31324" s="11"/>
      <c r="T31324" s="11"/>
    </row>
    <row r="31325" spans="8:20" x14ac:dyDescent="0.35">
      <c r="H31325" s="711"/>
      <c r="I31325" s="711"/>
      <c r="J31325" s="711"/>
      <c r="K31325" s="711"/>
      <c r="L31325" s="711"/>
      <c r="Q31325" s="11"/>
      <c r="R31325" s="11"/>
      <c r="S31325" s="11"/>
      <c r="T31325" s="11"/>
    </row>
    <row r="31326" spans="8:20" x14ac:dyDescent="0.35">
      <c r="H31326" s="711"/>
      <c r="I31326" s="711"/>
      <c r="J31326" s="711"/>
      <c r="K31326" s="711"/>
      <c r="L31326" s="711"/>
      <c r="Q31326" s="11"/>
      <c r="R31326" s="11"/>
      <c r="S31326" s="11"/>
      <c r="T31326" s="11"/>
    </row>
    <row r="31327" spans="8:20" x14ac:dyDescent="0.35">
      <c r="H31327" s="711"/>
      <c r="I31327" s="711"/>
      <c r="J31327" s="711"/>
      <c r="K31327" s="711"/>
      <c r="L31327" s="711"/>
      <c r="Q31327" s="11"/>
      <c r="R31327" s="11"/>
      <c r="S31327" s="11"/>
      <c r="T31327" s="11"/>
    </row>
    <row r="31328" spans="8:20" x14ac:dyDescent="0.35">
      <c r="H31328" s="711"/>
      <c r="I31328" s="711"/>
      <c r="J31328" s="711"/>
      <c r="K31328" s="711"/>
      <c r="L31328" s="711"/>
      <c r="Q31328" s="11"/>
      <c r="R31328" s="11"/>
      <c r="S31328" s="11"/>
      <c r="T31328" s="11"/>
    </row>
    <row r="31329" spans="8:20" x14ac:dyDescent="0.35">
      <c r="H31329" s="711"/>
      <c r="I31329" s="711"/>
      <c r="J31329" s="711"/>
      <c r="K31329" s="711"/>
      <c r="L31329" s="711"/>
      <c r="Q31329" s="11"/>
      <c r="R31329" s="11"/>
      <c r="S31329" s="11"/>
      <c r="T31329" s="11"/>
    </row>
    <row r="31330" spans="8:20" x14ac:dyDescent="0.35">
      <c r="H31330" s="711"/>
      <c r="I31330" s="711"/>
      <c r="J31330" s="711"/>
      <c r="K31330" s="711"/>
      <c r="L31330" s="711"/>
      <c r="Q31330" s="11"/>
      <c r="R31330" s="11"/>
      <c r="S31330" s="11"/>
      <c r="T31330" s="11"/>
    </row>
    <row r="31331" spans="8:20" x14ac:dyDescent="0.35">
      <c r="H31331" s="711"/>
      <c r="I31331" s="711"/>
      <c r="J31331" s="711"/>
      <c r="K31331" s="711"/>
      <c r="L31331" s="711"/>
      <c r="Q31331" s="11"/>
      <c r="R31331" s="11"/>
      <c r="S31331" s="11"/>
      <c r="T31331" s="11"/>
    </row>
    <row r="31332" spans="8:20" x14ac:dyDescent="0.35">
      <c r="H31332" s="711"/>
      <c r="I31332" s="711"/>
      <c r="J31332" s="711"/>
      <c r="K31332" s="711"/>
      <c r="L31332" s="711"/>
      <c r="Q31332" s="11"/>
      <c r="R31332" s="11"/>
      <c r="S31332" s="11"/>
      <c r="T31332" s="11"/>
    </row>
    <row r="31333" spans="8:20" x14ac:dyDescent="0.35">
      <c r="H31333" s="711"/>
      <c r="I31333" s="711"/>
      <c r="J31333" s="711"/>
      <c r="K31333" s="711"/>
      <c r="L31333" s="711"/>
      <c r="Q31333" s="11"/>
      <c r="R31333" s="11"/>
      <c r="S31333" s="11"/>
      <c r="T31333" s="11"/>
    </row>
    <row r="31334" spans="8:20" x14ac:dyDescent="0.35">
      <c r="H31334" s="711"/>
      <c r="I31334" s="711"/>
      <c r="J31334" s="711"/>
      <c r="K31334" s="711"/>
      <c r="L31334" s="711"/>
      <c r="Q31334" s="11"/>
      <c r="R31334" s="11"/>
      <c r="S31334" s="11"/>
      <c r="T31334" s="11"/>
    </row>
    <row r="31335" spans="8:20" x14ac:dyDescent="0.35">
      <c r="H31335" s="711"/>
      <c r="I31335" s="711"/>
      <c r="J31335" s="711"/>
      <c r="K31335" s="711"/>
      <c r="L31335" s="711"/>
      <c r="Q31335" s="11"/>
      <c r="R31335" s="11"/>
      <c r="S31335" s="11"/>
      <c r="T31335" s="11"/>
    </row>
    <row r="31336" spans="8:20" x14ac:dyDescent="0.35">
      <c r="H31336" s="711"/>
      <c r="I31336" s="711"/>
      <c r="J31336" s="711"/>
      <c r="K31336" s="711"/>
      <c r="L31336" s="711"/>
      <c r="Q31336" s="11"/>
      <c r="R31336" s="11"/>
      <c r="S31336" s="11"/>
      <c r="T31336" s="11"/>
    </row>
    <row r="31337" spans="8:20" x14ac:dyDescent="0.35">
      <c r="H31337" s="711"/>
      <c r="I31337" s="711"/>
      <c r="J31337" s="711"/>
      <c r="K31337" s="711"/>
      <c r="L31337" s="711"/>
      <c r="Q31337" s="11"/>
      <c r="R31337" s="11"/>
      <c r="S31337" s="11"/>
      <c r="T31337" s="11"/>
    </row>
    <row r="31338" spans="8:20" x14ac:dyDescent="0.35">
      <c r="H31338" s="711"/>
      <c r="I31338" s="711"/>
      <c r="J31338" s="711"/>
      <c r="K31338" s="711"/>
      <c r="L31338" s="711"/>
      <c r="Q31338" s="11"/>
      <c r="R31338" s="11"/>
      <c r="S31338" s="11"/>
      <c r="T31338" s="11"/>
    </row>
    <row r="31339" spans="8:20" x14ac:dyDescent="0.35">
      <c r="H31339" s="711"/>
      <c r="I31339" s="711"/>
      <c r="J31339" s="711"/>
      <c r="K31339" s="711"/>
      <c r="L31339" s="711"/>
      <c r="Q31339" s="11"/>
      <c r="R31339" s="11"/>
      <c r="S31339" s="11"/>
      <c r="T31339" s="11"/>
    </row>
    <row r="31340" spans="8:20" x14ac:dyDescent="0.35">
      <c r="H31340" s="711"/>
      <c r="I31340" s="711"/>
      <c r="J31340" s="711"/>
      <c r="K31340" s="711"/>
      <c r="L31340" s="711"/>
      <c r="Q31340" s="11"/>
      <c r="R31340" s="11"/>
      <c r="S31340" s="11"/>
      <c r="T31340" s="11"/>
    </row>
    <row r="31341" spans="8:20" x14ac:dyDescent="0.35">
      <c r="H31341" s="711"/>
      <c r="I31341" s="711"/>
      <c r="J31341" s="711"/>
      <c r="K31341" s="711"/>
      <c r="L31341" s="711"/>
      <c r="Q31341" s="11"/>
      <c r="R31341" s="11"/>
      <c r="S31341" s="11"/>
      <c r="T31341" s="11"/>
    </row>
    <row r="31342" spans="8:20" x14ac:dyDescent="0.35">
      <c r="H31342" s="711"/>
      <c r="I31342" s="711"/>
      <c r="J31342" s="711"/>
      <c r="K31342" s="711"/>
      <c r="L31342" s="711"/>
      <c r="Q31342" s="11"/>
      <c r="R31342" s="11"/>
      <c r="S31342" s="11"/>
      <c r="T31342" s="11"/>
    </row>
    <row r="31343" spans="8:20" x14ac:dyDescent="0.35">
      <c r="H31343" s="711"/>
      <c r="I31343" s="711"/>
      <c r="J31343" s="711"/>
      <c r="K31343" s="711"/>
      <c r="L31343" s="711"/>
      <c r="Q31343" s="11"/>
      <c r="R31343" s="11"/>
      <c r="S31343" s="11"/>
      <c r="T31343" s="11"/>
    </row>
    <row r="31344" spans="8:20" x14ac:dyDescent="0.35">
      <c r="H31344" s="711"/>
      <c r="I31344" s="711"/>
      <c r="J31344" s="711"/>
      <c r="K31344" s="711"/>
      <c r="L31344" s="711"/>
      <c r="Q31344" s="11"/>
      <c r="R31344" s="11"/>
      <c r="S31344" s="11"/>
      <c r="T31344" s="11"/>
    </row>
    <row r="31345" spans="8:20" x14ac:dyDescent="0.35">
      <c r="H31345" s="711"/>
      <c r="I31345" s="711"/>
      <c r="J31345" s="711"/>
      <c r="K31345" s="711"/>
      <c r="L31345" s="711"/>
      <c r="Q31345" s="11"/>
      <c r="R31345" s="11"/>
      <c r="S31345" s="11"/>
      <c r="T31345" s="11"/>
    </row>
    <row r="31346" spans="8:20" x14ac:dyDescent="0.35">
      <c r="H31346" s="711"/>
      <c r="I31346" s="711"/>
      <c r="J31346" s="711"/>
      <c r="K31346" s="711"/>
      <c r="L31346" s="711"/>
      <c r="Q31346" s="11"/>
      <c r="R31346" s="11"/>
      <c r="S31346" s="11"/>
      <c r="T31346" s="11"/>
    </row>
    <row r="31347" spans="8:20" x14ac:dyDescent="0.35">
      <c r="H31347" s="711"/>
      <c r="I31347" s="711"/>
      <c r="J31347" s="711"/>
      <c r="K31347" s="711"/>
      <c r="L31347" s="711"/>
      <c r="Q31347" s="11"/>
      <c r="R31347" s="11"/>
      <c r="S31347" s="11"/>
      <c r="T31347" s="11"/>
    </row>
    <row r="31348" spans="8:20" x14ac:dyDescent="0.35">
      <c r="H31348" s="711"/>
      <c r="I31348" s="711"/>
      <c r="J31348" s="711"/>
      <c r="K31348" s="711"/>
      <c r="L31348" s="711"/>
      <c r="Q31348" s="11"/>
      <c r="R31348" s="11"/>
      <c r="S31348" s="11"/>
      <c r="T31348" s="11"/>
    </row>
    <row r="31349" spans="8:20" x14ac:dyDescent="0.35">
      <c r="H31349" s="711"/>
      <c r="I31349" s="711"/>
      <c r="J31349" s="711"/>
      <c r="K31349" s="711"/>
      <c r="L31349" s="711"/>
      <c r="Q31349" s="11"/>
      <c r="R31349" s="11"/>
      <c r="S31349" s="11"/>
      <c r="T31349" s="11"/>
    </row>
    <row r="31350" spans="8:20" x14ac:dyDescent="0.35">
      <c r="H31350" s="711"/>
      <c r="I31350" s="711"/>
      <c r="J31350" s="711"/>
      <c r="K31350" s="711"/>
      <c r="L31350" s="711"/>
      <c r="Q31350" s="11"/>
      <c r="R31350" s="11"/>
      <c r="S31350" s="11"/>
      <c r="T31350" s="11"/>
    </row>
    <row r="31351" spans="8:20" x14ac:dyDescent="0.35">
      <c r="H31351" s="711"/>
      <c r="I31351" s="711"/>
      <c r="J31351" s="711"/>
      <c r="K31351" s="711"/>
      <c r="L31351" s="711"/>
      <c r="Q31351" s="11"/>
      <c r="R31351" s="11"/>
      <c r="S31351" s="11"/>
      <c r="T31351" s="11"/>
    </row>
    <row r="31352" spans="8:20" x14ac:dyDescent="0.35">
      <c r="H31352" s="711"/>
      <c r="I31352" s="711"/>
      <c r="J31352" s="711"/>
      <c r="K31352" s="711"/>
      <c r="L31352" s="711"/>
      <c r="Q31352" s="11"/>
      <c r="R31352" s="11"/>
      <c r="S31352" s="11"/>
      <c r="T31352" s="11"/>
    </row>
    <row r="31353" spans="8:20" x14ac:dyDescent="0.35">
      <c r="H31353" s="711"/>
      <c r="I31353" s="711"/>
      <c r="J31353" s="711"/>
      <c r="K31353" s="711"/>
      <c r="L31353" s="711"/>
      <c r="Q31353" s="11"/>
      <c r="R31353" s="11"/>
      <c r="S31353" s="11"/>
      <c r="T31353" s="11"/>
    </row>
    <row r="31354" spans="8:20" x14ac:dyDescent="0.35">
      <c r="H31354" s="711"/>
      <c r="I31354" s="711"/>
      <c r="J31354" s="711"/>
      <c r="K31354" s="711"/>
      <c r="L31354" s="711"/>
      <c r="Q31354" s="11"/>
      <c r="R31354" s="11"/>
      <c r="S31354" s="11"/>
      <c r="T31354" s="11"/>
    </row>
    <row r="31355" spans="8:20" x14ac:dyDescent="0.35">
      <c r="H31355" s="711"/>
      <c r="I31355" s="711"/>
      <c r="J31355" s="711"/>
      <c r="K31355" s="711"/>
      <c r="L31355" s="711"/>
      <c r="Q31355" s="11"/>
      <c r="R31355" s="11"/>
      <c r="S31355" s="11"/>
      <c r="T31355" s="11"/>
    </row>
    <row r="31356" spans="8:20" x14ac:dyDescent="0.35">
      <c r="H31356" s="711"/>
      <c r="I31356" s="711"/>
      <c r="J31356" s="711"/>
      <c r="K31356" s="711"/>
      <c r="L31356" s="711"/>
      <c r="Q31356" s="11"/>
      <c r="R31356" s="11"/>
      <c r="S31356" s="11"/>
      <c r="T31356" s="11"/>
    </row>
    <row r="31357" spans="8:20" x14ac:dyDescent="0.35">
      <c r="H31357" s="711"/>
      <c r="I31357" s="711"/>
      <c r="J31357" s="711"/>
      <c r="K31357" s="711"/>
      <c r="L31357" s="711"/>
      <c r="Q31357" s="11"/>
      <c r="R31357" s="11"/>
      <c r="S31357" s="11"/>
      <c r="T31357" s="11"/>
    </row>
    <row r="31358" spans="8:20" x14ac:dyDescent="0.35">
      <c r="H31358" s="711"/>
      <c r="I31358" s="711"/>
      <c r="J31358" s="711"/>
      <c r="K31358" s="711"/>
      <c r="L31358" s="711"/>
      <c r="Q31358" s="11"/>
      <c r="R31358" s="11"/>
      <c r="S31358" s="11"/>
      <c r="T31358" s="11"/>
    </row>
    <row r="31359" spans="8:20" x14ac:dyDescent="0.35">
      <c r="H31359" s="711"/>
      <c r="I31359" s="711"/>
      <c r="J31359" s="711"/>
      <c r="K31359" s="711"/>
      <c r="L31359" s="711"/>
      <c r="Q31359" s="11"/>
      <c r="R31359" s="11"/>
      <c r="S31359" s="11"/>
      <c r="T31359" s="11"/>
    </row>
    <row r="31360" spans="8:20" x14ac:dyDescent="0.35">
      <c r="H31360" s="711"/>
      <c r="I31360" s="711"/>
      <c r="J31360" s="711"/>
      <c r="K31360" s="711"/>
      <c r="L31360" s="711"/>
      <c r="Q31360" s="11"/>
      <c r="R31360" s="11"/>
      <c r="S31360" s="11"/>
      <c r="T31360" s="11"/>
    </row>
    <row r="31361" spans="8:20" x14ac:dyDescent="0.35">
      <c r="H31361" s="711"/>
      <c r="I31361" s="711"/>
      <c r="J31361" s="711"/>
      <c r="K31361" s="711"/>
      <c r="L31361" s="711"/>
      <c r="Q31361" s="11"/>
      <c r="R31361" s="11"/>
      <c r="S31361" s="11"/>
      <c r="T31361" s="11"/>
    </row>
    <row r="31362" spans="8:20" x14ac:dyDescent="0.35">
      <c r="H31362" s="711"/>
      <c r="I31362" s="711"/>
      <c r="J31362" s="711"/>
      <c r="K31362" s="711"/>
      <c r="L31362" s="711"/>
      <c r="Q31362" s="11"/>
      <c r="R31362" s="11"/>
      <c r="S31362" s="11"/>
      <c r="T31362" s="11"/>
    </row>
    <row r="31363" spans="8:20" x14ac:dyDescent="0.35">
      <c r="H31363" s="711"/>
      <c r="I31363" s="711"/>
      <c r="J31363" s="711"/>
      <c r="K31363" s="711"/>
      <c r="L31363" s="711"/>
      <c r="Q31363" s="11"/>
      <c r="R31363" s="11"/>
      <c r="S31363" s="11"/>
      <c r="T31363" s="11"/>
    </row>
    <row r="31364" spans="8:20" x14ac:dyDescent="0.35">
      <c r="H31364" s="711"/>
      <c r="I31364" s="711"/>
      <c r="J31364" s="711"/>
      <c r="K31364" s="711"/>
      <c r="L31364" s="711"/>
      <c r="Q31364" s="11"/>
      <c r="R31364" s="11"/>
      <c r="S31364" s="11"/>
      <c r="T31364" s="11"/>
    </row>
    <row r="31365" spans="8:20" x14ac:dyDescent="0.35">
      <c r="H31365" s="711"/>
      <c r="I31365" s="711"/>
      <c r="J31365" s="711"/>
      <c r="K31365" s="711"/>
      <c r="L31365" s="711"/>
      <c r="Q31365" s="11"/>
      <c r="R31365" s="11"/>
      <c r="S31365" s="11"/>
      <c r="T31365" s="11"/>
    </row>
    <row r="31366" spans="8:20" x14ac:dyDescent="0.35">
      <c r="H31366" s="711"/>
      <c r="I31366" s="711"/>
      <c r="J31366" s="711"/>
      <c r="K31366" s="711"/>
      <c r="L31366" s="711"/>
      <c r="Q31366" s="11"/>
      <c r="R31366" s="11"/>
      <c r="S31366" s="11"/>
      <c r="T31366" s="11"/>
    </row>
    <row r="31367" spans="8:20" x14ac:dyDescent="0.35">
      <c r="H31367" s="711"/>
      <c r="I31367" s="711"/>
      <c r="J31367" s="711"/>
      <c r="K31367" s="711"/>
      <c r="L31367" s="711"/>
      <c r="Q31367" s="11"/>
      <c r="R31367" s="11"/>
      <c r="S31367" s="11"/>
      <c r="T31367" s="11"/>
    </row>
    <row r="31368" spans="8:20" x14ac:dyDescent="0.35">
      <c r="H31368" s="711"/>
      <c r="I31368" s="711"/>
      <c r="J31368" s="711"/>
      <c r="K31368" s="711"/>
      <c r="L31368" s="711"/>
      <c r="Q31368" s="11"/>
      <c r="R31368" s="11"/>
      <c r="S31368" s="11"/>
      <c r="T31368" s="11"/>
    </row>
    <row r="31369" spans="8:20" x14ac:dyDescent="0.35">
      <c r="H31369" s="711"/>
      <c r="I31369" s="711"/>
      <c r="J31369" s="711"/>
      <c r="K31369" s="711"/>
      <c r="L31369" s="711"/>
      <c r="Q31369" s="11"/>
      <c r="R31369" s="11"/>
      <c r="S31369" s="11"/>
      <c r="T31369" s="11"/>
    </row>
    <row r="31370" spans="8:20" x14ac:dyDescent="0.35">
      <c r="H31370" s="711"/>
      <c r="I31370" s="711"/>
      <c r="J31370" s="711"/>
      <c r="K31370" s="711"/>
      <c r="L31370" s="711"/>
      <c r="Q31370" s="11"/>
      <c r="R31370" s="11"/>
      <c r="S31370" s="11"/>
      <c r="T31370" s="11"/>
    </row>
    <row r="31371" spans="8:20" x14ac:dyDescent="0.35">
      <c r="H31371" s="711"/>
      <c r="I31371" s="711"/>
      <c r="J31371" s="711"/>
      <c r="K31371" s="711"/>
      <c r="L31371" s="711"/>
      <c r="Q31371" s="11"/>
      <c r="R31371" s="11"/>
      <c r="S31371" s="11"/>
      <c r="T31371" s="11"/>
    </row>
    <row r="31372" spans="8:20" x14ac:dyDescent="0.35">
      <c r="H31372" s="711"/>
      <c r="I31372" s="711"/>
      <c r="J31372" s="711"/>
      <c r="K31372" s="711"/>
      <c r="L31372" s="711"/>
      <c r="Q31372" s="11"/>
      <c r="R31372" s="11"/>
      <c r="S31372" s="11"/>
      <c r="T31372" s="11"/>
    </row>
    <row r="31373" spans="8:20" x14ac:dyDescent="0.35">
      <c r="H31373" s="711"/>
      <c r="I31373" s="711"/>
      <c r="J31373" s="711"/>
      <c r="K31373" s="711"/>
      <c r="L31373" s="711"/>
      <c r="Q31373" s="11"/>
      <c r="R31373" s="11"/>
      <c r="S31373" s="11"/>
      <c r="T31373" s="11"/>
    </row>
    <row r="31374" spans="8:20" x14ac:dyDescent="0.35">
      <c r="H31374" s="711"/>
      <c r="I31374" s="711"/>
      <c r="J31374" s="711"/>
      <c r="K31374" s="711"/>
      <c r="L31374" s="711"/>
      <c r="Q31374" s="11"/>
      <c r="R31374" s="11"/>
      <c r="S31374" s="11"/>
      <c r="T31374" s="11"/>
    </row>
    <row r="31375" spans="8:20" x14ac:dyDescent="0.35">
      <c r="H31375" s="711"/>
      <c r="I31375" s="711"/>
      <c r="J31375" s="711"/>
      <c r="K31375" s="711"/>
      <c r="L31375" s="711"/>
      <c r="Q31375" s="11"/>
      <c r="R31375" s="11"/>
      <c r="S31375" s="11"/>
      <c r="T31375" s="11"/>
    </row>
    <row r="31376" spans="8:20" x14ac:dyDescent="0.35">
      <c r="H31376" s="711"/>
      <c r="I31376" s="711"/>
      <c r="J31376" s="711"/>
      <c r="K31376" s="711"/>
      <c r="L31376" s="711"/>
      <c r="Q31376" s="11"/>
      <c r="R31376" s="11"/>
      <c r="S31376" s="11"/>
      <c r="T31376" s="11"/>
    </row>
    <row r="31377" spans="8:20" x14ac:dyDescent="0.35">
      <c r="H31377" s="711"/>
      <c r="I31377" s="711"/>
      <c r="J31377" s="711"/>
      <c r="K31377" s="711"/>
      <c r="L31377" s="711"/>
      <c r="Q31377" s="11"/>
      <c r="R31377" s="11"/>
      <c r="S31377" s="11"/>
      <c r="T31377" s="11"/>
    </row>
    <row r="31378" spans="8:20" x14ac:dyDescent="0.35">
      <c r="H31378" s="711"/>
      <c r="I31378" s="711"/>
      <c r="J31378" s="711"/>
      <c r="K31378" s="711"/>
      <c r="L31378" s="711"/>
      <c r="Q31378" s="11"/>
      <c r="R31378" s="11"/>
      <c r="S31378" s="11"/>
      <c r="T31378" s="11"/>
    </row>
    <row r="31379" spans="8:20" x14ac:dyDescent="0.35">
      <c r="H31379" s="711"/>
      <c r="I31379" s="711"/>
      <c r="J31379" s="711"/>
      <c r="K31379" s="711"/>
      <c r="L31379" s="711"/>
      <c r="Q31379" s="11"/>
      <c r="R31379" s="11"/>
      <c r="S31379" s="11"/>
      <c r="T31379" s="11"/>
    </row>
    <row r="31380" spans="8:20" x14ac:dyDescent="0.35">
      <c r="H31380" s="711"/>
      <c r="I31380" s="711"/>
      <c r="J31380" s="711"/>
      <c r="K31380" s="711"/>
      <c r="L31380" s="711"/>
      <c r="Q31380" s="11"/>
      <c r="R31380" s="11"/>
      <c r="S31380" s="11"/>
      <c r="T31380" s="11"/>
    </row>
    <row r="31381" spans="8:20" x14ac:dyDescent="0.35">
      <c r="H31381" s="711"/>
      <c r="I31381" s="711"/>
      <c r="J31381" s="711"/>
      <c r="K31381" s="711"/>
      <c r="L31381" s="711"/>
      <c r="Q31381" s="11"/>
      <c r="R31381" s="11"/>
      <c r="S31381" s="11"/>
      <c r="T31381" s="11"/>
    </row>
    <row r="31382" spans="8:20" x14ac:dyDescent="0.35">
      <c r="H31382" s="711"/>
      <c r="I31382" s="711"/>
      <c r="J31382" s="711"/>
      <c r="K31382" s="711"/>
      <c r="L31382" s="711"/>
      <c r="Q31382" s="11"/>
      <c r="R31382" s="11"/>
      <c r="S31382" s="11"/>
      <c r="T31382" s="11"/>
    </row>
    <row r="31383" spans="8:20" x14ac:dyDescent="0.35">
      <c r="H31383" s="711"/>
      <c r="I31383" s="711"/>
      <c r="J31383" s="711"/>
      <c r="K31383" s="711"/>
      <c r="L31383" s="711"/>
      <c r="Q31383" s="11"/>
      <c r="R31383" s="11"/>
      <c r="S31383" s="11"/>
      <c r="T31383" s="11"/>
    </row>
    <row r="31384" spans="8:20" x14ac:dyDescent="0.35">
      <c r="H31384" s="711"/>
      <c r="I31384" s="711"/>
      <c r="J31384" s="711"/>
      <c r="K31384" s="711"/>
      <c r="L31384" s="711"/>
      <c r="Q31384" s="11"/>
      <c r="R31384" s="11"/>
      <c r="S31384" s="11"/>
      <c r="T31384" s="11"/>
    </row>
    <row r="31385" spans="8:20" x14ac:dyDescent="0.35">
      <c r="H31385" s="711"/>
      <c r="I31385" s="711"/>
      <c r="J31385" s="711"/>
      <c r="K31385" s="711"/>
      <c r="L31385" s="711"/>
      <c r="Q31385" s="11"/>
      <c r="R31385" s="11"/>
      <c r="S31385" s="11"/>
      <c r="T31385" s="11"/>
    </row>
    <row r="31386" spans="8:20" x14ac:dyDescent="0.35">
      <c r="H31386" s="711"/>
      <c r="I31386" s="711"/>
      <c r="J31386" s="711"/>
      <c r="K31386" s="711"/>
      <c r="L31386" s="711"/>
      <c r="Q31386" s="11"/>
      <c r="R31386" s="11"/>
      <c r="S31386" s="11"/>
      <c r="T31386" s="11"/>
    </row>
    <row r="31387" spans="8:20" x14ac:dyDescent="0.35">
      <c r="H31387" s="711"/>
      <c r="I31387" s="711"/>
      <c r="J31387" s="711"/>
      <c r="K31387" s="711"/>
      <c r="L31387" s="711"/>
      <c r="Q31387" s="11"/>
      <c r="R31387" s="11"/>
      <c r="S31387" s="11"/>
      <c r="T31387" s="11"/>
    </row>
    <row r="31388" spans="8:20" x14ac:dyDescent="0.35">
      <c r="H31388" s="711"/>
      <c r="I31388" s="711"/>
      <c r="J31388" s="711"/>
      <c r="K31388" s="711"/>
      <c r="L31388" s="711"/>
      <c r="Q31388" s="11"/>
      <c r="R31388" s="11"/>
      <c r="S31388" s="11"/>
      <c r="T31388" s="11"/>
    </row>
    <row r="31389" spans="8:20" x14ac:dyDescent="0.35">
      <c r="H31389" s="711"/>
      <c r="I31389" s="711"/>
      <c r="J31389" s="711"/>
      <c r="K31389" s="711"/>
      <c r="L31389" s="711"/>
      <c r="Q31389" s="11"/>
      <c r="R31389" s="11"/>
      <c r="S31389" s="11"/>
      <c r="T31389" s="11"/>
    </row>
    <row r="31390" spans="8:20" x14ac:dyDescent="0.35">
      <c r="H31390" s="711"/>
      <c r="I31390" s="711"/>
      <c r="J31390" s="711"/>
      <c r="K31390" s="711"/>
      <c r="L31390" s="711"/>
      <c r="Q31390" s="11"/>
      <c r="R31390" s="11"/>
      <c r="S31390" s="11"/>
      <c r="T31390" s="11"/>
    </row>
    <row r="31391" spans="8:20" x14ac:dyDescent="0.35">
      <c r="H31391" s="711"/>
      <c r="I31391" s="711"/>
      <c r="J31391" s="711"/>
      <c r="K31391" s="711"/>
      <c r="L31391" s="711"/>
      <c r="Q31391" s="11"/>
      <c r="R31391" s="11"/>
      <c r="S31391" s="11"/>
      <c r="T31391" s="11"/>
    </row>
    <row r="31392" spans="8:20" x14ac:dyDescent="0.35">
      <c r="H31392" s="711"/>
      <c r="I31392" s="711"/>
      <c r="J31392" s="711"/>
      <c r="K31392" s="711"/>
      <c r="L31392" s="711"/>
      <c r="Q31392" s="11"/>
      <c r="R31392" s="11"/>
      <c r="S31392" s="11"/>
      <c r="T31392" s="11"/>
    </row>
    <row r="31393" spans="8:20" x14ac:dyDescent="0.35">
      <c r="H31393" s="711"/>
      <c r="I31393" s="711"/>
      <c r="J31393" s="711"/>
      <c r="K31393" s="711"/>
      <c r="L31393" s="711"/>
      <c r="Q31393" s="11"/>
      <c r="R31393" s="11"/>
      <c r="S31393" s="11"/>
      <c r="T31393" s="11"/>
    </row>
    <row r="31394" spans="8:20" x14ac:dyDescent="0.35">
      <c r="H31394" s="711"/>
      <c r="I31394" s="711"/>
      <c r="J31394" s="711"/>
      <c r="K31394" s="711"/>
      <c r="L31394" s="711"/>
      <c r="Q31394" s="11"/>
      <c r="R31394" s="11"/>
      <c r="S31394" s="11"/>
      <c r="T31394" s="11"/>
    </row>
    <row r="31395" spans="8:20" x14ac:dyDescent="0.35">
      <c r="H31395" s="711"/>
      <c r="I31395" s="711"/>
      <c r="J31395" s="711"/>
      <c r="K31395" s="711"/>
      <c r="L31395" s="711"/>
      <c r="Q31395" s="11"/>
      <c r="R31395" s="11"/>
      <c r="S31395" s="11"/>
      <c r="T31395" s="11"/>
    </row>
    <row r="31396" spans="8:20" x14ac:dyDescent="0.35">
      <c r="H31396" s="711"/>
      <c r="I31396" s="711"/>
      <c r="J31396" s="711"/>
      <c r="K31396" s="711"/>
      <c r="L31396" s="711"/>
      <c r="Q31396" s="11"/>
      <c r="R31396" s="11"/>
      <c r="S31396" s="11"/>
      <c r="T31396" s="11"/>
    </row>
    <row r="31397" spans="8:20" x14ac:dyDescent="0.35">
      <c r="H31397" s="711"/>
      <c r="I31397" s="711"/>
      <c r="J31397" s="711"/>
      <c r="K31397" s="711"/>
      <c r="L31397" s="711"/>
      <c r="Q31397" s="11"/>
      <c r="R31397" s="11"/>
      <c r="S31397" s="11"/>
      <c r="T31397" s="11"/>
    </row>
    <row r="31398" spans="8:20" x14ac:dyDescent="0.35">
      <c r="H31398" s="711"/>
      <c r="I31398" s="711"/>
      <c r="J31398" s="711"/>
      <c r="K31398" s="711"/>
      <c r="L31398" s="711"/>
      <c r="Q31398" s="11"/>
      <c r="R31398" s="11"/>
      <c r="S31398" s="11"/>
      <c r="T31398" s="11"/>
    </row>
    <row r="31399" spans="8:20" x14ac:dyDescent="0.35">
      <c r="H31399" s="711"/>
      <c r="I31399" s="711"/>
      <c r="J31399" s="711"/>
      <c r="K31399" s="711"/>
      <c r="L31399" s="711"/>
      <c r="Q31399" s="11"/>
      <c r="R31399" s="11"/>
      <c r="S31399" s="11"/>
      <c r="T31399" s="11"/>
    </row>
    <row r="31400" spans="8:20" x14ac:dyDescent="0.35">
      <c r="H31400" s="711"/>
      <c r="I31400" s="711"/>
      <c r="J31400" s="711"/>
      <c r="K31400" s="711"/>
      <c r="L31400" s="711"/>
      <c r="Q31400" s="11"/>
      <c r="R31400" s="11"/>
      <c r="S31400" s="11"/>
      <c r="T31400" s="11"/>
    </row>
    <row r="31401" spans="8:20" x14ac:dyDescent="0.35">
      <c r="H31401" s="711"/>
      <c r="I31401" s="711"/>
      <c r="J31401" s="711"/>
      <c r="K31401" s="711"/>
      <c r="L31401" s="711"/>
      <c r="Q31401" s="11"/>
      <c r="R31401" s="11"/>
      <c r="S31401" s="11"/>
      <c r="T31401" s="11"/>
    </row>
    <row r="31402" spans="8:20" x14ac:dyDescent="0.35">
      <c r="H31402" s="711"/>
      <c r="I31402" s="711"/>
      <c r="J31402" s="711"/>
      <c r="K31402" s="711"/>
      <c r="L31402" s="711"/>
      <c r="Q31402" s="11"/>
      <c r="R31402" s="11"/>
      <c r="S31402" s="11"/>
      <c r="T31402" s="11"/>
    </row>
    <row r="31403" spans="8:20" x14ac:dyDescent="0.35">
      <c r="H31403" s="711"/>
      <c r="I31403" s="711"/>
      <c r="J31403" s="711"/>
      <c r="K31403" s="711"/>
      <c r="L31403" s="711"/>
      <c r="Q31403" s="11"/>
      <c r="R31403" s="11"/>
      <c r="S31403" s="11"/>
      <c r="T31403" s="11"/>
    </row>
    <row r="31404" spans="8:20" x14ac:dyDescent="0.35">
      <c r="H31404" s="711"/>
      <c r="I31404" s="711"/>
      <c r="J31404" s="711"/>
      <c r="K31404" s="711"/>
      <c r="L31404" s="711"/>
      <c r="Q31404" s="11"/>
      <c r="R31404" s="11"/>
      <c r="S31404" s="11"/>
      <c r="T31404" s="11"/>
    </row>
    <row r="31405" spans="8:20" x14ac:dyDescent="0.35">
      <c r="H31405" s="711"/>
      <c r="I31405" s="711"/>
      <c r="J31405" s="711"/>
      <c r="K31405" s="711"/>
      <c r="L31405" s="711"/>
      <c r="Q31405" s="11"/>
      <c r="R31405" s="11"/>
      <c r="S31405" s="11"/>
      <c r="T31405" s="11"/>
    </row>
    <row r="31406" spans="8:20" x14ac:dyDescent="0.35">
      <c r="H31406" s="711"/>
      <c r="I31406" s="711"/>
      <c r="J31406" s="711"/>
      <c r="K31406" s="711"/>
      <c r="L31406" s="711"/>
      <c r="Q31406" s="11"/>
      <c r="R31406" s="11"/>
      <c r="S31406" s="11"/>
      <c r="T31406" s="11"/>
    </row>
    <row r="31407" spans="8:20" x14ac:dyDescent="0.35">
      <c r="H31407" s="711"/>
      <c r="I31407" s="711"/>
      <c r="J31407" s="711"/>
      <c r="K31407" s="711"/>
      <c r="L31407" s="711"/>
      <c r="Q31407" s="11"/>
      <c r="R31407" s="11"/>
      <c r="S31407" s="11"/>
      <c r="T31407" s="11"/>
    </row>
    <row r="31408" spans="8:20" x14ac:dyDescent="0.35">
      <c r="H31408" s="711"/>
      <c r="I31408" s="711"/>
      <c r="J31408" s="711"/>
      <c r="K31408" s="711"/>
      <c r="L31408" s="711"/>
      <c r="Q31408" s="11"/>
      <c r="R31408" s="11"/>
      <c r="S31408" s="11"/>
      <c r="T31408" s="11"/>
    </row>
    <row r="31409" spans="8:20" x14ac:dyDescent="0.35">
      <c r="H31409" s="711"/>
      <c r="I31409" s="711"/>
      <c r="J31409" s="711"/>
      <c r="K31409" s="711"/>
      <c r="L31409" s="711"/>
      <c r="Q31409" s="11"/>
      <c r="R31409" s="11"/>
      <c r="S31409" s="11"/>
      <c r="T31409" s="11"/>
    </row>
    <row r="31410" spans="8:20" x14ac:dyDescent="0.35">
      <c r="H31410" s="711"/>
      <c r="I31410" s="711"/>
      <c r="J31410" s="711"/>
      <c r="K31410" s="711"/>
      <c r="L31410" s="711"/>
      <c r="Q31410" s="11"/>
      <c r="R31410" s="11"/>
      <c r="S31410" s="11"/>
      <c r="T31410" s="11"/>
    </row>
    <row r="31411" spans="8:20" x14ac:dyDescent="0.35">
      <c r="H31411" s="711"/>
      <c r="I31411" s="711"/>
      <c r="J31411" s="711"/>
      <c r="K31411" s="711"/>
      <c r="L31411" s="711"/>
      <c r="Q31411" s="11"/>
      <c r="R31411" s="11"/>
      <c r="S31411" s="11"/>
      <c r="T31411" s="11"/>
    </row>
    <row r="31412" spans="8:20" x14ac:dyDescent="0.35">
      <c r="H31412" s="711"/>
      <c r="I31412" s="711"/>
      <c r="J31412" s="711"/>
      <c r="K31412" s="711"/>
      <c r="L31412" s="711"/>
      <c r="Q31412" s="11"/>
      <c r="R31412" s="11"/>
      <c r="S31412" s="11"/>
      <c r="T31412" s="11"/>
    </row>
    <row r="31413" spans="8:20" x14ac:dyDescent="0.35">
      <c r="H31413" s="711"/>
      <c r="I31413" s="711"/>
      <c r="J31413" s="711"/>
      <c r="K31413" s="711"/>
      <c r="L31413" s="711"/>
      <c r="Q31413" s="11"/>
      <c r="R31413" s="11"/>
      <c r="S31413" s="11"/>
      <c r="T31413" s="11"/>
    </row>
    <row r="31414" spans="8:20" x14ac:dyDescent="0.35">
      <c r="H31414" s="711"/>
      <c r="I31414" s="711"/>
      <c r="J31414" s="711"/>
      <c r="K31414" s="711"/>
      <c r="L31414" s="711"/>
      <c r="Q31414" s="11"/>
      <c r="R31414" s="11"/>
      <c r="S31414" s="11"/>
      <c r="T31414" s="11"/>
    </row>
    <row r="31415" spans="8:20" x14ac:dyDescent="0.35">
      <c r="H31415" s="711"/>
      <c r="I31415" s="711"/>
      <c r="J31415" s="711"/>
      <c r="K31415" s="711"/>
      <c r="L31415" s="711"/>
      <c r="Q31415" s="11"/>
      <c r="R31415" s="11"/>
      <c r="S31415" s="11"/>
      <c r="T31415" s="11"/>
    </row>
    <row r="31416" spans="8:20" x14ac:dyDescent="0.35">
      <c r="H31416" s="711"/>
      <c r="I31416" s="711"/>
      <c r="J31416" s="711"/>
      <c r="K31416" s="711"/>
      <c r="L31416" s="711"/>
      <c r="Q31416" s="11"/>
      <c r="R31416" s="11"/>
      <c r="S31416" s="11"/>
      <c r="T31416" s="11"/>
    </row>
    <row r="31417" spans="8:20" x14ac:dyDescent="0.35">
      <c r="H31417" s="711"/>
      <c r="I31417" s="711"/>
      <c r="J31417" s="711"/>
      <c r="K31417" s="711"/>
      <c r="L31417" s="711"/>
      <c r="Q31417" s="11"/>
      <c r="R31417" s="11"/>
      <c r="S31417" s="11"/>
      <c r="T31417" s="11"/>
    </row>
    <row r="31418" spans="8:20" x14ac:dyDescent="0.35">
      <c r="H31418" s="711"/>
      <c r="I31418" s="711"/>
      <c r="J31418" s="711"/>
      <c r="K31418" s="711"/>
      <c r="L31418" s="711"/>
      <c r="Q31418" s="11"/>
      <c r="R31418" s="11"/>
      <c r="S31418" s="11"/>
      <c r="T31418" s="11"/>
    </row>
    <row r="31419" spans="8:20" x14ac:dyDescent="0.35">
      <c r="H31419" s="711"/>
      <c r="I31419" s="711"/>
      <c r="J31419" s="711"/>
      <c r="K31419" s="711"/>
      <c r="L31419" s="711"/>
      <c r="Q31419" s="11"/>
      <c r="R31419" s="11"/>
      <c r="S31419" s="11"/>
      <c r="T31419" s="11"/>
    </row>
    <row r="31420" spans="8:20" x14ac:dyDescent="0.35">
      <c r="H31420" s="711"/>
      <c r="I31420" s="711"/>
      <c r="J31420" s="711"/>
      <c r="K31420" s="711"/>
      <c r="L31420" s="711"/>
      <c r="Q31420" s="11"/>
      <c r="R31420" s="11"/>
      <c r="S31420" s="11"/>
      <c r="T31420" s="11"/>
    </row>
    <row r="31421" spans="8:20" x14ac:dyDescent="0.35">
      <c r="H31421" s="711"/>
      <c r="I31421" s="711"/>
      <c r="J31421" s="711"/>
      <c r="K31421" s="711"/>
      <c r="L31421" s="711"/>
      <c r="Q31421" s="11"/>
      <c r="R31421" s="11"/>
      <c r="S31421" s="11"/>
      <c r="T31421" s="11"/>
    </row>
    <row r="31422" spans="8:20" x14ac:dyDescent="0.35">
      <c r="H31422" s="711"/>
      <c r="I31422" s="711"/>
      <c r="J31422" s="711"/>
      <c r="K31422" s="711"/>
      <c r="L31422" s="711"/>
      <c r="Q31422" s="11"/>
      <c r="R31422" s="11"/>
      <c r="S31422" s="11"/>
      <c r="T31422" s="11"/>
    </row>
    <row r="31423" spans="8:20" x14ac:dyDescent="0.35">
      <c r="H31423" s="711"/>
      <c r="I31423" s="711"/>
      <c r="J31423" s="711"/>
      <c r="K31423" s="711"/>
      <c r="L31423" s="711"/>
      <c r="Q31423" s="11"/>
      <c r="R31423" s="11"/>
      <c r="S31423" s="11"/>
      <c r="T31423" s="11"/>
    </row>
    <row r="31424" spans="8:20" x14ac:dyDescent="0.35">
      <c r="H31424" s="711"/>
      <c r="I31424" s="711"/>
      <c r="J31424" s="711"/>
      <c r="K31424" s="711"/>
      <c r="L31424" s="711"/>
      <c r="Q31424" s="11"/>
      <c r="R31424" s="11"/>
      <c r="S31424" s="11"/>
      <c r="T31424" s="11"/>
    </row>
    <row r="31425" spans="8:20" x14ac:dyDescent="0.35">
      <c r="H31425" s="711"/>
      <c r="I31425" s="711"/>
      <c r="J31425" s="711"/>
      <c r="K31425" s="711"/>
      <c r="L31425" s="711"/>
      <c r="Q31425" s="11"/>
      <c r="R31425" s="11"/>
      <c r="S31425" s="11"/>
      <c r="T31425" s="11"/>
    </row>
    <row r="31426" spans="8:20" x14ac:dyDescent="0.35">
      <c r="H31426" s="711"/>
      <c r="I31426" s="711"/>
      <c r="J31426" s="711"/>
      <c r="K31426" s="711"/>
      <c r="L31426" s="711"/>
      <c r="Q31426" s="11"/>
      <c r="R31426" s="11"/>
      <c r="S31426" s="11"/>
      <c r="T31426" s="11"/>
    </row>
    <row r="31427" spans="8:20" x14ac:dyDescent="0.35">
      <c r="H31427" s="711"/>
      <c r="I31427" s="711"/>
      <c r="J31427" s="711"/>
      <c r="K31427" s="711"/>
      <c r="L31427" s="711"/>
      <c r="Q31427" s="11"/>
      <c r="R31427" s="11"/>
      <c r="S31427" s="11"/>
      <c r="T31427" s="11"/>
    </row>
    <row r="31428" spans="8:20" x14ac:dyDescent="0.35">
      <c r="H31428" s="711"/>
      <c r="I31428" s="711"/>
      <c r="J31428" s="711"/>
      <c r="K31428" s="711"/>
      <c r="L31428" s="711"/>
      <c r="Q31428" s="11"/>
      <c r="R31428" s="11"/>
      <c r="S31428" s="11"/>
      <c r="T31428" s="11"/>
    </row>
    <row r="31429" spans="8:20" x14ac:dyDescent="0.35">
      <c r="H31429" s="711"/>
      <c r="I31429" s="711"/>
      <c r="J31429" s="711"/>
      <c r="K31429" s="711"/>
      <c r="L31429" s="711"/>
      <c r="Q31429" s="11"/>
      <c r="R31429" s="11"/>
      <c r="S31429" s="11"/>
      <c r="T31429" s="11"/>
    </row>
    <row r="31430" spans="8:20" x14ac:dyDescent="0.35">
      <c r="H31430" s="711"/>
      <c r="I31430" s="711"/>
      <c r="J31430" s="711"/>
      <c r="K31430" s="711"/>
      <c r="L31430" s="711"/>
      <c r="Q31430" s="11"/>
      <c r="R31430" s="11"/>
      <c r="S31430" s="11"/>
      <c r="T31430" s="11"/>
    </row>
    <row r="31431" spans="8:20" x14ac:dyDescent="0.35">
      <c r="H31431" s="711"/>
      <c r="I31431" s="711"/>
      <c r="J31431" s="711"/>
      <c r="K31431" s="711"/>
      <c r="L31431" s="711"/>
      <c r="Q31431" s="11"/>
      <c r="R31431" s="11"/>
      <c r="S31431" s="11"/>
      <c r="T31431" s="11"/>
    </row>
    <row r="31432" spans="8:20" x14ac:dyDescent="0.35">
      <c r="H31432" s="711"/>
      <c r="I31432" s="711"/>
      <c r="J31432" s="711"/>
      <c r="K31432" s="711"/>
      <c r="L31432" s="711"/>
      <c r="Q31432" s="11"/>
      <c r="R31432" s="11"/>
      <c r="S31432" s="11"/>
      <c r="T31432" s="11"/>
    </row>
    <row r="31433" spans="8:20" x14ac:dyDescent="0.35">
      <c r="H31433" s="711"/>
      <c r="I31433" s="711"/>
      <c r="J31433" s="711"/>
      <c r="K31433" s="711"/>
      <c r="L31433" s="711"/>
      <c r="Q31433" s="11"/>
      <c r="R31433" s="11"/>
      <c r="S31433" s="11"/>
      <c r="T31433" s="11"/>
    </row>
    <row r="31434" spans="8:20" x14ac:dyDescent="0.35">
      <c r="H31434" s="711"/>
      <c r="I31434" s="711"/>
      <c r="J31434" s="711"/>
      <c r="K31434" s="711"/>
      <c r="L31434" s="711"/>
      <c r="Q31434" s="11"/>
      <c r="R31434" s="11"/>
      <c r="S31434" s="11"/>
      <c r="T31434" s="11"/>
    </row>
    <row r="31435" spans="8:20" x14ac:dyDescent="0.35">
      <c r="H31435" s="711"/>
      <c r="I31435" s="711"/>
      <c r="J31435" s="711"/>
      <c r="K31435" s="711"/>
      <c r="L31435" s="711"/>
      <c r="Q31435" s="11"/>
      <c r="R31435" s="11"/>
      <c r="S31435" s="11"/>
      <c r="T31435" s="11"/>
    </row>
    <row r="31436" spans="8:20" x14ac:dyDescent="0.35">
      <c r="H31436" s="711"/>
      <c r="I31436" s="711"/>
      <c r="J31436" s="711"/>
      <c r="K31436" s="711"/>
      <c r="L31436" s="711"/>
      <c r="Q31436" s="11"/>
      <c r="R31436" s="11"/>
      <c r="S31436" s="11"/>
      <c r="T31436" s="11"/>
    </row>
    <row r="31437" spans="8:20" x14ac:dyDescent="0.35">
      <c r="H31437" s="711"/>
      <c r="I31437" s="711"/>
      <c r="J31437" s="711"/>
      <c r="K31437" s="711"/>
      <c r="L31437" s="711"/>
      <c r="Q31437" s="11"/>
      <c r="R31437" s="11"/>
      <c r="S31437" s="11"/>
      <c r="T31437" s="11"/>
    </row>
    <row r="31438" spans="8:20" x14ac:dyDescent="0.35">
      <c r="H31438" s="711"/>
      <c r="I31438" s="711"/>
      <c r="J31438" s="711"/>
      <c r="K31438" s="711"/>
      <c r="L31438" s="711"/>
      <c r="Q31438" s="11"/>
      <c r="R31438" s="11"/>
      <c r="S31438" s="11"/>
      <c r="T31438" s="11"/>
    </row>
    <row r="31439" spans="8:20" x14ac:dyDescent="0.35">
      <c r="H31439" s="711"/>
      <c r="I31439" s="711"/>
      <c r="J31439" s="711"/>
      <c r="K31439" s="711"/>
      <c r="L31439" s="711"/>
      <c r="Q31439" s="11"/>
      <c r="R31439" s="11"/>
      <c r="S31439" s="11"/>
      <c r="T31439" s="11"/>
    </row>
    <row r="31440" spans="8:20" x14ac:dyDescent="0.35">
      <c r="H31440" s="711"/>
      <c r="I31440" s="711"/>
      <c r="J31440" s="711"/>
      <c r="K31440" s="711"/>
      <c r="L31440" s="711"/>
      <c r="Q31440" s="11"/>
      <c r="R31440" s="11"/>
      <c r="S31440" s="11"/>
      <c r="T31440" s="11"/>
    </row>
    <row r="31441" spans="8:20" x14ac:dyDescent="0.35">
      <c r="H31441" s="711"/>
      <c r="I31441" s="711"/>
      <c r="J31441" s="711"/>
      <c r="K31441" s="711"/>
      <c r="L31441" s="711"/>
      <c r="Q31441" s="11"/>
      <c r="R31441" s="11"/>
      <c r="S31441" s="11"/>
      <c r="T31441" s="11"/>
    </row>
    <row r="31442" spans="8:20" x14ac:dyDescent="0.35">
      <c r="H31442" s="711"/>
      <c r="I31442" s="711"/>
      <c r="J31442" s="711"/>
      <c r="K31442" s="711"/>
      <c r="L31442" s="711"/>
      <c r="Q31442" s="11"/>
      <c r="R31442" s="11"/>
      <c r="S31442" s="11"/>
      <c r="T31442" s="11"/>
    </row>
    <row r="31443" spans="8:20" x14ac:dyDescent="0.35">
      <c r="H31443" s="711"/>
      <c r="I31443" s="711"/>
      <c r="J31443" s="711"/>
      <c r="K31443" s="711"/>
      <c r="L31443" s="711"/>
      <c r="Q31443" s="11"/>
      <c r="R31443" s="11"/>
      <c r="S31443" s="11"/>
      <c r="T31443" s="11"/>
    </row>
    <row r="31444" spans="8:20" x14ac:dyDescent="0.35">
      <c r="H31444" s="711"/>
      <c r="I31444" s="711"/>
      <c r="J31444" s="711"/>
      <c r="K31444" s="711"/>
      <c r="L31444" s="711"/>
      <c r="Q31444" s="11"/>
      <c r="R31444" s="11"/>
      <c r="S31444" s="11"/>
      <c r="T31444" s="11"/>
    </row>
    <row r="31445" spans="8:20" x14ac:dyDescent="0.35">
      <c r="H31445" s="711"/>
      <c r="I31445" s="711"/>
      <c r="J31445" s="711"/>
      <c r="K31445" s="711"/>
      <c r="L31445" s="711"/>
      <c r="Q31445" s="11"/>
      <c r="R31445" s="11"/>
      <c r="S31445" s="11"/>
      <c r="T31445" s="11"/>
    </row>
    <row r="31446" spans="8:20" x14ac:dyDescent="0.35">
      <c r="H31446" s="711"/>
      <c r="I31446" s="711"/>
      <c r="J31446" s="711"/>
      <c r="K31446" s="711"/>
      <c r="L31446" s="711"/>
      <c r="Q31446" s="11"/>
      <c r="R31446" s="11"/>
      <c r="S31446" s="11"/>
      <c r="T31446" s="11"/>
    </row>
    <row r="31447" spans="8:20" x14ac:dyDescent="0.35">
      <c r="H31447" s="711"/>
      <c r="I31447" s="711"/>
      <c r="J31447" s="711"/>
      <c r="K31447" s="711"/>
      <c r="L31447" s="711"/>
      <c r="Q31447" s="11"/>
      <c r="R31447" s="11"/>
      <c r="S31447" s="11"/>
      <c r="T31447" s="11"/>
    </row>
    <row r="31448" spans="8:20" x14ac:dyDescent="0.35">
      <c r="H31448" s="711"/>
      <c r="I31448" s="711"/>
      <c r="J31448" s="711"/>
      <c r="K31448" s="711"/>
      <c r="L31448" s="711"/>
      <c r="Q31448" s="11"/>
      <c r="R31448" s="11"/>
      <c r="S31448" s="11"/>
      <c r="T31448" s="11"/>
    </row>
    <row r="31449" spans="8:20" x14ac:dyDescent="0.35">
      <c r="H31449" s="711"/>
      <c r="I31449" s="711"/>
      <c r="J31449" s="711"/>
      <c r="K31449" s="711"/>
      <c r="L31449" s="711"/>
      <c r="Q31449" s="11"/>
      <c r="R31449" s="11"/>
      <c r="S31449" s="11"/>
      <c r="T31449" s="11"/>
    </row>
    <row r="31450" spans="8:20" x14ac:dyDescent="0.35">
      <c r="H31450" s="711"/>
      <c r="I31450" s="711"/>
      <c r="J31450" s="711"/>
      <c r="K31450" s="711"/>
      <c r="L31450" s="711"/>
      <c r="Q31450" s="11"/>
      <c r="R31450" s="11"/>
      <c r="S31450" s="11"/>
      <c r="T31450" s="11"/>
    </row>
    <row r="31451" spans="8:20" x14ac:dyDescent="0.35">
      <c r="H31451" s="711"/>
      <c r="I31451" s="711"/>
      <c r="J31451" s="711"/>
      <c r="K31451" s="711"/>
      <c r="L31451" s="711"/>
      <c r="Q31451" s="11"/>
      <c r="R31451" s="11"/>
      <c r="S31451" s="11"/>
      <c r="T31451" s="11"/>
    </row>
    <row r="31452" spans="8:20" x14ac:dyDescent="0.35">
      <c r="H31452" s="711"/>
      <c r="I31452" s="711"/>
      <c r="J31452" s="711"/>
      <c r="K31452" s="711"/>
      <c r="L31452" s="711"/>
      <c r="Q31452" s="11"/>
      <c r="R31452" s="11"/>
      <c r="S31452" s="11"/>
      <c r="T31452" s="11"/>
    </row>
    <row r="31453" spans="8:20" x14ac:dyDescent="0.35">
      <c r="H31453" s="711"/>
      <c r="I31453" s="711"/>
      <c r="J31453" s="711"/>
      <c r="K31453" s="711"/>
      <c r="L31453" s="711"/>
      <c r="Q31453" s="11"/>
      <c r="R31453" s="11"/>
      <c r="S31453" s="11"/>
      <c r="T31453" s="11"/>
    </row>
    <row r="31454" spans="8:20" x14ac:dyDescent="0.35">
      <c r="H31454" s="711"/>
      <c r="I31454" s="711"/>
      <c r="J31454" s="711"/>
      <c r="K31454" s="711"/>
      <c r="L31454" s="711"/>
      <c r="Q31454" s="11"/>
      <c r="R31454" s="11"/>
      <c r="S31454" s="11"/>
      <c r="T31454" s="11"/>
    </row>
    <row r="31455" spans="8:20" x14ac:dyDescent="0.35">
      <c r="H31455" s="711"/>
      <c r="I31455" s="711"/>
      <c r="J31455" s="711"/>
      <c r="K31455" s="711"/>
      <c r="L31455" s="711"/>
      <c r="Q31455" s="11"/>
      <c r="R31455" s="11"/>
      <c r="S31455" s="11"/>
      <c r="T31455" s="11"/>
    </row>
    <row r="31456" spans="8:20" x14ac:dyDescent="0.35">
      <c r="H31456" s="711"/>
      <c r="I31456" s="711"/>
      <c r="J31456" s="711"/>
      <c r="K31456" s="711"/>
      <c r="L31456" s="711"/>
      <c r="Q31456" s="11"/>
      <c r="R31456" s="11"/>
      <c r="S31456" s="11"/>
      <c r="T31456" s="11"/>
    </row>
    <row r="31457" spans="8:20" x14ac:dyDescent="0.35">
      <c r="H31457" s="711"/>
      <c r="I31457" s="711"/>
      <c r="J31457" s="711"/>
      <c r="K31457" s="711"/>
      <c r="L31457" s="711"/>
      <c r="Q31457" s="11"/>
      <c r="R31457" s="11"/>
      <c r="S31457" s="11"/>
      <c r="T31457" s="11"/>
    </row>
    <row r="31458" spans="8:20" x14ac:dyDescent="0.35">
      <c r="H31458" s="711"/>
      <c r="I31458" s="711"/>
      <c r="J31458" s="711"/>
      <c r="K31458" s="711"/>
      <c r="L31458" s="711"/>
      <c r="Q31458" s="11"/>
      <c r="R31458" s="11"/>
      <c r="S31458" s="11"/>
      <c r="T31458" s="11"/>
    </row>
    <row r="31459" spans="8:20" x14ac:dyDescent="0.35">
      <c r="H31459" s="711"/>
      <c r="I31459" s="711"/>
      <c r="J31459" s="711"/>
      <c r="K31459" s="711"/>
      <c r="L31459" s="711"/>
      <c r="Q31459" s="11"/>
      <c r="R31459" s="11"/>
      <c r="S31459" s="11"/>
      <c r="T31459" s="11"/>
    </row>
    <row r="31460" spans="8:20" x14ac:dyDescent="0.35">
      <c r="H31460" s="711"/>
      <c r="I31460" s="711"/>
      <c r="J31460" s="711"/>
      <c r="K31460" s="711"/>
      <c r="L31460" s="711"/>
      <c r="Q31460" s="11"/>
      <c r="R31460" s="11"/>
      <c r="S31460" s="11"/>
      <c r="T31460" s="11"/>
    </row>
    <row r="31461" spans="8:20" x14ac:dyDescent="0.35">
      <c r="H31461" s="711"/>
      <c r="I31461" s="711"/>
      <c r="J31461" s="711"/>
      <c r="K31461" s="711"/>
      <c r="L31461" s="711"/>
      <c r="Q31461" s="11"/>
      <c r="R31461" s="11"/>
      <c r="S31461" s="11"/>
      <c r="T31461" s="11"/>
    </row>
    <row r="31462" spans="8:20" x14ac:dyDescent="0.35">
      <c r="H31462" s="711"/>
      <c r="I31462" s="711"/>
      <c r="J31462" s="711"/>
      <c r="K31462" s="711"/>
      <c r="L31462" s="711"/>
      <c r="Q31462" s="11"/>
      <c r="R31462" s="11"/>
      <c r="S31462" s="11"/>
      <c r="T31462" s="11"/>
    </row>
    <row r="31463" spans="8:20" x14ac:dyDescent="0.35">
      <c r="H31463" s="711"/>
      <c r="I31463" s="711"/>
      <c r="J31463" s="711"/>
      <c r="K31463" s="711"/>
      <c r="L31463" s="711"/>
      <c r="Q31463" s="11"/>
      <c r="R31463" s="11"/>
      <c r="S31463" s="11"/>
      <c r="T31463" s="11"/>
    </row>
    <row r="31464" spans="8:20" x14ac:dyDescent="0.35">
      <c r="H31464" s="711"/>
      <c r="I31464" s="711"/>
      <c r="J31464" s="711"/>
      <c r="K31464" s="711"/>
      <c r="L31464" s="711"/>
      <c r="Q31464" s="11"/>
      <c r="R31464" s="11"/>
      <c r="S31464" s="11"/>
      <c r="T31464" s="11"/>
    </row>
    <row r="31465" spans="8:20" x14ac:dyDescent="0.35">
      <c r="H31465" s="711"/>
      <c r="I31465" s="711"/>
      <c r="J31465" s="711"/>
      <c r="K31465" s="711"/>
      <c r="L31465" s="711"/>
      <c r="Q31465" s="11"/>
      <c r="R31465" s="11"/>
      <c r="S31465" s="11"/>
      <c r="T31465" s="11"/>
    </row>
    <row r="31466" spans="8:20" x14ac:dyDescent="0.35">
      <c r="H31466" s="711"/>
      <c r="I31466" s="711"/>
      <c r="J31466" s="711"/>
      <c r="K31466" s="711"/>
      <c r="L31466" s="711"/>
      <c r="Q31466" s="11"/>
      <c r="R31466" s="11"/>
      <c r="S31466" s="11"/>
      <c r="T31466" s="11"/>
    </row>
    <row r="31467" spans="8:20" x14ac:dyDescent="0.35">
      <c r="H31467" s="711"/>
      <c r="I31467" s="711"/>
      <c r="J31467" s="711"/>
      <c r="K31467" s="711"/>
      <c r="L31467" s="711"/>
      <c r="Q31467" s="11"/>
      <c r="R31467" s="11"/>
      <c r="S31467" s="11"/>
      <c r="T31467" s="11"/>
    </row>
    <row r="31468" spans="8:20" x14ac:dyDescent="0.35">
      <c r="H31468" s="711"/>
      <c r="I31468" s="711"/>
      <c r="J31468" s="711"/>
      <c r="K31468" s="711"/>
      <c r="L31468" s="711"/>
      <c r="Q31468" s="11"/>
      <c r="R31468" s="11"/>
      <c r="S31468" s="11"/>
      <c r="T31468" s="11"/>
    </row>
    <row r="31469" spans="8:20" x14ac:dyDescent="0.35">
      <c r="H31469" s="711"/>
      <c r="I31469" s="711"/>
      <c r="J31469" s="711"/>
      <c r="K31469" s="711"/>
      <c r="L31469" s="711"/>
      <c r="Q31469" s="11"/>
      <c r="R31469" s="11"/>
      <c r="S31469" s="11"/>
      <c r="T31469" s="11"/>
    </row>
    <row r="31470" spans="8:20" x14ac:dyDescent="0.35">
      <c r="H31470" s="711"/>
      <c r="I31470" s="711"/>
      <c r="J31470" s="711"/>
      <c r="K31470" s="711"/>
      <c r="L31470" s="711"/>
      <c r="Q31470" s="11"/>
      <c r="R31470" s="11"/>
      <c r="S31470" s="11"/>
      <c r="T31470" s="11"/>
    </row>
    <row r="31471" spans="8:20" x14ac:dyDescent="0.35">
      <c r="H31471" s="711"/>
      <c r="I31471" s="711"/>
      <c r="J31471" s="711"/>
      <c r="K31471" s="711"/>
      <c r="L31471" s="711"/>
      <c r="Q31471" s="11"/>
      <c r="R31471" s="11"/>
      <c r="S31471" s="11"/>
      <c r="T31471" s="11"/>
    </row>
    <row r="31472" spans="8:20" x14ac:dyDescent="0.35">
      <c r="H31472" s="711"/>
      <c r="I31472" s="711"/>
      <c r="J31472" s="711"/>
      <c r="K31472" s="711"/>
      <c r="L31472" s="711"/>
      <c r="Q31472" s="11"/>
      <c r="R31472" s="11"/>
      <c r="S31472" s="11"/>
      <c r="T31472" s="11"/>
    </row>
    <row r="31473" spans="8:20" x14ac:dyDescent="0.35">
      <c r="H31473" s="711"/>
      <c r="I31473" s="711"/>
      <c r="J31473" s="711"/>
      <c r="K31473" s="711"/>
      <c r="L31473" s="711"/>
      <c r="Q31473" s="11"/>
      <c r="R31473" s="11"/>
      <c r="S31473" s="11"/>
      <c r="T31473" s="11"/>
    </row>
    <row r="31474" spans="8:20" x14ac:dyDescent="0.35">
      <c r="H31474" s="711"/>
      <c r="I31474" s="711"/>
      <c r="J31474" s="711"/>
      <c r="K31474" s="711"/>
      <c r="L31474" s="711"/>
      <c r="Q31474" s="11"/>
      <c r="R31474" s="11"/>
      <c r="S31474" s="11"/>
      <c r="T31474" s="11"/>
    </row>
    <row r="31475" spans="8:20" x14ac:dyDescent="0.35">
      <c r="H31475" s="711"/>
      <c r="I31475" s="711"/>
      <c r="J31475" s="711"/>
      <c r="K31475" s="711"/>
      <c r="L31475" s="711"/>
      <c r="Q31475" s="11"/>
      <c r="R31475" s="11"/>
      <c r="S31475" s="11"/>
      <c r="T31475" s="11"/>
    </row>
    <row r="31476" spans="8:20" x14ac:dyDescent="0.35">
      <c r="H31476" s="711"/>
      <c r="I31476" s="711"/>
      <c r="J31476" s="711"/>
      <c r="K31476" s="711"/>
      <c r="L31476" s="711"/>
      <c r="Q31476" s="11"/>
      <c r="R31476" s="11"/>
      <c r="S31476" s="11"/>
      <c r="T31476" s="11"/>
    </row>
    <row r="31477" spans="8:20" x14ac:dyDescent="0.35">
      <c r="H31477" s="711"/>
      <c r="I31477" s="711"/>
      <c r="J31477" s="711"/>
      <c r="K31477" s="711"/>
      <c r="L31477" s="711"/>
      <c r="Q31477" s="11"/>
      <c r="R31477" s="11"/>
      <c r="S31477" s="11"/>
      <c r="T31477" s="11"/>
    </row>
    <row r="31478" spans="8:20" x14ac:dyDescent="0.35">
      <c r="H31478" s="711"/>
      <c r="I31478" s="711"/>
      <c r="J31478" s="711"/>
      <c r="K31478" s="711"/>
      <c r="L31478" s="711"/>
      <c r="Q31478" s="11"/>
      <c r="R31478" s="11"/>
      <c r="S31478" s="11"/>
      <c r="T31478" s="11"/>
    </row>
    <row r="31479" spans="8:20" x14ac:dyDescent="0.35">
      <c r="H31479" s="711"/>
      <c r="I31479" s="711"/>
      <c r="J31479" s="711"/>
      <c r="K31479" s="711"/>
      <c r="L31479" s="711"/>
      <c r="Q31479" s="11"/>
      <c r="R31479" s="11"/>
      <c r="S31479" s="11"/>
      <c r="T31479" s="11"/>
    </row>
    <row r="31480" spans="8:20" x14ac:dyDescent="0.35">
      <c r="H31480" s="711"/>
      <c r="I31480" s="711"/>
      <c r="J31480" s="711"/>
      <c r="K31480" s="711"/>
      <c r="L31480" s="711"/>
      <c r="Q31480" s="11"/>
      <c r="R31480" s="11"/>
      <c r="S31480" s="11"/>
      <c r="T31480" s="11"/>
    </row>
    <row r="31481" spans="8:20" x14ac:dyDescent="0.35">
      <c r="H31481" s="711"/>
      <c r="I31481" s="711"/>
      <c r="J31481" s="711"/>
      <c r="K31481" s="711"/>
      <c r="L31481" s="711"/>
      <c r="Q31481" s="11"/>
      <c r="R31481" s="11"/>
      <c r="S31481" s="11"/>
      <c r="T31481" s="11"/>
    </row>
    <row r="31482" spans="8:20" x14ac:dyDescent="0.35">
      <c r="H31482" s="711"/>
      <c r="I31482" s="711"/>
      <c r="J31482" s="711"/>
      <c r="K31482" s="711"/>
      <c r="L31482" s="711"/>
      <c r="Q31482" s="11"/>
      <c r="R31482" s="11"/>
      <c r="S31482" s="11"/>
      <c r="T31482" s="11"/>
    </row>
    <row r="31483" spans="8:20" x14ac:dyDescent="0.35">
      <c r="H31483" s="711"/>
      <c r="I31483" s="711"/>
      <c r="J31483" s="711"/>
      <c r="K31483" s="711"/>
      <c r="L31483" s="711"/>
      <c r="Q31483" s="11"/>
      <c r="R31483" s="11"/>
      <c r="S31483" s="11"/>
      <c r="T31483" s="11"/>
    </row>
    <row r="31484" spans="8:20" x14ac:dyDescent="0.35">
      <c r="H31484" s="711"/>
      <c r="I31484" s="711"/>
      <c r="J31484" s="711"/>
      <c r="K31484" s="711"/>
      <c r="L31484" s="711"/>
      <c r="Q31484" s="11"/>
      <c r="R31484" s="11"/>
      <c r="S31484" s="11"/>
      <c r="T31484" s="11"/>
    </row>
    <row r="31485" spans="8:20" x14ac:dyDescent="0.35">
      <c r="H31485" s="711"/>
      <c r="I31485" s="711"/>
      <c r="J31485" s="711"/>
      <c r="K31485" s="711"/>
      <c r="L31485" s="711"/>
      <c r="Q31485" s="11"/>
      <c r="R31485" s="11"/>
      <c r="S31485" s="11"/>
      <c r="T31485" s="11"/>
    </row>
    <row r="31486" spans="8:20" x14ac:dyDescent="0.35">
      <c r="H31486" s="711"/>
      <c r="I31486" s="711"/>
      <c r="J31486" s="711"/>
      <c r="K31486" s="711"/>
      <c r="L31486" s="711"/>
      <c r="Q31486" s="11"/>
      <c r="R31486" s="11"/>
      <c r="S31486" s="11"/>
      <c r="T31486" s="11"/>
    </row>
    <row r="31487" spans="8:20" x14ac:dyDescent="0.35">
      <c r="H31487" s="711"/>
      <c r="I31487" s="711"/>
      <c r="J31487" s="711"/>
      <c r="K31487" s="711"/>
      <c r="L31487" s="711"/>
      <c r="Q31487" s="11"/>
      <c r="R31487" s="11"/>
      <c r="S31487" s="11"/>
      <c r="T31487" s="11"/>
    </row>
    <row r="31488" spans="8:20" x14ac:dyDescent="0.35">
      <c r="H31488" s="711"/>
      <c r="I31488" s="711"/>
      <c r="J31488" s="711"/>
      <c r="K31488" s="711"/>
      <c r="L31488" s="711"/>
      <c r="Q31488" s="11"/>
      <c r="R31488" s="11"/>
      <c r="S31488" s="11"/>
      <c r="T31488" s="11"/>
    </row>
    <row r="31489" spans="8:20" x14ac:dyDescent="0.35">
      <c r="H31489" s="711"/>
      <c r="I31489" s="711"/>
      <c r="J31489" s="711"/>
      <c r="K31489" s="711"/>
      <c r="L31489" s="711"/>
      <c r="Q31489" s="11"/>
      <c r="R31489" s="11"/>
      <c r="S31489" s="11"/>
      <c r="T31489" s="11"/>
    </row>
    <row r="31490" spans="8:20" x14ac:dyDescent="0.35">
      <c r="H31490" s="711"/>
      <c r="I31490" s="711"/>
      <c r="J31490" s="711"/>
      <c r="K31490" s="711"/>
      <c r="L31490" s="711"/>
      <c r="Q31490" s="11"/>
      <c r="R31490" s="11"/>
      <c r="S31490" s="11"/>
      <c r="T31490" s="11"/>
    </row>
    <row r="31491" spans="8:20" x14ac:dyDescent="0.35">
      <c r="H31491" s="711"/>
      <c r="I31491" s="711"/>
      <c r="J31491" s="711"/>
      <c r="K31491" s="711"/>
      <c r="L31491" s="711"/>
      <c r="Q31491" s="11"/>
      <c r="R31491" s="11"/>
      <c r="S31491" s="11"/>
      <c r="T31491" s="11"/>
    </row>
    <row r="31492" spans="8:20" x14ac:dyDescent="0.35">
      <c r="H31492" s="711"/>
      <c r="I31492" s="711"/>
      <c r="J31492" s="711"/>
      <c r="K31492" s="711"/>
      <c r="L31492" s="711"/>
      <c r="Q31492" s="11"/>
      <c r="R31492" s="11"/>
      <c r="S31492" s="11"/>
      <c r="T31492" s="11"/>
    </row>
    <row r="31493" spans="8:20" x14ac:dyDescent="0.35">
      <c r="H31493" s="711"/>
      <c r="I31493" s="711"/>
      <c r="J31493" s="711"/>
      <c r="K31493" s="711"/>
      <c r="L31493" s="711"/>
      <c r="Q31493" s="11"/>
      <c r="R31493" s="11"/>
      <c r="S31493" s="11"/>
      <c r="T31493" s="11"/>
    </row>
    <row r="31494" spans="8:20" x14ac:dyDescent="0.35">
      <c r="H31494" s="711"/>
      <c r="I31494" s="711"/>
      <c r="J31494" s="711"/>
      <c r="K31494" s="711"/>
      <c r="L31494" s="711"/>
      <c r="Q31494" s="11"/>
      <c r="R31494" s="11"/>
      <c r="S31494" s="11"/>
      <c r="T31494" s="11"/>
    </row>
    <row r="31495" spans="8:20" x14ac:dyDescent="0.35">
      <c r="H31495" s="711"/>
      <c r="I31495" s="711"/>
      <c r="J31495" s="711"/>
      <c r="K31495" s="711"/>
      <c r="L31495" s="711"/>
      <c r="Q31495" s="11"/>
      <c r="R31495" s="11"/>
      <c r="S31495" s="11"/>
      <c r="T31495" s="11"/>
    </row>
    <row r="31496" spans="8:20" x14ac:dyDescent="0.35">
      <c r="H31496" s="711"/>
      <c r="I31496" s="711"/>
      <c r="J31496" s="711"/>
      <c r="K31496" s="711"/>
      <c r="L31496" s="711"/>
      <c r="Q31496" s="11"/>
      <c r="R31496" s="11"/>
      <c r="S31496" s="11"/>
      <c r="T31496" s="11"/>
    </row>
    <row r="31497" spans="8:20" x14ac:dyDescent="0.35">
      <c r="H31497" s="711"/>
      <c r="I31497" s="711"/>
      <c r="J31497" s="711"/>
      <c r="K31497" s="711"/>
      <c r="L31497" s="711"/>
      <c r="Q31497" s="11"/>
      <c r="R31497" s="11"/>
      <c r="S31497" s="11"/>
      <c r="T31497" s="11"/>
    </row>
    <row r="31498" spans="8:20" x14ac:dyDescent="0.35">
      <c r="H31498" s="711"/>
      <c r="I31498" s="711"/>
      <c r="J31498" s="711"/>
      <c r="K31498" s="711"/>
      <c r="L31498" s="711"/>
      <c r="Q31498" s="11"/>
      <c r="R31498" s="11"/>
      <c r="S31498" s="11"/>
      <c r="T31498" s="11"/>
    </row>
    <row r="31499" spans="8:20" x14ac:dyDescent="0.35">
      <c r="H31499" s="711"/>
      <c r="I31499" s="711"/>
      <c r="J31499" s="711"/>
      <c r="K31499" s="711"/>
      <c r="L31499" s="711"/>
      <c r="Q31499" s="11"/>
      <c r="R31499" s="11"/>
      <c r="S31499" s="11"/>
      <c r="T31499" s="11"/>
    </row>
    <row r="31500" spans="8:20" x14ac:dyDescent="0.35">
      <c r="H31500" s="711"/>
      <c r="I31500" s="711"/>
      <c r="J31500" s="711"/>
      <c r="K31500" s="711"/>
      <c r="L31500" s="711"/>
      <c r="Q31500" s="11"/>
      <c r="R31500" s="11"/>
      <c r="S31500" s="11"/>
      <c r="T31500" s="11"/>
    </row>
    <row r="31501" spans="8:20" x14ac:dyDescent="0.35">
      <c r="H31501" s="711"/>
      <c r="I31501" s="711"/>
      <c r="J31501" s="711"/>
      <c r="K31501" s="711"/>
      <c r="L31501" s="711"/>
      <c r="Q31501" s="11"/>
      <c r="R31501" s="11"/>
      <c r="S31501" s="11"/>
      <c r="T31501" s="11"/>
    </row>
    <row r="31502" spans="8:20" x14ac:dyDescent="0.35">
      <c r="H31502" s="711"/>
      <c r="I31502" s="711"/>
      <c r="J31502" s="711"/>
      <c r="K31502" s="711"/>
      <c r="L31502" s="711"/>
      <c r="Q31502" s="11"/>
      <c r="R31502" s="11"/>
      <c r="S31502" s="11"/>
      <c r="T31502" s="11"/>
    </row>
    <row r="31503" spans="8:20" x14ac:dyDescent="0.35">
      <c r="H31503" s="711"/>
      <c r="I31503" s="711"/>
      <c r="J31503" s="711"/>
      <c r="K31503" s="711"/>
      <c r="L31503" s="711"/>
      <c r="Q31503" s="11"/>
      <c r="R31503" s="11"/>
      <c r="S31503" s="11"/>
      <c r="T31503" s="11"/>
    </row>
    <row r="31504" spans="8:20" x14ac:dyDescent="0.35">
      <c r="H31504" s="711"/>
      <c r="I31504" s="711"/>
      <c r="J31504" s="711"/>
      <c r="K31504" s="711"/>
      <c r="L31504" s="711"/>
      <c r="Q31504" s="11"/>
      <c r="R31504" s="11"/>
      <c r="S31504" s="11"/>
      <c r="T31504" s="11"/>
    </row>
    <row r="31505" spans="8:20" x14ac:dyDescent="0.35">
      <c r="H31505" s="711"/>
      <c r="I31505" s="711"/>
      <c r="J31505" s="711"/>
      <c r="K31505" s="711"/>
      <c r="L31505" s="711"/>
      <c r="Q31505" s="11"/>
      <c r="R31505" s="11"/>
      <c r="S31505" s="11"/>
      <c r="T31505" s="11"/>
    </row>
    <row r="31506" spans="8:20" x14ac:dyDescent="0.35">
      <c r="H31506" s="711"/>
      <c r="I31506" s="711"/>
      <c r="J31506" s="711"/>
      <c r="K31506" s="711"/>
      <c r="L31506" s="711"/>
      <c r="Q31506" s="11"/>
      <c r="R31506" s="11"/>
      <c r="S31506" s="11"/>
      <c r="T31506" s="11"/>
    </row>
    <row r="31507" spans="8:20" x14ac:dyDescent="0.35">
      <c r="H31507" s="711"/>
      <c r="I31507" s="711"/>
      <c r="J31507" s="711"/>
      <c r="K31507" s="711"/>
      <c r="L31507" s="711"/>
      <c r="Q31507" s="11"/>
      <c r="R31507" s="11"/>
      <c r="S31507" s="11"/>
      <c r="T31507" s="11"/>
    </row>
    <row r="31508" spans="8:20" x14ac:dyDescent="0.35">
      <c r="H31508" s="711"/>
      <c r="I31508" s="711"/>
      <c r="J31508" s="711"/>
      <c r="K31508" s="711"/>
      <c r="L31508" s="711"/>
      <c r="Q31508" s="11"/>
      <c r="R31508" s="11"/>
      <c r="S31508" s="11"/>
      <c r="T31508" s="11"/>
    </row>
    <row r="31509" spans="8:20" x14ac:dyDescent="0.35">
      <c r="H31509" s="711"/>
      <c r="I31509" s="711"/>
      <c r="J31509" s="711"/>
      <c r="K31509" s="711"/>
      <c r="L31509" s="711"/>
      <c r="Q31509" s="11"/>
      <c r="R31509" s="11"/>
      <c r="S31509" s="11"/>
      <c r="T31509" s="11"/>
    </row>
    <row r="31510" spans="8:20" x14ac:dyDescent="0.35">
      <c r="H31510" s="711"/>
      <c r="I31510" s="711"/>
      <c r="J31510" s="711"/>
      <c r="K31510" s="711"/>
      <c r="L31510" s="711"/>
      <c r="Q31510" s="11"/>
      <c r="R31510" s="11"/>
      <c r="S31510" s="11"/>
      <c r="T31510" s="11"/>
    </row>
    <row r="31511" spans="8:20" x14ac:dyDescent="0.35">
      <c r="H31511" s="711"/>
      <c r="I31511" s="711"/>
      <c r="J31511" s="711"/>
      <c r="K31511" s="711"/>
      <c r="L31511" s="711"/>
      <c r="Q31511" s="11"/>
      <c r="R31511" s="11"/>
      <c r="S31511" s="11"/>
      <c r="T31511" s="11"/>
    </row>
    <row r="31512" spans="8:20" x14ac:dyDescent="0.35">
      <c r="H31512" s="711"/>
      <c r="I31512" s="711"/>
      <c r="J31512" s="711"/>
      <c r="K31512" s="711"/>
      <c r="L31512" s="711"/>
      <c r="Q31512" s="11"/>
      <c r="R31512" s="11"/>
      <c r="S31512" s="11"/>
      <c r="T31512" s="11"/>
    </row>
    <row r="31513" spans="8:20" x14ac:dyDescent="0.35">
      <c r="H31513" s="711"/>
      <c r="I31513" s="711"/>
      <c r="J31513" s="711"/>
      <c r="K31513" s="711"/>
      <c r="L31513" s="711"/>
      <c r="Q31513" s="11"/>
      <c r="R31513" s="11"/>
      <c r="S31513" s="11"/>
      <c r="T31513" s="11"/>
    </row>
    <row r="31514" spans="8:20" x14ac:dyDescent="0.35">
      <c r="H31514" s="711"/>
      <c r="I31514" s="711"/>
      <c r="J31514" s="711"/>
      <c r="K31514" s="711"/>
      <c r="L31514" s="711"/>
      <c r="Q31514" s="11"/>
      <c r="R31514" s="11"/>
      <c r="S31514" s="11"/>
      <c r="T31514" s="11"/>
    </row>
    <row r="31515" spans="8:20" x14ac:dyDescent="0.35">
      <c r="H31515" s="711"/>
      <c r="I31515" s="711"/>
      <c r="J31515" s="711"/>
      <c r="K31515" s="711"/>
      <c r="L31515" s="711"/>
      <c r="Q31515" s="11"/>
      <c r="R31515" s="11"/>
      <c r="S31515" s="11"/>
      <c r="T31515" s="11"/>
    </row>
    <row r="31516" spans="8:20" x14ac:dyDescent="0.35">
      <c r="H31516" s="711"/>
      <c r="I31516" s="711"/>
      <c r="J31516" s="711"/>
      <c r="K31516" s="711"/>
      <c r="L31516" s="711"/>
      <c r="Q31516" s="11"/>
      <c r="R31516" s="11"/>
      <c r="S31516" s="11"/>
      <c r="T31516" s="11"/>
    </row>
    <row r="31517" spans="8:20" x14ac:dyDescent="0.35">
      <c r="H31517" s="711"/>
      <c r="I31517" s="711"/>
      <c r="J31517" s="711"/>
      <c r="K31517" s="711"/>
      <c r="L31517" s="711"/>
      <c r="Q31517" s="11"/>
      <c r="R31517" s="11"/>
      <c r="S31517" s="11"/>
      <c r="T31517" s="11"/>
    </row>
    <row r="31518" spans="8:20" x14ac:dyDescent="0.35">
      <c r="H31518" s="711"/>
      <c r="I31518" s="711"/>
      <c r="J31518" s="711"/>
      <c r="K31518" s="711"/>
      <c r="L31518" s="711"/>
      <c r="Q31518" s="11"/>
      <c r="R31518" s="11"/>
      <c r="S31518" s="11"/>
      <c r="T31518" s="11"/>
    </row>
    <row r="31519" spans="8:20" x14ac:dyDescent="0.35">
      <c r="H31519" s="711"/>
      <c r="I31519" s="711"/>
      <c r="J31519" s="711"/>
      <c r="K31519" s="711"/>
      <c r="L31519" s="711"/>
      <c r="Q31519" s="11"/>
      <c r="R31519" s="11"/>
      <c r="S31519" s="11"/>
      <c r="T31519" s="11"/>
    </row>
    <row r="31520" spans="8:20" x14ac:dyDescent="0.35">
      <c r="H31520" s="711"/>
      <c r="I31520" s="711"/>
      <c r="J31520" s="711"/>
      <c r="K31520" s="711"/>
      <c r="L31520" s="711"/>
      <c r="Q31520" s="11"/>
      <c r="R31520" s="11"/>
      <c r="S31520" s="11"/>
      <c r="T31520" s="11"/>
    </row>
    <row r="31521" spans="8:20" x14ac:dyDescent="0.35">
      <c r="H31521" s="711"/>
      <c r="I31521" s="711"/>
      <c r="J31521" s="711"/>
      <c r="K31521" s="711"/>
      <c r="L31521" s="711"/>
      <c r="Q31521" s="11"/>
      <c r="R31521" s="11"/>
      <c r="S31521" s="11"/>
      <c r="T31521" s="11"/>
    </row>
    <row r="31522" spans="8:20" x14ac:dyDescent="0.35">
      <c r="H31522" s="711"/>
      <c r="I31522" s="711"/>
      <c r="J31522" s="711"/>
      <c r="K31522" s="711"/>
      <c r="L31522" s="711"/>
      <c r="Q31522" s="11"/>
      <c r="R31522" s="11"/>
      <c r="S31522" s="11"/>
      <c r="T31522" s="11"/>
    </row>
    <row r="31523" spans="8:20" x14ac:dyDescent="0.35">
      <c r="H31523" s="711"/>
      <c r="I31523" s="711"/>
      <c r="J31523" s="711"/>
      <c r="K31523" s="711"/>
      <c r="L31523" s="711"/>
      <c r="Q31523" s="11"/>
      <c r="R31523" s="11"/>
      <c r="S31523" s="11"/>
      <c r="T31523" s="11"/>
    </row>
    <row r="31524" spans="8:20" x14ac:dyDescent="0.35">
      <c r="H31524" s="711"/>
      <c r="I31524" s="711"/>
      <c r="J31524" s="711"/>
      <c r="K31524" s="711"/>
      <c r="L31524" s="711"/>
      <c r="Q31524" s="11"/>
      <c r="R31524" s="11"/>
      <c r="S31524" s="11"/>
      <c r="T31524" s="11"/>
    </row>
    <row r="31525" spans="8:20" x14ac:dyDescent="0.35">
      <c r="H31525" s="711"/>
      <c r="I31525" s="711"/>
      <c r="J31525" s="711"/>
      <c r="K31525" s="711"/>
      <c r="L31525" s="711"/>
      <c r="Q31525" s="11"/>
      <c r="R31525" s="11"/>
      <c r="S31525" s="11"/>
      <c r="T31525" s="11"/>
    </row>
    <row r="31526" spans="8:20" x14ac:dyDescent="0.35">
      <c r="H31526" s="711"/>
      <c r="I31526" s="711"/>
      <c r="J31526" s="711"/>
      <c r="K31526" s="711"/>
      <c r="L31526" s="711"/>
      <c r="Q31526" s="11"/>
      <c r="R31526" s="11"/>
      <c r="S31526" s="11"/>
      <c r="T31526" s="11"/>
    </row>
    <row r="31527" spans="8:20" x14ac:dyDescent="0.35">
      <c r="H31527" s="711"/>
      <c r="I31527" s="711"/>
      <c r="J31527" s="711"/>
      <c r="K31527" s="711"/>
      <c r="L31527" s="711"/>
      <c r="Q31527" s="11"/>
      <c r="R31527" s="11"/>
      <c r="S31527" s="11"/>
      <c r="T31527" s="11"/>
    </row>
    <row r="31528" spans="8:20" x14ac:dyDescent="0.35">
      <c r="H31528" s="711"/>
      <c r="I31528" s="711"/>
      <c r="J31528" s="711"/>
      <c r="K31528" s="711"/>
      <c r="L31528" s="711"/>
      <c r="Q31528" s="11"/>
      <c r="R31528" s="11"/>
      <c r="S31528" s="11"/>
      <c r="T31528" s="11"/>
    </row>
    <row r="31529" spans="8:20" x14ac:dyDescent="0.35">
      <c r="H31529" s="711"/>
      <c r="I31529" s="711"/>
      <c r="J31529" s="711"/>
      <c r="K31529" s="711"/>
      <c r="L31529" s="711"/>
      <c r="Q31529" s="11"/>
      <c r="R31529" s="11"/>
      <c r="S31529" s="11"/>
      <c r="T31529" s="11"/>
    </row>
    <row r="31530" spans="8:20" x14ac:dyDescent="0.35">
      <c r="H31530" s="711"/>
      <c r="I31530" s="711"/>
      <c r="J31530" s="711"/>
      <c r="K31530" s="711"/>
      <c r="L31530" s="711"/>
      <c r="Q31530" s="11"/>
      <c r="R31530" s="11"/>
      <c r="S31530" s="11"/>
      <c r="T31530" s="11"/>
    </row>
    <row r="31531" spans="8:20" x14ac:dyDescent="0.35">
      <c r="H31531" s="711"/>
      <c r="I31531" s="711"/>
      <c r="J31531" s="711"/>
      <c r="K31531" s="711"/>
      <c r="L31531" s="711"/>
      <c r="Q31531" s="11"/>
      <c r="R31531" s="11"/>
      <c r="S31531" s="11"/>
      <c r="T31531" s="11"/>
    </row>
    <row r="31532" spans="8:20" x14ac:dyDescent="0.35">
      <c r="H31532" s="711"/>
      <c r="I31532" s="711"/>
      <c r="J31532" s="711"/>
      <c r="K31532" s="711"/>
      <c r="L31532" s="711"/>
      <c r="Q31532" s="11"/>
      <c r="R31532" s="11"/>
      <c r="S31532" s="11"/>
      <c r="T31532" s="11"/>
    </row>
    <row r="31533" spans="8:20" x14ac:dyDescent="0.35">
      <c r="H31533" s="711"/>
      <c r="I31533" s="711"/>
      <c r="J31533" s="711"/>
      <c r="K31533" s="711"/>
      <c r="L31533" s="711"/>
      <c r="Q31533" s="11"/>
      <c r="R31533" s="11"/>
      <c r="S31533" s="11"/>
      <c r="T31533" s="11"/>
    </row>
    <row r="31534" spans="8:20" x14ac:dyDescent="0.35">
      <c r="H31534" s="711"/>
      <c r="I31534" s="711"/>
      <c r="J31534" s="711"/>
      <c r="K31534" s="711"/>
      <c r="L31534" s="711"/>
      <c r="Q31534" s="11"/>
      <c r="R31534" s="11"/>
      <c r="S31534" s="11"/>
      <c r="T31534" s="11"/>
    </row>
    <row r="31535" spans="8:20" x14ac:dyDescent="0.35">
      <c r="H31535" s="711"/>
      <c r="I31535" s="711"/>
      <c r="J31535" s="711"/>
      <c r="K31535" s="711"/>
      <c r="L31535" s="711"/>
      <c r="Q31535" s="11"/>
      <c r="R31535" s="11"/>
      <c r="S31535" s="11"/>
      <c r="T31535" s="11"/>
    </row>
    <row r="31536" spans="8:20" x14ac:dyDescent="0.35">
      <c r="H31536" s="711"/>
      <c r="I31536" s="711"/>
      <c r="J31536" s="711"/>
      <c r="K31536" s="711"/>
      <c r="L31536" s="711"/>
      <c r="Q31536" s="11"/>
      <c r="R31536" s="11"/>
      <c r="S31536" s="11"/>
      <c r="T31536" s="11"/>
    </row>
    <row r="31537" spans="8:20" x14ac:dyDescent="0.35">
      <c r="H31537" s="711"/>
      <c r="I31537" s="711"/>
      <c r="J31537" s="711"/>
      <c r="K31537" s="711"/>
      <c r="L31537" s="711"/>
      <c r="Q31537" s="11"/>
      <c r="R31537" s="11"/>
      <c r="S31537" s="11"/>
      <c r="T31537" s="11"/>
    </row>
    <row r="31538" spans="8:20" x14ac:dyDescent="0.35">
      <c r="H31538" s="711"/>
      <c r="I31538" s="711"/>
      <c r="J31538" s="711"/>
      <c r="K31538" s="711"/>
      <c r="L31538" s="711"/>
      <c r="Q31538" s="11"/>
      <c r="R31538" s="11"/>
      <c r="S31538" s="11"/>
      <c r="T31538" s="11"/>
    </row>
    <row r="31539" spans="8:20" x14ac:dyDescent="0.35">
      <c r="H31539" s="711"/>
      <c r="I31539" s="711"/>
      <c r="J31539" s="711"/>
      <c r="K31539" s="711"/>
      <c r="L31539" s="711"/>
      <c r="Q31539" s="11"/>
      <c r="R31539" s="11"/>
      <c r="S31539" s="11"/>
      <c r="T31539" s="11"/>
    </row>
    <row r="31540" spans="8:20" x14ac:dyDescent="0.35">
      <c r="H31540" s="711"/>
      <c r="I31540" s="711"/>
      <c r="J31540" s="711"/>
      <c r="K31540" s="711"/>
      <c r="L31540" s="711"/>
      <c r="Q31540" s="11"/>
      <c r="R31540" s="11"/>
      <c r="S31540" s="11"/>
      <c r="T31540" s="11"/>
    </row>
    <row r="31541" spans="8:20" x14ac:dyDescent="0.35">
      <c r="H31541" s="711"/>
      <c r="I31541" s="711"/>
      <c r="J31541" s="711"/>
      <c r="K31541" s="711"/>
      <c r="L31541" s="711"/>
      <c r="Q31541" s="11"/>
      <c r="R31541" s="11"/>
      <c r="S31541" s="11"/>
      <c r="T31541" s="11"/>
    </row>
    <row r="31542" spans="8:20" x14ac:dyDescent="0.35">
      <c r="H31542" s="711"/>
      <c r="I31542" s="711"/>
      <c r="J31542" s="711"/>
      <c r="K31542" s="711"/>
      <c r="L31542" s="711"/>
      <c r="Q31542" s="11"/>
      <c r="R31542" s="11"/>
      <c r="S31542" s="11"/>
      <c r="T31542" s="11"/>
    </row>
    <row r="31543" spans="8:20" x14ac:dyDescent="0.35">
      <c r="H31543" s="711"/>
      <c r="I31543" s="711"/>
      <c r="J31543" s="711"/>
      <c r="K31543" s="711"/>
      <c r="L31543" s="711"/>
      <c r="Q31543" s="11"/>
      <c r="R31543" s="11"/>
      <c r="S31543" s="11"/>
      <c r="T31543" s="11"/>
    </row>
    <row r="31544" spans="8:20" x14ac:dyDescent="0.35">
      <c r="H31544" s="711"/>
      <c r="I31544" s="711"/>
      <c r="J31544" s="711"/>
      <c r="K31544" s="711"/>
      <c r="L31544" s="711"/>
      <c r="Q31544" s="11"/>
      <c r="R31544" s="11"/>
      <c r="S31544" s="11"/>
      <c r="T31544" s="11"/>
    </row>
    <row r="31545" spans="8:20" x14ac:dyDescent="0.35">
      <c r="H31545" s="711"/>
      <c r="I31545" s="711"/>
      <c r="J31545" s="711"/>
      <c r="K31545" s="711"/>
      <c r="L31545" s="711"/>
      <c r="Q31545" s="11"/>
      <c r="R31545" s="11"/>
      <c r="S31545" s="11"/>
      <c r="T31545" s="11"/>
    </row>
    <row r="31546" spans="8:20" x14ac:dyDescent="0.35">
      <c r="H31546" s="711"/>
      <c r="I31546" s="711"/>
      <c r="J31546" s="711"/>
      <c r="K31546" s="711"/>
      <c r="L31546" s="711"/>
      <c r="Q31546" s="11"/>
      <c r="R31546" s="11"/>
      <c r="S31546" s="11"/>
      <c r="T31546" s="11"/>
    </row>
    <row r="31547" spans="8:20" x14ac:dyDescent="0.35">
      <c r="H31547" s="711"/>
      <c r="I31547" s="711"/>
      <c r="J31547" s="711"/>
      <c r="K31547" s="711"/>
      <c r="L31547" s="711"/>
      <c r="Q31547" s="11"/>
      <c r="R31547" s="11"/>
      <c r="S31547" s="11"/>
      <c r="T31547" s="11"/>
    </row>
    <row r="31548" spans="8:20" x14ac:dyDescent="0.35">
      <c r="H31548" s="711"/>
      <c r="I31548" s="711"/>
      <c r="J31548" s="711"/>
      <c r="K31548" s="711"/>
      <c r="L31548" s="711"/>
      <c r="Q31548" s="11"/>
      <c r="R31548" s="11"/>
      <c r="S31548" s="11"/>
      <c r="T31548" s="11"/>
    </row>
    <row r="31549" spans="8:20" x14ac:dyDescent="0.35">
      <c r="H31549" s="711"/>
      <c r="I31549" s="711"/>
      <c r="J31549" s="711"/>
      <c r="K31549" s="711"/>
      <c r="L31549" s="711"/>
      <c r="Q31549" s="11"/>
      <c r="R31549" s="11"/>
      <c r="S31549" s="11"/>
      <c r="T31549" s="11"/>
    </row>
    <row r="31550" spans="8:20" x14ac:dyDescent="0.35">
      <c r="H31550" s="711"/>
      <c r="I31550" s="711"/>
      <c r="J31550" s="711"/>
      <c r="K31550" s="711"/>
      <c r="L31550" s="711"/>
      <c r="Q31550" s="11"/>
      <c r="R31550" s="11"/>
      <c r="S31550" s="11"/>
      <c r="T31550" s="11"/>
    </row>
    <row r="31551" spans="8:20" x14ac:dyDescent="0.35">
      <c r="H31551" s="711"/>
      <c r="I31551" s="711"/>
      <c r="J31551" s="711"/>
      <c r="K31551" s="711"/>
      <c r="L31551" s="711"/>
      <c r="Q31551" s="11"/>
      <c r="R31551" s="11"/>
      <c r="S31551" s="11"/>
      <c r="T31551" s="11"/>
    </row>
    <row r="31552" spans="8:20" x14ac:dyDescent="0.35">
      <c r="H31552" s="711"/>
      <c r="I31552" s="711"/>
      <c r="J31552" s="711"/>
      <c r="K31552" s="711"/>
      <c r="L31552" s="711"/>
      <c r="Q31552" s="11"/>
      <c r="R31552" s="11"/>
      <c r="S31552" s="11"/>
      <c r="T31552" s="11"/>
    </row>
    <row r="31553" spans="8:20" x14ac:dyDescent="0.35">
      <c r="H31553" s="711"/>
      <c r="I31553" s="711"/>
      <c r="J31553" s="711"/>
      <c r="K31553" s="711"/>
      <c r="L31553" s="711"/>
      <c r="Q31553" s="11"/>
      <c r="R31553" s="11"/>
      <c r="S31553" s="11"/>
      <c r="T31553" s="11"/>
    </row>
    <row r="31554" spans="8:20" x14ac:dyDescent="0.35">
      <c r="H31554" s="711"/>
      <c r="I31554" s="711"/>
      <c r="J31554" s="711"/>
      <c r="K31554" s="711"/>
      <c r="L31554" s="711"/>
      <c r="Q31554" s="11"/>
      <c r="R31554" s="11"/>
      <c r="S31554" s="11"/>
      <c r="T31554" s="11"/>
    </row>
    <row r="31555" spans="8:20" x14ac:dyDescent="0.35">
      <c r="H31555" s="711"/>
      <c r="I31555" s="711"/>
      <c r="J31555" s="711"/>
      <c r="K31555" s="711"/>
      <c r="L31555" s="711"/>
      <c r="Q31555" s="11"/>
      <c r="R31555" s="11"/>
      <c r="S31555" s="11"/>
      <c r="T31555" s="11"/>
    </row>
    <row r="31556" spans="8:20" x14ac:dyDescent="0.35">
      <c r="H31556" s="711"/>
      <c r="I31556" s="711"/>
      <c r="J31556" s="711"/>
      <c r="K31556" s="711"/>
      <c r="L31556" s="711"/>
      <c r="Q31556" s="11"/>
      <c r="R31556" s="11"/>
      <c r="S31556" s="11"/>
      <c r="T31556" s="11"/>
    </row>
    <row r="31557" spans="8:20" x14ac:dyDescent="0.35">
      <c r="H31557" s="711"/>
      <c r="I31557" s="711"/>
      <c r="J31557" s="711"/>
      <c r="K31557" s="711"/>
      <c r="L31557" s="711"/>
      <c r="Q31557" s="11"/>
      <c r="R31557" s="11"/>
      <c r="S31557" s="11"/>
      <c r="T31557" s="11"/>
    </row>
    <row r="31558" spans="8:20" x14ac:dyDescent="0.35">
      <c r="H31558" s="711"/>
      <c r="I31558" s="711"/>
      <c r="J31558" s="711"/>
      <c r="K31558" s="711"/>
      <c r="L31558" s="711"/>
      <c r="Q31558" s="11"/>
      <c r="R31558" s="11"/>
      <c r="S31558" s="11"/>
      <c r="T31558" s="11"/>
    </row>
    <row r="31559" spans="8:20" x14ac:dyDescent="0.35">
      <c r="H31559" s="711"/>
      <c r="I31559" s="711"/>
      <c r="J31559" s="711"/>
      <c r="K31559" s="711"/>
      <c r="L31559" s="711"/>
      <c r="Q31559" s="11"/>
      <c r="R31559" s="11"/>
      <c r="S31559" s="11"/>
      <c r="T31559" s="11"/>
    </row>
    <row r="31560" spans="8:20" x14ac:dyDescent="0.35">
      <c r="H31560" s="711"/>
      <c r="I31560" s="711"/>
      <c r="J31560" s="711"/>
      <c r="K31560" s="711"/>
      <c r="L31560" s="711"/>
      <c r="Q31560" s="11"/>
      <c r="R31560" s="11"/>
      <c r="S31560" s="11"/>
      <c r="T31560" s="11"/>
    </row>
    <row r="31561" spans="8:20" x14ac:dyDescent="0.35">
      <c r="H31561" s="711"/>
      <c r="I31561" s="711"/>
      <c r="J31561" s="711"/>
      <c r="K31561" s="711"/>
      <c r="L31561" s="711"/>
      <c r="Q31561" s="11"/>
      <c r="R31561" s="11"/>
      <c r="S31561" s="11"/>
      <c r="T31561" s="11"/>
    </row>
    <row r="31562" spans="8:20" x14ac:dyDescent="0.35">
      <c r="H31562" s="711"/>
      <c r="I31562" s="711"/>
      <c r="J31562" s="711"/>
      <c r="K31562" s="711"/>
      <c r="L31562" s="711"/>
      <c r="Q31562" s="11"/>
      <c r="R31562" s="11"/>
      <c r="S31562" s="11"/>
      <c r="T31562" s="11"/>
    </row>
    <row r="31563" spans="8:20" x14ac:dyDescent="0.35">
      <c r="H31563" s="711"/>
      <c r="I31563" s="711"/>
      <c r="J31563" s="711"/>
      <c r="K31563" s="711"/>
      <c r="L31563" s="711"/>
      <c r="Q31563" s="11"/>
      <c r="R31563" s="11"/>
      <c r="S31563" s="11"/>
      <c r="T31563" s="11"/>
    </row>
    <row r="31564" spans="8:20" x14ac:dyDescent="0.35">
      <c r="H31564" s="711"/>
      <c r="I31564" s="711"/>
      <c r="J31564" s="711"/>
      <c r="K31564" s="711"/>
      <c r="L31564" s="711"/>
      <c r="Q31564" s="11"/>
      <c r="R31564" s="11"/>
      <c r="S31564" s="11"/>
      <c r="T31564" s="11"/>
    </row>
    <row r="31565" spans="8:20" x14ac:dyDescent="0.35">
      <c r="H31565" s="711"/>
      <c r="I31565" s="711"/>
      <c r="J31565" s="711"/>
      <c r="K31565" s="711"/>
      <c r="L31565" s="711"/>
      <c r="Q31565" s="11"/>
      <c r="R31565" s="11"/>
      <c r="S31565" s="11"/>
      <c r="T31565" s="11"/>
    </row>
    <row r="31566" spans="8:20" x14ac:dyDescent="0.35">
      <c r="H31566" s="711"/>
      <c r="I31566" s="711"/>
      <c r="J31566" s="711"/>
      <c r="K31566" s="711"/>
      <c r="L31566" s="711"/>
      <c r="Q31566" s="11"/>
      <c r="R31566" s="11"/>
      <c r="S31566" s="11"/>
      <c r="T31566" s="11"/>
    </row>
    <row r="31567" spans="8:20" x14ac:dyDescent="0.35">
      <c r="H31567" s="711"/>
      <c r="I31567" s="711"/>
      <c r="J31567" s="711"/>
      <c r="K31567" s="711"/>
      <c r="L31567" s="711"/>
      <c r="Q31567" s="11"/>
      <c r="R31567" s="11"/>
      <c r="S31567" s="11"/>
      <c r="T31567" s="11"/>
    </row>
    <row r="31568" spans="8:20" x14ac:dyDescent="0.35">
      <c r="H31568" s="711"/>
      <c r="I31568" s="711"/>
      <c r="J31568" s="711"/>
      <c r="K31568" s="711"/>
      <c r="L31568" s="711"/>
      <c r="Q31568" s="11"/>
      <c r="R31568" s="11"/>
      <c r="S31568" s="11"/>
      <c r="T31568" s="11"/>
    </row>
    <row r="31569" spans="8:20" x14ac:dyDescent="0.35">
      <c r="H31569" s="711"/>
      <c r="I31569" s="711"/>
      <c r="J31569" s="711"/>
      <c r="K31569" s="711"/>
      <c r="L31569" s="711"/>
      <c r="Q31569" s="11"/>
      <c r="R31569" s="11"/>
      <c r="S31569" s="11"/>
      <c r="T31569" s="11"/>
    </row>
    <row r="31570" spans="8:20" x14ac:dyDescent="0.35">
      <c r="H31570" s="711"/>
      <c r="I31570" s="711"/>
      <c r="J31570" s="711"/>
      <c r="K31570" s="711"/>
      <c r="L31570" s="711"/>
      <c r="Q31570" s="11"/>
      <c r="R31570" s="11"/>
      <c r="S31570" s="11"/>
      <c r="T31570" s="11"/>
    </row>
    <row r="31571" spans="8:20" x14ac:dyDescent="0.35">
      <c r="H31571" s="711"/>
      <c r="I31571" s="711"/>
      <c r="J31571" s="711"/>
      <c r="K31571" s="711"/>
      <c r="L31571" s="711"/>
      <c r="Q31571" s="11"/>
      <c r="R31571" s="11"/>
      <c r="S31571" s="11"/>
      <c r="T31571" s="11"/>
    </row>
    <row r="31572" spans="8:20" x14ac:dyDescent="0.35">
      <c r="H31572" s="711"/>
      <c r="I31572" s="711"/>
      <c r="J31572" s="711"/>
      <c r="K31572" s="711"/>
      <c r="L31572" s="711"/>
      <c r="Q31572" s="11"/>
      <c r="R31572" s="11"/>
      <c r="S31572" s="11"/>
      <c r="T31572" s="11"/>
    </row>
    <row r="31573" spans="8:20" x14ac:dyDescent="0.35">
      <c r="H31573" s="711"/>
      <c r="I31573" s="711"/>
      <c r="J31573" s="711"/>
      <c r="K31573" s="711"/>
      <c r="L31573" s="711"/>
      <c r="Q31573" s="11"/>
      <c r="R31573" s="11"/>
      <c r="S31573" s="11"/>
      <c r="T31573" s="11"/>
    </row>
    <row r="31574" spans="8:20" x14ac:dyDescent="0.35">
      <c r="H31574" s="711"/>
      <c r="I31574" s="711"/>
      <c r="J31574" s="711"/>
      <c r="K31574" s="711"/>
      <c r="L31574" s="711"/>
      <c r="Q31574" s="11"/>
      <c r="R31574" s="11"/>
      <c r="S31574" s="11"/>
      <c r="T31574" s="11"/>
    </row>
    <row r="31575" spans="8:20" x14ac:dyDescent="0.35">
      <c r="H31575" s="711"/>
      <c r="I31575" s="711"/>
      <c r="J31575" s="711"/>
      <c r="K31575" s="711"/>
      <c r="L31575" s="711"/>
      <c r="Q31575" s="11"/>
      <c r="R31575" s="11"/>
      <c r="S31575" s="11"/>
      <c r="T31575" s="11"/>
    </row>
    <row r="31576" spans="8:20" x14ac:dyDescent="0.35">
      <c r="H31576" s="711"/>
      <c r="I31576" s="711"/>
      <c r="J31576" s="711"/>
      <c r="K31576" s="711"/>
      <c r="L31576" s="711"/>
      <c r="Q31576" s="11"/>
      <c r="R31576" s="11"/>
      <c r="S31576" s="11"/>
      <c r="T31576" s="11"/>
    </row>
    <row r="31577" spans="8:20" x14ac:dyDescent="0.35">
      <c r="H31577" s="711"/>
      <c r="I31577" s="711"/>
      <c r="J31577" s="711"/>
      <c r="K31577" s="711"/>
      <c r="L31577" s="711"/>
      <c r="Q31577" s="11"/>
      <c r="R31577" s="11"/>
      <c r="S31577" s="11"/>
      <c r="T31577" s="11"/>
    </row>
    <row r="31578" spans="8:20" x14ac:dyDescent="0.35">
      <c r="H31578" s="711"/>
      <c r="I31578" s="711"/>
      <c r="J31578" s="711"/>
      <c r="K31578" s="711"/>
      <c r="L31578" s="711"/>
      <c r="Q31578" s="11"/>
      <c r="R31578" s="11"/>
      <c r="S31578" s="11"/>
      <c r="T31578" s="11"/>
    </row>
    <row r="31579" spans="8:20" x14ac:dyDescent="0.35">
      <c r="H31579" s="711"/>
      <c r="I31579" s="711"/>
      <c r="J31579" s="711"/>
      <c r="K31579" s="711"/>
      <c r="L31579" s="711"/>
      <c r="Q31579" s="11"/>
      <c r="R31579" s="11"/>
      <c r="S31579" s="11"/>
      <c r="T31579" s="11"/>
    </row>
    <row r="31580" spans="8:20" x14ac:dyDescent="0.35">
      <c r="H31580" s="711"/>
      <c r="I31580" s="711"/>
      <c r="J31580" s="711"/>
      <c r="K31580" s="711"/>
      <c r="L31580" s="711"/>
      <c r="Q31580" s="11"/>
      <c r="R31580" s="11"/>
      <c r="S31580" s="11"/>
      <c r="T31580" s="11"/>
    </row>
    <row r="31581" spans="8:20" x14ac:dyDescent="0.35">
      <c r="H31581" s="711"/>
      <c r="I31581" s="711"/>
      <c r="J31581" s="711"/>
      <c r="K31581" s="711"/>
      <c r="L31581" s="711"/>
      <c r="Q31581" s="11"/>
      <c r="R31581" s="11"/>
      <c r="S31581" s="11"/>
      <c r="T31581" s="11"/>
    </row>
    <row r="31582" spans="8:20" x14ac:dyDescent="0.35">
      <c r="H31582" s="711"/>
      <c r="I31582" s="711"/>
      <c r="J31582" s="711"/>
      <c r="K31582" s="711"/>
      <c r="L31582" s="711"/>
      <c r="Q31582" s="11"/>
      <c r="R31582" s="11"/>
      <c r="S31582" s="11"/>
      <c r="T31582" s="11"/>
    </row>
    <row r="31583" spans="8:20" x14ac:dyDescent="0.35">
      <c r="H31583" s="711"/>
      <c r="I31583" s="711"/>
      <c r="J31583" s="711"/>
      <c r="K31583" s="711"/>
      <c r="L31583" s="711"/>
      <c r="Q31583" s="11"/>
      <c r="R31583" s="11"/>
      <c r="S31583" s="11"/>
      <c r="T31583" s="11"/>
    </row>
    <row r="31584" spans="8:20" x14ac:dyDescent="0.35">
      <c r="H31584" s="711"/>
      <c r="I31584" s="711"/>
      <c r="J31584" s="711"/>
      <c r="K31584" s="711"/>
      <c r="L31584" s="711"/>
      <c r="Q31584" s="11"/>
      <c r="R31584" s="11"/>
      <c r="S31584" s="11"/>
      <c r="T31584" s="11"/>
    </row>
    <row r="31585" spans="8:20" x14ac:dyDescent="0.35">
      <c r="H31585" s="711"/>
      <c r="I31585" s="711"/>
      <c r="J31585" s="711"/>
      <c r="K31585" s="711"/>
      <c r="L31585" s="711"/>
      <c r="Q31585" s="11"/>
      <c r="R31585" s="11"/>
      <c r="S31585" s="11"/>
      <c r="T31585" s="11"/>
    </row>
    <row r="31586" spans="8:20" x14ac:dyDescent="0.35">
      <c r="H31586" s="711"/>
      <c r="I31586" s="711"/>
      <c r="J31586" s="711"/>
      <c r="K31586" s="711"/>
      <c r="L31586" s="711"/>
      <c r="Q31586" s="11"/>
      <c r="R31586" s="11"/>
      <c r="S31586" s="11"/>
      <c r="T31586" s="11"/>
    </row>
    <row r="31587" spans="8:20" x14ac:dyDescent="0.35">
      <c r="H31587" s="711"/>
      <c r="I31587" s="711"/>
      <c r="J31587" s="711"/>
      <c r="K31587" s="711"/>
      <c r="L31587" s="711"/>
      <c r="Q31587" s="11"/>
      <c r="R31587" s="11"/>
      <c r="S31587" s="11"/>
      <c r="T31587" s="11"/>
    </row>
    <row r="31588" spans="8:20" x14ac:dyDescent="0.35">
      <c r="H31588" s="711"/>
      <c r="I31588" s="711"/>
      <c r="J31588" s="711"/>
      <c r="K31588" s="711"/>
      <c r="L31588" s="711"/>
      <c r="Q31588" s="11"/>
      <c r="R31588" s="11"/>
      <c r="S31588" s="11"/>
      <c r="T31588" s="11"/>
    </row>
    <row r="31589" spans="8:20" x14ac:dyDescent="0.35">
      <c r="H31589" s="711"/>
      <c r="I31589" s="711"/>
      <c r="J31589" s="711"/>
      <c r="K31589" s="711"/>
      <c r="L31589" s="711"/>
      <c r="Q31589" s="11"/>
      <c r="R31589" s="11"/>
      <c r="S31589" s="11"/>
      <c r="T31589" s="11"/>
    </row>
    <row r="31590" spans="8:20" x14ac:dyDescent="0.35">
      <c r="H31590" s="711"/>
      <c r="I31590" s="711"/>
      <c r="J31590" s="711"/>
      <c r="K31590" s="711"/>
      <c r="L31590" s="711"/>
      <c r="Q31590" s="11"/>
      <c r="R31590" s="11"/>
      <c r="S31590" s="11"/>
      <c r="T31590" s="11"/>
    </row>
    <row r="31591" spans="8:20" x14ac:dyDescent="0.35">
      <c r="H31591" s="711"/>
      <c r="I31591" s="711"/>
      <c r="J31591" s="711"/>
      <c r="K31591" s="711"/>
      <c r="L31591" s="711"/>
      <c r="Q31591" s="11"/>
      <c r="R31591" s="11"/>
      <c r="S31591" s="11"/>
      <c r="T31591" s="11"/>
    </row>
    <row r="31592" spans="8:20" x14ac:dyDescent="0.35">
      <c r="H31592" s="711"/>
      <c r="I31592" s="711"/>
      <c r="J31592" s="711"/>
      <c r="K31592" s="711"/>
      <c r="L31592" s="711"/>
      <c r="Q31592" s="11"/>
      <c r="R31592" s="11"/>
      <c r="S31592" s="11"/>
      <c r="T31592" s="11"/>
    </row>
    <row r="31593" spans="8:20" x14ac:dyDescent="0.35">
      <c r="H31593" s="711"/>
      <c r="I31593" s="711"/>
      <c r="J31593" s="711"/>
      <c r="K31593" s="711"/>
      <c r="L31593" s="711"/>
      <c r="Q31593" s="11"/>
      <c r="R31593" s="11"/>
      <c r="S31593" s="11"/>
      <c r="T31593" s="11"/>
    </row>
    <row r="31594" spans="8:20" x14ac:dyDescent="0.35">
      <c r="H31594" s="711"/>
      <c r="I31594" s="711"/>
      <c r="J31594" s="711"/>
      <c r="K31594" s="711"/>
      <c r="L31594" s="711"/>
      <c r="Q31594" s="11"/>
      <c r="R31594" s="11"/>
      <c r="S31594" s="11"/>
      <c r="T31594" s="11"/>
    </row>
    <row r="31595" spans="8:20" x14ac:dyDescent="0.35">
      <c r="H31595" s="711"/>
      <c r="I31595" s="711"/>
      <c r="J31595" s="711"/>
      <c r="K31595" s="711"/>
      <c r="L31595" s="711"/>
      <c r="Q31595" s="11"/>
      <c r="R31595" s="11"/>
      <c r="S31595" s="11"/>
      <c r="T31595" s="11"/>
    </row>
    <row r="31596" spans="8:20" x14ac:dyDescent="0.35">
      <c r="H31596" s="711"/>
      <c r="I31596" s="711"/>
      <c r="J31596" s="711"/>
      <c r="K31596" s="711"/>
      <c r="L31596" s="711"/>
      <c r="Q31596" s="11"/>
      <c r="R31596" s="11"/>
      <c r="S31596" s="11"/>
      <c r="T31596" s="11"/>
    </row>
    <row r="31597" spans="8:20" x14ac:dyDescent="0.35">
      <c r="H31597" s="711"/>
      <c r="I31597" s="711"/>
      <c r="J31597" s="711"/>
      <c r="K31597" s="711"/>
      <c r="L31597" s="711"/>
      <c r="Q31597" s="11"/>
      <c r="R31597" s="11"/>
      <c r="S31597" s="11"/>
      <c r="T31597" s="11"/>
    </row>
    <row r="31598" spans="8:20" x14ac:dyDescent="0.35">
      <c r="H31598" s="711"/>
      <c r="I31598" s="711"/>
      <c r="J31598" s="711"/>
      <c r="K31598" s="711"/>
      <c r="L31598" s="711"/>
      <c r="Q31598" s="11"/>
      <c r="R31598" s="11"/>
      <c r="S31598" s="11"/>
      <c r="T31598" s="11"/>
    </row>
    <row r="31599" spans="8:20" x14ac:dyDescent="0.35">
      <c r="H31599" s="711"/>
      <c r="I31599" s="711"/>
      <c r="J31599" s="711"/>
      <c r="K31599" s="711"/>
      <c r="L31599" s="711"/>
      <c r="Q31599" s="11"/>
      <c r="R31599" s="11"/>
      <c r="S31599" s="11"/>
      <c r="T31599" s="11"/>
    </row>
    <row r="31600" spans="8:20" x14ac:dyDescent="0.35">
      <c r="H31600" s="711"/>
      <c r="I31600" s="711"/>
      <c r="J31600" s="711"/>
      <c r="K31600" s="711"/>
      <c r="L31600" s="711"/>
      <c r="Q31600" s="11"/>
      <c r="R31600" s="11"/>
      <c r="S31600" s="11"/>
      <c r="T31600" s="11"/>
    </row>
    <row r="31601" spans="8:20" x14ac:dyDescent="0.35">
      <c r="H31601" s="711"/>
      <c r="I31601" s="711"/>
      <c r="J31601" s="711"/>
      <c r="K31601" s="711"/>
      <c r="L31601" s="711"/>
      <c r="Q31601" s="11"/>
      <c r="R31601" s="11"/>
      <c r="S31601" s="11"/>
      <c r="T31601" s="11"/>
    </row>
    <row r="31602" spans="8:20" x14ac:dyDescent="0.35">
      <c r="H31602" s="711"/>
      <c r="I31602" s="711"/>
      <c r="J31602" s="711"/>
      <c r="K31602" s="711"/>
      <c r="L31602" s="711"/>
      <c r="Q31602" s="11"/>
      <c r="R31602" s="11"/>
      <c r="S31602" s="11"/>
      <c r="T31602" s="11"/>
    </row>
    <row r="31603" spans="8:20" x14ac:dyDescent="0.35">
      <c r="H31603" s="711"/>
      <c r="I31603" s="711"/>
      <c r="J31603" s="711"/>
      <c r="K31603" s="711"/>
      <c r="L31603" s="711"/>
      <c r="Q31603" s="11"/>
      <c r="R31603" s="11"/>
      <c r="S31603" s="11"/>
      <c r="T31603" s="11"/>
    </row>
    <row r="31604" spans="8:20" x14ac:dyDescent="0.35">
      <c r="H31604" s="711"/>
      <c r="I31604" s="711"/>
      <c r="J31604" s="711"/>
      <c r="K31604" s="711"/>
      <c r="L31604" s="711"/>
      <c r="Q31604" s="11"/>
      <c r="R31604" s="11"/>
      <c r="S31604" s="11"/>
      <c r="T31604" s="11"/>
    </row>
    <row r="31605" spans="8:20" x14ac:dyDescent="0.35">
      <c r="H31605" s="711"/>
      <c r="I31605" s="711"/>
      <c r="J31605" s="711"/>
      <c r="K31605" s="711"/>
      <c r="L31605" s="711"/>
      <c r="Q31605" s="11"/>
      <c r="R31605" s="11"/>
      <c r="S31605" s="11"/>
      <c r="T31605" s="11"/>
    </row>
    <row r="31606" spans="8:20" x14ac:dyDescent="0.35">
      <c r="H31606" s="711"/>
      <c r="I31606" s="711"/>
      <c r="J31606" s="711"/>
      <c r="K31606" s="711"/>
      <c r="L31606" s="711"/>
      <c r="Q31606" s="11"/>
      <c r="R31606" s="11"/>
      <c r="S31606" s="11"/>
      <c r="T31606" s="11"/>
    </row>
    <row r="31607" spans="8:20" x14ac:dyDescent="0.35">
      <c r="H31607" s="711"/>
      <c r="I31607" s="711"/>
      <c r="J31607" s="711"/>
      <c r="K31607" s="711"/>
      <c r="L31607" s="711"/>
      <c r="Q31607" s="11"/>
      <c r="R31607" s="11"/>
      <c r="S31607" s="11"/>
      <c r="T31607" s="11"/>
    </row>
    <row r="31608" spans="8:20" x14ac:dyDescent="0.35">
      <c r="H31608" s="711"/>
      <c r="I31608" s="711"/>
      <c r="J31608" s="711"/>
      <c r="K31608" s="711"/>
      <c r="L31608" s="711"/>
      <c r="Q31608" s="11"/>
      <c r="R31608" s="11"/>
      <c r="S31608" s="11"/>
      <c r="T31608" s="11"/>
    </row>
    <row r="31609" spans="8:20" x14ac:dyDescent="0.35">
      <c r="H31609" s="711"/>
      <c r="I31609" s="711"/>
      <c r="J31609" s="711"/>
      <c r="K31609" s="711"/>
      <c r="L31609" s="711"/>
      <c r="Q31609" s="11"/>
      <c r="R31609" s="11"/>
      <c r="S31609" s="11"/>
      <c r="T31609" s="11"/>
    </row>
    <row r="31610" spans="8:20" x14ac:dyDescent="0.35">
      <c r="H31610" s="711"/>
      <c r="I31610" s="711"/>
      <c r="J31610" s="711"/>
      <c r="K31610" s="711"/>
      <c r="L31610" s="711"/>
      <c r="Q31610" s="11"/>
      <c r="R31610" s="11"/>
      <c r="S31610" s="11"/>
      <c r="T31610" s="11"/>
    </row>
    <row r="31611" spans="8:20" x14ac:dyDescent="0.35">
      <c r="H31611" s="711"/>
      <c r="I31611" s="711"/>
      <c r="J31611" s="711"/>
      <c r="K31611" s="711"/>
      <c r="L31611" s="711"/>
      <c r="Q31611" s="11"/>
      <c r="R31611" s="11"/>
      <c r="S31611" s="11"/>
      <c r="T31611" s="11"/>
    </row>
    <row r="31612" spans="8:20" x14ac:dyDescent="0.35">
      <c r="H31612" s="711"/>
      <c r="I31612" s="711"/>
      <c r="J31612" s="711"/>
      <c r="K31612" s="711"/>
      <c r="L31612" s="711"/>
      <c r="Q31612" s="11"/>
      <c r="R31612" s="11"/>
      <c r="S31612" s="11"/>
      <c r="T31612" s="11"/>
    </row>
    <row r="31613" spans="8:20" x14ac:dyDescent="0.35">
      <c r="H31613" s="711"/>
      <c r="I31613" s="711"/>
      <c r="J31613" s="711"/>
      <c r="K31613" s="711"/>
      <c r="L31613" s="711"/>
      <c r="Q31613" s="11"/>
      <c r="R31613" s="11"/>
      <c r="S31613" s="11"/>
      <c r="T31613" s="11"/>
    </row>
    <row r="31614" spans="8:20" x14ac:dyDescent="0.35">
      <c r="H31614" s="711"/>
      <c r="I31614" s="711"/>
      <c r="J31614" s="711"/>
      <c r="K31614" s="711"/>
      <c r="L31614" s="711"/>
      <c r="Q31614" s="11"/>
      <c r="R31614" s="11"/>
      <c r="S31614" s="11"/>
      <c r="T31614" s="11"/>
    </row>
    <row r="31615" spans="8:20" x14ac:dyDescent="0.35">
      <c r="H31615" s="711"/>
      <c r="I31615" s="711"/>
      <c r="J31615" s="711"/>
      <c r="K31615" s="711"/>
      <c r="L31615" s="711"/>
      <c r="Q31615" s="11"/>
      <c r="R31615" s="11"/>
      <c r="S31615" s="11"/>
      <c r="T31615" s="11"/>
    </row>
    <row r="31616" spans="8:20" x14ac:dyDescent="0.35">
      <c r="H31616" s="711"/>
      <c r="I31616" s="711"/>
      <c r="J31616" s="711"/>
      <c r="K31616" s="711"/>
      <c r="L31616" s="711"/>
      <c r="Q31616" s="11"/>
      <c r="R31616" s="11"/>
      <c r="S31616" s="11"/>
      <c r="T31616" s="11"/>
    </row>
    <row r="31617" spans="8:20" x14ac:dyDescent="0.35">
      <c r="H31617" s="711"/>
      <c r="I31617" s="711"/>
      <c r="J31617" s="711"/>
      <c r="K31617" s="711"/>
      <c r="L31617" s="711"/>
      <c r="Q31617" s="11"/>
      <c r="R31617" s="11"/>
      <c r="S31617" s="11"/>
      <c r="T31617" s="11"/>
    </row>
    <row r="31618" spans="8:20" x14ac:dyDescent="0.35">
      <c r="H31618" s="711"/>
      <c r="I31618" s="711"/>
      <c r="J31618" s="711"/>
      <c r="K31618" s="711"/>
      <c r="L31618" s="711"/>
      <c r="Q31618" s="11"/>
      <c r="R31618" s="11"/>
      <c r="S31618" s="11"/>
      <c r="T31618" s="11"/>
    </row>
    <row r="31619" spans="8:20" x14ac:dyDescent="0.35">
      <c r="H31619" s="711"/>
      <c r="I31619" s="711"/>
      <c r="J31619" s="711"/>
      <c r="K31619" s="711"/>
      <c r="L31619" s="711"/>
      <c r="Q31619" s="11"/>
      <c r="R31619" s="11"/>
      <c r="S31619" s="11"/>
      <c r="T31619" s="11"/>
    </row>
    <row r="31620" spans="8:20" x14ac:dyDescent="0.35">
      <c r="H31620" s="711"/>
      <c r="I31620" s="711"/>
      <c r="J31620" s="711"/>
      <c r="K31620" s="711"/>
      <c r="L31620" s="711"/>
      <c r="Q31620" s="11"/>
      <c r="R31620" s="11"/>
      <c r="S31620" s="11"/>
      <c r="T31620" s="11"/>
    </row>
    <row r="31621" spans="8:20" x14ac:dyDescent="0.35">
      <c r="H31621" s="711"/>
      <c r="I31621" s="711"/>
      <c r="J31621" s="711"/>
      <c r="K31621" s="711"/>
      <c r="L31621" s="711"/>
      <c r="Q31621" s="11"/>
      <c r="R31621" s="11"/>
      <c r="S31621" s="11"/>
      <c r="T31621" s="11"/>
    </row>
    <row r="31622" spans="8:20" x14ac:dyDescent="0.35">
      <c r="H31622" s="711"/>
      <c r="I31622" s="711"/>
      <c r="J31622" s="711"/>
      <c r="K31622" s="711"/>
      <c r="L31622" s="711"/>
      <c r="Q31622" s="11"/>
      <c r="R31622" s="11"/>
      <c r="S31622" s="11"/>
      <c r="T31622" s="11"/>
    </row>
    <row r="31623" spans="8:20" x14ac:dyDescent="0.35">
      <c r="H31623" s="711"/>
      <c r="I31623" s="711"/>
      <c r="J31623" s="711"/>
      <c r="K31623" s="711"/>
      <c r="L31623" s="711"/>
      <c r="Q31623" s="11"/>
      <c r="R31623" s="11"/>
      <c r="S31623" s="11"/>
      <c r="T31623" s="11"/>
    </row>
    <row r="31624" spans="8:20" x14ac:dyDescent="0.35">
      <c r="H31624" s="711"/>
      <c r="I31624" s="711"/>
      <c r="J31624" s="711"/>
      <c r="K31624" s="711"/>
      <c r="L31624" s="711"/>
      <c r="Q31624" s="11"/>
      <c r="R31624" s="11"/>
      <c r="S31624" s="11"/>
      <c r="T31624" s="11"/>
    </row>
    <row r="31625" spans="8:20" x14ac:dyDescent="0.35">
      <c r="H31625" s="711"/>
      <c r="I31625" s="711"/>
      <c r="J31625" s="711"/>
      <c r="K31625" s="711"/>
      <c r="L31625" s="711"/>
      <c r="Q31625" s="11"/>
      <c r="R31625" s="11"/>
      <c r="S31625" s="11"/>
      <c r="T31625" s="11"/>
    </row>
    <row r="31626" spans="8:20" x14ac:dyDescent="0.35">
      <c r="H31626" s="711"/>
      <c r="I31626" s="711"/>
      <c r="J31626" s="711"/>
      <c r="K31626" s="711"/>
      <c r="L31626" s="711"/>
      <c r="Q31626" s="11"/>
      <c r="R31626" s="11"/>
      <c r="S31626" s="11"/>
      <c r="T31626" s="11"/>
    </row>
    <row r="31627" spans="8:20" x14ac:dyDescent="0.35">
      <c r="H31627" s="711"/>
      <c r="I31627" s="711"/>
      <c r="J31627" s="711"/>
      <c r="K31627" s="711"/>
      <c r="L31627" s="711"/>
      <c r="Q31627" s="11"/>
      <c r="R31627" s="11"/>
      <c r="S31627" s="11"/>
      <c r="T31627" s="11"/>
    </row>
    <row r="31628" spans="8:20" x14ac:dyDescent="0.35">
      <c r="H31628" s="711"/>
      <c r="I31628" s="711"/>
      <c r="J31628" s="711"/>
      <c r="K31628" s="711"/>
      <c r="L31628" s="711"/>
      <c r="Q31628" s="11"/>
      <c r="R31628" s="11"/>
      <c r="S31628" s="11"/>
      <c r="T31628" s="11"/>
    </row>
    <row r="31629" spans="8:20" x14ac:dyDescent="0.35">
      <c r="H31629" s="711"/>
      <c r="I31629" s="711"/>
      <c r="J31629" s="711"/>
      <c r="K31629" s="711"/>
      <c r="L31629" s="711"/>
      <c r="Q31629" s="11"/>
      <c r="R31629" s="11"/>
      <c r="S31629" s="11"/>
      <c r="T31629" s="11"/>
    </row>
    <row r="31630" spans="8:20" x14ac:dyDescent="0.35">
      <c r="H31630" s="711"/>
      <c r="I31630" s="711"/>
      <c r="J31630" s="711"/>
      <c r="K31630" s="711"/>
      <c r="L31630" s="711"/>
      <c r="Q31630" s="11"/>
      <c r="R31630" s="11"/>
      <c r="S31630" s="11"/>
      <c r="T31630" s="11"/>
    </row>
    <row r="31631" spans="8:20" x14ac:dyDescent="0.35">
      <c r="H31631" s="711"/>
      <c r="I31631" s="711"/>
      <c r="J31631" s="711"/>
      <c r="K31631" s="711"/>
      <c r="L31631" s="711"/>
      <c r="Q31631" s="11"/>
      <c r="R31631" s="11"/>
      <c r="S31631" s="11"/>
      <c r="T31631" s="11"/>
    </row>
    <row r="31632" spans="8:20" x14ac:dyDescent="0.35">
      <c r="H31632" s="711"/>
      <c r="I31632" s="711"/>
      <c r="J31632" s="711"/>
      <c r="K31632" s="711"/>
      <c r="L31632" s="711"/>
      <c r="Q31632" s="11"/>
      <c r="R31632" s="11"/>
      <c r="S31632" s="11"/>
      <c r="T31632" s="11"/>
    </row>
    <row r="31633" spans="8:20" x14ac:dyDescent="0.35">
      <c r="H31633" s="711"/>
      <c r="I31633" s="711"/>
      <c r="J31633" s="711"/>
      <c r="K31633" s="711"/>
      <c r="L31633" s="711"/>
      <c r="Q31633" s="11"/>
      <c r="R31633" s="11"/>
      <c r="S31633" s="11"/>
      <c r="T31633" s="11"/>
    </row>
    <row r="31634" spans="8:20" x14ac:dyDescent="0.35">
      <c r="H31634" s="711"/>
      <c r="I31634" s="711"/>
      <c r="J31634" s="711"/>
      <c r="K31634" s="711"/>
      <c r="L31634" s="711"/>
      <c r="Q31634" s="11"/>
      <c r="R31634" s="11"/>
      <c r="S31634" s="11"/>
      <c r="T31634" s="11"/>
    </row>
    <row r="31635" spans="8:20" x14ac:dyDescent="0.35">
      <c r="H31635" s="711"/>
      <c r="I31635" s="711"/>
      <c r="J31635" s="711"/>
      <c r="K31635" s="711"/>
      <c r="L31635" s="711"/>
      <c r="Q31635" s="11"/>
      <c r="R31635" s="11"/>
      <c r="S31635" s="11"/>
      <c r="T31635" s="11"/>
    </row>
    <row r="31636" spans="8:20" x14ac:dyDescent="0.35">
      <c r="H31636" s="711"/>
      <c r="I31636" s="711"/>
      <c r="J31636" s="711"/>
      <c r="K31636" s="711"/>
      <c r="L31636" s="711"/>
      <c r="Q31636" s="11"/>
      <c r="R31636" s="11"/>
      <c r="S31636" s="11"/>
      <c r="T31636" s="11"/>
    </row>
    <row r="31637" spans="8:20" x14ac:dyDescent="0.35">
      <c r="H31637" s="711"/>
      <c r="I31637" s="711"/>
      <c r="J31637" s="711"/>
      <c r="K31637" s="711"/>
      <c r="L31637" s="711"/>
      <c r="Q31637" s="11"/>
      <c r="R31637" s="11"/>
      <c r="S31637" s="11"/>
      <c r="T31637" s="11"/>
    </row>
    <row r="31638" spans="8:20" x14ac:dyDescent="0.35">
      <c r="H31638" s="711"/>
      <c r="I31638" s="711"/>
      <c r="J31638" s="711"/>
      <c r="K31638" s="711"/>
      <c r="L31638" s="711"/>
      <c r="Q31638" s="11"/>
      <c r="R31638" s="11"/>
      <c r="S31638" s="11"/>
      <c r="T31638" s="11"/>
    </row>
    <row r="31639" spans="8:20" x14ac:dyDescent="0.35">
      <c r="H31639" s="711"/>
      <c r="I31639" s="711"/>
      <c r="J31639" s="711"/>
      <c r="K31639" s="711"/>
      <c r="L31639" s="711"/>
      <c r="Q31639" s="11"/>
      <c r="R31639" s="11"/>
      <c r="S31639" s="11"/>
      <c r="T31639" s="11"/>
    </row>
    <row r="31640" spans="8:20" x14ac:dyDescent="0.35">
      <c r="H31640" s="711"/>
      <c r="I31640" s="711"/>
      <c r="J31640" s="711"/>
      <c r="K31640" s="711"/>
      <c r="L31640" s="711"/>
      <c r="Q31640" s="11"/>
      <c r="R31640" s="11"/>
      <c r="S31640" s="11"/>
      <c r="T31640" s="11"/>
    </row>
    <row r="31641" spans="8:20" x14ac:dyDescent="0.35">
      <c r="H31641" s="711"/>
      <c r="I31641" s="711"/>
      <c r="J31641" s="711"/>
      <c r="K31641" s="711"/>
      <c r="L31641" s="711"/>
      <c r="Q31641" s="11"/>
      <c r="R31641" s="11"/>
      <c r="S31641" s="11"/>
      <c r="T31641" s="11"/>
    </row>
    <row r="31642" spans="8:20" x14ac:dyDescent="0.35">
      <c r="H31642" s="711"/>
      <c r="I31642" s="711"/>
      <c r="J31642" s="711"/>
      <c r="K31642" s="711"/>
      <c r="L31642" s="711"/>
      <c r="Q31642" s="11"/>
      <c r="R31642" s="11"/>
      <c r="S31642" s="11"/>
      <c r="T31642" s="11"/>
    </row>
    <row r="31643" spans="8:20" x14ac:dyDescent="0.35">
      <c r="H31643" s="711"/>
      <c r="I31643" s="711"/>
      <c r="J31643" s="711"/>
      <c r="K31643" s="711"/>
      <c r="L31643" s="711"/>
      <c r="Q31643" s="11"/>
      <c r="R31643" s="11"/>
      <c r="S31643" s="11"/>
      <c r="T31643" s="11"/>
    </row>
    <row r="31644" spans="8:20" x14ac:dyDescent="0.35">
      <c r="H31644" s="711"/>
      <c r="I31644" s="711"/>
      <c r="J31644" s="711"/>
      <c r="K31644" s="711"/>
      <c r="L31644" s="711"/>
      <c r="Q31644" s="11"/>
      <c r="R31644" s="11"/>
      <c r="S31644" s="11"/>
      <c r="T31644" s="11"/>
    </row>
    <row r="31645" spans="8:20" x14ac:dyDescent="0.35">
      <c r="H31645" s="711"/>
      <c r="I31645" s="711"/>
      <c r="J31645" s="711"/>
      <c r="K31645" s="711"/>
      <c r="L31645" s="711"/>
      <c r="Q31645" s="11"/>
      <c r="R31645" s="11"/>
      <c r="S31645" s="11"/>
      <c r="T31645" s="11"/>
    </row>
    <row r="31646" spans="8:20" x14ac:dyDescent="0.35">
      <c r="H31646" s="711"/>
      <c r="I31646" s="711"/>
      <c r="J31646" s="711"/>
      <c r="K31646" s="711"/>
      <c r="L31646" s="711"/>
      <c r="Q31646" s="11"/>
      <c r="R31646" s="11"/>
      <c r="S31646" s="11"/>
      <c r="T31646" s="11"/>
    </row>
    <row r="31647" spans="8:20" x14ac:dyDescent="0.35">
      <c r="H31647" s="711"/>
      <c r="I31647" s="711"/>
      <c r="J31647" s="711"/>
      <c r="K31647" s="711"/>
      <c r="L31647" s="711"/>
      <c r="Q31647" s="11"/>
      <c r="R31647" s="11"/>
      <c r="S31647" s="11"/>
      <c r="T31647" s="11"/>
    </row>
    <row r="31648" spans="8:20" x14ac:dyDescent="0.35">
      <c r="H31648" s="711"/>
      <c r="I31648" s="711"/>
      <c r="J31648" s="711"/>
      <c r="K31648" s="711"/>
      <c r="L31648" s="711"/>
      <c r="Q31648" s="11"/>
      <c r="R31648" s="11"/>
      <c r="S31648" s="11"/>
      <c r="T31648" s="11"/>
    </row>
    <row r="31649" spans="8:20" x14ac:dyDescent="0.35">
      <c r="H31649" s="711"/>
      <c r="I31649" s="711"/>
      <c r="J31649" s="711"/>
      <c r="K31649" s="711"/>
      <c r="L31649" s="711"/>
      <c r="Q31649" s="11"/>
      <c r="R31649" s="11"/>
      <c r="S31649" s="11"/>
      <c r="T31649" s="11"/>
    </row>
    <row r="31650" spans="8:20" x14ac:dyDescent="0.35">
      <c r="H31650" s="711"/>
      <c r="I31650" s="711"/>
      <c r="J31650" s="711"/>
      <c r="K31650" s="711"/>
      <c r="L31650" s="711"/>
      <c r="Q31650" s="11"/>
      <c r="R31650" s="11"/>
      <c r="S31650" s="11"/>
      <c r="T31650" s="11"/>
    </row>
    <row r="31651" spans="8:20" x14ac:dyDescent="0.35">
      <c r="H31651" s="711"/>
      <c r="I31651" s="711"/>
      <c r="J31651" s="711"/>
      <c r="K31651" s="711"/>
      <c r="L31651" s="711"/>
      <c r="Q31651" s="11"/>
      <c r="R31651" s="11"/>
      <c r="S31651" s="11"/>
      <c r="T31651" s="11"/>
    </row>
    <row r="31652" spans="8:20" x14ac:dyDescent="0.35">
      <c r="H31652" s="711"/>
      <c r="I31652" s="711"/>
      <c r="J31652" s="711"/>
      <c r="K31652" s="711"/>
      <c r="L31652" s="711"/>
      <c r="Q31652" s="11"/>
      <c r="R31652" s="11"/>
      <c r="S31652" s="11"/>
      <c r="T31652" s="11"/>
    </row>
    <row r="31653" spans="8:20" x14ac:dyDescent="0.35">
      <c r="H31653" s="711"/>
      <c r="I31653" s="711"/>
      <c r="J31653" s="711"/>
      <c r="K31653" s="711"/>
      <c r="L31653" s="711"/>
      <c r="Q31653" s="11"/>
      <c r="R31653" s="11"/>
      <c r="S31653" s="11"/>
      <c r="T31653" s="11"/>
    </row>
    <row r="31654" spans="8:20" x14ac:dyDescent="0.35">
      <c r="H31654" s="711"/>
      <c r="I31654" s="711"/>
      <c r="J31654" s="711"/>
      <c r="K31654" s="711"/>
      <c r="L31654" s="711"/>
      <c r="Q31654" s="11"/>
      <c r="R31654" s="11"/>
      <c r="S31654" s="11"/>
      <c r="T31654" s="11"/>
    </row>
    <row r="31655" spans="8:20" x14ac:dyDescent="0.35">
      <c r="H31655" s="711"/>
      <c r="I31655" s="711"/>
      <c r="J31655" s="711"/>
      <c r="K31655" s="711"/>
      <c r="L31655" s="711"/>
      <c r="Q31655" s="11"/>
      <c r="R31655" s="11"/>
      <c r="S31655" s="11"/>
      <c r="T31655" s="11"/>
    </row>
    <row r="31656" spans="8:20" x14ac:dyDescent="0.35">
      <c r="H31656" s="711"/>
      <c r="I31656" s="711"/>
      <c r="J31656" s="711"/>
      <c r="K31656" s="711"/>
      <c r="L31656" s="711"/>
      <c r="Q31656" s="11"/>
      <c r="R31656" s="11"/>
      <c r="S31656" s="11"/>
      <c r="T31656" s="11"/>
    </row>
    <row r="31657" spans="8:20" x14ac:dyDescent="0.35">
      <c r="H31657" s="711"/>
      <c r="I31657" s="711"/>
      <c r="J31657" s="711"/>
      <c r="K31657" s="711"/>
      <c r="L31657" s="711"/>
      <c r="Q31657" s="11"/>
      <c r="R31657" s="11"/>
      <c r="S31657" s="11"/>
      <c r="T31657" s="11"/>
    </row>
    <row r="31658" spans="8:20" x14ac:dyDescent="0.35">
      <c r="H31658" s="711"/>
      <c r="I31658" s="711"/>
      <c r="J31658" s="711"/>
      <c r="K31658" s="711"/>
      <c r="L31658" s="711"/>
      <c r="Q31658" s="11"/>
      <c r="R31658" s="11"/>
      <c r="S31658" s="11"/>
      <c r="T31658" s="11"/>
    </row>
    <row r="31659" spans="8:20" x14ac:dyDescent="0.35">
      <c r="H31659" s="711"/>
      <c r="I31659" s="711"/>
      <c r="J31659" s="711"/>
      <c r="K31659" s="711"/>
      <c r="L31659" s="711"/>
      <c r="Q31659" s="11"/>
      <c r="R31659" s="11"/>
      <c r="S31659" s="11"/>
      <c r="T31659" s="11"/>
    </row>
    <row r="31660" spans="8:20" x14ac:dyDescent="0.35">
      <c r="H31660" s="711"/>
      <c r="I31660" s="711"/>
      <c r="J31660" s="711"/>
      <c r="K31660" s="711"/>
      <c r="L31660" s="711"/>
      <c r="Q31660" s="11"/>
      <c r="R31660" s="11"/>
      <c r="S31660" s="11"/>
      <c r="T31660" s="11"/>
    </row>
    <row r="31661" spans="8:20" x14ac:dyDescent="0.35">
      <c r="H31661" s="711"/>
      <c r="I31661" s="711"/>
      <c r="J31661" s="711"/>
      <c r="K31661" s="711"/>
      <c r="L31661" s="711"/>
      <c r="Q31661" s="11"/>
      <c r="R31661" s="11"/>
      <c r="S31661" s="11"/>
      <c r="T31661" s="11"/>
    </row>
    <row r="31662" spans="8:20" x14ac:dyDescent="0.35">
      <c r="H31662" s="711"/>
      <c r="I31662" s="711"/>
      <c r="J31662" s="711"/>
      <c r="K31662" s="711"/>
      <c r="L31662" s="711"/>
      <c r="Q31662" s="11"/>
      <c r="R31662" s="11"/>
      <c r="S31662" s="11"/>
      <c r="T31662" s="11"/>
    </row>
    <row r="31663" spans="8:20" x14ac:dyDescent="0.35">
      <c r="H31663" s="711"/>
      <c r="I31663" s="711"/>
      <c r="J31663" s="711"/>
      <c r="K31663" s="711"/>
      <c r="L31663" s="711"/>
      <c r="Q31663" s="11"/>
      <c r="R31663" s="11"/>
      <c r="S31663" s="11"/>
      <c r="T31663" s="11"/>
    </row>
    <row r="31664" spans="8:20" x14ac:dyDescent="0.35">
      <c r="H31664" s="711"/>
      <c r="I31664" s="711"/>
      <c r="J31664" s="711"/>
      <c r="K31664" s="711"/>
      <c r="L31664" s="711"/>
      <c r="Q31664" s="11"/>
      <c r="R31664" s="11"/>
      <c r="S31664" s="11"/>
      <c r="T31664" s="11"/>
    </row>
    <row r="31665" spans="8:20" x14ac:dyDescent="0.35">
      <c r="H31665" s="711"/>
      <c r="I31665" s="711"/>
      <c r="J31665" s="711"/>
      <c r="K31665" s="711"/>
      <c r="L31665" s="711"/>
      <c r="Q31665" s="11"/>
      <c r="R31665" s="11"/>
      <c r="S31665" s="11"/>
      <c r="T31665" s="11"/>
    </row>
    <row r="31666" spans="8:20" x14ac:dyDescent="0.35">
      <c r="H31666" s="711"/>
      <c r="I31666" s="711"/>
      <c r="J31666" s="711"/>
      <c r="K31666" s="711"/>
      <c r="L31666" s="711"/>
      <c r="Q31666" s="11"/>
      <c r="R31666" s="11"/>
      <c r="S31666" s="11"/>
      <c r="T31666" s="11"/>
    </row>
    <row r="31667" spans="8:20" x14ac:dyDescent="0.35">
      <c r="H31667" s="711"/>
      <c r="I31667" s="711"/>
      <c r="J31667" s="711"/>
      <c r="K31667" s="711"/>
      <c r="L31667" s="711"/>
      <c r="Q31667" s="11"/>
      <c r="R31667" s="11"/>
      <c r="S31667" s="11"/>
      <c r="T31667" s="11"/>
    </row>
    <row r="31668" spans="8:20" x14ac:dyDescent="0.35">
      <c r="H31668" s="711"/>
      <c r="I31668" s="711"/>
      <c r="J31668" s="711"/>
      <c r="K31668" s="711"/>
      <c r="L31668" s="711"/>
      <c r="Q31668" s="11"/>
      <c r="R31668" s="11"/>
      <c r="S31668" s="11"/>
      <c r="T31668" s="11"/>
    </row>
    <row r="31669" spans="8:20" x14ac:dyDescent="0.35">
      <c r="H31669" s="711"/>
      <c r="I31669" s="711"/>
      <c r="J31669" s="711"/>
      <c r="K31669" s="711"/>
      <c r="L31669" s="711"/>
      <c r="Q31669" s="11"/>
      <c r="R31669" s="11"/>
      <c r="S31669" s="11"/>
      <c r="T31669" s="11"/>
    </row>
    <row r="31670" spans="8:20" x14ac:dyDescent="0.35">
      <c r="H31670" s="711"/>
      <c r="I31670" s="711"/>
      <c r="J31670" s="711"/>
      <c r="K31670" s="711"/>
      <c r="L31670" s="711"/>
      <c r="Q31670" s="11"/>
      <c r="R31670" s="11"/>
      <c r="S31670" s="11"/>
      <c r="T31670" s="11"/>
    </row>
    <row r="31671" spans="8:20" x14ac:dyDescent="0.35">
      <c r="H31671" s="711"/>
      <c r="I31671" s="711"/>
      <c r="J31671" s="711"/>
      <c r="K31671" s="711"/>
      <c r="L31671" s="711"/>
      <c r="Q31671" s="11"/>
      <c r="R31671" s="11"/>
      <c r="S31671" s="11"/>
      <c r="T31671" s="11"/>
    </row>
    <row r="31672" spans="8:20" x14ac:dyDescent="0.35">
      <c r="H31672" s="711"/>
      <c r="I31672" s="711"/>
      <c r="J31672" s="711"/>
      <c r="K31672" s="711"/>
      <c r="L31672" s="711"/>
      <c r="Q31672" s="11"/>
      <c r="R31672" s="11"/>
      <c r="S31672" s="11"/>
      <c r="T31672" s="11"/>
    </row>
    <row r="31673" spans="8:20" x14ac:dyDescent="0.35">
      <c r="H31673" s="711"/>
      <c r="I31673" s="711"/>
      <c r="J31673" s="711"/>
      <c r="K31673" s="711"/>
      <c r="L31673" s="711"/>
      <c r="Q31673" s="11"/>
      <c r="R31673" s="11"/>
      <c r="S31673" s="11"/>
      <c r="T31673" s="11"/>
    </row>
    <row r="31674" spans="8:20" x14ac:dyDescent="0.35">
      <c r="H31674" s="711"/>
      <c r="I31674" s="711"/>
      <c r="J31674" s="711"/>
      <c r="K31674" s="711"/>
      <c r="L31674" s="711"/>
      <c r="Q31674" s="11"/>
      <c r="R31674" s="11"/>
      <c r="S31674" s="11"/>
      <c r="T31674" s="11"/>
    </row>
    <row r="31675" spans="8:20" x14ac:dyDescent="0.35">
      <c r="H31675" s="711"/>
      <c r="I31675" s="711"/>
      <c r="J31675" s="711"/>
      <c r="K31675" s="711"/>
      <c r="L31675" s="711"/>
      <c r="Q31675" s="11"/>
      <c r="R31675" s="11"/>
      <c r="S31675" s="11"/>
      <c r="T31675" s="11"/>
    </row>
    <row r="31676" spans="8:20" x14ac:dyDescent="0.35">
      <c r="H31676" s="711"/>
      <c r="I31676" s="711"/>
      <c r="J31676" s="711"/>
      <c r="K31676" s="711"/>
      <c r="L31676" s="711"/>
      <c r="Q31676" s="11"/>
      <c r="R31676" s="11"/>
      <c r="S31676" s="11"/>
      <c r="T31676" s="11"/>
    </row>
    <row r="31677" spans="8:20" x14ac:dyDescent="0.35">
      <c r="H31677" s="711"/>
      <c r="I31677" s="711"/>
      <c r="J31677" s="711"/>
      <c r="K31677" s="711"/>
      <c r="L31677" s="711"/>
      <c r="Q31677" s="11"/>
      <c r="R31677" s="11"/>
      <c r="S31677" s="11"/>
      <c r="T31677" s="11"/>
    </row>
    <row r="31678" spans="8:20" x14ac:dyDescent="0.35">
      <c r="H31678" s="711"/>
      <c r="I31678" s="711"/>
      <c r="J31678" s="711"/>
      <c r="K31678" s="711"/>
      <c r="L31678" s="711"/>
      <c r="Q31678" s="11"/>
      <c r="R31678" s="11"/>
      <c r="S31678" s="11"/>
      <c r="T31678" s="11"/>
    </row>
    <row r="31679" spans="8:20" x14ac:dyDescent="0.35">
      <c r="H31679" s="711"/>
      <c r="I31679" s="711"/>
      <c r="J31679" s="711"/>
      <c r="K31679" s="711"/>
      <c r="L31679" s="711"/>
      <c r="Q31679" s="11"/>
      <c r="R31679" s="11"/>
      <c r="S31679" s="11"/>
      <c r="T31679" s="11"/>
    </row>
    <row r="31680" spans="8:20" x14ac:dyDescent="0.35">
      <c r="H31680" s="711"/>
      <c r="I31680" s="711"/>
      <c r="J31680" s="711"/>
      <c r="K31680" s="711"/>
      <c r="L31680" s="711"/>
      <c r="Q31680" s="11"/>
      <c r="R31680" s="11"/>
      <c r="S31680" s="11"/>
      <c r="T31680" s="11"/>
    </row>
    <row r="31681" spans="8:20" x14ac:dyDescent="0.35">
      <c r="H31681" s="711"/>
      <c r="I31681" s="711"/>
      <c r="J31681" s="711"/>
      <c r="K31681" s="711"/>
      <c r="L31681" s="711"/>
      <c r="Q31681" s="11"/>
      <c r="R31681" s="11"/>
      <c r="S31681" s="11"/>
      <c r="T31681" s="11"/>
    </row>
    <row r="31682" spans="8:20" x14ac:dyDescent="0.35">
      <c r="H31682" s="711"/>
      <c r="I31682" s="711"/>
      <c r="J31682" s="711"/>
      <c r="K31682" s="711"/>
      <c r="L31682" s="711"/>
      <c r="Q31682" s="11"/>
      <c r="R31682" s="11"/>
      <c r="S31682" s="11"/>
      <c r="T31682" s="11"/>
    </row>
    <row r="31683" spans="8:20" x14ac:dyDescent="0.35">
      <c r="H31683" s="711"/>
      <c r="I31683" s="711"/>
      <c r="J31683" s="711"/>
      <c r="K31683" s="711"/>
      <c r="L31683" s="711"/>
      <c r="Q31683" s="11"/>
      <c r="R31683" s="11"/>
      <c r="S31683" s="11"/>
      <c r="T31683" s="11"/>
    </row>
    <row r="31684" spans="8:20" x14ac:dyDescent="0.35">
      <c r="H31684" s="711"/>
      <c r="I31684" s="711"/>
      <c r="J31684" s="711"/>
      <c r="K31684" s="711"/>
      <c r="L31684" s="711"/>
      <c r="Q31684" s="11"/>
      <c r="R31684" s="11"/>
      <c r="S31684" s="11"/>
      <c r="T31684" s="11"/>
    </row>
    <row r="31685" spans="8:20" x14ac:dyDescent="0.35">
      <c r="H31685" s="711"/>
      <c r="I31685" s="711"/>
      <c r="J31685" s="711"/>
      <c r="K31685" s="711"/>
      <c r="L31685" s="711"/>
      <c r="Q31685" s="11"/>
      <c r="R31685" s="11"/>
      <c r="S31685" s="11"/>
      <c r="T31685" s="11"/>
    </row>
    <row r="31686" spans="8:20" x14ac:dyDescent="0.35">
      <c r="H31686" s="711"/>
      <c r="I31686" s="711"/>
      <c r="J31686" s="711"/>
      <c r="K31686" s="711"/>
      <c r="L31686" s="711"/>
      <c r="Q31686" s="11"/>
      <c r="R31686" s="11"/>
      <c r="S31686" s="11"/>
      <c r="T31686" s="11"/>
    </row>
    <row r="31687" spans="8:20" x14ac:dyDescent="0.35">
      <c r="H31687" s="711"/>
      <c r="I31687" s="711"/>
      <c r="J31687" s="711"/>
      <c r="K31687" s="711"/>
      <c r="L31687" s="711"/>
      <c r="Q31687" s="11"/>
      <c r="R31687" s="11"/>
      <c r="S31687" s="11"/>
      <c r="T31687" s="11"/>
    </row>
    <row r="31688" spans="8:20" x14ac:dyDescent="0.35">
      <c r="H31688" s="711"/>
      <c r="I31688" s="711"/>
      <c r="J31688" s="711"/>
      <c r="K31688" s="711"/>
      <c r="L31688" s="711"/>
      <c r="Q31688" s="11"/>
      <c r="R31688" s="11"/>
      <c r="S31688" s="11"/>
      <c r="T31688" s="11"/>
    </row>
    <row r="31689" spans="8:20" x14ac:dyDescent="0.35">
      <c r="H31689" s="711"/>
      <c r="I31689" s="711"/>
      <c r="J31689" s="711"/>
      <c r="K31689" s="711"/>
      <c r="L31689" s="711"/>
      <c r="Q31689" s="11"/>
      <c r="R31689" s="11"/>
      <c r="S31689" s="11"/>
      <c r="T31689" s="11"/>
    </row>
    <row r="31690" spans="8:20" x14ac:dyDescent="0.35">
      <c r="H31690" s="711"/>
      <c r="I31690" s="711"/>
      <c r="J31690" s="711"/>
      <c r="K31690" s="711"/>
      <c r="L31690" s="711"/>
      <c r="Q31690" s="11"/>
      <c r="R31690" s="11"/>
      <c r="S31690" s="11"/>
      <c r="T31690" s="11"/>
    </row>
    <row r="31691" spans="8:20" x14ac:dyDescent="0.35">
      <c r="H31691" s="711"/>
      <c r="I31691" s="711"/>
      <c r="J31691" s="711"/>
      <c r="K31691" s="711"/>
      <c r="L31691" s="711"/>
      <c r="Q31691" s="11"/>
      <c r="R31691" s="11"/>
      <c r="S31691" s="11"/>
      <c r="T31691" s="11"/>
    </row>
    <row r="31692" spans="8:20" x14ac:dyDescent="0.35">
      <c r="H31692" s="711"/>
      <c r="I31692" s="711"/>
      <c r="J31692" s="711"/>
      <c r="K31692" s="711"/>
      <c r="L31692" s="711"/>
      <c r="Q31692" s="11"/>
      <c r="R31692" s="11"/>
      <c r="S31692" s="11"/>
      <c r="T31692" s="11"/>
    </row>
    <row r="31693" spans="8:20" x14ac:dyDescent="0.35">
      <c r="H31693" s="711"/>
      <c r="I31693" s="711"/>
      <c r="J31693" s="711"/>
      <c r="K31693" s="711"/>
      <c r="L31693" s="711"/>
      <c r="Q31693" s="11"/>
      <c r="R31693" s="11"/>
      <c r="S31693" s="11"/>
      <c r="T31693" s="11"/>
    </row>
    <row r="31694" spans="8:20" x14ac:dyDescent="0.35">
      <c r="H31694" s="711"/>
      <c r="I31694" s="711"/>
      <c r="J31694" s="711"/>
      <c r="K31694" s="711"/>
      <c r="L31694" s="711"/>
      <c r="Q31694" s="11"/>
      <c r="R31694" s="11"/>
      <c r="S31694" s="11"/>
      <c r="T31694" s="11"/>
    </row>
    <row r="31695" spans="8:20" x14ac:dyDescent="0.35">
      <c r="H31695" s="711"/>
      <c r="I31695" s="711"/>
      <c r="J31695" s="711"/>
      <c r="K31695" s="711"/>
      <c r="L31695" s="711"/>
      <c r="Q31695" s="11"/>
      <c r="R31695" s="11"/>
      <c r="S31695" s="11"/>
      <c r="T31695" s="11"/>
    </row>
    <row r="31696" spans="8:20" x14ac:dyDescent="0.35">
      <c r="H31696" s="711"/>
      <c r="I31696" s="711"/>
      <c r="J31696" s="711"/>
      <c r="K31696" s="711"/>
      <c r="L31696" s="711"/>
      <c r="Q31696" s="11"/>
      <c r="R31696" s="11"/>
      <c r="S31696" s="11"/>
      <c r="T31696" s="11"/>
    </row>
    <row r="31697" spans="8:20" x14ac:dyDescent="0.35">
      <c r="H31697" s="711"/>
      <c r="I31697" s="711"/>
      <c r="J31697" s="711"/>
      <c r="K31697" s="711"/>
      <c r="L31697" s="711"/>
      <c r="Q31697" s="11"/>
      <c r="R31697" s="11"/>
      <c r="S31697" s="11"/>
      <c r="T31697" s="11"/>
    </row>
    <row r="31698" spans="8:20" x14ac:dyDescent="0.35">
      <c r="H31698" s="711"/>
      <c r="I31698" s="711"/>
      <c r="J31698" s="711"/>
      <c r="K31698" s="711"/>
      <c r="L31698" s="711"/>
      <c r="Q31698" s="11"/>
      <c r="R31698" s="11"/>
      <c r="S31698" s="11"/>
      <c r="T31698" s="11"/>
    </row>
    <row r="31699" spans="8:20" x14ac:dyDescent="0.35">
      <c r="H31699" s="711"/>
      <c r="I31699" s="711"/>
      <c r="J31699" s="711"/>
      <c r="K31699" s="711"/>
      <c r="L31699" s="711"/>
      <c r="Q31699" s="11"/>
      <c r="R31699" s="11"/>
      <c r="S31699" s="11"/>
      <c r="T31699" s="11"/>
    </row>
    <row r="31700" spans="8:20" x14ac:dyDescent="0.35">
      <c r="H31700" s="711"/>
      <c r="I31700" s="711"/>
      <c r="J31700" s="711"/>
      <c r="K31700" s="711"/>
      <c r="L31700" s="711"/>
      <c r="Q31700" s="11"/>
      <c r="R31700" s="11"/>
      <c r="S31700" s="11"/>
      <c r="T31700" s="11"/>
    </row>
    <row r="31701" spans="8:20" x14ac:dyDescent="0.35">
      <c r="H31701" s="711"/>
      <c r="I31701" s="711"/>
      <c r="J31701" s="711"/>
      <c r="K31701" s="711"/>
      <c r="L31701" s="711"/>
      <c r="Q31701" s="11"/>
      <c r="R31701" s="11"/>
      <c r="S31701" s="11"/>
      <c r="T31701" s="11"/>
    </row>
    <row r="31702" spans="8:20" x14ac:dyDescent="0.35">
      <c r="H31702" s="711"/>
      <c r="I31702" s="711"/>
      <c r="J31702" s="711"/>
      <c r="K31702" s="711"/>
      <c r="L31702" s="711"/>
      <c r="Q31702" s="11"/>
      <c r="R31702" s="11"/>
      <c r="S31702" s="11"/>
      <c r="T31702" s="11"/>
    </row>
    <row r="31703" spans="8:20" x14ac:dyDescent="0.35">
      <c r="H31703" s="711"/>
      <c r="I31703" s="711"/>
      <c r="J31703" s="711"/>
      <c r="K31703" s="711"/>
      <c r="L31703" s="711"/>
      <c r="Q31703" s="11"/>
      <c r="R31703" s="11"/>
      <c r="S31703" s="11"/>
      <c r="T31703" s="11"/>
    </row>
    <row r="31704" spans="8:20" x14ac:dyDescent="0.35">
      <c r="H31704" s="711"/>
      <c r="I31704" s="711"/>
      <c r="J31704" s="711"/>
      <c r="K31704" s="711"/>
      <c r="L31704" s="711"/>
      <c r="Q31704" s="11"/>
      <c r="R31704" s="11"/>
      <c r="S31704" s="11"/>
      <c r="T31704" s="11"/>
    </row>
    <row r="31705" spans="8:20" x14ac:dyDescent="0.35">
      <c r="H31705" s="711"/>
      <c r="I31705" s="711"/>
      <c r="J31705" s="711"/>
      <c r="K31705" s="711"/>
      <c r="L31705" s="711"/>
      <c r="Q31705" s="11"/>
      <c r="R31705" s="11"/>
      <c r="S31705" s="11"/>
      <c r="T31705" s="11"/>
    </row>
    <row r="31706" spans="8:20" x14ac:dyDescent="0.35">
      <c r="H31706" s="711"/>
      <c r="I31706" s="711"/>
      <c r="J31706" s="711"/>
      <c r="K31706" s="711"/>
      <c r="L31706" s="711"/>
      <c r="Q31706" s="11"/>
      <c r="R31706" s="11"/>
      <c r="S31706" s="11"/>
      <c r="T31706" s="11"/>
    </row>
    <row r="31707" spans="8:20" x14ac:dyDescent="0.35">
      <c r="H31707" s="711"/>
      <c r="I31707" s="711"/>
      <c r="J31707" s="711"/>
      <c r="K31707" s="711"/>
      <c r="L31707" s="711"/>
      <c r="Q31707" s="11"/>
      <c r="R31707" s="11"/>
      <c r="S31707" s="11"/>
      <c r="T31707" s="11"/>
    </row>
    <row r="31708" spans="8:20" x14ac:dyDescent="0.35">
      <c r="H31708" s="711"/>
      <c r="I31708" s="711"/>
      <c r="J31708" s="711"/>
      <c r="K31708" s="711"/>
      <c r="L31708" s="711"/>
      <c r="Q31708" s="11"/>
      <c r="R31708" s="11"/>
      <c r="S31708" s="11"/>
      <c r="T31708" s="11"/>
    </row>
    <row r="31709" spans="8:20" x14ac:dyDescent="0.35">
      <c r="H31709" s="711"/>
      <c r="I31709" s="711"/>
      <c r="J31709" s="711"/>
      <c r="K31709" s="711"/>
      <c r="L31709" s="711"/>
      <c r="Q31709" s="11"/>
      <c r="R31709" s="11"/>
      <c r="S31709" s="11"/>
      <c r="T31709" s="11"/>
    </row>
    <row r="31710" spans="8:20" x14ac:dyDescent="0.35">
      <c r="H31710" s="711"/>
      <c r="I31710" s="711"/>
      <c r="J31710" s="711"/>
      <c r="K31710" s="711"/>
      <c r="L31710" s="711"/>
      <c r="Q31710" s="11"/>
      <c r="R31710" s="11"/>
      <c r="S31710" s="11"/>
      <c r="T31710" s="11"/>
    </row>
    <row r="31711" spans="8:20" x14ac:dyDescent="0.35">
      <c r="H31711" s="711"/>
      <c r="I31711" s="711"/>
      <c r="J31711" s="711"/>
      <c r="K31711" s="711"/>
      <c r="L31711" s="711"/>
      <c r="Q31711" s="11"/>
      <c r="R31711" s="11"/>
      <c r="S31711" s="11"/>
      <c r="T31711" s="11"/>
    </row>
    <row r="31712" spans="8:20" x14ac:dyDescent="0.35">
      <c r="H31712" s="711"/>
      <c r="I31712" s="711"/>
      <c r="J31712" s="711"/>
      <c r="K31712" s="711"/>
      <c r="L31712" s="711"/>
      <c r="Q31712" s="11"/>
      <c r="R31712" s="11"/>
      <c r="S31712" s="11"/>
      <c r="T31712" s="11"/>
    </row>
    <row r="31713" spans="8:20" x14ac:dyDescent="0.35">
      <c r="H31713" s="711"/>
      <c r="I31713" s="711"/>
      <c r="J31713" s="711"/>
      <c r="K31713" s="711"/>
      <c r="L31713" s="711"/>
      <c r="Q31713" s="11"/>
      <c r="R31713" s="11"/>
      <c r="S31713" s="11"/>
      <c r="T31713" s="11"/>
    </row>
    <row r="31714" spans="8:20" x14ac:dyDescent="0.35">
      <c r="H31714" s="711"/>
      <c r="I31714" s="711"/>
      <c r="J31714" s="711"/>
      <c r="K31714" s="711"/>
      <c r="L31714" s="711"/>
      <c r="Q31714" s="11"/>
      <c r="R31714" s="11"/>
      <c r="S31714" s="11"/>
      <c r="T31714" s="11"/>
    </row>
    <row r="31715" spans="8:20" x14ac:dyDescent="0.35">
      <c r="H31715" s="711"/>
      <c r="I31715" s="711"/>
      <c r="J31715" s="711"/>
      <c r="K31715" s="711"/>
      <c r="L31715" s="711"/>
      <c r="Q31715" s="11"/>
      <c r="R31715" s="11"/>
      <c r="S31715" s="11"/>
      <c r="T31715" s="11"/>
    </row>
    <row r="31716" spans="8:20" x14ac:dyDescent="0.35">
      <c r="H31716" s="711"/>
      <c r="I31716" s="711"/>
      <c r="J31716" s="711"/>
      <c r="K31716" s="711"/>
      <c r="L31716" s="711"/>
      <c r="Q31716" s="11"/>
      <c r="R31716" s="11"/>
      <c r="S31716" s="11"/>
      <c r="T31716" s="11"/>
    </row>
    <row r="31717" spans="8:20" x14ac:dyDescent="0.35">
      <c r="H31717" s="711"/>
      <c r="I31717" s="711"/>
      <c r="J31717" s="711"/>
      <c r="K31717" s="711"/>
      <c r="L31717" s="711"/>
      <c r="Q31717" s="11"/>
      <c r="R31717" s="11"/>
      <c r="S31717" s="11"/>
      <c r="T31717" s="11"/>
    </row>
    <row r="31718" spans="8:20" x14ac:dyDescent="0.35">
      <c r="H31718" s="711"/>
      <c r="I31718" s="711"/>
      <c r="J31718" s="711"/>
      <c r="K31718" s="711"/>
      <c r="L31718" s="711"/>
      <c r="Q31718" s="11"/>
      <c r="R31718" s="11"/>
      <c r="S31718" s="11"/>
      <c r="T31718" s="11"/>
    </row>
    <row r="31719" spans="8:20" x14ac:dyDescent="0.35">
      <c r="H31719" s="711"/>
      <c r="I31719" s="711"/>
      <c r="J31719" s="711"/>
      <c r="K31719" s="711"/>
      <c r="L31719" s="711"/>
      <c r="Q31719" s="11"/>
      <c r="R31719" s="11"/>
      <c r="S31719" s="11"/>
      <c r="T31719" s="11"/>
    </row>
    <row r="31720" spans="8:20" x14ac:dyDescent="0.35">
      <c r="H31720" s="711"/>
      <c r="I31720" s="711"/>
      <c r="J31720" s="711"/>
      <c r="K31720" s="711"/>
      <c r="L31720" s="711"/>
      <c r="Q31720" s="11"/>
      <c r="R31720" s="11"/>
      <c r="S31720" s="11"/>
      <c r="T31720" s="11"/>
    </row>
    <row r="31721" spans="8:20" x14ac:dyDescent="0.35">
      <c r="H31721" s="711"/>
      <c r="I31721" s="711"/>
      <c r="J31721" s="711"/>
      <c r="K31721" s="711"/>
      <c r="L31721" s="711"/>
      <c r="Q31721" s="11"/>
      <c r="R31721" s="11"/>
      <c r="S31721" s="11"/>
      <c r="T31721" s="11"/>
    </row>
    <row r="31722" spans="8:20" x14ac:dyDescent="0.35">
      <c r="H31722" s="711"/>
      <c r="I31722" s="711"/>
      <c r="J31722" s="711"/>
      <c r="K31722" s="711"/>
      <c r="L31722" s="711"/>
      <c r="Q31722" s="11"/>
      <c r="R31722" s="11"/>
      <c r="S31722" s="11"/>
      <c r="T31722" s="11"/>
    </row>
    <row r="31723" spans="8:20" x14ac:dyDescent="0.35">
      <c r="H31723" s="711"/>
      <c r="I31723" s="711"/>
      <c r="J31723" s="711"/>
      <c r="K31723" s="711"/>
      <c r="L31723" s="711"/>
      <c r="Q31723" s="11"/>
      <c r="R31723" s="11"/>
      <c r="S31723" s="11"/>
      <c r="T31723" s="11"/>
    </row>
    <row r="31724" spans="8:20" x14ac:dyDescent="0.35">
      <c r="H31724" s="711"/>
      <c r="I31724" s="711"/>
      <c r="J31724" s="711"/>
      <c r="K31724" s="711"/>
      <c r="L31724" s="711"/>
      <c r="Q31724" s="11"/>
      <c r="R31724" s="11"/>
      <c r="S31724" s="11"/>
      <c r="T31724" s="11"/>
    </row>
    <row r="31725" spans="8:20" x14ac:dyDescent="0.35">
      <c r="H31725" s="711"/>
      <c r="I31725" s="711"/>
      <c r="J31725" s="711"/>
      <c r="K31725" s="711"/>
      <c r="L31725" s="711"/>
      <c r="Q31725" s="11"/>
      <c r="R31725" s="11"/>
      <c r="S31725" s="11"/>
      <c r="T31725" s="11"/>
    </row>
    <row r="31726" spans="8:20" x14ac:dyDescent="0.35">
      <c r="H31726" s="711"/>
      <c r="I31726" s="711"/>
      <c r="J31726" s="711"/>
      <c r="K31726" s="711"/>
      <c r="L31726" s="711"/>
      <c r="Q31726" s="11"/>
      <c r="R31726" s="11"/>
      <c r="S31726" s="11"/>
      <c r="T31726" s="11"/>
    </row>
    <row r="31727" spans="8:20" x14ac:dyDescent="0.35">
      <c r="H31727" s="711"/>
      <c r="I31727" s="711"/>
      <c r="J31727" s="711"/>
      <c r="K31727" s="711"/>
      <c r="L31727" s="711"/>
      <c r="Q31727" s="11"/>
      <c r="R31727" s="11"/>
      <c r="S31727" s="11"/>
      <c r="T31727" s="11"/>
    </row>
    <row r="31728" spans="8:20" x14ac:dyDescent="0.35">
      <c r="H31728" s="711"/>
      <c r="I31728" s="711"/>
      <c r="J31728" s="711"/>
      <c r="K31728" s="711"/>
      <c r="L31728" s="711"/>
      <c r="Q31728" s="11"/>
      <c r="R31728" s="11"/>
      <c r="S31728" s="11"/>
      <c r="T31728" s="11"/>
    </row>
    <row r="31729" spans="8:20" x14ac:dyDescent="0.35">
      <c r="H31729" s="711"/>
      <c r="I31729" s="711"/>
      <c r="J31729" s="711"/>
      <c r="K31729" s="711"/>
      <c r="L31729" s="711"/>
      <c r="Q31729" s="11"/>
      <c r="R31729" s="11"/>
      <c r="S31729" s="11"/>
      <c r="T31729" s="11"/>
    </row>
    <row r="31730" spans="8:20" x14ac:dyDescent="0.35">
      <c r="H31730" s="711"/>
      <c r="I31730" s="711"/>
      <c r="J31730" s="711"/>
      <c r="K31730" s="711"/>
      <c r="L31730" s="711"/>
      <c r="Q31730" s="11"/>
      <c r="R31730" s="11"/>
      <c r="S31730" s="11"/>
      <c r="T31730" s="11"/>
    </row>
    <row r="31731" spans="8:20" x14ac:dyDescent="0.35">
      <c r="H31731" s="711"/>
      <c r="I31731" s="711"/>
      <c r="J31731" s="711"/>
      <c r="K31731" s="711"/>
      <c r="L31731" s="711"/>
      <c r="Q31731" s="11"/>
      <c r="R31731" s="11"/>
      <c r="S31731" s="11"/>
      <c r="T31731" s="11"/>
    </row>
    <row r="31732" spans="8:20" x14ac:dyDescent="0.35">
      <c r="H31732" s="711"/>
      <c r="I31732" s="711"/>
      <c r="J31732" s="711"/>
      <c r="K31732" s="711"/>
      <c r="L31732" s="711"/>
      <c r="Q31732" s="11"/>
      <c r="R31732" s="11"/>
      <c r="S31732" s="11"/>
      <c r="T31732" s="11"/>
    </row>
    <row r="31733" spans="8:20" x14ac:dyDescent="0.35">
      <c r="H31733" s="711"/>
      <c r="I31733" s="711"/>
      <c r="J31733" s="711"/>
      <c r="K31733" s="711"/>
      <c r="L31733" s="711"/>
      <c r="Q31733" s="11"/>
      <c r="R31733" s="11"/>
      <c r="S31733" s="11"/>
      <c r="T31733" s="11"/>
    </row>
    <row r="31734" spans="8:20" x14ac:dyDescent="0.35">
      <c r="H31734" s="711"/>
      <c r="I31734" s="711"/>
      <c r="J31734" s="711"/>
      <c r="K31734" s="711"/>
      <c r="L31734" s="711"/>
      <c r="Q31734" s="11"/>
      <c r="R31734" s="11"/>
      <c r="S31734" s="11"/>
      <c r="T31734" s="11"/>
    </row>
    <row r="31735" spans="8:20" x14ac:dyDescent="0.35">
      <c r="H31735" s="711"/>
      <c r="I31735" s="711"/>
      <c r="J31735" s="711"/>
      <c r="K31735" s="711"/>
      <c r="L31735" s="711"/>
      <c r="Q31735" s="11"/>
      <c r="R31735" s="11"/>
      <c r="S31735" s="11"/>
      <c r="T31735" s="11"/>
    </row>
    <row r="31736" spans="8:20" x14ac:dyDescent="0.35">
      <c r="H31736" s="711"/>
      <c r="I31736" s="711"/>
      <c r="J31736" s="711"/>
      <c r="K31736" s="711"/>
      <c r="L31736" s="711"/>
      <c r="Q31736" s="11"/>
      <c r="R31736" s="11"/>
      <c r="S31736" s="11"/>
      <c r="T31736" s="11"/>
    </row>
    <row r="31737" spans="8:20" x14ac:dyDescent="0.35">
      <c r="H31737" s="711"/>
      <c r="I31737" s="711"/>
      <c r="J31737" s="711"/>
      <c r="K31737" s="711"/>
      <c r="L31737" s="711"/>
      <c r="Q31737" s="11"/>
      <c r="R31737" s="11"/>
      <c r="S31737" s="11"/>
      <c r="T31737" s="11"/>
    </row>
    <row r="31738" spans="8:20" x14ac:dyDescent="0.35">
      <c r="H31738" s="711"/>
      <c r="I31738" s="711"/>
      <c r="J31738" s="711"/>
      <c r="K31738" s="711"/>
      <c r="L31738" s="711"/>
      <c r="Q31738" s="11"/>
      <c r="R31738" s="11"/>
      <c r="S31738" s="11"/>
      <c r="T31738" s="11"/>
    </row>
    <row r="31739" spans="8:20" x14ac:dyDescent="0.35">
      <c r="H31739" s="711"/>
      <c r="I31739" s="711"/>
      <c r="J31739" s="711"/>
      <c r="K31739" s="711"/>
      <c r="L31739" s="711"/>
      <c r="Q31739" s="11"/>
      <c r="R31739" s="11"/>
      <c r="S31739" s="11"/>
      <c r="T31739" s="11"/>
    </row>
    <row r="31740" spans="8:20" x14ac:dyDescent="0.35">
      <c r="H31740" s="711"/>
      <c r="I31740" s="711"/>
      <c r="J31740" s="711"/>
      <c r="K31740" s="711"/>
      <c r="L31740" s="711"/>
      <c r="Q31740" s="11"/>
      <c r="R31740" s="11"/>
      <c r="S31740" s="11"/>
      <c r="T31740" s="11"/>
    </row>
    <row r="31741" spans="8:20" x14ac:dyDescent="0.35">
      <c r="H31741" s="711"/>
      <c r="I31741" s="711"/>
      <c r="J31741" s="711"/>
      <c r="K31741" s="711"/>
      <c r="L31741" s="711"/>
      <c r="Q31741" s="11"/>
      <c r="R31741" s="11"/>
      <c r="S31741" s="11"/>
      <c r="T31741" s="11"/>
    </row>
    <row r="31742" spans="8:20" x14ac:dyDescent="0.35">
      <c r="H31742" s="711"/>
      <c r="I31742" s="711"/>
      <c r="J31742" s="711"/>
      <c r="K31742" s="711"/>
      <c r="L31742" s="711"/>
      <c r="Q31742" s="11"/>
      <c r="R31742" s="11"/>
      <c r="S31742" s="11"/>
      <c r="T31742" s="11"/>
    </row>
    <row r="31743" spans="8:20" x14ac:dyDescent="0.35">
      <c r="H31743" s="711"/>
      <c r="I31743" s="711"/>
      <c r="J31743" s="711"/>
      <c r="K31743" s="711"/>
      <c r="L31743" s="711"/>
      <c r="Q31743" s="11"/>
      <c r="R31743" s="11"/>
      <c r="S31743" s="11"/>
      <c r="T31743" s="11"/>
    </row>
    <row r="31744" spans="8:20" x14ac:dyDescent="0.35">
      <c r="H31744" s="711"/>
      <c r="I31744" s="711"/>
      <c r="J31744" s="711"/>
      <c r="K31744" s="711"/>
      <c r="L31744" s="711"/>
      <c r="Q31744" s="11"/>
      <c r="R31744" s="11"/>
      <c r="S31744" s="11"/>
      <c r="T31744" s="11"/>
    </row>
    <row r="31745" spans="8:20" x14ac:dyDescent="0.35">
      <c r="H31745" s="711"/>
      <c r="I31745" s="711"/>
      <c r="J31745" s="711"/>
      <c r="K31745" s="711"/>
      <c r="L31745" s="711"/>
      <c r="Q31745" s="11"/>
      <c r="R31745" s="11"/>
      <c r="S31745" s="11"/>
      <c r="T31745" s="11"/>
    </row>
    <row r="31746" spans="8:20" x14ac:dyDescent="0.35">
      <c r="H31746" s="711"/>
      <c r="I31746" s="711"/>
      <c r="J31746" s="711"/>
      <c r="K31746" s="711"/>
      <c r="L31746" s="711"/>
      <c r="Q31746" s="11"/>
      <c r="R31746" s="11"/>
      <c r="S31746" s="11"/>
      <c r="T31746" s="11"/>
    </row>
    <row r="31747" spans="8:20" x14ac:dyDescent="0.35">
      <c r="H31747" s="711"/>
      <c r="I31747" s="711"/>
      <c r="J31747" s="711"/>
      <c r="K31747" s="711"/>
      <c r="L31747" s="711"/>
      <c r="Q31747" s="11"/>
      <c r="R31747" s="11"/>
      <c r="S31747" s="11"/>
      <c r="T31747" s="11"/>
    </row>
    <row r="31748" spans="8:20" x14ac:dyDescent="0.35">
      <c r="H31748" s="711"/>
      <c r="I31748" s="711"/>
      <c r="J31748" s="711"/>
      <c r="K31748" s="711"/>
      <c r="L31748" s="711"/>
      <c r="Q31748" s="11"/>
      <c r="R31748" s="11"/>
      <c r="S31748" s="11"/>
      <c r="T31748" s="11"/>
    </row>
    <row r="31749" spans="8:20" x14ac:dyDescent="0.35">
      <c r="H31749" s="711"/>
      <c r="I31749" s="711"/>
      <c r="J31749" s="711"/>
      <c r="K31749" s="711"/>
      <c r="L31749" s="711"/>
      <c r="Q31749" s="11"/>
      <c r="R31749" s="11"/>
      <c r="S31749" s="11"/>
      <c r="T31749" s="11"/>
    </row>
    <row r="31750" spans="8:20" x14ac:dyDescent="0.35">
      <c r="H31750" s="711"/>
      <c r="I31750" s="711"/>
      <c r="J31750" s="711"/>
      <c r="K31750" s="711"/>
      <c r="L31750" s="711"/>
      <c r="Q31750" s="11"/>
      <c r="R31750" s="11"/>
      <c r="S31750" s="11"/>
      <c r="T31750" s="11"/>
    </row>
    <row r="31751" spans="8:20" x14ac:dyDescent="0.35">
      <c r="H31751" s="711"/>
      <c r="I31751" s="711"/>
      <c r="J31751" s="711"/>
      <c r="K31751" s="711"/>
      <c r="L31751" s="711"/>
      <c r="Q31751" s="11"/>
      <c r="R31751" s="11"/>
      <c r="S31751" s="11"/>
      <c r="T31751" s="11"/>
    </row>
    <row r="31752" spans="8:20" x14ac:dyDescent="0.35">
      <c r="H31752" s="711"/>
      <c r="I31752" s="711"/>
      <c r="J31752" s="711"/>
      <c r="K31752" s="711"/>
      <c r="L31752" s="711"/>
      <c r="Q31752" s="11"/>
      <c r="R31752" s="11"/>
      <c r="S31752" s="11"/>
      <c r="T31752" s="11"/>
    </row>
    <row r="31753" spans="8:20" x14ac:dyDescent="0.35">
      <c r="H31753" s="711"/>
      <c r="I31753" s="711"/>
      <c r="J31753" s="711"/>
      <c r="K31753" s="711"/>
      <c r="L31753" s="711"/>
      <c r="Q31753" s="11"/>
      <c r="R31753" s="11"/>
      <c r="S31753" s="11"/>
      <c r="T31753" s="11"/>
    </row>
    <row r="31754" spans="8:20" x14ac:dyDescent="0.35">
      <c r="H31754" s="711"/>
      <c r="I31754" s="711"/>
      <c r="J31754" s="711"/>
      <c r="K31754" s="711"/>
      <c r="L31754" s="711"/>
      <c r="Q31754" s="11"/>
      <c r="R31754" s="11"/>
      <c r="S31754" s="11"/>
      <c r="T31754" s="11"/>
    </row>
    <row r="31755" spans="8:20" x14ac:dyDescent="0.35">
      <c r="H31755" s="711"/>
      <c r="I31755" s="711"/>
      <c r="J31755" s="711"/>
      <c r="K31755" s="711"/>
      <c r="L31755" s="711"/>
      <c r="Q31755" s="11"/>
      <c r="R31755" s="11"/>
      <c r="S31755" s="11"/>
      <c r="T31755" s="11"/>
    </row>
    <row r="31756" spans="8:20" x14ac:dyDescent="0.35">
      <c r="H31756" s="711"/>
      <c r="I31756" s="711"/>
      <c r="J31756" s="711"/>
      <c r="K31756" s="711"/>
      <c r="L31756" s="711"/>
      <c r="Q31756" s="11"/>
      <c r="R31756" s="11"/>
      <c r="S31756" s="11"/>
      <c r="T31756" s="11"/>
    </row>
    <row r="31757" spans="8:20" x14ac:dyDescent="0.35">
      <c r="H31757" s="711"/>
      <c r="I31757" s="711"/>
      <c r="J31757" s="711"/>
      <c r="K31757" s="711"/>
      <c r="L31757" s="711"/>
      <c r="Q31757" s="11"/>
      <c r="R31757" s="11"/>
      <c r="S31757" s="11"/>
      <c r="T31757" s="11"/>
    </row>
    <row r="31758" spans="8:20" x14ac:dyDescent="0.35">
      <c r="H31758" s="711"/>
      <c r="I31758" s="711"/>
      <c r="J31758" s="711"/>
      <c r="K31758" s="711"/>
      <c r="L31758" s="711"/>
      <c r="Q31758" s="11"/>
      <c r="R31758" s="11"/>
      <c r="S31758" s="11"/>
      <c r="T31758" s="11"/>
    </row>
    <row r="31759" spans="8:20" x14ac:dyDescent="0.35">
      <c r="H31759" s="711"/>
      <c r="I31759" s="711"/>
      <c r="J31759" s="711"/>
      <c r="K31759" s="711"/>
      <c r="L31759" s="711"/>
      <c r="Q31759" s="11"/>
      <c r="R31759" s="11"/>
      <c r="S31759" s="11"/>
      <c r="T31759" s="11"/>
    </row>
    <row r="31760" spans="8:20" x14ac:dyDescent="0.35">
      <c r="H31760" s="711"/>
      <c r="I31760" s="711"/>
      <c r="J31760" s="711"/>
      <c r="K31760" s="711"/>
      <c r="L31760" s="711"/>
      <c r="Q31760" s="11"/>
      <c r="R31760" s="11"/>
      <c r="S31760" s="11"/>
      <c r="T31760" s="11"/>
    </row>
    <row r="31761" spans="8:20" x14ac:dyDescent="0.35">
      <c r="H31761" s="711"/>
      <c r="I31761" s="711"/>
      <c r="J31761" s="711"/>
      <c r="K31761" s="711"/>
      <c r="L31761" s="711"/>
      <c r="Q31761" s="11"/>
      <c r="R31761" s="11"/>
      <c r="S31761" s="11"/>
      <c r="T31761" s="11"/>
    </row>
    <row r="31762" spans="8:20" x14ac:dyDescent="0.35">
      <c r="H31762" s="711"/>
      <c r="I31762" s="711"/>
      <c r="J31762" s="711"/>
      <c r="K31762" s="711"/>
      <c r="L31762" s="711"/>
      <c r="Q31762" s="11"/>
      <c r="R31762" s="11"/>
      <c r="S31762" s="11"/>
      <c r="T31762" s="11"/>
    </row>
    <row r="31763" spans="8:20" x14ac:dyDescent="0.35">
      <c r="H31763" s="711"/>
      <c r="I31763" s="711"/>
      <c r="J31763" s="711"/>
      <c r="K31763" s="711"/>
      <c r="L31763" s="711"/>
      <c r="Q31763" s="11"/>
      <c r="R31763" s="11"/>
      <c r="S31763" s="11"/>
      <c r="T31763" s="11"/>
    </row>
    <row r="31764" spans="8:20" x14ac:dyDescent="0.35">
      <c r="H31764" s="711"/>
      <c r="I31764" s="711"/>
      <c r="J31764" s="711"/>
      <c r="K31764" s="711"/>
      <c r="L31764" s="711"/>
      <c r="Q31764" s="11"/>
      <c r="R31764" s="11"/>
      <c r="S31764" s="11"/>
      <c r="T31764" s="11"/>
    </row>
    <row r="31765" spans="8:20" x14ac:dyDescent="0.35">
      <c r="H31765" s="711"/>
      <c r="I31765" s="711"/>
      <c r="J31765" s="711"/>
      <c r="K31765" s="711"/>
      <c r="L31765" s="711"/>
      <c r="Q31765" s="11"/>
      <c r="R31765" s="11"/>
      <c r="S31765" s="11"/>
      <c r="T31765" s="11"/>
    </row>
    <row r="31766" spans="8:20" x14ac:dyDescent="0.35">
      <c r="H31766" s="711"/>
      <c r="I31766" s="711"/>
      <c r="J31766" s="711"/>
      <c r="K31766" s="711"/>
      <c r="L31766" s="711"/>
      <c r="Q31766" s="11"/>
      <c r="R31766" s="11"/>
      <c r="S31766" s="11"/>
      <c r="T31766" s="11"/>
    </row>
    <row r="31767" spans="8:20" x14ac:dyDescent="0.35">
      <c r="H31767" s="711"/>
      <c r="I31767" s="711"/>
      <c r="J31767" s="711"/>
      <c r="K31767" s="711"/>
      <c r="L31767" s="711"/>
      <c r="Q31767" s="11"/>
      <c r="R31767" s="11"/>
      <c r="S31767" s="11"/>
      <c r="T31767" s="11"/>
    </row>
    <row r="31768" spans="8:20" x14ac:dyDescent="0.35">
      <c r="H31768" s="711"/>
      <c r="I31768" s="711"/>
      <c r="J31768" s="711"/>
      <c r="K31768" s="711"/>
      <c r="L31768" s="711"/>
      <c r="Q31768" s="11"/>
      <c r="R31768" s="11"/>
      <c r="S31768" s="11"/>
      <c r="T31768" s="11"/>
    </row>
    <row r="31769" spans="8:20" x14ac:dyDescent="0.35">
      <c r="H31769" s="711"/>
      <c r="I31769" s="711"/>
      <c r="J31769" s="711"/>
      <c r="K31769" s="711"/>
      <c r="L31769" s="711"/>
      <c r="Q31769" s="11"/>
      <c r="R31769" s="11"/>
      <c r="S31769" s="11"/>
      <c r="T31769" s="11"/>
    </row>
    <row r="31770" spans="8:20" x14ac:dyDescent="0.35">
      <c r="H31770" s="711"/>
      <c r="I31770" s="711"/>
      <c r="J31770" s="711"/>
      <c r="K31770" s="711"/>
      <c r="L31770" s="711"/>
      <c r="Q31770" s="11"/>
      <c r="R31770" s="11"/>
      <c r="S31770" s="11"/>
      <c r="T31770" s="11"/>
    </row>
    <row r="31771" spans="8:20" x14ac:dyDescent="0.35">
      <c r="H31771" s="711"/>
      <c r="I31771" s="711"/>
      <c r="J31771" s="711"/>
      <c r="K31771" s="711"/>
      <c r="L31771" s="711"/>
      <c r="Q31771" s="11"/>
      <c r="R31771" s="11"/>
      <c r="S31771" s="11"/>
      <c r="T31771" s="11"/>
    </row>
    <row r="31772" spans="8:20" x14ac:dyDescent="0.35">
      <c r="H31772" s="711"/>
      <c r="I31772" s="711"/>
      <c r="J31772" s="711"/>
      <c r="K31772" s="711"/>
      <c r="L31772" s="711"/>
      <c r="Q31772" s="11"/>
      <c r="R31772" s="11"/>
      <c r="S31772" s="11"/>
      <c r="T31772" s="11"/>
    </row>
    <row r="31773" spans="8:20" x14ac:dyDescent="0.35">
      <c r="H31773" s="711"/>
      <c r="I31773" s="711"/>
      <c r="J31773" s="711"/>
      <c r="K31773" s="711"/>
      <c r="L31773" s="711"/>
      <c r="Q31773" s="11"/>
      <c r="R31773" s="11"/>
      <c r="S31773" s="11"/>
      <c r="T31773" s="11"/>
    </row>
    <row r="31774" spans="8:20" x14ac:dyDescent="0.35">
      <c r="H31774" s="711"/>
      <c r="I31774" s="711"/>
      <c r="J31774" s="711"/>
      <c r="K31774" s="711"/>
      <c r="L31774" s="711"/>
      <c r="Q31774" s="11"/>
      <c r="R31774" s="11"/>
      <c r="S31774" s="11"/>
      <c r="T31774" s="11"/>
    </row>
    <row r="31775" spans="8:20" x14ac:dyDescent="0.35">
      <c r="H31775" s="711"/>
      <c r="I31775" s="711"/>
      <c r="J31775" s="711"/>
      <c r="K31775" s="711"/>
      <c r="L31775" s="711"/>
      <c r="Q31775" s="11"/>
      <c r="R31775" s="11"/>
      <c r="S31775" s="11"/>
      <c r="T31775" s="11"/>
    </row>
    <row r="31776" spans="8:20" x14ac:dyDescent="0.35">
      <c r="H31776" s="711"/>
      <c r="I31776" s="711"/>
      <c r="J31776" s="711"/>
      <c r="K31776" s="711"/>
      <c r="L31776" s="711"/>
      <c r="Q31776" s="11"/>
      <c r="R31776" s="11"/>
      <c r="S31776" s="11"/>
      <c r="T31776" s="11"/>
    </row>
    <row r="31777" spans="8:20" x14ac:dyDescent="0.35">
      <c r="H31777" s="711"/>
      <c r="I31777" s="711"/>
      <c r="J31777" s="711"/>
      <c r="K31777" s="711"/>
      <c r="L31777" s="711"/>
      <c r="Q31777" s="11"/>
      <c r="R31777" s="11"/>
      <c r="S31777" s="11"/>
      <c r="T31777" s="11"/>
    </row>
    <row r="31778" spans="8:20" x14ac:dyDescent="0.35">
      <c r="H31778" s="711"/>
      <c r="I31778" s="711"/>
      <c r="J31778" s="711"/>
      <c r="K31778" s="711"/>
      <c r="L31778" s="711"/>
      <c r="Q31778" s="11"/>
      <c r="R31778" s="11"/>
      <c r="S31778" s="11"/>
      <c r="T31778" s="11"/>
    </row>
    <row r="31779" spans="8:20" x14ac:dyDescent="0.35">
      <c r="H31779" s="711"/>
      <c r="I31779" s="711"/>
      <c r="J31779" s="711"/>
      <c r="K31779" s="711"/>
      <c r="L31779" s="711"/>
      <c r="Q31779" s="11"/>
      <c r="R31779" s="11"/>
      <c r="S31779" s="11"/>
      <c r="T31779" s="11"/>
    </row>
    <row r="31780" spans="8:20" x14ac:dyDescent="0.35">
      <c r="H31780" s="711"/>
      <c r="I31780" s="711"/>
      <c r="J31780" s="711"/>
      <c r="K31780" s="711"/>
      <c r="L31780" s="711"/>
      <c r="Q31780" s="11"/>
      <c r="R31780" s="11"/>
      <c r="S31780" s="11"/>
      <c r="T31780" s="11"/>
    </row>
    <row r="31781" spans="8:20" x14ac:dyDescent="0.35">
      <c r="H31781" s="711"/>
      <c r="I31781" s="711"/>
      <c r="J31781" s="711"/>
      <c r="K31781" s="711"/>
      <c r="L31781" s="711"/>
      <c r="Q31781" s="11"/>
      <c r="R31781" s="11"/>
      <c r="S31781" s="11"/>
      <c r="T31781" s="11"/>
    </row>
    <row r="31782" spans="8:20" x14ac:dyDescent="0.35">
      <c r="H31782" s="711"/>
      <c r="I31782" s="711"/>
      <c r="J31782" s="711"/>
      <c r="K31782" s="711"/>
      <c r="L31782" s="711"/>
      <c r="Q31782" s="11"/>
      <c r="R31782" s="11"/>
      <c r="S31782" s="11"/>
      <c r="T31782" s="11"/>
    </row>
    <row r="31783" spans="8:20" x14ac:dyDescent="0.35">
      <c r="H31783" s="711"/>
      <c r="I31783" s="711"/>
      <c r="J31783" s="711"/>
      <c r="K31783" s="711"/>
      <c r="L31783" s="711"/>
      <c r="Q31783" s="11"/>
      <c r="R31783" s="11"/>
      <c r="S31783" s="11"/>
      <c r="T31783" s="11"/>
    </row>
    <row r="31784" spans="8:20" x14ac:dyDescent="0.35">
      <c r="H31784" s="711"/>
      <c r="I31784" s="711"/>
      <c r="J31784" s="711"/>
      <c r="K31784" s="711"/>
      <c r="L31784" s="711"/>
      <c r="Q31784" s="11"/>
      <c r="R31784" s="11"/>
      <c r="S31784" s="11"/>
      <c r="T31784" s="11"/>
    </row>
    <row r="31785" spans="8:20" x14ac:dyDescent="0.35">
      <c r="H31785" s="711"/>
      <c r="I31785" s="711"/>
      <c r="J31785" s="711"/>
      <c r="K31785" s="711"/>
      <c r="L31785" s="711"/>
      <c r="Q31785" s="11"/>
      <c r="R31785" s="11"/>
      <c r="S31785" s="11"/>
      <c r="T31785" s="11"/>
    </row>
    <row r="31786" spans="8:20" x14ac:dyDescent="0.35">
      <c r="H31786" s="711"/>
      <c r="I31786" s="711"/>
      <c r="J31786" s="711"/>
      <c r="K31786" s="711"/>
      <c r="L31786" s="711"/>
      <c r="Q31786" s="11"/>
      <c r="R31786" s="11"/>
      <c r="S31786" s="11"/>
      <c r="T31786" s="11"/>
    </row>
    <row r="31787" spans="8:20" x14ac:dyDescent="0.35">
      <c r="H31787" s="711"/>
      <c r="I31787" s="711"/>
      <c r="J31787" s="711"/>
      <c r="K31787" s="711"/>
      <c r="L31787" s="711"/>
      <c r="Q31787" s="11"/>
      <c r="R31787" s="11"/>
      <c r="S31787" s="11"/>
      <c r="T31787" s="11"/>
    </row>
    <row r="31788" spans="8:20" x14ac:dyDescent="0.35">
      <c r="H31788" s="711"/>
      <c r="I31788" s="711"/>
      <c r="J31788" s="711"/>
      <c r="K31788" s="711"/>
      <c r="L31788" s="711"/>
      <c r="Q31788" s="11"/>
      <c r="R31788" s="11"/>
      <c r="S31788" s="11"/>
      <c r="T31788" s="11"/>
    </row>
    <row r="31789" spans="8:20" x14ac:dyDescent="0.35">
      <c r="H31789" s="711"/>
      <c r="I31789" s="711"/>
      <c r="J31789" s="711"/>
      <c r="K31789" s="711"/>
      <c r="L31789" s="711"/>
      <c r="Q31789" s="11"/>
      <c r="R31789" s="11"/>
      <c r="S31789" s="11"/>
      <c r="T31789" s="11"/>
    </row>
    <row r="31790" spans="8:20" x14ac:dyDescent="0.35">
      <c r="H31790" s="711"/>
      <c r="I31790" s="711"/>
      <c r="J31790" s="711"/>
      <c r="K31790" s="711"/>
      <c r="L31790" s="711"/>
      <c r="Q31790" s="11"/>
      <c r="R31790" s="11"/>
      <c r="S31790" s="11"/>
      <c r="T31790" s="11"/>
    </row>
    <row r="31791" spans="8:20" x14ac:dyDescent="0.35">
      <c r="H31791" s="711"/>
      <c r="I31791" s="711"/>
      <c r="J31791" s="711"/>
      <c r="K31791" s="711"/>
      <c r="L31791" s="711"/>
      <c r="Q31791" s="11"/>
      <c r="R31791" s="11"/>
      <c r="S31791" s="11"/>
      <c r="T31791" s="11"/>
    </row>
    <row r="31792" spans="8:20" x14ac:dyDescent="0.35">
      <c r="H31792" s="711"/>
      <c r="I31792" s="711"/>
      <c r="J31792" s="711"/>
      <c r="K31792" s="711"/>
      <c r="L31792" s="711"/>
      <c r="Q31792" s="11"/>
      <c r="R31792" s="11"/>
      <c r="S31792" s="11"/>
      <c r="T31792" s="11"/>
    </row>
    <row r="31793" spans="8:20" x14ac:dyDescent="0.35">
      <c r="H31793" s="711"/>
      <c r="I31793" s="711"/>
      <c r="J31793" s="711"/>
      <c r="K31793" s="711"/>
      <c r="L31793" s="711"/>
      <c r="Q31793" s="11"/>
      <c r="R31793" s="11"/>
      <c r="S31793" s="11"/>
      <c r="T31793" s="11"/>
    </row>
    <row r="31794" spans="8:20" x14ac:dyDescent="0.35">
      <c r="H31794" s="711"/>
      <c r="I31794" s="711"/>
      <c r="J31794" s="711"/>
      <c r="K31794" s="711"/>
      <c r="L31794" s="711"/>
      <c r="Q31794" s="11"/>
      <c r="R31794" s="11"/>
      <c r="S31794" s="11"/>
      <c r="T31794" s="11"/>
    </row>
    <row r="31795" spans="8:20" x14ac:dyDescent="0.35">
      <c r="H31795" s="711"/>
      <c r="I31795" s="711"/>
      <c r="J31795" s="711"/>
      <c r="K31795" s="711"/>
      <c r="L31795" s="711"/>
      <c r="Q31795" s="11"/>
      <c r="R31795" s="11"/>
      <c r="S31795" s="11"/>
      <c r="T31795" s="11"/>
    </row>
    <row r="31796" spans="8:20" x14ac:dyDescent="0.35">
      <c r="H31796" s="711"/>
      <c r="I31796" s="711"/>
      <c r="J31796" s="711"/>
      <c r="K31796" s="711"/>
      <c r="L31796" s="711"/>
      <c r="Q31796" s="11"/>
      <c r="R31796" s="11"/>
      <c r="S31796" s="11"/>
      <c r="T31796" s="11"/>
    </row>
    <row r="31797" spans="8:20" x14ac:dyDescent="0.35">
      <c r="H31797" s="711"/>
      <c r="I31797" s="711"/>
      <c r="J31797" s="711"/>
      <c r="K31797" s="711"/>
      <c r="L31797" s="711"/>
      <c r="Q31797" s="11"/>
      <c r="R31797" s="11"/>
      <c r="S31797" s="11"/>
      <c r="T31797" s="11"/>
    </row>
    <row r="31798" spans="8:20" x14ac:dyDescent="0.35">
      <c r="H31798" s="711"/>
      <c r="I31798" s="711"/>
      <c r="J31798" s="711"/>
      <c r="K31798" s="711"/>
      <c r="L31798" s="711"/>
      <c r="Q31798" s="11"/>
      <c r="R31798" s="11"/>
      <c r="S31798" s="11"/>
      <c r="T31798" s="11"/>
    </row>
    <row r="31799" spans="8:20" x14ac:dyDescent="0.35">
      <c r="H31799" s="711"/>
      <c r="I31799" s="711"/>
      <c r="J31799" s="711"/>
      <c r="K31799" s="711"/>
      <c r="L31799" s="711"/>
      <c r="Q31799" s="11"/>
      <c r="R31799" s="11"/>
      <c r="S31799" s="11"/>
      <c r="T31799" s="11"/>
    </row>
    <row r="31800" spans="8:20" x14ac:dyDescent="0.35">
      <c r="H31800" s="711"/>
      <c r="I31800" s="711"/>
      <c r="J31800" s="711"/>
      <c r="K31800" s="711"/>
      <c r="L31800" s="711"/>
      <c r="Q31800" s="11"/>
      <c r="R31800" s="11"/>
      <c r="S31800" s="11"/>
      <c r="T31800" s="11"/>
    </row>
    <row r="31801" spans="8:20" x14ac:dyDescent="0.35">
      <c r="H31801" s="711"/>
      <c r="I31801" s="711"/>
      <c r="J31801" s="711"/>
      <c r="K31801" s="711"/>
      <c r="L31801" s="711"/>
      <c r="Q31801" s="11"/>
      <c r="R31801" s="11"/>
      <c r="S31801" s="11"/>
      <c r="T31801" s="11"/>
    </row>
    <row r="31802" spans="8:20" x14ac:dyDescent="0.35">
      <c r="H31802" s="711"/>
      <c r="I31802" s="711"/>
      <c r="J31802" s="711"/>
      <c r="K31802" s="711"/>
      <c r="L31802" s="711"/>
      <c r="Q31802" s="11"/>
      <c r="R31802" s="11"/>
      <c r="S31802" s="11"/>
      <c r="T31802" s="11"/>
    </row>
    <row r="31803" spans="8:20" x14ac:dyDescent="0.35">
      <c r="H31803" s="711"/>
      <c r="I31803" s="711"/>
      <c r="J31803" s="711"/>
      <c r="K31803" s="711"/>
      <c r="L31803" s="711"/>
      <c r="Q31803" s="11"/>
      <c r="R31803" s="11"/>
      <c r="S31803" s="11"/>
      <c r="T31803" s="11"/>
    </row>
    <row r="31804" spans="8:20" x14ac:dyDescent="0.35">
      <c r="H31804" s="711"/>
      <c r="I31804" s="711"/>
      <c r="J31804" s="711"/>
      <c r="K31804" s="711"/>
      <c r="L31804" s="711"/>
      <c r="Q31804" s="11"/>
      <c r="R31804" s="11"/>
      <c r="S31804" s="11"/>
      <c r="T31804" s="11"/>
    </row>
    <row r="31805" spans="8:20" x14ac:dyDescent="0.35">
      <c r="H31805" s="711"/>
      <c r="I31805" s="711"/>
      <c r="J31805" s="711"/>
      <c r="K31805" s="711"/>
      <c r="L31805" s="711"/>
      <c r="Q31805" s="11"/>
      <c r="R31805" s="11"/>
      <c r="S31805" s="11"/>
      <c r="T31805" s="11"/>
    </row>
    <row r="31806" spans="8:20" x14ac:dyDescent="0.35">
      <c r="H31806" s="711"/>
      <c r="I31806" s="711"/>
      <c r="J31806" s="711"/>
      <c r="K31806" s="711"/>
      <c r="L31806" s="711"/>
      <c r="Q31806" s="11"/>
      <c r="R31806" s="11"/>
      <c r="S31806" s="11"/>
      <c r="T31806" s="11"/>
    </row>
    <row r="31807" spans="8:20" x14ac:dyDescent="0.35">
      <c r="H31807" s="711"/>
      <c r="I31807" s="711"/>
      <c r="J31807" s="711"/>
      <c r="K31807" s="711"/>
      <c r="L31807" s="711"/>
      <c r="Q31807" s="11"/>
      <c r="R31807" s="11"/>
      <c r="S31807" s="11"/>
      <c r="T31807" s="11"/>
    </row>
    <row r="31808" spans="8:20" x14ac:dyDescent="0.35">
      <c r="H31808" s="711"/>
      <c r="I31808" s="711"/>
      <c r="J31808" s="711"/>
      <c r="K31808" s="711"/>
      <c r="L31808" s="711"/>
      <c r="Q31808" s="11"/>
      <c r="R31808" s="11"/>
      <c r="S31808" s="11"/>
      <c r="T31808" s="11"/>
    </row>
    <row r="31809" spans="8:20" x14ac:dyDescent="0.35">
      <c r="H31809" s="711"/>
      <c r="I31809" s="711"/>
      <c r="J31809" s="711"/>
      <c r="K31809" s="711"/>
      <c r="L31809" s="711"/>
      <c r="Q31809" s="11"/>
      <c r="R31809" s="11"/>
      <c r="S31809" s="11"/>
      <c r="T31809" s="11"/>
    </row>
    <row r="31810" spans="8:20" x14ac:dyDescent="0.35">
      <c r="H31810" s="711"/>
      <c r="I31810" s="711"/>
      <c r="J31810" s="711"/>
      <c r="K31810" s="711"/>
      <c r="L31810" s="711"/>
      <c r="Q31810" s="11"/>
      <c r="R31810" s="11"/>
      <c r="S31810" s="11"/>
      <c r="T31810" s="11"/>
    </row>
    <row r="31811" spans="8:20" x14ac:dyDescent="0.35">
      <c r="H31811" s="711"/>
      <c r="I31811" s="711"/>
      <c r="J31811" s="711"/>
      <c r="K31811" s="711"/>
      <c r="L31811" s="711"/>
      <c r="Q31811" s="11"/>
      <c r="R31811" s="11"/>
      <c r="S31811" s="11"/>
      <c r="T31811" s="11"/>
    </row>
    <row r="31812" spans="8:20" x14ac:dyDescent="0.35">
      <c r="H31812" s="711"/>
      <c r="I31812" s="711"/>
      <c r="J31812" s="711"/>
      <c r="K31812" s="711"/>
      <c r="L31812" s="711"/>
      <c r="Q31812" s="11"/>
      <c r="R31812" s="11"/>
      <c r="S31812" s="11"/>
      <c r="T31812" s="11"/>
    </row>
    <row r="31813" spans="8:20" x14ac:dyDescent="0.35">
      <c r="H31813" s="711"/>
      <c r="I31813" s="711"/>
      <c r="J31813" s="711"/>
      <c r="K31813" s="711"/>
      <c r="L31813" s="711"/>
      <c r="Q31813" s="11"/>
      <c r="R31813" s="11"/>
      <c r="S31813" s="11"/>
      <c r="T31813" s="11"/>
    </row>
    <row r="31814" spans="8:20" x14ac:dyDescent="0.35">
      <c r="H31814" s="711"/>
      <c r="I31814" s="711"/>
      <c r="J31814" s="711"/>
      <c r="K31814" s="711"/>
      <c r="L31814" s="711"/>
      <c r="Q31814" s="11"/>
      <c r="R31814" s="11"/>
      <c r="S31814" s="11"/>
      <c r="T31814" s="11"/>
    </row>
    <row r="31815" spans="8:20" x14ac:dyDescent="0.35">
      <c r="H31815" s="711"/>
      <c r="I31815" s="711"/>
      <c r="J31815" s="711"/>
      <c r="K31815" s="711"/>
      <c r="L31815" s="711"/>
      <c r="Q31815" s="11"/>
      <c r="R31815" s="11"/>
      <c r="S31815" s="11"/>
      <c r="T31815" s="11"/>
    </row>
    <row r="31816" spans="8:20" x14ac:dyDescent="0.35">
      <c r="H31816" s="711"/>
      <c r="I31816" s="711"/>
      <c r="J31816" s="711"/>
      <c r="K31816" s="711"/>
      <c r="L31816" s="711"/>
      <c r="Q31816" s="11"/>
      <c r="R31816" s="11"/>
      <c r="S31816" s="11"/>
      <c r="T31816" s="11"/>
    </row>
    <row r="31817" spans="8:20" x14ac:dyDescent="0.35">
      <c r="H31817" s="711"/>
      <c r="I31817" s="711"/>
      <c r="J31817" s="711"/>
      <c r="K31817" s="711"/>
      <c r="L31817" s="711"/>
      <c r="Q31817" s="11"/>
      <c r="R31817" s="11"/>
      <c r="S31817" s="11"/>
      <c r="T31817" s="11"/>
    </row>
    <row r="31818" spans="8:20" x14ac:dyDescent="0.35">
      <c r="H31818" s="711"/>
      <c r="I31818" s="711"/>
      <c r="J31818" s="711"/>
      <c r="K31818" s="711"/>
      <c r="L31818" s="711"/>
      <c r="Q31818" s="11"/>
      <c r="R31818" s="11"/>
      <c r="S31818" s="11"/>
      <c r="T31818" s="11"/>
    </row>
    <row r="31819" spans="8:20" x14ac:dyDescent="0.35">
      <c r="H31819" s="711"/>
      <c r="I31819" s="711"/>
      <c r="J31819" s="711"/>
      <c r="K31819" s="711"/>
      <c r="L31819" s="711"/>
      <c r="Q31819" s="11"/>
      <c r="R31819" s="11"/>
      <c r="S31819" s="11"/>
      <c r="T31819" s="11"/>
    </row>
    <row r="31820" spans="8:20" x14ac:dyDescent="0.35">
      <c r="H31820" s="711"/>
      <c r="I31820" s="711"/>
      <c r="J31820" s="711"/>
      <c r="K31820" s="711"/>
      <c r="L31820" s="711"/>
      <c r="Q31820" s="11"/>
      <c r="R31820" s="11"/>
      <c r="S31820" s="11"/>
      <c r="T31820" s="11"/>
    </row>
    <row r="31821" spans="8:20" x14ac:dyDescent="0.35">
      <c r="H31821" s="711"/>
      <c r="I31821" s="711"/>
      <c r="J31821" s="711"/>
      <c r="K31821" s="711"/>
      <c r="L31821" s="711"/>
      <c r="Q31821" s="11"/>
      <c r="R31821" s="11"/>
      <c r="S31821" s="11"/>
      <c r="T31821" s="11"/>
    </row>
    <row r="31822" spans="8:20" x14ac:dyDescent="0.35">
      <c r="H31822" s="711"/>
      <c r="I31822" s="711"/>
      <c r="J31822" s="711"/>
      <c r="K31822" s="711"/>
      <c r="L31822" s="711"/>
      <c r="Q31822" s="11"/>
      <c r="R31822" s="11"/>
      <c r="S31822" s="11"/>
      <c r="T31822" s="11"/>
    </row>
    <row r="31823" spans="8:20" x14ac:dyDescent="0.35">
      <c r="H31823" s="711"/>
      <c r="I31823" s="711"/>
      <c r="J31823" s="711"/>
      <c r="K31823" s="711"/>
      <c r="L31823" s="711"/>
      <c r="Q31823" s="11"/>
      <c r="R31823" s="11"/>
      <c r="S31823" s="11"/>
      <c r="T31823" s="11"/>
    </row>
    <row r="31824" spans="8:20" x14ac:dyDescent="0.35">
      <c r="H31824" s="711"/>
      <c r="I31824" s="711"/>
      <c r="J31824" s="711"/>
      <c r="K31824" s="711"/>
      <c r="L31824" s="711"/>
      <c r="Q31824" s="11"/>
      <c r="R31824" s="11"/>
      <c r="S31824" s="11"/>
      <c r="T31824" s="11"/>
    </row>
    <row r="31825" spans="8:20" x14ac:dyDescent="0.35">
      <c r="H31825" s="711"/>
      <c r="I31825" s="711"/>
      <c r="J31825" s="711"/>
      <c r="K31825" s="711"/>
      <c r="L31825" s="711"/>
      <c r="Q31825" s="11"/>
      <c r="R31825" s="11"/>
      <c r="S31825" s="11"/>
      <c r="T31825" s="11"/>
    </row>
    <row r="31826" spans="8:20" x14ac:dyDescent="0.35">
      <c r="H31826" s="711"/>
      <c r="I31826" s="711"/>
      <c r="J31826" s="711"/>
      <c r="K31826" s="711"/>
      <c r="L31826" s="711"/>
      <c r="Q31826" s="11"/>
      <c r="R31826" s="11"/>
      <c r="S31826" s="11"/>
      <c r="T31826" s="11"/>
    </row>
    <row r="31827" spans="8:20" x14ac:dyDescent="0.35">
      <c r="H31827" s="711"/>
      <c r="I31827" s="711"/>
      <c r="J31827" s="711"/>
      <c r="K31827" s="711"/>
      <c r="L31827" s="711"/>
      <c r="Q31827" s="11"/>
      <c r="R31827" s="11"/>
      <c r="S31827" s="11"/>
      <c r="T31827" s="11"/>
    </row>
    <row r="31828" spans="8:20" x14ac:dyDescent="0.35">
      <c r="H31828" s="711"/>
      <c r="I31828" s="711"/>
      <c r="J31828" s="711"/>
      <c r="K31828" s="711"/>
      <c r="L31828" s="711"/>
      <c r="Q31828" s="11"/>
      <c r="R31828" s="11"/>
      <c r="S31828" s="11"/>
      <c r="T31828" s="11"/>
    </row>
    <row r="31829" spans="8:20" x14ac:dyDescent="0.35">
      <c r="H31829" s="711"/>
      <c r="I31829" s="711"/>
      <c r="J31829" s="711"/>
      <c r="K31829" s="711"/>
      <c r="L31829" s="711"/>
      <c r="Q31829" s="11"/>
      <c r="R31829" s="11"/>
      <c r="S31829" s="11"/>
      <c r="T31829" s="11"/>
    </row>
    <row r="31830" spans="8:20" x14ac:dyDescent="0.35">
      <c r="H31830" s="711"/>
      <c r="I31830" s="711"/>
      <c r="J31830" s="711"/>
      <c r="K31830" s="711"/>
      <c r="L31830" s="711"/>
      <c r="Q31830" s="11"/>
      <c r="R31830" s="11"/>
      <c r="S31830" s="11"/>
      <c r="T31830" s="11"/>
    </row>
    <row r="31831" spans="8:20" x14ac:dyDescent="0.35">
      <c r="H31831" s="711"/>
      <c r="I31831" s="711"/>
      <c r="J31831" s="711"/>
      <c r="K31831" s="711"/>
      <c r="L31831" s="711"/>
      <c r="Q31831" s="11"/>
      <c r="R31831" s="11"/>
      <c r="S31831" s="11"/>
      <c r="T31831" s="11"/>
    </row>
    <row r="31832" spans="8:20" x14ac:dyDescent="0.35">
      <c r="H31832" s="711"/>
      <c r="I31832" s="711"/>
      <c r="J31832" s="711"/>
      <c r="K31832" s="711"/>
      <c r="L31832" s="711"/>
      <c r="Q31832" s="11"/>
      <c r="R31832" s="11"/>
      <c r="S31832" s="11"/>
      <c r="T31832" s="11"/>
    </row>
    <row r="31833" spans="8:20" x14ac:dyDescent="0.35">
      <c r="H31833" s="711"/>
      <c r="I31833" s="711"/>
      <c r="J31833" s="711"/>
      <c r="K31833" s="711"/>
      <c r="L31833" s="711"/>
      <c r="Q31833" s="11"/>
      <c r="R31833" s="11"/>
      <c r="S31833" s="11"/>
      <c r="T31833" s="11"/>
    </row>
    <row r="31834" spans="8:20" x14ac:dyDescent="0.35">
      <c r="H31834" s="711"/>
      <c r="I31834" s="711"/>
      <c r="J31834" s="711"/>
      <c r="K31834" s="711"/>
      <c r="L31834" s="711"/>
      <c r="Q31834" s="11"/>
      <c r="R31834" s="11"/>
      <c r="S31834" s="11"/>
      <c r="T31834" s="11"/>
    </row>
    <row r="31835" spans="8:20" x14ac:dyDescent="0.35">
      <c r="H31835" s="711"/>
      <c r="I31835" s="711"/>
      <c r="J31835" s="711"/>
      <c r="K31835" s="711"/>
      <c r="L31835" s="711"/>
      <c r="Q31835" s="11"/>
      <c r="R31835" s="11"/>
      <c r="S31835" s="11"/>
      <c r="T31835" s="11"/>
    </row>
    <row r="31836" spans="8:20" x14ac:dyDescent="0.35">
      <c r="H31836" s="711"/>
      <c r="I31836" s="711"/>
      <c r="J31836" s="711"/>
      <c r="K31836" s="711"/>
      <c r="L31836" s="711"/>
      <c r="Q31836" s="11"/>
      <c r="R31836" s="11"/>
      <c r="S31836" s="11"/>
      <c r="T31836" s="11"/>
    </row>
    <row r="31837" spans="8:20" x14ac:dyDescent="0.35">
      <c r="H31837" s="711"/>
      <c r="I31837" s="711"/>
      <c r="J31837" s="711"/>
      <c r="K31837" s="711"/>
      <c r="L31837" s="711"/>
      <c r="Q31837" s="11"/>
      <c r="R31837" s="11"/>
      <c r="S31837" s="11"/>
      <c r="T31837" s="11"/>
    </row>
    <row r="31838" spans="8:20" x14ac:dyDescent="0.35">
      <c r="H31838" s="711"/>
      <c r="I31838" s="711"/>
      <c r="J31838" s="711"/>
      <c r="K31838" s="711"/>
      <c r="L31838" s="711"/>
      <c r="Q31838" s="11"/>
      <c r="R31838" s="11"/>
      <c r="S31838" s="11"/>
      <c r="T31838" s="11"/>
    </row>
    <row r="31839" spans="8:20" x14ac:dyDescent="0.35">
      <c r="H31839" s="711"/>
      <c r="I31839" s="711"/>
      <c r="J31839" s="711"/>
      <c r="K31839" s="711"/>
      <c r="L31839" s="711"/>
      <c r="Q31839" s="11"/>
      <c r="R31839" s="11"/>
      <c r="S31839" s="11"/>
      <c r="T31839" s="11"/>
    </row>
    <row r="31840" spans="8:20" x14ac:dyDescent="0.35">
      <c r="H31840" s="711"/>
      <c r="I31840" s="711"/>
      <c r="J31840" s="711"/>
      <c r="K31840" s="711"/>
      <c r="L31840" s="711"/>
      <c r="Q31840" s="11"/>
      <c r="R31840" s="11"/>
      <c r="S31840" s="11"/>
      <c r="T31840" s="11"/>
    </row>
    <row r="31841" spans="8:20" x14ac:dyDescent="0.35">
      <c r="H31841" s="711"/>
      <c r="I31841" s="711"/>
      <c r="J31841" s="711"/>
      <c r="K31841" s="711"/>
      <c r="L31841" s="711"/>
      <c r="Q31841" s="11"/>
      <c r="R31841" s="11"/>
      <c r="S31841" s="11"/>
      <c r="T31841" s="11"/>
    </row>
    <row r="31842" spans="8:20" x14ac:dyDescent="0.35">
      <c r="H31842" s="711"/>
      <c r="I31842" s="711"/>
      <c r="J31842" s="711"/>
      <c r="K31842" s="711"/>
      <c r="L31842" s="711"/>
      <c r="Q31842" s="11"/>
      <c r="R31842" s="11"/>
      <c r="S31842" s="11"/>
      <c r="T31842" s="11"/>
    </row>
    <row r="31843" spans="8:20" x14ac:dyDescent="0.35">
      <c r="H31843" s="711"/>
      <c r="I31843" s="711"/>
      <c r="J31843" s="711"/>
      <c r="K31843" s="711"/>
      <c r="L31843" s="711"/>
      <c r="Q31843" s="11"/>
      <c r="R31843" s="11"/>
      <c r="S31843" s="11"/>
      <c r="T31843" s="11"/>
    </row>
    <row r="31844" spans="8:20" x14ac:dyDescent="0.35">
      <c r="H31844" s="711"/>
      <c r="I31844" s="711"/>
      <c r="J31844" s="711"/>
      <c r="K31844" s="711"/>
      <c r="L31844" s="711"/>
      <c r="Q31844" s="11"/>
      <c r="R31844" s="11"/>
      <c r="S31844" s="11"/>
      <c r="T31844" s="11"/>
    </row>
    <row r="31845" spans="8:20" x14ac:dyDescent="0.35">
      <c r="H31845" s="711"/>
      <c r="I31845" s="711"/>
      <c r="J31845" s="711"/>
      <c r="K31845" s="711"/>
      <c r="L31845" s="711"/>
      <c r="Q31845" s="11"/>
      <c r="R31845" s="11"/>
      <c r="S31845" s="11"/>
      <c r="T31845" s="11"/>
    </row>
    <row r="31846" spans="8:20" x14ac:dyDescent="0.35">
      <c r="H31846" s="711"/>
      <c r="I31846" s="711"/>
      <c r="J31846" s="711"/>
      <c r="K31846" s="711"/>
      <c r="L31846" s="711"/>
      <c r="Q31846" s="11"/>
      <c r="R31846" s="11"/>
      <c r="S31846" s="11"/>
      <c r="T31846" s="11"/>
    </row>
    <row r="31847" spans="8:20" x14ac:dyDescent="0.35">
      <c r="H31847" s="711"/>
      <c r="I31847" s="711"/>
      <c r="J31847" s="711"/>
      <c r="K31847" s="711"/>
      <c r="L31847" s="711"/>
      <c r="Q31847" s="11"/>
      <c r="R31847" s="11"/>
      <c r="S31847" s="11"/>
      <c r="T31847" s="11"/>
    </row>
    <row r="31848" spans="8:20" x14ac:dyDescent="0.35">
      <c r="H31848" s="711"/>
      <c r="I31848" s="711"/>
      <c r="J31848" s="711"/>
      <c r="K31848" s="711"/>
      <c r="L31848" s="711"/>
      <c r="Q31848" s="11"/>
      <c r="R31848" s="11"/>
      <c r="S31848" s="11"/>
      <c r="T31848" s="11"/>
    </row>
    <row r="31849" spans="8:20" x14ac:dyDescent="0.35">
      <c r="H31849" s="711"/>
      <c r="I31849" s="711"/>
      <c r="J31849" s="711"/>
      <c r="K31849" s="711"/>
      <c r="L31849" s="711"/>
      <c r="Q31849" s="11"/>
      <c r="R31849" s="11"/>
      <c r="S31849" s="11"/>
      <c r="T31849" s="11"/>
    </row>
    <row r="31850" spans="8:20" x14ac:dyDescent="0.35">
      <c r="H31850" s="711"/>
      <c r="I31850" s="711"/>
      <c r="J31850" s="711"/>
      <c r="K31850" s="711"/>
      <c r="L31850" s="711"/>
      <c r="Q31850" s="11"/>
      <c r="R31850" s="11"/>
      <c r="S31850" s="11"/>
      <c r="T31850" s="11"/>
    </row>
    <row r="31851" spans="8:20" x14ac:dyDescent="0.35">
      <c r="H31851" s="711"/>
      <c r="I31851" s="711"/>
      <c r="J31851" s="711"/>
      <c r="K31851" s="711"/>
      <c r="L31851" s="711"/>
      <c r="Q31851" s="11"/>
      <c r="R31851" s="11"/>
      <c r="S31851" s="11"/>
      <c r="T31851" s="11"/>
    </row>
    <row r="31852" spans="8:20" x14ac:dyDescent="0.35">
      <c r="H31852" s="711"/>
      <c r="I31852" s="711"/>
      <c r="J31852" s="711"/>
      <c r="K31852" s="711"/>
      <c r="L31852" s="711"/>
      <c r="Q31852" s="11"/>
      <c r="R31852" s="11"/>
      <c r="S31852" s="11"/>
      <c r="T31852" s="11"/>
    </row>
    <row r="31853" spans="8:20" x14ac:dyDescent="0.35">
      <c r="H31853" s="711"/>
      <c r="I31853" s="711"/>
      <c r="J31853" s="711"/>
      <c r="K31853" s="711"/>
      <c r="L31853" s="711"/>
      <c r="Q31853" s="11"/>
      <c r="R31853" s="11"/>
      <c r="S31853" s="11"/>
      <c r="T31853" s="11"/>
    </row>
    <row r="31854" spans="8:20" x14ac:dyDescent="0.35">
      <c r="H31854" s="711"/>
      <c r="I31854" s="711"/>
      <c r="J31854" s="711"/>
      <c r="K31854" s="711"/>
      <c r="L31854" s="711"/>
      <c r="Q31854" s="11"/>
      <c r="R31854" s="11"/>
      <c r="S31854" s="11"/>
      <c r="T31854" s="11"/>
    </row>
    <row r="31855" spans="8:20" x14ac:dyDescent="0.35">
      <c r="H31855" s="711"/>
      <c r="I31855" s="711"/>
      <c r="J31855" s="711"/>
      <c r="K31855" s="711"/>
      <c r="L31855" s="711"/>
      <c r="Q31855" s="11"/>
      <c r="R31855" s="11"/>
      <c r="S31855" s="11"/>
      <c r="T31855" s="11"/>
    </row>
    <row r="31856" spans="8:20" x14ac:dyDescent="0.35">
      <c r="H31856" s="711"/>
      <c r="I31856" s="711"/>
      <c r="J31856" s="711"/>
      <c r="K31856" s="711"/>
      <c r="L31856" s="711"/>
      <c r="Q31856" s="11"/>
      <c r="R31856" s="11"/>
      <c r="S31856" s="11"/>
      <c r="T31856" s="11"/>
    </row>
    <row r="31857" spans="8:20" x14ac:dyDescent="0.35">
      <c r="H31857" s="711"/>
      <c r="I31857" s="711"/>
      <c r="J31857" s="711"/>
      <c r="K31857" s="711"/>
      <c r="L31857" s="711"/>
      <c r="Q31857" s="11"/>
      <c r="R31857" s="11"/>
      <c r="S31857" s="11"/>
      <c r="T31857" s="11"/>
    </row>
    <row r="31858" spans="8:20" x14ac:dyDescent="0.35">
      <c r="H31858" s="711"/>
      <c r="I31858" s="711"/>
      <c r="J31858" s="711"/>
      <c r="K31858" s="711"/>
      <c r="L31858" s="711"/>
      <c r="Q31858" s="11"/>
      <c r="R31858" s="11"/>
      <c r="S31858" s="11"/>
      <c r="T31858" s="11"/>
    </row>
    <row r="31859" spans="8:20" x14ac:dyDescent="0.35">
      <c r="H31859" s="711"/>
      <c r="I31859" s="711"/>
      <c r="J31859" s="711"/>
      <c r="K31859" s="711"/>
      <c r="L31859" s="711"/>
      <c r="Q31859" s="11"/>
      <c r="R31859" s="11"/>
      <c r="S31859" s="11"/>
      <c r="T31859" s="11"/>
    </row>
    <row r="31860" spans="8:20" x14ac:dyDescent="0.35">
      <c r="H31860" s="711"/>
      <c r="I31860" s="711"/>
      <c r="J31860" s="711"/>
      <c r="K31860" s="711"/>
      <c r="L31860" s="711"/>
      <c r="Q31860" s="11"/>
      <c r="R31860" s="11"/>
      <c r="S31860" s="11"/>
      <c r="T31860" s="11"/>
    </row>
    <row r="31861" spans="8:20" x14ac:dyDescent="0.35">
      <c r="H31861" s="711"/>
      <c r="I31861" s="711"/>
      <c r="J31861" s="711"/>
      <c r="K31861" s="711"/>
      <c r="L31861" s="711"/>
      <c r="Q31861" s="11"/>
      <c r="R31861" s="11"/>
      <c r="S31861" s="11"/>
      <c r="T31861" s="11"/>
    </row>
    <row r="31862" spans="8:20" x14ac:dyDescent="0.35">
      <c r="H31862" s="711"/>
      <c r="I31862" s="711"/>
      <c r="J31862" s="711"/>
      <c r="K31862" s="711"/>
      <c r="L31862" s="711"/>
      <c r="Q31862" s="11"/>
      <c r="R31862" s="11"/>
      <c r="S31862" s="11"/>
      <c r="T31862" s="11"/>
    </row>
    <row r="31863" spans="8:20" x14ac:dyDescent="0.35">
      <c r="H31863" s="711"/>
      <c r="I31863" s="711"/>
      <c r="J31863" s="711"/>
      <c r="K31863" s="711"/>
      <c r="L31863" s="711"/>
      <c r="Q31863" s="11"/>
      <c r="R31863" s="11"/>
      <c r="S31863" s="11"/>
      <c r="T31863" s="11"/>
    </row>
    <row r="31864" spans="8:20" x14ac:dyDescent="0.35">
      <c r="H31864" s="711"/>
      <c r="I31864" s="711"/>
      <c r="J31864" s="711"/>
      <c r="K31864" s="711"/>
      <c r="L31864" s="711"/>
      <c r="Q31864" s="11"/>
      <c r="R31864" s="11"/>
      <c r="S31864" s="11"/>
      <c r="T31864" s="11"/>
    </row>
    <row r="31865" spans="8:20" x14ac:dyDescent="0.35">
      <c r="H31865" s="711"/>
      <c r="I31865" s="711"/>
      <c r="J31865" s="711"/>
      <c r="K31865" s="711"/>
      <c r="L31865" s="711"/>
      <c r="Q31865" s="11"/>
      <c r="R31865" s="11"/>
      <c r="S31865" s="11"/>
      <c r="T31865" s="11"/>
    </row>
    <row r="31866" spans="8:20" x14ac:dyDescent="0.35">
      <c r="H31866" s="711"/>
      <c r="I31866" s="711"/>
      <c r="J31866" s="711"/>
      <c r="K31866" s="711"/>
      <c r="L31866" s="711"/>
      <c r="Q31866" s="11"/>
      <c r="R31866" s="11"/>
      <c r="S31866" s="11"/>
      <c r="T31866" s="11"/>
    </row>
    <row r="31867" spans="8:20" x14ac:dyDescent="0.35">
      <c r="H31867" s="711"/>
      <c r="I31867" s="711"/>
      <c r="J31867" s="711"/>
      <c r="K31867" s="711"/>
      <c r="L31867" s="711"/>
      <c r="Q31867" s="11"/>
      <c r="R31867" s="11"/>
      <c r="S31867" s="11"/>
      <c r="T31867" s="11"/>
    </row>
    <row r="31868" spans="8:20" x14ac:dyDescent="0.35">
      <c r="H31868" s="711"/>
      <c r="I31868" s="711"/>
      <c r="J31868" s="711"/>
      <c r="K31868" s="711"/>
      <c r="L31868" s="711"/>
      <c r="Q31868" s="11"/>
      <c r="R31868" s="11"/>
      <c r="S31868" s="11"/>
      <c r="T31868" s="11"/>
    </row>
    <row r="31869" spans="8:20" x14ac:dyDescent="0.35">
      <c r="H31869" s="711"/>
      <c r="I31869" s="711"/>
      <c r="J31869" s="711"/>
      <c r="K31869" s="711"/>
      <c r="L31869" s="711"/>
      <c r="Q31869" s="11"/>
      <c r="R31869" s="11"/>
      <c r="S31869" s="11"/>
      <c r="T31869" s="11"/>
    </row>
    <row r="31870" spans="8:20" x14ac:dyDescent="0.35">
      <c r="H31870" s="711"/>
      <c r="I31870" s="711"/>
      <c r="J31870" s="711"/>
      <c r="K31870" s="711"/>
      <c r="L31870" s="711"/>
      <c r="Q31870" s="11"/>
      <c r="R31870" s="11"/>
      <c r="S31870" s="11"/>
      <c r="T31870" s="11"/>
    </row>
    <row r="31871" spans="8:20" x14ac:dyDescent="0.35">
      <c r="H31871" s="711"/>
      <c r="I31871" s="711"/>
      <c r="J31871" s="711"/>
      <c r="K31871" s="711"/>
      <c r="L31871" s="711"/>
      <c r="Q31871" s="11"/>
      <c r="R31871" s="11"/>
      <c r="S31871" s="11"/>
      <c r="T31871" s="11"/>
    </row>
    <row r="31872" spans="8:20" x14ac:dyDescent="0.35">
      <c r="H31872" s="711"/>
      <c r="I31872" s="711"/>
      <c r="J31872" s="711"/>
      <c r="K31872" s="711"/>
      <c r="L31872" s="711"/>
      <c r="Q31872" s="11"/>
      <c r="R31872" s="11"/>
      <c r="S31872" s="11"/>
      <c r="T31872" s="11"/>
    </row>
    <row r="31873" spans="8:20" x14ac:dyDescent="0.35">
      <c r="H31873" s="711"/>
      <c r="I31873" s="711"/>
      <c r="J31873" s="711"/>
      <c r="K31873" s="711"/>
      <c r="L31873" s="711"/>
      <c r="Q31873" s="11"/>
      <c r="R31873" s="11"/>
      <c r="S31873" s="11"/>
      <c r="T31873" s="11"/>
    </row>
    <row r="31874" spans="8:20" x14ac:dyDescent="0.35">
      <c r="H31874" s="711"/>
      <c r="I31874" s="711"/>
      <c r="J31874" s="711"/>
      <c r="K31874" s="711"/>
      <c r="L31874" s="711"/>
      <c r="Q31874" s="11"/>
      <c r="R31874" s="11"/>
      <c r="S31874" s="11"/>
      <c r="T31874" s="11"/>
    </row>
    <row r="31875" spans="8:20" x14ac:dyDescent="0.35">
      <c r="H31875" s="711"/>
      <c r="I31875" s="711"/>
      <c r="J31875" s="711"/>
      <c r="K31875" s="711"/>
      <c r="L31875" s="711"/>
      <c r="Q31875" s="11"/>
      <c r="R31875" s="11"/>
      <c r="S31875" s="11"/>
      <c r="T31875" s="11"/>
    </row>
    <row r="31876" spans="8:20" x14ac:dyDescent="0.35">
      <c r="H31876" s="711"/>
      <c r="I31876" s="711"/>
      <c r="J31876" s="711"/>
      <c r="K31876" s="711"/>
      <c r="L31876" s="711"/>
      <c r="Q31876" s="11"/>
      <c r="R31876" s="11"/>
      <c r="S31876" s="11"/>
      <c r="T31876" s="11"/>
    </row>
    <row r="31877" spans="8:20" x14ac:dyDescent="0.35">
      <c r="H31877" s="711"/>
      <c r="I31877" s="711"/>
      <c r="J31877" s="711"/>
      <c r="K31877" s="711"/>
      <c r="L31877" s="711"/>
      <c r="Q31877" s="11"/>
      <c r="R31877" s="11"/>
      <c r="S31877" s="11"/>
      <c r="T31877" s="11"/>
    </row>
    <row r="31878" spans="8:20" x14ac:dyDescent="0.35">
      <c r="H31878" s="711"/>
      <c r="I31878" s="711"/>
      <c r="J31878" s="711"/>
      <c r="K31878" s="711"/>
      <c r="L31878" s="711"/>
      <c r="Q31878" s="11"/>
      <c r="R31878" s="11"/>
      <c r="S31878" s="11"/>
      <c r="T31878" s="11"/>
    </row>
    <row r="31879" spans="8:20" x14ac:dyDescent="0.35">
      <c r="H31879" s="711"/>
      <c r="I31879" s="711"/>
      <c r="J31879" s="711"/>
      <c r="K31879" s="711"/>
      <c r="L31879" s="711"/>
      <c r="Q31879" s="11"/>
      <c r="R31879" s="11"/>
      <c r="S31879" s="11"/>
      <c r="T31879" s="11"/>
    </row>
    <row r="31880" spans="8:20" x14ac:dyDescent="0.35">
      <c r="H31880" s="711"/>
      <c r="I31880" s="711"/>
      <c r="J31880" s="711"/>
      <c r="K31880" s="711"/>
      <c r="L31880" s="711"/>
      <c r="Q31880" s="11"/>
      <c r="R31880" s="11"/>
      <c r="S31880" s="11"/>
      <c r="T31880" s="11"/>
    </row>
    <row r="31881" spans="8:20" x14ac:dyDescent="0.35">
      <c r="H31881" s="711"/>
      <c r="I31881" s="711"/>
      <c r="J31881" s="711"/>
      <c r="K31881" s="711"/>
      <c r="L31881" s="711"/>
      <c r="Q31881" s="11"/>
      <c r="R31881" s="11"/>
      <c r="S31881" s="11"/>
      <c r="T31881" s="11"/>
    </row>
    <row r="31882" spans="8:20" x14ac:dyDescent="0.35">
      <c r="H31882" s="711"/>
      <c r="I31882" s="711"/>
      <c r="J31882" s="711"/>
      <c r="K31882" s="711"/>
      <c r="L31882" s="711"/>
      <c r="Q31882" s="11"/>
      <c r="R31882" s="11"/>
      <c r="S31882" s="11"/>
      <c r="T31882" s="11"/>
    </row>
    <row r="31883" spans="8:20" x14ac:dyDescent="0.35">
      <c r="H31883" s="711"/>
      <c r="I31883" s="711"/>
      <c r="J31883" s="711"/>
      <c r="K31883" s="711"/>
      <c r="L31883" s="711"/>
      <c r="Q31883" s="11"/>
      <c r="R31883" s="11"/>
      <c r="S31883" s="11"/>
      <c r="T31883" s="11"/>
    </row>
    <row r="31884" spans="8:20" x14ac:dyDescent="0.35">
      <c r="H31884" s="711"/>
      <c r="I31884" s="711"/>
      <c r="J31884" s="711"/>
      <c r="K31884" s="711"/>
      <c r="L31884" s="711"/>
      <c r="Q31884" s="11"/>
      <c r="R31884" s="11"/>
      <c r="S31884" s="11"/>
      <c r="T31884" s="11"/>
    </row>
    <row r="31885" spans="8:20" x14ac:dyDescent="0.35">
      <c r="H31885" s="711"/>
      <c r="I31885" s="711"/>
      <c r="J31885" s="711"/>
      <c r="K31885" s="711"/>
      <c r="L31885" s="711"/>
      <c r="Q31885" s="11"/>
      <c r="R31885" s="11"/>
      <c r="S31885" s="11"/>
      <c r="T31885" s="11"/>
    </row>
    <row r="31886" spans="8:20" x14ac:dyDescent="0.35">
      <c r="H31886" s="711"/>
      <c r="I31886" s="711"/>
      <c r="J31886" s="711"/>
      <c r="K31886" s="711"/>
      <c r="L31886" s="711"/>
      <c r="Q31886" s="11"/>
      <c r="R31886" s="11"/>
      <c r="S31886" s="11"/>
      <c r="T31886" s="11"/>
    </row>
    <row r="31887" spans="8:20" x14ac:dyDescent="0.35">
      <c r="H31887" s="711"/>
      <c r="I31887" s="711"/>
      <c r="J31887" s="711"/>
      <c r="K31887" s="711"/>
      <c r="L31887" s="711"/>
      <c r="Q31887" s="11"/>
      <c r="R31887" s="11"/>
      <c r="S31887" s="11"/>
      <c r="T31887" s="11"/>
    </row>
    <row r="31888" spans="8:20" x14ac:dyDescent="0.35">
      <c r="H31888" s="711"/>
      <c r="I31888" s="711"/>
      <c r="J31888" s="711"/>
      <c r="K31888" s="711"/>
      <c r="L31888" s="711"/>
      <c r="Q31888" s="11"/>
      <c r="R31888" s="11"/>
      <c r="S31888" s="11"/>
      <c r="T31888" s="11"/>
    </row>
    <row r="31889" spans="8:20" x14ac:dyDescent="0.35">
      <c r="H31889" s="711"/>
      <c r="I31889" s="711"/>
      <c r="J31889" s="711"/>
      <c r="K31889" s="711"/>
      <c r="L31889" s="711"/>
      <c r="Q31889" s="11"/>
      <c r="R31889" s="11"/>
      <c r="S31889" s="11"/>
      <c r="T31889" s="11"/>
    </row>
    <row r="31890" spans="8:20" x14ac:dyDescent="0.35">
      <c r="H31890" s="711"/>
      <c r="I31890" s="711"/>
      <c r="J31890" s="711"/>
      <c r="K31890" s="711"/>
      <c r="L31890" s="711"/>
      <c r="Q31890" s="11"/>
      <c r="R31890" s="11"/>
      <c r="S31890" s="11"/>
      <c r="T31890" s="11"/>
    </row>
    <row r="31891" spans="8:20" x14ac:dyDescent="0.35">
      <c r="H31891" s="711"/>
      <c r="I31891" s="711"/>
      <c r="J31891" s="711"/>
      <c r="K31891" s="711"/>
      <c r="L31891" s="711"/>
      <c r="Q31891" s="11"/>
      <c r="R31891" s="11"/>
      <c r="S31891" s="11"/>
      <c r="T31891" s="11"/>
    </row>
    <row r="31892" spans="8:20" x14ac:dyDescent="0.35">
      <c r="H31892" s="711"/>
      <c r="I31892" s="711"/>
      <c r="J31892" s="711"/>
      <c r="K31892" s="711"/>
      <c r="L31892" s="711"/>
      <c r="Q31892" s="11"/>
      <c r="R31892" s="11"/>
      <c r="S31892" s="11"/>
      <c r="T31892" s="11"/>
    </row>
    <row r="31893" spans="8:20" x14ac:dyDescent="0.35">
      <c r="H31893" s="711"/>
      <c r="I31893" s="711"/>
      <c r="J31893" s="711"/>
      <c r="K31893" s="711"/>
      <c r="L31893" s="711"/>
      <c r="Q31893" s="11"/>
      <c r="R31893" s="11"/>
      <c r="S31893" s="11"/>
      <c r="T31893" s="11"/>
    </row>
    <row r="31894" spans="8:20" x14ac:dyDescent="0.35">
      <c r="H31894" s="711"/>
      <c r="I31894" s="711"/>
      <c r="J31894" s="711"/>
      <c r="K31894" s="711"/>
      <c r="L31894" s="711"/>
      <c r="Q31894" s="11"/>
      <c r="R31894" s="11"/>
      <c r="S31894" s="11"/>
      <c r="T31894" s="11"/>
    </row>
    <row r="31895" spans="8:20" x14ac:dyDescent="0.35">
      <c r="H31895" s="711"/>
      <c r="I31895" s="711"/>
      <c r="J31895" s="711"/>
      <c r="K31895" s="711"/>
      <c r="L31895" s="711"/>
      <c r="Q31895" s="11"/>
      <c r="R31895" s="11"/>
      <c r="S31895" s="11"/>
      <c r="T31895" s="11"/>
    </row>
    <row r="31896" spans="8:20" x14ac:dyDescent="0.35">
      <c r="H31896" s="711"/>
      <c r="I31896" s="711"/>
      <c r="J31896" s="711"/>
      <c r="K31896" s="711"/>
      <c r="L31896" s="711"/>
      <c r="Q31896" s="11"/>
      <c r="R31896" s="11"/>
      <c r="S31896" s="11"/>
      <c r="T31896" s="11"/>
    </row>
    <row r="31897" spans="8:20" x14ac:dyDescent="0.35">
      <c r="H31897" s="711"/>
      <c r="I31897" s="711"/>
      <c r="J31897" s="711"/>
      <c r="K31897" s="711"/>
      <c r="L31897" s="711"/>
      <c r="Q31897" s="11"/>
      <c r="R31897" s="11"/>
      <c r="S31897" s="11"/>
      <c r="T31897" s="11"/>
    </row>
    <row r="31898" spans="8:20" x14ac:dyDescent="0.35">
      <c r="H31898" s="711"/>
      <c r="I31898" s="711"/>
      <c r="J31898" s="711"/>
      <c r="K31898" s="711"/>
      <c r="L31898" s="711"/>
      <c r="Q31898" s="11"/>
      <c r="R31898" s="11"/>
      <c r="S31898" s="11"/>
      <c r="T31898" s="11"/>
    </row>
    <row r="31899" spans="8:20" x14ac:dyDescent="0.35">
      <c r="H31899" s="711"/>
      <c r="I31899" s="711"/>
      <c r="J31899" s="711"/>
      <c r="K31899" s="711"/>
      <c r="L31899" s="711"/>
      <c r="Q31899" s="11"/>
      <c r="R31899" s="11"/>
      <c r="S31899" s="11"/>
      <c r="T31899" s="11"/>
    </row>
    <row r="31900" spans="8:20" x14ac:dyDescent="0.35">
      <c r="H31900" s="711"/>
      <c r="I31900" s="711"/>
      <c r="J31900" s="711"/>
      <c r="K31900" s="711"/>
      <c r="L31900" s="711"/>
      <c r="Q31900" s="11"/>
      <c r="R31900" s="11"/>
      <c r="S31900" s="11"/>
      <c r="T31900" s="11"/>
    </row>
    <row r="31901" spans="8:20" x14ac:dyDescent="0.35">
      <c r="H31901" s="711"/>
      <c r="I31901" s="711"/>
      <c r="J31901" s="711"/>
      <c r="K31901" s="711"/>
      <c r="L31901" s="711"/>
      <c r="Q31901" s="11"/>
      <c r="R31901" s="11"/>
      <c r="S31901" s="11"/>
      <c r="T31901" s="11"/>
    </row>
    <row r="31902" spans="8:20" x14ac:dyDescent="0.35">
      <c r="H31902" s="711"/>
      <c r="I31902" s="711"/>
      <c r="J31902" s="711"/>
      <c r="K31902" s="711"/>
      <c r="L31902" s="711"/>
      <c r="Q31902" s="11"/>
      <c r="R31902" s="11"/>
      <c r="S31902" s="11"/>
      <c r="T31902" s="11"/>
    </row>
    <row r="31903" spans="8:20" x14ac:dyDescent="0.35">
      <c r="H31903" s="711"/>
      <c r="I31903" s="711"/>
      <c r="J31903" s="711"/>
      <c r="K31903" s="711"/>
      <c r="L31903" s="711"/>
      <c r="Q31903" s="11"/>
      <c r="R31903" s="11"/>
      <c r="S31903" s="11"/>
      <c r="T31903" s="11"/>
    </row>
    <row r="31904" spans="8:20" x14ac:dyDescent="0.35">
      <c r="H31904" s="711"/>
      <c r="I31904" s="711"/>
      <c r="J31904" s="711"/>
      <c r="K31904" s="711"/>
      <c r="L31904" s="711"/>
      <c r="Q31904" s="11"/>
      <c r="R31904" s="11"/>
      <c r="S31904" s="11"/>
      <c r="T31904" s="11"/>
    </row>
    <row r="31905" spans="8:20" x14ac:dyDescent="0.35">
      <c r="H31905" s="711"/>
      <c r="I31905" s="711"/>
      <c r="J31905" s="711"/>
      <c r="K31905" s="711"/>
      <c r="L31905" s="711"/>
      <c r="Q31905" s="11"/>
      <c r="R31905" s="11"/>
      <c r="S31905" s="11"/>
      <c r="T31905" s="11"/>
    </row>
    <row r="31906" spans="8:20" x14ac:dyDescent="0.35">
      <c r="H31906" s="711"/>
      <c r="I31906" s="711"/>
      <c r="J31906" s="711"/>
      <c r="K31906" s="711"/>
      <c r="L31906" s="711"/>
      <c r="Q31906" s="11"/>
      <c r="R31906" s="11"/>
      <c r="S31906" s="11"/>
      <c r="T31906" s="11"/>
    </row>
    <row r="31907" spans="8:20" x14ac:dyDescent="0.35">
      <c r="H31907" s="711"/>
      <c r="I31907" s="711"/>
      <c r="J31907" s="711"/>
      <c r="K31907" s="711"/>
      <c r="L31907" s="711"/>
      <c r="Q31907" s="11"/>
      <c r="R31907" s="11"/>
      <c r="S31907" s="11"/>
      <c r="T31907" s="11"/>
    </row>
    <row r="31908" spans="8:20" x14ac:dyDescent="0.35">
      <c r="H31908" s="711"/>
      <c r="I31908" s="711"/>
      <c r="J31908" s="711"/>
      <c r="K31908" s="711"/>
      <c r="L31908" s="711"/>
      <c r="Q31908" s="11"/>
      <c r="R31908" s="11"/>
      <c r="S31908" s="11"/>
      <c r="T31908" s="11"/>
    </row>
    <row r="31909" spans="8:20" x14ac:dyDescent="0.35">
      <c r="H31909" s="711"/>
      <c r="I31909" s="711"/>
      <c r="J31909" s="711"/>
      <c r="K31909" s="711"/>
      <c r="L31909" s="711"/>
      <c r="Q31909" s="11"/>
      <c r="R31909" s="11"/>
      <c r="S31909" s="11"/>
      <c r="T31909" s="11"/>
    </row>
    <row r="31910" spans="8:20" x14ac:dyDescent="0.35">
      <c r="H31910" s="711"/>
      <c r="I31910" s="711"/>
      <c r="J31910" s="711"/>
      <c r="K31910" s="711"/>
      <c r="L31910" s="711"/>
      <c r="Q31910" s="11"/>
      <c r="R31910" s="11"/>
      <c r="S31910" s="11"/>
      <c r="T31910" s="11"/>
    </row>
    <row r="31911" spans="8:20" x14ac:dyDescent="0.35">
      <c r="H31911" s="711"/>
      <c r="I31911" s="711"/>
      <c r="J31911" s="711"/>
      <c r="K31911" s="711"/>
      <c r="L31911" s="711"/>
      <c r="Q31911" s="11"/>
      <c r="R31911" s="11"/>
      <c r="S31911" s="11"/>
      <c r="T31911" s="11"/>
    </row>
    <row r="31912" spans="8:20" x14ac:dyDescent="0.35">
      <c r="H31912" s="711"/>
      <c r="I31912" s="711"/>
      <c r="J31912" s="711"/>
      <c r="K31912" s="711"/>
      <c r="L31912" s="711"/>
      <c r="Q31912" s="11"/>
      <c r="R31912" s="11"/>
      <c r="S31912" s="11"/>
      <c r="T31912" s="11"/>
    </row>
    <row r="31913" spans="8:20" x14ac:dyDescent="0.35">
      <c r="H31913" s="711"/>
      <c r="I31913" s="711"/>
      <c r="J31913" s="711"/>
      <c r="K31913" s="711"/>
      <c r="L31913" s="711"/>
      <c r="Q31913" s="11"/>
      <c r="R31913" s="11"/>
      <c r="S31913" s="11"/>
      <c r="T31913" s="11"/>
    </row>
    <row r="31914" spans="8:20" x14ac:dyDescent="0.35">
      <c r="H31914" s="711"/>
      <c r="I31914" s="711"/>
      <c r="J31914" s="711"/>
      <c r="K31914" s="711"/>
      <c r="L31914" s="711"/>
      <c r="Q31914" s="11"/>
      <c r="R31914" s="11"/>
      <c r="S31914" s="11"/>
      <c r="T31914" s="11"/>
    </row>
    <row r="31915" spans="8:20" x14ac:dyDescent="0.35">
      <c r="H31915" s="711"/>
      <c r="I31915" s="711"/>
      <c r="J31915" s="711"/>
      <c r="K31915" s="711"/>
      <c r="L31915" s="711"/>
      <c r="Q31915" s="11"/>
      <c r="R31915" s="11"/>
      <c r="S31915" s="11"/>
      <c r="T31915" s="11"/>
    </row>
    <row r="31916" spans="8:20" x14ac:dyDescent="0.35">
      <c r="H31916" s="711"/>
      <c r="I31916" s="711"/>
      <c r="J31916" s="711"/>
      <c r="K31916" s="711"/>
      <c r="L31916" s="711"/>
      <c r="Q31916" s="11"/>
      <c r="R31916" s="11"/>
      <c r="S31916" s="11"/>
      <c r="T31916" s="11"/>
    </row>
    <row r="31917" spans="8:20" x14ac:dyDescent="0.35">
      <c r="H31917" s="711"/>
      <c r="I31917" s="711"/>
      <c r="J31917" s="711"/>
      <c r="K31917" s="711"/>
      <c r="L31917" s="711"/>
      <c r="Q31917" s="11"/>
      <c r="R31917" s="11"/>
      <c r="S31917" s="11"/>
      <c r="T31917" s="11"/>
    </row>
    <row r="31918" spans="8:20" x14ac:dyDescent="0.35">
      <c r="H31918" s="711"/>
      <c r="I31918" s="711"/>
      <c r="J31918" s="711"/>
      <c r="K31918" s="711"/>
      <c r="L31918" s="711"/>
      <c r="Q31918" s="11"/>
      <c r="R31918" s="11"/>
      <c r="S31918" s="11"/>
      <c r="T31918" s="11"/>
    </row>
    <row r="31919" spans="8:20" x14ac:dyDescent="0.35">
      <c r="H31919" s="711"/>
      <c r="I31919" s="711"/>
      <c r="J31919" s="711"/>
      <c r="K31919" s="711"/>
      <c r="L31919" s="711"/>
      <c r="Q31919" s="11"/>
      <c r="R31919" s="11"/>
      <c r="S31919" s="11"/>
      <c r="T31919" s="11"/>
    </row>
    <row r="31920" spans="8:20" x14ac:dyDescent="0.35">
      <c r="H31920" s="711"/>
      <c r="I31920" s="711"/>
      <c r="J31920" s="711"/>
      <c r="K31920" s="711"/>
      <c r="L31920" s="711"/>
      <c r="Q31920" s="11"/>
      <c r="R31920" s="11"/>
      <c r="S31920" s="11"/>
      <c r="T31920" s="11"/>
    </row>
    <row r="31921" spans="8:20" x14ac:dyDescent="0.35">
      <c r="H31921" s="711"/>
      <c r="I31921" s="711"/>
      <c r="J31921" s="711"/>
      <c r="K31921" s="711"/>
      <c r="L31921" s="711"/>
      <c r="Q31921" s="11"/>
      <c r="R31921" s="11"/>
      <c r="S31921" s="11"/>
      <c r="T31921" s="11"/>
    </row>
    <row r="31922" spans="8:20" x14ac:dyDescent="0.35">
      <c r="H31922" s="711"/>
      <c r="I31922" s="711"/>
      <c r="J31922" s="711"/>
      <c r="K31922" s="711"/>
      <c r="L31922" s="711"/>
      <c r="Q31922" s="11"/>
      <c r="R31922" s="11"/>
      <c r="S31922" s="11"/>
      <c r="T31922" s="11"/>
    </row>
    <row r="31923" spans="8:20" x14ac:dyDescent="0.35">
      <c r="H31923" s="711"/>
      <c r="I31923" s="711"/>
      <c r="J31923" s="711"/>
      <c r="K31923" s="711"/>
      <c r="L31923" s="711"/>
      <c r="Q31923" s="11"/>
      <c r="R31923" s="11"/>
      <c r="S31923" s="11"/>
      <c r="T31923" s="11"/>
    </row>
    <row r="31924" spans="8:20" x14ac:dyDescent="0.35">
      <c r="H31924" s="711"/>
      <c r="I31924" s="711"/>
      <c r="J31924" s="711"/>
      <c r="K31924" s="711"/>
      <c r="L31924" s="711"/>
      <c r="Q31924" s="11"/>
      <c r="R31924" s="11"/>
      <c r="S31924" s="11"/>
      <c r="T31924" s="11"/>
    </row>
    <row r="31925" spans="8:20" x14ac:dyDescent="0.35">
      <c r="H31925" s="711"/>
      <c r="I31925" s="711"/>
      <c r="J31925" s="711"/>
      <c r="K31925" s="711"/>
      <c r="L31925" s="711"/>
      <c r="Q31925" s="11"/>
      <c r="R31925" s="11"/>
      <c r="S31925" s="11"/>
      <c r="T31925" s="11"/>
    </row>
    <row r="31926" spans="8:20" x14ac:dyDescent="0.35">
      <c r="H31926" s="711"/>
      <c r="I31926" s="711"/>
      <c r="J31926" s="711"/>
      <c r="K31926" s="711"/>
      <c r="L31926" s="711"/>
      <c r="Q31926" s="11"/>
      <c r="R31926" s="11"/>
      <c r="S31926" s="11"/>
      <c r="T31926" s="11"/>
    </row>
    <row r="31927" spans="8:20" x14ac:dyDescent="0.35">
      <c r="H31927" s="711"/>
      <c r="I31927" s="711"/>
      <c r="J31927" s="711"/>
      <c r="K31927" s="711"/>
      <c r="L31927" s="711"/>
      <c r="Q31927" s="11"/>
      <c r="R31927" s="11"/>
      <c r="S31927" s="11"/>
      <c r="T31927" s="11"/>
    </row>
    <row r="31928" spans="8:20" x14ac:dyDescent="0.35">
      <c r="H31928" s="711"/>
      <c r="I31928" s="711"/>
      <c r="J31928" s="711"/>
      <c r="K31928" s="711"/>
      <c r="L31928" s="711"/>
      <c r="Q31928" s="11"/>
      <c r="R31928" s="11"/>
      <c r="S31928" s="11"/>
      <c r="T31928" s="11"/>
    </row>
    <row r="31929" spans="8:20" x14ac:dyDescent="0.35">
      <c r="H31929" s="711"/>
      <c r="I31929" s="711"/>
      <c r="J31929" s="711"/>
      <c r="K31929" s="711"/>
      <c r="L31929" s="711"/>
      <c r="Q31929" s="11"/>
      <c r="R31929" s="11"/>
      <c r="S31929" s="11"/>
      <c r="T31929" s="11"/>
    </row>
    <row r="31930" spans="8:20" x14ac:dyDescent="0.35">
      <c r="H31930" s="711"/>
      <c r="I31930" s="711"/>
      <c r="J31930" s="711"/>
      <c r="K31930" s="711"/>
      <c r="L31930" s="711"/>
      <c r="Q31930" s="11"/>
      <c r="R31930" s="11"/>
      <c r="S31930" s="11"/>
      <c r="T31930" s="11"/>
    </row>
    <row r="31931" spans="8:20" x14ac:dyDescent="0.35">
      <c r="H31931" s="711"/>
      <c r="I31931" s="711"/>
      <c r="J31931" s="711"/>
      <c r="K31931" s="711"/>
      <c r="L31931" s="711"/>
      <c r="Q31931" s="11"/>
      <c r="R31931" s="11"/>
      <c r="S31931" s="11"/>
      <c r="T31931" s="11"/>
    </row>
    <row r="31932" spans="8:20" x14ac:dyDescent="0.35">
      <c r="H31932" s="711"/>
      <c r="I31932" s="711"/>
      <c r="J31932" s="711"/>
      <c r="K31932" s="711"/>
      <c r="L31932" s="711"/>
      <c r="Q31932" s="11"/>
      <c r="R31932" s="11"/>
      <c r="S31932" s="11"/>
      <c r="T31932" s="11"/>
    </row>
    <row r="31933" spans="8:20" x14ac:dyDescent="0.35">
      <c r="H31933" s="711"/>
      <c r="I31933" s="711"/>
      <c r="J31933" s="711"/>
      <c r="K31933" s="711"/>
      <c r="L31933" s="711"/>
      <c r="Q31933" s="11"/>
      <c r="R31933" s="11"/>
      <c r="S31933" s="11"/>
      <c r="T31933" s="11"/>
    </row>
    <row r="31934" spans="8:20" x14ac:dyDescent="0.35">
      <c r="H31934" s="711"/>
      <c r="I31934" s="711"/>
      <c r="J31934" s="711"/>
      <c r="K31934" s="711"/>
      <c r="L31934" s="711"/>
      <c r="Q31934" s="11"/>
      <c r="R31934" s="11"/>
      <c r="S31934" s="11"/>
      <c r="T31934" s="11"/>
    </row>
    <row r="31935" spans="8:20" x14ac:dyDescent="0.35">
      <c r="H31935" s="711"/>
      <c r="I31935" s="711"/>
      <c r="J31935" s="711"/>
      <c r="K31935" s="711"/>
      <c r="L31935" s="711"/>
      <c r="Q31935" s="11"/>
      <c r="R31935" s="11"/>
      <c r="S31935" s="11"/>
      <c r="T31935" s="11"/>
    </row>
    <row r="31936" spans="8:20" x14ac:dyDescent="0.35">
      <c r="H31936" s="711"/>
      <c r="I31936" s="711"/>
      <c r="J31936" s="711"/>
      <c r="K31936" s="711"/>
      <c r="L31936" s="711"/>
      <c r="Q31936" s="11"/>
      <c r="R31936" s="11"/>
      <c r="S31936" s="11"/>
      <c r="T31936" s="11"/>
    </row>
    <row r="31937" spans="8:20" x14ac:dyDescent="0.35">
      <c r="H31937" s="711"/>
      <c r="I31937" s="711"/>
      <c r="J31937" s="711"/>
      <c r="K31937" s="711"/>
      <c r="L31937" s="711"/>
      <c r="Q31937" s="11"/>
      <c r="R31937" s="11"/>
      <c r="S31937" s="11"/>
      <c r="T31937" s="11"/>
    </row>
    <row r="31938" spans="8:20" x14ac:dyDescent="0.35">
      <c r="H31938" s="711"/>
      <c r="I31938" s="711"/>
      <c r="J31938" s="711"/>
      <c r="K31938" s="711"/>
      <c r="L31938" s="711"/>
      <c r="Q31938" s="11"/>
      <c r="R31938" s="11"/>
      <c r="S31938" s="11"/>
      <c r="T31938" s="11"/>
    </row>
    <row r="31939" spans="8:20" x14ac:dyDescent="0.35">
      <c r="H31939" s="711"/>
      <c r="I31939" s="711"/>
      <c r="J31939" s="711"/>
      <c r="K31939" s="711"/>
      <c r="L31939" s="711"/>
      <c r="Q31939" s="11"/>
      <c r="R31939" s="11"/>
      <c r="S31939" s="11"/>
      <c r="T31939" s="11"/>
    </row>
    <row r="31940" spans="8:20" x14ac:dyDescent="0.35">
      <c r="H31940" s="711"/>
      <c r="I31940" s="711"/>
      <c r="J31940" s="711"/>
      <c r="K31940" s="711"/>
      <c r="L31940" s="711"/>
      <c r="Q31940" s="11"/>
      <c r="R31940" s="11"/>
      <c r="S31940" s="11"/>
      <c r="T31940" s="11"/>
    </row>
    <row r="31941" spans="8:20" x14ac:dyDescent="0.35">
      <c r="H31941" s="711"/>
      <c r="I31941" s="711"/>
      <c r="J31941" s="711"/>
      <c r="K31941" s="711"/>
      <c r="L31941" s="711"/>
      <c r="Q31941" s="11"/>
      <c r="R31941" s="11"/>
      <c r="S31941" s="11"/>
      <c r="T31941" s="11"/>
    </row>
    <row r="31942" spans="8:20" x14ac:dyDescent="0.35">
      <c r="H31942" s="711"/>
      <c r="I31942" s="711"/>
      <c r="J31942" s="711"/>
      <c r="K31942" s="711"/>
      <c r="L31942" s="711"/>
      <c r="Q31942" s="11"/>
      <c r="R31942" s="11"/>
      <c r="S31942" s="11"/>
      <c r="T31942" s="11"/>
    </row>
    <row r="31943" spans="8:20" x14ac:dyDescent="0.35">
      <c r="H31943" s="711"/>
      <c r="I31943" s="711"/>
      <c r="J31943" s="711"/>
      <c r="K31943" s="711"/>
      <c r="L31943" s="711"/>
      <c r="Q31943" s="11"/>
      <c r="R31943" s="11"/>
      <c r="S31943" s="11"/>
      <c r="T31943" s="11"/>
    </row>
    <row r="31944" spans="8:20" x14ac:dyDescent="0.35">
      <c r="H31944" s="711"/>
      <c r="I31944" s="711"/>
      <c r="J31944" s="711"/>
      <c r="K31944" s="711"/>
      <c r="L31944" s="711"/>
      <c r="Q31944" s="11"/>
      <c r="R31944" s="11"/>
      <c r="S31944" s="11"/>
      <c r="T31944" s="11"/>
    </row>
    <row r="31945" spans="8:20" x14ac:dyDescent="0.35">
      <c r="H31945" s="711"/>
      <c r="I31945" s="711"/>
      <c r="J31945" s="711"/>
      <c r="K31945" s="711"/>
      <c r="L31945" s="711"/>
      <c r="Q31945" s="11"/>
      <c r="R31945" s="11"/>
      <c r="S31945" s="11"/>
      <c r="T31945" s="11"/>
    </row>
    <row r="31946" spans="8:20" x14ac:dyDescent="0.35">
      <c r="H31946" s="711"/>
      <c r="I31946" s="711"/>
      <c r="J31946" s="711"/>
      <c r="K31946" s="711"/>
      <c r="L31946" s="711"/>
      <c r="Q31946" s="11"/>
      <c r="R31946" s="11"/>
      <c r="S31946" s="11"/>
      <c r="T31946" s="11"/>
    </row>
    <row r="31947" spans="8:20" x14ac:dyDescent="0.35">
      <c r="H31947" s="711"/>
      <c r="I31947" s="711"/>
      <c r="J31947" s="711"/>
      <c r="K31947" s="711"/>
      <c r="L31947" s="711"/>
      <c r="Q31947" s="11"/>
      <c r="R31947" s="11"/>
      <c r="S31947" s="11"/>
      <c r="T31947" s="11"/>
    </row>
    <row r="31948" spans="8:20" x14ac:dyDescent="0.35">
      <c r="H31948" s="711"/>
      <c r="I31948" s="711"/>
      <c r="J31948" s="711"/>
      <c r="K31948" s="711"/>
      <c r="L31948" s="711"/>
      <c r="Q31948" s="11"/>
      <c r="R31948" s="11"/>
      <c r="S31948" s="11"/>
      <c r="T31948" s="11"/>
    </row>
    <row r="31949" spans="8:20" x14ac:dyDescent="0.35">
      <c r="H31949" s="711"/>
      <c r="I31949" s="711"/>
      <c r="J31949" s="711"/>
      <c r="K31949" s="711"/>
      <c r="L31949" s="711"/>
      <c r="Q31949" s="11"/>
      <c r="R31949" s="11"/>
      <c r="S31949" s="11"/>
      <c r="T31949" s="11"/>
    </row>
    <row r="31950" spans="8:20" x14ac:dyDescent="0.35">
      <c r="H31950" s="711"/>
      <c r="I31950" s="711"/>
      <c r="J31950" s="711"/>
      <c r="K31950" s="711"/>
      <c r="L31950" s="711"/>
      <c r="Q31950" s="11"/>
      <c r="R31950" s="11"/>
      <c r="S31950" s="11"/>
      <c r="T31950" s="11"/>
    </row>
    <row r="31951" spans="8:20" x14ac:dyDescent="0.35">
      <c r="H31951" s="711"/>
      <c r="I31951" s="711"/>
      <c r="J31951" s="711"/>
      <c r="K31951" s="711"/>
      <c r="L31951" s="711"/>
      <c r="Q31951" s="11"/>
      <c r="R31951" s="11"/>
      <c r="S31951" s="11"/>
      <c r="T31951" s="11"/>
    </row>
    <row r="31952" spans="8:20" x14ac:dyDescent="0.35">
      <c r="H31952" s="711"/>
      <c r="I31952" s="711"/>
      <c r="J31952" s="711"/>
      <c r="K31952" s="711"/>
      <c r="L31952" s="711"/>
      <c r="Q31952" s="11"/>
      <c r="R31952" s="11"/>
      <c r="S31952" s="11"/>
      <c r="T31952" s="11"/>
    </row>
    <row r="31953" spans="8:20" x14ac:dyDescent="0.35">
      <c r="H31953" s="711"/>
      <c r="I31953" s="711"/>
      <c r="J31953" s="711"/>
      <c r="K31953" s="711"/>
      <c r="L31953" s="711"/>
      <c r="Q31953" s="11"/>
      <c r="R31953" s="11"/>
      <c r="S31953" s="11"/>
      <c r="T31953" s="11"/>
    </row>
    <row r="31954" spans="8:20" x14ac:dyDescent="0.35">
      <c r="H31954" s="711"/>
      <c r="I31954" s="711"/>
      <c r="J31954" s="711"/>
      <c r="K31954" s="711"/>
      <c r="L31954" s="711"/>
      <c r="Q31954" s="11"/>
      <c r="R31954" s="11"/>
      <c r="S31954" s="11"/>
      <c r="T31954" s="11"/>
    </row>
    <row r="31955" spans="8:20" x14ac:dyDescent="0.35">
      <c r="H31955" s="711"/>
      <c r="I31955" s="711"/>
      <c r="J31955" s="711"/>
      <c r="K31955" s="711"/>
      <c r="L31955" s="711"/>
      <c r="Q31955" s="11"/>
      <c r="R31955" s="11"/>
      <c r="S31955" s="11"/>
      <c r="T31955" s="11"/>
    </row>
    <row r="31956" spans="8:20" x14ac:dyDescent="0.35">
      <c r="H31956" s="711"/>
      <c r="I31956" s="711"/>
      <c r="J31956" s="711"/>
      <c r="K31956" s="711"/>
      <c r="L31956" s="711"/>
      <c r="Q31956" s="11"/>
      <c r="R31956" s="11"/>
      <c r="S31956" s="11"/>
      <c r="T31956" s="11"/>
    </row>
    <row r="31957" spans="8:20" x14ac:dyDescent="0.35">
      <c r="H31957" s="711"/>
      <c r="I31957" s="711"/>
      <c r="J31957" s="711"/>
      <c r="K31957" s="711"/>
      <c r="L31957" s="711"/>
      <c r="Q31957" s="11"/>
      <c r="R31957" s="11"/>
      <c r="S31957" s="11"/>
      <c r="T31957" s="11"/>
    </row>
    <row r="31958" spans="8:20" x14ac:dyDescent="0.35">
      <c r="H31958" s="711"/>
      <c r="I31958" s="711"/>
      <c r="J31958" s="711"/>
      <c r="K31958" s="711"/>
      <c r="L31958" s="711"/>
      <c r="Q31958" s="11"/>
      <c r="R31958" s="11"/>
      <c r="S31958" s="11"/>
      <c r="T31958" s="11"/>
    </row>
    <row r="31959" spans="8:20" x14ac:dyDescent="0.35">
      <c r="H31959" s="711"/>
      <c r="I31959" s="711"/>
      <c r="J31959" s="711"/>
      <c r="K31959" s="711"/>
      <c r="L31959" s="711"/>
      <c r="Q31959" s="11"/>
      <c r="R31959" s="11"/>
      <c r="S31959" s="11"/>
      <c r="T31959" s="11"/>
    </row>
    <row r="31960" spans="8:20" x14ac:dyDescent="0.35">
      <c r="H31960" s="711"/>
      <c r="I31960" s="711"/>
      <c r="J31960" s="711"/>
      <c r="K31960" s="711"/>
      <c r="L31960" s="711"/>
      <c r="Q31960" s="11"/>
      <c r="R31960" s="11"/>
      <c r="S31960" s="11"/>
      <c r="T31960" s="11"/>
    </row>
    <row r="31961" spans="8:20" x14ac:dyDescent="0.35">
      <c r="H31961" s="711"/>
      <c r="I31961" s="711"/>
      <c r="J31961" s="711"/>
      <c r="K31961" s="711"/>
      <c r="L31961" s="711"/>
      <c r="Q31961" s="11"/>
      <c r="R31961" s="11"/>
      <c r="S31961" s="11"/>
      <c r="T31961" s="11"/>
    </row>
    <row r="31962" spans="8:20" x14ac:dyDescent="0.35">
      <c r="H31962" s="711"/>
      <c r="I31962" s="711"/>
      <c r="J31962" s="711"/>
      <c r="K31962" s="711"/>
      <c r="L31962" s="711"/>
      <c r="Q31962" s="11"/>
      <c r="R31962" s="11"/>
      <c r="S31962" s="11"/>
      <c r="T31962" s="11"/>
    </row>
    <row r="31963" spans="8:20" x14ac:dyDescent="0.35">
      <c r="H31963" s="711"/>
      <c r="I31963" s="711"/>
      <c r="J31963" s="711"/>
      <c r="K31963" s="711"/>
      <c r="L31963" s="711"/>
      <c r="Q31963" s="11"/>
      <c r="R31963" s="11"/>
      <c r="S31963" s="11"/>
      <c r="T31963" s="11"/>
    </row>
    <row r="31964" spans="8:20" x14ac:dyDescent="0.35">
      <c r="H31964" s="711"/>
      <c r="I31964" s="711"/>
      <c r="J31964" s="711"/>
      <c r="K31964" s="711"/>
      <c r="L31964" s="711"/>
      <c r="Q31964" s="11"/>
      <c r="R31964" s="11"/>
      <c r="S31964" s="11"/>
      <c r="T31964" s="11"/>
    </row>
    <row r="31965" spans="8:20" x14ac:dyDescent="0.35">
      <c r="H31965" s="711"/>
      <c r="I31965" s="711"/>
      <c r="J31965" s="711"/>
      <c r="K31965" s="711"/>
      <c r="L31965" s="711"/>
      <c r="Q31965" s="11"/>
      <c r="R31965" s="11"/>
      <c r="S31965" s="11"/>
      <c r="T31965" s="11"/>
    </row>
    <row r="31966" spans="8:20" x14ac:dyDescent="0.35">
      <c r="H31966" s="711"/>
      <c r="I31966" s="711"/>
      <c r="J31966" s="711"/>
      <c r="K31966" s="711"/>
      <c r="L31966" s="711"/>
      <c r="Q31966" s="11"/>
      <c r="R31966" s="11"/>
      <c r="S31966" s="11"/>
      <c r="T31966" s="11"/>
    </row>
    <row r="31967" spans="8:20" x14ac:dyDescent="0.35">
      <c r="H31967" s="711"/>
      <c r="I31967" s="711"/>
      <c r="J31967" s="711"/>
      <c r="K31967" s="711"/>
      <c r="L31967" s="711"/>
      <c r="Q31967" s="11"/>
      <c r="R31967" s="11"/>
      <c r="S31967" s="11"/>
      <c r="T31967" s="11"/>
    </row>
    <row r="31968" spans="8:20" x14ac:dyDescent="0.35">
      <c r="H31968" s="711"/>
      <c r="I31968" s="711"/>
      <c r="J31968" s="711"/>
      <c r="K31968" s="711"/>
      <c r="L31968" s="711"/>
      <c r="Q31968" s="11"/>
      <c r="R31968" s="11"/>
      <c r="S31968" s="11"/>
      <c r="T31968" s="11"/>
    </row>
    <row r="31969" spans="8:20" x14ac:dyDescent="0.35">
      <c r="H31969" s="711"/>
      <c r="I31969" s="711"/>
      <c r="J31969" s="711"/>
      <c r="K31969" s="711"/>
      <c r="L31969" s="711"/>
      <c r="Q31969" s="11"/>
      <c r="R31969" s="11"/>
      <c r="S31969" s="11"/>
      <c r="T31969" s="11"/>
    </row>
    <row r="31970" spans="8:20" x14ac:dyDescent="0.35">
      <c r="H31970" s="711"/>
      <c r="I31970" s="711"/>
      <c r="J31970" s="711"/>
      <c r="K31970" s="711"/>
      <c r="L31970" s="711"/>
      <c r="Q31970" s="11"/>
      <c r="R31970" s="11"/>
      <c r="S31970" s="11"/>
      <c r="T31970" s="11"/>
    </row>
    <row r="31971" spans="8:20" x14ac:dyDescent="0.35">
      <c r="H31971" s="711"/>
      <c r="I31971" s="711"/>
      <c r="J31971" s="711"/>
      <c r="K31971" s="711"/>
      <c r="L31971" s="711"/>
      <c r="Q31971" s="11"/>
      <c r="R31971" s="11"/>
      <c r="S31971" s="11"/>
      <c r="T31971" s="11"/>
    </row>
    <row r="31972" spans="8:20" x14ac:dyDescent="0.35">
      <c r="H31972" s="711"/>
      <c r="I31972" s="711"/>
      <c r="J31972" s="711"/>
      <c r="K31972" s="711"/>
      <c r="L31972" s="711"/>
      <c r="Q31972" s="11"/>
      <c r="R31972" s="11"/>
      <c r="S31972" s="11"/>
      <c r="T31972" s="11"/>
    </row>
    <row r="31973" spans="8:20" x14ac:dyDescent="0.35">
      <c r="H31973" s="711"/>
      <c r="I31973" s="711"/>
      <c r="J31973" s="711"/>
      <c r="K31973" s="711"/>
      <c r="L31973" s="711"/>
      <c r="Q31973" s="11"/>
      <c r="R31973" s="11"/>
      <c r="S31973" s="11"/>
      <c r="T31973" s="11"/>
    </row>
    <row r="31974" spans="8:20" x14ac:dyDescent="0.35">
      <c r="H31974" s="711"/>
      <c r="I31974" s="711"/>
      <c r="J31974" s="711"/>
      <c r="K31974" s="711"/>
      <c r="L31974" s="711"/>
      <c r="Q31974" s="11"/>
      <c r="R31974" s="11"/>
      <c r="S31974" s="11"/>
      <c r="T31974" s="11"/>
    </row>
    <row r="31975" spans="8:20" x14ac:dyDescent="0.35">
      <c r="H31975" s="711"/>
      <c r="I31975" s="711"/>
      <c r="J31975" s="711"/>
      <c r="K31975" s="711"/>
      <c r="L31975" s="711"/>
      <c r="Q31975" s="11"/>
      <c r="R31975" s="11"/>
      <c r="S31975" s="11"/>
      <c r="T31975" s="11"/>
    </row>
    <row r="31976" spans="8:20" x14ac:dyDescent="0.35">
      <c r="H31976" s="711"/>
      <c r="I31976" s="711"/>
      <c r="J31976" s="711"/>
      <c r="K31976" s="711"/>
      <c r="L31976" s="711"/>
      <c r="Q31976" s="11"/>
      <c r="R31976" s="11"/>
      <c r="S31976" s="11"/>
      <c r="T31976" s="11"/>
    </row>
    <row r="31977" spans="8:20" x14ac:dyDescent="0.35">
      <c r="H31977" s="711"/>
      <c r="I31977" s="711"/>
      <c r="J31977" s="711"/>
      <c r="K31977" s="711"/>
      <c r="L31977" s="711"/>
      <c r="Q31977" s="11"/>
      <c r="R31977" s="11"/>
      <c r="S31977" s="11"/>
      <c r="T31977" s="11"/>
    </row>
    <row r="31978" spans="8:20" x14ac:dyDescent="0.35">
      <c r="H31978" s="711"/>
      <c r="I31978" s="711"/>
      <c r="J31978" s="711"/>
      <c r="K31978" s="711"/>
      <c r="L31978" s="711"/>
      <c r="Q31978" s="11"/>
      <c r="R31978" s="11"/>
      <c r="S31978" s="11"/>
      <c r="T31978" s="11"/>
    </row>
    <row r="31979" spans="8:20" x14ac:dyDescent="0.35">
      <c r="H31979" s="711"/>
      <c r="I31979" s="711"/>
      <c r="J31979" s="711"/>
      <c r="K31979" s="711"/>
      <c r="L31979" s="711"/>
      <c r="Q31979" s="11"/>
      <c r="R31979" s="11"/>
      <c r="S31979" s="11"/>
      <c r="T31979" s="11"/>
    </row>
    <row r="31980" spans="8:20" x14ac:dyDescent="0.35">
      <c r="H31980" s="711"/>
      <c r="I31980" s="711"/>
      <c r="J31980" s="711"/>
      <c r="K31980" s="711"/>
      <c r="L31980" s="711"/>
      <c r="Q31980" s="11"/>
      <c r="R31980" s="11"/>
      <c r="S31980" s="11"/>
      <c r="T31980" s="11"/>
    </row>
    <row r="31981" spans="8:20" x14ac:dyDescent="0.35">
      <c r="H31981" s="711"/>
      <c r="I31981" s="711"/>
      <c r="J31981" s="711"/>
      <c r="K31981" s="711"/>
      <c r="L31981" s="711"/>
      <c r="Q31981" s="11"/>
      <c r="R31981" s="11"/>
      <c r="S31981" s="11"/>
      <c r="T31981" s="11"/>
    </row>
    <row r="31982" spans="8:20" x14ac:dyDescent="0.35">
      <c r="H31982" s="711"/>
      <c r="I31982" s="711"/>
      <c r="J31982" s="711"/>
      <c r="K31982" s="711"/>
      <c r="L31982" s="711"/>
      <c r="Q31982" s="11"/>
      <c r="R31982" s="11"/>
      <c r="S31982" s="11"/>
      <c r="T31982" s="11"/>
    </row>
    <row r="31983" spans="8:20" x14ac:dyDescent="0.35">
      <c r="H31983" s="711"/>
      <c r="I31983" s="711"/>
      <c r="J31983" s="711"/>
      <c r="K31983" s="711"/>
      <c r="L31983" s="711"/>
      <c r="Q31983" s="11"/>
      <c r="R31983" s="11"/>
      <c r="S31983" s="11"/>
      <c r="T31983" s="11"/>
    </row>
    <row r="31984" spans="8:20" x14ac:dyDescent="0.35">
      <c r="H31984" s="711"/>
      <c r="I31984" s="711"/>
      <c r="J31984" s="711"/>
      <c r="K31984" s="711"/>
      <c r="L31984" s="711"/>
      <c r="Q31984" s="11"/>
      <c r="R31984" s="11"/>
      <c r="S31984" s="11"/>
      <c r="T31984" s="11"/>
    </row>
    <row r="31985" spans="8:20" x14ac:dyDescent="0.35">
      <c r="H31985" s="711"/>
      <c r="I31985" s="711"/>
      <c r="J31985" s="711"/>
      <c r="K31985" s="711"/>
      <c r="L31985" s="711"/>
      <c r="Q31985" s="11"/>
      <c r="R31985" s="11"/>
      <c r="S31985" s="11"/>
      <c r="T31985" s="11"/>
    </row>
    <row r="31986" spans="8:20" x14ac:dyDescent="0.35">
      <c r="H31986" s="711"/>
      <c r="I31986" s="711"/>
      <c r="J31986" s="711"/>
      <c r="K31986" s="711"/>
      <c r="L31986" s="711"/>
      <c r="Q31986" s="11"/>
      <c r="R31986" s="11"/>
      <c r="S31986" s="11"/>
      <c r="T31986" s="11"/>
    </row>
    <row r="31987" spans="8:20" x14ac:dyDescent="0.35">
      <c r="H31987" s="711"/>
      <c r="I31987" s="711"/>
      <c r="J31987" s="711"/>
      <c r="K31987" s="711"/>
      <c r="L31987" s="711"/>
      <c r="Q31987" s="11"/>
      <c r="R31987" s="11"/>
      <c r="S31987" s="11"/>
      <c r="T31987" s="11"/>
    </row>
    <row r="31988" spans="8:20" x14ac:dyDescent="0.35">
      <c r="H31988" s="711"/>
      <c r="I31988" s="711"/>
      <c r="J31988" s="711"/>
      <c r="K31988" s="711"/>
      <c r="L31988" s="711"/>
      <c r="Q31988" s="11"/>
      <c r="R31988" s="11"/>
      <c r="S31988" s="11"/>
      <c r="T31988" s="11"/>
    </row>
    <row r="31989" spans="8:20" x14ac:dyDescent="0.35">
      <c r="H31989" s="711"/>
      <c r="I31989" s="711"/>
      <c r="J31989" s="711"/>
      <c r="K31989" s="711"/>
      <c r="L31989" s="711"/>
      <c r="Q31989" s="11"/>
      <c r="R31989" s="11"/>
      <c r="S31989" s="11"/>
      <c r="T31989" s="11"/>
    </row>
    <row r="31990" spans="8:20" x14ac:dyDescent="0.35">
      <c r="H31990" s="711"/>
      <c r="I31990" s="711"/>
      <c r="J31990" s="711"/>
      <c r="K31990" s="711"/>
      <c r="L31990" s="711"/>
      <c r="Q31990" s="11"/>
      <c r="R31990" s="11"/>
      <c r="S31990" s="11"/>
      <c r="T31990" s="11"/>
    </row>
    <row r="31991" spans="8:20" x14ac:dyDescent="0.35">
      <c r="H31991" s="711"/>
      <c r="I31991" s="711"/>
      <c r="J31991" s="711"/>
      <c r="K31991" s="711"/>
      <c r="L31991" s="711"/>
      <c r="Q31991" s="11"/>
      <c r="R31991" s="11"/>
      <c r="S31991" s="11"/>
      <c r="T31991" s="11"/>
    </row>
    <row r="31992" spans="8:20" x14ac:dyDescent="0.35">
      <c r="H31992" s="711"/>
      <c r="I31992" s="711"/>
      <c r="J31992" s="711"/>
      <c r="K31992" s="711"/>
      <c r="L31992" s="711"/>
      <c r="Q31992" s="11"/>
      <c r="R31992" s="11"/>
      <c r="S31992" s="11"/>
      <c r="T31992" s="11"/>
    </row>
    <row r="31993" spans="8:20" x14ac:dyDescent="0.35">
      <c r="H31993" s="711"/>
      <c r="I31993" s="711"/>
      <c r="J31993" s="711"/>
      <c r="K31993" s="711"/>
      <c r="L31993" s="711"/>
      <c r="Q31993" s="11"/>
      <c r="R31993" s="11"/>
      <c r="S31993" s="11"/>
      <c r="T31993" s="11"/>
    </row>
    <row r="31994" spans="8:20" x14ac:dyDescent="0.35">
      <c r="H31994" s="711"/>
      <c r="I31994" s="711"/>
      <c r="J31994" s="711"/>
      <c r="K31994" s="711"/>
      <c r="L31994" s="711"/>
      <c r="Q31994" s="11"/>
      <c r="R31994" s="11"/>
      <c r="S31994" s="11"/>
      <c r="T31994" s="11"/>
    </row>
    <row r="31995" spans="8:20" x14ac:dyDescent="0.35">
      <c r="H31995" s="711"/>
      <c r="I31995" s="711"/>
      <c r="J31995" s="711"/>
      <c r="K31995" s="711"/>
      <c r="L31995" s="711"/>
      <c r="Q31995" s="11"/>
      <c r="R31995" s="11"/>
      <c r="S31995" s="11"/>
      <c r="T31995" s="11"/>
    </row>
    <row r="31996" spans="8:20" x14ac:dyDescent="0.35">
      <c r="H31996" s="711"/>
      <c r="I31996" s="711"/>
      <c r="J31996" s="711"/>
      <c r="K31996" s="711"/>
      <c r="L31996" s="711"/>
      <c r="Q31996" s="11"/>
      <c r="R31996" s="11"/>
      <c r="S31996" s="11"/>
      <c r="T31996" s="11"/>
    </row>
    <row r="31997" spans="8:20" x14ac:dyDescent="0.35">
      <c r="H31997" s="711"/>
      <c r="I31997" s="711"/>
      <c r="J31997" s="711"/>
      <c r="K31997" s="711"/>
      <c r="L31997" s="711"/>
      <c r="Q31997" s="11"/>
      <c r="R31997" s="11"/>
      <c r="S31997" s="11"/>
      <c r="T31997" s="11"/>
    </row>
    <row r="31998" spans="8:20" x14ac:dyDescent="0.35">
      <c r="H31998" s="711"/>
      <c r="I31998" s="711"/>
      <c r="J31998" s="711"/>
      <c r="K31998" s="711"/>
      <c r="L31998" s="711"/>
      <c r="Q31998" s="11"/>
      <c r="R31998" s="11"/>
      <c r="S31998" s="11"/>
      <c r="T31998" s="11"/>
    </row>
    <row r="31999" spans="8:20" x14ac:dyDescent="0.35">
      <c r="H31999" s="711"/>
      <c r="I31999" s="711"/>
      <c r="J31999" s="711"/>
      <c r="K31999" s="711"/>
      <c r="L31999" s="711"/>
      <c r="Q31999" s="11"/>
      <c r="R31999" s="11"/>
      <c r="S31999" s="11"/>
      <c r="T31999" s="11"/>
    </row>
    <row r="32000" spans="8:20" x14ac:dyDescent="0.35">
      <c r="H32000" s="711"/>
      <c r="I32000" s="711"/>
      <c r="J32000" s="711"/>
      <c r="K32000" s="711"/>
      <c r="L32000" s="711"/>
      <c r="Q32000" s="11"/>
      <c r="R32000" s="11"/>
      <c r="S32000" s="11"/>
      <c r="T32000" s="11"/>
    </row>
    <row r="32001" spans="8:20" x14ac:dyDescent="0.35">
      <c r="H32001" s="711"/>
      <c r="I32001" s="711"/>
      <c r="J32001" s="711"/>
      <c r="K32001" s="711"/>
      <c r="L32001" s="711"/>
      <c r="Q32001" s="11"/>
      <c r="R32001" s="11"/>
      <c r="S32001" s="11"/>
      <c r="T32001" s="11"/>
    </row>
    <row r="32002" spans="8:20" x14ac:dyDescent="0.35">
      <c r="H32002" s="711"/>
      <c r="I32002" s="711"/>
      <c r="J32002" s="711"/>
      <c r="K32002" s="711"/>
      <c r="L32002" s="711"/>
      <c r="Q32002" s="11"/>
      <c r="R32002" s="11"/>
      <c r="S32002" s="11"/>
      <c r="T32002" s="11"/>
    </row>
    <row r="32003" spans="8:20" x14ac:dyDescent="0.35">
      <c r="H32003" s="711"/>
      <c r="I32003" s="711"/>
      <c r="J32003" s="711"/>
      <c r="K32003" s="711"/>
      <c r="L32003" s="711"/>
      <c r="Q32003" s="11"/>
      <c r="R32003" s="11"/>
      <c r="S32003" s="11"/>
      <c r="T32003" s="11"/>
    </row>
    <row r="32004" spans="8:20" x14ac:dyDescent="0.35">
      <c r="H32004" s="711"/>
      <c r="I32004" s="711"/>
      <c r="J32004" s="711"/>
      <c r="K32004" s="711"/>
      <c r="L32004" s="711"/>
      <c r="Q32004" s="11"/>
      <c r="R32004" s="11"/>
      <c r="S32004" s="11"/>
      <c r="T32004" s="11"/>
    </row>
    <row r="32005" spans="8:20" x14ac:dyDescent="0.35">
      <c r="H32005" s="711"/>
      <c r="I32005" s="711"/>
      <c r="J32005" s="711"/>
      <c r="K32005" s="711"/>
      <c r="L32005" s="711"/>
      <c r="Q32005" s="11"/>
      <c r="R32005" s="11"/>
      <c r="S32005" s="11"/>
      <c r="T32005" s="11"/>
    </row>
    <row r="32006" spans="8:20" x14ac:dyDescent="0.35">
      <c r="H32006" s="711"/>
      <c r="I32006" s="711"/>
      <c r="J32006" s="711"/>
      <c r="K32006" s="711"/>
      <c r="L32006" s="711"/>
      <c r="Q32006" s="11"/>
      <c r="R32006" s="11"/>
      <c r="S32006" s="11"/>
      <c r="T32006" s="11"/>
    </row>
    <row r="32007" spans="8:20" x14ac:dyDescent="0.35">
      <c r="H32007" s="711"/>
      <c r="I32007" s="711"/>
      <c r="J32007" s="711"/>
      <c r="K32007" s="711"/>
      <c r="L32007" s="711"/>
      <c r="Q32007" s="11"/>
      <c r="R32007" s="11"/>
      <c r="S32007" s="11"/>
      <c r="T32007" s="11"/>
    </row>
    <row r="32008" spans="8:20" x14ac:dyDescent="0.35">
      <c r="H32008" s="711"/>
      <c r="I32008" s="711"/>
      <c r="J32008" s="711"/>
      <c r="K32008" s="711"/>
      <c r="L32008" s="711"/>
      <c r="Q32008" s="11"/>
      <c r="R32008" s="11"/>
      <c r="S32008" s="11"/>
      <c r="T32008" s="11"/>
    </row>
    <row r="32009" spans="8:20" x14ac:dyDescent="0.35">
      <c r="H32009" s="711"/>
      <c r="I32009" s="711"/>
      <c r="J32009" s="711"/>
      <c r="K32009" s="711"/>
      <c r="L32009" s="711"/>
      <c r="Q32009" s="11"/>
      <c r="R32009" s="11"/>
      <c r="S32009" s="11"/>
      <c r="T32009" s="11"/>
    </row>
    <row r="32010" spans="8:20" x14ac:dyDescent="0.35">
      <c r="H32010" s="711"/>
      <c r="I32010" s="711"/>
      <c r="J32010" s="711"/>
      <c r="K32010" s="711"/>
      <c r="L32010" s="711"/>
      <c r="Q32010" s="11"/>
      <c r="R32010" s="11"/>
      <c r="S32010" s="11"/>
      <c r="T32010" s="11"/>
    </row>
    <row r="32011" spans="8:20" x14ac:dyDescent="0.35">
      <c r="H32011" s="711"/>
      <c r="I32011" s="711"/>
      <c r="J32011" s="711"/>
      <c r="K32011" s="711"/>
      <c r="L32011" s="711"/>
      <c r="Q32011" s="11"/>
      <c r="R32011" s="11"/>
      <c r="S32011" s="11"/>
      <c r="T32011" s="11"/>
    </row>
    <row r="32012" spans="8:20" x14ac:dyDescent="0.35">
      <c r="H32012" s="711"/>
      <c r="I32012" s="711"/>
      <c r="J32012" s="711"/>
      <c r="K32012" s="711"/>
      <c r="L32012" s="711"/>
      <c r="Q32012" s="11"/>
      <c r="R32012" s="11"/>
      <c r="S32012" s="11"/>
      <c r="T32012" s="11"/>
    </row>
    <row r="32013" spans="8:20" x14ac:dyDescent="0.35">
      <c r="H32013" s="711"/>
      <c r="I32013" s="711"/>
      <c r="J32013" s="711"/>
      <c r="K32013" s="711"/>
      <c r="L32013" s="711"/>
      <c r="Q32013" s="11"/>
      <c r="R32013" s="11"/>
      <c r="S32013" s="11"/>
      <c r="T32013" s="11"/>
    </row>
    <row r="32014" spans="8:20" x14ac:dyDescent="0.35">
      <c r="H32014" s="711"/>
      <c r="I32014" s="711"/>
      <c r="J32014" s="711"/>
      <c r="K32014" s="711"/>
      <c r="L32014" s="711"/>
      <c r="Q32014" s="11"/>
      <c r="R32014" s="11"/>
      <c r="S32014" s="11"/>
      <c r="T32014" s="11"/>
    </row>
    <row r="32015" spans="8:20" x14ac:dyDescent="0.35">
      <c r="H32015" s="711"/>
      <c r="I32015" s="711"/>
      <c r="J32015" s="711"/>
      <c r="K32015" s="711"/>
      <c r="L32015" s="711"/>
      <c r="Q32015" s="11"/>
      <c r="R32015" s="11"/>
      <c r="S32015" s="11"/>
      <c r="T32015" s="11"/>
    </row>
    <row r="32016" spans="8:20" x14ac:dyDescent="0.35">
      <c r="H32016" s="711"/>
      <c r="I32016" s="711"/>
      <c r="J32016" s="711"/>
      <c r="K32016" s="711"/>
      <c r="L32016" s="711"/>
      <c r="Q32016" s="11"/>
      <c r="R32016" s="11"/>
      <c r="S32016" s="11"/>
      <c r="T32016" s="11"/>
    </row>
    <row r="32017" spans="8:20" x14ac:dyDescent="0.35">
      <c r="H32017" s="711"/>
      <c r="I32017" s="711"/>
      <c r="J32017" s="711"/>
      <c r="K32017" s="711"/>
      <c r="L32017" s="711"/>
      <c r="Q32017" s="11"/>
      <c r="R32017" s="11"/>
      <c r="S32017" s="11"/>
      <c r="T32017" s="11"/>
    </row>
    <row r="32018" spans="8:20" x14ac:dyDescent="0.35">
      <c r="H32018" s="711"/>
      <c r="I32018" s="711"/>
      <c r="J32018" s="711"/>
      <c r="K32018" s="711"/>
      <c r="L32018" s="711"/>
      <c r="Q32018" s="11"/>
      <c r="R32018" s="11"/>
      <c r="S32018" s="11"/>
      <c r="T32018" s="11"/>
    </row>
    <row r="32019" spans="8:20" x14ac:dyDescent="0.35">
      <c r="H32019" s="711"/>
      <c r="I32019" s="711"/>
      <c r="J32019" s="711"/>
      <c r="K32019" s="711"/>
      <c r="L32019" s="711"/>
      <c r="Q32019" s="11"/>
      <c r="R32019" s="11"/>
      <c r="S32019" s="11"/>
      <c r="T32019" s="11"/>
    </row>
    <row r="32020" spans="8:20" x14ac:dyDescent="0.35">
      <c r="H32020" s="711"/>
      <c r="I32020" s="711"/>
      <c r="J32020" s="711"/>
      <c r="K32020" s="711"/>
      <c r="L32020" s="711"/>
      <c r="Q32020" s="11"/>
      <c r="R32020" s="11"/>
      <c r="S32020" s="11"/>
      <c r="T32020" s="11"/>
    </row>
    <row r="32021" spans="8:20" x14ac:dyDescent="0.35">
      <c r="H32021" s="711"/>
      <c r="I32021" s="711"/>
      <c r="J32021" s="711"/>
      <c r="K32021" s="711"/>
      <c r="L32021" s="711"/>
      <c r="Q32021" s="11"/>
      <c r="R32021" s="11"/>
      <c r="S32021" s="11"/>
      <c r="T32021" s="11"/>
    </row>
    <row r="32022" spans="8:20" x14ac:dyDescent="0.35">
      <c r="H32022" s="711"/>
      <c r="I32022" s="711"/>
      <c r="J32022" s="711"/>
      <c r="K32022" s="711"/>
      <c r="L32022" s="711"/>
      <c r="Q32022" s="11"/>
      <c r="R32022" s="11"/>
      <c r="S32022" s="11"/>
      <c r="T32022" s="11"/>
    </row>
    <row r="32023" spans="8:20" x14ac:dyDescent="0.35">
      <c r="H32023" s="711"/>
      <c r="I32023" s="711"/>
      <c r="J32023" s="711"/>
      <c r="K32023" s="711"/>
      <c r="L32023" s="711"/>
      <c r="Q32023" s="11"/>
      <c r="R32023" s="11"/>
      <c r="S32023" s="11"/>
      <c r="T32023" s="11"/>
    </row>
    <row r="32024" spans="8:20" x14ac:dyDescent="0.35">
      <c r="H32024" s="711"/>
      <c r="I32024" s="711"/>
      <c r="J32024" s="711"/>
      <c r="K32024" s="711"/>
      <c r="L32024" s="711"/>
      <c r="Q32024" s="11"/>
      <c r="R32024" s="11"/>
      <c r="S32024" s="11"/>
      <c r="T32024" s="11"/>
    </row>
    <row r="32025" spans="8:20" x14ac:dyDescent="0.35">
      <c r="H32025" s="711"/>
      <c r="I32025" s="711"/>
      <c r="J32025" s="711"/>
      <c r="K32025" s="711"/>
      <c r="L32025" s="711"/>
      <c r="Q32025" s="11"/>
      <c r="R32025" s="11"/>
      <c r="S32025" s="11"/>
      <c r="T32025" s="11"/>
    </row>
    <row r="32026" spans="8:20" x14ac:dyDescent="0.35">
      <c r="H32026" s="711"/>
      <c r="I32026" s="711"/>
      <c r="J32026" s="711"/>
      <c r="K32026" s="711"/>
      <c r="L32026" s="711"/>
      <c r="Q32026" s="11"/>
      <c r="R32026" s="11"/>
      <c r="S32026" s="11"/>
      <c r="T32026" s="11"/>
    </row>
    <row r="32027" spans="8:20" x14ac:dyDescent="0.35">
      <c r="H32027" s="711"/>
      <c r="I32027" s="711"/>
      <c r="J32027" s="711"/>
      <c r="K32027" s="711"/>
      <c r="L32027" s="711"/>
      <c r="Q32027" s="11"/>
      <c r="R32027" s="11"/>
      <c r="S32027" s="11"/>
      <c r="T32027" s="11"/>
    </row>
    <row r="32028" spans="8:20" x14ac:dyDescent="0.35">
      <c r="H32028" s="711"/>
      <c r="I32028" s="711"/>
      <c r="J32028" s="711"/>
      <c r="K32028" s="711"/>
      <c r="L32028" s="711"/>
      <c r="Q32028" s="11"/>
      <c r="R32028" s="11"/>
      <c r="S32028" s="11"/>
      <c r="T32028" s="11"/>
    </row>
    <row r="32029" spans="8:20" x14ac:dyDescent="0.35">
      <c r="H32029" s="711"/>
      <c r="I32029" s="711"/>
      <c r="J32029" s="711"/>
      <c r="K32029" s="711"/>
      <c r="L32029" s="711"/>
      <c r="Q32029" s="11"/>
      <c r="R32029" s="11"/>
      <c r="S32029" s="11"/>
      <c r="T32029" s="11"/>
    </row>
    <row r="32030" spans="8:20" x14ac:dyDescent="0.35">
      <c r="H32030" s="711"/>
      <c r="I32030" s="711"/>
      <c r="J32030" s="711"/>
      <c r="K32030" s="711"/>
      <c r="L32030" s="711"/>
      <c r="Q32030" s="11"/>
      <c r="R32030" s="11"/>
      <c r="S32030" s="11"/>
      <c r="T32030" s="11"/>
    </row>
    <row r="32031" spans="8:20" x14ac:dyDescent="0.35">
      <c r="H32031" s="711"/>
      <c r="I32031" s="711"/>
      <c r="J32031" s="711"/>
      <c r="K32031" s="711"/>
      <c r="L32031" s="711"/>
      <c r="Q32031" s="11"/>
      <c r="R32031" s="11"/>
      <c r="S32031" s="11"/>
      <c r="T32031" s="11"/>
    </row>
    <row r="32032" spans="8:20" x14ac:dyDescent="0.35">
      <c r="H32032" s="711"/>
      <c r="I32032" s="711"/>
      <c r="J32032" s="711"/>
      <c r="K32032" s="711"/>
      <c r="L32032" s="711"/>
      <c r="Q32032" s="11"/>
      <c r="R32032" s="11"/>
      <c r="S32032" s="11"/>
      <c r="T32032" s="11"/>
    </row>
    <row r="32033" spans="8:20" x14ac:dyDescent="0.35">
      <c r="H32033" s="711"/>
      <c r="I32033" s="711"/>
      <c r="J32033" s="711"/>
      <c r="K32033" s="711"/>
      <c r="L32033" s="711"/>
      <c r="Q32033" s="11"/>
      <c r="R32033" s="11"/>
      <c r="S32033" s="11"/>
      <c r="T32033" s="11"/>
    </row>
    <row r="32034" spans="8:20" x14ac:dyDescent="0.35">
      <c r="H32034" s="711"/>
      <c r="I32034" s="711"/>
      <c r="J32034" s="711"/>
      <c r="K32034" s="711"/>
      <c r="L32034" s="711"/>
      <c r="Q32034" s="11"/>
      <c r="R32034" s="11"/>
      <c r="S32034" s="11"/>
      <c r="T32034" s="11"/>
    </row>
    <row r="32035" spans="8:20" x14ac:dyDescent="0.35">
      <c r="H32035" s="711"/>
      <c r="I32035" s="711"/>
      <c r="J32035" s="711"/>
      <c r="K32035" s="711"/>
      <c r="L32035" s="711"/>
      <c r="Q32035" s="11"/>
      <c r="R32035" s="11"/>
      <c r="S32035" s="11"/>
      <c r="T32035" s="11"/>
    </row>
    <row r="32036" spans="8:20" x14ac:dyDescent="0.35">
      <c r="H32036" s="711"/>
      <c r="I32036" s="711"/>
      <c r="J32036" s="711"/>
      <c r="K32036" s="711"/>
      <c r="L32036" s="711"/>
      <c r="Q32036" s="11"/>
      <c r="R32036" s="11"/>
      <c r="S32036" s="11"/>
      <c r="T32036" s="11"/>
    </row>
    <row r="32037" spans="8:20" x14ac:dyDescent="0.35">
      <c r="H32037" s="711"/>
      <c r="I32037" s="711"/>
      <c r="J32037" s="711"/>
      <c r="K32037" s="711"/>
      <c r="L32037" s="711"/>
      <c r="Q32037" s="11"/>
      <c r="R32037" s="11"/>
      <c r="S32037" s="11"/>
      <c r="T32037" s="11"/>
    </row>
    <row r="32038" spans="8:20" x14ac:dyDescent="0.35">
      <c r="H32038" s="711"/>
      <c r="I32038" s="711"/>
      <c r="J32038" s="711"/>
      <c r="K32038" s="711"/>
      <c r="L32038" s="711"/>
      <c r="Q32038" s="11"/>
      <c r="R32038" s="11"/>
      <c r="S32038" s="11"/>
      <c r="T32038" s="11"/>
    </row>
    <row r="32039" spans="8:20" x14ac:dyDescent="0.35">
      <c r="H32039" s="711"/>
      <c r="I32039" s="711"/>
      <c r="J32039" s="711"/>
      <c r="K32039" s="711"/>
      <c r="L32039" s="711"/>
      <c r="Q32039" s="11"/>
      <c r="R32039" s="11"/>
      <c r="S32039" s="11"/>
      <c r="T32039" s="11"/>
    </row>
    <row r="32040" spans="8:20" x14ac:dyDescent="0.35">
      <c r="H32040" s="711"/>
      <c r="I32040" s="711"/>
      <c r="J32040" s="711"/>
      <c r="K32040" s="711"/>
      <c r="L32040" s="711"/>
      <c r="Q32040" s="11"/>
      <c r="R32040" s="11"/>
      <c r="S32040" s="11"/>
      <c r="T32040" s="11"/>
    </row>
    <row r="32041" spans="8:20" x14ac:dyDescent="0.35">
      <c r="H32041" s="711"/>
      <c r="I32041" s="711"/>
      <c r="J32041" s="711"/>
      <c r="K32041" s="711"/>
      <c r="L32041" s="711"/>
      <c r="Q32041" s="11"/>
      <c r="R32041" s="11"/>
      <c r="S32041" s="11"/>
      <c r="T32041" s="11"/>
    </row>
    <row r="32042" spans="8:20" x14ac:dyDescent="0.35">
      <c r="H32042" s="711"/>
      <c r="I32042" s="711"/>
      <c r="J32042" s="711"/>
      <c r="K32042" s="711"/>
      <c r="L32042" s="711"/>
      <c r="Q32042" s="11"/>
      <c r="R32042" s="11"/>
      <c r="S32042" s="11"/>
      <c r="T32042" s="11"/>
    </row>
    <row r="32043" spans="8:20" x14ac:dyDescent="0.35">
      <c r="H32043" s="711"/>
      <c r="I32043" s="711"/>
      <c r="J32043" s="711"/>
      <c r="K32043" s="711"/>
      <c r="L32043" s="711"/>
      <c r="Q32043" s="11"/>
      <c r="R32043" s="11"/>
      <c r="S32043" s="11"/>
      <c r="T32043" s="11"/>
    </row>
    <row r="32044" spans="8:20" x14ac:dyDescent="0.35">
      <c r="H32044" s="711"/>
      <c r="I32044" s="711"/>
      <c r="J32044" s="711"/>
      <c r="K32044" s="711"/>
      <c r="L32044" s="711"/>
      <c r="Q32044" s="11"/>
      <c r="R32044" s="11"/>
      <c r="S32044" s="11"/>
      <c r="T32044" s="11"/>
    </row>
    <row r="32045" spans="8:20" x14ac:dyDescent="0.35">
      <c r="H32045" s="711"/>
      <c r="I32045" s="711"/>
      <c r="J32045" s="711"/>
      <c r="K32045" s="711"/>
      <c r="L32045" s="711"/>
      <c r="Q32045" s="11"/>
      <c r="R32045" s="11"/>
      <c r="S32045" s="11"/>
      <c r="T32045" s="11"/>
    </row>
    <row r="32046" spans="8:20" x14ac:dyDescent="0.35">
      <c r="H32046" s="711"/>
      <c r="I32046" s="711"/>
      <c r="J32046" s="711"/>
      <c r="K32046" s="711"/>
      <c r="L32046" s="711"/>
      <c r="Q32046" s="11"/>
      <c r="R32046" s="11"/>
      <c r="S32046" s="11"/>
      <c r="T32046" s="11"/>
    </row>
    <row r="32047" spans="8:20" x14ac:dyDescent="0.35">
      <c r="H32047" s="711"/>
      <c r="I32047" s="711"/>
      <c r="J32047" s="711"/>
      <c r="K32047" s="711"/>
      <c r="L32047" s="711"/>
      <c r="Q32047" s="11"/>
      <c r="R32047" s="11"/>
      <c r="S32047" s="11"/>
      <c r="T32047" s="11"/>
    </row>
    <row r="32048" spans="8:20" x14ac:dyDescent="0.35">
      <c r="H32048" s="711"/>
      <c r="I32048" s="711"/>
      <c r="J32048" s="711"/>
      <c r="K32048" s="711"/>
      <c r="L32048" s="711"/>
      <c r="Q32048" s="11"/>
      <c r="R32048" s="11"/>
      <c r="S32048" s="11"/>
      <c r="T32048" s="11"/>
    </row>
    <row r="32049" spans="8:20" x14ac:dyDescent="0.35">
      <c r="H32049" s="711"/>
      <c r="I32049" s="711"/>
      <c r="J32049" s="711"/>
      <c r="K32049" s="711"/>
      <c r="L32049" s="711"/>
      <c r="Q32049" s="11"/>
      <c r="R32049" s="11"/>
      <c r="S32049" s="11"/>
      <c r="T32049" s="11"/>
    </row>
    <row r="32050" spans="8:20" x14ac:dyDescent="0.35">
      <c r="H32050" s="711"/>
      <c r="I32050" s="711"/>
      <c r="J32050" s="711"/>
      <c r="K32050" s="711"/>
      <c r="L32050" s="711"/>
      <c r="Q32050" s="11"/>
      <c r="R32050" s="11"/>
      <c r="S32050" s="11"/>
      <c r="T32050" s="11"/>
    </row>
    <row r="32051" spans="8:20" x14ac:dyDescent="0.35">
      <c r="H32051" s="711"/>
      <c r="I32051" s="711"/>
      <c r="J32051" s="711"/>
      <c r="K32051" s="711"/>
      <c r="L32051" s="711"/>
      <c r="Q32051" s="11"/>
      <c r="R32051" s="11"/>
      <c r="S32051" s="11"/>
      <c r="T32051" s="11"/>
    </row>
    <row r="32052" spans="8:20" x14ac:dyDescent="0.35">
      <c r="H32052" s="711"/>
      <c r="I32052" s="711"/>
      <c r="J32052" s="711"/>
      <c r="K32052" s="711"/>
      <c r="L32052" s="711"/>
      <c r="Q32052" s="11"/>
      <c r="R32052" s="11"/>
      <c r="S32052" s="11"/>
      <c r="T32052" s="11"/>
    </row>
    <row r="32053" spans="8:20" x14ac:dyDescent="0.35">
      <c r="H32053" s="711"/>
      <c r="I32053" s="711"/>
      <c r="J32053" s="711"/>
      <c r="K32053" s="711"/>
      <c r="L32053" s="711"/>
      <c r="Q32053" s="11"/>
      <c r="R32053" s="11"/>
      <c r="S32053" s="11"/>
      <c r="T32053" s="11"/>
    </row>
    <row r="32054" spans="8:20" x14ac:dyDescent="0.35">
      <c r="H32054" s="711"/>
      <c r="I32054" s="711"/>
      <c r="J32054" s="711"/>
      <c r="K32054" s="711"/>
      <c r="L32054" s="711"/>
      <c r="Q32054" s="11"/>
      <c r="R32054" s="11"/>
      <c r="S32054" s="11"/>
      <c r="T32054" s="11"/>
    </row>
    <row r="32055" spans="8:20" x14ac:dyDescent="0.35">
      <c r="H32055" s="711"/>
      <c r="I32055" s="711"/>
      <c r="J32055" s="711"/>
      <c r="K32055" s="711"/>
      <c r="L32055" s="711"/>
      <c r="Q32055" s="11"/>
      <c r="R32055" s="11"/>
      <c r="S32055" s="11"/>
      <c r="T32055" s="11"/>
    </row>
    <row r="32056" spans="8:20" x14ac:dyDescent="0.35">
      <c r="H32056" s="711"/>
      <c r="I32056" s="711"/>
      <c r="J32056" s="711"/>
      <c r="K32056" s="711"/>
      <c r="L32056" s="711"/>
      <c r="Q32056" s="11"/>
      <c r="R32056" s="11"/>
      <c r="S32056" s="11"/>
      <c r="T32056" s="11"/>
    </row>
    <row r="32057" spans="8:20" x14ac:dyDescent="0.35">
      <c r="H32057" s="711"/>
      <c r="I32057" s="711"/>
      <c r="J32057" s="711"/>
      <c r="K32057" s="711"/>
      <c r="L32057" s="711"/>
      <c r="Q32057" s="11"/>
      <c r="R32057" s="11"/>
      <c r="S32057" s="11"/>
      <c r="T32057" s="11"/>
    </row>
    <row r="32058" spans="8:20" x14ac:dyDescent="0.35">
      <c r="H32058" s="711"/>
      <c r="I32058" s="711"/>
      <c r="J32058" s="711"/>
      <c r="K32058" s="711"/>
      <c r="L32058" s="711"/>
      <c r="Q32058" s="11"/>
      <c r="R32058" s="11"/>
      <c r="S32058" s="11"/>
      <c r="T32058" s="11"/>
    </row>
    <row r="32059" spans="8:20" x14ac:dyDescent="0.35">
      <c r="H32059" s="711"/>
      <c r="I32059" s="711"/>
      <c r="J32059" s="711"/>
      <c r="K32059" s="711"/>
      <c r="L32059" s="711"/>
      <c r="Q32059" s="11"/>
      <c r="R32059" s="11"/>
      <c r="S32059" s="11"/>
      <c r="T32059" s="11"/>
    </row>
    <row r="32060" spans="8:20" x14ac:dyDescent="0.35">
      <c r="H32060" s="711"/>
      <c r="I32060" s="711"/>
      <c r="J32060" s="711"/>
      <c r="K32060" s="711"/>
      <c r="L32060" s="711"/>
      <c r="Q32060" s="11"/>
      <c r="R32060" s="11"/>
      <c r="S32060" s="11"/>
      <c r="T32060" s="11"/>
    </row>
    <row r="32061" spans="8:20" x14ac:dyDescent="0.35">
      <c r="H32061" s="711"/>
      <c r="I32061" s="711"/>
      <c r="J32061" s="711"/>
      <c r="K32061" s="711"/>
      <c r="L32061" s="711"/>
      <c r="Q32061" s="11"/>
      <c r="R32061" s="11"/>
      <c r="S32061" s="11"/>
      <c r="T32061" s="11"/>
    </row>
    <row r="32062" spans="8:20" x14ac:dyDescent="0.35">
      <c r="H32062" s="711"/>
      <c r="I32062" s="711"/>
      <c r="J32062" s="711"/>
      <c r="K32062" s="711"/>
      <c r="L32062" s="711"/>
      <c r="Q32062" s="11"/>
      <c r="R32062" s="11"/>
      <c r="S32062" s="11"/>
      <c r="T32062" s="11"/>
    </row>
    <row r="32063" spans="8:20" x14ac:dyDescent="0.35">
      <c r="H32063" s="711"/>
      <c r="I32063" s="711"/>
      <c r="J32063" s="711"/>
      <c r="K32063" s="711"/>
      <c r="L32063" s="711"/>
      <c r="Q32063" s="11"/>
      <c r="R32063" s="11"/>
      <c r="S32063" s="11"/>
      <c r="T32063" s="11"/>
    </row>
    <row r="32064" spans="8:20" x14ac:dyDescent="0.35">
      <c r="H32064" s="711"/>
      <c r="I32064" s="711"/>
      <c r="J32064" s="711"/>
      <c r="K32064" s="711"/>
      <c r="L32064" s="711"/>
      <c r="Q32064" s="11"/>
      <c r="R32064" s="11"/>
      <c r="S32064" s="11"/>
      <c r="T32064" s="11"/>
    </row>
    <row r="32065" spans="8:20" x14ac:dyDescent="0.35">
      <c r="H32065" s="711"/>
      <c r="I32065" s="711"/>
      <c r="J32065" s="711"/>
      <c r="K32065" s="711"/>
      <c r="L32065" s="711"/>
      <c r="Q32065" s="11"/>
      <c r="R32065" s="11"/>
      <c r="S32065" s="11"/>
      <c r="T32065" s="11"/>
    </row>
    <row r="32066" spans="8:20" x14ac:dyDescent="0.35">
      <c r="H32066" s="711"/>
      <c r="I32066" s="711"/>
      <c r="J32066" s="711"/>
      <c r="K32066" s="711"/>
      <c r="L32066" s="711"/>
      <c r="Q32066" s="11"/>
      <c r="R32066" s="11"/>
      <c r="S32066" s="11"/>
      <c r="T32066" s="11"/>
    </row>
    <row r="32067" spans="8:20" x14ac:dyDescent="0.35">
      <c r="H32067" s="711"/>
      <c r="I32067" s="711"/>
      <c r="J32067" s="711"/>
      <c r="K32067" s="711"/>
      <c r="L32067" s="711"/>
      <c r="Q32067" s="11"/>
      <c r="R32067" s="11"/>
      <c r="S32067" s="11"/>
      <c r="T32067" s="11"/>
    </row>
    <row r="32068" spans="8:20" x14ac:dyDescent="0.35">
      <c r="H32068" s="711"/>
      <c r="I32068" s="711"/>
      <c r="J32068" s="711"/>
      <c r="K32068" s="711"/>
      <c r="L32068" s="711"/>
      <c r="Q32068" s="11"/>
      <c r="R32068" s="11"/>
      <c r="S32068" s="11"/>
      <c r="T32068" s="11"/>
    </row>
    <row r="32069" spans="8:20" x14ac:dyDescent="0.35">
      <c r="H32069" s="711"/>
      <c r="I32069" s="711"/>
      <c r="J32069" s="711"/>
      <c r="K32069" s="711"/>
      <c r="L32069" s="711"/>
      <c r="Q32069" s="11"/>
      <c r="R32069" s="11"/>
      <c r="S32069" s="11"/>
      <c r="T32069" s="11"/>
    </row>
    <row r="32070" spans="8:20" x14ac:dyDescent="0.35">
      <c r="H32070" s="711"/>
      <c r="I32070" s="711"/>
      <c r="J32070" s="711"/>
      <c r="K32070" s="711"/>
      <c r="L32070" s="711"/>
      <c r="Q32070" s="11"/>
      <c r="R32070" s="11"/>
      <c r="S32070" s="11"/>
      <c r="T32070" s="11"/>
    </row>
    <row r="32071" spans="8:20" x14ac:dyDescent="0.35">
      <c r="H32071" s="711"/>
      <c r="I32071" s="711"/>
      <c r="J32071" s="711"/>
      <c r="K32071" s="711"/>
      <c r="L32071" s="711"/>
      <c r="Q32071" s="11"/>
      <c r="R32071" s="11"/>
      <c r="S32071" s="11"/>
      <c r="T32071" s="11"/>
    </row>
    <row r="32072" spans="8:20" x14ac:dyDescent="0.35">
      <c r="H32072" s="711"/>
      <c r="I32072" s="711"/>
      <c r="J32072" s="711"/>
      <c r="K32072" s="711"/>
      <c r="L32072" s="711"/>
      <c r="Q32072" s="11"/>
      <c r="R32072" s="11"/>
      <c r="S32072" s="11"/>
      <c r="T32072" s="11"/>
    </row>
    <row r="32073" spans="8:20" x14ac:dyDescent="0.35">
      <c r="H32073" s="711"/>
      <c r="I32073" s="711"/>
      <c r="J32073" s="711"/>
      <c r="K32073" s="711"/>
      <c r="L32073" s="711"/>
      <c r="Q32073" s="11"/>
      <c r="R32073" s="11"/>
      <c r="S32073" s="11"/>
      <c r="T32073" s="11"/>
    </row>
    <row r="32074" spans="8:20" x14ac:dyDescent="0.35">
      <c r="H32074" s="711"/>
      <c r="I32074" s="711"/>
      <c r="J32074" s="711"/>
      <c r="K32074" s="711"/>
      <c r="L32074" s="711"/>
      <c r="Q32074" s="11"/>
      <c r="R32074" s="11"/>
      <c r="S32074" s="11"/>
      <c r="T32074" s="11"/>
    </row>
    <row r="32075" spans="8:20" x14ac:dyDescent="0.35">
      <c r="H32075" s="711"/>
      <c r="I32075" s="711"/>
      <c r="J32075" s="711"/>
      <c r="K32075" s="711"/>
      <c r="L32075" s="711"/>
      <c r="Q32075" s="11"/>
      <c r="R32075" s="11"/>
      <c r="S32075" s="11"/>
      <c r="T32075" s="11"/>
    </row>
    <row r="32076" spans="8:20" x14ac:dyDescent="0.35">
      <c r="H32076" s="711"/>
      <c r="I32076" s="711"/>
      <c r="J32076" s="711"/>
      <c r="K32076" s="711"/>
      <c r="L32076" s="711"/>
      <c r="Q32076" s="11"/>
      <c r="R32076" s="11"/>
      <c r="S32076" s="11"/>
      <c r="T32076" s="11"/>
    </row>
    <row r="32077" spans="8:20" x14ac:dyDescent="0.35">
      <c r="H32077" s="711"/>
      <c r="I32077" s="711"/>
      <c r="J32077" s="711"/>
      <c r="K32077" s="711"/>
      <c r="L32077" s="711"/>
      <c r="Q32077" s="11"/>
      <c r="R32077" s="11"/>
      <c r="S32077" s="11"/>
      <c r="T32077" s="11"/>
    </row>
    <row r="32078" spans="8:20" x14ac:dyDescent="0.35">
      <c r="H32078" s="711"/>
      <c r="I32078" s="711"/>
      <c r="J32078" s="711"/>
      <c r="K32078" s="711"/>
      <c r="L32078" s="711"/>
      <c r="Q32078" s="11"/>
      <c r="R32078" s="11"/>
      <c r="S32078" s="11"/>
      <c r="T32078" s="11"/>
    </row>
    <row r="32079" spans="8:20" x14ac:dyDescent="0.35">
      <c r="H32079" s="711"/>
      <c r="I32079" s="711"/>
      <c r="J32079" s="711"/>
      <c r="K32079" s="711"/>
      <c r="L32079" s="711"/>
      <c r="Q32079" s="11"/>
      <c r="R32079" s="11"/>
      <c r="S32079" s="11"/>
      <c r="T32079" s="11"/>
    </row>
    <row r="32080" spans="8:20" x14ac:dyDescent="0.35">
      <c r="H32080" s="711"/>
      <c r="I32080" s="711"/>
      <c r="J32080" s="711"/>
      <c r="K32080" s="711"/>
      <c r="L32080" s="711"/>
      <c r="Q32080" s="11"/>
      <c r="R32080" s="11"/>
      <c r="S32080" s="11"/>
      <c r="T32080" s="11"/>
    </row>
    <row r="32081" spans="8:20" x14ac:dyDescent="0.35">
      <c r="H32081" s="711"/>
      <c r="I32081" s="711"/>
      <c r="J32081" s="711"/>
      <c r="K32081" s="711"/>
      <c r="L32081" s="711"/>
      <c r="Q32081" s="11"/>
      <c r="R32081" s="11"/>
      <c r="S32081" s="11"/>
      <c r="T32081" s="11"/>
    </row>
    <row r="32082" spans="8:20" x14ac:dyDescent="0.35">
      <c r="H32082" s="711"/>
      <c r="I32082" s="711"/>
      <c r="J32082" s="711"/>
      <c r="K32082" s="711"/>
      <c r="L32082" s="711"/>
      <c r="Q32082" s="11"/>
      <c r="R32082" s="11"/>
      <c r="S32082" s="11"/>
      <c r="T32082" s="11"/>
    </row>
    <row r="32083" spans="8:20" x14ac:dyDescent="0.35">
      <c r="H32083" s="711"/>
      <c r="I32083" s="711"/>
      <c r="J32083" s="711"/>
      <c r="K32083" s="711"/>
      <c r="L32083" s="711"/>
      <c r="Q32083" s="11"/>
      <c r="R32083" s="11"/>
      <c r="S32083" s="11"/>
      <c r="T32083" s="11"/>
    </row>
    <row r="32084" spans="8:20" x14ac:dyDescent="0.35">
      <c r="H32084" s="711"/>
      <c r="I32084" s="711"/>
      <c r="J32084" s="711"/>
      <c r="K32084" s="711"/>
      <c r="L32084" s="711"/>
      <c r="Q32084" s="11"/>
      <c r="R32084" s="11"/>
      <c r="S32084" s="11"/>
      <c r="T32084" s="11"/>
    </row>
    <row r="32085" spans="8:20" x14ac:dyDescent="0.35">
      <c r="H32085" s="711"/>
      <c r="I32085" s="711"/>
      <c r="J32085" s="711"/>
      <c r="K32085" s="711"/>
      <c r="L32085" s="711"/>
      <c r="Q32085" s="11"/>
      <c r="R32085" s="11"/>
      <c r="S32085" s="11"/>
      <c r="T32085" s="11"/>
    </row>
    <row r="32086" spans="8:20" x14ac:dyDescent="0.35">
      <c r="H32086" s="711"/>
      <c r="I32086" s="711"/>
      <c r="J32086" s="711"/>
      <c r="K32086" s="711"/>
      <c r="L32086" s="711"/>
      <c r="Q32086" s="11"/>
      <c r="R32086" s="11"/>
      <c r="S32086" s="11"/>
      <c r="T32086" s="11"/>
    </row>
    <row r="32087" spans="8:20" x14ac:dyDescent="0.35">
      <c r="H32087" s="711"/>
      <c r="I32087" s="711"/>
      <c r="J32087" s="711"/>
      <c r="K32087" s="711"/>
      <c r="L32087" s="711"/>
      <c r="Q32087" s="11"/>
      <c r="R32087" s="11"/>
      <c r="S32087" s="11"/>
      <c r="T32087" s="11"/>
    </row>
    <row r="32088" spans="8:20" x14ac:dyDescent="0.35">
      <c r="H32088" s="711"/>
      <c r="I32088" s="711"/>
      <c r="J32088" s="711"/>
      <c r="K32088" s="711"/>
      <c r="L32088" s="711"/>
      <c r="Q32088" s="11"/>
      <c r="R32088" s="11"/>
      <c r="S32088" s="11"/>
      <c r="T32088" s="11"/>
    </row>
    <row r="32089" spans="8:20" x14ac:dyDescent="0.35">
      <c r="H32089" s="711"/>
      <c r="I32089" s="711"/>
      <c r="J32089" s="711"/>
      <c r="K32089" s="711"/>
      <c r="L32089" s="711"/>
      <c r="Q32089" s="11"/>
      <c r="R32089" s="11"/>
      <c r="S32089" s="11"/>
      <c r="T32089" s="11"/>
    </row>
    <row r="32090" spans="8:20" x14ac:dyDescent="0.35">
      <c r="H32090" s="711"/>
      <c r="I32090" s="711"/>
      <c r="J32090" s="711"/>
      <c r="K32090" s="711"/>
      <c r="L32090" s="711"/>
      <c r="Q32090" s="11"/>
      <c r="R32090" s="11"/>
      <c r="S32090" s="11"/>
      <c r="T32090" s="11"/>
    </row>
    <row r="32091" spans="8:20" x14ac:dyDescent="0.35">
      <c r="H32091" s="711"/>
      <c r="I32091" s="711"/>
      <c r="J32091" s="711"/>
      <c r="K32091" s="711"/>
      <c r="L32091" s="711"/>
      <c r="Q32091" s="11"/>
      <c r="R32091" s="11"/>
      <c r="S32091" s="11"/>
      <c r="T32091" s="11"/>
    </row>
    <row r="32092" spans="8:20" x14ac:dyDescent="0.35">
      <c r="H32092" s="711"/>
      <c r="I32092" s="711"/>
      <c r="J32092" s="711"/>
      <c r="K32092" s="711"/>
      <c r="L32092" s="711"/>
      <c r="Q32092" s="11"/>
      <c r="R32092" s="11"/>
      <c r="S32092" s="11"/>
      <c r="T32092" s="11"/>
    </row>
    <row r="32093" spans="8:20" x14ac:dyDescent="0.35">
      <c r="H32093" s="711"/>
      <c r="I32093" s="711"/>
      <c r="J32093" s="711"/>
      <c r="K32093" s="711"/>
      <c r="L32093" s="711"/>
      <c r="Q32093" s="11"/>
      <c r="R32093" s="11"/>
      <c r="S32093" s="11"/>
      <c r="T32093" s="11"/>
    </row>
    <row r="32094" spans="8:20" x14ac:dyDescent="0.35">
      <c r="H32094" s="711"/>
      <c r="I32094" s="711"/>
      <c r="J32094" s="711"/>
      <c r="K32094" s="711"/>
      <c r="L32094" s="711"/>
      <c r="Q32094" s="11"/>
      <c r="R32094" s="11"/>
      <c r="S32094" s="11"/>
      <c r="T32094" s="11"/>
    </row>
    <row r="32095" spans="8:20" x14ac:dyDescent="0.35">
      <c r="H32095" s="711"/>
      <c r="I32095" s="711"/>
      <c r="J32095" s="711"/>
      <c r="K32095" s="711"/>
      <c r="L32095" s="711"/>
      <c r="Q32095" s="11"/>
      <c r="R32095" s="11"/>
      <c r="S32095" s="11"/>
      <c r="T32095" s="11"/>
    </row>
    <row r="32096" spans="8:20" x14ac:dyDescent="0.35">
      <c r="H32096" s="711"/>
      <c r="I32096" s="711"/>
      <c r="J32096" s="711"/>
      <c r="K32096" s="711"/>
      <c r="L32096" s="711"/>
      <c r="Q32096" s="11"/>
      <c r="R32096" s="11"/>
      <c r="S32096" s="11"/>
      <c r="T32096" s="11"/>
    </row>
    <row r="32097" spans="8:20" x14ac:dyDescent="0.35">
      <c r="H32097" s="711"/>
      <c r="I32097" s="711"/>
      <c r="J32097" s="711"/>
      <c r="K32097" s="711"/>
      <c r="L32097" s="711"/>
      <c r="Q32097" s="11"/>
      <c r="R32097" s="11"/>
      <c r="S32097" s="11"/>
      <c r="T32097" s="11"/>
    </row>
    <row r="32098" spans="8:20" x14ac:dyDescent="0.35">
      <c r="H32098" s="711"/>
      <c r="I32098" s="711"/>
      <c r="J32098" s="711"/>
      <c r="K32098" s="711"/>
      <c r="L32098" s="711"/>
      <c r="Q32098" s="11"/>
      <c r="R32098" s="11"/>
      <c r="S32098" s="11"/>
      <c r="T32098" s="11"/>
    </row>
    <row r="32099" spans="8:20" x14ac:dyDescent="0.35">
      <c r="H32099" s="711"/>
      <c r="I32099" s="711"/>
      <c r="J32099" s="711"/>
      <c r="K32099" s="711"/>
      <c r="L32099" s="711"/>
      <c r="Q32099" s="11"/>
      <c r="R32099" s="11"/>
      <c r="S32099" s="11"/>
      <c r="T32099" s="11"/>
    </row>
    <row r="32100" spans="8:20" x14ac:dyDescent="0.35">
      <c r="H32100" s="711"/>
      <c r="I32100" s="711"/>
      <c r="J32100" s="711"/>
      <c r="K32100" s="711"/>
      <c r="L32100" s="711"/>
      <c r="Q32100" s="11"/>
      <c r="R32100" s="11"/>
      <c r="S32100" s="11"/>
      <c r="T32100" s="11"/>
    </row>
    <row r="32101" spans="8:20" x14ac:dyDescent="0.35">
      <c r="H32101" s="711"/>
      <c r="I32101" s="711"/>
      <c r="J32101" s="711"/>
      <c r="K32101" s="711"/>
      <c r="L32101" s="711"/>
      <c r="Q32101" s="11"/>
      <c r="R32101" s="11"/>
      <c r="S32101" s="11"/>
      <c r="T32101" s="11"/>
    </row>
    <row r="32102" spans="8:20" x14ac:dyDescent="0.35">
      <c r="H32102" s="711"/>
      <c r="I32102" s="711"/>
      <c r="J32102" s="711"/>
      <c r="K32102" s="711"/>
      <c r="L32102" s="711"/>
      <c r="Q32102" s="11"/>
      <c r="R32102" s="11"/>
      <c r="S32102" s="11"/>
      <c r="T32102" s="11"/>
    </row>
    <row r="32103" spans="8:20" x14ac:dyDescent="0.35">
      <c r="H32103" s="711"/>
      <c r="I32103" s="711"/>
      <c r="J32103" s="711"/>
      <c r="K32103" s="711"/>
      <c r="L32103" s="711"/>
      <c r="Q32103" s="11"/>
      <c r="R32103" s="11"/>
      <c r="S32103" s="11"/>
      <c r="T32103" s="11"/>
    </row>
    <row r="32104" spans="8:20" x14ac:dyDescent="0.35">
      <c r="H32104" s="711"/>
      <c r="I32104" s="711"/>
      <c r="J32104" s="711"/>
      <c r="K32104" s="711"/>
      <c r="L32104" s="711"/>
      <c r="Q32104" s="11"/>
      <c r="R32104" s="11"/>
      <c r="S32104" s="11"/>
      <c r="T32104" s="11"/>
    </row>
    <row r="32105" spans="8:20" x14ac:dyDescent="0.35">
      <c r="H32105" s="711"/>
      <c r="I32105" s="711"/>
      <c r="J32105" s="711"/>
      <c r="K32105" s="711"/>
      <c r="L32105" s="711"/>
      <c r="Q32105" s="11"/>
      <c r="R32105" s="11"/>
      <c r="S32105" s="11"/>
      <c r="T32105" s="11"/>
    </row>
    <row r="32106" spans="8:20" x14ac:dyDescent="0.35">
      <c r="H32106" s="711"/>
      <c r="I32106" s="711"/>
      <c r="J32106" s="711"/>
      <c r="K32106" s="711"/>
      <c r="L32106" s="711"/>
      <c r="Q32106" s="11"/>
      <c r="R32106" s="11"/>
      <c r="S32106" s="11"/>
      <c r="T32106" s="11"/>
    </row>
    <row r="32107" spans="8:20" x14ac:dyDescent="0.35">
      <c r="H32107" s="711"/>
      <c r="I32107" s="711"/>
      <c r="J32107" s="711"/>
      <c r="K32107" s="711"/>
      <c r="L32107" s="711"/>
      <c r="Q32107" s="11"/>
      <c r="R32107" s="11"/>
      <c r="S32107" s="11"/>
      <c r="T32107" s="11"/>
    </row>
    <row r="32108" spans="8:20" x14ac:dyDescent="0.35">
      <c r="H32108" s="711"/>
      <c r="I32108" s="711"/>
      <c r="J32108" s="711"/>
      <c r="K32108" s="711"/>
      <c r="L32108" s="711"/>
      <c r="Q32108" s="11"/>
      <c r="R32108" s="11"/>
      <c r="S32108" s="11"/>
      <c r="T32108" s="11"/>
    </row>
    <row r="32109" spans="8:20" x14ac:dyDescent="0.35">
      <c r="H32109" s="711"/>
      <c r="I32109" s="711"/>
      <c r="J32109" s="711"/>
      <c r="K32109" s="711"/>
      <c r="L32109" s="711"/>
      <c r="Q32109" s="11"/>
      <c r="R32109" s="11"/>
      <c r="S32109" s="11"/>
      <c r="T32109" s="11"/>
    </row>
    <row r="32110" spans="8:20" x14ac:dyDescent="0.35">
      <c r="H32110" s="711"/>
      <c r="I32110" s="711"/>
      <c r="J32110" s="711"/>
      <c r="K32110" s="711"/>
      <c r="L32110" s="711"/>
      <c r="Q32110" s="11"/>
      <c r="R32110" s="11"/>
      <c r="S32110" s="11"/>
      <c r="T32110" s="11"/>
    </row>
    <row r="32111" spans="8:20" x14ac:dyDescent="0.35">
      <c r="H32111" s="711"/>
      <c r="I32111" s="711"/>
      <c r="J32111" s="711"/>
      <c r="K32111" s="711"/>
      <c r="L32111" s="711"/>
      <c r="Q32111" s="11"/>
      <c r="R32111" s="11"/>
      <c r="S32111" s="11"/>
      <c r="T32111" s="11"/>
    </row>
    <row r="32112" spans="8:20" x14ac:dyDescent="0.35">
      <c r="H32112" s="711"/>
      <c r="I32112" s="711"/>
      <c r="J32112" s="711"/>
      <c r="K32112" s="711"/>
      <c r="L32112" s="711"/>
      <c r="Q32112" s="11"/>
      <c r="R32112" s="11"/>
      <c r="S32112" s="11"/>
      <c r="T32112" s="11"/>
    </row>
    <row r="32113" spans="8:20" x14ac:dyDescent="0.35">
      <c r="H32113" s="711"/>
      <c r="I32113" s="711"/>
      <c r="J32113" s="711"/>
      <c r="K32113" s="711"/>
      <c r="L32113" s="711"/>
      <c r="Q32113" s="11"/>
      <c r="R32113" s="11"/>
      <c r="S32113" s="11"/>
      <c r="T32113" s="11"/>
    </row>
    <row r="32114" spans="8:20" x14ac:dyDescent="0.35">
      <c r="H32114" s="711"/>
      <c r="I32114" s="711"/>
      <c r="J32114" s="711"/>
      <c r="K32114" s="711"/>
      <c r="L32114" s="711"/>
      <c r="Q32114" s="11"/>
      <c r="R32114" s="11"/>
      <c r="S32114" s="11"/>
      <c r="T32114" s="11"/>
    </row>
    <row r="32115" spans="8:20" x14ac:dyDescent="0.35">
      <c r="H32115" s="711"/>
      <c r="I32115" s="711"/>
      <c r="J32115" s="711"/>
      <c r="K32115" s="711"/>
      <c r="L32115" s="711"/>
      <c r="Q32115" s="11"/>
      <c r="R32115" s="11"/>
      <c r="S32115" s="11"/>
      <c r="T32115" s="11"/>
    </row>
    <row r="32116" spans="8:20" x14ac:dyDescent="0.35">
      <c r="H32116" s="711"/>
      <c r="I32116" s="711"/>
      <c r="J32116" s="711"/>
      <c r="K32116" s="711"/>
      <c r="L32116" s="711"/>
      <c r="Q32116" s="11"/>
      <c r="R32116" s="11"/>
      <c r="S32116" s="11"/>
      <c r="T32116" s="11"/>
    </row>
    <row r="32117" spans="8:20" x14ac:dyDescent="0.35">
      <c r="H32117" s="711"/>
      <c r="I32117" s="711"/>
      <c r="J32117" s="711"/>
      <c r="K32117" s="711"/>
      <c r="L32117" s="711"/>
      <c r="Q32117" s="11"/>
      <c r="R32117" s="11"/>
      <c r="S32117" s="11"/>
      <c r="T32117" s="11"/>
    </row>
    <row r="32118" spans="8:20" x14ac:dyDescent="0.35">
      <c r="H32118" s="711"/>
      <c r="I32118" s="711"/>
      <c r="J32118" s="711"/>
      <c r="K32118" s="711"/>
      <c r="L32118" s="711"/>
      <c r="Q32118" s="11"/>
      <c r="R32118" s="11"/>
      <c r="S32118" s="11"/>
      <c r="T32118" s="11"/>
    </row>
    <row r="32119" spans="8:20" x14ac:dyDescent="0.35">
      <c r="H32119" s="711"/>
      <c r="I32119" s="711"/>
      <c r="J32119" s="711"/>
      <c r="K32119" s="711"/>
      <c r="L32119" s="711"/>
      <c r="Q32119" s="11"/>
      <c r="R32119" s="11"/>
      <c r="S32119" s="11"/>
      <c r="T32119" s="11"/>
    </row>
    <row r="32120" spans="8:20" x14ac:dyDescent="0.35">
      <c r="H32120" s="711"/>
      <c r="I32120" s="711"/>
      <c r="J32120" s="711"/>
      <c r="K32120" s="711"/>
      <c r="L32120" s="711"/>
      <c r="Q32120" s="11"/>
      <c r="R32120" s="11"/>
      <c r="S32120" s="11"/>
      <c r="T32120" s="11"/>
    </row>
    <row r="32121" spans="8:20" x14ac:dyDescent="0.35">
      <c r="H32121" s="711"/>
      <c r="I32121" s="711"/>
      <c r="J32121" s="711"/>
      <c r="K32121" s="711"/>
      <c r="L32121" s="711"/>
      <c r="Q32121" s="11"/>
      <c r="R32121" s="11"/>
      <c r="S32121" s="11"/>
      <c r="T32121" s="11"/>
    </row>
    <row r="32122" spans="8:20" x14ac:dyDescent="0.35">
      <c r="H32122" s="711"/>
      <c r="I32122" s="711"/>
      <c r="J32122" s="711"/>
      <c r="K32122" s="711"/>
      <c r="L32122" s="711"/>
      <c r="Q32122" s="11"/>
      <c r="R32122" s="11"/>
      <c r="S32122" s="11"/>
      <c r="T32122" s="11"/>
    </row>
    <row r="32123" spans="8:20" x14ac:dyDescent="0.35">
      <c r="H32123" s="711"/>
      <c r="I32123" s="711"/>
      <c r="J32123" s="711"/>
      <c r="K32123" s="711"/>
      <c r="L32123" s="711"/>
      <c r="Q32123" s="11"/>
      <c r="R32123" s="11"/>
      <c r="S32123" s="11"/>
      <c r="T32123" s="11"/>
    </row>
    <row r="32124" spans="8:20" x14ac:dyDescent="0.35">
      <c r="H32124" s="711"/>
      <c r="I32124" s="711"/>
      <c r="J32124" s="711"/>
      <c r="K32124" s="711"/>
      <c r="L32124" s="711"/>
      <c r="Q32124" s="11"/>
      <c r="R32124" s="11"/>
      <c r="S32124" s="11"/>
      <c r="T32124" s="11"/>
    </row>
    <row r="32125" spans="8:20" x14ac:dyDescent="0.35">
      <c r="H32125" s="711"/>
      <c r="I32125" s="711"/>
      <c r="J32125" s="711"/>
      <c r="K32125" s="711"/>
      <c r="L32125" s="711"/>
      <c r="Q32125" s="11"/>
      <c r="R32125" s="11"/>
      <c r="S32125" s="11"/>
      <c r="T32125" s="11"/>
    </row>
    <row r="32126" spans="8:20" x14ac:dyDescent="0.35">
      <c r="H32126" s="711"/>
      <c r="I32126" s="711"/>
      <c r="J32126" s="711"/>
      <c r="K32126" s="711"/>
      <c r="L32126" s="711"/>
      <c r="Q32126" s="11"/>
      <c r="R32126" s="11"/>
      <c r="S32126" s="11"/>
      <c r="T32126" s="11"/>
    </row>
    <row r="32127" spans="8:20" x14ac:dyDescent="0.35">
      <c r="H32127" s="711"/>
      <c r="I32127" s="711"/>
      <c r="J32127" s="711"/>
      <c r="K32127" s="711"/>
      <c r="L32127" s="711"/>
      <c r="Q32127" s="11"/>
      <c r="R32127" s="11"/>
      <c r="S32127" s="11"/>
      <c r="T32127" s="11"/>
    </row>
    <row r="32128" spans="8:20" x14ac:dyDescent="0.35">
      <c r="H32128" s="711"/>
      <c r="I32128" s="711"/>
      <c r="J32128" s="711"/>
      <c r="K32128" s="711"/>
      <c r="L32128" s="711"/>
      <c r="Q32128" s="11"/>
      <c r="R32128" s="11"/>
      <c r="S32128" s="11"/>
      <c r="T32128" s="11"/>
    </row>
    <row r="32129" spans="8:20" x14ac:dyDescent="0.35">
      <c r="H32129" s="711"/>
      <c r="I32129" s="711"/>
      <c r="J32129" s="711"/>
      <c r="K32129" s="711"/>
      <c r="L32129" s="711"/>
      <c r="Q32129" s="11"/>
      <c r="R32129" s="11"/>
      <c r="S32129" s="11"/>
      <c r="T32129" s="11"/>
    </row>
    <row r="32130" spans="8:20" x14ac:dyDescent="0.35">
      <c r="H32130" s="711"/>
      <c r="I32130" s="711"/>
      <c r="J32130" s="711"/>
      <c r="K32130" s="711"/>
      <c r="L32130" s="711"/>
      <c r="Q32130" s="11"/>
      <c r="R32130" s="11"/>
      <c r="S32130" s="11"/>
      <c r="T32130" s="11"/>
    </row>
    <row r="32131" spans="8:20" x14ac:dyDescent="0.35">
      <c r="H32131" s="711"/>
      <c r="I32131" s="711"/>
      <c r="J32131" s="711"/>
      <c r="K32131" s="711"/>
      <c r="L32131" s="711"/>
      <c r="Q32131" s="11"/>
      <c r="R32131" s="11"/>
      <c r="S32131" s="11"/>
      <c r="T32131" s="11"/>
    </row>
    <row r="32132" spans="8:20" x14ac:dyDescent="0.35">
      <c r="H32132" s="711"/>
      <c r="I32132" s="711"/>
      <c r="J32132" s="711"/>
      <c r="K32132" s="711"/>
      <c r="L32132" s="711"/>
      <c r="Q32132" s="11"/>
      <c r="R32132" s="11"/>
      <c r="S32132" s="11"/>
      <c r="T32132" s="11"/>
    </row>
    <row r="32133" spans="8:20" x14ac:dyDescent="0.35">
      <c r="H32133" s="711"/>
      <c r="I32133" s="711"/>
      <c r="J32133" s="711"/>
      <c r="K32133" s="711"/>
      <c r="L32133" s="711"/>
      <c r="Q32133" s="11"/>
      <c r="R32133" s="11"/>
      <c r="S32133" s="11"/>
      <c r="T32133" s="11"/>
    </row>
    <row r="32134" spans="8:20" x14ac:dyDescent="0.35">
      <c r="H32134" s="711"/>
      <c r="I32134" s="711"/>
      <c r="J32134" s="711"/>
      <c r="K32134" s="711"/>
      <c r="L32134" s="711"/>
      <c r="Q32134" s="11"/>
      <c r="R32134" s="11"/>
      <c r="S32134" s="11"/>
      <c r="T32134" s="11"/>
    </row>
    <row r="32135" spans="8:20" x14ac:dyDescent="0.35">
      <c r="H32135" s="711"/>
      <c r="I32135" s="711"/>
      <c r="J32135" s="711"/>
      <c r="K32135" s="711"/>
      <c r="L32135" s="711"/>
      <c r="Q32135" s="11"/>
      <c r="R32135" s="11"/>
      <c r="S32135" s="11"/>
      <c r="T32135" s="11"/>
    </row>
    <row r="32136" spans="8:20" x14ac:dyDescent="0.35">
      <c r="H32136" s="711"/>
      <c r="I32136" s="711"/>
      <c r="J32136" s="711"/>
      <c r="K32136" s="711"/>
      <c r="L32136" s="711"/>
      <c r="Q32136" s="11"/>
      <c r="R32136" s="11"/>
      <c r="S32136" s="11"/>
      <c r="T32136" s="11"/>
    </row>
    <row r="32137" spans="8:20" x14ac:dyDescent="0.35">
      <c r="H32137" s="711"/>
      <c r="I32137" s="711"/>
      <c r="J32137" s="711"/>
      <c r="K32137" s="711"/>
      <c r="L32137" s="711"/>
      <c r="Q32137" s="11"/>
      <c r="R32137" s="11"/>
      <c r="S32137" s="11"/>
      <c r="T32137" s="11"/>
    </row>
    <row r="32138" spans="8:20" x14ac:dyDescent="0.35">
      <c r="H32138" s="711"/>
      <c r="I32138" s="711"/>
      <c r="J32138" s="711"/>
      <c r="K32138" s="711"/>
      <c r="L32138" s="711"/>
      <c r="Q32138" s="11"/>
      <c r="R32138" s="11"/>
      <c r="S32138" s="11"/>
      <c r="T32138" s="11"/>
    </row>
    <row r="32139" spans="8:20" x14ac:dyDescent="0.35">
      <c r="H32139" s="711"/>
      <c r="I32139" s="711"/>
      <c r="J32139" s="711"/>
      <c r="K32139" s="711"/>
      <c r="L32139" s="711"/>
      <c r="Q32139" s="11"/>
      <c r="R32139" s="11"/>
      <c r="S32139" s="11"/>
      <c r="T32139" s="11"/>
    </row>
    <row r="32140" spans="8:20" x14ac:dyDescent="0.35">
      <c r="H32140" s="711"/>
      <c r="I32140" s="711"/>
      <c r="J32140" s="711"/>
      <c r="K32140" s="711"/>
      <c r="L32140" s="711"/>
      <c r="Q32140" s="11"/>
      <c r="R32140" s="11"/>
      <c r="S32140" s="11"/>
      <c r="T32140" s="11"/>
    </row>
    <row r="32141" spans="8:20" x14ac:dyDescent="0.35">
      <c r="H32141" s="711"/>
      <c r="I32141" s="711"/>
      <c r="J32141" s="711"/>
      <c r="K32141" s="711"/>
      <c r="L32141" s="711"/>
      <c r="Q32141" s="11"/>
      <c r="R32141" s="11"/>
      <c r="S32141" s="11"/>
      <c r="T32141" s="11"/>
    </row>
    <row r="32142" spans="8:20" x14ac:dyDescent="0.35">
      <c r="H32142" s="711"/>
      <c r="I32142" s="711"/>
      <c r="J32142" s="711"/>
      <c r="K32142" s="711"/>
      <c r="L32142" s="711"/>
      <c r="Q32142" s="11"/>
      <c r="R32142" s="11"/>
      <c r="S32142" s="11"/>
      <c r="T32142" s="11"/>
    </row>
    <row r="32143" spans="8:20" x14ac:dyDescent="0.35">
      <c r="H32143" s="711"/>
      <c r="I32143" s="711"/>
      <c r="J32143" s="711"/>
      <c r="K32143" s="711"/>
      <c r="L32143" s="711"/>
      <c r="Q32143" s="11"/>
      <c r="R32143" s="11"/>
      <c r="S32143" s="11"/>
      <c r="T32143" s="11"/>
    </row>
    <row r="32144" spans="8:20" x14ac:dyDescent="0.35">
      <c r="H32144" s="711"/>
      <c r="I32144" s="711"/>
      <c r="J32144" s="711"/>
      <c r="K32144" s="711"/>
      <c r="L32144" s="711"/>
      <c r="Q32144" s="11"/>
      <c r="R32144" s="11"/>
      <c r="S32144" s="11"/>
      <c r="T32144" s="11"/>
    </row>
    <row r="32145" spans="8:20" x14ac:dyDescent="0.35">
      <c r="H32145" s="711"/>
      <c r="I32145" s="711"/>
      <c r="J32145" s="711"/>
      <c r="K32145" s="711"/>
      <c r="L32145" s="711"/>
      <c r="Q32145" s="11"/>
      <c r="R32145" s="11"/>
      <c r="S32145" s="11"/>
      <c r="T32145" s="11"/>
    </row>
    <row r="32146" spans="8:20" x14ac:dyDescent="0.35">
      <c r="H32146" s="711"/>
      <c r="I32146" s="711"/>
      <c r="J32146" s="711"/>
      <c r="K32146" s="711"/>
      <c r="L32146" s="711"/>
      <c r="Q32146" s="11"/>
      <c r="R32146" s="11"/>
      <c r="S32146" s="11"/>
      <c r="T32146" s="11"/>
    </row>
    <row r="32147" spans="8:20" x14ac:dyDescent="0.35">
      <c r="H32147" s="711"/>
      <c r="I32147" s="711"/>
      <c r="J32147" s="711"/>
      <c r="K32147" s="711"/>
      <c r="L32147" s="711"/>
      <c r="Q32147" s="11"/>
      <c r="R32147" s="11"/>
      <c r="S32147" s="11"/>
      <c r="T32147" s="11"/>
    </row>
    <row r="32148" spans="8:20" x14ac:dyDescent="0.35">
      <c r="H32148" s="711"/>
      <c r="I32148" s="711"/>
      <c r="J32148" s="711"/>
      <c r="K32148" s="711"/>
      <c r="L32148" s="711"/>
      <c r="Q32148" s="11"/>
      <c r="R32148" s="11"/>
      <c r="S32148" s="11"/>
      <c r="T32148" s="11"/>
    </row>
    <row r="32149" spans="8:20" x14ac:dyDescent="0.35">
      <c r="H32149" s="711"/>
      <c r="I32149" s="711"/>
      <c r="J32149" s="711"/>
      <c r="K32149" s="711"/>
      <c r="L32149" s="711"/>
      <c r="Q32149" s="11"/>
      <c r="R32149" s="11"/>
      <c r="S32149" s="11"/>
      <c r="T32149" s="11"/>
    </row>
    <row r="32150" spans="8:20" x14ac:dyDescent="0.35">
      <c r="H32150" s="711"/>
      <c r="I32150" s="711"/>
      <c r="J32150" s="711"/>
      <c r="K32150" s="711"/>
      <c r="L32150" s="711"/>
      <c r="Q32150" s="11"/>
      <c r="R32150" s="11"/>
      <c r="S32150" s="11"/>
      <c r="T32150" s="11"/>
    </row>
    <row r="32151" spans="8:20" x14ac:dyDescent="0.35">
      <c r="H32151" s="711"/>
      <c r="I32151" s="711"/>
      <c r="J32151" s="711"/>
      <c r="K32151" s="711"/>
      <c r="L32151" s="711"/>
      <c r="Q32151" s="11"/>
      <c r="R32151" s="11"/>
      <c r="S32151" s="11"/>
      <c r="T32151" s="11"/>
    </row>
    <row r="32152" spans="8:20" x14ac:dyDescent="0.35">
      <c r="H32152" s="711"/>
      <c r="I32152" s="711"/>
      <c r="J32152" s="711"/>
      <c r="K32152" s="711"/>
      <c r="L32152" s="711"/>
      <c r="Q32152" s="11"/>
      <c r="R32152" s="11"/>
      <c r="S32152" s="11"/>
      <c r="T32152" s="11"/>
    </row>
    <row r="32153" spans="8:20" x14ac:dyDescent="0.35">
      <c r="H32153" s="711"/>
      <c r="I32153" s="711"/>
      <c r="J32153" s="711"/>
      <c r="K32153" s="711"/>
      <c r="L32153" s="711"/>
      <c r="Q32153" s="11"/>
      <c r="R32153" s="11"/>
      <c r="S32153" s="11"/>
      <c r="T32153" s="11"/>
    </row>
    <row r="32154" spans="8:20" x14ac:dyDescent="0.35">
      <c r="H32154" s="711"/>
      <c r="I32154" s="711"/>
      <c r="J32154" s="711"/>
      <c r="K32154" s="711"/>
      <c r="L32154" s="711"/>
      <c r="Q32154" s="11"/>
      <c r="R32154" s="11"/>
      <c r="S32154" s="11"/>
      <c r="T32154" s="11"/>
    </row>
    <row r="32155" spans="8:20" x14ac:dyDescent="0.35">
      <c r="H32155" s="711"/>
      <c r="I32155" s="711"/>
      <c r="J32155" s="711"/>
      <c r="K32155" s="711"/>
      <c r="L32155" s="711"/>
      <c r="Q32155" s="11"/>
      <c r="R32155" s="11"/>
      <c r="S32155" s="11"/>
      <c r="T32155" s="11"/>
    </row>
    <row r="32156" spans="8:20" x14ac:dyDescent="0.35">
      <c r="H32156" s="711"/>
      <c r="I32156" s="711"/>
      <c r="J32156" s="711"/>
      <c r="K32156" s="711"/>
      <c r="L32156" s="711"/>
      <c r="Q32156" s="11"/>
      <c r="R32156" s="11"/>
      <c r="S32156" s="11"/>
      <c r="T32156" s="11"/>
    </row>
    <row r="32157" spans="8:20" x14ac:dyDescent="0.35">
      <c r="H32157" s="711"/>
      <c r="I32157" s="711"/>
      <c r="J32157" s="711"/>
      <c r="K32157" s="711"/>
      <c r="L32157" s="711"/>
      <c r="Q32157" s="11"/>
      <c r="R32157" s="11"/>
      <c r="S32157" s="11"/>
      <c r="T32157" s="11"/>
    </row>
    <row r="32158" spans="8:20" x14ac:dyDescent="0.35">
      <c r="H32158" s="711"/>
      <c r="I32158" s="711"/>
      <c r="J32158" s="711"/>
      <c r="K32158" s="711"/>
      <c r="L32158" s="711"/>
      <c r="Q32158" s="11"/>
      <c r="R32158" s="11"/>
      <c r="S32158" s="11"/>
      <c r="T32158" s="11"/>
    </row>
    <row r="32159" spans="8:20" x14ac:dyDescent="0.35">
      <c r="H32159" s="711"/>
      <c r="I32159" s="711"/>
      <c r="J32159" s="711"/>
      <c r="K32159" s="711"/>
      <c r="L32159" s="711"/>
      <c r="Q32159" s="11"/>
      <c r="R32159" s="11"/>
      <c r="S32159" s="11"/>
      <c r="T32159" s="11"/>
    </row>
    <row r="32160" spans="8:20" x14ac:dyDescent="0.35">
      <c r="H32160" s="711"/>
      <c r="I32160" s="711"/>
      <c r="J32160" s="711"/>
      <c r="K32160" s="711"/>
      <c r="L32160" s="711"/>
      <c r="Q32160" s="11"/>
      <c r="R32160" s="11"/>
      <c r="S32160" s="11"/>
      <c r="T32160" s="11"/>
    </row>
    <row r="32161" spans="8:20" x14ac:dyDescent="0.35">
      <c r="H32161" s="711"/>
      <c r="I32161" s="711"/>
      <c r="J32161" s="711"/>
      <c r="K32161" s="711"/>
      <c r="L32161" s="711"/>
      <c r="Q32161" s="11"/>
      <c r="R32161" s="11"/>
      <c r="S32161" s="11"/>
      <c r="T32161" s="11"/>
    </row>
    <row r="32162" spans="8:20" x14ac:dyDescent="0.35">
      <c r="H32162" s="711"/>
      <c r="I32162" s="711"/>
      <c r="J32162" s="711"/>
      <c r="K32162" s="711"/>
      <c r="L32162" s="711"/>
      <c r="Q32162" s="11"/>
      <c r="R32162" s="11"/>
      <c r="S32162" s="11"/>
      <c r="T32162" s="11"/>
    </row>
    <row r="32163" spans="8:20" x14ac:dyDescent="0.35">
      <c r="H32163" s="711"/>
      <c r="I32163" s="711"/>
      <c r="J32163" s="711"/>
      <c r="K32163" s="711"/>
      <c r="L32163" s="711"/>
      <c r="Q32163" s="11"/>
      <c r="R32163" s="11"/>
      <c r="S32163" s="11"/>
      <c r="T32163" s="11"/>
    </row>
    <row r="32164" spans="8:20" x14ac:dyDescent="0.35">
      <c r="H32164" s="711"/>
      <c r="I32164" s="711"/>
      <c r="J32164" s="711"/>
      <c r="K32164" s="711"/>
      <c r="L32164" s="711"/>
      <c r="Q32164" s="11"/>
      <c r="R32164" s="11"/>
      <c r="S32164" s="11"/>
      <c r="T32164" s="11"/>
    </row>
    <row r="32165" spans="8:20" x14ac:dyDescent="0.35">
      <c r="H32165" s="711"/>
      <c r="I32165" s="711"/>
      <c r="J32165" s="711"/>
      <c r="K32165" s="711"/>
      <c r="L32165" s="711"/>
      <c r="Q32165" s="11"/>
      <c r="R32165" s="11"/>
      <c r="S32165" s="11"/>
      <c r="T32165" s="11"/>
    </row>
    <row r="32166" spans="8:20" x14ac:dyDescent="0.35">
      <c r="H32166" s="711"/>
      <c r="I32166" s="711"/>
      <c r="J32166" s="711"/>
      <c r="K32166" s="711"/>
      <c r="L32166" s="711"/>
      <c r="Q32166" s="11"/>
      <c r="R32166" s="11"/>
      <c r="S32166" s="11"/>
      <c r="T32166" s="11"/>
    </row>
    <row r="32167" spans="8:20" x14ac:dyDescent="0.35">
      <c r="H32167" s="711"/>
      <c r="I32167" s="711"/>
      <c r="J32167" s="711"/>
      <c r="K32167" s="711"/>
      <c r="L32167" s="711"/>
      <c r="Q32167" s="11"/>
      <c r="R32167" s="11"/>
      <c r="S32167" s="11"/>
      <c r="T32167" s="11"/>
    </row>
    <row r="32168" spans="8:20" x14ac:dyDescent="0.35">
      <c r="H32168" s="711"/>
      <c r="I32168" s="711"/>
      <c r="J32168" s="711"/>
      <c r="K32168" s="711"/>
      <c r="L32168" s="711"/>
      <c r="Q32168" s="11"/>
      <c r="R32168" s="11"/>
      <c r="S32168" s="11"/>
      <c r="T32168" s="11"/>
    </row>
    <row r="32169" spans="8:20" x14ac:dyDescent="0.35">
      <c r="H32169" s="711"/>
      <c r="I32169" s="711"/>
      <c r="J32169" s="711"/>
      <c r="K32169" s="711"/>
      <c r="L32169" s="711"/>
      <c r="Q32169" s="11"/>
      <c r="R32169" s="11"/>
      <c r="S32169" s="11"/>
      <c r="T32169" s="11"/>
    </row>
    <row r="32170" spans="8:20" x14ac:dyDescent="0.35">
      <c r="H32170" s="711"/>
      <c r="I32170" s="711"/>
      <c r="J32170" s="711"/>
      <c r="K32170" s="711"/>
      <c r="L32170" s="711"/>
      <c r="Q32170" s="11"/>
      <c r="R32170" s="11"/>
      <c r="S32170" s="11"/>
      <c r="T32170" s="11"/>
    </row>
    <row r="32171" spans="8:20" x14ac:dyDescent="0.35">
      <c r="H32171" s="711"/>
      <c r="I32171" s="711"/>
      <c r="J32171" s="711"/>
      <c r="K32171" s="711"/>
      <c r="L32171" s="711"/>
      <c r="Q32171" s="11"/>
      <c r="R32171" s="11"/>
      <c r="S32171" s="11"/>
      <c r="T32171" s="11"/>
    </row>
    <row r="32172" spans="8:20" x14ac:dyDescent="0.35">
      <c r="H32172" s="711"/>
      <c r="I32172" s="711"/>
      <c r="J32172" s="711"/>
      <c r="K32172" s="711"/>
      <c r="L32172" s="711"/>
      <c r="Q32172" s="11"/>
      <c r="R32172" s="11"/>
      <c r="S32172" s="11"/>
      <c r="T32172" s="11"/>
    </row>
    <row r="32173" spans="8:20" x14ac:dyDescent="0.35">
      <c r="H32173" s="711"/>
      <c r="I32173" s="711"/>
      <c r="J32173" s="711"/>
      <c r="K32173" s="711"/>
      <c r="L32173" s="711"/>
      <c r="Q32173" s="11"/>
      <c r="R32173" s="11"/>
      <c r="S32173" s="11"/>
      <c r="T32173" s="11"/>
    </row>
    <row r="32174" spans="8:20" x14ac:dyDescent="0.35">
      <c r="H32174" s="711"/>
      <c r="I32174" s="711"/>
      <c r="J32174" s="711"/>
      <c r="K32174" s="711"/>
      <c r="L32174" s="711"/>
      <c r="Q32174" s="11"/>
      <c r="R32174" s="11"/>
      <c r="S32174" s="11"/>
      <c r="T32174" s="11"/>
    </row>
    <row r="32175" spans="8:20" x14ac:dyDescent="0.35">
      <c r="H32175" s="711"/>
      <c r="I32175" s="711"/>
      <c r="J32175" s="711"/>
      <c r="K32175" s="711"/>
      <c r="L32175" s="711"/>
      <c r="Q32175" s="11"/>
      <c r="R32175" s="11"/>
      <c r="S32175" s="11"/>
      <c r="T32175" s="11"/>
    </row>
    <row r="32176" spans="8:20" x14ac:dyDescent="0.35">
      <c r="H32176" s="711"/>
      <c r="I32176" s="711"/>
      <c r="J32176" s="711"/>
      <c r="K32176" s="711"/>
      <c r="L32176" s="711"/>
      <c r="Q32176" s="11"/>
      <c r="R32176" s="11"/>
      <c r="S32176" s="11"/>
      <c r="T32176" s="11"/>
    </row>
    <row r="32177" spans="8:20" x14ac:dyDescent="0.35">
      <c r="H32177" s="711"/>
      <c r="I32177" s="711"/>
      <c r="J32177" s="711"/>
      <c r="K32177" s="711"/>
      <c r="L32177" s="711"/>
      <c r="Q32177" s="11"/>
      <c r="R32177" s="11"/>
      <c r="S32177" s="11"/>
      <c r="T32177" s="11"/>
    </row>
    <row r="32178" spans="8:20" x14ac:dyDescent="0.35">
      <c r="H32178" s="711"/>
      <c r="I32178" s="711"/>
      <c r="J32178" s="711"/>
      <c r="K32178" s="711"/>
      <c r="L32178" s="711"/>
      <c r="Q32178" s="11"/>
      <c r="R32178" s="11"/>
      <c r="S32178" s="11"/>
      <c r="T32178" s="11"/>
    </row>
    <row r="32179" spans="8:20" x14ac:dyDescent="0.35">
      <c r="H32179" s="711"/>
      <c r="I32179" s="711"/>
      <c r="J32179" s="711"/>
      <c r="K32179" s="711"/>
      <c r="L32179" s="711"/>
      <c r="Q32179" s="11"/>
      <c r="R32179" s="11"/>
      <c r="S32179" s="11"/>
      <c r="T32179" s="11"/>
    </row>
    <row r="32180" spans="8:20" x14ac:dyDescent="0.35">
      <c r="H32180" s="711"/>
      <c r="I32180" s="711"/>
      <c r="J32180" s="711"/>
      <c r="K32180" s="711"/>
      <c r="L32180" s="711"/>
      <c r="Q32180" s="11"/>
      <c r="R32180" s="11"/>
      <c r="S32180" s="11"/>
      <c r="T32180" s="11"/>
    </row>
    <row r="32181" spans="8:20" x14ac:dyDescent="0.35">
      <c r="H32181" s="711"/>
      <c r="I32181" s="711"/>
      <c r="J32181" s="711"/>
      <c r="K32181" s="711"/>
      <c r="L32181" s="711"/>
      <c r="Q32181" s="11"/>
      <c r="R32181" s="11"/>
      <c r="S32181" s="11"/>
      <c r="T32181" s="11"/>
    </row>
    <row r="32182" spans="8:20" x14ac:dyDescent="0.35">
      <c r="H32182" s="711"/>
      <c r="I32182" s="711"/>
      <c r="J32182" s="711"/>
      <c r="K32182" s="711"/>
      <c r="L32182" s="711"/>
      <c r="Q32182" s="11"/>
      <c r="R32182" s="11"/>
      <c r="S32182" s="11"/>
      <c r="T32182" s="11"/>
    </row>
    <row r="32183" spans="8:20" x14ac:dyDescent="0.35">
      <c r="H32183" s="711"/>
      <c r="I32183" s="711"/>
      <c r="J32183" s="711"/>
      <c r="K32183" s="711"/>
      <c r="L32183" s="711"/>
      <c r="Q32183" s="11"/>
      <c r="R32183" s="11"/>
      <c r="S32183" s="11"/>
      <c r="T32183" s="11"/>
    </row>
    <row r="32184" spans="8:20" x14ac:dyDescent="0.35">
      <c r="H32184" s="711"/>
      <c r="I32184" s="711"/>
      <c r="J32184" s="711"/>
      <c r="K32184" s="711"/>
      <c r="L32184" s="711"/>
      <c r="Q32184" s="11"/>
      <c r="R32184" s="11"/>
      <c r="S32184" s="11"/>
      <c r="T32184" s="11"/>
    </row>
    <row r="32185" spans="8:20" x14ac:dyDescent="0.35">
      <c r="H32185" s="711"/>
      <c r="I32185" s="711"/>
      <c r="J32185" s="711"/>
      <c r="K32185" s="711"/>
      <c r="L32185" s="711"/>
      <c r="Q32185" s="11"/>
      <c r="R32185" s="11"/>
      <c r="S32185" s="11"/>
      <c r="T32185" s="11"/>
    </row>
    <row r="32186" spans="8:20" x14ac:dyDescent="0.35">
      <c r="H32186" s="711"/>
      <c r="I32186" s="711"/>
      <c r="J32186" s="711"/>
      <c r="K32186" s="711"/>
      <c r="L32186" s="711"/>
      <c r="Q32186" s="11"/>
      <c r="R32186" s="11"/>
      <c r="S32186" s="11"/>
      <c r="T32186" s="11"/>
    </row>
    <row r="32187" spans="8:20" x14ac:dyDescent="0.35">
      <c r="H32187" s="711"/>
      <c r="I32187" s="711"/>
      <c r="J32187" s="711"/>
      <c r="K32187" s="711"/>
      <c r="L32187" s="711"/>
      <c r="Q32187" s="11"/>
      <c r="R32187" s="11"/>
      <c r="S32187" s="11"/>
      <c r="T32187" s="11"/>
    </row>
    <row r="32188" spans="8:20" x14ac:dyDescent="0.35">
      <c r="H32188" s="711"/>
      <c r="I32188" s="711"/>
      <c r="J32188" s="711"/>
      <c r="K32188" s="711"/>
      <c r="L32188" s="711"/>
      <c r="Q32188" s="11"/>
      <c r="R32188" s="11"/>
      <c r="S32188" s="11"/>
      <c r="T32188" s="11"/>
    </row>
    <row r="32189" spans="8:20" x14ac:dyDescent="0.35">
      <c r="H32189" s="711"/>
      <c r="I32189" s="711"/>
      <c r="J32189" s="711"/>
      <c r="K32189" s="711"/>
      <c r="L32189" s="711"/>
      <c r="Q32189" s="11"/>
      <c r="R32189" s="11"/>
      <c r="S32189" s="11"/>
      <c r="T32189" s="11"/>
    </row>
    <row r="32190" spans="8:20" x14ac:dyDescent="0.35">
      <c r="H32190" s="711"/>
      <c r="I32190" s="711"/>
      <c r="J32190" s="711"/>
      <c r="K32190" s="711"/>
      <c r="L32190" s="711"/>
      <c r="Q32190" s="11"/>
      <c r="R32190" s="11"/>
      <c r="S32190" s="11"/>
      <c r="T32190" s="11"/>
    </row>
    <row r="32191" spans="8:20" x14ac:dyDescent="0.35">
      <c r="H32191" s="711"/>
      <c r="I32191" s="711"/>
      <c r="J32191" s="711"/>
      <c r="K32191" s="711"/>
      <c r="L32191" s="711"/>
      <c r="Q32191" s="11"/>
      <c r="R32191" s="11"/>
      <c r="S32191" s="11"/>
      <c r="T32191" s="11"/>
    </row>
    <row r="32192" spans="8:20" x14ac:dyDescent="0.35">
      <c r="H32192" s="711"/>
      <c r="I32192" s="711"/>
      <c r="J32192" s="711"/>
      <c r="K32192" s="711"/>
      <c r="L32192" s="711"/>
      <c r="Q32192" s="11"/>
      <c r="R32192" s="11"/>
      <c r="S32192" s="11"/>
      <c r="T32192" s="11"/>
    </row>
    <row r="32193" spans="8:20" x14ac:dyDescent="0.35">
      <c r="H32193" s="711"/>
      <c r="I32193" s="711"/>
      <c r="J32193" s="711"/>
      <c r="K32193" s="711"/>
      <c r="L32193" s="711"/>
      <c r="Q32193" s="11"/>
      <c r="R32193" s="11"/>
      <c r="S32193" s="11"/>
      <c r="T32193" s="11"/>
    </row>
    <row r="32194" spans="8:20" x14ac:dyDescent="0.35">
      <c r="H32194" s="711"/>
      <c r="I32194" s="711"/>
      <c r="J32194" s="711"/>
      <c r="K32194" s="711"/>
      <c r="L32194" s="711"/>
      <c r="Q32194" s="11"/>
      <c r="R32194" s="11"/>
      <c r="S32194" s="11"/>
      <c r="T32194" s="11"/>
    </row>
    <row r="32195" spans="8:20" x14ac:dyDescent="0.35">
      <c r="H32195" s="711"/>
      <c r="I32195" s="711"/>
      <c r="J32195" s="711"/>
      <c r="K32195" s="711"/>
      <c r="L32195" s="711"/>
      <c r="Q32195" s="11"/>
      <c r="R32195" s="11"/>
      <c r="S32195" s="11"/>
      <c r="T32195" s="11"/>
    </row>
    <row r="32196" spans="8:20" x14ac:dyDescent="0.35">
      <c r="H32196" s="711"/>
      <c r="I32196" s="711"/>
      <c r="J32196" s="711"/>
      <c r="K32196" s="711"/>
      <c r="L32196" s="711"/>
      <c r="Q32196" s="11"/>
      <c r="R32196" s="11"/>
      <c r="S32196" s="11"/>
      <c r="T32196" s="11"/>
    </row>
    <row r="32197" spans="8:20" x14ac:dyDescent="0.35">
      <c r="H32197" s="711"/>
      <c r="I32197" s="711"/>
      <c r="J32197" s="711"/>
      <c r="K32197" s="711"/>
      <c r="L32197" s="711"/>
      <c r="Q32197" s="11"/>
      <c r="R32197" s="11"/>
      <c r="S32197" s="11"/>
      <c r="T32197" s="11"/>
    </row>
    <row r="32198" spans="8:20" x14ac:dyDescent="0.35">
      <c r="H32198" s="711"/>
      <c r="I32198" s="711"/>
      <c r="J32198" s="711"/>
      <c r="K32198" s="711"/>
      <c r="L32198" s="711"/>
      <c r="Q32198" s="11"/>
      <c r="R32198" s="11"/>
      <c r="S32198" s="11"/>
      <c r="T32198" s="11"/>
    </row>
    <row r="32199" spans="8:20" x14ac:dyDescent="0.35">
      <c r="H32199" s="711"/>
      <c r="I32199" s="711"/>
      <c r="J32199" s="711"/>
      <c r="K32199" s="711"/>
      <c r="L32199" s="711"/>
      <c r="Q32199" s="11"/>
      <c r="R32199" s="11"/>
      <c r="S32199" s="11"/>
      <c r="T32199" s="11"/>
    </row>
    <row r="32200" spans="8:20" x14ac:dyDescent="0.35">
      <c r="H32200" s="711"/>
      <c r="I32200" s="711"/>
      <c r="J32200" s="711"/>
      <c r="K32200" s="711"/>
      <c r="L32200" s="711"/>
      <c r="Q32200" s="11"/>
      <c r="R32200" s="11"/>
      <c r="S32200" s="11"/>
      <c r="T32200" s="11"/>
    </row>
    <row r="32201" spans="8:20" x14ac:dyDescent="0.35">
      <c r="H32201" s="711"/>
      <c r="I32201" s="711"/>
      <c r="J32201" s="711"/>
      <c r="K32201" s="711"/>
      <c r="L32201" s="711"/>
      <c r="Q32201" s="11"/>
      <c r="R32201" s="11"/>
      <c r="S32201" s="11"/>
      <c r="T32201" s="11"/>
    </row>
    <row r="32202" spans="8:20" x14ac:dyDescent="0.35">
      <c r="H32202" s="711"/>
      <c r="I32202" s="711"/>
      <c r="J32202" s="711"/>
      <c r="K32202" s="711"/>
      <c r="L32202" s="711"/>
      <c r="Q32202" s="11"/>
      <c r="R32202" s="11"/>
      <c r="S32202" s="11"/>
      <c r="T32202" s="11"/>
    </row>
    <row r="32203" spans="8:20" x14ac:dyDescent="0.35">
      <c r="H32203" s="711"/>
      <c r="I32203" s="711"/>
      <c r="J32203" s="711"/>
      <c r="K32203" s="711"/>
      <c r="L32203" s="711"/>
      <c r="Q32203" s="11"/>
      <c r="R32203" s="11"/>
      <c r="S32203" s="11"/>
      <c r="T32203" s="11"/>
    </row>
    <row r="32204" spans="8:20" x14ac:dyDescent="0.35">
      <c r="H32204" s="711"/>
      <c r="I32204" s="711"/>
      <c r="J32204" s="711"/>
      <c r="K32204" s="711"/>
      <c r="L32204" s="711"/>
      <c r="Q32204" s="11"/>
      <c r="R32204" s="11"/>
      <c r="S32204" s="11"/>
      <c r="T32204" s="11"/>
    </row>
    <row r="32205" spans="8:20" x14ac:dyDescent="0.35">
      <c r="H32205" s="711"/>
      <c r="I32205" s="711"/>
      <c r="J32205" s="711"/>
      <c r="K32205" s="711"/>
      <c r="L32205" s="711"/>
      <c r="Q32205" s="11"/>
      <c r="R32205" s="11"/>
      <c r="S32205" s="11"/>
      <c r="T32205" s="11"/>
    </row>
    <row r="32206" spans="8:20" x14ac:dyDescent="0.35">
      <c r="H32206" s="711"/>
      <c r="I32206" s="711"/>
      <c r="J32206" s="711"/>
      <c r="K32206" s="711"/>
      <c r="L32206" s="711"/>
      <c r="Q32206" s="11"/>
      <c r="R32206" s="11"/>
      <c r="S32206" s="11"/>
      <c r="T32206" s="11"/>
    </row>
    <row r="32207" spans="8:20" x14ac:dyDescent="0.35">
      <c r="H32207" s="711"/>
      <c r="I32207" s="711"/>
      <c r="J32207" s="711"/>
      <c r="K32207" s="711"/>
      <c r="L32207" s="711"/>
      <c r="Q32207" s="11"/>
      <c r="R32207" s="11"/>
      <c r="S32207" s="11"/>
      <c r="T32207" s="11"/>
    </row>
    <row r="32208" spans="8:20" x14ac:dyDescent="0.35">
      <c r="H32208" s="711"/>
      <c r="I32208" s="711"/>
      <c r="J32208" s="711"/>
      <c r="K32208" s="711"/>
      <c r="L32208" s="711"/>
      <c r="Q32208" s="11"/>
      <c r="R32208" s="11"/>
      <c r="S32208" s="11"/>
      <c r="T32208" s="11"/>
    </row>
    <row r="32209" spans="8:20" x14ac:dyDescent="0.35">
      <c r="H32209" s="711"/>
      <c r="I32209" s="711"/>
      <c r="J32209" s="711"/>
      <c r="K32209" s="711"/>
      <c r="L32209" s="711"/>
      <c r="Q32209" s="11"/>
      <c r="R32209" s="11"/>
      <c r="S32209" s="11"/>
      <c r="T32209" s="11"/>
    </row>
    <row r="32210" spans="8:20" x14ac:dyDescent="0.35">
      <c r="H32210" s="711"/>
      <c r="I32210" s="711"/>
      <c r="J32210" s="711"/>
      <c r="K32210" s="711"/>
      <c r="L32210" s="711"/>
      <c r="Q32210" s="11"/>
      <c r="R32210" s="11"/>
      <c r="S32210" s="11"/>
      <c r="T32210" s="11"/>
    </row>
    <row r="32211" spans="8:20" x14ac:dyDescent="0.35">
      <c r="H32211" s="711"/>
      <c r="I32211" s="711"/>
      <c r="J32211" s="711"/>
      <c r="K32211" s="711"/>
      <c r="L32211" s="711"/>
      <c r="Q32211" s="11"/>
      <c r="R32211" s="11"/>
      <c r="S32211" s="11"/>
      <c r="T32211" s="11"/>
    </row>
    <row r="32212" spans="8:20" x14ac:dyDescent="0.35">
      <c r="H32212" s="711"/>
      <c r="I32212" s="711"/>
      <c r="J32212" s="711"/>
      <c r="K32212" s="711"/>
      <c r="L32212" s="711"/>
      <c r="Q32212" s="11"/>
      <c r="R32212" s="11"/>
      <c r="S32212" s="11"/>
      <c r="T32212" s="11"/>
    </row>
    <row r="32213" spans="8:20" x14ac:dyDescent="0.35">
      <c r="H32213" s="711"/>
      <c r="I32213" s="711"/>
      <c r="J32213" s="711"/>
      <c r="K32213" s="711"/>
      <c r="L32213" s="711"/>
      <c r="Q32213" s="11"/>
      <c r="R32213" s="11"/>
      <c r="S32213" s="11"/>
      <c r="T32213" s="11"/>
    </row>
    <row r="32214" spans="8:20" x14ac:dyDescent="0.35">
      <c r="H32214" s="711"/>
      <c r="I32214" s="711"/>
      <c r="J32214" s="711"/>
      <c r="K32214" s="711"/>
      <c r="L32214" s="711"/>
      <c r="Q32214" s="11"/>
      <c r="R32214" s="11"/>
      <c r="S32214" s="11"/>
      <c r="T32214" s="11"/>
    </row>
    <row r="32215" spans="8:20" x14ac:dyDescent="0.35">
      <c r="H32215" s="711"/>
      <c r="I32215" s="711"/>
      <c r="J32215" s="711"/>
      <c r="K32215" s="711"/>
      <c r="L32215" s="711"/>
      <c r="Q32215" s="11"/>
      <c r="R32215" s="11"/>
      <c r="S32215" s="11"/>
      <c r="T32215" s="11"/>
    </row>
    <row r="32216" spans="8:20" x14ac:dyDescent="0.35">
      <c r="H32216" s="711"/>
      <c r="I32216" s="711"/>
      <c r="J32216" s="711"/>
      <c r="K32216" s="711"/>
      <c r="L32216" s="711"/>
      <c r="Q32216" s="11"/>
      <c r="R32216" s="11"/>
      <c r="S32216" s="11"/>
      <c r="T32216" s="11"/>
    </row>
    <row r="32217" spans="8:20" x14ac:dyDescent="0.35">
      <c r="H32217" s="711"/>
      <c r="I32217" s="711"/>
      <c r="J32217" s="711"/>
      <c r="K32217" s="711"/>
      <c r="L32217" s="711"/>
      <c r="Q32217" s="11"/>
      <c r="R32217" s="11"/>
      <c r="S32217" s="11"/>
      <c r="T32217" s="11"/>
    </row>
    <row r="32218" spans="8:20" x14ac:dyDescent="0.35">
      <c r="H32218" s="711"/>
      <c r="I32218" s="711"/>
      <c r="J32218" s="711"/>
      <c r="K32218" s="711"/>
      <c r="L32218" s="711"/>
      <c r="Q32218" s="11"/>
      <c r="R32218" s="11"/>
      <c r="S32218" s="11"/>
      <c r="T32218" s="11"/>
    </row>
    <row r="32219" spans="8:20" x14ac:dyDescent="0.35">
      <c r="H32219" s="711"/>
      <c r="I32219" s="711"/>
      <c r="J32219" s="711"/>
      <c r="K32219" s="711"/>
      <c r="L32219" s="711"/>
      <c r="Q32219" s="11"/>
      <c r="R32219" s="11"/>
      <c r="S32219" s="11"/>
      <c r="T32219" s="11"/>
    </row>
    <row r="32220" spans="8:20" x14ac:dyDescent="0.35">
      <c r="H32220" s="711"/>
      <c r="I32220" s="711"/>
      <c r="J32220" s="711"/>
      <c r="K32220" s="711"/>
      <c r="L32220" s="711"/>
      <c r="Q32220" s="11"/>
      <c r="R32220" s="11"/>
      <c r="S32220" s="11"/>
      <c r="T32220" s="11"/>
    </row>
    <row r="32221" spans="8:20" x14ac:dyDescent="0.35">
      <c r="H32221" s="711"/>
      <c r="I32221" s="711"/>
      <c r="J32221" s="711"/>
      <c r="K32221" s="711"/>
      <c r="L32221" s="711"/>
      <c r="Q32221" s="11"/>
      <c r="R32221" s="11"/>
      <c r="S32221" s="11"/>
      <c r="T32221" s="11"/>
    </row>
    <row r="32222" spans="8:20" x14ac:dyDescent="0.35">
      <c r="H32222" s="711"/>
      <c r="I32222" s="711"/>
      <c r="J32222" s="711"/>
      <c r="K32222" s="711"/>
      <c r="L32222" s="711"/>
      <c r="Q32222" s="11"/>
      <c r="R32222" s="11"/>
      <c r="S32222" s="11"/>
      <c r="T32222" s="11"/>
    </row>
    <row r="32223" spans="8:20" x14ac:dyDescent="0.35">
      <c r="H32223" s="711"/>
      <c r="I32223" s="711"/>
      <c r="J32223" s="711"/>
      <c r="K32223" s="711"/>
      <c r="L32223" s="711"/>
      <c r="Q32223" s="11"/>
      <c r="R32223" s="11"/>
      <c r="S32223" s="11"/>
      <c r="T32223" s="11"/>
    </row>
    <row r="32224" spans="8:20" x14ac:dyDescent="0.35">
      <c r="H32224" s="711"/>
      <c r="I32224" s="711"/>
      <c r="J32224" s="711"/>
      <c r="K32224" s="711"/>
      <c r="L32224" s="711"/>
      <c r="Q32224" s="11"/>
      <c r="R32224" s="11"/>
      <c r="S32224" s="11"/>
      <c r="T32224" s="11"/>
    </row>
    <row r="32225" spans="8:20" x14ac:dyDescent="0.35">
      <c r="H32225" s="711"/>
      <c r="I32225" s="711"/>
      <c r="J32225" s="711"/>
      <c r="K32225" s="711"/>
      <c r="L32225" s="711"/>
      <c r="Q32225" s="11"/>
      <c r="R32225" s="11"/>
      <c r="S32225" s="11"/>
      <c r="T32225" s="11"/>
    </row>
    <row r="32226" spans="8:20" x14ac:dyDescent="0.35">
      <c r="H32226" s="711"/>
      <c r="I32226" s="711"/>
      <c r="J32226" s="711"/>
      <c r="K32226" s="711"/>
      <c r="L32226" s="711"/>
      <c r="Q32226" s="11"/>
      <c r="R32226" s="11"/>
      <c r="S32226" s="11"/>
      <c r="T32226" s="11"/>
    </row>
    <row r="32227" spans="8:20" x14ac:dyDescent="0.35">
      <c r="H32227" s="711"/>
      <c r="I32227" s="711"/>
      <c r="J32227" s="711"/>
      <c r="K32227" s="711"/>
      <c r="L32227" s="711"/>
      <c r="Q32227" s="11"/>
      <c r="R32227" s="11"/>
      <c r="S32227" s="11"/>
      <c r="T32227" s="11"/>
    </row>
    <row r="32228" spans="8:20" x14ac:dyDescent="0.35">
      <c r="H32228" s="711"/>
      <c r="I32228" s="711"/>
      <c r="J32228" s="711"/>
      <c r="K32228" s="711"/>
      <c r="L32228" s="711"/>
      <c r="Q32228" s="11"/>
      <c r="R32228" s="11"/>
      <c r="S32228" s="11"/>
      <c r="T32228" s="11"/>
    </row>
    <row r="32229" spans="8:20" x14ac:dyDescent="0.35">
      <c r="H32229" s="711"/>
      <c r="I32229" s="711"/>
      <c r="J32229" s="711"/>
      <c r="K32229" s="711"/>
      <c r="L32229" s="711"/>
      <c r="Q32229" s="11"/>
      <c r="R32229" s="11"/>
      <c r="S32229" s="11"/>
      <c r="T32229" s="11"/>
    </row>
    <row r="32230" spans="8:20" x14ac:dyDescent="0.35">
      <c r="H32230" s="711"/>
      <c r="I32230" s="711"/>
      <c r="J32230" s="711"/>
      <c r="K32230" s="711"/>
      <c r="L32230" s="711"/>
      <c r="Q32230" s="11"/>
      <c r="R32230" s="11"/>
      <c r="S32230" s="11"/>
      <c r="T32230" s="11"/>
    </row>
    <row r="32231" spans="8:20" x14ac:dyDescent="0.35">
      <c r="H32231" s="711"/>
      <c r="I32231" s="711"/>
      <c r="J32231" s="711"/>
      <c r="K32231" s="711"/>
      <c r="L32231" s="711"/>
      <c r="Q32231" s="11"/>
      <c r="R32231" s="11"/>
      <c r="S32231" s="11"/>
      <c r="T32231" s="11"/>
    </row>
    <row r="32232" spans="8:20" x14ac:dyDescent="0.35">
      <c r="H32232" s="711"/>
      <c r="I32232" s="711"/>
      <c r="J32232" s="711"/>
      <c r="K32232" s="711"/>
      <c r="L32232" s="711"/>
      <c r="Q32232" s="11"/>
      <c r="R32232" s="11"/>
      <c r="S32232" s="11"/>
      <c r="T32232" s="11"/>
    </row>
    <row r="32233" spans="8:20" x14ac:dyDescent="0.35">
      <c r="H32233" s="711"/>
      <c r="I32233" s="711"/>
      <c r="J32233" s="711"/>
      <c r="K32233" s="711"/>
      <c r="L32233" s="711"/>
      <c r="Q32233" s="11"/>
      <c r="R32233" s="11"/>
      <c r="S32233" s="11"/>
      <c r="T32233" s="11"/>
    </row>
    <row r="32234" spans="8:20" x14ac:dyDescent="0.35">
      <c r="H32234" s="711"/>
      <c r="I32234" s="711"/>
      <c r="J32234" s="711"/>
      <c r="K32234" s="711"/>
      <c r="L32234" s="711"/>
      <c r="Q32234" s="11"/>
      <c r="R32234" s="11"/>
      <c r="S32234" s="11"/>
      <c r="T32234" s="11"/>
    </row>
    <row r="32235" spans="8:20" x14ac:dyDescent="0.35">
      <c r="H32235" s="711"/>
      <c r="I32235" s="711"/>
      <c r="J32235" s="711"/>
      <c r="K32235" s="711"/>
      <c r="L32235" s="711"/>
      <c r="Q32235" s="11"/>
      <c r="R32235" s="11"/>
      <c r="S32235" s="11"/>
      <c r="T32235" s="11"/>
    </row>
    <row r="32236" spans="8:20" x14ac:dyDescent="0.35">
      <c r="H32236" s="711"/>
      <c r="I32236" s="711"/>
      <c r="J32236" s="711"/>
      <c r="K32236" s="711"/>
      <c r="L32236" s="711"/>
      <c r="Q32236" s="11"/>
      <c r="R32236" s="11"/>
      <c r="S32236" s="11"/>
      <c r="T32236" s="11"/>
    </row>
    <row r="32237" spans="8:20" x14ac:dyDescent="0.35">
      <c r="H32237" s="711"/>
      <c r="I32237" s="711"/>
      <c r="J32237" s="711"/>
      <c r="K32237" s="711"/>
      <c r="L32237" s="711"/>
      <c r="Q32237" s="11"/>
      <c r="R32237" s="11"/>
      <c r="S32237" s="11"/>
      <c r="T32237" s="11"/>
    </row>
    <row r="32238" spans="8:20" x14ac:dyDescent="0.35">
      <c r="H32238" s="711"/>
      <c r="I32238" s="711"/>
      <c r="J32238" s="711"/>
      <c r="K32238" s="711"/>
      <c r="L32238" s="711"/>
      <c r="Q32238" s="11"/>
      <c r="R32238" s="11"/>
      <c r="S32238" s="11"/>
      <c r="T32238" s="11"/>
    </row>
    <row r="32239" spans="8:20" x14ac:dyDescent="0.35">
      <c r="H32239" s="711"/>
      <c r="I32239" s="711"/>
      <c r="J32239" s="711"/>
      <c r="K32239" s="711"/>
      <c r="L32239" s="711"/>
      <c r="Q32239" s="11"/>
      <c r="R32239" s="11"/>
      <c r="S32239" s="11"/>
      <c r="T32239" s="11"/>
    </row>
    <row r="32240" spans="8:20" x14ac:dyDescent="0.35">
      <c r="H32240" s="711"/>
      <c r="I32240" s="711"/>
      <c r="J32240" s="711"/>
      <c r="K32240" s="711"/>
      <c r="L32240" s="711"/>
      <c r="Q32240" s="11"/>
      <c r="R32240" s="11"/>
      <c r="S32240" s="11"/>
      <c r="T32240" s="11"/>
    </row>
    <row r="32241" spans="8:20" x14ac:dyDescent="0.35">
      <c r="H32241" s="711"/>
      <c r="I32241" s="711"/>
      <c r="J32241" s="711"/>
      <c r="K32241" s="711"/>
      <c r="L32241" s="711"/>
      <c r="Q32241" s="11"/>
      <c r="R32241" s="11"/>
      <c r="S32241" s="11"/>
      <c r="T32241" s="11"/>
    </row>
    <row r="32242" spans="8:20" x14ac:dyDescent="0.35">
      <c r="H32242" s="711"/>
      <c r="I32242" s="711"/>
      <c r="J32242" s="711"/>
      <c r="K32242" s="711"/>
      <c r="L32242" s="711"/>
      <c r="Q32242" s="11"/>
      <c r="R32242" s="11"/>
      <c r="S32242" s="11"/>
      <c r="T32242" s="11"/>
    </row>
    <row r="32243" spans="8:20" x14ac:dyDescent="0.35">
      <c r="H32243" s="711"/>
      <c r="I32243" s="711"/>
      <c r="J32243" s="711"/>
      <c r="K32243" s="711"/>
      <c r="L32243" s="711"/>
      <c r="Q32243" s="11"/>
      <c r="R32243" s="11"/>
      <c r="S32243" s="11"/>
      <c r="T32243" s="11"/>
    </row>
    <row r="32244" spans="8:20" x14ac:dyDescent="0.35">
      <c r="H32244" s="711"/>
      <c r="I32244" s="711"/>
      <c r="J32244" s="711"/>
      <c r="K32244" s="711"/>
      <c r="L32244" s="711"/>
      <c r="Q32244" s="11"/>
      <c r="R32244" s="11"/>
      <c r="S32244" s="11"/>
      <c r="T32244" s="11"/>
    </row>
    <row r="32245" spans="8:20" x14ac:dyDescent="0.35">
      <c r="H32245" s="711"/>
      <c r="I32245" s="711"/>
      <c r="J32245" s="711"/>
      <c r="K32245" s="711"/>
      <c r="L32245" s="711"/>
      <c r="Q32245" s="11"/>
      <c r="R32245" s="11"/>
      <c r="S32245" s="11"/>
      <c r="T32245" s="11"/>
    </row>
    <row r="32246" spans="8:20" x14ac:dyDescent="0.35">
      <c r="H32246" s="711"/>
      <c r="I32246" s="711"/>
      <c r="J32246" s="711"/>
      <c r="K32246" s="711"/>
      <c r="L32246" s="711"/>
      <c r="Q32246" s="11"/>
      <c r="R32246" s="11"/>
      <c r="S32246" s="11"/>
      <c r="T32246" s="11"/>
    </row>
    <row r="32247" spans="8:20" x14ac:dyDescent="0.35">
      <c r="H32247" s="711"/>
      <c r="I32247" s="711"/>
      <c r="J32247" s="711"/>
      <c r="K32247" s="711"/>
      <c r="L32247" s="711"/>
      <c r="Q32247" s="11"/>
      <c r="R32247" s="11"/>
      <c r="S32247" s="11"/>
      <c r="T32247" s="11"/>
    </row>
    <row r="32248" spans="8:20" x14ac:dyDescent="0.35">
      <c r="H32248" s="711"/>
      <c r="I32248" s="711"/>
      <c r="J32248" s="711"/>
      <c r="K32248" s="711"/>
      <c r="L32248" s="711"/>
      <c r="Q32248" s="11"/>
      <c r="R32248" s="11"/>
      <c r="S32248" s="11"/>
      <c r="T32248" s="11"/>
    </row>
    <row r="32249" spans="8:20" x14ac:dyDescent="0.35">
      <c r="H32249" s="711"/>
      <c r="I32249" s="711"/>
      <c r="J32249" s="711"/>
      <c r="K32249" s="711"/>
      <c r="L32249" s="711"/>
      <c r="Q32249" s="11"/>
      <c r="R32249" s="11"/>
      <c r="S32249" s="11"/>
      <c r="T32249" s="11"/>
    </row>
    <row r="32250" spans="8:20" x14ac:dyDescent="0.35">
      <c r="H32250" s="711"/>
      <c r="I32250" s="711"/>
      <c r="J32250" s="711"/>
      <c r="K32250" s="711"/>
      <c r="L32250" s="711"/>
      <c r="Q32250" s="11"/>
      <c r="R32250" s="11"/>
      <c r="S32250" s="11"/>
      <c r="T32250" s="11"/>
    </row>
    <row r="32251" spans="8:20" x14ac:dyDescent="0.35">
      <c r="H32251" s="711"/>
      <c r="I32251" s="711"/>
      <c r="J32251" s="711"/>
      <c r="K32251" s="711"/>
      <c r="L32251" s="711"/>
      <c r="Q32251" s="11"/>
      <c r="R32251" s="11"/>
      <c r="S32251" s="11"/>
      <c r="T32251" s="11"/>
    </row>
    <row r="32252" spans="8:20" x14ac:dyDescent="0.35">
      <c r="H32252" s="711"/>
      <c r="I32252" s="711"/>
      <c r="J32252" s="711"/>
      <c r="K32252" s="711"/>
      <c r="L32252" s="711"/>
      <c r="Q32252" s="11"/>
      <c r="R32252" s="11"/>
      <c r="S32252" s="11"/>
      <c r="T32252" s="11"/>
    </row>
    <row r="32253" spans="8:20" x14ac:dyDescent="0.35">
      <c r="H32253" s="711"/>
      <c r="I32253" s="711"/>
      <c r="J32253" s="711"/>
      <c r="K32253" s="711"/>
      <c r="L32253" s="711"/>
      <c r="Q32253" s="11"/>
      <c r="R32253" s="11"/>
      <c r="S32253" s="11"/>
      <c r="T32253" s="11"/>
    </row>
    <row r="32254" spans="8:20" x14ac:dyDescent="0.35">
      <c r="H32254" s="711"/>
      <c r="I32254" s="711"/>
      <c r="J32254" s="711"/>
      <c r="K32254" s="711"/>
      <c r="L32254" s="711"/>
      <c r="Q32254" s="11"/>
      <c r="R32254" s="11"/>
      <c r="S32254" s="11"/>
      <c r="T32254" s="11"/>
    </row>
    <row r="32255" spans="8:20" x14ac:dyDescent="0.35">
      <c r="H32255" s="711"/>
      <c r="I32255" s="711"/>
      <c r="J32255" s="711"/>
      <c r="K32255" s="711"/>
      <c r="L32255" s="711"/>
      <c r="Q32255" s="11"/>
      <c r="R32255" s="11"/>
      <c r="S32255" s="11"/>
      <c r="T32255" s="11"/>
    </row>
    <row r="32256" spans="8:20" x14ac:dyDescent="0.35">
      <c r="H32256" s="711"/>
      <c r="I32256" s="711"/>
      <c r="J32256" s="711"/>
      <c r="K32256" s="711"/>
      <c r="L32256" s="711"/>
      <c r="Q32256" s="11"/>
      <c r="R32256" s="11"/>
      <c r="S32256" s="11"/>
      <c r="T32256" s="11"/>
    </row>
    <row r="32257" spans="8:20" x14ac:dyDescent="0.35">
      <c r="H32257" s="711"/>
      <c r="I32257" s="711"/>
      <c r="J32257" s="711"/>
      <c r="K32257" s="711"/>
      <c r="L32257" s="711"/>
      <c r="Q32257" s="11"/>
      <c r="R32257" s="11"/>
      <c r="S32257" s="11"/>
      <c r="T32257" s="11"/>
    </row>
    <row r="32258" spans="8:20" x14ac:dyDescent="0.35">
      <c r="H32258" s="711"/>
      <c r="I32258" s="711"/>
      <c r="J32258" s="711"/>
      <c r="K32258" s="711"/>
      <c r="L32258" s="711"/>
      <c r="Q32258" s="11"/>
      <c r="R32258" s="11"/>
      <c r="S32258" s="11"/>
      <c r="T32258" s="11"/>
    </row>
    <row r="32259" spans="8:20" x14ac:dyDescent="0.35">
      <c r="H32259" s="711"/>
      <c r="I32259" s="711"/>
      <c r="J32259" s="711"/>
      <c r="K32259" s="711"/>
      <c r="L32259" s="711"/>
      <c r="Q32259" s="11"/>
      <c r="R32259" s="11"/>
      <c r="S32259" s="11"/>
      <c r="T32259" s="11"/>
    </row>
    <row r="32260" spans="8:20" x14ac:dyDescent="0.35">
      <c r="H32260" s="711"/>
      <c r="I32260" s="711"/>
      <c r="J32260" s="711"/>
      <c r="K32260" s="711"/>
      <c r="L32260" s="711"/>
      <c r="Q32260" s="11"/>
      <c r="R32260" s="11"/>
      <c r="S32260" s="11"/>
      <c r="T32260" s="11"/>
    </row>
    <row r="32261" spans="8:20" x14ac:dyDescent="0.35">
      <c r="H32261" s="711"/>
      <c r="I32261" s="711"/>
      <c r="J32261" s="711"/>
      <c r="K32261" s="711"/>
      <c r="L32261" s="711"/>
      <c r="Q32261" s="11"/>
      <c r="R32261" s="11"/>
      <c r="S32261" s="11"/>
      <c r="T32261" s="11"/>
    </row>
    <row r="32262" spans="8:20" x14ac:dyDescent="0.35">
      <c r="H32262" s="711"/>
      <c r="I32262" s="711"/>
      <c r="J32262" s="711"/>
      <c r="K32262" s="711"/>
      <c r="L32262" s="711"/>
      <c r="Q32262" s="11"/>
      <c r="R32262" s="11"/>
      <c r="S32262" s="11"/>
      <c r="T32262" s="11"/>
    </row>
    <row r="32263" spans="8:20" x14ac:dyDescent="0.35">
      <c r="H32263" s="711"/>
      <c r="I32263" s="711"/>
      <c r="J32263" s="711"/>
      <c r="K32263" s="711"/>
      <c r="L32263" s="711"/>
      <c r="Q32263" s="11"/>
      <c r="R32263" s="11"/>
      <c r="S32263" s="11"/>
      <c r="T32263" s="11"/>
    </row>
    <row r="32264" spans="8:20" x14ac:dyDescent="0.35">
      <c r="H32264" s="711"/>
      <c r="I32264" s="711"/>
      <c r="J32264" s="711"/>
      <c r="K32264" s="711"/>
      <c r="L32264" s="711"/>
      <c r="Q32264" s="11"/>
      <c r="R32264" s="11"/>
      <c r="S32264" s="11"/>
      <c r="T32264" s="11"/>
    </row>
    <row r="32265" spans="8:20" x14ac:dyDescent="0.35">
      <c r="H32265" s="711"/>
      <c r="I32265" s="711"/>
      <c r="J32265" s="711"/>
      <c r="K32265" s="711"/>
      <c r="L32265" s="711"/>
      <c r="Q32265" s="11"/>
      <c r="R32265" s="11"/>
      <c r="S32265" s="11"/>
      <c r="T32265" s="11"/>
    </row>
    <row r="32266" spans="8:20" x14ac:dyDescent="0.35">
      <c r="H32266" s="711"/>
      <c r="I32266" s="711"/>
      <c r="J32266" s="711"/>
      <c r="K32266" s="711"/>
      <c r="L32266" s="711"/>
      <c r="Q32266" s="11"/>
      <c r="R32266" s="11"/>
      <c r="S32266" s="11"/>
      <c r="T32266" s="11"/>
    </row>
    <row r="32267" spans="8:20" x14ac:dyDescent="0.35">
      <c r="H32267" s="711"/>
      <c r="I32267" s="711"/>
      <c r="J32267" s="711"/>
      <c r="K32267" s="711"/>
      <c r="L32267" s="711"/>
      <c r="Q32267" s="11"/>
      <c r="R32267" s="11"/>
      <c r="S32267" s="11"/>
      <c r="T32267" s="11"/>
    </row>
    <row r="32268" spans="8:20" x14ac:dyDescent="0.35">
      <c r="H32268" s="711"/>
      <c r="I32268" s="711"/>
      <c r="J32268" s="711"/>
      <c r="K32268" s="711"/>
      <c r="L32268" s="711"/>
      <c r="Q32268" s="11"/>
      <c r="R32268" s="11"/>
      <c r="S32268" s="11"/>
      <c r="T32268" s="11"/>
    </row>
    <row r="32269" spans="8:20" x14ac:dyDescent="0.35">
      <c r="H32269" s="711"/>
      <c r="I32269" s="711"/>
      <c r="J32269" s="711"/>
      <c r="K32269" s="711"/>
      <c r="L32269" s="711"/>
      <c r="Q32269" s="11"/>
      <c r="R32269" s="11"/>
      <c r="S32269" s="11"/>
      <c r="T32269" s="11"/>
    </row>
    <row r="32270" spans="8:20" x14ac:dyDescent="0.35">
      <c r="H32270" s="711"/>
      <c r="I32270" s="711"/>
      <c r="J32270" s="711"/>
      <c r="K32270" s="711"/>
      <c r="L32270" s="711"/>
      <c r="Q32270" s="11"/>
      <c r="R32270" s="11"/>
      <c r="S32270" s="11"/>
      <c r="T32270" s="11"/>
    </row>
    <row r="32271" spans="8:20" x14ac:dyDescent="0.35">
      <c r="H32271" s="711"/>
      <c r="I32271" s="711"/>
      <c r="J32271" s="711"/>
      <c r="K32271" s="711"/>
      <c r="L32271" s="711"/>
      <c r="Q32271" s="11"/>
      <c r="R32271" s="11"/>
      <c r="S32271" s="11"/>
      <c r="T32271" s="11"/>
    </row>
    <row r="32272" spans="8:20" x14ac:dyDescent="0.35">
      <c r="H32272" s="711"/>
      <c r="I32272" s="711"/>
      <c r="J32272" s="711"/>
      <c r="K32272" s="711"/>
      <c r="L32272" s="711"/>
      <c r="Q32272" s="11"/>
      <c r="R32272" s="11"/>
      <c r="S32272" s="11"/>
      <c r="T32272" s="11"/>
    </row>
    <row r="32273" spans="8:20" x14ac:dyDescent="0.35">
      <c r="H32273" s="711"/>
      <c r="I32273" s="711"/>
      <c r="J32273" s="711"/>
      <c r="K32273" s="711"/>
      <c r="L32273" s="711"/>
      <c r="Q32273" s="11"/>
      <c r="R32273" s="11"/>
      <c r="S32273" s="11"/>
      <c r="T32273" s="11"/>
    </row>
    <row r="32274" spans="8:20" x14ac:dyDescent="0.35">
      <c r="H32274" s="711"/>
      <c r="I32274" s="711"/>
      <c r="J32274" s="711"/>
      <c r="K32274" s="711"/>
      <c r="L32274" s="711"/>
      <c r="Q32274" s="11"/>
      <c r="R32274" s="11"/>
      <c r="S32274" s="11"/>
      <c r="T32274" s="11"/>
    </row>
    <row r="32275" spans="8:20" x14ac:dyDescent="0.35">
      <c r="H32275" s="711"/>
      <c r="I32275" s="711"/>
      <c r="J32275" s="711"/>
      <c r="K32275" s="711"/>
      <c r="L32275" s="711"/>
      <c r="Q32275" s="11"/>
      <c r="R32275" s="11"/>
      <c r="S32275" s="11"/>
      <c r="T32275" s="11"/>
    </row>
    <row r="32276" spans="8:20" x14ac:dyDescent="0.35">
      <c r="H32276" s="711"/>
      <c r="I32276" s="711"/>
      <c r="J32276" s="711"/>
      <c r="K32276" s="711"/>
      <c r="L32276" s="711"/>
      <c r="Q32276" s="11"/>
      <c r="R32276" s="11"/>
      <c r="S32276" s="11"/>
      <c r="T32276" s="11"/>
    </row>
    <row r="32277" spans="8:20" x14ac:dyDescent="0.35">
      <c r="H32277" s="711"/>
      <c r="I32277" s="711"/>
      <c r="J32277" s="711"/>
      <c r="K32277" s="711"/>
      <c r="L32277" s="711"/>
      <c r="Q32277" s="11"/>
      <c r="R32277" s="11"/>
      <c r="S32277" s="11"/>
      <c r="T32277" s="11"/>
    </row>
    <row r="32278" spans="8:20" x14ac:dyDescent="0.35">
      <c r="H32278" s="711"/>
      <c r="I32278" s="711"/>
      <c r="J32278" s="711"/>
      <c r="K32278" s="711"/>
      <c r="L32278" s="711"/>
      <c r="Q32278" s="11"/>
      <c r="R32278" s="11"/>
      <c r="S32278" s="11"/>
      <c r="T32278" s="11"/>
    </row>
    <row r="32279" spans="8:20" x14ac:dyDescent="0.35">
      <c r="H32279" s="711"/>
      <c r="I32279" s="711"/>
      <c r="J32279" s="711"/>
      <c r="K32279" s="711"/>
      <c r="L32279" s="711"/>
      <c r="Q32279" s="11"/>
      <c r="R32279" s="11"/>
      <c r="S32279" s="11"/>
      <c r="T32279" s="11"/>
    </row>
    <row r="32280" spans="8:20" x14ac:dyDescent="0.35">
      <c r="H32280" s="711"/>
      <c r="I32280" s="711"/>
      <c r="J32280" s="711"/>
      <c r="K32280" s="711"/>
      <c r="L32280" s="711"/>
      <c r="Q32280" s="11"/>
      <c r="R32280" s="11"/>
      <c r="S32280" s="11"/>
      <c r="T32280" s="11"/>
    </row>
    <row r="32281" spans="8:20" x14ac:dyDescent="0.35">
      <c r="H32281" s="711"/>
      <c r="I32281" s="711"/>
      <c r="J32281" s="711"/>
      <c r="K32281" s="711"/>
      <c r="L32281" s="711"/>
      <c r="Q32281" s="11"/>
      <c r="R32281" s="11"/>
      <c r="S32281" s="11"/>
      <c r="T32281" s="11"/>
    </row>
    <row r="32282" spans="8:20" x14ac:dyDescent="0.35">
      <c r="H32282" s="711"/>
      <c r="I32282" s="711"/>
      <c r="J32282" s="711"/>
      <c r="K32282" s="711"/>
      <c r="L32282" s="711"/>
      <c r="Q32282" s="11"/>
      <c r="R32282" s="11"/>
      <c r="S32282" s="11"/>
      <c r="T32282" s="11"/>
    </row>
    <row r="32283" spans="8:20" x14ac:dyDescent="0.35">
      <c r="H32283" s="711"/>
      <c r="I32283" s="711"/>
      <c r="J32283" s="711"/>
      <c r="K32283" s="711"/>
      <c r="L32283" s="711"/>
      <c r="Q32283" s="11"/>
      <c r="R32283" s="11"/>
      <c r="S32283" s="11"/>
      <c r="T32283" s="11"/>
    </row>
    <row r="32284" spans="8:20" x14ac:dyDescent="0.35">
      <c r="H32284" s="711"/>
      <c r="I32284" s="711"/>
      <c r="J32284" s="711"/>
      <c r="K32284" s="711"/>
      <c r="L32284" s="711"/>
      <c r="Q32284" s="11"/>
      <c r="R32284" s="11"/>
      <c r="S32284" s="11"/>
      <c r="T32284" s="11"/>
    </row>
    <row r="32285" spans="8:20" x14ac:dyDescent="0.35">
      <c r="H32285" s="711"/>
      <c r="I32285" s="711"/>
      <c r="J32285" s="711"/>
      <c r="K32285" s="711"/>
      <c r="L32285" s="711"/>
      <c r="Q32285" s="11"/>
      <c r="R32285" s="11"/>
      <c r="S32285" s="11"/>
      <c r="T32285" s="11"/>
    </row>
    <row r="32286" spans="8:20" x14ac:dyDescent="0.35">
      <c r="H32286" s="711"/>
      <c r="I32286" s="711"/>
      <c r="J32286" s="711"/>
      <c r="K32286" s="711"/>
      <c r="L32286" s="711"/>
      <c r="Q32286" s="11"/>
      <c r="R32286" s="11"/>
      <c r="S32286" s="11"/>
      <c r="T32286" s="11"/>
    </row>
    <row r="32287" spans="8:20" x14ac:dyDescent="0.35">
      <c r="H32287" s="711"/>
      <c r="I32287" s="711"/>
      <c r="J32287" s="711"/>
      <c r="K32287" s="711"/>
      <c r="L32287" s="711"/>
      <c r="Q32287" s="11"/>
      <c r="R32287" s="11"/>
      <c r="S32287" s="11"/>
      <c r="T32287" s="11"/>
    </row>
    <row r="32288" spans="8:20" x14ac:dyDescent="0.35">
      <c r="H32288" s="711"/>
      <c r="I32288" s="711"/>
      <c r="J32288" s="711"/>
      <c r="K32288" s="711"/>
      <c r="L32288" s="711"/>
      <c r="Q32288" s="11"/>
      <c r="R32288" s="11"/>
      <c r="S32288" s="11"/>
      <c r="T32288" s="11"/>
    </row>
    <row r="32289" spans="8:20" x14ac:dyDescent="0.35">
      <c r="H32289" s="711"/>
      <c r="I32289" s="711"/>
      <c r="J32289" s="711"/>
      <c r="K32289" s="711"/>
      <c r="L32289" s="711"/>
      <c r="Q32289" s="11"/>
      <c r="R32289" s="11"/>
      <c r="S32289" s="11"/>
      <c r="T32289" s="11"/>
    </row>
    <row r="32290" spans="8:20" x14ac:dyDescent="0.35">
      <c r="H32290" s="711"/>
      <c r="I32290" s="711"/>
      <c r="J32290" s="711"/>
      <c r="K32290" s="711"/>
      <c r="L32290" s="711"/>
      <c r="Q32290" s="11"/>
      <c r="R32290" s="11"/>
      <c r="S32290" s="11"/>
      <c r="T32290" s="11"/>
    </row>
    <row r="32291" spans="8:20" x14ac:dyDescent="0.35">
      <c r="H32291" s="711"/>
      <c r="I32291" s="711"/>
      <c r="J32291" s="711"/>
      <c r="K32291" s="711"/>
      <c r="L32291" s="711"/>
      <c r="Q32291" s="11"/>
      <c r="R32291" s="11"/>
      <c r="S32291" s="11"/>
      <c r="T32291" s="11"/>
    </row>
    <row r="32292" spans="8:20" x14ac:dyDescent="0.35">
      <c r="H32292" s="711"/>
      <c r="I32292" s="711"/>
      <c r="J32292" s="711"/>
      <c r="K32292" s="711"/>
      <c r="L32292" s="711"/>
      <c r="Q32292" s="11"/>
      <c r="R32292" s="11"/>
      <c r="S32292" s="11"/>
      <c r="T32292" s="11"/>
    </row>
    <row r="32293" spans="8:20" x14ac:dyDescent="0.35">
      <c r="H32293" s="711"/>
      <c r="I32293" s="711"/>
      <c r="J32293" s="711"/>
      <c r="K32293" s="711"/>
      <c r="L32293" s="711"/>
      <c r="Q32293" s="11"/>
      <c r="R32293" s="11"/>
      <c r="S32293" s="11"/>
      <c r="T32293" s="11"/>
    </row>
    <row r="32294" spans="8:20" x14ac:dyDescent="0.35">
      <c r="H32294" s="711"/>
      <c r="I32294" s="711"/>
      <c r="J32294" s="711"/>
      <c r="K32294" s="711"/>
      <c r="L32294" s="711"/>
      <c r="Q32294" s="11"/>
      <c r="R32294" s="11"/>
      <c r="S32294" s="11"/>
      <c r="T32294" s="11"/>
    </row>
    <row r="32295" spans="8:20" x14ac:dyDescent="0.35">
      <c r="H32295" s="711"/>
      <c r="I32295" s="711"/>
      <c r="J32295" s="711"/>
      <c r="K32295" s="711"/>
      <c r="L32295" s="711"/>
      <c r="Q32295" s="11"/>
      <c r="R32295" s="11"/>
      <c r="S32295" s="11"/>
      <c r="T32295" s="11"/>
    </row>
    <row r="32296" spans="8:20" x14ac:dyDescent="0.35">
      <c r="H32296" s="711"/>
      <c r="I32296" s="711"/>
      <c r="J32296" s="711"/>
      <c r="K32296" s="711"/>
      <c r="L32296" s="711"/>
      <c r="Q32296" s="11"/>
      <c r="R32296" s="11"/>
      <c r="S32296" s="11"/>
      <c r="T32296" s="11"/>
    </row>
    <row r="32297" spans="8:20" x14ac:dyDescent="0.35">
      <c r="H32297" s="711"/>
      <c r="I32297" s="711"/>
      <c r="J32297" s="711"/>
      <c r="K32297" s="711"/>
      <c r="L32297" s="711"/>
      <c r="Q32297" s="11"/>
      <c r="R32297" s="11"/>
      <c r="S32297" s="11"/>
      <c r="T32297" s="11"/>
    </row>
    <row r="32298" spans="8:20" x14ac:dyDescent="0.35">
      <c r="H32298" s="711"/>
      <c r="I32298" s="711"/>
      <c r="J32298" s="711"/>
      <c r="K32298" s="711"/>
      <c r="L32298" s="711"/>
      <c r="Q32298" s="11"/>
      <c r="R32298" s="11"/>
      <c r="S32298" s="11"/>
      <c r="T32298" s="11"/>
    </row>
    <row r="32299" spans="8:20" x14ac:dyDescent="0.35">
      <c r="H32299" s="711"/>
      <c r="I32299" s="711"/>
      <c r="J32299" s="711"/>
      <c r="K32299" s="711"/>
      <c r="L32299" s="711"/>
      <c r="Q32299" s="11"/>
      <c r="R32299" s="11"/>
      <c r="S32299" s="11"/>
      <c r="T32299" s="11"/>
    </row>
    <row r="32300" spans="8:20" x14ac:dyDescent="0.35">
      <c r="H32300" s="711"/>
      <c r="I32300" s="711"/>
      <c r="J32300" s="711"/>
      <c r="K32300" s="711"/>
      <c r="L32300" s="711"/>
      <c r="Q32300" s="11"/>
      <c r="R32300" s="11"/>
      <c r="S32300" s="11"/>
      <c r="T32300" s="11"/>
    </row>
    <row r="32301" spans="8:20" x14ac:dyDescent="0.35">
      <c r="H32301" s="711"/>
      <c r="I32301" s="711"/>
      <c r="J32301" s="711"/>
      <c r="K32301" s="711"/>
      <c r="L32301" s="711"/>
      <c r="Q32301" s="11"/>
      <c r="R32301" s="11"/>
      <c r="S32301" s="11"/>
      <c r="T32301" s="11"/>
    </row>
    <row r="32302" spans="8:20" x14ac:dyDescent="0.35">
      <c r="H32302" s="711"/>
      <c r="I32302" s="711"/>
      <c r="J32302" s="711"/>
      <c r="K32302" s="711"/>
      <c r="L32302" s="711"/>
      <c r="Q32302" s="11"/>
      <c r="R32302" s="11"/>
      <c r="S32302" s="11"/>
      <c r="T32302" s="11"/>
    </row>
    <row r="32303" spans="8:20" x14ac:dyDescent="0.35">
      <c r="H32303" s="711"/>
      <c r="I32303" s="711"/>
      <c r="J32303" s="711"/>
      <c r="K32303" s="711"/>
      <c r="L32303" s="711"/>
      <c r="Q32303" s="11"/>
      <c r="R32303" s="11"/>
      <c r="S32303" s="11"/>
      <c r="T32303" s="11"/>
    </row>
    <row r="32304" spans="8:20" x14ac:dyDescent="0.35">
      <c r="H32304" s="711"/>
      <c r="I32304" s="711"/>
      <c r="J32304" s="711"/>
      <c r="K32304" s="711"/>
      <c r="L32304" s="711"/>
      <c r="Q32304" s="11"/>
      <c r="R32304" s="11"/>
      <c r="S32304" s="11"/>
      <c r="T32304" s="11"/>
    </row>
    <row r="32305" spans="8:20" x14ac:dyDescent="0.35">
      <c r="H32305" s="711"/>
      <c r="I32305" s="711"/>
      <c r="J32305" s="711"/>
      <c r="K32305" s="711"/>
      <c r="L32305" s="711"/>
      <c r="Q32305" s="11"/>
      <c r="R32305" s="11"/>
      <c r="S32305" s="11"/>
      <c r="T32305" s="11"/>
    </row>
    <row r="32306" spans="8:20" x14ac:dyDescent="0.35">
      <c r="H32306" s="711"/>
      <c r="I32306" s="711"/>
      <c r="J32306" s="711"/>
      <c r="K32306" s="711"/>
      <c r="L32306" s="711"/>
      <c r="Q32306" s="11"/>
      <c r="R32306" s="11"/>
      <c r="S32306" s="11"/>
      <c r="T32306" s="11"/>
    </row>
    <row r="32307" spans="8:20" x14ac:dyDescent="0.35">
      <c r="H32307" s="711"/>
      <c r="I32307" s="711"/>
      <c r="J32307" s="711"/>
      <c r="K32307" s="711"/>
      <c r="L32307" s="711"/>
      <c r="Q32307" s="11"/>
      <c r="R32307" s="11"/>
      <c r="S32307" s="11"/>
      <c r="T32307" s="11"/>
    </row>
    <row r="32308" spans="8:20" x14ac:dyDescent="0.35">
      <c r="H32308" s="711"/>
      <c r="I32308" s="711"/>
      <c r="J32308" s="711"/>
      <c r="K32308" s="711"/>
      <c r="L32308" s="711"/>
      <c r="Q32308" s="11"/>
      <c r="R32308" s="11"/>
      <c r="S32308" s="11"/>
      <c r="T32308" s="11"/>
    </row>
    <row r="32309" spans="8:20" x14ac:dyDescent="0.35">
      <c r="H32309" s="711"/>
      <c r="I32309" s="711"/>
      <c r="J32309" s="711"/>
      <c r="K32309" s="711"/>
      <c r="L32309" s="711"/>
      <c r="Q32309" s="11"/>
      <c r="R32309" s="11"/>
      <c r="S32309" s="11"/>
      <c r="T32309" s="11"/>
    </row>
    <row r="32310" spans="8:20" x14ac:dyDescent="0.35">
      <c r="H32310" s="711"/>
      <c r="I32310" s="711"/>
      <c r="J32310" s="711"/>
      <c r="K32310" s="711"/>
      <c r="L32310" s="711"/>
      <c r="Q32310" s="11"/>
      <c r="R32310" s="11"/>
      <c r="S32310" s="11"/>
      <c r="T32310" s="11"/>
    </row>
    <row r="32311" spans="8:20" x14ac:dyDescent="0.35">
      <c r="H32311" s="711"/>
      <c r="I32311" s="711"/>
      <c r="J32311" s="711"/>
      <c r="K32311" s="711"/>
      <c r="L32311" s="711"/>
      <c r="Q32311" s="11"/>
      <c r="R32311" s="11"/>
      <c r="S32311" s="11"/>
      <c r="T32311" s="11"/>
    </row>
    <row r="32312" spans="8:20" x14ac:dyDescent="0.35">
      <c r="H32312" s="711"/>
      <c r="I32312" s="711"/>
      <c r="J32312" s="711"/>
      <c r="K32312" s="711"/>
      <c r="L32312" s="711"/>
      <c r="Q32312" s="11"/>
      <c r="R32312" s="11"/>
      <c r="S32312" s="11"/>
      <c r="T32312" s="11"/>
    </row>
    <row r="32313" spans="8:20" x14ac:dyDescent="0.35">
      <c r="H32313" s="711"/>
      <c r="I32313" s="711"/>
      <c r="J32313" s="711"/>
      <c r="K32313" s="711"/>
      <c r="L32313" s="711"/>
      <c r="Q32313" s="11"/>
      <c r="R32313" s="11"/>
      <c r="S32313" s="11"/>
      <c r="T32313" s="11"/>
    </row>
    <row r="32314" spans="8:20" x14ac:dyDescent="0.35">
      <c r="H32314" s="711"/>
      <c r="I32314" s="711"/>
      <c r="J32314" s="711"/>
      <c r="K32314" s="711"/>
      <c r="L32314" s="711"/>
      <c r="Q32314" s="11"/>
      <c r="R32314" s="11"/>
      <c r="S32314" s="11"/>
      <c r="T32314" s="11"/>
    </row>
    <row r="32315" spans="8:20" x14ac:dyDescent="0.35">
      <c r="H32315" s="711"/>
      <c r="I32315" s="711"/>
      <c r="J32315" s="711"/>
      <c r="K32315" s="711"/>
      <c r="L32315" s="711"/>
      <c r="Q32315" s="11"/>
      <c r="R32315" s="11"/>
      <c r="S32315" s="11"/>
      <c r="T32315" s="11"/>
    </row>
    <row r="32316" spans="8:20" x14ac:dyDescent="0.35">
      <c r="H32316" s="711"/>
      <c r="I32316" s="711"/>
      <c r="J32316" s="711"/>
      <c r="K32316" s="711"/>
      <c r="L32316" s="711"/>
      <c r="Q32316" s="11"/>
      <c r="R32316" s="11"/>
      <c r="S32316" s="11"/>
      <c r="T32316" s="11"/>
    </row>
    <row r="32317" spans="8:20" x14ac:dyDescent="0.35">
      <c r="H32317" s="711"/>
      <c r="I32317" s="711"/>
      <c r="J32317" s="711"/>
      <c r="K32317" s="711"/>
      <c r="L32317" s="711"/>
      <c r="Q32317" s="11"/>
      <c r="R32317" s="11"/>
      <c r="S32317" s="11"/>
      <c r="T32317" s="11"/>
    </row>
    <row r="32318" spans="8:20" x14ac:dyDescent="0.35">
      <c r="H32318" s="711"/>
      <c r="I32318" s="711"/>
      <c r="J32318" s="711"/>
      <c r="K32318" s="711"/>
      <c r="L32318" s="711"/>
      <c r="Q32318" s="11"/>
      <c r="R32318" s="11"/>
      <c r="S32318" s="11"/>
      <c r="T32318" s="11"/>
    </row>
    <row r="32319" spans="8:20" x14ac:dyDescent="0.35">
      <c r="H32319" s="711"/>
      <c r="I32319" s="711"/>
      <c r="J32319" s="711"/>
      <c r="K32319" s="711"/>
      <c r="L32319" s="711"/>
      <c r="Q32319" s="11"/>
      <c r="R32319" s="11"/>
      <c r="S32319" s="11"/>
      <c r="T32319" s="11"/>
    </row>
    <row r="32320" spans="8:20" x14ac:dyDescent="0.35">
      <c r="H32320" s="711"/>
      <c r="I32320" s="711"/>
      <c r="J32320" s="711"/>
      <c r="K32320" s="711"/>
      <c r="L32320" s="711"/>
      <c r="Q32320" s="11"/>
      <c r="R32320" s="11"/>
      <c r="S32320" s="11"/>
      <c r="T32320" s="11"/>
    </row>
    <row r="32321" spans="8:20" x14ac:dyDescent="0.35">
      <c r="H32321" s="711"/>
      <c r="I32321" s="711"/>
      <c r="J32321" s="711"/>
      <c r="K32321" s="711"/>
      <c r="L32321" s="711"/>
      <c r="Q32321" s="11"/>
      <c r="R32321" s="11"/>
      <c r="S32321" s="11"/>
      <c r="T32321" s="11"/>
    </row>
    <row r="32322" spans="8:20" x14ac:dyDescent="0.35">
      <c r="H32322" s="711"/>
      <c r="I32322" s="711"/>
      <c r="J32322" s="711"/>
      <c r="K32322" s="711"/>
      <c r="L32322" s="711"/>
      <c r="Q32322" s="11"/>
      <c r="R32322" s="11"/>
      <c r="S32322" s="11"/>
      <c r="T32322" s="11"/>
    </row>
    <row r="32323" spans="8:20" x14ac:dyDescent="0.35">
      <c r="H32323" s="711"/>
      <c r="I32323" s="711"/>
      <c r="J32323" s="711"/>
      <c r="K32323" s="711"/>
      <c r="L32323" s="711"/>
      <c r="Q32323" s="11"/>
      <c r="R32323" s="11"/>
      <c r="S32323" s="11"/>
      <c r="T32323" s="11"/>
    </row>
    <row r="32324" spans="8:20" x14ac:dyDescent="0.35">
      <c r="H32324" s="711"/>
      <c r="I32324" s="711"/>
      <c r="J32324" s="711"/>
      <c r="K32324" s="711"/>
      <c r="L32324" s="711"/>
      <c r="Q32324" s="11"/>
      <c r="R32324" s="11"/>
      <c r="S32324" s="11"/>
      <c r="T32324" s="11"/>
    </row>
    <row r="32325" spans="8:20" x14ac:dyDescent="0.35">
      <c r="H32325" s="711"/>
      <c r="I32325" s="711"/>
      <c r="J32325" s="711"/>
      <c r="K32325" s="711"/>
      <c r="L32325" s="711"/>
      <c r="Q32325" s="11"/>
      <c r="R32325" s="11"/>
      <c r="S32325" s="11"/>
      <c r="T32325" s="11"/>
    </row>
    <row r="32326" spans="8:20" x14ac:dyDescent="0.35">
      <c r="H32326" s="711"/>
      <c r="I32326" s="711"/>
      <c r="J32326" s="711"/>
      <c r="K32326" s="711"/>
      <c r="L32326" s="711"/>
      <c r="Q32326" s="11"/>
      <c r="R32326" s="11"/>
      <c r="S32326" s="11"/>
      <c r="T32326" s="11"/>
    </row>
    <row r="32327" spans="8:20" x14ac:dyDescent="0.35">
      <c r="H32327" s="711"/>
      <c r="I32327" s="711"/>
      <c r="J32327" s="711"/>
      <c r="K32327" s="711"/>
      <c r="L32327" s="711"/>
      <c r="Q32327" s="11"/>
      <c r="R32327" s="11"/>
      <c r="S32327" s="11"/>
      <c r="T32327" s="11"/>
    </row>
    <row r="32328" spans="8:20" x14ac:dyDescent="0.35">
      <c r="H32328" s="711"/>
      <c r="I32328" s="711"/>
      <c r="J32328" s="711"/>
      <c r="K32328" s="711"/>
      <c r="L32328" s="711"/>
      <c r="Q32328" s="11"/>
      <c r="R32328" s="11"/>
      <c r="S32328" s="11"/>
      <c r="T32328" s="11"/>
    </row>
    <row r="32329" spans="8:20" x14ac:dyDescent="0.35">
      <c r="H32329" s="711"/>
      <c r="I32329" s="711"/>
      <c r="J32329" s="711"/>
      <c r="K32329" s="711"/>
      <c r="L32329" s="711"/>
      <c r="Q32329" s="11"/>
      <c r="R32329" s="11"/>
      <c r="S32329" s="11"/>
      <c r="T32329" s="11"/>
    </row>
    <row r="32330" spans="8:20" x14ac:dyDescent="0.35">
      <c r="H32330" s="711"/>
      <c r="I32330" s="711"/>
      <c r="J32330" s="711"/>
      <c r="K32330" s="711"/>
      <c r="L32330" s="711"/>
      <c r="Q32330" s="11"/>
      <c r="R32330" s="11"/>
      <c r="S32330" s="11"/>
      <c r="T32330" s="11"/>
    </row>
    <row r="32331" spans="8:20" x14ac:dyDescent="0.35">
      <c r="H32331" s="711"/>
      <c r="I32331" s="711"/>
      <c r="J32331" s="711"/>
      <c r="K32331" s="711"/>
      <c r="L32331" s="711"/>
      <c r="Q32331" s="11"/>
      <c r="R32331" s="11"/>
      <c r="S32331" s="11"/>
      <c r="T32331" s="11"/>
    </row>
    <row r="32332" spans="8:20" x14ac:dyDescent="0.35">
      <c r="H32332" s="711"/>
      <c r="I32332" s="711"/>
      <c r="J32332" s="711"/>
      <c r="K32332" s="711"/>
      <c r="L32332" s="711"/>
      <c r="Q32332" s="11"/>
      <c r="R32332" s="11"/>
      <c r="S32332" s="11"/>
      <c r="T32332" s="11"/>
    </row>
    <row r="32333" spans="8:20" x14ac:dyDescent="0.35">
      <c r="H32333" s="711"/>
      <c r="I32333" s="711"/>
      <c r="J32333" s="711"/>
      <c r="K32333" s="711"/>
      <c r="L32333" s="711"/>
      <c r="Q32333" s="11"/>
      <c r="R32333" s="11"/>
      <c r="S32333" s="11"/>
      <c r="T32333" s="11"/>
    </row>
    <row r="32334" spans="8:20" x14ac:dyDescent="0.35">
      <c r="H32334" s="711"/>
      <c r="I32334" s="711"/>
      <c r="J32334" s="711"/>
      <c r="K32334" s="711"/>
      <c r="L32334" s="711"/>
      <c r="Q32334" s="11"/>
      <c r="R32334" s="11"/>
      <c r="S32334" s="11"/>
      <c r="T32334" s="11"/>
    </row>
    <row r="32335" spans="8:20" x14ac:dyDescent="0.35">
      <c r="H32335" s="711"/>
      <c r="I32335" s="711"/>
      <c r="J32335" s="711"/>
      <c r="K32335" s="711"/>
      <c r="L32335" s="711"/>
      <c r="Q32335" s="11"/>
      <c r="R32335" s="11"/>
      <c r="S32335" s="11"/>
      <c r="T32335" s="11"/>
    </row>
    <row r="32336" spans="8:20" x14ac:dyDescent="0.35">
      <c r="H32336" s="711"/>
      <c r="I32336" s="711"/>
      <c r="J32336" s="711"/>
      <c r="K32336" s="711"/>
      <c r="L32336" s="711"/>
      <c r="Q32336" s="11"/>
      <c r="R32336" s="11"/>
      <c r="S32336" s="11"/>
      <c r="T32336" s="11"/>
    </row>
    <row r="32337" spans="8:20" x14ac:dyDescent="0.35">
      <c r="H32337" s="711"/>
      <c r="I32337" s="711"/>
      <c r="J32337" s="711"/>
      <c r="K32337" s="711"/>
      <c r="L32337" s="711"/>
      <c r="Q32337" s="11"/>
      <c r="R32337" s="11"/>
      <c r="S32337" s="11"/>
      <c r="T32337" s="11"/>
    </row>
    <row r="32338" spans="8:20" x14ac:dyDescent="0.35">
      <c r="H32338" s="711"/>
      <c r="I32338" s="711"/>
      <c r="J32338" s="711"/>
      <c r="K32338" s="711"/>
      <c r="L32338" s="711"/>
      <c r="Q32338" s="11"/>
      <c r="R32338" s="11"/>
      <c r="S32338" s="11"/>
      <c r="T32338" s="11"/>
    </row>
    <row r="32339" spans="8:20" x14ac:dyDescent="0.35">
      <c r="H32339" s="711"/>
      <c r="I32339" s="711"/>
      <c r="J32339" s="711"/>
      <c r="K32339" s="711"/>
      <c r="L32339" s="711"/>
      <c r="Q32339" s="11"/>
      <c r="R32339" s="11"/>
      <c r="S32339" s="11"/>
      <c r="T32339" s="11"/>
    </row>
    <row r="32340" spans="8:20" x14ac:dyDescent="0.35">
      <c r="H32340" s="711"/>
      <c r="I32340" s="711"/>
      <c r="J32340" s="711"/>
      <c r="K32340" s="711"/>
      <c r="L32340" s="711"/>
      <c r="Q32340" s="11"/>
      <c r="R32340" s="11"/>
      <c r="S32340" s="11"/>
      <c r="T32340" s="11"/>
    </row>
    <row r="32341" spans="8:20" x14ac:dyDescent="0.35">
      <c r="H32341" s="711"/>
      <c r="I32341" s="711"/>
      <c r="J32341" s="711"/>
      <c r="K32341" s="711"/>
      <c r="L32341" s="711"/>
      <c r="Q32341" s="11"/>
      <c r="R32341" s="11"/>
      <c r="S32341" s="11"/>
      <c r="T32341" s="11"/>
    </row>
    <row r="32342" spans="8:20" x14ac:dyDescent="0.35">
      <c r="H32342" s="711"/>
      <c r="I32342" s="711"/>
      <c r="J32342" s="711"/>
      <c r="K32342" s="711"/>
      <c r="L32342" s="711"/>
      <c r="Q32342" s="11"/>
      <c r="R32342" s="11"/>
      <c r="S32342" s="11"/>
      <c r="T32342" s="11"/>
    </row>
    <row r="32343" spans="8:20" x14ac:dyDescent="0.35">
      <c r="H32343" s="711"/>
      <c r="I32343" s="711"/>
      <c r="J32343" s="711"/>
      <c r="K32343" s="711"/>
      <c r="L32343" s="711"/>
      <c r="Q32343" s="11"/>
      <c r="R32343" s="11"/>
      <c r="S32343" s="11"/>
      <c r="T32343" s="11"/>
    </row>
    <row r="32344" spans="8:20" x14ac:dyDescent="0.35">
      <c r="H32344" s="711"/>
      <c r="I32344" s="711"/>
      <c r="J32344" s="711"/>
      <c r="K32344" s="711"/>
      <c r="L32344" s="711"/>
      <c r="Q32344" s="11"/>
      <c r="R32344" s="11"/>
      <c r="S32344" s="11"/>
      <c r="T32344" s="11"/>
    </row>
    <row r="32345" spans="8:20" x14ac:dyDescent="0.35">
      <c r="H32345" s="711"/>
      <c r="I32345" s="711"/>
      <c r="J32345" s="711"/>
      <c r="K32345" s="711"/>
      <c r="L32345" s="711"/>
      <c r="Q32345" s="11"/>
      <c r="R32345" s="11"/>
      <c r="S32345" s="11"/>
      <c r="T32345" s="11"/>
    </row>
    <row r="32346" spans="8:20" x14ac:dyDescent="0.35">
      <c r="H32346" s="711"/>
      <c r="I32346" s="711"/>
      <c r="J32346" s="711"/>
      <c r="K32346" s="711"/>
      <c r="L32346" s="711"/>
      <c r="Q32346" s="11"/>
      <c r="R32346" s="11"/>
      <c r="S32346" s="11"/>
      <c r="T32346" s="11"/>
    </row>
    <row r="32347" spans="8:20" x14ac:dyDescent="0.35">
      <c r="H32347" s="711"/>
      <c r="I32347" s="711"/>
      <c r="J32347" s="711"/>
      <c r="K32347" s="711"/>
      <c r="L32347" s="711"/>
      <c r="Q32347" s="11"/>
      <c r="R32347" s="11"/>
      <c r="S32347" s="11"/>
      <c r="T32347" s="11"/>
    </row>
    <row r="32348" spans="8:20" x14ac:dyDescent="0.35">
      <c r="H32348" s="711"/>
      <c r="I32348" s="711"/>
      <c r="J32348" s="711"/>
      <c r="K32348" s="711"/>
      <c r="L32348" s="711"/>
      <c r="Q32348" s="11"/>
      <c r="R32348" s="11"/>
      <c r="S32348" s="11"/>
      <c r="T32348" s="11"/>
    </row>
    <row r="32349" spans="8:20" x14ac:dyDescent="0.35">
      <c r="H32349" s="711"/>
      <c r="I32349" s="711"/>
      <c r="J32349" s="711"/>
      <c r="K32349" s="711"/>
      <c r="L32349" s="711"/>
      <c r="Q32349" s="11"/>
      <c r="R32349" s="11"/>
      <c r="S32349" s="11"/>
      <c r="T32349" s="11"/>
    </row>
    <row r="32350" spans="8:20" x14ac:dyDescent="0.35">
      <c r="H32350" s="711"/>
      <c r="I32350" s="711"/>
      <c r="J32350" s="711"/>
      <c r="K32350" s="711"/>
      <c r="L32350" s="711"/>
      <c r="Q32350" s="11"/>
      <c r="R32350" s="11"/>
      <c r="S32350" s="11"/>
      <c r="T32350" s="11"/>
    </row>
    <row r="32351" spans="8:20" x14ac:dyDescent="0.35">
      <c r="H32351" s="711"/>
      <c r="I32351" s="711"/>
      <c r="J32351" s="711"/>
      <c r="K32351" s="711"/>
      <c r="L32351" s="711"/>
      <c r="Q32351" s="11"/>
      <c r="R32351" s="11"/>
      <c r="S32351" s="11"/>
      <c r="T32351" s="11"/>
    </row>
    <row r="32352" spans="8:20" x14ac:dyDescent="0.35">
      <c r="H32352" s="711"/>
      <c r="I32352" s="711"/>
      <c r="J32352" s="711"/>
      <c r="K32352" s="711"/>
      <c r="L32352" s="711"/>
      <c r="Q32352" s="11"/>
      <c r="R32352" s="11"/>
      <c r="S32352" s="11"/>
      <c r="T32352" s="11"/>
    </row>
    <row r="32353" spans="8:20" x14ac:dyDescent="0.35">
      <c r="H32353" s="711"/>
      <c r="I32353" s="711"/>
      <c r="J32353" s="711"/>
      <c r="K32353" s="711"/>
      <c r="L32353" s="711"/>
      <c r="Q32353" s="11"/>
      <c r="R32353" s="11"/>
      <c r="S32353" s="11"/>
      <c r="T32353" s="11"/>
    </row>
    <row r="32354" spans="8:20" x14ac:dyDescent="0.35">
      <c r="H32354" s="711"/>
      <c r="I32354" s="711"/>
      <c r="J32354" s="711"/>
      <c r="K32354" s="711"/>
      <c r="L32354" s="711"/>
      <c r="Q32354" s="11"/>
      <c r="R32354" s="11"/>
      <c r="S32354" s="11"/>
      <c r="T32354" s="11"/>
    </row>
    <row r="32355" spans="8:20" x14ac:dyDescent="0.35">
      <c r="H32355" s="711"/>
      <c r="I32355" s="711"/>
      <c r="J32355" s="711"/>
      <c r="K32355" s="711"/>
      <c r="L32355" s="711"/>
      <c r="Q32355" s="11"/>
      <c r="R32355" s="11"/>
      <c r="S32355" s="11"/>
      <c r="T32355" s="11"/>
    </row>
    <row r="32356" spans="8:20" x14ac:dyDescent="0.35">
      <c r="H32356" s="711"/>
      <c r="I32356" s="711"/>
      <c r="J32356" s="711"/>
      <c r="K32356" s="711"/>
      <c r="L32356" s="711"/>
      <c r="Q32356" s="11"/>
      <c r="R32356" s="11"/>
      <c r="S32356" s="11"/>
      <c r="T32356" s="11"/>
    </row>
    <row r="32357" spans="8:20" x14ac:dyDescent="0.35">
      <c r="H32357" s="711"/>
      <c r="I32357" s="711"/>
      <c r="J32357" s="711"/>
      <c r="K32357" s="711"/>
      <c r="L32357" s="711"/>
      <c r="Q32357" s="11"/>
      <c r="R32357" s="11"/>
      <c r="S32357" s="11"/>
      <c r="T32357" s="11"/>
    </row>
    <row r="32358" spans="8:20" x14ac:dyDescent="0.35">
      <c r="H32358" s="711"/>
      <c r="I32358" s="711"/>
      <c r="J32358" s="711"/>
      <c r="K32358" s="711"/>
      <c r="L32358" s="711"/>
      <c r="Q32358" s="11"/>
      <c r="R32358" s="11"/>
      <c r="S32358" s="11"/>
      <c r="T32358" s="11"/>
    </row>
    <row r="32359" spans="8:20" x14ac:dyDescent="0.35">
      <c r="H32359" s="711"/>
      <c r="I32359" s="711"/>
      <c r="J32359" s="711"/>
      <c r="K32359" s="711"/>
      <c r="L32359" s="711"/>
      <c r="Q32359" s="11"/>
      <c r="R32359" s="11"/>
      <c r="S32359" s="11"/>
      <c r="T32359" s="11"/>
    </row>
    <row r="32360" spans="8:20" x14ac:dyDescent="0.35">
      <c r="H32360" s="711"/>
      <c r="I32360" s="711"/>
      <c r="J32360" s="711"/>
      <c r="K32360" s="711"/>
      <c r="L32360" s="711"/>
      <c r="Q32360" s="11"/>
      <c r="R32360" s="11"/>
      <c r="S32360" s="11"/>
      <c r="T32360" s="11"/>
    </row>
    <row r="32361" spans="8:20" x14ac:dyDescent="0.35">
      <c r="H32361" s="711"/>
      <c r="I32361" s="711"/>
      <c r="J32361" s="711"/>
      <c r="K32361" s="711"/>
      <c r="L32361" s="711"/>
      <c r="Q32361" s="11"/>
      <c r="R32361" s="11"/>
      <c r="S32361" s="11"/>
      <c r="T32361" s="11"/>
    </row>
    <row r="32362" spans="8:20" x14ac:dyDescent="0.35">
      <c r="H32362" s="711"/>
      <c r="I32362" s="711"/>
      <c r="J32362" s="711"/>
      <c r="K32362" s="711"/>
      <c r="L32362" s="711"/>
      <c r="Q32362" s="11"/>
      <c r="R32362" s="11"/>
      <c r="S32362" s="11"/>
      <c r="T32362" s="11"/>
    </row>
    <row r="32363" spans="8:20" x14ac:dyDescent="0.35">
      <c r="H32363" s="711"/>
      <c r="I32363" s="711"/>
      <c r="J32363" s="711"/>
      <c r="K32363" s="711"/>
      <c r="L32363" s="711"/>
      <c r="Q32363" s="11"/>
      <c r="R32363" s="11"/>
      <c r="S32363" s="11"/>
      <c r="T32363" s="11"/>
    </row>
    <row r="32364" spans="8:20" x14ac:dyDescent="0.35">
      <c r="H32364" s="711"/>
      <c r="I32364" s="711"/>
      <c r="J32364" s="711"/>
      <c r="K32364" s="711"/>
      <c r="L32364" s="711"/>
      <c r="Q32364" s="11"/>
      <c r="R32364" s="11"/>
      <c r="S32364" s="11"/>
      <c r="T32364" s="11"/>
    </row>
    <row r="32365" spans="8:20" x14ac:dyDescent="0.35">
      <c r="H32365" s="711"/>
      <c r="I32365" s="711"/>
      <c r="J32365" s="711"/>
      <c r="K32365" s="711"/>
      <c r="L32365" s="711"/>
      <c r="Q32365" s="11"/>
      <c r="R32365" s="11"/>
      <c r="S32365" s="11"/>
      <c r="T32365" s="11"/>
    </row>
    <row r="32366" spans="8:20" x14ac:dyDescent="0.35">
      <c r="H32366" s="711"/>
      <c r="I32366" s="711"/>
      <c r="J32366" s="711"/>
      <c r="K32366" s="711"/>
      <c r="L32366" s="711"/>
      <c r="Q32366" s="11"/>
      <c r="R32366" s="11"/>
      <c r="S32366" s="11"/>
      <c r="T32366" s="11"/>
    </row>
    <row r="32367" spans="8:20" x14ac:dyDescent="0.35">
      <c r="H32367" s="711"/>
      <c r="I32367" s="711"/>
      <c r="J32367" s="711"/>
      <c r="K32367" s="711"/>
      <c r="L32367" s="711"/>
      <c r="Q32367" s="11"/>
      <c r="R32367" s="11"/>
      <c r="S32367" s="11"/>
      <c r="T32367" s="11"/>
    </row>
    <row r="32368" spans="8:20" x14ac:dyDescent="0.35">
      <c r="H32368" s="711"/>
      <c r="I32368" s="711"/>
      <c r="J32368" s="711"/>
      <c r="K32368" s="711"/>
      <c r="L32368" s="711"/>
      <c r="Q32368" s="11"/>
      <c r="R32368" s="11"/>
      <c r="S32368" s="11"/>
      <c r="T32368" s="11"/>
    </row>
    <row r="32369" spans="8:20" x14ac:dyDescent="0.35">
      <c r="H32369" s="711"/>
      <c r="I32369" s="711"/>
      <c r="J32369" s="711"/>
      <c r="K32369" s="711"/>
      <c r="L32369" s="711"/>
      <c r="Q32369" s="11"/>
      <c r="R32369" s="11"/>
      <c r="S32369" s="11"/>
      <c r="T32369" s="11"/>
    </row>
    <row r="32370" spans="8:20" x14ac:dyDescent="0.35">
      <c r="H32370" s="711"/>
      <c r="I32370" s="711"/>
      <c r="J32370" s="711"/>
      <c r="K32370" s="711"/>
      <c r="L32370" s="711"/>
      <c r="Q32370" s="11"/>
      <c r="R32370" s="11"/>
      <c r="S32370" s="11"/>
      <c r="T32370" s="11"/>
    </row>
    <row r="32371" spans="8:20" x14ac:dyDescent="0.35">
      <c r="H32371" s="711"/>
      <c r="I32371" s="711"/>
      <c r="J32371" s="711"/>
      <c r="K32371" s="711"/>
      <c r="L32371" s="711"/>
      <c r="Q32371" s="11"/>
      <c r="R32371" s="11"/>
      <c r="S32371" s="11"/>
      <c r="T32371" s="11"/>
    </row>
    <row r="32372" spans="8:20" x14ac:dyDescent="0.35">
      <c r="H32372" s="711"/>
      <c r="I32372" s="711"/>
      <c r="J32372" s="711"/>
      <c r="K32372" s="711"/>
      <c r="L32372" s="711"/>
      <c r="Q32372" s="11"/>
      <c r="R32372" s="11"/>
      <c r="S32372" s="11"/>
      <c r="T32372" s="11"/>
    </row>
    <row r="32373" spans="8:20" x14ac:dyDescent="0.35">
      <c r="H32373" s="711"/>
      <c r="I32373" s="711"/>
      <c r="J32373" s="711"/>
      <c r="K32373" s="711"/>
      <c r="L32373" s="711"/>
      <c r="Q32373" s="11"/>
      <c r="R32373" s="11"/>
      <c r="S32373" s="11"/>
      <c r="T32373" s="11"/>
    </row>
    <row r="32374" spans="8:20" x14ac:dyDescent="0.35">
      <c r="H32374" s="711"/>
      <c r="I32374" s="711"/>
      <c r="J32374" s="711"/>
      <c r="K32374" s="711"/>
      <c r="L32374" s="711"/>
      <c r="Q32374" s="11"/>
      <c r="R32374" s="11"/>
      <c r="S32374" s="11"/>
      <c r="T32374" s="11"/>
    </row>
    <row r="32375" spans="8:20" x14ac:dyDescent="0.35">
      <c r="H32375" s="711"/>
      <c r="I32375" s="711"/>
      <c r="J32375" s="711"/>
      <c r="K32375" s="711"/>
      <c r="L32375" s="711"/>
      <c r="Q32375" s="11"/>
      <c r="R32375" s="11"/>
      <c r="S32375" s="11"/>
      <c r="T32375" s="11"/>
    </row>
    <row r="32376" spans="8:20" x14ac:dyDescent="0.35">
      <c r="H32376" s="711"/>
      <c r="I32376" s="711"/>
      <c r="J32376" s="711"/>
      <c r="K32376" s="711"/>
      <c r="L32376" s="711"/>
      <c r="Q32376" s="11"/>
      <c r="R32376" s="11"/>
      <c r="S32376" s="11"/>
      <c r="T32376" s="11"/>
    </row>
    <row r="32377" spans="8:20" x14ac:dyDescent="0.35">
      <c r="H32377" s="711"/>
      <c r="I32377" s="711"/>
      <c r="J32377" s="711"/>
      <c r="K32377" s="711"/>
      <c r="L32377" s="711"/>
      <c r="Q32377" s="11"/>
      <c r="R32377" s="11"/>
      <c r="S32377" s="11"/>
      <c r="T32377" s="11"/>
    </row>
    <row r="32378" spans="8:20" x14ac:dyDescent="0.35">
      <c r="H32378" s="711"/>
      <c r="I32378" s="711"/>
      <c r="J32378" s="711"/>
      <c r="K32378" s="711"/>
      <c r="L32378" s="711"/>
      <c r="Q32378" s="11"/>
      <c r="R32378" s="11"/>
      <c r="S32378" s="11"/>
      <c r="T32378" s="11"/>
    </row>
    <row r="32379" spans="8:20" x14ac:dyDescent="0.35">
      <c r="H32379" s="711"/>
      <c r="I32379" s="711"/>
      <c r="J32379" s="711"/>
      <c r="K32379" s="711"/>
      <c r="L32379" s="711"/>
      <c r="Q32379" s="11"/>
      <c r="R32379" s="11"/>
      <c r="S32379" s="11"/>
      <c r="T32379" s="11"/>
    </row>
    <row r="32380" spans="8:20" x14ac:dyDescent="0.35">
      <c r="H32380" s="711"/>
      <c r="I32380" s="711"/>
      <c r="J32380" s="711"/>
      <c r="K32380" s="711"/>
      <c r="L32380" s="711"/>
      <c r="Q32380" s="11"/>
      <c r="R32380" s="11"/>
      <c r="S32380" s="11"/>
      <c r="T32380" s="11"/>
    </row>
    <row r="32381" spans="8:20" x14ac:dyDescent="0.35">
      <c r="H32381" s="711"/>
      <c r="I32381" s="711"/>
      <c r="J32381" s="711"/>
      <c r="K32381" s="711"/>
      <c r="L32381" s="711"/>
      <c r="Q32381" s="11"/>
      <c r="R32381" s="11"/>
      <c r="S32381" s="11"/>
      <c r="T32381" s="11"/>
    </row>
    <row r="32382" spans="8:20" x14ac:dyDescent="0.35">
      <c r="H32382" s="711"/>
      <c r="I32382" s="711"/>
      <c r="J32382" s="711"/>
      <c r="K32382" s="711"/>
      <c r="L32382" s="711"/>
      <c r="Q32382" s="11"/>
      <c r="R32382" s="11"/>
      <c r="S32382" s="11"/>
      <c r="T32382" s="11"/>
    </row>
    <row r="32383" spans="8:20" x14ac:dyDescent="0.35">
      <c r="H32383" s="711"/>
      <c r="I32383" s="711"/>
      <c r="J32383" s="711"/>
      <c r="K32383" s="711"/>
      <c r="L32383" s="711"/>
      <c r="Q32383" s="11"/>
      <c r="R32383" s="11"/>
      <c r="S32383" s="11"/>
      <c r="T32383" s="11"/>
    </row>
    <row r="32384" spans="8:20" x14ac:dyDescent="0.35">
      <c r="H32384" s="711"/>
      <c r="I32384" s="711"/>
      <c r="J32384" s="711"/>
      <c r="K32384" s="711"/>
      <c r="L32384" s="711"/>
      <c r="Q32384" s="11"/>
      <c r="R32384" s="11"/>
      <c r="S32384" s="11"/>
      <c r="T32384" s="11"/>
    </row>
    <row r="32385" spans="8:20" x14ac:dyDescent="0.35">
      <c r="H32385" s="711"/>
      <c r="I32385" s="711"/>
      <c r="J32385" s="711"/>
      <c r="K32385" s="711"/>
      <c r="L32385" s="711"/>
      <c r="Q32385" s="11"/>
      <c r="R32385" s="11"/>
      <c r="S32385" s="11"/>
      <c r="T32385" s="11"/>
    </row>
    <row r="32386" spans="8:20" x14ac:dyDescent="0.35">
      <c r="H32386" s="711"/>
      <c r="I32386" s="711"/>
      <c r="J32386" s="711"/>
      <c r="K32386" s="711"/>
      <c r="L32386" s="711"/>
      <c r="Q32386" s="11"/>
      <c r="R32386" s="11"/>
      <c r="S32386" s="11"/>
      <c r="T32386" s="11"/>
    </row>
    <row r="32387" spans="8:20" x14ac:dyDescent="0.35">
      <c r="H32387" s="711"/>
      <c r="I32387" s="711"/>
      <c r="J32387" s="711"/>
      <c r="K32387" s="711"/>
      <c r="L32387" s="711"/>
      <c r="Q32387" s="11"/>
      <c r="R32387" s="11"/>
      <c r="S32387" s="11"/>
      <c r="T32387" s="11"/>
    </row>
    <row r="32388" spans="8:20" x14ac:dyDescent="0.35">
      <c r="H32388" s="711"/>
      <c r="I32388" s="711"/>
      <c r="J32388" s="711"/>
      <c r="K32388" s="711"/>
      <c r="L32388" s="711"/>
      <c r="Q32388" s="11"/>
      <c r="R32388" s="11"/>
      <c r="S32388" s="11"/>
      <c r="T32388" s="11"/>
    </row>
    <row r="32389" spans="8:20" x14ac:dyDescent="0.35">
      <c r="H32389" s="711"/>
      <c r="I32389" s="711"/>
      <c r="J32389" s="711"/>
      <c r="K32389" s="711"/>
      <c r="L32389" s="711"/>
      <c r="Q32389" s="11"/>
      <c r="R32389" s="11"/>
      <c r="S32389" s="11"/>
      <c r="T32389" s="11"/>
    </row>
    <row r="32390" spans="8:20" x14ac:dyDescent="0.35">
      <c r="H32390" s="711"/>
      <c r="I32390" s="711"/>
      <c r="J32390" s="711"/>
      <c r="K32390" s="711"/>
      <c r="L32390" s="711"/>
      <c r="Q32390" s="11"/>
      <c r="R32390" s="11"/>
      <c r="S32390" s="11"/>
      <c r="T32390" s="11"/>
    </row>
    <row r="32391" spans="8:20" x14ac:dyDescent="0.35">
      <c r="H32391" s="711"/>
      <c r="I32391" s="711"/>
      <c r="J32391" s="711"/>
      <c r="K32391" s="711"/>
      <c r="L32391" s="711"/>
      <c r="Q32391" s="11"/>
      <c r="R32391" s="11"/>
      <c r="S32391" s="11"/>
      <c r="T32391" s="11"/>
    </row>
    <row r="32392" spans="8:20" x14ac:dyDescent="0.35">
      <c r="H32392" s="711"/>
      <c r="I32392" s="711"/>
      <c r="J32392" s="711"/>
      <c r="K32392" s="711"/>
      <c r="L32392" s="711"/>
      <c r="Q32392" s="11"/>
      <c r="R32392" s="11"/>
      <c r="S32392" s="11"/>
      <c r="T32392" s="11"/>
    </row>
    <row r="32393" spans="8:20" x14ac:dyDescent="0.35">
      <c r="H32393" s="711"/>
      <c r="I32393" s="711"/>
      <c r="J32393" s="711"/>
      <c r="K32393" s="711"/>
      <c r="L32393" s="711"/>
      <c r="Q32393" s="11"/>
      <c r="R32393" s="11"/>
      <c r="S32393" s="11"/>
      <c r="T32393" s="11"/>
    </row>
    <row r="32394" spans="8:20" x14ac:dyDescent="0.35">
      <c r="H32394" s="711"/>
      <c r="I32394" s="711"/>
      <c r="J32394" s="711"/>
      <c r="K32394" s="711"/>
      <c r="L32394" s="711"/>
      <c r="Q32394" s="11"/>
      <c r="R32394" s="11"/>
      <c r="S32394" s="11"/>
      <c r="T32394" s="11"/>
    </row>
    <row r="32395" spans="8:20" x14ac:dyDescent="0.35">
      <c r="H32395" s="711"/>
      <c r="I32395" s="711"/>
      <c r="J32395" s="711"/>
      <c r="K32395" s="711"/>
      <c r="L32395" s="711"/>
      <c r="Q32395" s="11"/>
      <c r="R32395" s="11"/>
      <c r="S32395" s="11"/>
      <c r="T32395" s="11"/>
    </row>
    <row r="32396" spans="8:20" x14ac:dyDescent="0.35">
      <c r="H32396" s="711"/>
      <c r="I32396" s="711"/>
      <c r="J32396" s="711"/>
      <c r="K32396" s="711"/>
      <c r="L32396" s="711"/>
      <c r="Q32396" s="11"/>
      <c r="R32396" s="11"/>
      <c r="S32396" s="11"/>
      <c r="T32396" s="11"/>
    </row>
    <row r="32397" spans="8:20" x14ac:dyDescent="0.35">
      <c r="H32397" s="711"/>
      <c r="I32397" s="711"/>
      <c r="J32397" s="711"/>
      <c r="K32397" s="711"/>
      <c r="L32397" s="711"/>
      <c r="Q32397" s="11"/>
      <c r="R32397" s="11"/>
      <c r="S32397" s="11"/>
      <c r="T32397" s="11"/>
    </row>
    <row r="32398" spans="8:20" x14ac:dyDescent="0.35">
      <c r="H32398" s="711"/>
      <c r="I32398" s="711"/>
      <c r="J32398" s="711"/>
      <c r="K32398" s="711"/>
      <c r="L32398" s="711"/>
      <c r="Q32398" s="11"/>
      <c r="R32398" s="11"/>
      <c r="S32398" s="11"/>
      <c r="T32398" s="11"/>
    </row>
    <row r="32399" spans="8:20" x14ac:dyDescent="0.35">
      <c r="H32399" s="711"/>
      <c r="I32399" s="711"/>
      <c r="J32399" s="711"/>
      <c r="K32399" s="711"/>
      <c r="L32399" s="711"/>
      <c r="Q32399" s="11"/>
      <c r="R32399" s="11"/>
      <c r="S32399" s="11"/>
      <c r="T32399" s="11"/>
    </row>
    <row r="32400" spans="8:20" x14ac:dyDescent="0.35">
      <c r="H32400" s="711"/>
      <c r="I32400" s="711"/>
      <c r="J32400" s="711"/>
      <c r="K32400" s="711"/>
      <c r="L32400" s="711"/>
      <c r="Q32400" s="11"/>
      <c r="R32400" s="11"/>
      <c r="S32400" s="11"/>
      <c r="T32400" s="11"/>
    </row>
    <row r="32401" spans="8:20" x14ac:dyDescent="0.35">
      <c r="H32401" s="711"/>
      <c r="I32401" s="711"/>
      <c r="J32401" s="711"/>
      <c r="K32401" s="711"/>
      <c r="L32401" s="711"/>
      <c r="Q32401" s="11"/>
      <c r="R32401" s="11"/>
      <c r="S32401" s="11"/>
      <c r="T32401" s="11"/>
    </row>
    <row r="32402" spans="8:20" x14ac:dyDescent="0.35">
      <c r="H32402" s="711"/>
      <c r="I32402" s="711"/>
      <c r="J32402" s="711"/>
      <c r="K32402" s="711"/>
      <c r="L32402" s="711"/>
      <c r="Q32402" s="11"/>
      <c r="R32402" s="11"/>
      <c r="S32402" s="11"/>
      <c r="T32402" s="11"/>
    </row>
    <row r="32403" spans="8:20" x14ac:dyDescent="0.35">
      <c r="H32403" s="711"/>
      <c r="I32403" s="711"/>
      <c r="J32403" s="711"/>
      <c r="K32403" s="711"/>
      <c r="L32403" s="711"/>
      <c r="Q32403" s="11"/>
      <c r="R32403" s="11"/>
      <c r="S32403" s="11"/>
      <c r="T32403" s="11"/>
    </row>
    <row r="32404" spans="8:20" x14ac:dyDescent="0.35">
      <c r="H32404" s="711"/>
      <c r="I32404" s="711"/>
      <c r="J32404" s="711"/>
      <c r="K32404" s="711"/>
      <c r="L32404" s="711"/>
      <c r="Q32404" s="11"/>
      <c r="R32404" s="11"/>
      <c r="S32404" s="11"/>
      <c r="T32404" s="11"/>
    </row>
    <row r="32405" spans="8:20" x14ac:dyDescent="0.35">
      <c r="H32405" s="711"/>
      <c r="I32405" s="711"/>
      <c r="J32405" s="711"/>
      <c r="K32405" s="711"/>
      <c r="L32405" s="711"/>
      <c r="Q32405" s="11"/>
      <c r="R32405" s="11"/>
      <c r="S32405" s="11"/>
      <c r="T32405" s="11"/>
    </row>
    <row r="32406" spans="8:20" x14ac:dyDescent="0.35">
      <c r="H32406" s="711"/>
      <c r="I32406" s="711"/>
      <c r="J32406" s="711"/>
      <c r="K32406" s="711"/>
      <c r="L32406" s="711"/>
      <c r="Q32406" s="11"/>
      <c r="R32406" s="11"/>
      <c r="S32406" s="11"/>
      <c r="T32406" s="11"/>
    </row>
    <row r="32407" spans="8:20" x14ac:dyDescent="0.35">
      <c r="H32407" s="711"/>
      <c r="I32407" s="711"/>
      <c r="J32407" s="711"/>
      <c r="K32407" s="711"/>
      <c r="L32407" s="711"/>
      <c r="Q32407" s="11"/>
      <c r="R32407" s="11"/>
      <c r="S32407" s="11"/>
      <c r="T32407" s="11"/>
    </row>
    <row r="32408" spans="8:20" x14ac:dyDescent="0.35">
      <c r="H32408" s="711"/>
      <c r="I32408" s="711"/>
      <c r="J32408" s="711"/>
      <c r="K32408" s="711"/>
      <c r="L32408" s="711"/>
      <c r="Q32408" s="11"/>
      <c r="R32408" s="11"/>
      <c r="S32408" s="11"/>
      <c r="T32408" s="11"/>
    </row>
    <row r="32409" spans="8:20" x14ac:dyDescent="0.35">
      <c r="H32409" s="711"/>
      <c r="I32409" s="711"/>
      <c r="J32409" s="711"/>
      <c r="K32409" s="711"/>
      <c r="L32409" s="711"/>
      <c r="Q32409" s="11"/>
      <c r="R32409" s="11"/>
      <c r="S32409" s="11"/>
      <c r="T32409" s="11"/>
    </row>
    <row r="32410" spans="8:20" x14ac:dyDescent="0.35">
      <c r="H32410" s="711"/>
      <c r="I32410" s="711"/>
      <c r="J32410" s="711"/>
      <c r="K32410" s="711"/>
      <c r="L32410" s="711"/>
      <c r="Q32410" s="11"/>
      <c r="R32410" s="11"/>
      <c r="S32410" s="11"/>
      <c r="T32410" s="11"/>
    </row>
    <row r="32411" spans="8:20" x14ac:dyDescent="0.35">
      <c r="H32411" s="711"/>
      <c r="I32411" s="711"/>
      <c r="J32411" s="711"/>
      <c r="K32411" s="711"/>
      <c r="L32411" s="711"/>
      <c r="Q32411" s="11"/>
      <c r="R32411" s="11"/>
      <c r="S32411" s="11"/>
      <c r="T32411" s="11"/>
    </row>
    <row r="32412" spans="8:20" x14ac:dyDescent="0.35">
      <c r="H32412" s="711"/>
      <c r="I32412" s="711"/>
      <c r="J32412" s="711"/>
      <c r="K32412" s="711"/>
      <c r="L32412" s="711"/>
      <c r="Q32412" s="11"/>
      <c r="R32412" s="11"/>
      <c r="S32412" s="11"/>
      <c r="T32412" s="11"/>
    </row>
    <row r="32413" spans="8:20" x14ac:dyDescent="0.35">
      <c r="H32413" s="711"/>
      <c r="I32413" s="711"/>
      <c r="J32413" s="711"/>
      <c r="K32413" s="711"/>
      <c r="L32413" s="711"/>
      <c r="Q32413" s="11"/>
      <c r="R32413" s="11"/>
      <c r="S32413" s="11"/>
      <c r="T32413" s="11"/>
    </row>
    <row r="32414" spans="8:20" x14ac:dyDescent="0.35">
      <c r="H32414" s="711"/>
      <c r="I32414" s="711"/>
      <c r="J32414" s="711"/>
      <c r="K32414" s="711"/>
      <c r="L32414" s="711"/>
      <c r="Q32414" s="11"/>
      <c r="R32414" s="11"/>
      <c r="S32414" s="11"/>
      <c r="T32414" s="11"/>
    </row>
    <row r="32415" spans="8:20" x14ac:dyDescent="0.35">
      <c r="H32415" s="711"/>
      <c r="I32415" s="711"/>
      <c r="J32415" s="711"/>
      <c r="K32415" s="711"/>
      <c r="L32415" s="711"/>
      <c r="Q32415" s="11"/>
      <c r="R32415" s="11"/>
      <c r="S32415" s="11"/>
      <c r="T32415" s="11"/>
    </row>
    <row r="32416" spans="8:20" x14ac:dyDescent="0.35">
      <c r="H32416" s="711"/>
      <c r="I32416" s="711"/>
      <c r="J32416" s="711"/>
      <c r="K32416" s="711"/>
      <c r="L32416" s="711"/>
      <c r="Q32416" s="11"/>
      <c r="R32416" s="11"/>
      <c r="S32416" s="11"/>
      <c r="T32416" s="11"/>
    </row>
    <row r="32417" spans="8:20" x14ac:dyDescent="0.35">
      <c r="H32417" s="711"/>
      <c r="I32417" s="711"/>
      <c r="J32417" s="711"/>
      <c r="K32417" s="711"/>
      <c r="L32417" s="711"/>
      <c r="Q32417" s="11"/>
      <c r="R32417" s="11"/>
      <c r="S32417" s="11"/>
      <c r="T32417" s="11"/>
    </row>
    <row r="32418" spans="8:20" x14ac:dyDescent="0.35">
      <c r="H32418" s="711"/>
      <c r="I32418" s="711"/>
      <c r="J32418" s="711"/>
      <c r="K32418" s="711"/>
      <c r="L32418" s="711"/>
      <c r="Q32418" s="11"/>
      <c r="R32418" s="11"/>
      <c r="S32418" s="11"/>
      <c r="T32418" s="11"/>
    </row>
    <row r="32419" spans="8:20" x14ac:dyDescent="0.35">
      <c r="H32419" s="711"/>
      <c r="I32419" s="711"/>
      <c r="J32419" s="711"/>
      <c r="K32419" s="711"/>
      <c r="L32419" s="711"/>
      <c r="Q32419" s="11"/>
      <c r="R32419" s="11"/>
      <c r="S32419" s="11"/>
      <c r="T32419" s="11"/>
    </row>
    <row r="32420" spans="8:20" x14ac:dyDescent="0.35">
      <c r="H32420" s="711"/>
      <c r="I32420" s="711"/>
      <c r="J32420" s="711"/>
      <c r="K32420" s="711"/>
      <c r="L32420" s="711"/>
      <c r="Q32420" s="11"/>
      <c r="R32420" s="11"/>
      <c r="S32420" s="11"/>
      <c r="T32420" s="11"/>
    </row>
    <row r="32421" spans="8:20" x14ac:dyDescent="0.35">
      <c r="H32421" s="711"/>
      <c r="I32421" s="711"/>
      <c r="J32421" s="711"/>
      <c r="K32421" s="711"/>
      <c r="L32421" s="711"/>
      <c r="Q32421" s="11"/>
      <c r="R32421" s="11"/>
      <c r="S32421" s="11"/>
      <c r="T32421" s="11"/>
    </row>
    <row r="32422" spans="8:20" x14ac:dyDescent="0.35">
      <c r="H32422" s="711"/>
      <c r="I32422" s="711"/>
      <c r="J32422" s="711"/>
      <c r="K32422" s="711"/>
      <c r="L32422" s="711"/>
      <c r="Q32422" s="11"/>
      <c r="R32422" s="11"/>
      <c r="S32422" s="11"/>
      <c r="T32422" s="11"/>
    </row>
    <row r="32423" spans="8:20" x14ac:dyDescent="0.35">
      <c r="H32423" s="711"/>
      <c r="I32423" s="711"/>
      <c r="J32423" s="711"/>
      <c r="K32423" s="711"/>
      <c r="L32423" s="711"/>
      <c r="Q32423" s="11"/>
      <c r="R32423" s="11"/>
      <c r="S32423" s="11"/>
      <c r="T32423" s="11"/>
    </row>
    <row r="32424" spans="8:20" x14ac:dyDescent="0.35">
      <c r="H32424" s="711"/>
      <c r="I32424" s="711"/>
      <c r="J32424" s="711"/>
      <c r="K32424" s="711"/>
      <c r="L32424" s="711"/>
      <c r="Q32424" s="11"/>
      <c r="R32424" s="11"/>
      <c r="S32424" s="11"/>
      <c r="T32424" s="11"/>
    </row>
    <row r="32425" spans="8:20" x14ac:dyDescent="0.35">
      <c r="H32425" s="711"/>
      <c r="I32425" s="711"/>
      <c r="J32425" s="711"/>
      <c r="K32425" s="711"/>
      <c r="L32425" s="711"/>
      <c r="Q32425" s="11"/>
      <c r="R32425" s="11"/>
      <c r="S32425" s="11"/>
      <c r="T32425" s="11"/>
    </row>
    <row r="32426" spans="8:20" x14ac:dyDescent="0.35">
      <c r="H32426" s="711"/>
      <c r="I32426" s="711"/>
      <c r="J32426" s="711"/>
      <c r="K32426" s="711"/>
      <c r="L32426" s="711"/>
      <c r="Q32426" s="11"/>
      <c r="R32426" s="11"/>
      <c r="S32426" s="11"/>
      <c r="T32426" s="11"/>
    </row>
    <row r="32427" spans="8:20" x14ac:dyDescent="0.35">
      <c r="H32427" s="711"/>
      <c r="I32427" s="711"/>
      <c r="J32427" s="711"/>
      <c r="K32427" s="711"/>
      <c r="L32427" s="711"/>
      <c r="Q32427" s="11"/>
      <c r="R32427" s="11"/>
      <c r="S32427" s="11"/>
      <c r="T32427" s="11"/>
    </row>
    <row r="32428" spans="8:20" x14ac:dyDescent="0.35">
      <c r="H32428" s="711"/>
      <c r="I32428" s="711"/>
      <c r="J32428" s="711"/>
      <c r="K32428" s="711"/>
      <c r="L32428" s="711"/>
      <c r="Q32428" s="11"/>
      <c r="R32428" s="11"/>
      <c r="S32428" s="11"/>
      <c r="T32428" s="11"/>
    </row>
    <row r="32429" spans="8:20" x14ac:dyDescent="0.35">
      <c r="H32429" s="711"/>
      <c r="I32429" s="711"/>
      <c r="J32429" s="711"/>
      <c r="K32429" s="711"/>
      <c r="L32429" s="711"/>
      <c r="Q32429" s="11"/>
      <c r="R32429" s="11"/>
      <c r="S32429" s="11"/>
      <c r="T32429" s="11"/>
    </row>
    <row r="32430" spans="8:20" x14ac:dyDescent="0.35">
      <c r="H32430" s="711"/>
      <c r="I32430" s="711"/>
      <c r="J32430" s="711"/>
      <c r="K32430" s="711"/>
      <c r="L32430" s="711"/>
      <c r="Q32430" s="11"/>
      <c r="R32430" s="11"/>
      <c r="S32430" s="11"/>
      <c r="T32430" s="11"/>
    </row>
    <row r="32431" spans="8:20" x14ac:dyDescent="0.35">
      <c r="H32431" s="711"/>
      <c r="I32431" s="711"/>
      <c r="J32431" s="711"/>
      <c r="K32431" s="711"/>
      <c r="L32431" s="711"/>
      <c r="Q32431" s="11"/>
      <c r="R32431" s="11"/>
      <c r="S32431" s="11"/>
      <c r="T32431" s="11"/>
    </row>
    <row r="32432" spans="8:20" x14ac:dyDescent="0.35">
      <c r="H32432" s="711"/>
      <c r="I32432" s="711"/>
      <c r="J32432" s="711"/>
      <c r="K32432" s="711"/>
      <c r="L32432" s="711"/>
      <c r="Q32432" s="11"/>
      <c r="R32432" s="11"/>
      <c r="S32432" s="11"/>
      <c r="T32432" s="11"/>
    </row>
    <row r="32433" spans="8:20" x14ac:dyDescent="0.35">
      <c r="H32433" s="711"/>
      <c r="I32433" s="711"/>
      <c r="J32433" s="711"/>
      <c r="K32433" s="711"/>
      <c r="L32433" s="711"/>
      <c r="Q32433" s="11"/>
      <c r="R32433" s="11"/>
      <c r="S32433" s="11"/>
      <c r="T32433" s="11"/>
    </row>
    <row r="32434" spans="8:20" x14ac:dyDescent="0.35">
      <c r="H32434" s="711"/>
      <c r="I32434" s="711"/>
      <c r="J32434" s="711"/>
      <c r="K32434" s="711"/>
      <c r="L32434" s="711"/>
      <c r="Q32434" s="11"/>
      <c r="R32434" s="11"/>
      <c r="S32434" s="11"/>
      <c r="T32434" s="11"/>
    </row>
    <row r="32435" spans="8:20" x14ac:dyDescent="0.35">
      <c r="H32435" s="711"/>
      <c r="I32435" s="711"/>
      <c r="J32435" s="711"/>
      <c r="K32435" s="711"/>
      <c r="L32435" s="711"/>
      <c r="Q32435" s="11"/>
      <c r="R32435" s="11"/>
      <c r="S32435" s="11"/>
      <c r="T32435" s="11"/>
    </row>
    <row r="32436" spans="8:20" x14ac:dyDescent="0.35">
      <c r="H32436" s="711"/>
      <c r="I32436" s="711"/>
      <c r="J32436" s="711"/>
      <c r="K32436" s="711"/>
      <c r="L32436" s="711"/>
      <c r="Q32436" s="11"/>
      <c r="R32436" s="11"/>
      <c r="S32436" s="11"/>
      <c r="T32436" s="11"/>
    </row>
    <row r="32437" spans="8:20" x14ac:dyDescent="0.35">
      <c r="H32437" s="711"/>
      <c r="I32437" s="711"/>
      <c r="J32437" s="711"/>
      <c r="K32437" s="711"/>
      <c r="L32437" s="711"/>
      <c r="Q32437" s="11"/>
      <c r="R32437" s="11"/>
      <c r="S32437" s="11"/>
      <c r="T32437" s="11"/>
    </row>
    <row r="32438" spans="8:20" x14ac:dyDescent="0.35">
      <c r="H32438" s="711"/>
      <c r="I32438" s="711"/>
      <c r="J32438" s="711"/>
      <c r="K32438" s="711"/>
      <c r="L32438" s="711"/>
      <c r="Q32438" s="11"/>
      <c r="R32438" s="11"/>
      <c r="S32438" s="11"/>
      <c r="T32438" s="11"/>
    </row>
    <row r="32439" spans="8:20" x14ac:dyDescent="0.35">
      <c r="H32439" s="711"/>
      <c r="I32439" s="711"/>
      <c r="J32439" s="711"/>
      <c r="K32439" s="711"/>
      <c r="L32439" s="711"/>
      <c r="Q32439" s="11"/>
      <c r="R32439" s="11"/>
      <c r="S32439" s="11"/>
      <c r="T32439" s="11"/>
    </row>
    <row r="32440" spans="8:20" x14ac:dyDescent="0.35">
      <c r="H32440" s="711"/>
      <c r="I32440" s="711"/>
      <c r="J32440" s="711"/>
      <c r="K32440" s="711"/>
      <c r="L32440" s="711"/>
      <c r="Q32440" s="11"/>
      <c r="R32440" s="11"/>
      <c r="S32440" s="11"/>
      <c r="T32440" s="11"/>
    </row>
    <row r="32441" spans="8:20" x14ac:dyDescent="0.35">
      <c r="H32441" s="711"/>
      <c r="I32441" s="711"/>
      <c r="J32441" s="711"/>
      <c r="K32441" s="711"/>
      <c r="L32441" s="711"/>
      <c r="Q32441" s="11"/>
      <c r="R32441" s="11"/>
      <c r="S32441" s="11"/>
      <c r="T32441" s="11"/>
    </row>
    <row r="32442" spans="8:20" x14ac:dyDescent="0.35">
      <c r="H32442" s="711"/>
      <c r="I32442" s="711"/>
      <c r="J32442" s="711"/>
      <c r="K32442" s="711"/>
      <c r="L32442" s="711"/>
      <c r="Q32442" s="11"/>
      <c r="R32442" s="11"/>
      <c r="S32442" s="11"/>
      <c r="T32442" s="11"/>
    </row>
    <row r="32443" spans="8:20" x14ac:dyDescent="0.35">
      <c r="H32443" s="711"/>
      <c r="I32443" s="711"/>
      <c r="J32443" s="711"/>
      <c r="K32443" s="711"/>
      <c r="L32443" s="711"/>
      <c r="Q32443" s="11"/>
      <c r="R32443" s="11"/>
      <c r="S32443" s="11"/>
      <c r="T32443" s="11"/>
    </row>
    <row r="32444" spans="8:20" x14ac:dyDescent="0.35">
      <c r="H32444" s="711"/>
      <c r="I32444" s="711"/>
      <c r="J32444" s="711"/>
      <c r="K32444" s="711"/>
      <c r="L32444" s="711"/>
      <c r="Q32444" s="11"/>
      <c r="R32444" s="11"/>
      <c r="S32444" s="11"/>
      <c r="T32444" s="11"/>
    </row>
    <row r="32445" spans="8:20" x14ac:dyDescent="0.35">
      <c r="H32445" s="711"/>
      <c r="I32445" s="711"/>
      <c r="J32445" s="711"/>
      <c r="K32445" s="711"/>
      <c r="L32445" s="711"/>
      <c r="Q32445" s="11"/>
      <c r="R32445" s="11"/>
      <c r="S32445" s="11"/>
      <c r="T32445" s="11"/>
    </row>
    <row r="32446" spans="8:20" x14ac:dyDescent="0.35">
      <c r="H32446" s="711"/>
      <c r="I32446" s="711"/>
      <c r="J32446" s="711"/>
      <c r="K32446" s="711"/>
      <c r="L32446" s="711"/>
      <c r="Q32446" s="11"/>
      <c r="R32446" s="11"/>
      <c r="S32446" s="11"/>
      <c r="T32446" s="11"/>
    </row>
    <row r="32447" spans="8:20" x14ac:dyDescent="0.35">
      <c r="H32447" s="711"/>
      <c r="I32447" s="711"/>
      <c r="J32447" s="711"/>
      <c r="K32447" s="711"/>
      <c r="L32447" s="711"/>
      <c r="Q32447" s="11"/>
      <c r="R32447" s="11"/>
      <c r="S32447" s="11"/>
      <c r="T32447" s="11"/>
    </row>
    <row r="32448" spans="8:20" x14ac:dyDescent="0.35">
      <c r="H32448" s="711"/>
      <c r="I32448" s="711"/>
      <c r="J32448" s="711"/>
      <c r="K32448" s="711"/>
      <c r="L32448" s="711"/>
      <c r="Q32448" s="11"/>
      <c r="R32448" s="11"/>
      <c r="S32448" s="11"/>
      <c r="T32448" s="11"/>
    </row>
    <row r="32449" spans="8:20" x14ac:dyDescent="0.35">
      <c r="H32449" s="711"/>
      <c r="I32449" s="711"/>
      <c r="J32449" s="711"/>
      <c r="K32449" s="711"/>
      <c r="L32449" s="711"/>
      <c r="Q32449" s="11"/>
      <c r="R32449" s="11"/>
      <c r="S32449" s="11"/>
      <c r="T32449" s="11"/>
    </row>
    <row r="32450" spans="8:20" x14ac:dyDescent="0.35">
      <c r="H32450" s="711"/>
      <c r="I32450" s="711"/>
      <c r="J32450" s="711"/>
      <c r="K32450" s="711"/>
      <c r="L32450" s="711"/>
      <c r="Q32450" s="11"/>
      <c r="R32450" s="11"/>
      <c r="S32450" s="11"/>
      <c r="T32450" s="11"/>
    </row>
    <row r="32451" spans="8:20" x14ac:dyDescent="0.35">
      <c r="H32451" s="711"/>
      <c r="I32451" s="711"/>
      <c r="J32451" s="711"/>
      <c r="K32451" s="711"/>
      <c r="L32451" s="711"/>
      <c r="Q32451" s="11"/>
      <c r="R32451" s="11"/>
      <c r="S32451" s="11"/>
      <c r="T32451" s="11"/>
    </row>
    <row r="32452" spans="8:20" x14ac:dyDescent="0.35">
      <c r="H32452" s="711"/>
      <c r="I32452" s="711"/>
      <c r="J32452" s="711"/>
      <c r="K32452" s="711"/>
      <c r="L32452" s="711"/>
      <c r="Q32452" s="11"/>
      <c r="R32452" s="11"/>
      <c r="S32452" s="11"/>
      <c r="T32452" s="11"/>
    </row>
    <row r="32453" spans="8:20" x14ac:dyDescent="0.35">
      <c r="H32453" s="711"/>
      <c r="I32453" s="711"/>
      <c r="J32453" s="711"/>
      <c r="K32453" s="711"/>
      <c r="L32453" s="711"/>
      <c r="Q32453" s="11"/>
      <c r="R32453" s="11"/>
      <c r="S32453" s="11"/>
      <c r="T32453" s="11"/>
    </row>
    <row r="32454" spans="8:20" x14ac:dyDescent="0.35">
      <c r="H32454" s="711"/>
      <c r="I32454" s="711"/>
      <c r="J32454" s="711"/>
      <c r="K32454" s="711"/>
      <c r="L32454" s="711"/>
      <c r="Q32454" s="11"/>
      <c r="R32454" s="11"/>
      <c r="S32454" s="11"/>
      <c r="T32454" s="11"/>
    </row>
    <row r="32455" spans="8:20" x14ac:dyDescent="0.35">
      <c r="H32455" s="711"/>
      <c r="I32455" s="711"/>
      <c r="J32455" s="711"/>
      <c r="K32455" s="711"/>
      <c r="L32455" s="711"/>
      <c r="Q32455" s="11"/>
      <c r="R32455" s="11"/>
      <c r="S32455" s="11"/>
      <c r="T32455" s="11"/>
    </row>
    <row r="32456" spans="8:20" x14ac:dyDescent="0.35">
      <c r="H32456" s="711"/>
      <c r="I32456" s="711"/>
      <c r="J32456" s="711"/>
      <c r="K32456" s="711"/>
      <c r="L32456" s="711"/>
      <c r="Q32456" s="11"/>
      <c r="R32456" s="11"/>
      <c r="S32456" s="11"/>
      <c r="T32456" s="11"/>
    </row>
    <row r="32457" spans="8:20" x14ac:dyDescent="0.35">
      <c r="H32457" s="711"/>
      <c r="I32457" s="711"/>
      <c r="J32457" s="711"/>
      <c r="K32457" s="711"/>
      <c r="L32457" s="711"/>
      <c r="Q32457" s="11"/>
      <c r="R32457" s="11"/>
      <c r="S32457" s="11"/>
      <c r="T32457" s="11"/>
    </row>
    <row r="32458" spans="8:20" x14ac:dyDescent="0.35">
      <c r="H32458" s="711"/>
      <c r="I32458" s="711"/>
      <c r="J32458" s="711"/>
      <c r="K32458" s="711"/>
      <c r="L32458" s="711"/>
      <c r="Q32458" s="11"/>
      <c r="R32458" s="11"/>
      <c r="S32458" s="11"/>
      <c r="T32458" s="11"/>
    </row>
    <row r="32459" spans="8:20" x14ac:dyDescent="0.35">
      <c r="H32459" s="711"/>
      <c r="I32459" s="711"/>
      <c r="J32459" s="711"/>
      <c r="K32459" s="711"/>
      <c r="L32459" s="711"/>
      <c r="Q32459" s="11"/>
      <c r="R32459" s="11"/>
      <c r="S32459" s="11"/>
      <c r="T32459" s="11"/>
    </row>
    <row r="32460" spans="8:20" x14ac:dyDescent="0.35">
      <c r="H32460" s="711"/>
      <c r="I32460" s="711"/>
      <c r="J32460" s="711"/>
      <c r="K32460" s="711"/>
      <c r="L32460" s="711"/>
      <c r="Q32460" s="11"/>
      <c r="R32460" s="11"/>
      <c r="S32460" s="11"/>
      <c r="T32460" s="11"/>
    </row>
    <row r="32461" spans="8:20" x14ac:dyDescent="0.35">
      <c r="H32461" s="711"/>
      <c r="I32461" s="711"/>
      <c r="J32461" s="711"/>
      <c r="K32461" s="711"/>
      <c r="L32461" s="711"/>
      <c r="Q32461" s="11"/>
      <c r="R32461" s="11"/>
      <c r="S32461" s="11"/>
      <c r="T32461" s="11"/>
    </row>
    <row r="32462" spans="8:20" x14ac:dyDescent="0.35">
      <c r="H32462" s="711"/>
      <c r="I32462" s="711"/>
      <c r="J32462" s="711"/>
      <c r="K32462" s="711"/>
      <c r="L32462" s="711"/>
      <c r="Q32462" s="11"/>
      <c r="R32462" s="11"/>
      <c r="S32462" s="11"/>
      <c r="T32462" s="11"/>
    </row>
    <row r="32463" spans="8:20" x14ac:dyDescent="0.35">
      <c r="H32463" s="711"/>
      <c r="I32463" s="711"/>
      <c r="J32463" s="711"/>
      <c r="K32463" s="711"/>
      <c r="L32463" s="711"/>
      <c r="Q32463" s="11"/>
      <c r="R32463" s="11"/>
      <c r="S32463" s="11"/>
      <c r="T32463" s="11"/>
    </row>
    <row r="32464" spans="8:20" x14ac:dyDescent="0.35">
      <c r="H32464" s="711"/>
      <c r="I32464" s="711"/>
      <c r="J32464" s="711"/>
      <c r="K32464" s="711"/>
      <c r="L32464" s="711"/>
      <c r="Q32464" s="11"/>
      <c r="R32464" s="11"/>
      <c r="S32464" s="11"/>
      <c r="T32464" s="11"/>
    </row>
    <row r="32465" spans="8:20" x14ac:dyDescent="0.35">
      <c r="H32465" s="711"/>
      <c r="I32465" s="711"/>
      <c r="J32465" s="711"/>
      <c r="K32465" s="711"/>
      <c r="L32465" s="711"/>
      <c r="Q32465" s="11"/>
      <c r="R32465" s="11"/>
      <c r="S32465" s="11"/>
      <c r="T32465" s="11"/>
    </row>
    <row r="32466" spans="8:20" x14ac:dyDescent="0.35">
      <c r="H32466" s="711"/>
      <c r="I32466" s="711"/>
      <c r="J32466" s="711"/>
      <c r="K32466" s="711"/>
      <c r="L32466" s="711"/>
      <c r="Q32466" s="11"/>
      <c r="R32466" s="11"/>
      <c r="S32466" s="11"/>
      <c r="T32466" s="11"/>
    </row>
    <row r="32467" spans="8:20" x14ac:dyDescent="0.35">
      <c r="H32467" s="711"/>
      <c r="I32467" s="711"/>
      <c r="J32467" s="711"/>
      <c r="K32467" s="711"/>
      <c r="L32467" s="711"/>
      <c r="Q32467" s="11"/>
      <c r="R32467" s="11"/>
      <c r="S32467" s="11"/>
      <c r="T32467" s="11"/>
    </row>
    <row r="32468" spans="8:20" x14ac:dyDescent="0.35">
      <c r="H32468" s="711"/>
      <c r="I32468" s="711"/>
      <c r="J32468" s="711"/>
      <c r="K32468" s="711"/>
      <c r="L32468" s="711"/>
      <c r="Q32468" s="11"/>
      <c r="R32468" s="11"/>
      <c r="S32468" s="11"/>
      <c r="T32468" s="11"/>
    </row>
    <row r="32469" spans="8:20" x14ac:dyDescent="0.35">
      <c r="H32469" s="711"/>
      <c r="I32469" s="711"/>
      <c r="J32469" s="711"/>
      <c r="K32469" s="711"/>
      <c r="L32469" s="711"/>
      <c r="Q32469" s="11"/>
      <c r="R32469" s="11"/>
      <c r="S32469" s="11"/>
      <c r="T32469" s="11"/>
    </row>
    <row r="32470" spans="8:20" x14ac:dyDescent="0.35">
      <c r="H32470" s="711"/>
      <c r="I32470" s="711"/>
      <c r="J32470" s="711"/>
      <c r="K32470" s="711"/>
      <c r="L32470" s="711"/>
      <c r="Q32470" s="11"/>
      <c r="R32470" s="11"/>
      <c r="S32470" s="11"/>
      <c r="T32470" s="11"/>
    </row>
    <row r="32471" spans="8:20" x14ac:dyDescent="0.35">
      <c r="H32471" s="711"/>
      <c r="I32471" s="711"/>
      <c r="J32471" s="711"/>
      <c r="K32471" s="711"/>
      <c r="L32471" s="711"/>
      <c r="Q32471" s="11"/>
      <c r="R32471" s="11"/>
      <c r="S32471" s="11"/>
      <c r="T32471" s="11"/>
    </row>
    <row r="32472" spans="8:20" x14ac:dyDescent="0.35">
      <c r="H32472" s="711"/>
      <c r="I32472" s="711"/>
      <c r="J32472" s="711"/>
      <c r="K32472" s="711"/>
      <c r="L32472" s="711"/>
      <c r="Q32472" s="11"/>
      <c r="R32472" s="11"/>
      <c r="S32472" s="11"/>
      <c r="T32472" s="11"/>
    </row>
    <row r="32473" spans="8:20" x14ac:dyDescent="0.35">
      <c r="H32473" s="711"/>
      <c r="I32473" s="711"/>
      <c r="J32473" s="711"/>
      <c r="K32473" s="711"/>
      <c r="L32473" s="711"/>
      <c r="Q32473" s="11"/>
      <c r="R32473" s="11"/>
      <c r="S32473" s="11"/>
      <c r="T32473" s="11"/>
    </row>
    <row r="32474" spans="8:20" x14ac:dyDescent="0.35">
      <c r="H32474" s="711"/>
      <c r="I32474" s="711"/>
      <c r="J32474" s="711"/>
      <c r="K32474" s="711"/>
      <c r="L32474" s="711"/>
      <c r="Q32474" s="11"/>
      <c r="R32474" s="11"/>
      <c r="S32474" s="11"/>
      <c r="T32474" s="11"/>
    </row>
    <row r="32475" spans="8:20" x14ac:dyDescent="0.35">
      <c r="H32475" s="711"/>
      <c r="I32475" s="711"/>
      <c r="J32475" s="711"/>
      <c r="K32475" s="711"/>
      <c r="L32475" s="711"/>
      <c r="Q32475" s="11"/>
      <c r="R32475" s="11"/>
      <c r="S32475" s="11"/>
      <c r="T32475" s="11"/>
    </row>
    <row r="32476" spans="8:20" x14ac:dyDescent="0.35">
      <c r="H32476" s="711"/>
      <c r="I32476" s="711"/>
      <c r="J32476" s="711"/>
      <c r="K32476" s="711"/>
      <c r="L32476" s="711"/>
      <c r="Q32476" s="11"/>
      <c r="R32476" s="11"/>
      <c r="S32476" s="11"/>
      <c r="T32476" s="11"/>
    </row>
    <row r="32477" spans="8:20" x14ac:dyDescent="0.35">
      <c r="H32477" s="711"/>
      <c r="I32477" s="711"/>
      <c r="J32477" s="711"/>
      <c r="K32477" s="711"/>
      <c r="L32477" s="711"/>
      <c r="Q32477" s="11"/>
      <c r="R32477" s="11"/>
      <c r="S32477" s="11"/>
      <c r="T32477" s="11"/>
    </row>
    <row r="32478" spans="8:20" x14ac:dyDescent="0.35">
      <c r="H32478" s="711"/>
      <c r="I32478" s="711"/>
      <c r="J32478" s="711"/>
      <c r="K32478" s="711"/>
      <c r="L32478" s="711"/>
      <c r="Q32478" s="11"/>
      <c r="R32478" s="11"/>
      <c r="S32478" s="11"/>
      <c r="T32478" s="11"/>
    </row>
    <row r="32479" spans="8:20" x14ac:dyDescent="0.35">
      <c r="H32479" s="711"/>
      <c r="I32479" s="711"/>
      <c r="J32479" s="711"/>
      <c r="K32479" s="711"/>
      <c r="L32479" s="711"/>
      <c r="Q32479" s="11"/>
      <c r="R32479" s="11"/>
      <c r="S32479" s="11"/>
      <c r="T32479" s="11"/>
    </row>
    <row r="32480" spans="8:20" x14ac:dyDescent="0.35">
      <c r="H32480" s="711"/>
      <c r="I32480" s="711"/>
      <c r="J32480" s="711"/>
      <c r="K32480" s="711"/>
      <c r="L32480" s="711"/>
      <c r="Q32480" s="11"/>
      <c r="R32480" s="11"/>
      <c r="S32480" s="11"/>
      <c r="T32480" s="11"/>
    </row>
    <row r="32481" spans="8:20" x14ac:dyDescent="0.35">
      <c r="H32481" s="711"/>
      <c r="I32481" s="711"/>
      <c r="J32481" s="711"/>
      <c r="K32481" s="711"/>
      <c r="L32481" s="711"/>
      <c r="Q32481" s="11"/>
      <c r="R32481" s="11"/>
      <c r="S32481" s="11"/>
      <c r="T32481" s="11"/>
    </row>
    <row r="32482" spans="8:20" x14ac:dyDescent="0.35">
      <c r="H32482" s="711"/>
      <c r="I32482" s="711"/>
      <c r="J32482" s="711"/>
      <c r="K32482" s="711"/>
      <c r="L32482" s="711"/>
      <c r="Q32482" s="11"/>
      <c r="R32482" s="11"/>
      <c r="S32482" s="11"/>
      <c r="T32482" s="11"/>
    </row>
    <row r="32483" spans="8:20" x14ac:dyDescent="0.35">
      <c r="H32483" s="711"/>
      <c r="I32483" s="711"/>
      <c r="J32483" s="711"/>
      <c r="K32483" s="711"/>
      <c r="L32483" s="711"/>
      <c r="Q32483" s="11"/>
      <c r="R32483" s="11"/>
      <c r="S32483" s="11"/>
      <c r="T32483" s="11"/>
    </row>
    <row r="32484" spans="8:20" x14ac:dyDescent="0.35">
      <c r="H32484" s="711"/>
      <c r="I32484" s="711"/>
      <c r="J32484" s="711"/>
      <c r="K32484" s="711"/>
      <c r="L32484" s="711"/>
      <c r="Q32484" s="11"/>
      <c r="R32484" s="11"/>
      <c r="S32484" s="11"/>
      <c r="T32484" s="11"/>
    </row>
    <row r="32485" spans="8:20" x14ac:dyDescent="0.35">
      <c r="H32485" s="711"/>
      <c r="I32485" s="711"/>
      <c r="J32485" s="711"/>
      <c r="K32485" s="711"/>
      <c r="L32485" s="711"/>
      <c r="Q32485" s="11"/>
      <c r="R32485" s="11"/>
      <c r="S32485" s="11"/>
      <c r="T32485" s="11"/>
    </row>
    <row r="32486" spans="8:20" x14ac:dyDescent="0.35">
      <c r="H32486" s="711"/>
      <c r="I32486" s="711"/>
      <c r="J32486" s="711"/>
      <c r="K32486" s="711"/>
      <c r="L32486" s="711"/>
      <c r="Q32486" s="11"/>
      <c r="R32486" s="11"/>
      <c r="S32486" s="11"/>
      <c r="T32486" s="11"/>
    </row>
    <row r="32487" spans="8:20" x14ac:dyDescent="0.35">
      <c r="H32487" s="711"/>
      <c r="I32487" s="711"/>
      <c r="J32487" s="711"/>
      <c r="K32487" s="711"/>
      <c r="L32487" s="711"/>
      <c r="Q32487" s="11"/>
      <c r="R32487" s="11"/>
      <c r="S32487" s="11"/>
      <c r="T32487" s="11"/>
    </row>
    <row r="32488" spans="8:20" x14ac:dyDescent="0.35">
      <c r="H32488" s="711"/>
      <c r="I32488" s="711"/>
      <c r="J32488" s="711"/>
      <c r="K32488" s="711"/>
      <c r="L32488" s="711"/>
      <c r="Q32488" s="11"/>
      <c r="R32488" s="11"/>
      <c r="S32488" s="11"/>
      <c r="T32488" s="11"/>
    </row>
    <row r="32489" spans="8:20" x14ac:dyDescent="0.35">
      <c r="H32489" s="711"/>
      <c r="I32489" s="711"/>
      <c r="J32489" s="711"/>
      <c r="K32489" s="711"/>
      <c r="L32489" s="711"/>
      <c r="Q32489" s="11"/>
      <c r="R32489" s="11"/>
      <c r="S32489" s="11"/>
      <c r="T32489" s="11"/>
    </row>
    <row r="32490" spans="8:20" x14ac:dyDescent="0.35">
      <c r="H32490" s="711"/>
      <c r="I32490" s="711"/>
      <c r="J32490" s="711"/>
      <c r="K32490" s="711"/>
      <c r="L32490" s="711"/>
      <c r="Q32490" s="11"/>
      <c r="R32490" s="11"/>
      <c r="S32490" s="11"/>
      <c r="T32490" s="11"/>
    </row>
    <row r="32491" spans="8:20" x14ac:dyDescent="0.35">
      <c r="H32491" s="711"/>
      <c r="I32491" s="711"/>
      <c r="J32491" s="711"/>
      <c r="K32491" s="711"/>
      <c r="L32491" s="711"/>
      <c r="Q32491" s="11"/>
      <c r="R32491" s="11"/>
      <c r="S32491" s="11"/>
      <c r="T32491" s="11"/>
    </row>
    <row r="32492" spans="8:20" x14ac:dyDescent="0.35">
      <c r="H32492" s="711"/>
      <c r="I32492" s="711"/>
      <c r="J32492" s="711"/>
      <c r="K32492" s="711"/>
      <c r="L32492" s="711"/>
      <c r="Q32492" s="11"/>
      <c r="R32492" s="11"/>
      <c r="S32492" s="11"/>
      <c r="T32492" s="11"/>
    </row>
    <row r="32493" spans="8:20" x14ac:dyDescent="0.35">
      <c r="H32493" s="711"/>
      <c r="I32493" s="711"/>
      <c r="J32493" s="711"/>
      <c r="K32493" s="711"/>
      <c r="L32493" s="711"/>
      <c r="Q32493" s="11"/>
      <c r="R32493" s="11"/>
      <c r="S32493" s="11"/>
      <c r="T32493" s="11"/>
    </row>
    <row r="32494" spans="8:20" x14ac:dyDescent="0.35">
      <c r="H32494" s="711"/>
      <c r="I32494" s="711"/>
      <c r="J32494" s="711"/>
      <c r="K32494" s="711"/>
      <c r="L32494" s="711"/>
      <c r="Q32494" s="11"/>
      <c r="R32494" s="11"/>
      <c r="S32494" s="11"/>
      <c r="T32494" s="11"/>
    </row>
    <row r="32495" spans="8:20" x14ac:dyDescent="0.35">
      <c r="H32495" s="711"/>
      <c r="I32495" s="711"/>
      <c r="J32495" s="711"/>
      <c r="K32495" s="711"/>
      <c r="L32495" s="711"/>
      <c r="Q32495" s="11"/>
      <c r="R32495" s="11"/>
      <c r="S32495" s="11"/>
      <c r="T32495" s="11"/>
    </row>
    <row r="32496" spans="8:20" x14ac:dyDescent="0.35">
      <c r="H32496" s="711"/>
      <c r="I32496" s="711"/>
      <c r="J32496" s="711"/>
      <c r="K32496" s="711"/>
      <c r="L32496" s="711"/>
      <c r="Q32496" s="11"/>
      <c r="R32496" s="11"/>
      <c r="S32496" s="11"/>
      <c r="T32496" s="11"/>
    </row>
    <row r="32497" spans="8:20" x14ac:dyDescent="0.35">
      <c r="H32497" s="711"/>
      <c r="I32497" s="711"/>
      <c r="J32497" s="711"/>
      <c r="K32497" s="711"/>
      <c r="L32497" s="711"/>
      <c r="Q32497" s="11"/>
      <c r="R32497" s="11"/>
      <c r="S32497" s="11"/>
      <c r="T32497" s="11"/>
    </row>
    <row r="32498" spans="8:20" x14ac:dyDescent="0.35">
      <c r="H32498" s="711"/>
      <c r="I32498" s="711"/>
      <c r="J32498" s="711"/>
      <c r="K32498" s="711"/>
      <c r="L32498" s="711"/>
      <c r="Q32498" s="11"/>
      <c r="R32498" s="11"/>
      <c r="S32498" s="11"/>
      <c r="T32498" s="11"/>
    </row>
    <row r="32499" spans="8:20" x14ac:dyDescent="0.35">
      <c r="H32499" s="711"/>
      <c r="I32499" s="711"/>
      <c r="J32499" s="711"/>
      <c r="K32499" s="711"/>
      <c r="L32499" s="711"/>
      <c r="Q32499" s="11"/>
      <c r="R32499" s="11"/>
      <c r="S32499" s="11"/>
      <c r="T32499" s="11"/>
    </row>
    <row r="32500" spans="8:20" x14ac:dyDescent="0.35">
      <c r="H32500" s="711"/>
      <c r="I32500" s="711"/>
      <c r="J32500" s="711"/>
      <c r="K32500" s="711"/>
      <c r="L32500" s="711"/>
      <c r="Q32500" s="11"/>
      <c r="R32500" s="11"/>
      <c r="S32500" s="11"/>
      <c r="T32500" s="11"/>
    </row>
    <row r="32501" spans="8:20" x14ac:dyDescent="0.35">
      <c r="H32501" s="711"/>
      <c r="I32501" s="711"/>
      <c r="J32501" s="711"/>
      <c r="K32501" s="711"/>
      <c r="L32501" s="711"/>
      <c r="Q32501" s="11"/>
      <c r="R32501" s="11"/>
      <c r="S32501" s="11"/>
      <c r="T32501" s="11"/>
    </row>
    <row r="32502" spans="8:20" x14ac:dyDescent="0.35">
      <c r="H32502" s="711"/>
      <c r="I32502" s="711"/>
      <c r="J32502" s="711"/>
      <c r="K32502" s="711"/>
      <c r="L32502" s="711"/>
      <c r="Q32502" s="11"/>
      <c r="R32502" s="11"/>
      <c r="S32502" s="11"/>
      <c r="T32502" s="11"/>
    </row>
    <row r="32503" spans="8:20" x14ac:dyDescent="0.35">
      <c r="H32503" s="711"/>
      <c r="I32503" s="711"/>
      <c r="J32503" s="711"/>
      <c r="K32503" s="711"/>
      <c r="L32503" s="711"/>
      <c r="Q32503" s="11"/>
      <c r="R32503" s="11"/>
      <c r="S32503" s="11"/>
      <c r="T32503" s="11"/>
    </row>
    <row r="32504" spans="8:20" x14ac:dyDescent="0.35">
      <c r="H32504" s="711"/>
      <c r="I32504" s="711"/>
      <c r="J32504" s="711"/>
      <c r="K32504" s="711"/>
      <c r="L32504" s="711"/>
      <c r="Q32504" s="11"/>
      <c r="R32504" s="11"/>
      <c r="S32504" s="11"/>
      <c r="T32504" s="11"/>
    </row>
    <row r="32505" spans="8:20" x14ac:dyDescent="0.35">
      <c r="H32505" s="711"/>
      <c r="I32505" s="711"/>
      <c r="J32505" s="711"/>
      <c r="K32505" s="711"/>
      <c r="L32505" s="711"/>
      <c r="Q32505" s="11"/>
      <c r="R32505" s="11"/>
      <c r="S32505" s="11"/>
      <c r="T32505" s="11"/>
    </row>
    <row r="32506" spans="8:20" x14ac:dyDescent="0.35">
      <c r="H32506" s="711"/>
      <c r="I32506" s="711"/>
      <c r="J32506" s="711"/>
      <c r="K32506" s="711"/>
      <c r="L32506" s="711"/>
      <c r="Q32506" s="11"/>
      <c r="R32506" s="11"/>
      <c r="S32506" s="11"/>
      <c r="T32506" s="11"/>
    </row>
    <row r="32507" spans="8:20" x14ac:dyDescent="0.35">
      <c r="H32507" s="711"/>
      <c r="I32507" s="711"/>
      <c r="J32507" s="711"/>
      <c r="K32507" s="711"/>
      <c r="L32507" s="711"/>
      <c r="Q32507" s="11"/>
      <c r="R32507" s="11"/>
      <c r="S32507" s="11"/>
      <c r="T32507" s="11"/>
    </row>
    <row r="32508" spans="8:20" x14ac:dyDescent="0.35">
      <c r="H32508" s="711"/>
      <c r="I32508" s="711"/>
      <c r="J32508" s="711"/>
      <c r="K32508" s="711"/>
      <c r="L32508" s="711"/>
      <c r="Q32508" s="11"/>
      <c r="R32508" s="11"/>
      <c r="S32508" s="11"/>
      <c r="T32508" s="11"/>
    </row>
    <row r="32509" spans="8:20" x14ac:dyDescent="0.35">
      <c r="H32509" s="711"/>
      <c r="I32509" s="711"/>
      <c r="J32509" s="711"/>
      <c r="K32509" s="711"/>
      <c r="L32509" s="711"/>
      <c r="Q32509" s="11"/>
      <c r="R32509" s="11"/>
      <c r="S32509" s="11"/>
      <c r="T32509" s="11"/>
    </row>
    <row r="32510" spans="8:20" x14ac:dyDescent="0.35">
      <c r="H32510" s="711"/>
      <c r="I32510" s="711"/>
      <c r="J32510" s="711"/>
      <c r="K32510" s="711"/>
      <c r="L32510" s="711"/>
      <c r="Q32510" s="11"/>
      <c r="R32510" s="11"/>
      <c r="S32510" s="11"/>
      <c r="T32510" s="11"/>
    </row>
    <row r="32511" spans="8:20" x14ac:dyDescent="0.35">
      <c r="H32511" s="711"/>
      <c r="I32511" s="711"/>
      <c r="J32511" s="711"/>
      <c r="K32511" s="711"/>
      <c r="L32511" s="711"/>
      <c r="Q32511" s="11"/>
      <c r="R32511" s="11"/>
      <c r="S32511" s="11"/>
      <c r="T32511" s="11"/>
    </row>
    <row r="32512" spans="8:20" x14ac:dyDescent="0.35">
      <c r="H32512" s="711"/>
      <c r="I32512" s="711"/>
      <c r="J32512" s="711"/>
      <c r="K32512" s="711"/>
      <c r="L32512" s="711"/>
      <c r="Q32512" s="11"/>
      <c r="R32512" s="11"/>
      <c r="S32512" s="11"/>
      <c r="T32512" s="11"/>
    </row>
    <row r="32513" spans="8:20" x14ac:dyDescent="0.35">
      <c r="H32513" s="711"/>
      <c r="I32513" s="711"/>
      <c r="J32513" s="711"/>
      <c r="K32513" s="711"/>
      <c r="L32513" s="711"/>
      <c r="Q32513" s="11"/>
      <c r="R32513" s="11"/>
      <c r="S32513" s="11"/>
      <c r="T32513" s="11"/>
    </row>
    <row r="32514" spans="8:20" x14ac:dyDescent="0.35">
      <c r="H32514" s="711"/>
      <c r="I32514" s="711"/>
      <c r="J32514" s="711"/>
      <c r="K32514" s="711"/>
      <c r="L32514" s="711"/>
      <c r="Q32514" s="11"/>
      <c r="R32514" s="11"/>
      <c r="S32514" s="11"/>
      <c r="T32514" s="11"/>
    </row>
    <row r="32515" spans="8:20" x14ac:dyDescent="0.35">
      <c r="H32515" s="711"/>
      <c r="I32515" s="711"/>
      <c r="J32515" s="711"/>
      <c r="K32515" s="711"/>
      <c r="L32515" s="711"/>
      <c r="Q32515" s="11"/>
      <c r="R32515" s="11"/>
      <c r="S32515" s="11"/>
      <c r="T32515" s="11"/>
    </row>
    <row r="32516" spans="8:20" x14ac:dyDescent="0.35">
      <c r="H32516" s="711"/>
      <c r="I32516" s="711"/>
      <c r="J32516" s="711"/>
      <c r="K32516" s="711"/>
      <c r="L32516" s="711"/>
      <c r="Q32516" s="11"/>
      <c r="R32516" s="11"/>
      <c r="S32516" s="11"/>
      <c r="T32516" s="11"/>
    </row>
    <row r="32517" spans="8:20" x14ac:dyDescent="0.35">
      <c r="H32517" s="711"/>
      <c r="I32517" s="711"/>
      <c r="J32517" s="711"/>
      <c r="K32517" s="711"/>
      <c r="L32517" s="711"/>
      <c r="Q32517" s="11"/>
      <c r="R32517" s="11"/>
      <c r="S32517" s="11"/>
      <c r="T32517" s="11"/>
    </row>
    <row r="32518" spans="8:20" x14ac:dyDescent="0.35">
      <c r="H32518" s="711"/>
      <c r="I32518" s="711"/>
      <c r="J32518" s="711"/>
      <c r="K32518" s="711"/>
      <c r="L32518" s="711"/>
      <c r="Q32518" s="11"/>
      <c r="R32518" s="11"/>
      <c r="S32518" s="11"/>
      <c r="T32518" s="11"/>
    </row>
    <row r="32519" spans="8:20" x14ac:dyDescent="0.35">
      <c r="H32519" s="711"/>
      <c r="I32519" s="711"/>
      <c r="J32519" s="711"/>
      <c r="K32519" s="711"/>
      <c r="L32519" s="711"/>
      <c r="Q32519" s="11"/>
      <c r="R32519" s="11"/>
      <c r="S32519" s="11"/>
      <c r="T32519" s="11"/>
    </row>
    <row r="32520" spans="8:20" x14ac:dyDescent="0.35">
      <c r="H32520" s="711"/>
      <c r="I32520" s="711"/>
      <c r="J32520" s="711"/>
      <c r="K32520" s="711"/>
      <c r="L32520" s="711"/>
      <c r="Q32520" s="11"/>
      <c r="R32520" s="11"/>
      <c r="S32520" s="11"/>
      <c r="T32520" s="11"/>
    </row>
    <row r="32521" spans="8:20" x14ac:dyDescent="0.35">
      <c r="H32521" s="711"/>
      <c r="I32521" s="711"/>
      <c r="J32521" s="711"/>
      <c r="K32521" s="711"/>
      <c r="L32521" s="711"/>
      <c r="Q32521" s="11"/>
      <c r="R32521" s="11"/>
      <c r="S32521" s="11"/>
      <c r="T32521" s="11"/>
    </row>
    <row r="32522" spans="8:20" x14ac:dyDescent="0.35">
      <c r="H32522" s="711"/>
      <c r="I32522" s="711"/>
      <c r="J32522" s="711"/>
      <c r="K32522" s="711"/>
      <c r="L32522" s="711"/>
      <c r="Q32522" s="11"/>
      <c r="R32522" s="11"/>
      <c r="S32522" s="11"/>
      <c r="T32522" s="11"/>
    </row>
    <row r="32523" spans="8:20" x14ac:dyDescent="0.35">
      <c r="H32523" s="711"/>
      <c r="I32523" s="711"/>
      <c r="J32523" s="711"/>
      <c r="K32523" s="711"/>
      <c r="L32523" s="711"/>
      <c r="Q32523" s="11"/>
      <c r="R32523" s="11"/>
      <c r="S32523" s="11"/>
      <c r="T32523" s="11"/>
    </row>
    <row r="32524" spans="8:20" x14ac:dyDescent="0.35">
      <c r="H32524" s="711"/>
      <c r="I32524" s="711"/>
      <c r="J32524" s="711"/>
      <c r="K32524" s="711"/>
      <c r="L32524" s="711"/>
      <c r="Q32524" s="11"/>
      <c r="R32524" s="11"/>
      <c r="S32524" s="11"/>
      <c r="T32524" s="11"/>
    </row>
    <row r="32525" spans="8:20" x14ac:dyDescent="0.35">
      <c r="H32525" s="711"/>
      <c r="I32525" s="711"/>
      <c r="J32525" s="711"/>
      <c r="K32525" s="711"/>
      <c r="L32525" s="711"/>
      <c r="Q32525" s="11"/>
      <c r="R32525" s="11"/>
      <c r="S32525" s="11"/>
      <c r="T32525" s="11"/>
    </row>
    <row r="32526" spans="8:20" x14ac:dyDescent="0.35">
      <c r="H32526" s="711"/>
      <c r="I32526" s="711"/>
      <c r="J32526" s="711"/>
      <c r="K32526" s="711"/>
      <c r="L32526" s="711"/>
      <c r="Q32526" s="11"/>
      <c r="R32526" s="11"/>
      <c r="S32526" s="11"/>
      <c r="T32526" s="11"/>
    </row>
    <row r="32527" spans="8:20" x14ac:dyDescent="0.35">
      <c r="H32527" s="711"/>
      <c r="I32527" s="711"/>
      <c r="J32527" s="711"/>
      <c r="K32527" s="711"/>
      <c r="L32527" s="711"/>
      <c r="Q32527" s="11"/>
      <c r="R32527" s="11"/>
      <c r="S32527" s="11"/>
      <c r="T32527" s="11"/>
    </row>
    <row r="32528" spans="8:20" x14ac:dyDescent="0.35">
      <c r="H32528" s="711"/>
      <c r="I32528" s="711"/>
      <c r="J32528" s="711"/>
      <c r="K32528" s="711"/>
      <c r="L32528" s="711"/>
      <c r="Q32528" s="11"/>
      <c r="R32528" s="11"/>
      <c r="S32528" s="11"/>
      <c r="T32528" s="11"/>
    </row>
    <row r="32529" spans="8:20" x14ac:dyDescent="0.35">
      <c r="H32529" s="711"/>
      <c r="I32529" s="711"/>
      <c r="J32529" s="711"/>
      <c r="K32529" s="711"/>
      <c r="L32529" s="711"/>
      <c r="Q32529" s="11"/>
      <c r="R32529" s="11"/>
      <c r="S32529" s="11"/>
      <c r="T32529" s="11"/>
    </row>
    <row r="32530" spans="8:20" x14ac:dyDescent="0.35">
      <c r="H32530" s="711"/>
      <c r="I32530" s="711"/>
      <c r="J32530" s="711"/>
      <c r="K32530" s="711"/>
      <c r="L32530" s="711"/>
      <c r="Q32530" s="11"/>
      <c r="R32530" s="11"/>
      <c r="S32530" s="11"/>
      <c r="T32530" s="11"/>
    </row>
    <row r="32531" spans="8:20" x14ac:dyDescent="0.35">
      <c r="H32531" s="711"/>
      <c r="I32531" s="711"/>
      <c r="J32531" s="711"/>
      <c r="K32531" s="711"/>
      <c r="L32531" s="711"/>
      <c r="Q32531" s="11"/>
      <c r="R32531" s="11"/>
      <c r="S32531" s="11"/>
      <c r="T32531" s="11"/>
    </row>
    <row r="32532" spans="8:20" x14ac:dyDescent="0.35">
      <c r="H32532" s="711"/>
      <c r="I32532" s="711"/>
      <c r="J32532" s="711"/>
      <c r="K32532" s="711"/>
      <c r="L32532" s="711"/>
      <c r="Q32532" s="11"/>
      <c r="R32532" s="11"/>
      <c r="S32532" s="11"/>
      <c r="T32532" s="11"/>
    </row>
    <row r="32533" spans="8:20" x14ac:dyDescent="0.35">
      <c r="H32533" s="711"/>
      <c r="I32533" s="711"/>
      <c r="J32533" s="711"/>
      <c r="K32533" s="711"/>
      <c r="L32533" s="711"/>
      <c r="Q32533" s="11"/>
      <c r="R32533" s="11"/>
      <c r="S32533" s="11"/>
      <c r="T32533" s="11"/>
    </row>
    <row r="32534" spans="8:20" x14ac:dyDescent="0.35">
      <c r="H32534" s="711"/>
      <c r="I32534" s="711"/>
      <c r="J32534" s="711"/>
      <c r="K32534" s="711"/>
      <c r="L32534" s="711"/>
      <c r="Q32534" s="11"/>
      <c r="R32534" s="11"/>
      <c r="S32534" s="11"/>
      <c r="T32534" s="11"/>
    </row>
    <row r="32535" spans="8:20" x14ac:dyDescent="0.35">
      <c r="H32535" s="711"/>
      <c r="I32535" s="711"/>
      <c r="J32535" s="711"/>
      <c r="K32535" s="711"/>
      <c r="L32535" s="711"/>
      <c r="Q32535" s="11"/>
      <c r="R32535" s="11"/>
      <c r="S32535" s="11"/>
      <c r="T32535" s="11"/>
    </row>
    <row r="32536" spans="8:20" x14ac:dyDescent="0.35">
      <c r="H32536" s="711"/>
      <c r="I32536" s="711"/>
      <c r="J32536" s="711"/>
      <c r="K32536" s="711"/>
      <c r="L32536" s="711"/>
      <c r="Q32536" s="11"/>
      <c r="R32536" s="11"/>
      <c r="S32536" s="11"/>
      <c r="T32536" s="11"/>
    </row>
    <row r="32537" spans="8:20" x14ac:dyDescent="0.35">
      <c r="H32537" s="711"/>
      <c r="I32537" s="711"/>
      <c r="J32537" s="711"/>
      <c r="K32537" s="711"/>
      <c r="L32537" s="711"/>
      <c r="Q32537" s="11"/>
      <c r="R32537" s="11"/>
      <c r="S32537" s="11"/>
      <c r="T32537" s="11"/>
    </row>
    <row r="32538" spans="8:20" x14ac:dyDescent="0.35">
      <c r="H32538" s="711"/>
      <c r="I32538" s="711"/>
      <c r="J32538" s="711"/>
      <c r="K32538" s="711"/>
      <c r="L32538" s="711"/>
      <c r="Q32538" s="11"/>
      <c r="R32538" s="11"/>
      <c r="S32538" s="11"/>
      <c r="T32538" s="11"/>
    </row>
    <row r="32539" spans="8:20" x14ac:dyDescent="0.35">
      <c r="H32539" s="711"/>
      <c r="I32539" s="711"/>
      <c r="J32539" s="711"/>
      <c r="K32539" s="711"/>
      <c r="L32539" s="711"/>
      <c r="Q32539" s="11"/>
      <c r="R32539" s="11"/>
      <c r="S32539" s="11"/>
      <c r="T32539" s="11"/>
    </row>
    <row r="32540" spans="8:20" x14ac:dyDescent="0.35">
      <c r="H32540" s="711"/>
      <c r="I32540" s="711"/>
      <c r="J32540" s="711"/>
      <c r="K32540" s="711"/>
      <c r="L32540" s="711"/>
      <c r="Q32540" s="11"/>
      <c r="R32540" s="11"/>
      <c r="S32540" s="11"/>
      <c r="T32540" s="11"/>
    </row>
    <row r="32541" spans="8:20" x14ac:dyDescent="0.35">
      <c r="H32541" s="711"/>
      <c r="I32541" s="711"/>
      <c r="J32541" s="711"/>
      <c r="K32541" s="711"/>
      <c r="L32541" s="711"/>
      <c r="Q32541" s="11"/>
      <c r="R32541" s="11"/>
      <c r="S32541" s="11"/>
      <c r="T32541" s="11"/>
    </row>
    <row r="32542" spans="8:20" x14ac:dyDescent="0.35">
      <c r="H32542" s="711"/>
      <c r="I32542" s="711"/>
      <c r="J32542" s="711"/>
      <c r="K32542" s="711"/>
      <c r="L32542" s="711"/>
      <c r="Q32542" s="11"/>
      <c r="R32542" s="11"/>
      <c r="S32542" s="11"/>
      <c r="T32542" s="11"/>
    </row>
    <row r="32543" spans="8:20" x14ac:dyDescent="0.35">
      <c r="H32543" s="711"/>
      <c r="I32543" s="711"/>
      <c r="J32543" s="711"/>
      <c r="K32543" s="711"/>
      <c r="L32543" s="711"/>
      <c r="Q32543" s="11"/>
      <c r="R32543" s="11"/>
      <c r="S32543" s="11"/>
      <c r="T32543" s="11"/>
    </row>
    <row r="32544" spans="8:20" x14ac:dyDescent="0.35">
      <c r="H32544" s="711"/>
      <c r="I32544" s="711"/>
      <c r="J32544" s="711"/>
      <c r="K32544" s="711"/>
      <c r="L32544" s="711"/>
      <c r="Q32544" s="11"/>
      <c r="R32544" s="11"/>
      <c r="S32544" s="11"/>
      <c r="T32544" s="11"/>
    </row>
    <row r="32545" spans="8:20" x14ac:dyDescent="0.35">
      <c r="H32545" s="711"/>
      <c r="I32545" s="711"/>
      <c r="J32545" s="711"/>
      <c r="K32545" s="711"/>
      <c r="L32545" s="711"/>
      <c r="Q32545" s="11"/>
      <c r="R32545" s="11"/>
      <c r="S32545" s="11"/>
      <c r="T32545" s="11"/>
    </row>
    <row r="32546" spans="8:20" x14ac:dyDescent="0.35">
      <c r="H32546" s="711"/>
      <c r="I32546" s="711"/>
      <c r="J32546" s="711"/>
      <c r="K32546" s="711"/>
      <c r="L32546" s="711"/>
      <c r="Q32546" s="11"/>
      <c r="R32546" s="11"/>
      <c r="S32546" s="11"/>
      <c r="T32546" s="11"/>
    </row>
    <row r="32547" spans="8:20" x14ac:dyDescent="0.35">
      <c r="H32547" s="711"/>
      <c r="I32547" s="711"/>
      <c r="J32547" s="711"/>
      <c r="K32547" s="711"/>
      <c r="L32547" s="711"/>
      <c r="Q32547" s="11"/>
      <c r="R32547" s="11"/>
      <c r="S32547" s="11"/>
      <c r="T32547" s="11"/>
    </row>
    <row r="32548" spans="8:20" x14ac:dyDescent="0.35">
      <c r="H32548" s="711"/>
      <c r="I32548" s="711"/>
      <c r="J32548" s="711"/>
      <c r="K32548" s="711"/>
      <c r="L32548" s="711"/>
      <c r="Q32548" s="11"/>
      <c r="R32548" s="11"/>
      <c r="S32548" s="11"/>
      <c r="T32548" s="11"/>
    </row>
    <row r="32549" spans="8:20" x14ac:dyDescent="0.35">
      <c r="H32549" s="711"/>
      <c r="I32549" s="711"/>
      <c r="J32549" s="711"/>
      <c r="K32549" s="711"/>
      <c r="L32549" s="711"/>
      <c r="Q32549" s="11"/>
      <c r="R32549" s="11"/>
      <c r="S32549" s="11"/>
      <c r="T32549" s="11"/>
    </row>
    <row r="32550" spans="8:20" x14ac:dyDescent="0.35">
      <c r="H32550" s="711"/>
      <c r="I32550" s="711"/>
      <c r="J32550" s="711"/>
      <c r="K32550" s="711"/>
      <c r="L32550" s="711"/>
      <c r="Q32550" s="11"/>
      <c r="R32550" s="11"/>
      <c r="S32550" s="11"/>
      <c r="T32550" s="11"/>
    </row>
    <row r="32551" spans="8:20" x14ac:dyDescent="0.35">
      <c r="H32551" s="711"/>
      <c r="I32551" s="711"/>
      <c r="J32551" s="711"/>
      <c r="K32551" s="711"/>
      <c r="L32551" s="711"/>
      <c r="Q32551" s="11"/>
      <c r="R32551" s="11"/>
      <c r="S32551" s="11"/>
      <c r="T32551" s="11"/>
    </row>
    <row r="32552" spans="8:20" x14ac:dyDescent="0.35">
      <c r="H32552" s="711"/>
      <c r="I32552" s="711"/>
      <c r="J32552" s="711"/>
      <c r="K32552" s="711"/>
      <c r="L32552" s="711"/>
      <c r="Q32552" s="11"/>
      <c r="R32552" s="11"/>
      <c r="S32552" s="11"/>
      <c r="T32552" s="11"/>
    </row>
    <row r="32553" spans="8:20" x14ac:dyDescent="0.35">
      <c r="H32553" s="711"/>
      <c r="I32553" s="711"/>
      <c r="J32553" s="711"/>
      <c r="K32553" s="711"/>
      <c r="L32553" s="711"/>
      <c r="Q32553" s="11"/>
      <c r="R32553" s="11"/>
      <c r="S32553" s="11"/>
      <c r="T32553" s="11"/>
    </row>
    <row r="32554" spans="8:20" x14ac:dyDescent="0.35">
      <c r="H32554" s="711"/>
      <c r="I32554" s="711"/>
      <c r="J32554" s="711"/>
      <c r="K32554" s="711"/>
      <c r="L32554" s="711"/>
      <c r="Q32554" s="11"/>
      <c r="R32554" s="11"/>
      <c r="S32554" s="11"/>
      <c r="T32554" s="11"/>
    </row>
    <row r="32555" spans="8:20" x14ac:dyDescent="0.35">
      <c r="H32555" s="711"/>
      <c r="I32555" s="711"/>
      <c r="J32555" s="711"/>
      <c r="K32555" s="711"/>
      <c r="L32555" s="711"/>
      <c r="Q32555" s="11"/>
      <c r="R32555" s="11"/>
      <c r="S32555" s="11"/>
      <c r="T32555" s="11"/>
    </row>
    <row r="32556" spans="8:20" x14ac:dyDescent="0.35">
      <c r="H32556" s="711"/>
      <c r="I32556" s="711"/>
      <c r="J32556" s="711"/>
      <c r="K32556" s="711"/>
      <c r="L32556" s="711"/>
      <c r="Q32556" s="11"/>
      <c r="R32556" s="11"/>
      <c r="S32556" s="11"/>
      <c r="T32556" s="11"/>
    </row>
    <row r="32557" spans="8:20" x14ac:dyDescent="0.35">
      <c r="H32557" s="711"/>
      <c r="I32557" s="711"/>
      <c r="J32557" s="711"/>
      <c r="K32557" s="711"/>
      <c r="L32557" s="711"/>
      <c r="Q32557" s="11"/>
      <c r="R32557" s="11"/>
      <c r="S32557" s="11"/>
      <c r="T32557" s="11"/>
    </row>
    <row r="32558" spans="8:20" x14ac:dyDescent="0.35">
      <c r="H32558" s="711"/>
      <c r="I32558" s="711"/>
      <c r="J32558" s="711"/>
      <c r="K32558" s="711"/>
      <c r="L32558" s="711"/>
      <c r="Q32558" s="11"/>
      <c r="R32558" s="11"/>
      <c r="S32558" s="11"/>
      <c r="T32558" s="11"/>
    </row>
    <row r="32559" spans="8:20" x14ac:dyDescent="0.35">
      <c r="H32559" s="711"/>
      <c r="I32559" s="711"/>
      <c r="J32559" s="711"/>
      <c r="K32559" s="711"/>
      <c r="L32559" s="711"/>
      <c r="Q32559" s="11"/>
      <c r="R32559" s="11"/>
      <c r="S32559" s="11"/>
      <c r="T32559" s="11"/>
    </row>
    <row r="32560" spans="8:20" x14ac:dyDescent="0.35">
      <c r="H32560" s="711"/>
      <c r="I32560" s="711"/>
      <c r="J32560" s="711"/>
      <c r="K32560" s="711"/>
      <c r="L32560" s="711"/>
      <c r="Q32560" s="11"/>
      <c r="R32560" s="11"/>
      <c r="S32560" s="11"/>
      <c r="T32560" s="11"/>
    </row>
    <row r="32561" spans="8:20" x14ac:dyDescent="0.35">
      <c r="H32561" s="711"/>
      <c r="I32561" s="711"/>
      <c r="J32561" s="711"/>
      <c r="K32561" s="711"/>
      <c r="L32561" s="711"/>
      <c r="Q32561" s="11"/>
      <c r="R32561" s="11"/>
      <c r="S32561" s="11"/>
      <c r="T32561" s="11"/>
    </row>
    <row r="32562" spans="8:20" x14ac:dyDescent="0.35">
      <c r="H32562" s="711"/>
      <c r="I32562" s="711"/>
      <c r="J32562" s="711"/>
      <c r="K32562" s="711"/>
      <c r="L32562" s="711"/>
      <c r="Q32562" s="11"/>
      <c r="R32562" s="11"/>
      <c r="S32562" s="11"/>
      <c r="T32562" s="11"/>
    </row>
    <row r="32563" spans="8:20" x14ac:dyDescent="0.35">
      <c r="H32563" s="711"/>
      <c r="I32563" s="711"/>
      <c r="J32563" s="711"/>
      <c r="K32563" s="711"/>
      <c r="L32563" s="711"/>
      <c r="Q32563" s="11"/>
      <c r="R32563" s="11"/>
      <c r="S32563" s="11"/>
      <c r="T32563" s="11"/>
    </row>
    <row r="32564" spans="8:20" x14ac:dyDescent="0.35">
      <c r="H32564" s="711"/>
      <c r="I32564" s="711"/>
      <c r="J32564" s="711"/>
      <c r="K32564" s="711"/>
      <c r="L32564" s="711"/>
      <c r="Q32564" s="11"/>
      <c r="R32564" s="11"/>
      <c r="S32564" s="11"/>
      <c r="T32564" s="11"/>
    </row>
    <row r="32565" spans="8:20" x14ac:dyDescent="0.35">
      <c r="H32565" s="711"/>
      <c r="I32565" s="711"/>
      <c r="J32565" s="711"/>
      <c r="K32565" s="711"/>
      <c r="L32565" s="711"/>
      <c r="Q32565" s="11"/>
      <c r="R32565" s="11"/>
      <c r="S32565" s="11"/>
      <c r="T32565" s="11"/>
    </row>
    <row r="32566" spans="8:20" x14ac:dyDescent="0.35">
      <c r="H32566" s="711"/>
      <c r="I32566" s="711"/>
      <c r="J32566" s="711"/>
      <c r="K32566" s="711"/>
      <c r="L32566" s="711"/>
      <c r="Q32566" s="11"/>
      <c r="R32566" s="11"/>
      <c r="S32566" s="11"/>
      <c r="T32566" s="11"/>
    </row>
    <row r="32567" spans="8:20" x14ac:dyDescent="0.35">
      <c r="H32567" s="711"/>
      <c r="I32567" s="711"/>
      <c r="J32567" s="711"/>
      <c r="K32567" s="711"/>
      <c r="L32567" s="711"/>
      <c r="Q32567" s="11"/>
      <c r="R32567" s="11"/>
      <c r="S32567" s="11"/>
      <c r="T32567" s="11"/>
    </row>
    <row r="32568" spans="8:20" x14ac:dyDescent="0.35">
      <c r="H32568" s="711"/>
      <c r="I32568" s="711"/>
      <c r="J32568" s="711"/>
      <c r="K32568" s="711"/>
      <c r="L32568" s="711"/>
      <c r="Q32568" s="11"/>
      <c r="R32568" s="11"/>
      <c r="S32568" s="11"/>
      <c r="T32568" s="11"/>
    </row>
    <row r="32569" spans="8:20" x14ac:dyDescent="0.35">
      <c r="H32569" s="711"/>
      <c r="I32569" s="711"/>
      <c r="J32569" s="711"/>
      <c r="K32569" s="711"/>
      <c r="L32569" s="711"/>
      <c r="Q32569" s="11"/>
      <c r="R32569" s="11"/>
      <c r="S32569" s="11"/>
      <c r="T32569" s="11"/>
    </row>
    <row r="32570" spans="8:20" x14ac:dyDescent="0.35">
      <c r="H32570" s="711"/>
      <c r="I32570" s="711"/>
      <c r="J32570" s="711"/>
      <c r="K32570" s="711"/>
      <c r="L32570" s="711"/>
      <c r="Q32570" s="11"/>
      <c r="R32570" s="11"/>
      <c r="S32570" s="11"/>
      <c r="T32570" s="11"/>
    </row>
    <row r="32571" spans="8:20" x14ac:dyDescent="0.35">
      <c r="H32571" s="711"/>
      <c r="I32571" s="711"/>
      <c r="J32571" s="711"/>
      <c r="K32571" s="711"/>
      <c r="L32571" s="711"/>
      <c r="Q32571" s="11"/>
      <c r="R32571" s="11"/>
      <c r="S32571" s="11"/>
      <c r="T32571" s="11"/>
    </row>
    <row r="32572" spans="8:20" x14ac:dyDescent="0.35">
      <c r="H32572" s="711"/>
      <c r="I32572" s="711"/>
      <c r="J32572" s="711"/>
      <c r="K32572" s="711"/>
      <c r="L32572" s="711"/>
      <c r="Q32572" s="11"/>
      <c r="R32572" s="11"/>
      <c r="S32572" s="11"/>
      <c r="T32572" s="11"/>
    </row>
    <row r="32573" spans="8:20" x14ac:dyDescent="0.35">
      <c r="H32573" s="711"/>
      <c r="I32573" s="711"/>
      <c r="J32573" s="711"/>
      <c r="K32573" s="711"/>
      <c r="L32573" s="711"/>
      <c r="Q32573" s="11"/>
      <c r="R32573" s="11"/>
      <c r="S32573" s="11"/>
      <c r="T32573" s="11"/>
    </row>
    <row r="32574" spans="8:20" x14ac:dyDescent="0.35">
      <c r="H32574" s="711"/>
      <c r="I32574" s="711"/>
      <c r="J32574" s="711"/>
      <c r="K32574" s="711"/>
      <c r="L32574" s="711"/>
      <c r="Q32574" s="11"/>
      <c r="R32574" s="11"/>
      <c r="S32574" s="11"/>
      <c r="T32574" s="11"/>
    </row>
    <row r="32575" spans="8:20" x14ac:dyDescent="0.35">
      <c r="H32575" s="711"/>
      <c r="I32575" s="711"/>
      <c r="J32575" s="711"/>
      <c r="K32575" s="711"/>
      <c r="L32575" s="711"/>
      <c r="Q32575" s="11"/>
      <c r="R32575" s="11"/>
      <c r="S32575" s="11"/>
      <c r="T32575" s="11"/>
    </row>
    <row r="32576" spans="8:20" x14ac:dyDescent="0.35">
      <c r="H32576" s="711"/>
      <c r="I32576" s="711"/>
      <c r="J32576" s="711"/>
      <c r="K32576" s="711"/>
      <c r="L32576" s="711"/>
      <c r="Q32576" s="11"/>
      <c r="R32576" s="11"/>
      <c r="S32576" s="11"/>
      <c r="T32576" s="11"/>
    </row>
    <row r="32577" spans="8:20" x14ac:dyDescent="0.35">
      <c r="H32577" s="711"/>
      <c r="I32577" s="711"/>
      <c r="J32577" s="711"/>
      <c r="K32577" s="711"/>
      <c r="L32577" s="711"/>
      <c r="Q32577" s="11"/>
      <c r="R32577" s="11"/>
      <c r="S32577" s="11"/>
      <c r="T32577" s="11"/>
    </row>
    <row r="32578" spans="8:20" x14ac:dyDescent="0.35">
      <c r="H32578" s="711"/>
      <c r="I32578" s="711"/>
      <c r="J32578" s="711"/>
      <c r="K32578" s="711"/>
      <c r="L32578" s="711"/>
      <c r="Q32578" s="11"/>
      <c r="R32578" s="11"/>
      <c r="S32578" s="11"/>
      <c r="T32578" s="11"/>
    </row>
    <row r="32579" spans="8:20" x14ac:dyDescent="0.35">
      <c r="H32579" s="711"/>
      <c r="I32579" s="711"/>
      <c r="J32579" s="711"/>
      <c r="K32579" s="711"/>
      <c r="L32579" s="711"/>
      <c r="Q32579" s="11"/>
      <c r="R32579" s="11"/>
      <c r="S32579" s="11"/>
      <c r="T32579" s="11"/>
    </row>
    <row r="32580" spans="8:20" x14ac:dyDescent="0.35">
      <c r="H32580" s="711"/>
      <c r="I32580" s="711"/>
      <c r="J32580" s="711"/>
      <c r="K32580" s="711"/>
      <c r="L32580" s="711"/>
      <c r="Q32580" s="11"/>
      <c r="R32580" s="11"/>
      <c r="S32580" s="11"/>
      <c r="T32580" s="11"/>
    </row>
    <row r="32581" spans="8:20" x14ac:dyDescent="0.35">
      <c r="H32581" s="711"/>
      <c r="I32581" s="711"/>
      <c r="J32581" s="711"/>
      <c r="K32581" s="711"/>
      <c r="L32581" s="711"/>
      <c r="Q32581" s="11"/>
      <c r="R32581" s="11"/>
      <c r="S32581" s="11"/>
      <c r="T32581" s="11"/>
    </row>
    <row r="32582" spans="8:20" x14ac:dyDescent="0.35">
      <c r="H32582" s="711"/>
      <c r="I32582" s="711"/>
      <c r="J32582" s="711"/>
      <c r="K32582" s="711"/>
      <c r="L32582" s="711"/>
      <c r="Q32582" s="11"/>
      <c r="R32582" s="11"/>
      <c r="S32582" s="11"/>
      <c r="T32582" s="11"/>
    </row>
    <row r="32583" spans="8:20" x14ac:dyDescent="0.35">
      <c r="H32583" s="711"/>
      <c r="I32583" s="711"/>
      <c r="J32583" s="711"/>
      <c r="K32583" s="711"/>
      <c r="L32583" s="711"/>
      <c r="Q32583" s="11"/>
      <c r="R32583" s="11"/>
      <c r="S32583" s="11"/>
      <c r="T32583" s="11"/>
    </row>
    <row r="32584" spans="8:20" x14ac:dyDescent="0.35">
      <c r="H32584" s="711"/>
      <c r="I32584" s="711"/>
      <c r="J32584" s="711"/>
      <c r="K32584" s="711"/>
      <c r="L32584" s="711"/>
      <c r="Q32584" s="11"/>
      <c r="R32584" s="11"/>
      <c r="S32584" s="11"/>
      <c r="T32584" s="11"/>
    </row>
    <row r="32585" spans="8:20" x14ac:dyDescent="0.35">
      <c r="H32585" s="711"/>
      <c r="I32585" s="711"/>
      <c r="J32585" s="711"/>
      <c r="K32585" s="711"/>
      <c r="L32585" s="711"/>
      <c r="Q32585" s="11"/>
      <c r="R32585" s="11"/>
      <c r="S32585" s="11"/>
      <c r="T32585" s="11"/>
    </row>
    <row r="32586" spans="8:20" x14ac:dyDescent="0.35">
      <c r="H32586" s="711"/>
      <c r="I32586" s="711"/>
      <c r="J32586" s="711"/>
      <c r="K32586" s="711"/>
      <c r="L32586" s="711"/>
      <c r="Q32586" s="11"/>
      <c r="R32586" s="11"/>
      <c r="S32586" s="11"/>
      <c r="T32586" s="11"/>
    </row>
    <row r="32587" spans="8:20" x14ac:dyDescent="0.35">
      <c r="H32587" s="711"/>
      <c r="I32587" s="711"/>
      <c r="J32587" s="711"/>
      <c r="K32587" s="711"/>
      <c r="L32587" s="711"/>
      <c r="Q32587" s="11"/>
      <c r="R32587" s="11"/>
      <c r="S32587" s="11"/>
      <c r="T32587" s="11"/>
    </row>
    <row r="32588" spans="8:20" x14ac:dyDescent="0.35">
      <c r="H32588" s="711"/>
      <c r="I32588" s="711"/>
      <c r="J32588" s="711"/>
      <c r="K32588" s="711"/>
      <c r="L32588" s="711"/>
      <c r="Q32588" s="11"/>
      <c r="R32588" s="11"/>
      <c r="S32588" s="11"/>
      <c r="T32588" s="11"/>
    </row>
    <row r="32589" spans="8:20" x14ac:dyDescent="0.35">
      <c r="H32589" s="711"/>
      <c r="I32589" s="711"/>
      <c r="J32589" s="711"/>
      <c r="K32589" s="711"/>
      <c r="L32589" s="711"/>
      <c r="Q32589" s="11"/>
      <c r="R32589" s="11"/>
      <c r="S32589" s="11"/>
      <c r="T32589" s="11"/>
    </row>
    <row r="32590" spans="8:20" x14ac:dyDescent="0.35">
      <c r="H32590" s="711"/>
      <c r="I32590" s="711"/>
      <c r="J32590" s="711"/>
      <c r="K32590" s="711"/>
      <c r="L32590" s="711"/>
      <c r="Q32590" s="11"/>
      <c r="R32590" s="11"/>
      <c r="S32590" s="11"/>
      <c r="T32590" s="11"/>
    </row>
    <row r="32591" spans="8:20" x14ac:dyDescent="0.35">
      <c r="H32591" s="711"/>
      <c r="I32591" s="711"/>
      <c r="J32591" s="711"/>
      <c r="K32591" s="711"/>
      <c r="L32591" s="711"/>
      <c r="Q32591" s="11"/>
      <c r="R32591" s="11"/>
      <c r="S32591" s="11"/>
      <c r="T32591" s="11"/>
    </row>
    <row r="32592" spans="8:20" x14ac:dyDescent="0.35">
      <c r="H32592" s="711"/>
      <c r="I32592" s="711"/>
      <c r="J32592" s="711"/>
      <c r="K32592" s="711"/>
      <c r="L32592" s="711"/>
      <c r="Q32592" s="11"/>
      <c r="R32592" s="11"/>
      <c r="S32592" s="11"/>
      <c r="T32592" s="11"/>
    </row>
    <row r="32593" spans="8:20" x14ac:dyDescent="0.35">
      <c r="H32593" s="711"/>
      <c r="I32593" s="711"/>
      <c r="J32593" s="711"/>
      <c r="K32593" s="711"/>
      <c r="L32593" s="711"/>
      <c r="Q32593" s="11"/>
      <c r="R32593" s="11"/>
      <c r="S32593" s="11"/>
      <c r="T32593" s="11"/>
    </row>
    <row r="32594" spans="8:20" x14ac:dyDescent="0.35">
      <c r="H32594" s="711"/>
      <c r="I32594" s="711"/>
      <c r="J32594" s="711"/>
      <c r="K32594" s="711"/>
      <c r="L32594" s="711"/>
      <c r="Q32594" s="11"/>
      <c r="R32594" s="11"/>
      <c r="S32594" s="11"/>
      <c r="T32594" s="11"/>
    </row>
    <row r="32595" spans="8:20" x14ac:dyDescent="0.35">
      <c r="H32595" s="711"/>
      <c r="I32595" s="711"/>
      <c r="J32595" s="711"/>
      <c r="K32595" s="711"/>
      <c r="L32595" s="711"/>
      <c r="Q32595" s="11"/>
      <c r="R32595" s="11"/>
      <c r="S32595" s="11"/>
      <c r="T32595" s="11"/>
    </row>
    <row r="32596" spans="8:20" x14ac:dyDescent="0.35">
      <c r="H32596" s="711"/>
      <c r="I32596" s="711"/>
      <c r="J32596" s="711"/>
      <c r="K32596" s="711"/>
      <c r="L32596" s="711"/>
      <c r="Q32596" s="11"/>
      <c r="R32596" s="11"/>
      <c r="S32596" s="11"/>
      <c r="T32596" s="11"/>
    </row>
    <row r="32597" spans="8:20" x14ac:dyDescent="0.35">
      <c r="H32597" s="711"/>
      <c r="I32597" s="711"/>
      <c r="J32597" s="711"/>
      <c r="K32597" s="711"/>
      <c r="L32597" s="711"/>
      <c r="Q32597" s="11"/>
      <c r="R32597" s="11"/>
      <c r="S32597" s="11"/>
      <c r="T32597" s="11"/>
    </row>
    <row r="32598" spans="8:20" x14ac:dyDescent="0.35">
      <c r="H32598" s="711"/>
      <c r="I32598" s="711"/>
      <c r="J32598" s="711"/>
      <c r="K32598" s="711"/>
      <c r="L32598" s="711"/>
      <c r="Q32598" s="11"/>
      <c r="R32598" s="11"/>
      <c r="S32598" s="11"/>
      <c r="T32598" s="11"/>
    </row>
    <row r="32599" spans="8:20" x14ac:dyDescent="0.35">
      <c r="H32599" s="711"/>
      <c r="I32599" s="711"/>
      <c r="J32599" s="711"/>
      <c r="K32599" s="711"/>
      <c r="L32599" s="711"/>
      <c r="Q32599" s="11"/>
      <c r="R32599" s="11"/>
      <c r="S32599" s="11"/>
      <c r="T32599" s="11"/>
    </row>
    <row r="32600" spans="8:20" x14ac:dyDescent="0.35">
      <c r="H32600" s="711"/>
      <c r="I32600" s="711"/>
      <c r="J32600" s="711"/>
      <c r="K32600" s="711"/>
      <c r="L32600" s="711"/>
      <c r="Q32600" s="11"/>
      <c r="R32600" s="11"/>
      <c r="S32600" s="11"/>
      <c r="T32600" s="11"/>
    </row>
    <row r="32601" spans="8:20" x14ac:dyDescent="0.35">
      <c r="H32601" s="711"/>
      <c r="I32601" s="711"/>
      <c r="J32601" s="711"/>
      <c r="K32601" s="711"/>
      <c r="L32601" s="711"/>
      <c r="Q32601" s="11"/>
      <c r="R32601" s="11"/>
      <c r="S32601" s="11"/>
      <c r="T32601" s="11"/>
    </row>
    <row r="32602" spans="8:20" x14ac:dyDescent="0.35">
      <c r="H32602" s="711"/>
      <c r="I32602" s="711"/>
      <c r="J32602" s="711"/>
      <c r="K32602" s="711"/>
      <c r="L32602" s="711"/>
      <c r="Q32602" s="11"/>
      <c r="R32602" s="11"/>
      <c r="S32602" s="11"/>
      <c r="T32602" s="11"/>
    </row>
    <row r="32603" spans="8:20" x14ac:dyDescent="0.35">
      <c r="H32603" s="711"/>
      <c r="I32603" s="711"/>
      <c r="J32603" s="711"/>
      <c r="K32603" s="711"/>
      <c r="L32603" s="711"/>
      <c r="Q32603" s="11"/>
      <c r="R32603" s="11"/>
      <c r="S32603" s="11"/>
      <c r="T32603" s="11"/>
    </row>
    <row r="32604" spans="8:20" x14ac:dyDescent="0.35">
      <c r="H32604" s="711"/>
      <c r="I32604" s="711"/>
      <c r="J32604" s="711"/>
      <c r="K32604" s="711"/>
      <c r="L32604" s="711"/>
      <c r="Q32604" s="11"/>
      <c r="R32604" s="11"/>
      <c r="S32604" s="11"/>
      <c r="T32604" s="11"/>
    </row>
    <row r="32605" spans="8:20" x14ac:dyDescent="0.35">
      <c r="H32605" s="711"/>
      <c r="I32605" s="711"/>
      <c r="J32605" s="711"/>
      <c r="K32605" s="711"/>
      <c r="L32605" s="711"/>
      <c r="Q32605" s="11"/>
      <c r="R32605" s="11"/>
      <c r="S32605" s="11"/>
      <c r="T32605" s="11"/>
    </row>
    <row r="32606" spans="8:20" x14ac:dyDescent="0.35">
      <c r="H32606" s="711"/>
      <c r="I32606" s="711"/>
      <c r="J32606" s="711"/>
      <c r="K32606" s="711"/>
      <c r="L32606" s="711"/>
      <c r="Q32606" s="11"/>
      <c r="R32606" s="11"/>
      <c r="S32606" s="11"/>
      <c r="T32606" s="11"/>
    </row>
    <row r="32607" spans="8:20" x14ac:dyDescent="0.35">
      <c r="H32607" s="711"/>
      <c r="I32607" s="711"/>
      <c r="J32607" s="711"/>
      <c r="K32607" s="711"/>
      <c r="L32607" s="711"/>
      <c r="Q32607" s="11"/>
      <c r="R32607" s="11"/>
      <c r="S32607" s="11"/>
      <c r="T32607" s="11"/>
    </row>
    <row r="32608" spans="8:20" x14ac:dyDescent="0.35">
      <c r="H32608" s="711"/>
      <c r="I32608" s="711"/>
      <c r="J32608" s="711"/>
      <c r="K32608" s="711"/>
      <c r="L32608" s="711"/>
      <c r="Q32608" s="11"/>
      <c r="R32608" s="11"/>
      <c r="S32608" s="11"/>
      <c r="T32608" s="11"/>
    </row>
    <row r="32609" spans="8:20" x14ac:dyDescent="0.35">
      <c r="H32609" s="711"/>
      <c r="I32609" s="711"/>
      <c r="J32609" s="711"/>
      <c r="K32609" s="711"/>
      <c r="L32609" s="711"/>
      <c r="Q32609" s="11"/>
      <c r="R32609" s="11"/>
      <c r="S32609" s="11"/>
      <c r="T32609" s="11"/>
    </row>
    <row r="32610" spans="8:20" x14ac:dyDescent="0.35">
      <c r="H32610" s="711"/>
      <c r="I32610" s="711"/>
      <c r="J32610" s="711"/>
      <c r="K32610" s="711"/>
      <c r="L32610" s="711"/>
      <c r="Q32610" s="11"/>
      <c r="R32610" s="11"/>
      <c r="S32610" s="11"/>
      <c r="T32610" s="11"/>
    </row>
    <row r="32611" spans="8:20" x14ac:dyDescent="0.35">
      <c r="H32611" s="711"/>
      <c r="I32611" s="711"/>
      <c r="J32611" s="711"/>
      <c r="K32611" s="711"/>
      <c r="L32611" s="711"/>
      <c r="Q32611" s="11"/>
      <c r="R32611" s="11"/>
      <c r="S32611" s="11"/>
      <c r="T32611" s="11"/>
    </row>
    <row r="32612" spans="8:20" x14ac:dyDescent="0.35">
      <c r="H32612" s="711"/>
      <c r="I32612" s="711"/>
      <c r="J32612" s="711"/>
      <c r="K32612" s="711"/>
      <c r="L32612" s="711"/>
      <c r="Q32612" s="11"/>
      <c r="R32612" s="11"/>
      <c r="S32612" s="11"/>
      <c r="T32612" s="11"/>
    </row>
    <row r="32613" spans="8:20" x14ac:dyDescent="0.35">
      <c r="H32613" s="711"/>
      <c r="I32613" s="711"/>
      <c r="J32613" s="711"/>
      <c r="K32613" s="711"/>
      <c r="L32613" s="711"/>
      <c r="Q32613" s="11"/>
      <c r="R32613" s="11"/>
      <c r="S32613" s="11"/>
      <c r="T32613" s="11"/>
    </row>
    <row r="32614" spans="8:20" x14ac:dyDescent="0.35">
      <c r="H32614" s="711"/>
      <c r="I32614" s="711"/>
      <c r="J32614" s="711"/>
      <c r="K32614" s="711"/>
      <c r="L32614" s="711"/>
      <c r="Q32614" s="11"/>
      <c r="R32614" s="11"/>
      <c r="S32614" s="11"/>
      <c r="T32614" s="11"/>
    </row>
    <row r="32615" spans="8:20" x14ac:dyDescent="0.35">
      <c r="H32615" s="711"/>
      <c r="I32615" s="711"/>
      <c r="J32615" s="711"/>
      <c r="K32615" s="711"/>
      <c r="L32615" s="711"/>
      <c r="Q32615" s="11"/>
      <c r="R32615" s="11"/>
      <c r="S32615" s="11"/>
      <c r="T32615" s="11"/>
    </row>
    <row r="32616" spans="8:20" x14ac:dyDescent="0.35">
      <c r="H32616" s="711"/>
      <c r="I32616" s="711"/>
      <c r="J32616" s="711"/>
      <c r="K32616" s="711"/>
      <c r="L32616" s="711"/>
      <c r="Q32616" s="11"/>
      <c r="R32616" s="11"/>
      <c r="S32616" s="11"/>
      <c r="T32616" s="11"/>
    </row>
    <row r="32617" spans="8:20" x14ac:dyDescent="0.35">
      <c r="H32617" s="711"/>
      <c r="I32617" s="711"/>
      <c r="J32617" s="711"/>
      <c r="K32617" s="711"/>
      <c r="L32617" s="711"/>
      <c r="Q32617" s="11"/>
      <c r="R32617" s="11"/>
      <c r="S32617" s="11"/>
      <c r="T32617" s="11"/>
    </row>
    <row r="32618" spans="8:20" x14ac:dyDescent="0.35">
      <c r="H32618" s="711"/>
      <c r="I32618" s="711"/>
      <c r="J32618" s="711"/>
      <c r="K32618" s="711"/>
      <c r="L32618" s="711"/>
      <c r="Q32618" s="11"/>
      <c r="R32618" s="11"/>
      <c r="S32618" s="11"/>
      <c r="T32618" s="11"/>
    </row>
    <row r="32619" spans="8:20" x14ac:dyDescent="0.35">
      <c r="H32619" s="711"/>
      <c r="I32619" s="711"/>
      <c r="J32619" s="711"/>
      <c r="K32619" s="711"/>
      <c r="L32619" s="711"/>
      <c r="Q32619" s="11"/>
      <c r="R32619" s="11"/>
      <c r="S32619" s="11"/>
      <c r="T32619" s="11"/>
    </row>
    <row r="32620" spans="8:20" x14ac:dyDescent="0.35">
      <c r="H32620" s="711"/>
      <c r="I32620" s="711"/>
      <c r="J32620" s="711"/>
      <c r="K32620" s="711"/>
      <c r="L32620" s="711"/>
      <c r="Q32620" s="11"/>
      <c r="R32620" s="11"/>
      <c r="S32620" s="11"/>
      <c r="T32620" s="11"/>
    </row>
    <row r="32621" spans="8:20" x14ac:dyDescent="0.35">
      <c r="H32621" s="711"/>
      <c r="I32621" s="711"/>
      <c r="J32621" s="711"/>
      <c r="K32621" s="711"/>
      <c r="L32621" s="711"/>
      <c r="Q32621" s="11"/>
      <c r="R32621" s="11"/>
      <c r="S32621" s="11"/>
      <c r="T32621" s="11"/>
    </row>
    <row r="32622" spans="8:20" x14ac:dyDescent="0.35">
      <c r="H32622" s="711"/>
      <c r="I32622" s="711"/>
      <c r="J32622" s="711"/>
      <c r="K32622" s="711"/>
      <c r="L32622" s="711"/>
      <c r="Q32622" s="11"/>
      <c r="R32622" s="11"/>
      <c r="S32622" s="11"/>
      <c r="T32622" s="11"/>
    </row>
    <row r="32623" spans="8:20" x14ac:dyDescent="0.35">
      <c r="H32623" s="711"/>
      <c r="I32623" s="711"/>
      <c r="J32623" s="711"/>
      <c r="K32623" s="711"/>
      <c r="L32623" s="711"/>
      <c r="Q32623" s="11"/>
      <c r="R32623" s="11"/>
      <c r="S32623" s="11"/>
      <c r="T32623" s="11"/>
    </row>
    <row r="32624" spans="8:20" x14ac:dyDescent="0.35">
      <c r="H32624" s="711"/>
      <c r="I32624" s="711"/>
      <c r="J32624" s="711"/>
      <c r="K32624" s="711"/>
      <c r="L32624" s="711"/>
      <c r="Q32624" s="11"/>
      <c r="R32624" s="11"/>
      <c r="S32624" s="11"/>
      <c r="T32624" s="11"/>
    </row>
    <row r="32625" spans="8:20" x14ac:dyDescent="0.35">
      <c r="H32625" s="711"/>
      <c r="I32625" s="711"/>
      <c r="J32625" s="711"/>
      <c r="K32625" s="711"/>
      <c r="L32625" s="711"/>
      <c r="Q32625" s="11"/>
      <c r="R32625" s="11"/>
      <c r="S32625" s="11"/>
      <c r="T32625" s="11"/>
    </row>
    <row r="32626" spans="8:20" x14ac:dyDescent="0.35">
      <c r="H32626" s="711"/>
      <c r="I32626" s="711"/>
      <c r="J32626" s="711"/>
      <c r="K32626" s="711"/>
      <c r="L32626" s="711"/>
      <c r="Q32626" s="11"/>
      <c r="R32626" s="11"/>
      <c r="S32626" s="11"/>
      <c r="T32626" s="11"/>
    </row>
    <row r="32627" spans="8:20" x14ac:dyDescent="0.35">
      <c r="H32627" s="711"/>
      <c r="I32627" s="711"/>
      <c r="J32627" s="711"/>
      <c r="K32627" s="711"/>
      <c r="L32627" s="711"/>
      <c r="Q32627" s="11"/>
      <c r="R32627" s="11"/>
      <c r="S32627" s="11"/>
      <c r="T32627" s="11"/>
    </row>
    <row r="32628" spans="8:20" x14ac:dyDescent="0.35">
      <c r="H32628" s="711"/>
      <c r="I32628" s="711"/>
      <c r="J32628" s="711"/>
      <c r="K32628" s="711"/>
      <c r="L32628" s="711"/>
      <c r="Q32628" s="11"/>
      <c r="R32628" s="11"/>
      <c r="S32628" s="11"/>
      <c r="T32628" s="11"/>
    </row>
    <row r="32629" spans="8:20" x14ac:dyDescent="0.35">
      <c r="H32629" s="711"/>
      <c r="I32629" s="711"/>
      <c r="J32629" s="711"/>
      <c r="K32629" s="711"/>
      <c r="L32629" s="711"/>
      <c r="Q32629" s="11"/>
      <c r="R32629" s="11"/>
      <c r="S32629" s="11"/>
      <c r="T32629" s="11"/>
    </row>
    <row r="32630" spans="8:20" x14ac:dyDescent="0.35">
      <c r="H32630" s="711"/>
      <c r="I32630" s="711"/>
      <c r="J32630" s="711"/>
      <c r="K32630" s="711"/>
      <c r="L32630" s="711"/>
      <c r="Q32630" s="11"/>
      <c r="R32630" s="11"/>
      <c r="S32630" s="11"/>
      <c r="T32630" s="11"/>
    </row>
    <row r="32631" spans="8:20" x14ac:dyDescent="0.35">
      <c r="H32631" s="711"/>
      <c r="I32631" s="711"/>
      <c r="J32631" s="711"/>
      <c r="K32631" s="711"/>
      <c r="L32631" s="711"/>
      <c r="Q32631" s="11"/>
      <c r="R32631" s="11"/>
      <c r="S32631" s="11"/>
      <c r="T32631" s="11"/>
    </row>
    <row r="32632" spans="8:20" x14ac:dyDescent="0.35">
      <c r="H32632" s="711"/>
      <c r="I32632" s="711"/>
      <c r="J32632" s="711"/>
      <c r="K32632" s="711"/>
      <c r="L32632" s="711"/>
      <c r="Q32632" s="11"/>
      <c r="R32632" s="11"/>
      <c r="S32632" s="11"/>
      <c r="T32632" s="11"/>
    </row>
    <row r="32633" spans="8:20" x14ac:dyDescent="0.35">
      <c r="H32633" s="711"/>
      <c r="I32633" s="711"/>
      <c r="J32633" s="711"/>
      <c r="K32633" s="711"/>
      <c r="L32633" s="711"/>
      <c r="Q32633" s="11"/>
      <c r="R32633" s="11"/>
      <c r="S32633" s="11"/>
      <c r="T32633" s="11"/>
    </row>
    <row r="32634" spans="8:20" x14ac:dyDescent="0.35">
      <c r="H32634" s="711"/>
      <c r="I32634" s="711"/>
      <c r="J32634" s="711"/>
      <c r="K32634" s="711"/>
      <c r="L32634" s="711"/>
      <c r="Q32634" s="11"/>
      <c r="R32634" s="11"/>
      <c r="S32634" s="11"/>
      <c r="T32634" s="11"/>
    </row>
    <row r="32635" spans="8:20" x14ac:dyDescent="0.35">
      <c r="H32635" s="711"/>
      <c r="I32635" s="711"/>
      <c r="J32635" s="711"/>
      <c r="K32635" s="711"/>
      <c r="L32635" s="711"/>
      <c r="Q32635" s="11"/>
      <c r="R32635" s="11"/>
      <c r="S32635" s="11"/>
      <c r="T32635" s="11"/>
    </row>
    <row r="32636" spans="8:20" x14ac:dyDescent="0.35">
      <c r="H32636" s="711"/>
      <c r="I32636" s="711"/>
      <c r="J32636" s="711"/>
      <c r="K32636" s="711"/>
      <c r="L32636" s="711"/>
      <c r="Q32636" s="11"/>
      <c r="R32636" s="11"/>
      <c r="S32636" s="11"/>
      <c r="T32636" s="11"/>
    </row>
    <row r="32637" spans="8:20" x14ac:dyDescent="0.35">
      <c r="H32637" s="711"/>
      <c r="I32637" s="711"/>
      <c r="J32637" s="711"/>
      <c r="K32637" s="711"/>
      <c r="L32637" s="711"/>
      <c r="Q32637" s="11"/>
      <c r="R32637" s="11"/>
      <c r="S32637" s="11"/>
      <c r="T32637" s="11"/>
    </row>
    <row r="32638" spans="8:20" x14ac:dyDescent="0.35">
      <c r="H32638" s="711"/>
      <c r="I32638" s="711"/>
      <c r="J32638" s="711"/>
      <c r="K32638" s="711"/>
      <c r="L32638" s="711"/>
      <c r="Q32638" s="11"/>
      <c r="R32638" s="11"/>
      <c r="S32638" s="11"/>
      <c r="T32638" s="11"/>
    </row>
    <row r="32639" spans="8:20" x14ac:dyDescent="0.35">
      <c r="H32639" s="711"/>
      <c r="I32639" s="711"/>
      <c r="J32639" s="711"/>
      <c r="K32639" s="711"/>
      <c r="L32639" s="711"/>
      <c r="Q32639" s="11"/>
      <c r="R32639" s="11"/>
      <c r="S32639" s="11"/>
      <c r="T32639" s="11"/>
    </row>
    <row r="32640" spans="8:20" x14ac:dyDescent="0.35">
      <c r="H32640" s="711"/>
      <c r="I32640" s="711"/>
      <c r="J32640" s="711"/>
      <c r="K32640" s="711"/>
      <c r="L32640" s="711"/>
      <c r="Q32640" s="11"/>
      <c r="R32640" s="11"/>
      <c r="S32640" s="11"/>
      <c r="T32640" s="11"/>
    </row>
    <row r="32641" spans="8:20" x14ac:dyDescent="0.35">
      <c r="H32641" s="711"/>
      <c r="I32641" s="711"/>
      <c r="J32641" s="711"/>
      <c r="K32641" s="711"/>
      <c r="L32641" s="711"/>
      <c r="Q32641" s="11"/>
      <c r="R32641" s="11"/>
      <c r="S32641" s="11"/>
      <c r="T32641" s="11"/>
    </row>
    <row r="32642" spans="8:20" x14ac:dyDescent="0.35">
      <c r="H32642" s="711"/>
      <c r="I32642" s="711"/>
      <c r="J32642" s="711"/>
      <c r="K32642" s="711"/>
      <c r="L32642" s="711"/>
      <c r="Q32642" s="11"/>
      <c r="R32642" s="11"/>
      <c r="S32642" s="11"/>
      <c r="T32642" s="11"/>
    </row>
    <row r="32643" spans="8:20" x14ac:dyDescent="0.35">
      <c r="H32643" s="711"/>
      <c r="I32643" s="711"/>
      <c r="J32643" s="711"/>
      <c r="K32643" s="711"/>
      <c r="L32643" s="711"/>
      <c r="Q32643" s="11"/>
      <c r="R32643" s="11"/>
      <c r="S32643" s="11"/>
      <c r="T32643" s="11"/>
    </row>
    <row r="32644" spans="8:20" x14ac:dyDescent="0.35">
      <c r="H32644" s="711"/>
      <c r="I32644" s="711"/>
      <c r="J32644" s="711"/>
      <c r="K32644" s="711"/>
      <c r="L32644" s="711"/>
      <c r="Q32644" s="11"/>
      <c r="R32644" s="11"/>
      <c r="S32644" s="11"/>
      <c r="T32644" s="11"/>
    </row>
    <row r="32645" spans="8:20" x14ac:dyDescent="0.35">
      <c r="H32645" s="711"/>
      <c r="I32645" s="711"/>
      <c r="J32645" s="711"/>
      <c r="K32645" s="711"/>
      <c r="L32645" s="711"/>
      <c r="Q32645" s="11"/>
      <c r="R32645" s="11"/>
      <c r="S32645" s="11"/>
      <c r="T32645" s="11"/>
    </row>
    <row r="32646" spans="8:20" x14ac:dyDescent="0.35">
      <c r="H32646" s="711"/>
      <c r="I32646" s="711"/>
      <c r="J32646" s="711"/>
      <c r="K32646" s="711"/>
      <c r="L32646" s="711"/>
      <c r="Q32646" s="11"/>
      <c r="R32646" s="11"/>
      <c r="S32646" s="11"/>
      <c r="T32646" s="11"/>
    </row>
    <row r="32647" spans="8:20" x14ac:dyDescent="0.35">
      <c r="H32647" s="711"/>
      <c r="I32647" s="711"/>
      <c r="J32647" s="711"/>
      <c r="K32647" s="711"/>
      <c r="L32647" s="711"/>
      <c r="Q32647" s="11"/>
      <c r="R32647" s="11"/>
      <c r="S32647" s="11"/>
      <c r="T32647" s="11"/>
    </row>
    <row r="32648" spans="8:20" x14ac:dyDescent="0.35">
      <c r="H32648" s="711"/>
      <c r="I32648" s="711"/>
      <c r="J32648" s="711"/>
      <c r="K32648" s="711"/>
      <c r="L32648" s="711"/>
      <c r="Q32648" s="11"/>
      <c r="R32648" s="11"/>
      <c r="S32648" s="11"/>
      <c r="T32648" s="11"/>
    </row>
    <row r="32649" spans="8:20" x14ac:dyDescent="0.35">
      <c r="H32649" s="711"/>
      <c r="I32649" s="711"/>
      <c r="J32649" s="711"/>
      <c r="K32649" s="711"/>
      <c r="L32649" s="711"/>
      <c r="Q32649" s="11"/>
      <c r="R32649" s="11"/>
      <c r="S32649" s="11"/>
      <c r="T32649" s="11"/>
    </row>
    <row r="32650" spans="8:20" x14ac:dyDescent="0.35">
      <c r="H32650" s="711"/>
      <c r="I32650" s="711"/>
      <c r="J32650" s="711"/>
      <c r="K32650" s="711"/>
      <c r="L32650" s="711"/>
      <c r="Q32650" s="11"/>
      <c r="R32650" s="11"/>
      <c r="S32650" s="11"/>
      <c r="T32650" s="11"/>
    </row>
    <row r="32651" spans="8:20" x14ac:dyDescent="0.35">
      <c r="H32651" s="711"/>
      <c r="I32651" s="711"/>
      <c r="J32651" s="711"/>
      <c r="K32651" s="711"/>
      <c r="L32651" s="711"/>
      <c r="Q32651" s="11"/>
      <c r="R32651" s="11"/>
      <c r="S32651" s="11"/>
      <c r="T32651" s="11"/>
    </row>
    <row r="32652" spans="8:20" x14ac:dyDescent="0.35">
      <c r="H32652" s="711"/>
      <c r="I32652" s="711"/>
      <c r="J32652" s="711"/>
      <c r="K32652" s="711"/>
      <c r="L32652" s="711"/>
      <c r="Q32652" s="11"/>
      <c r="R32652" s="11"/>
      <c r="S32652" s="11"/>
      <c r="T32652" s="11"/>
    </row>
    <row r="32653" spans="8:20" x14ac:dyDescent="0.35">
      <c r="H32653" s="711"/>
      <c r="I32653" s="711"/>
      <c r="J32653" s="711"/>
      <c r="K32653" s="711"/>
      <c r="L32653" s="711"/>
      <c r="Q32653" s="11"/>
      <c r="R32653" s="11"/>
      <c r="S32653" s="11"/>
      <c r="T32653" s="11"/>
    </row>
    <row r="32654" spans="8:20" x14ac:dyDescent="0.35">
      <c r="H32654" s="711"/>
      <c r="I32654" s="711"/>
      <c r="J32654" s="711"/>
      <c r="K32654" s="711"/>
      <c r="L32654" s="711"/>
      <c r="Q32654" s="11"/>
      <c r="R32654" s="11"/>
      <c r="S32654" s="11"/>
      <c r="T32654" s="11"/>
    </row>
    <row r="32655" spans="8:20" x14ac:dyDescent="0.35">
      <c r="H32655" s="711"/>
      <c r="I32655" s="711"/>
      <c r="J32655" s="711"/>
      <c r="K32655" s="711"/>
      <c r="L32655" s="711"/>
      <c r="Q32655" s="11"/>
      <c r="R32655" s="11"/>
      <c r="S32655" s="11"/>
      <c r="T32655" s="11"/>
    </row>
    <row r="32656" spans="8:20" x14ac:dyDescent="0.35">
      <c r="H32656" s="711"/>
      <c r="I32656" s="711"/>
      <c r="J32656" s="711"/>
      <c r="K32656" s="711"/>
      <c r="L32656" s="711"/>
      <c r="Q32656" s="11"/>
      <c r="R32656" s="11"/>
      <c r="S32656" s="11"/>
      <c r="T32656" s="11"/>
    </row>
    <row r="32657" spans="8:20" x14ac:dyDescent="0.35">
      <c r="H32657" s="711"/>
      <c r="I32657" s="711"/>
      <c r="J32657" s="711"/>
      <c r="K32657" s="711"/>
      <c r="L32657" s="711"/>
      <c r="Q32657" s="11"/>
      <c r="R32657" s="11"/>
      <c r="S32657" s="11"/>
      <c r="T32657" s="11"/>
    </row>
    <row r="32658" spans="8:20" x14ac:dyDescent="0.35">
      <c r="H32658" s="711"/>
      <c r="I32658" s="711"/>
      <c r="J32658" s="711"/>
      <c r="K32658" s="711"/>
      <c r="L32658" s="711"/>
      <c r="Q32658" s="11"/>
      <c r="R32658" s="11"/>
      <c r="S32658" s="11"/>
      <c r="T32658" s="11"/>
    </row>
    <row r="32659" spans="8:20" x14ac:dyDescent="0.35">
      <c r="H32659" s="711"/>
      <c r="I32659" s="711"/>
      <c r="J32659" s="711"/>
      <c r="K32659" s="711"/>
      <c r="L32659" s="711"/>
      <c r="Q32659" s="11"/>
      <c r="R32659" s="11"/>
      <c r="S32659" s="11"/>
      <c r="T32659" s="11"/>
    </row>
    <row r="32660" spans="8:20" x14ac:dyDescent="0.35">
      <c r="H32660" s="711"/>
      <c r="I32660" s="711"/>
      <c r="J32660" s="711"/>
      <c r="K32660" s="711"/>
      <c r="L32660" s="711"/>
      <c r="Q32660" s="11"/>
      <c r="R32660" s="11"/>
      <c r="S32660" s="11"/>
      <c r="T32660" s="11"/>
    </row>
    <row r="32661" spans="8:20" x14ac:dyDescent="0.35">
      <c r="H32661" s="711"/>
      <c r="I32661" s="711"/>
      <c r="J32661" s="711"/>
      <c r="K32661" s="711"/>
      <c r="L32661" s="711"/>
      <c r="Q32661" s="11"/>
      <c r="R32661" s="11"/>
      <c r="S32661" s="11"/>
      <c r="T32661" s="11"/>
    </row>
    <row r="32662" spans="8:20" x14ac:dyDescent="0.35">
      <c r="H32662" s="711"/>
      <c r="I32662" s="711"/>
      <c r="J32662" s="711"/>
      <c r="K32662" s="711"/>
      <c r="L32662" s="711"/>
      <c r="Q32662" s="11"/>
      <c r="R32662" s="11"/>
      <c r="S32662" s="11"/>
      <c r="T32662" s="11"/>
    </row>
    <row r="32663" spans="8:20" x14ac:dyDescent="0.35">
      <c r="H32663" s="711"/>
      <c r="I32663" s="711"/>
      <c r="J32663" s="711"/>
      <c r="K32663" s="711"/>
      <c r="L32663" s="711"/>
      <c r="Q32663" s="11"/>
      <c r="R32663" s="11"/>
      <c r="S32663" s="11"/>
      <c r="T32663" s="11"/>
    </row>
    <row r="32664" spans="8:20" x14ac:dyDescent="0.35">
      <c r="H32664" s="711"/>
      <c r="I32664" s="711"/>
      <c r="J32664" s="711"/>
      <c r="K32664" s="711"/>
      <c r="L32664" s="711"/>
      <c r="Q32664" s="11"/>
      <c r="R32664" s="11"/>
      <c r="S32664" s="11"/>
      <c r="T32664" s="11"/>
    </row>
    <row r="32665" spans="8:20" x14ac:dyDescent="0.35">
      <c r="H32665" s="711"/>
      <c r="I32665" s="711"/>
      <c r="J32665" s="711"/>
      <c r="K32665" s="711"/>
      <c r="L32665" s="711"/>
      <c r="Q32665" s="11"/>
      <c r="R32665" s="11"/>
      <c r="S32665" s="11"/>
      <c r="T32665" s="11"/>
    </row>
    <row r="32666" spans="8:20" x14ac:dyDescent="0.35">
      <c r="H32666" s="711"/>
      <c r="I32666" s="711"/>
      <c r="J32666" s="711"/>
      <c r="K32666" s="711"/>
      <c r="L32666" s="711"/>
      <c r="Q32666" s="11"/>
      <c r="R32666" s="11"/>
      <c r="S32666" s="11"/>
      <c r="T32666" s="11"/>
    </row>
    <row r="32667" spans="8:20" x14ac:dyDescent="0.35">
      <c r="H32667" s="711"/>
      <c r="I32667" s="711"/>
      <c r="J32667" s="711"/>
      <c r="K32667" s="711"/>
      <c r="L32667" s="711"/>
      <c r="Q32667" s="11"/>
      <c r="R32667" s="11"/>
      <c r="S32667" s="11"/>
      <c r="T32667" s="11"/>
    </row>
    <row r="32668" spans="8:20" x14ac:dyDescent="0.35">
      <c r="H32668" s="711"/>
      <c r="I32668" s="711"/>
      <c r="J32668" s="711"/>
      <c r="K32668" s="711"/>
      <c r="L32668" s="711"/>
      <c r="Q32668" s="11"/>
      <c r="R32668" s="11"/>
      <c r="S32668" s="11"/>
      <c r="T32668" s="11"/>
    </row>
    <row r="32669" spans="8:20" x14ac:dyDescent="0.35">
      <c r="H32669" s="711"/>
      <c r="I32669" s="711"/>
      <c r="J32669" s="711"/>
      <c r="K32669" s="711"/>
      <c r="L32669" s="711"/>
      <c r="Q32669" s="11"/>
      <c r="R32669" s="11"/>
      <c r="S32669" s="11"/>
      <c r="T32669" s="11"/>
    </row>
    <row r="32670" spans="8:20" x14ac:dyDescent="0.35">
      <c r="H32670" s="711"/>
      <c r="I32670" s="711"/>
      <c r="J32670" s="711"/>
      <c r="K32670" s="711"/>
      <c r="L32670" s="711"/>
      <c r="Q32670" s="11"/>
      <c r="R32670" s="11"/>
      <c r="S32670" s="11"/>
      <c r="T32670" s="11"/>
    </row>
    <row r="32671" spans="8:20" x14ac:dyDescent="0.35">
      <c r="H32671" s="711"/>
      <c r="I32671" s="711"/>
      <c r="J32671" s="711"/>
      <c r="K32671" s="711"/>
      <c r="L32671" s="711"/>
      <c r="Q32671" s="11"/>
      <c r="R32671" s="11"/>
      <c r="S32671" s="11"/>
      <c r="T32671" s="11"/>
    </row>
    <row r="32672" spans="8:20" x14ac:dyDescent="0.35">
      <c r="H32672" s="711"/>
      <c r="I32672" s="711"/>
      <c r="J32672" s="711"/>
      <c r="K32672" s="711"/>
      <c r="L32672" s="711"/>
      <c r="Q32672" s="11"/>
      <c r="R32672" s="11"/>
      <c r="S32672" s="11"/>
      <c r="T32672" s="11"/>
    </row>
    <row r="32673" spans="8:20" x14ac:dyDescent="0.35">
      <c r="H32673" s="711"/>
      <c r="I32673" s="711"/>
      <c r="J32673" s="711"/>
      <c r="K32673" s="711"/>
      <c r="L32673" s="711"/>
      <c r="Q32673" s="11"/>
      <c r="R32673" s="11"/>
      <c r="S32673" s="11"/>
      <c r="T32673" s="11"/>
    </row>
    <row r="32674" spans="8:20" x14ac:dyDescent="0.35">
      <c r="H32674" s="711"/>
      <c r="I32674" s="711"/>
      <c r="J32674" s="711"/>
      <c r="K32674" s="711"/>
      <c r="L32674" s="711"/>
      <c r="Q32674" s="11"/>
      <c r="R32674" s="11"/>
      <c r="S32674" s="11"/>
      <c r="T32674" s="11"/>
    </row>
    <row r="32675" spans="8:20" x14ac:dyDescent="0.35">
      <c r="H32675" s="711"/>
      <c r="I32675" s="711"/>
      <c r="J32675" s="711"/>
      <c r="K32675" s="711"/>
      <c r="L32675" s="711"/>
      <c r="Q32675" s="11"/>
      <c r="R32675" s="11"/>
      <c r="S32675" s="11"/>
      <c r="T32675" s="11"/>
    </row>
    <row r="32676" spans="8:20" x14ac:dyDescent="0.35">
      <c r="H32676" s="711"/>
      <c r="I32676" s="711"/>
      <c r="J32676" s="711"/>
      <c r="K32676" s="711"/>
      <c r="L32676" s="711"/>
      <c r="Q32676" s="11"/>
      <c r="R32676" s="11"/>
      <c r="S32676" s="11"/>
      <c r="T32676" s="11"/>
    </row>
    <row r="32677" spans="8:20" x14ac:dyDescent="0.35">
      <c r="H32677" s="711"/>
      <c r="I32677" s="711"/>
      <c r="J32677" s="711"/>
      <c r="K32677" s="711"/>
      <c r="L32677" s="711"/>
      <c r="Q32677" s="11"/>
      <c r="R32677" s="11"/>
      <c r="S32677" s="11"/>
      <c r="T32677" s="11"/>
    </row>
    <row r="32678" spans="8:20" x14ac:dyDescent="0.35">
      <c r="H32678" s="711"/>
      <c r="I32678" s="711"/>
      <c r="J32678" s="711"/>
      <c r="K32678" s="711"/>
      <c r="L32678" s="711"/>
      <c r="Q32678" s="11"/>
      <c r="R32678" s="11"/>
      <c r="S32678" s="11"/>
      <c r="T32678" s="11"/>
    </row>
    <row r="32679" spans="8:20" x14ac:dyDescent="0.35">
      <c r="H32679" s="711"/>
      <c r="I32679" s="711"/>
      <c r="J32679" s="711"/>
      <c r="K32679" s="711"/>
      <c r="L32679" s="711"/>
      <c r="Q32679" s="11"/>
      <c r="R32679" s="11"/>
      <c r="S32679" s="11"/>
      <c r="T32679" s="11"/>
    </row>
    <row r="32680" spans="8:20" x14ac:dyDescent="0.35">
      <c r="H32680" s="711"/>
      <c r="I32680" s="711"/>
      <c r="J32680" s="711"/>
      <c r="K32680" s="711"/>
      <c r="L32680" s="711"/>
      <c r="Q32680" s="11"/>
      <c r="R32680" s="11"/>
      <c r="S32680" s="11"/>
      <c r="T32680" s="11"/>
    </row>
    <row r="32681" spans="8:20" x14ac:dyDescent="0.35">
      <c r="H32681" s="711"/>
      <c r="I32681" s="711"/>
      <c r="J32681" s="711"/>
      <c r="K32681" s="711"/>
      <c r="L32681" s="711"/>
      <c r="Q32681" s="11"/>
      <c r="R32681" s="11"/>
      <c r="S32681" s="11"/>
      <c r="T32681" s="11"/>
    </row>
    <row r="32682" spans="8:20" x14ac:dyDescent="0.35">
      <c r="H32682" s="711"/>
      <c r="I32682" s="711"/>
      <c r="J32682" s="711"/>
      <c r="K32682" s="711"/>
      <c r="L32682" s="711"/>
      <c r="Q32682" s="11"/>
      <c r="R32682" s="11"/>
      <c r="S32682" s="11"/>
      <c r="T32682" s="11"/>
    </row>
    <row r="32683" spans="8:20" x14ac:dyDescent="0.35">
      <c r="H32683" s="711"/>
      <c r="I32683" s="711"/>
      <c r="J32683" s="711"/>
      <c r="K32683" s="711"/>
      <c r="L32683" s="711"/>
      <c r="Q32683" s="11"/>
      <c r="R32683" s="11"/>
      <c r="S32683" s="11"/>
      <c r="T32683" s="11"/>
    </row>
    <row r="32684" spans="8:20" x14ac:dyDescent="0.35">
      <c r="H32684" s="711"/>
      <c r="I32684" s="711"/>
      <c r="J32684" s="711"/>
      <c r="K32684" s="711"/>
      <c r="L32684" s="711"/>
      <c r="Q32684" s="11"/>
      <c r="R32684" s="11"/>
      <c r="S32684" s="11"/>
      <c r="T32684" s="11"/>
    </row>
    <row r="32685" spans="8:20" x14ac:dyDescent="0.35">
      <c r="H32685" s="711"/>
      <c r="I32685" s="711"/>
      <c r="J32685" s="711"/>
      <c r="K32685" s="711"/>
      <c r="L32685" s="711"/>
      <c r="Q32685" s="11"/>
      <c r="R32685" s="11"/>
      <c r="S32685" s="11"/>
      <c r="T32685" s="11"/>
    </row>
    <row r="32686" spans="8:20" x14ac:dyDescent="0.35">
      <c r="H32686" s="711"/>
      <c r="I32686" s="711"/>
      <c r="J32686" s="711"/>
      <c r="K32686" s="711"/>
      <c r="L32686" s="711"/>
      <c r="Q32686" s="11"/>
      <c r="R32686" s="11"/>
      <c r="S32686" s="11"/>
      <c r="T32686" s="11"/>
    </row>
    <row r="32687" spans="8:20" x14ac:dyDescent="0.35">
      <c r="H32687" s="711"/>
      <c r="I32687" s="711"/>
      <c r="J32687" s="711"/>
      <c r="K32687" s="711"/>
      <c r="L32687" s="711"/>
      <c r="Q32687" s="11"/>
      <c r="R32687" s="11"/>
      <c r="S32687" s="11"/>
      <c r="T32687" s="11"/>
    </row>
    <row r="32688" spans="8:20" x14ac:dyDescent="0.35">
      <c r="H32688" s="711"/>
      <c r="I32688" s="711"/>
      <c r="J32688" s="711"/>
      <c r="K32688" s="711"/>
      <c r="L32688" s="711"/>
      <c r="Q32688" s="11"/>
      <c r="R32688" s="11"/>
      <c r="S32688" s="11"/>
      <c r="T32688" s="11"/>
    </row>
    <row r="32689" spans="8:20" x14ac:dyDescent="0.35">
      <c r="H32689" s="711"/>
      <c r="I32689" s="711"/>
      <c r="J32689" s="711"/>
      <c r="K32689" s="711"/>
      <c r="L32689" s="711"/>
      <c r="Q32689" s="11"/>
      <c r="R32689" s="11"/>
      <c r="S32689" s="11"/>
      <c r="T32689" s="11"/>
    </row>
    <row r="32690" spans="8:20" x14ac:dyDescent="0.35">
      <c r="H32690" s="711"/>
      <c r="I32690" s="711"/>
      <c r="J32690" s="711"/>
      <c r="K32690" s="711"/>
      <c r="L32690" s="711"/>
      <c r="Q32690" s="11"/>
      <c r="R32690" s="11"/>
      <c r="S32690" s="11"/>
      <c r="T32690" s="11"/>
    </row>
    <row r="32691" spans="8:20" x14ac:dyDescent="0.35">
      <c r="H32691" s="711"/>
      <c r="I32691" s="711"/>
      <c r="J32691" s="711"/>
      <c r="K32691" s="711"/>
      <c r="L32691" s="711"/>
      <c r="Q32691" s="11"/>
      <c r="R32691" s="11"/>
      <c r="S32691" s="11"/>
      <c r="T32691" s="11"/>
    </row>
    <row r="32692" spans="8:20" x14ac:dyDescent="0.35">
      <c r="H32692" s="711"/>
      <c r="I32692" s="711"/>
      <c r="J32692" s="711"/>
      <c r="K32692" s="711"/>
      <c r="L32692" s="711"/>
      <c r="Q32692" s="11"/>
      <c r="R32692" s="11"/>
      <c r="S32692" s="11"/>
      <c r="T32692" s="11"/>
    </row>
    <row r="32693" spans="8:20" x14ac:dyDescent="0.35">
      <c r="H32693" s="711"/>
      <c r="I32693" s="711"/>
      <c r="J32693" s="711"/>
      <c r="K32693" s="711"/>
      <c r="L32693" s="711"/>
      <c r="Q32693" s="11"/>
      <c r="R32693" s="11"/>
      <c r="S32693" s="11"/>
      <c r="T32693" s="11"/>
    </row>
    <row r="32694" spans="8:20" x14ac:dyDescent="0.35">
      <c r="H32694" s="711"/>
      <c r="I32694" s="711"/>
      <c r="J32694" s="711"/>
      <c r="K32694" s="711"/>
      <c r="L32694" s="711"/>
      <c r="Q32694" s="11"/>
      <c r="R32694" s="11"/>
      <c r="S32694" s="11"/>
      <c r="T32694" s="11"/>
    </row>
    <row r="32695" spans="8:20" x14ac:dyDescent="0.35">
      <c r="H32695" s="711"/>
      <c r="I32695" s="711"/>
      <c r="J32695" s="711"/>
      <c r="K32695" s="711"/>
      <c r="L32695" s="711"/>
      <c r="Q32695" s="11"/>
      <c r="R32695" s="11"/>
      <c r="S32695" s="11"/>
      <c r="T32695" s="11"/>
    </row>
    <row r="32696" spans="8:20" x14ac:dyDescent="0.35">
      <c r="H32696" s="711"/>
      <c r="I32696" s="711"/>
      <c r="J32696" s="711"/>
      <c r="K32696" s="711"/>
      <c r="L32696" s="711"/>
      <c r="Q32696" s="11"/>
      <c r="R32696" s="11"/>
      <c r="S32696" s="11"/>
      <c r="T32696" s="11"/>
    </row>
    <row r="32697" spans="8:20" x14ac:dyDescent="0.35">
      <c r="H32697" s="711"/>
      <c r="I32697" s="711"/>
      <c r="J32697" s="711"/>
      <c r="K32697" s="711"/>
      <c r="L32697" s="711"/>
      <c r="Q32697" s="11"/>
      <c r="R32697" s="11"/>
      <c r="S32697" s="11"/>
      <c r="T32697" s="11"/>
    </row>
    <row r="32698" spans="8:20" x14ac:dyDescent="0.35">
      <c r="H32698" s="711"/>
      <c r="I32698" s="711"/>
      <c r="J32698" s="711"/>
      <c r="K32698" s="711"/>
      <c r="L32698" s="711"/>
      <c r="Q32698" s="11"/>
      <c r="R32698" s="11"/>
      <c r="S32698" s="11"/>
      <c r="T32698" s="11"/>
    </row>
    <row r="32699" spans="8:20" x14ac:dyDescent="0.35">
      <c r="H32699" s="711"/>
      <c r="I32699" s="711"/>
      <c r="J32699" s="711"/>
      <c r="K32699" s="711"/>
      <c r="L32699" s="711"/>
      <c r="Q32699" s="11"/>
      <c r="R32699" s="11"/>
      <c r="S32699" s="11"/>
      <c r="T32699" s="11"/>
    </row>
    <row r="32700" spans="8:20" x14ac:dyDescent="0.35">
      <c r="H32700" s="711"/>
      <c r="I32700" s="711"/>
      <c r="J32700" s="711"/>
      <c r="K32700" s="711"/>
      <c r="L32700" s="711"/>
      <c r="Q32700" s="11"/>
      <c r="R32700" s="11"/>
      <c r="S32700" s="11"/>
      <c r="T32700" s="11"/>
    </row>
    <row r="32701" spans="8:20" x14ac:dyDescent="0.35">
      <c r="H32701" s="711"/>
      <c r="I32701" s="711"/>
      <c r="J32701" s="711"/>
      <c r="K32701" s="711"/>
      <c r="L32701" s="711"/>
      <c r="Q32701" s="11"/>
      <c r="R32701" s="11"/>
      <c r="S32701" s="11"/>
      <c r="T32701" s="11"/>
    </row>
    <row r="32702" spans="8:20" x14ac:dyDescent="0.35">
      <c r="H32702" s="711"/>
      <c r="I32702" s="711"/>
      <c r="J32702" s="711"/>
      <c r="K32702" s="711"/>
      <c r="L32702" s="711"/>
      <c r="Q32702" s="11"/>
      <c r="R32702" s="11"/>
      <c r="S32702" s="11"/>
      <c r="T32702" s="11"/>
    </row>
    <row r="32703" spans="8:20" x14ac:dyDescent="0.35">
      <c r="H32703" s="711"/>
      <c r="I32703" s="711"/>
      <c r="J32703" s="711"/>
      <c r="K32703" s="711"/>
      <c r="L32703" s="711"/>
      <c r="Q32703" s="11"/>
      <c r="R32703" s="11"/>
      <c r="S32703" s="11"/>
      <c r="T32703" s="11"/>
    </row>
    <row r="32704" spans="8:20" x14ac:dyDescent="0.35">
      <c r="H32704" s="711"/>
      <c r="I32704" s="711"/>
      <c r="J32704" s="711"/>
      <c r="K32704" s="711"/>
      <c r="L32704" s="711"/>
      <c r="Q32704" s="11"/>
      <c r="R32704" s="11"/>
      <c r="S32704" s="11"/>
      <c r="T32704" s="11"/>
    </row>
    <row r="32705" spans="8:20" x14ac:dyDescent="0.35">
      <c r="H32705" s="711"/>
      <c r="I32705" s="711"/>
      <c r="J32705" s="711"/>
      <c r="K32705" s="711"/>
      <c r="L32705" s="711"/>
      <c r="Q32705" s="11"/>
      <c r="R32705" s="11"/>
      <c r="S32705" s="11"/>
      <c r="T32705" s="11"/>
    </row>
    <row r="32706" spans="8:20" x14ac:dyDescent="0.35">
      <c r="H32706" s="711"/>
      <c r="I32706" s="711"/>
      <c r="J32706" s="711"/>
      <c r="K32706" s="711"/>
      <c r="L32706" s="711"/>
      <c r="Q32706" s="11"/>
      <c r="R32706" s="11"/>
      <c r="S32706" s="11"/>
      <c r="T32706" s="11"/>
    </row>
    <row r="32707" spans="8:20" x14ac:dyDescent="0.35">
      <c r="H32707" s="711"/>
      <c r="I32707" s="711"/>
      <c r="J32707" s="711"/>
      <c r="K32707" s="711"/>
      <c r="L32707" s="711"/>
      <c r="Q32707" s="11"/>
      <c r="R32707" s="11"/>
      <c r="S32707" s="11"/>
      <c r="T32707" s="11"/>
    </row>
    <row r="32708" spans="8:20" x14ac:dyDescent="0.35">
      <c r="H32708" s="711"/>
      <c r="I32708" s="711"/>
      <c r="J32708" s="711"/>
      <c r="K32708" s="711"/>
      <c r="L32708" s="711"/>
      <c r="Q32708" s="11"/>
      <c r="R32708" s="11"/>
      <c r="S32708" s="11"/>
      <c r="T32708" s="11"/>
    </row>
    <row r="32709" spans="8:20" x14ac:dyDescent="0.35">
      <c r="H32709" s="711"/>
      <c r="I32709" s="711"/>
      <c r="J32709" s="711"/>
      <c r="K32709" s="711"/>
      <c r="L32709" s="711"/>
      <c r="Q32709" s="11"/>
      <c r="R32709" s="11"/>
      <c r="S32709" s="11"/>
      <c r="T32709" s="11"/>
    </row>
    <row r="32710" spans="8:20" x14ac:dyDescent="0.35">
      <c r="H32710" s="711"/>
      <c r="I32710" s="711"/>
      <c r="J32710" s="711"/>
      <c r="K32710" s="711"/>
      <c r="L32710" s="711"/>
      <c r="Q32710" s="11"/>
      <c r="R32710" s="11"/>
      <c r="S32710" s="11"/>
      <c r="T32710" s="11"/>
    </row>
    <row r="32711" spans="8:20" x14ac:dyDescent="0.35">
      <c r="H32711" s="711"/>
      <c r="I32711" s="711"/>
      <c r="J32711" s="711"/>
      <c r="K32711" s="711"/>
      <c r="L32711" s="711"/>
      <c r="Q32711" s="11"/>
      <c r="R32711" s="11"/>
      <c r="S32711" s="11"/>
      <c r="T32711" s="11"/>
    </row>
    <row r="32712" spans="8:20" x14ac:dyDescent="0.35">
      <c r="H32712" s="711"/>
      <c r="I32712" s="711"/>
      <c r="J32712" s="711"/>
      <c r="K32712" s="711"/>
      <c r="L32712" s="711"/>
      <c r="Q32712" s="11"/>
      <c r="R32712" s="11"/>
      <c r="S32712" s="11"/>
      <c r="T32712" s="11"/>
    </row>
    <row r="32713" spans="8:20" x14ac:dyDescent="0.35">
      <c r="H32713" s="711"/>
      <c r="I32713" s="711"/>
      <c r="J32713" s="711"/>
      <c r="K32713" s="711"/>
      <c r="L32713" s="711"/>
      <c r="Q32713" s="11"/>
      <c r="R32713" s="11"/>
      <c r="S32713" s="11"/>
      <c r="T32713" s="11"/>
    </row>
    <row r="32714" spans="8:20" x14ac:dyDescent="0.35">
      <c r="H32714" s="711"/>
      <c r="I32714" s="711"/>
      <c r="J32714" s="711"/>
      <c r="K32714" s="711"/>
      <c r="L32714" s="711"/>
      <c r="Q32714" s="11"/>
      <c r="R32714" s="11"/>
      <c r="S32714" s="11"/>
      <c r="T32714" s="11"/>
    </row>
    <row r="32715" spans="8:20" x14ac:dyDescent="0.35">
      <c r="H32715" s="711"/>
      <c r="I32715" s="711"/>
      <c r="J32715" s="711"/>
      <c r="K32715" s="711"/>
      <c r="L32715" s="711"/>
      <c r="Q32715" s="11"/>
      <c r="R32715" s="11"/>
      <c r="S32715" s="11"/>
      <c r="T32715" s="11"/>
    </row>
    <row r="32716" spans="8:20" x14ac:dyDescent="0.35">
      <c r="H32716" s="711"/>
      <c r="I32716" s="711"/>
      <c r="J32716" s="711"/>
      <c r="K32716" s="711"/>
      <c r="L32716" s="711"/>
      <c r="Q32716" s="11"/>
      <c r="R32716" s="11"/>
      <c r="S32716" s="11"/>
      <c r="T32716" s="11"/>
    </row>
    <row r="32717" spans="8:20" x14ac:dyDescent="0.35">
      <c r="H32717" s="711"/>
      <c r="I32717" s="711"/>
      <c r="J32717" s="711"/>
      <c r="K32717" s="711"/>
      <c r="L32717" s="711"/>
      <c r="Q32717" s="11"/>
      <c r="R32717" s="11"/>
      <c r="S32717" s="11"/>
      <c r="T32717" s="11"/>
    </row>
    <row r="32718" spans="8:20" x14ac:dyDescent="0.35">
      <c r="H32718" s="711"/>
      <c r="I32718" s="711"/>
      <c r="J32718" s="711"/>
      <c r="K32718" s="711"/>
      <c r="L32718" s="711"/>
      <c r="Q32718" s="11"/>
      <c r="R32718" s="11"/>
      <c r="S32718" s="11"/>
      <c r="T32718" s="11"/>
    </row>
    <row r="32719" spans="8:20" x14ac:dyDescent="0.35">
      <c r="H32719" s="711"/>
      <c r="I32719" s="711"/>
      <c r="J32719" s="711"/>
      <c r="K32719" s="711"/>
      <c r="L32719" s="711"/>
      <c r="Q32719" s="11"/>
      <c r="R32719" s="11"/>
      <c r="S32719" s="11"/>
      <c r="T32719" s="11"/>
    </row>
    <row r="32720" spans="8:20" x14ac:dyDescent="0.35">
      <c r="H32720" s="711"/>
      <c r="I32720" s="711"/>
      <c r="J32720" s="711"/>
      <c r="K32720" s="711"/>
      <c r="L32720" s="711"/>
      <c r="Q32720" s="11"/>
      <c r="R32720" s="11"/>
      <c r="S32720" s="11"/>
      <c r="T32720" s="11"/>
    </row>
    <row r="32721" spans="8:20" x14ac:dyDescent="0.35">
      <c r="H32721" s="711"/>
      <c r="I32721" s="711"/>
      <c r="J32721" s="711"/>
      <c r="K32721" s="711"/>
      <c r="L32721" s="711"/>
      <c r="Q32721" s="11"/>
      <c r="R32721" s="11"/>
      <c r="S32721" s="11"/>
      <c r="T32721" s="11"/>
    </row>
    <row r="32722" spans="8:20" x14ac:dyDescent="0.35">
      <c r="H32722" s="711"/>
      <c r="I32722" s="711"/>
      <c r="J32722" s="711"/>
      <c r="K32722" s="711"/>
      <c r="L32722" s="711"/>
      <c r="Q32722" s="11"/>
      <c r="R32722" s="11"/>
      <c r="S32722" s="11"/>
      <c r="T32722" s="11"/>
    </row>
    <row r="32723" spans="8:20" x14ac:dyDescent="0.35">
      <c r="H32723" s="711"/>
      <c r="I32723" s="711"/>
      <c r="J32723" s="711"/>
      <c r="K32723" s="711"/>
      <c r="L32723" s="711"/>
      <c r="Q32723" s="11"/>
      <c r="R32723" s="11"/>
      <c r="S32723" s="11"/>
      <c r="T32723" s="11"/>
    </row>
    <row r="32724" spans="8:20" x14ac:dyDescent="0.35">
      <c r="H32724" s="711"/>
      <c r="I32724" s="711"/>
      <c r="J32724" s="711"/>
      <c r="K32724" s="711"/>
      <c r="L32724" s="711"/>
      <c r="Q32724" s="11"/>
      <c r="R32724" s="11"/>
      <c r="S32724" s="11"/>
      <c r="T32724" s="11"/>
    </row>
    <row r="32725" spans="8:20" x14ac:dyDescent="0.35">
      <c r="H32725" s="711"/>
      <c r="I32725" s="711"/>
      <c r="J32725" s="711"/>
      <c r="K32725" s="711"/>
      <c r="L32725" s="711"/>
      <c r="Q32725" s="11"/>
      <c r="R32725" s="11"/>
      <c r="S32725" s="11"/>
      <c r="T32725" s="11"/>
    </row>
    <row r="32726" spans="8:20" x14ac:dyDescent="0.35">
      <c r="H32726" s="711"/>
      <c r="I32726" s="711"/>
      <c r="J32726" s="711"/>
      <c r="K32726" s="711"/>
      <c r="L32726" s="711"/>
      <c r="Q32726" s="11"/>
      <c r="R32726" s="11"/>
      <c r="S32726" s="11"/>
      <c r="T32726" s="11"/>
    </row>
    <row r="32727" spans="8:20" x14ac:dyDescent="0.35">
      <c r="H32727" s="711"/>
      <c r="I32727" s="711"/>
      <c r="J32727" s="711"/>
      <c r="K32727" s="711"/>
      <c r="L32727" s="711"/>
      <c r="Q32727" s="11"/>
      <c r="R32727" s="11"/>
      <c r="S32727" s="11"/>
      <c r="T32727" s="11"/>
    </row>
    <row r="32728" spans="8:20" x14ac:dyDescent="0.35">
      <c r="H32728" s="711"/>
      <c r="I32728" s="711"/>
      <c r="J32728" s="711"/>
      <c r="K32728" s="711"/>
      <c r="L32728" s="711"/>
      <c r="Q32728" s="11"/>
      <c r="R32728" s="11"/>
      <c r="S32728" s="11"/>
      <c r="T32728" s="11"/>
    </row>
    <row r="32729" spans="8:20" x14ac:dyDescent="0.35">
      <c r="H32729" s="711"/>
      <c r="I32729" s="711"/>
      <c r="J32729" s="711"/>
      <c r="K32729" s="711"/>
      <c r="L32729" s="711"/>
      <c r="Q32729" s="11"/>
      <c r="R32729" s="11"/>
      <c r="S32729" s="11"/>
      <c r="T32729" s="11"/>
    </row>
    <row r="32730" spans="8:20" x14ac:dyDescent="0.35">
      <c r="H32730" s="711"/>
      <c r="I32730" s="711"/>
      <c r="J32730" s="711"/>
      <c r="K32730" s="711"/>
      <c r="L32730" s="711"/>
      <c r="Q32730" s="11"/>
      <c r="R32730" s="11"/>
      <c r="S32730" s="11"/>
      <c r="T32730" s="11"/>
    </row>
    <row r="32731" spans="8:20" x14ac:dyDescent="0.35">
      <c r="H32731" s="711"/>
      <c r="I32731" s="711"/>
      <c r="J32731" s="711"/>
      <c r="K32731" s="711"/>
      <c r="L32731" s="711"/>
      <c r="Q32731" s="11"/>
      <c r="R32731" s="11"/>
      <c r="S32731" s="11"/>
      <c r="T32731" s="11"/>
    </row>
    <row r="32732" spans="8:20" x14ac:dyDescent="0.35">
      <c r="H32732" s="711"/>
      <c r="I32732" s="711"/>
      <c r="J32732" s="711"/>
      <c r="K32732" s="711"/>
      <c r="L32732" s="711"/>
      <c r="Q32732" s="11"/>
      <c r="R32732" s="11"/>
      <c r="S32732" s="11"/>
      <c r="T32732" s="11"/>
    </row>
    <row r="32733" spans="8:20" x14ac:dyDescent="0.35">
      <c r="H32733" s="711"/>
      <c r="I32733" s="711"/>
      <c r="J32733" s="711"/>
      <c r="K32733" s="711"/>
      <c r="L32733" s="711"/>
      <c r="Q32733" s="11"/>
      <c r="R32733" s="11"/>
      <c r="S32733" s="11"/>
      <c r="T32733" s="11"/>
    </row>
    <row r="32734" spans="8:20" x14ac:dyDescent="0.35">
      <c r="H32734" s="711"/>
      <c r="I32734" s="711"/>
      <c r="J32734" s="711"/>
      <c r="K32734" s="711"/>
      <c r="L32734" s="711"/>
      <c r="Q32734" s="11"/>
      <c r="R32734" s="11"/>
      <c r="S32734" s="11"/>
      <c r="T32734" s="11"/>
    </row>
    <row r="32735" spans="8:20" x14ac:dyDescent="0.35">
      <c r="H32735" s="711"/>
      <c r="I32735" s="711"/>
      <c r="J32735" s="711"/>
      <c r="K32735" s="711"/>
      <c r="L32735" s="711"/>
      <c r="Q32735" s="11"/>
      <c r="R32735" s="11"/>
      <c r="S32735" s="11"/>
      <c r="T32735" s="11"/>
    </row>
    <row r="32736" spans="8:20" x14ac:dyDescent="0.35">
      <c r="H32736" s="711"/>
      <c r="I32736" s="711"/>
      <c r="J32736" s="711"/>
      <c r="K32736" s="711"/>
      <c r="L32736" s="711"/>
      <c r="Q32736" s="11"/>
      <c r="R32736" s="11"/>
      <c r="S32736" s="11"/>
      <c r="T32736" s="11"/>
    </row>
    <row r="32737" spans="8:20" x14ac:dyDescent="0.35">
      <c r="H32737" s="711"/>
      <c r="I32737" s="711"/>
      <c r="J32737" s="711"/>
      <c r="K32737" s="711"/>
      <c r="L32737" s="711"/>
      <c r="Q32737" s="11"/>
      <c r="R32737" s="11"/>
      <c r="S32737" s="11"/>
      <c r="T32737" s="11"/>
    </row>
    <row r="32738" spans="8:20" x14ac:dyDescent="0.35">
      <c r="H32738" s="711"/>
      <c r="I32738" s="711"/>
      <c r="J32738" s="711"/>
      <c r="K32738" s="711"/>
      <c r="L32738" s="711"/>
      <c r="Q32738" s="11"/>
      <c r="R32738" s="11"/>
      <c r="S32738" s="11"/>
      <c r="T32738" s="11"/>
    </row>
    <row r="32739" spans="8:20" x14ac:dyDescent="0.35">
      <c r="H32739" s="711"/>
      <c r="I32739" s="711"/>
      <c r="J32739" s="711"/>
      <c r="K32739" s="711"/>
      <c r="L32739" s="711"/>
      <c r="Q32739" s="11"/>
      <c r="R32739" s="11"/>
      <c r="S32739" s="11"/>
      <c r="T32739" s="11"/>
    </row>
    <row r="32740" spans="8:20" x14ac:dyDescent="0.35">
      <c r="H32740" s="711"/>
      <c r="I32740" s="711"/>
      <c r="J32740" s="711"/>
      <c r="K32740" s="711"/>
      <c r="L32740" s="711"/>
      <c r="Q32740" s="11"/>
      <c r="R32740" s="11"/>
      <c r="S32740" s="11"/>
      <c r="T32740" s="11"/>
    </row>
    <row r="32741" spans="8:20" x14ac:dyDescent="0.35">
      <c r="H32741" s="711"/>
      <c r="I32741" s="711"/>
      <c r="J32741" s="711"/>
      <c r="K32741" s="711"/>
      <c r="L32741" s="711"/>
      <c r="Q32741" s="11"/>
      <c r="R32741" s="11"/>
      <c r="S32741" s="11"/>
      <c r="T32741" s="11"/>
    </row>
    <row r="32742" spans="8:20" x14ac:dyDescent="0.35">
      <c r="H32742" s="711"/>
      <c r="I32742" s="711"/>
      <c r="J32742" s="711"/>
      <c r="K32742" s="711"/>
      <c r="L32742" s="711"/>
      <c r="Q32742" s="11"/>
      <c r="R32742" s="11"/>
      <c r="S32742" s="11"/>
      <c r="T32742" s="11"/>
    </row>
    <row r="32743" spans="8:20" x14ac:dyDescent="0.35">
      <c r="H32743" s="711"/>
      <c r="I32743" s="711"/>
      <c r="J32743" s="711"/>
      <c r="K32743" s="711"/>
      <c r="L32743" s="711"/>
      <c r="Q32743" s="11"/>
      <c r="R32743" s="11"/>
      <c r="S32743" s="11"/>
      <c r="T32743" s="11"/>
    </row>
    <row r="32744" spans="8:20" x14ac:dyDescent="0.35">
      <c r="H32744" s="711"/>
      <c r="I32744" s="711"/>
      <c r="J32744" s="711"/>
      <c r="K32744" s="711"/>
      <c r="L32744" s="711"/>
      <c r="Q32744" s="11"/>
      <c r="R32744" s="11"/>
      <c r="S32744" s="11"/>
      <c r="T32744" s="11"/>
    </row>
    <row r="32745" spans="8:20" x14ac:dyDescent="0.35">
      <c r="H32745" s="711"/>
      <c r="I32745" s="711"/>
      <c r="J32745" s="711"/>
      <c r="K32745" s="711"/>
      <c r="L32745" s="711"/>
      <c r="Q32745" s="11"/>
      <c r="R32745" s="11"/>
      <c r="S32745" s="11"/>
      <c r="T32745" s="11"/>
    </row>
    <row r="32746" spans="8:20" x14ac:dyDescent="0.35">
      <c r="H32746" s="711"/>
      <c r="I32746" s="711"/>
      <c r="J32746" s="711"/>
      <c r="K32746" s="711"/>
      <c r="L32746" s="711"/>
      <c r="Q32746" s="11"/>
      <c r="R32746" s="11"/>
      <c r="S32746" s="11"/>
      <c r="T32746" s="11"/>
    </row>
    <row r="32747" spans="8:20" x14ac:dyDescent="0.35">
      <c r="H32747" s="711"/>
      <c r="I32747" s="711"/>
      <c r="J32747" s="711"/>
      <c r="K32747" s="711"/>
      <c r="L32747" s="711"/>
      <c r="Q32747" s="11"/>
      <c r="R32747" s="11"/>
      <c r="S32747" s="11"/>
      <c r="T32747" s="11"/>
    </row>
    <row r="32748" spans="8:20" x14ac:dyDescent="0.35">
      <c r="H32748" s="711"/>
      <c r="I32748" s="711"/>
      <c r="J32748" s="711"/>
      <c r="K32748" s="711"/>
      <c r="L32748" s="711"/>
      <c r="Q32748" s="11"/>
      <c r="R32748" s="11"/>
      <c r="S32748" s="11"/>
      <c r="T32748" s="11"/>
    </row>
    <row r="32749" spans="8:20" x14ac:dyDescent="0.35">
      <c r="H32749" s="711"/>
      <c r="I32749" s="711"/>
      <c r="J32749" s="711"/>
      <c r="K32749" s="711"/>
      <c r="L32749" s="711"/>
      <c r="Q32749" s="11"/>
      <c r="R32749" s="11"/>
      <c r="S32749" s="11"/>
      <c r="T32749" s="11"/>
    </row>
    <row r="32750" spans="8:20" x14ac:dyDescent="0.35">
      <c r="H32750" s="711"/>
      <c r="I32750" s="711"/>
      <c r="J32750" s="711"/>
      <c r="K32750" s="711"/>
      <c r="L32750" s="711"/>
      <c r="Q32750" s="11"/>
      <c r="R32750" s="11"/>
      <c r="S32750" s="11"/>
      <c r="T32750" s="11"/>
    </row>
    <row r="32751" spans="8:20" x14ac:dyDescent="0.35">
      <c r="H32751" s="711"/>
      <c r="I32751" s="711"/>
      <c r="J32751" s="711"/>
      <c r="K32751" s="711"/>
      <c r="L32751" s="711"/>
      <c r="Q32751" s="11"/>
      <c r="R32751" s="11"/>
      <c r="S32751" s="11"/>
      <c r="T32751" s="11"/>
    </row>
    <row r="32752" spans="8:20" x14ac:dyDescent="0.35">
      <c r="H32752" s="711"/>
      <c r="I32752" s="711"/>
      <c r="J32752" s="711"/>
      <c r="K32752" s="711"/>
      <c r="L32752" s="711"/>
      <c r="Q32752" s="11"/>
      <c r="R32752" s="11"/>
      <c r="S32752" s="11"/>
      <c r="T32752" s="11"/>
    </row>
    <row r="32753" spans="8:20" x14ac:dyDescent="0.35">
      <c r="H32753" s="711"/>
      <c r="I32753" s="711"/>
      <c r="J32753" s="711"/>
      <c r="K32753" s="711"/>
      <c r="L32753" s="711"/>
      <c r="Q32753" s="11"/>
      <c r="R32753" s="11"/>
      <c r="S32753" s="11"/>
      <c r="T32753" s="11"/>
    </row>
    <row r="32754" spans="8:20" x14ac:dyDescent="0.35">
      <c r="H32754" s="711"/>
      <c r="I32754" s="711"/>
      <c r="J32754" s="711"/>
      <c r="K32754" s="711"/>
      <c r="L32754" s="711"/>
      <c r="Q32754" s="11"/>
      <c r="R32754" s="11"/>
      <c r="S32754" s="11"/>
      <c r="T32754" s="11"/>
    </row>
    <row r="32755" spans="8:20" x14ac:dyDescent="0.35">
      <c r="H32755" s="711"/>
      <c r="I32755" s="711"/>
      <c r="J32755" s="711"/>
      <c r="K32755" s="711"/>
      <c r="L32755" s="711"/>
      <c r="Q32755" s="11"/>
      <c r="R32755" s="11"/>
      <c r="S32755" s="11"/>
      <c r="T32755" s="11"/>
    </row>
    <row r="32756" spans="8:20" x14ac:dyDescent="0.35">
      <c r="H32756" s="711"/>
      <c r="I32756" s="711"/>
      <c r="J32756" s="711"/>
      <c r="K32756" s="711"/>
      <c r="L32756" s="711"/>
      <c r="Q32756" s="11"/>
      <c r="R32756" s="11"/>
      <c r="S32756" s="11"/>
      <c r="T32756" s="11"/>
    </row>
    <row r="32757" spans="8:20" x14ac:dyDescent="0.35">
      <c r="H32757" s="711"/>
      <c r="I32757" s="711"/>
      <c r="J32757" s="711"/>
      <c r="K32757" s="711"/>
      <c r="L32757" s="711"/>
      <c r="Q32757" s="11"/>
      <c r="R32757" s="11"/>
      <c r="S32757" s="11"/>
      <c r="T32757" s="11"/>
    </row>
    <row r="32758" spans="8:20" x14ac:dyDescent="0.35">
      <c r="H32758" s="711"/>
      <c r="I32758" s="711"/>
      <c r="J32758" s="711"/>
      <c r="K32758" s="711"/>
      <c r="L32758" s="711"/>
      <c r="Q32758" s="11"/>
      <c r="R32758" s="11"/>
      <c r="S32758" s="11"/>
      <c r="T32758" s="11"/>
    </row>
    <row r="32759" spans="8:20" x14ac:dyDescent="0.35">
      <c r="H32759" s="711"/>
      <c r="I32759" s="711"/>
      <c r="J32759" s="711"/>
      <c r="K32759" s="711"/>
      <c r="L32759" s="711"/>
      <c r="Q32759" s="11"/>
      <c r="R32759" s="11"/>
      <c r="S32759" s="11"/>
      <c r="T32759" s="11"/>
    </row>
    <row r="32760" spans="8:20" x14ac:dyDescent="0.35">
      <c r="H32760" s="711"/>
      <c r="I32760" s="711"/>
      <c r="J32760" s="711"/>
      <c r="K32760" s="711"/>
      <c r="L32760" s="711"/>
      <c r="Q32760" s="11"/>
      <c r="R32760" s="11"/>
      <c r="S32760" s="11"/>
      <c r="T32760" s="11"/>
    </row>
    <row r="32761" spans="8:20" x14ac:dyDescent="0.35">
      <c r="H32761" s="711"/>
      <c r="I32761" s="711"/>
      <c r="J32761" s="711"/>
      <c r="K32761" s="711"/>
      <c r="L32761" s="711"/>
      <c r="Q32761" s="11"/>
      <c r="R32761" s="11"/>
      <c r="S32761" s="11"/>
      <c r="T32761" s="11"/>
    </row>
    <row r="32762" spans="8:20" x14ac:dyDescent="0.35">
      <c r="H32762" s="711"/>
      <c r="I32762" s="711"/>
      <c r="J32762" s="711"/>
      <c r="K32762" s="711"/>
      <c r="L32762" s="711"/>
      <c r="Q32762" s="11"/>
      <c r="R32762" s="11"/>
      <c r="S32762" s="11"/>
      <c r="T32762" s="11"/>
    </row>
    <row r="32763" spans="8:20" x14ac:dyDescent="0.35">
      <c r="H32763" s="711"/>
      <c r="I32763" s="711"/>
      <c r="J32763" s="711"/>
      <c r="K32763" s="711"/>
      <c r="L32763" s="711"/>
      <c r="Q32763" s="11"/>
      <c r="R32763" s="11"/>
      <c r="S32763" s="11"/>
      <c r="T32763" s="11"/>
    </row>
    <row r="32764" spans="8:20" x14ac:dyDescent="0.35">
      <c r="H32764" s="711"/>
      <c r="I32764" s="711"/>
      <c r="J32764" s="711"/>
      <c r="K32764" s="711"/>
      <c r="L32764" s="711"/>
      <c r="Q32764" s="11"/>
      <c r="R32764" s="11"/>
      <c r="S32764" s="11"/>
      <c r="T32764" s="11"/>
    </row>
    <row r="32765" spans="8:20" x14ac:dyDescent="0.35">
      <c r="H32765" s="711"/>
      <c r="I32765" s="711"/>
      <c r="J32765" s="711"/>
      <c r="K32765" s="711"/>
      <c r="L32765" s="711"/>
      <c r="Q32765" s="11"/>
      <c r="R32765" s="11"/>
      <c r="S32765" s="11"/>
      <c r="T32765" s="11"/>
    </row>
    <row r="32766" spans="8:20" x14ac:dyDescent="0.35">
      <c r="H32766" s="711"/>
      <c r="I32766" s="711"/>
      <c r="J32766" s="711"/>
      <c r="K32766" s="711"/>
      <c r="L32766" s="711"/>
      <c r="Q32766" s="11"/>
      <c r="R32766" s="11"/>
      <c r="S32766" s="11"/>
      <c r="T32766" s="11"/>
    </row>
    <row r="32767" spans="8:20" x14ac:dyDescent="0.35">
      <c r="H32767" s="711"/>
      <c r="I32767" s="711"/>
      <c r="J32767" s="711"/>
      <c r="K32767" s="711"/>
      <c r="L32767" s="711"/>
      <c r="Q32767" s="11"/>
      <c r="R32767" s="11"/>
      <c r="S32767" s="11"/>
      <c r="T32767" s="11"/>
    </row>
    <row r="32768" spans="8:20" x14ac:dyDescent="0.35">
      <c r="H32768" s="711"/>
      <c r="I32768" s="711"/>
      <c r="J32768" s="711"/>
      <c r="K32768" s="711"/>
      <c r="L32768" s="711"/>
      <c r="Q32768" s="11"/>
      <c r="R32768" s="11"/>
      <c r="S32768" s="11"/>
      <c r="T32768" s="11"/>
    </row>
    <row r="32769" spans="8:20" x14ac:dyDescent="0.35">
      <c r="H32769" s="711"/>
      <c r="I32769" s="711"/>
      <c r="J32769" s="711"/>
      <c r="K32769" s="711"/>
      <c r="L32769" s="711"/>
      <c r="Q32769" s="11"/>
      <c r="R32769" s="11"/>
      <c r="S32769" s="11"/>
      <c r="T32769" s="11"/>
    </row>
    <row r="32770" spans="8:20" x14ac:dyDescent="0.35">
      <c r="H32770" s="711"/>
      <c r="I32770" s="711"/>
      <c r="J32770" s="711"/>
      <c r="K32770" s="711"/>
      <c r="L32770" s="711"/>
      <c r="Q32770" s="11"/>
      <c r="R32770" s="11"/>
      <c r="S32770" s="11"/>
      <c r="T32770" s="11"/>
    </row>
    <row r="32771" spans="8:20" x14ac:dyDescent="0.35">
      <c r="H32771" s="711"/>
      <c r="I32771" s="711"/>
      <c r="J32771" s="711"/>
      <c r="K32771" s="711"/>
      <c r="L32771" s="711"/>
      <c r="Q32771" s="11"/>
      <c r="R32771" s="11"/>
      <c r="S32771" s="11"/>
      <c r="T32771" s="11"/>
    </row>
    <row r="32772" spans="8:20" x14ac:dyDescent="0.35">
      <c r="H32772" s="711"/>
      <c r="I32772" s="711"/>
      <c r="J32772" s="711"/>
      <c r="K32772" s="711"/>
      <c r="L32772" s="711"/>
      <c r="Q32772" s="11"/>
      <c r="R32772" s="11"/>
      <c r="S32772" s="11"/>
      <c r="T32772" s="11"/>
    </row>
    <row r="32773" spans="8:20" x14ac:dyDescent="0.35">
      <c r="H32773" s="711"/>
      <c r="I32773" s="711"/>
      <c r="J32773" s="711"/>
      <c r="K32773" s="711"/>
      <c r="L32773" s="711"/>
      <c r="Q32773" s="11"/>
      <c r="R32773" s="11"/>
      <c r="S32773" s="11"/>
      <c r="T32773" s="11"/>
    </row>
    <row r="32774" spans="8:20" x14ac:dyDescent="0.35">
      <c r="H32774" s="711"/>
      <c r="I32774" s="711"/>
      <c r="J32774" s="711"/>
      <c r="K32774" s="711"/>
      <c r="L32774" s="711"/>
      <c r="Q32774" s="11"/>
      <c r="R32774" s="11"/>
      <c r="S32774" s="11"/>
      <c r="T32774" s="11"/>
    </row>
    <row r="32775" spans="8:20" x14ac:dyDescent="0.35">
      <c r="H32775" s="711"/>
      <c r="I32775" s="711"/>
      <c r="J32775" s="711"/>
      <c r="K32775" s="711"/>
      <c r="L32775" s="711"/>
      <c r="Q32775" s="11"/>
      <c r="R32775" s="11"/>
      <c r="S32775" s="11"/>
      <c r="T32775" s="11"/>
    </row>
    <row r="32776" spans="8:20" x14ac:dyDescent="0.35">
      <c r="H32776" s="711"/>
      <c r="I32776" s="711"/>
      <c r="J32776" s="711"/>
      <c r="K32776" s="711"/>
      <c r="L32776" s="711"/>
      <c r="Q32776" s="11"/>
      <c r="R32776" s="11"/>
      <c r="S32776" s="11"/>
      <c r="T32776" s="11"/>
    </row>
    <row r="32777" spans="8:20" x14ac:dyDescent="0.35">
      <c r="H32777" s="711"/>
      <c r="I32777" s="711"/>
      <c r="J32777" s="711"/>
      <c r="K32777" s="711"/>
      <c r="L32777" s="711"/>
      <c r="Q32777" s="11"/>
      <c r="R32777" s="11"/>
      <c r="S32777" s="11"/>
      <c r="T32777" s="11"/>
    </row>
    <row r="32778" spans="8:20" x14ac:dyDescent="0.35">
      <c r="H32778" s="711"/>
      <c r="I32778" s="711"/>
      <c r="J32778" s="711"/>
      <c r="K32778" s="711"/>
      <c r="L32778" s="711"/>
      <c r="Q32778" s="11"/>
      <c r="R32778" s="11"/>
      <c r="S32778" s="11"/>
      <c r="T32778" s="11"/>
    </row>
    <row r="32779" spans="8:20" x14ac:dyDescent="0.35">
      <c r="H32779" s="711"/>
      <c r="I32779" s="711"/>
      <c r="J32779" s="711"/>
      <c r="K32779" s="711"/>
      <c r="L32779" s="711"/>
      <c r="Q32779" s="11"/>
      <c r="R32779" s="11"/>
      <c r="S32779" s="11"/>
      <c r="T32779" s="11"/>
    </row>
    <row r="32780" spans="8:20" x14ac:dyDescent="0.35">
      <c r="H32780" s="711"/>
      <c r="I32780" s="711"/>
      <c r="J32780" s="711"/>
      <c r="K32780" s="711"/>
      <c r="L32780" s="711"/>
      <c r="Q32780" s="11"/>
      <c r="R32780" s="11"/>
      <c r="S32780" s="11"/>
      <c r="T32780" s="11"/>
    </row>
    <row r="32781" spans="8:20" x14ac:dyDescent="0.35">
      <c r="H32781" s="711"/>
      <c r="I32781" s="711"/>
      <c r="J32781" s="711"/>
      <c r="K32781" s="711"/>
      <c r="L32781" s="711"/>
      <c r="Q32781" s="11"/>
      <c r="R32781" s="11"/>
      <c r="S32781" s="11"/>
      <c r="T32781" s="11"/>
    </row>
    <row r="32782" spans="8:20" x14ac:dyDescent="0.35">
      <c r="H32782" s="711"/>
      <c r="I32782" s="711"/>
      <c r="J32782" s="711"/>
      <c r="K32782" s="711"/>
      <c r="L32782" s="711"/>
      <c r="Q32782" s="11"/>
      <c r="R32782" s="11"/>
      <c r="S32782" s="11"/>
      <c r="T32782" s="11"/>
    </row>
    <row r="32783" spans="8:20" x14ac:dyDescent="0.35">
      <c r="H32783" s="711"/>
      <c r="I32783" s="711"/>
      <c r="J32783" s="711"/>
      <c r="K32783" s="711"/>
      <c r="L32783" s="711"/>
      <c r="Q32783" s="11"/>
      <c r="R32783" s="11"/>
      <c r="S32783" s="11"/>
      <c r="T32783" s="11"/>
    </row>
    <row r="32784" spans="8:20" x14ac:dyDescent="0.35">
      <c r="H32784" s="711"/>
      <c r="I32784" s="711"/>
      <c r="J32784" s="711"/>
      <c r="K32784" s="711"/>
      <c r="L32784" s="711"/>
      <c r="Q32784" s="11"/>
      <c r="R32784" s="11"/>
      <c r="S32784" s="11"/>
      <c r="T32784" s="11"/>
    </row>
    <row r="32785" spans="8:20" x14ac:dyDescent="0.35">
      <c r="H32785" s="711"/>
      <c r="I32785" s="711"/>
      <c r="J32785" s="711"/>
      <c r="K32785" s="711"/>
      <c r="L32785" s="711"/>
      <c r="Q32785" s="11"/>
      <c r="R32785" s="11"/>
      <c r="S32785" s="11"/>
      <c r="T32785" s="11"/>
    </row>
    <row r="32786" spans="8:20" x14ac:dyDescent="0.35">
      <c r="H32786" s="711"/>
      <c r="I32786" s="711"/>
      <c r="J32786" s="711"/>
      <c r="K32786" s="711"/>
      <c r="L32786" s="711"/>
      <c r="Q32786" s="11"/>
      <c r="R32786" s="11"/>
      <c r="S32786" s="11"/>
      <c r="T32786" s="11"/>
    </row>
    <row r="32787" spans="8:20" x14ac:dyDescent="0.35">
      <c r="H32787" s="711"/>
      <c r="I32787" s="711"/>
      <c r="J32787" s="711"/>
      <c r="K32787" s="711"/>
      <c r="L32787" s="711"/>
      <c r="Q32787" s="11"/>
      <c r="R32787" s="11"/>
      <c r="S32787" s="11"/>
      <c r="T32787" s="11"/>
    </row>
    <row r="32788" spans="8:20" x14ac:dyDescent="0.35">
      <c r="H32788" s="711"/>
      <c r="I32788" s="711"/>
      <c r="J32788" s="711"/>
      <c r="K32788" s="711"/>
      <c r="L32788" s="711"/>
      <c r="Q32788" s="11"/>
      <c r="R32788" s="11"/>
      <c r="S32788" s="11"/>
      <c r="T32788" s="11"/>
    </row>
    <row r="32789" spans="8:20" x14ac:dyDescent="0.35">
      <c r="H32789" s="711"/>
      <c r="I32789" s="711"/>
      <c r="J32789" s="711"/>
      <c r="K32789" s="711"/>
      <c r="L32789" s="711"/>
      <c r="Q32789" s="11"/>
      <c r="R32789" s="11"/>
      <c r="S32789" s="11"/>
      <c r="T32789" s="11"/>
    </row>
    <row r="32790" spans="8:20" x14ac:dyDescent="0.35">
      <c r="H32790" s="711"/>
      <c r="I32790" s="711"/>
      <c r="J32790" s="711"/>
      <c r="K32790" s="711"/>
      <c r="L32790" s="711"/>
      <c r="Q32790" s="11"/>
      <c r="R32790" s="11"/>
      <c r="S32790" s="11"/>
      <c r="T32790" s="11"/>
    </row>
    <row r="32791" spans="8:20" x14ac:dyDescent="0.35">
      <c r="H32791" s="711"/>
      <c r="I32791" s="711"/>
      <c r="J32791" s="711"/>
      <c r="K32791" s="711"/>
      <c r="L32791" s="711"/>
      <c r="Q32791" s="11"/>
      <c r="R32791" s="11"/>
      <c r="S32791" s="11"/>
      <c r="T32791" s="11"/>
    </row>
    <row r="32792" spans="8:20" x14ac:dyDescent="0.35">
      <c r="H32792" s="711"/>
      <c r="I32792" s="711"/>
      <c r="J32792" s="711"/>
      <c r="K32792" s="711"/>
      <c r="L32792" s="711"/>
      <c r="Q32792" s="11"/>
      <c r="R32792" s="11"/>
      <c r="S32792" s="11"/>
      <c r="T32792" s="11"/>
    </row>
    <row r="32793" spans="8:20" x14ac:dyDescent="0.35">
      <c r="H32793" s="711"/>
      <c r="I32793" s="711"/>
      <c r="J32793" s="711"/>
      <c r="K32793" s="711"/>
      <c r="L32793" s="711"/>
      <c r="Q32793" s="11"/>
      <c r="R32793" s="11"/>
      <c r="S32793" s="11"/>
      <c r="T32793" s="11"/>
    </row>
    <row r="32794" spans="8:20" x14ac:dyDescent="0.35">
      <c r="H32794" s="711"/>
      <c r="I32794" s="711"/>
      <c r="J32794" s="711"/>
      <c r="K32794" s="711"/>
      <c r="L32794" s="711"/>
      <c r="Q32794" s="11"/>
      <c r="R32794" s="11"/>
      <c r="S32794" s="11"/>
      <c r="T32794" s="11"/>
    </row>
    <row r="32795" spans="8:20" x14ac:dyDescent="0.35">
      <c r="H32795" s="711"/>
      <c r="I32795" s="711"/>
      <c r="J32795" s="711"/>
      <c r="K32795" s="711"/>
      <c r="L32795" s="711"/>
      <c r="Q32795" s="11"/>
      <c r="R32795" s="11"/>
      <c r="S32795" s="11"/>
      <c r="T32795" s="11"/>
    </row>
    <row r="32796" spans="8:20" x14ac:dyDescent="0.35">
      <c r="H32796" s="711"/>
      <c r="I32796" s="711"/>
      <c r="J32796" s="711"/>
      <c r="K32796" s="711"/>
      <c r="L32796" s="711"/>
      <c r="Q32796" s="11"/>
      <c r="R32796" s="11"/>
      <c r="S32796" s="11"/>
      <c r="T32796" s="11"/>
    </row>
    <row r="32797" spans="8:20" x14ac:dyDescent="0.35">
      <c r="H32797" s="711"/>
      <c r="I32797" s="711"/>
      <c r="J32797" s="711"/>
      <c r="K32797" s="711"/>
      <c r="L32797" s="711"/>
      <c r="Q32797" s="11"/>
      <c r="R32797" s="11"/>
      <c r="S32797" s="11"/>
      <c r="T32797" s="11"/>
    </row>
    <row r="32798" spans="8:20" x14ac:dyDescent="0.35">
      <c r="H32798" s="711"/>
      <c r="I32798" s="711"/>
      <c r="J32798" s="711"/>
      <c r="K32798" s="711"/>
      <c r="L32798" s="711"/>
      <c r="Q32798" s="11"/>
      <c r="R32798" s="11"/>
      <c r="S32798" s="11"/>
      <c r="T32798" s="11"/>
    </row>
    <row r="32799" spans="8:20" x14ac:dyDescent="0.35">
      <c r="H32799" s="711"/>
      <c r="I32799" s="711"/>
      <c r="J32799" s="711"/>
      <c r="K32799" s="711"/>
      <c r="L32799" s="711"/>
      <c r="Q32799" s="11"/>
      <c r="R32799" s="11"/>
      <c r="S32799" s="11"/>
      <c r="T32799" s="11"/>
    </row>
    <row r="32800" spans="8:20" x14ac:dyDescent="0.35">
      <c r="H32800" s="711"/>
      <c r="I32800" s="711"/>
      <c r="J32800" s="711"/>
      <c r="K32800" s="711"/>
      <c r="L32800" s="711"/>
      <c r="Q32800" s="11"/>
      <c r="R32800" s="11"/>
      <c r="S32800" s="11"/>
      <c r="T32800" s="11"/>
    </row>
    <row r="32801" spans="8:20" x14ac:dyDescent="0.35">
      <c r="H32801" s="711"/>
      <c r="I32801" s="711"/>
      <c r="J32801" s="711"/>
      <c r="K32801" s="711"/>
      <c r="L32801" s="711"/>
      <c r="Q32801" s="11"/>
      <c r="R32801" s="11"/>
      <c r="S32801" s="11"/>
      <c r="T32801" s="11"/>
    </row>
    <row r="32802" spans="8:20" x14ac:dyDescent="0.35">
      <c r="H32802" s="711"/>
      <c r="I32802" s="711"/>
      <c r="J32802" s="711"/>
      <c r="K32802" s="711"/>
      <c r="L32802" s="711"/>
      <c r="Q32802" s="11"/>
      <c r="R32802" s="11"/>
      <c r="S32802" s="11"/>
      <c r="T32802" s="11"/>
    </row>
    <row r="32803" spans="8:20" x14ac:dyDescent="0.35">
      <c r="H32803" s="711"/>
      <c r="I32803" s="711"/>
      <c r="J32803" s="711"/>
      <c r="K32803" s="711"/>
      <c r="L32803" s="711"/>
      <c r="Q32803" s="11"/>
      <c r="R32803" s="11"/>
      <c r="S32803" s="11"/>
      <c r="T32803" s="11"/>
    </row>
    <row r="32804" spans="8:20" x14ac:dyDescent="0.35">
      <c r="H32804" s="711"/>
      <c r="I32804" s="711"/>
      <c r="J32804" s="711"/>
      <c r="K32804" s="711"/>
      <c r="L32804" s="711"/>
      <c r="Q32804" s="11"/>
      <c r="R32804" s="11"/>
      <c r="S32804" s="11"/>
      <c r="T32804" s="11"/>
    </row>
    <row r="32805" spans="8:20" x14ac:dyDescent="0.35">
      <c r="H32805" s="711"/>
      <c r="I32805" s="711"/>
      <c r="J32805" s="711"/>
      <c r="K32805" s="711"/>
      <c r="L32805" s="711"/>
      <c r="Q32805" s="11"/>
      <c r="R32805" s="11"/>
      <c r="S32805" s="11"/>
      <c r="T32805" s="11"/>
    </row>
    <row r="32806" spans="8:20" x14ac:dyDescent="0.35">
      <c r="H32806" s="711"/>
      <c r="I32806" s="711"/>
      <c r="J32806" s="711"/>
      <c r="K32806" s="711"/>
      <c r="L32806" s="711"/>
      <c r="Q32806" s="11"/>
      <c r="R32806" s="11"/>
      <c r="S32806" s="11"/>
      <c r="T32806" s="11"/>
    </row>
    <row r="32807" spans="8:20" x14ac:dyDescent="0.35">
      <c r="H32807" s="711"/>
      <c r="I32807" s="711"/>
      <c r="J32807" s="711"/>
      <c r="K32807" s="711"/>
      <c r="L32807" s="711"/>
      <c r="Q32807" s="11"/>
      <c r="R32807" s="11"/>
      <c r="S32807" s="11"/>
      <c r="T32807" s="11"/>
    </row>
    <row r="32808" spans="8:20" x14ac:dyDescent="0.35">
      <c r="H32808" s="711"/>
      <c r="I32808" s="711"/>
      <c r="J32808" s="711"/>
      <c r="K32808" s="711"/>
      <c r="L32808" s="711"/>
      <c r="Q32808" s="11"/>
      <c r="R32808" s="11"/>
      <c r="S32808" s="11"/>
      <c r="T32808" s="11"/>
    </row>
    <row r="32809" spans="8:20" x14ac:dyDescent="0.35">
      <c r="H32809" s="711"/>
      <c r="I32809" s="711"/>
      <c r="J32809" s="711"/>
      <c r="K32809" s="711"/>
      <c r="L32809" s="711"/>
      <c r="Q32809" s="11"/>
      <c r="R32809" s="11"/>
      <c r="S32809" s="11"/>
      <c r="T32809" s="11"/>
    </row>
    <row r="32810" spans="8:20" x14ac:dyDescent="0.35">
      <c r="H32810" s="711"/>
      <c r="I32810" s="711"/>
      <c r="J32810" s="711"/>
      <c r="K32810" s="711"/>
      <c r="L32810" s="711"/>
      <c r="Q32810" s="11"/>
      <c r="R32810" s="11"/>
      <c r="S32810" s="11"/>
      <c r="T32810" s="11"/>
    </row>
    <row r="32811" spans="8:20" x14ac:dyDescent="0.35">
      <c r="H32811" s="711"/>
      <c r="I32811" s="711"/>
      <c r="J32811" s="711"/>
      <c r="K32811" s="711"/>
      <c r="L32811" s="711"/>
      <c r="Q32811" s="11"/>
      <c r="R32811" s="11"/>
      <c r="S32811" s="11"/>
      <c r="T32811" s="11"/>
    </row>
    <row r="32812" spans="8:20" x14ac:dyDescent="0.35">
      <c r="H32812" s="711"/>
      <c r="I32812" s="711"/>
      <c r="J32812" s="711"/>
      <c r="K32812" s="711"/>
      <c r="L32812" s="711"/>
      <c r="Q32812" s="11"/>
      <c r="R32812" s="11"/>
      <c r="S32812" s="11"/>
      <c r="T32812" s="11"/>
    </row>
    <row r="32813" spans="8:20" x14ac:dyDescent="0.35">
      <c r="H32813" s="711"/>
      <c r="I32813" s="711"/>
      <c r="J32813" s="711"/>
      <c r="K32813" s="711"/>
      <c r="L32813" s="711"/>
      <c r="Q32813" s="11"/>
      <c r="R32813" s="11"/>
      <c r="S32813" s="11"/>
      <c r="T32813" s="11"/>
    </row>
    <row r="32814" spans="8:20" x14ac:dyDescent="0.35">
      <c r="H32814" s="711"/>
      <c r="I32814" s="711"/>
      <c r="J32814" s="711"/>
      <c r="K32814" s="711"/>
      <c r="L32814" s="711"/>
      <c r="Q32814" s="11"/>
      <c r="R32814" s="11"/>
      <c r="S32814" s="11"/>
      <c r="T32814" s="11"/>
    </row>
    <row r="32815" spans="8:20" x14ac:dyDescent="0.35">
      <c r="H32815" s="711"/>
      <c r="I32815" s="711"/>
      <c r="J32815" s="711"/>
      <c r="K32815" s="711"/>
      <c r="L32815" s="711"/>
      <c r="Q32815" s="11"/>
      <c r="R32815" s="11"/>
      <c r="S32815" s="11"/>
      <c r="T32815" s="11"/>
    </row>
    <row r="32816" spans="8:20" x14ac:dyDescent="0.35">
      <c r="H32816" s="711"/>
      <c r="I32816" s="711"/>
      <c r="J32816" s="711"/>
      <c r="K32816" s="711"/>
      <c r="L32816" s="711"/>
      <c r="Q32816" s="11"/>
      <c r="R32816" s="11"/>
      <c r="S32816" s="11"/>
      <c r="T32816" s="11"/>
    </row>
    <row r="32817" spans="8:20" x14ac:dyDescent="0.35">
      <c r="H32817" s="711"/>
      <c r="I32817" s="711"/>
      <c r="J32817" s="711"/>
      <c r="K32817" s="711"/>
      <c r="L32817" s="711"/>
      <c r="Q32817" s="11"/>
      <c r="R32817" s="11"/>
      <c r="S32817" s="11"/>
      <c r="T32817" s="11"/>
    </row>
    <row r="32818" spans="8:20" x14ac:dyDescent="0.35">
      <c r="H32818" s="711"/>
      <c r="I32818" s="711"/>
      <c r="J32818" s="711"/>
      <c r="K32818" s="711"/>
      <c r="L32818" s="711"/>
      <c r="Q32818" s="11"/>
      <c r="R32818" s="11"/>
      <c r="S32818" s="11"/>
      <c r="T32818" s="11"/>
    </row>
    <row r="32819" spans="8:20" x14ac:dyDescent="0.35">
      <c r="H32819" s="711"/>
      <c r="I32819" s="711"/>
      <c r="J32819" s="711"/>
      <c r="K32819" s="711"/>
      <c r="L32819" s="711"/>
      <c r="Q32819" s="11"/>
      <c r="R32819" s="11"/>
      <c r="S32819" s="11"/>
      <c r="T32819" s="11"/>
    </row>
    <row r="32820" spans="8:20" x14ac:dyDescent="0.35">
      <c r="H32820" s="711"/>
      <c r="I32820" s="711"/>
      <c r="J32820" s="711"/>
      <c r="K32820" s="711"/>
      <c r="L32820" s="711"/>
      <c r="Q32820" s="11"/>
      <c r="R32820" s="11"/>
      <c r="S32820" s="11"/>
      <c r="T32820" s="11"/>
    </row>
    <row r="32821" spans="8:20" x14ac:dyDescent="0.35">
      <c r="H32821" s="711"/>
      <c r="I32821" s="711"/>
      <c r="J32821" s="711"/>
      <c r="K32821" s="711"/>
      <c r="L32821" s="711"/>
      <c r="Q32821" s="11"/>
      <c r="R32821" s="11"/>
      <c r="S32821" s="11"/>
      <c r="T32821" s="11"/>
    </row>
    <row r="32822" spans="8:20" x14ac:dyDescent="0.35">
      <c r="H32822" s="711"/>
      <c r="I32822" s="711"/>
      <c r="J32822" s="711"/>
      <c r="K32822" s="711"/>
      <c r="L32822" s="711"/>
      <c r="Q32822" s="11"/>
      <c r="R32822" s="11"/>
      <c r="S32822" s="11"/>
      <c r="T32822" s="11"/>
    </row>
    <row r="32823" spans="8:20" x14ac:dyDescent="0.35">
      <c r="H32823" s="711"/>
      <c r="I32823" s="711"/>
      <c r="J32823" s="711"/>
      <c r="K32823" s="711"/>
      <c r="L32823" s="711"/>
      <c r="Q32823" s="11"/>
      <c r="R32823" s="11"/>
      <c r="S32823" s="11"/>
      <c r="T32823" s="11"/>
    </row>
    <row r="32824" spans="8:20" x14ac:dyDescent="0.35">
      <c r="H32824" s="711"/>
      <c r="I32824" s="711"/>
      <c r="J32824" s="711"/>
      <c r="K32824" s="711"/>
      <c r="L32824" s="711"/>
      <c r="Q32824" s="11"/>
      <c r="R32824" s="11"/>
      <c r="S32824" s="11"/>
      <c r="T32824" s="11"/>
    </row>
    <row r="32825" spans="8:20" x14ac:dyDescent="0.35">
      <c r="H32825" s="711"/>
      <c r="I32825" s="711"/>
      <c r="J32825" s="711"/>
      <c r="K32825" s="711"/>
      <c r="L32825" s="711"/>
      <c r="Q32825" s="11"/>
      <c r="R32825" s="11"/>
      <c r="S32825" s="11"/>
      <c r="T32825" s="11"/>
    </row>
    <row r="32826" spans="8:20" x14ac:dyDescent="0.35">
      <c r="H32826" s="711"/>
      <c r="I32826" s="711"/>
      <c r="J32826" s="711"/>
      <c r="K32826" s="711"/>
      <c r="L32826" s="711"/>
      <c r="Q32826" s="11"/>
      <c r="R32826" s="11"/>
      <c r="S32826" s="11"/>
      <c r="T32826" s="11"/>
    </row>
    <row r="32827" spans="8:20" x14ac:dyDescent="0.35">
      <c r="H32827" s="711"/>
      <c r="I32827" s="711"/>
      <c r="J32827" s="711"/>
      <c r="K32827" s="711"/>
      <c r="L32827" s="711"/>
      <c r="Q32827" s="11"/>
      <c r="R32827" s="11"/>
      <c r="S32827" s="11"/>
      <c r="T32827" s="11"/>
    </row>
    <row r="32828" spans="8:20" x14ac:dyDescent="0.35">
      <c r="H32828" s="711"/>
      <c r="I32828" s="711"/>
      <c r="J32828" s="711"/>
      <c r="K32828" s="711"/>
      <c r="L32828" s="711"/>
      <c r="Q32828" s="11"/>
      <c r="R32828" s="11"/>
      <c r="S32828" s="11"/>
      <c r="T32828" s="11"/>
    </row>
    <row r="32829" spans="8:20" x14ac:dyDescent="0.35">
      <c r="H32829" s="711"/>
      <c r="I32829" s="711"/>
      <c r="J32829" s="711"/>
      <c r="K32829" s="711"/>
      <c r="L32829" s="711"/>
      <c r="Q32829" s="11"/>
      <c r="R32829" s="11"/>
      <c r="S32829" s="11"/>
      <c r="T32829" s="11"/>
    </row>
    <row r="32830" spans="8:20" x14ac:dyDescent="0.35">
      <c r="H32830" s="711"/>
      <c r="I32830" s="711"/>
      <c r="J32830" s="711"/>
      <c r="K32830" s="711"/>
      <c r="L32830" s="711"/>
      <c r="Q32830" s="11"/>
      <c r="R32830" s="11"/>
      <c r="S32830" s="11"/>
      <c r="T32830" s="11"/>
    </row>
    <row r="32831" spans="8:20" x14ac:dyDescent="0.35">
      <c r="H32831" s="711"/>
      <c r="I32831" s="711"/>
      <c r="J32831" s="711"/>
      <c r="K32831" s="711"/>
      <c r="L32831" s="711"/>
      <c r="Q32831" s="11"/>
      <c r="R32831" s="11"/>
      <c r="S32831" s="11"/>
      <c r="T32831" s="11"/>
    </row>
    <row r="32832" spans="8:20" x14ac:dyDescent="0.35">
      <c r="H32832" s="711"/>
      <c r="I32832" s="711"/>
      <c r="J32832" s="711"/>
      <c r="K32832" s="711"/>
      <c r="L32832" s="711"/>
      <c r="Q32832" s="11"/>
      <c r="R32832" s="11"/>
      <c r="S32832" s="11"/>
      <c r="T32832" s="11"/>
    </row>
    <row r="32833" spans="8:20" x14ac:dyDescent="0.35">
      <c r="H32833" s="711"/>
      <c r="I32833" s="711"/>
      <c r="J32833" s="711"/>
      <c r="K32833" s="711"/>
      <c r="L32833" s="711"/>
      <c r="Q32833" s="11"/>
      <c r="R32833" s="11"/>
      <c r="S32833" s="11"/>
      <c r="T32833" s="11"/>
    </row>
    <row r="32834" spans="8:20" x14ac:dyDescent="0.35">
      <c r="H32834" s="711"/>
      <c r="I32834" s="711"/>
      <c r="J32834" s="711"/>
      <c r="K32834" s="711"/>
      <c r="L32834" s="711"/>
      <c r="Q32834" s="11"/>
      <c r="R32834" s="11"/>
      <c r="S32834" s="11"/>
      <c r="T32834" s="11"/>
    </row>
    <row r="32835" spans="8:20" x14ac:dyDescent="0.35">
      <c r="H32835" s="711"/>
      <c r="I32835" s="711"/>
      <c r="J32835" s="711"/>
      <c r="K32835" s="711"/>
      <c r="L32835" s="711"/>
      <c r="Q32835" s="11"/>
      <c r="R32835" s="11"/>
      <c r="S32835" s="11"/>
      <c r="T32835" s="11"/>
    </row>
    <row r="32836" spans="8:20" x14ac:dyDescent="0.35">
      <c r="H32836" s="711"/>
      <c r="I32836" s="711"/>
      <c r="J32836" s="711"/>
      <c r="K32836" s="711"/>
      <c r="L32836" s="711"/>
      <c r="Q32836" s="11"/>
      <c r="R32836" s="11"/>
      <c r="S32836" s="11"/>
      <c r="T32836" s="11"/>
    </row>
    <row r="32837" spans="8:20" x14ac:dyDescent="0.35">
      <c r="H32837" s="711"/>
      <c r="I32837" s="711"/>
      <c r="J32837" s="711"/>
      <c r="K32837" s="711"/>
      <c r="L32837" s="711"/>
      <c r="Q32837" s="11"/>
      <c r="R32837" s="11"/>
      <c r="S32837" s="11"/>
      <c r="T32837" s="11"/>
    </row>
    <row r="32838" spans="8:20" x14ac:dyDescent="0.35">
      <c r="H32838" s="711"/>
      <c r="I32838" s="711"/>
      <c r="J32838" s="711"/>
      <c r="K32838" s="711"/>
      <c r="L32838" s="711"/>
      <c r="Q32838" s="11"/>
      <c r="R32838" s="11"/>
      <c r="S32838" s="11"/>
      <c r="T32838" s="11"/>
    </row>
    <row r="32839" spans="8:20" x14ac:dyDescent="0.35">
      <c r="H32839" s="711"/>
      <c r="I32839" s="711"/>
      <c r="J32839" s="711"/>
      <c r="K32839" s="711"/>
      <c r="L32839" s="711"/>
      <c r="Q32839" s="11"/>
      <c r="R32839" s="11"/>
      <c r="S32839" s="11"/>
      <c r="T32839" s="11"/>
    </row>
    <row r="32840" spans="8:20" x14ac:dyDescent="0.35">
      <c r="H32840" s="711"/>
      <c r="I32840" s="711"/>
      <c r="J32840" s="711"/>
      <c r="K32840" s="711"/>
      <c r="L32840" s="711"/>
      <c r="Q32840" s="11"/>
      <c r="R32840" s="11"/>
      <c r="S32840" s="11"/>
      <c r="T32840" s="11"/>
    </row>
    <row r="32841" spans="8:20" x14ac:dyDescent="0.35">
      <c r="H32841" s="711"/>
      <c r="I32841" s="711"/>
      <c r="J32841" s="711"/>
      <c r="K32841" s="711"/>
      <c r="L32841" s="711"/>
      <c r="Q32841" s="11"/>
      <c r="R32841" s="11"/>
      <c r="S32841" s="11"/>
      <c r="T32841" s="11"/>
    </row>
    <row r="32842" spans="8:20" x14ac:dyDescent="0.35">
      <c r="H32842" s="711"/>
      <c r="I32842" s="711"/>
      <c r="J32842" s="711"/>
      <c r="K32842" s="711"/>
      <c r="L32842" s="711"/>
      <c r="Q32842" s="11"/>
      <c r="R32842" s="11"/>
      <c r="S32842" s="11"/>
      <c r="T32842" s="11"/>
    </row>
    <row r="32843" spans="8:20" x14ac:dyDescent="0.35">
      <c r="H32843" s="711"/>
      <c r="I32843" s="711"/>
      <c r="J32843" s="711"/>
      <c r="K32843" s="711"/>
      <c r="L32843" s="711"/>
      <c r="Q32843" s="11"/>
      <c r="R32843" s="11"/>
      <c r="S32843" s="11"/>
      <c r="T32843" s="11"/>
    </row>
    <row r="32844" spans="8:20" x14ac:dyDescent="0.35">
      <c r="H32844" s="711"/>
      <c r="I32844" s="711"/>
      <c r="J32844" s="711"/>
      <c r="K32844" s="711"/>
      <c r="L32844" s="711"/>
      <c r="Q32844" s="11"/>
      <c r="R32844" s="11"/>
      <c r="S32844" s="11"/>
      <c r="T32844" s="11"/>
    </row>
    <row r="32845" spans="8:20" x14ac:dyDescent="0.35">
      <c r="H32845" s="711"/>
      <c r="I32845" s="711"/>
      <c r="J32845" s="711"/>
      <c r="K32845" s="711"/>
      <c r="L32845" s="711"/>
      <c r="Q32845" s="11"/>
      <c r="R32845" s="11"/>
      <c r="S32845" s="11"/>
      <c r="T32845" s="11"/>
    </row>
    <row r="32846" spans="8:20" x14ac:dyDescent="0.35">
      <c r="H32846" s="711"/>
      <c r="I32846" s="711"/>
      <c r="J32846" s="711"/>
      <c r="K32846" s="711"/>
      <c r="L32846" s="711"/>
      <c r="Q32846" s="11"/>
      <c r="R32846" s="11"/>
      <c r="S32846" s="11"/>
      <c r="T32846" s="11"/>
    </row>
    <row r="32847" spans="8:20" x14ac:dyDescent="0.35">
      <c r="H32847" s="711"/>
      <c r="I32847" s="711"/>
      <c r="J32847" s="711"/>
      <c r="K32847" s="711"/>
      <c r="L32847" s="711"/>
      <c r="Q32847" s="11"/>
      <c r="R32847" s="11"/>
      <c r="S32847" s="11"/>
      <c r="T32847" s="11"/>
    </row>
    <row r="32848" spans="8:20" x14ac:dyDescent="0.35">
      <c r="H32848" s="711"/>
      <c r="I32848" s="711"/>
      <c r="J32848" s="711"/>
      <c r="K32848" s="711"/>
      <c r="L32848" s="711"/>
      <c r="Q32848" s="11"/>
      <c r="R32848" s="11"/>
      <c r="S32848" s="11"/>
      <c r="T32848" s="11"/>
    </row>
    <row r="32849" spans="8:20" x14ac:dyDescent="0.35">
      <c r="H32849" s="711"/>
      <c r="I32849" s="711"/>
      <c r="J32849" s="711"/>
      <c r="K32849" s="711"/>
      <c r="L32849" s="711"/>
      <c r="Q32849" s="11"/>
      <c r="R32849" s="11"/>
      <c r="S32849" s="11"/>
      <c r="T32849" s="11"/>
    </row>
    <row r="32850" spans="8:20" x14ac:dyDescent="0.35">
      <c r="H32850" s="711"/>
      <c r="I32850" s="711"/>
      <c r="J32850" s="711"/>
      <c r="K32850" s="711"/>
      <c r="L32850" s="711"/>
      <c r="Q32850" s="11"/>
      <c r="R32850" s="11"/>
      <c r="S32850" s="11"/>
      <c r="T32850" s="11"/>
    </row>
    <row r="32851" spans="8:20" x14ac:dyDescent="0.35">
      <c r="H32851" s="711"/>
      <c r="I32851" s="711"/>
      <c r="J32851" s="711"/>
      <c r="K32851" s="711"/>
      <c r="L32851" s="711"/>
      <c r="Q32851" s="11"/>
      <c r="R32851" s="11"/>
      <c r="S32851" s="11"/>
      <c r="T32851" s="11"/>
    </row>
    <row r="32852" spans="8:20" x14ac:dyDescent="0.35">
      <c r="H32852" s="711"/>
      <c r="I32852" s="711"/>
      <c r="J32852" s="711"/>
      <c r="K32852" s="711"/>
      <c r="L32852" s="711"/>
      <c r="Q32852" s="11"/>
      <c r="R32852" s="11"/>
      <c r="S32852" s="11"/>
      <c r="T32852" s="11"/>
    </row>
    <row r="32853" spans="8:20" x14ac:dyDescent="0.35">
      <c r="H32853" s="711"/>
      <c r="I32853" s="711"/>
      <c r="J32853" s="711"/>
      <c r="K32853" s="711"/>
      <c r="L32853" s="711"/>
      <c r="Q32853" s="11"/>
      <c r="R32853" s="11"/>
      <c r="S32853" s="11"/>
      <c r="T32853" s="11"/>
    </row>
    <row r="32854" spans="8:20" x14ac:dyDescent="0.35">
      <c r="H32854" s="711"/>
      <c r="I32854" s="711"/>
      <c r="J32854" s="711"/>
      <c r="K32854" s="711"/>
      <c r="L32854" s="711"/>
      <c r="Q32854" s="11"/>
      <c r="R32854" s="11"/>
      <c r="S32854" s="11"/>
      <c r="T32854" s="11"/>
    </row>
    <row r="32855" spans="8:20" x14ac:dyDescent="0.35">
      <c r="H32855" s="711"/>
      <c r="I32855" s="711"/>
      <c r="J32855" s="711"/>
      <c r="K32855" s="711"/>
      <c r="L32855" s="711"/>
      <c r="Q32855" s="11"/>
      <c r="R32855" s="11"/>
      <c r="S32855" s="11"/>
      <c r="T32855" s="11"/>
    </row>
    <row r="32856" spans="8:20" x14ac:dyDescent="0.35">
      <c r="H32856" s="711"/>
      <c r="I32856" s="711"/>
      <c r="J32856" s="711"/>
      <c r="K32856" s="711"/>
      <c r="L32856" s="711"/>
      <c r="Q32856" s="11"/>
      <c r="R32856" s="11"/>
      <c r="S32856" s="11"/>
      <c r="T32856" s="11"/>
    </row>
    <row r="32857" spans="8:20" x14ac:dyDescent="0.35">
      <c r="H32857" s="711"/>
      <c r="I32857" s="711"/>
      <c r="J32857" s="711"/>
      <c r="K32857" s="711"/>
      <c r="L32857" s="711"/>
      <c r="Q32857" s="11"/>
      <c r="R32857" s="11"/>
      <c r="S32857" s="11"/>
      <c r="T32857" s="11"/>
    </row>
    <row r="32858" spans="8:20" x14ac:dyDescent="0.35">
      <c r="H32858" s="711"/>
      <c r="I32858" s="711"/>
      <c r="J32858" s="711"/>
      <c r="K32858" s="711"/>
      <c r="L32858" s="711"/>
      <c r="Q32858" s="11"/>
      <c r="R32858" s="11"/>
      <c r="S32858" s="11"/>
      <c r="T32858" s="11"/>
    </row>
    <row r="32859" spans="8:20" x14ac:dyDescent="0.35">
      <c r="H32859" s="711"/>
      <c r="I32859" s="711"/>
      <c r="J32859" s="711"/>
      <c r="K32859" s="711"/>
      <c r="L32859" s="711"/>
      <c r="Q32859" s="11"/>
      <c r="R32859" s="11"/>
      <c r="S32859" s="11"/>
      <c r="T32859" s="11"/>
    </row>
    <row r="32860" spans="8:20" x14ac:dyDescent="0.35">
      <c r="H32860" s="711"/>
      <c r="I32860" s="711"/>
      <c r="J32860" s="711"/>
      <c r="K32860" s="711"/>
      <c r="L32860" s="711"/>
      <c r="Q32860" s="11"/>
      <c r="R32860" s="11"/>
      <c r="S32860" s="11"/>
      <c r="T32860" s="11"/>
    </row>
    <row r="32861" spans="8:20" x14ac:dyDescent="0.35">
      <c r="H32861" s="711"/>
      <c r="I32861" s="711"/>
      <c r="J32861" s="711"/>
      <c r="K32861" s="711"/>
      <c r="L32861" s="711"/>
      <c r="Q32861" s="11"/>
      <c r="R32861" s="11"/>
      <c r="S32861" s="11"/>
      <c r="T32861" s="11"/>
    </row>
    <row r="32862" spans="8:20" x14ac:dyDescent="0.35">
      <c r="H32862" s="711"/>
      <c r="I32862" s="711"/>
      <c r="J32862" s="711"/>
      <c r="K32862" s="711"/>
      <c r="L32862" s="711"/>
      <c r="Q32862" s="11"/>
      <c r="R32862" s="11"/>
      <c r="S32862" s="11"/>
      <c r="T32862" s="11"/>
    </row>
    <row r="32863" spans="8:20" x14ac:dyDescent="0.35">
      <c r="H32863" s="711"/>
      <c r="I32863" s="711"/>
      <c r="J32863" s="711"/>
      <c r="K32863" s="711"/>
      <c r="L32863" s="711"/>
      <c r="Q32863" s="11"/>
      <c r="R32863" s="11"/>
      <c r="S32863" s="11"/>
      <c r="T32863" s="11"/>
    </row>
    <row r="32864" spans="8:20" x14ac:dyDescent="0.35">
      <c r="H32864" s="711"/>
      <c r="I32864" s="711"/>
      <c r="J32864" s="711"/>
      <c r="K32864" s="711"/>
      <c r="L32864" s="711"/>
      <c r="Q32864" s="11"/>
      <c r="R32864" s="11"/>
      <c r="S32864" s="11"/>
      <c r="T32864" s="11"/>
    </row>
    <row r="32865" spans="8:20" x14ac:dyDescent="0.35">
      <c r="H32865" s="711"/>
      <c r="I32865" s="711"/>
      <c r="J32865" s="711"/>
      <c r="K32865" s="711"/>
      <c r="L32865" s="711"/>
      <c r="Q32865" s="11"/>
      <c r="R32865" s="11"/>
      <c r="S32865" s="11"/>
      <c r="T32865" s="11"/>
    </row>
    <row r="32866" spans="8:20" x14ac:dyDescent="0.35">
      <c r="H32866" s="711"/>
      <c r="I32866" s="711"/>
      <c r="J32866" s="711"/>
      <c r="K32866" s="711"/>
      <c r="L32866" s="711"/>
      <c r="Q32866" s="11"/>
      <c r="R32866" s="11"/>
      <c r="S32866" s="11"/>
      <c r="T32866" s="11"/>
    </row>
    <row r="32867" spans="8:20" x14ac:dyDescent="0.35">
      <c r="H32867" s="711"/>
      <c r="I32867" s="711"/>
      <c r="J32867" s="711"/>
      <c r="K32867" s="711"/>
      <c r="L32867" s="711"/>
      <c r="Q32867" s="11"/>
      <c r="R32867" s="11"/>
      <c r="S32867" s="11"/>
      <c r="T32867" s="11"/>
    </row>
    <row r="32868" spans="8:20" x14ac:dyDescent="0.35">
      <c r="H32868" s="711"/>
      <c r="I32868" s="711"/>
      <c r="J32868" s="711"/>
      <c r="K32868" s="711"/>
      <c r="L32868" s="711"/>
      <c r="Q32868" s="11"/>
      <c r="R32868" s="11"/>
      <c r="S32868" s="11"/>
      <c r="T32868" s="11"/>
    </row>
    <row r="32869" spans="8:20" x14ac:dyDescent="0.35">
      <c r="H32869" s="711"/>
      <c r="I32869" s="711"/>
      <c r="J32869" s="711"/>
      <c r="K32869" s="711"/>
      <c r="L32869" s="711"/>
      <c r="Q32869" s="11"/>
      <c r="R32869" s="11"/>
      <c r="S32869" s="11"/>
      <c r="T32869" s="11"/>
    </row>
    <row r="32870" spans="8:20" x14ac:dyDescent="0.35">
      <c r="H32870" s="711"/>
      <c r="I32870" s="711"/>
      <c r="J32870" s="711"/>
      <c r="K32870" s="711"/>
      <c r="L32870" s="711"/>
      <c r="Q32870" s="11"/>
      <c r="R32870" s="11"/>
      <c r="S32870" s="11"/>
      <c r="T32870" s="11"/>
    </row>
    <row r="32871" spans="8:20" x14ac:dyDescent="0.35">
      <c r="H32871" s="711"/>
      <c r="I32871" s="711"/>
      <c r="J32871" s="711"/>
      <c r="K32871" s="711"/>
      <c r="L32871" s="711"/>
      <c r="Q32871" s="11"/>
      <c r="R32871" s="11"/>
      <c r="S32871" s="11"/>
      <c r="T32871" s="11"/>
    </row>
    <row r="32872" spans="8:20" x14ac:dyDescent="0.35">
      <c r="H32872" s="711"/>
      <c r="I32872" s="711"/>
      <c r="J32872" s="711"/>
      <c r="K32872" s="711"/>
      <c r="L32872" s="711"/>
      <c r="Q32872" s="11"/>
      <c r="R32872" s="11"/>
      <c r="S32872" s="11"/>
      <c r="T32872" s="11"/>
    </row>
    <row r="32873" spans="8:20" x14ac:dyDescent="0.35">
      <c r="H32873" s="711"/>
      <c r="I32873" s="711"/>
      <c r="J32873" s="711"/>
      <c r="K32873" s="711"/>
      <c r="L32873" s="711"/>
      <c r="Q32873" s="11"/>
      <c r="R32873" s="11"/>
      <c r="S32873" s="11"/>
      <c r="T32873" s="11"/>
    </row>
    <row r="32874" spans="8:20" x14ac:dyDescent="0.35">
      <c r="H32874" s="711"/>
      <c r="I32874" s="711"/>
      <c r="J32874" s="711"/>
      <c r="K32874" s="711"/>
      <c r="L32874" s="711"/>
      <c r="Q32874" s="11"/>
      <c r="R32874" s="11"/>
      <c r="S32874" s="11"/>
      <c r="T32874" s="11"/>
    </row>
    <row r="32875" spans="8:20" x14ac:dyDescent="0.35">
      <c r="H32875" s="711"/>
      <c r="I32875" s="711"/>
      <c r="J32875" s="711"/>
      <c r="K32875" s="711"/>
      <c r="L32875" s="711"/>
      <c r="Q32875" s="11"/>
      <c r="R32875" s="11"/>
      <c r="S32875" s="11"/>
      <c r="T32875" s="11"/>
    </row>
    <row r="32876" spans="8:20" x14ac:dyDescent="0.35">
      <c r="H32876" s="711"/>
      <c r="I32876" s="711"/>
      <c r="J32876" s="711"/>
      <c r="K32876" s="711"/>
      <c r="L32876" s="711"/>
      <c r="Q32876" s="11"/>
      <c r="R32876" s="11"/>
      <c r="S32876" s="11"/>
      <c r="T32876" s="11"/>
    </row>
    <row r="32877" spans="8:20" x14ac:dyDescent="0.35">
      <c r="H32877" s="711"/>
      <c r="I32877" s="711"/>
      <c r="J32877" s="711"/>
      <c r="K32877" s="711"/>
      <c r="L32877" s="711"/>
      <c r="Q32877" s="11"/>
      <c r="R32877" s="11"/>
      <c r="S32877" s="11"/>
      <c r="T32877" s="11"/>
    </row>
    <row r="32878" spans="8:20" x14ac:dyDescent="0.35">
      <c r="H32878" s="711"/>
      <c r="I32878" s="711"/>
      <c r="J32878" s="711"/>
      <c r="K32878" s="711"/>
      <c r="L32878" s="711"/>
      <c r="Q32878" s="11"/>
      <c r="R32878" s="11"/>
      <c r="S32878" s="11"/>
      <c r="T32878" s="11"/>
    </row>
    <row r="32879" spans="8:20" x14ac:dyDescent="0.35">
      <c r="H32879" s="711"/>
      <c r="I32879" s="711"/>
      <c r="J32879" s="711"/>
      <c r="K32879" s="711"/>
      <c r="L32879" s="711"/>
      <c r="Q32879" s="11"/>
      <c r="R32879" s="11"/>
      <c r="S32879" s="11"/>
      <c r="T32879" s="11"/>
    </row>
    <row r="32880" spans="8:20" x14ac:dyDescent="0.35">
      <c r="H32880" s="711"/>
      <c r="I32880" s="711"/>
      <c r="J32880" s="711"/>
      <c r="K32880" s="711"/>
      <c r="L32880" s="711"/>
      <c r="Q32880" s="11"/>
      <c r="R32880" s="11"/>
      <c r="S32880" s="11"/>
      <c r="T32880" s="11"/>
    </row>
    <row r="32881" spans="8:20" x14ac:dyDescent="0.35">
      <c r="H32881" s="711"/>
      <c r="I32881" s="711"/>
      <c r="J32881" s="711"/>
      <c r="K32881" s="711"/>
      <c r="L32881" s="711"/>
      <c r="Q32881" s="11"/>
      <c r="R32881" s="11"/>
      <c r="S32881" s="11"/>
      <c r="T32881" s="11"/>
    </row>
    <row r="32882" spans="8:20" x14ac:dyDescent="0.35">
      <c r="H32882" s="711"/>
      <c r="I32882" s="711"/>
      <c r="J32882" s="711"/>
      <c r="K32882" s="711"/>
      <c r="L32882" s="711"/>
      <c r="Q32882" s="11"/>
      <c r="R32882" s="11"/>
      <c r="S32882" s="11"/>
      <c r="T32882" s="11"/>
    </row>
    <row r="32883" spans="8:20" x14ac:dyDescent="0.35">
      <c r="H32883" s="711"/>
      <c r="I32883" s="711"/>
      <c r="J32883" s="711"/>
      <c r="K32883" s="711"/>
      <c r="L32883" s="711"/>
      <c r="Q32883" s="11"/>
      <c r="R32883" s="11"/>
      <c r="S32883" s="11"/>
      <c r="T32883" s="11"/>
    </row>
    <row r="32884" spans="8:20" x14ac:dyDescent="0.35">
      <c r="H32884" s="711"/>
      <c r="I32884" s="711"/>
      <c r="J32884" s="711"/>
      <c r="K32884" s="711"/>
      <c r="L32884" s="711"/>
      <c r="Q32884" s="11"/>
      <c r="R32884" s="11"/>
      <c r="S32884" s="11"/>
      <c r="T32884" s="11"/>
    </row>
    <row r="32885" spans="8:20" x14ac:dyDescent="0.35">
      <c r="H32885" s="711"/>
      <c r="I32885" s="711"/>
      <c r="J32885" s="711"/>
      <c r="K32885" s="711"/>
      <c r="L32885" s="711"/>
      <c r="Q32885" s="11"/>
      <c r="R32885" s="11"/>
      <c r="S32885" s="11"/>
      <c r="T32885" s="11"/>
    </row>
    <row r="32886" spans="8:20" x14ac:dyDescent="0.35">
      <c r="H32886" s="711"/>
      <c r="I32886" s="711"/>
      <c r="J32886" s="711"/>
      <c r="K32886" s="711"/>
      <c r="L32886" s="711"/>
      <c r="Q32886" s="11"/>
      <c r="R32886" s="11"/>
      <c r="S32886" s="11"/>
      <c r="T32886" s="11"/>
    </row>
    <row r="32887" spans="8:20" x14ac:dyDescent="0.35">
      <c r="H32887" s="711"/>
      <c r="I32887" s="711"/>
      <c r="J32887" s="711"/>
      <c r="K32887" s="711"/>
      <c r="L32887" s="711"/>
      <c r="Q32887" s="11"/>
      <c r="R32887" s="11"/>
      <c r="S32887" s="11"/>
      <c r="T32887" s="11"/>
    </row>
    <row r="32888" spans="8:20" x14ac:dyDescent="0.35">
      <c r="H32888" s="711"/>
      <c r="I32888" s="711"/>
      <c r="J32888" s="711"/>
      <c r="K32888" s="711"/>
      <c r="L32888" s="711"/>
      <c r="Q32888" s="11"/>
      <c r="R32888" s="11"/>
      <c r="S32888" s="11"/>
      <c r="T32888" s="11"/>
    </row>
    <row r="32889" spans="8:20" x14ac:dyDescent="0.35">
      <c r="H32889" s="711"/>
      <c r="I32889" s="711"/>
      <c r="J32889" s="711"/>
      <c r="K32889" s="711"/>
      <c r="L32889" s="711"/>
      <c r="Q32889" s="11"/>
      <c r="R32889" s="11"/>
      <c r="S32889" s="11"/>
      <c r="T32889" s="11"/>
    </row>
    <row r="32890" spans="8:20" x14ac:dyDescent="0.35">
      <c r="H32890" s="711"/>
      <c r="I32890" s="711"/>
      <c r="J32890" s="711"/>
      <c r="K32890" s="711"/>
      <c r="L32890" s="711"/>
      <c r="Q32890" s="11"/>
      <c r="R32890" s="11"/>
      <c r="S32890" s="11"/>
      <c r="T32890" s="11"/>
    </row>
    <row r="32891" spans="8:20" x14ac:dyDescent="0.35">
      <c r="H32891" s="711"/>
      <c r="I32891" s="711"/>
      <c r="J32891" s="711"/>
      <c r="K32891" s="711"/>
      <c r="L32891" s="711"/>
      <c r="Q32891" s="11"/>
      <c r="R32891" s="11"/>
      <c r="S32891" s="11"/>
      <c r="T32891" s="11"/>
    </row>
    <row r="32892" spans="8:20" x14ac:dyDescent="0.35">
      <c r="H32892" s="711"/>
      <c r="I32892" s="711"/>
      <c r="J32892" s="711"/>
      <c r="K32892" s="711"/>
      <c r="L32892" s="711"/>
      <c r="Q32892" s="11"/>
      <c r="R32892" s="11"/>
      <c r="S32892" s="11"/>
      <c r="T32892" s="11"/>
    </row>
    <row r="32893" spans="8:20" x14ac:dyDescent="0.35">
      <c r="H32893" s="711"/>
      <c r="I32893" s="711"/>
      <c r="J32893" s="711"/>
      <c r="K32893" s="711"/>
      <c r="L32893" s="711"/>
      <c r="Q32893" s="11"/>
      <c r="R32893" s="11"/>
      <c r="S32893" s="11"/>
      <c r="T32893" s="11"/>
    </row>
    <row r="32894" spans="8:20" x14ac:dyDescent="0.35">
      <c r="H32894" s="711"/>
      <c r="I32894" s="711"/>
      <c r="J32894" s="711"/>
      <c r="K32894" s="711"/>
      <c r="L32894" s="711"/>
      <c r="Q32894" s="11"/>
      <c r="R32894" s="11"/>
      <c r="S32894" s="11"/>
      <c r="T32894" s="11"/>
    </row>
    <row r="32895" spans="8:20" x14ac:dyDescent="0.35">
      <c r="H32895" s="711"/>
      <c r="I32895" s="711"/>
      <c r="J32895" s="711"/>
      <c r="K32895" s="711"/>
      <c r="L32895" s="711"/>
      <c r="Q32895" s="11"/>
      <c r="R32895" s="11"/>
      <c r="S32895" s="11"/>
      <c r="T32895" s="11"/>
    </row>
    <row r="32896" spans="8:20" x14ac:dyDescent="0.35">
      <c r="H32896" s="711"/>
      <c r="I32896" s="711"/>
      <c r="J32896" s="711"/>
      <c r="K32896" s="711"/>
      <c r="L32896" s="711"/>
      <c r="Q32896" s="11"/>
      <c r="R32896" s="11"/>
      <c r="S32896" s="11"/>
      <c r="T32896" s="11"/>
    </row>
    <row r="32897" spans="8:20" x14ac:dyDescent="0.35">
      <c r="H32897" s="711"/>
      <c r="I32897" s="711"/>
      <c r="J32897" s="711"/>
      <c r="K32897" s="711"/>
      <c r="L32897" s="711"/>
      <c r="Q32897" s="11"/>
      <c r="R32897" s="11"/>
      <c r="S32897" s="11"/>
      <c r="T32897" s="11"/>
    </row>
    <row r="32898" spans="8:20" x14ac:dyDescent="0.35">
      <c r="H32898" s="711"/>
      <c r="I32898" s="711"/>
      <c r="J32898" s="711"/>
      <c r="K32898" s="711"/>
      <c r="L32898" s="711"/>
      <c r="Q32898" s="11"/>
      <c r="R32898" s="11"/>
      <c r="S32898" s="11"/>
      <c r="T32898" s="11"/>
    </row>
    <row r="32899" spans="8:20" x14ac:dyDescent="0.35">
      <c r="H32899" s="711"/>
      <c r="I32899" s="711"/>
      <c r="J32899" s="711"/>
      <c r="K32899" s="711"/>
      <c r="L32899" s="711"/>
      <c r="Q32899" s="11"/>
      <c r="R32899" s="11"/>
      <c r="S32899" s="11"/>
      <c r="T32899" s="11"/>
    </row>
    <row r="32900" spans="8:20" x14ac:dyDescent="0.35">
      <c r="H32900" s="711"/>
      <c r="I32900" s="711"/>
      <c r="J32900" s="711"/>
      <c r="K32900" s="711"/>
      <c r="L32900" s="711"/>
      <c r="Q32900" s="11"/>
      <c r="R32900" s="11"/>
      <c r="S32900" s="11"/>
      <c r="T32900" s="11"/>
    </row>
    <row r="32901" spans="8:20" x14ac:dyDescent="0.35">
      <c r="H32901" s="711"/>
      <c r="I32901" s="711"/>
      <c r="J32901" s="711"/>
      <c r="K32901" s="711"/>
      <c r="L32901" s="711"/>
      <c r="Q32901" s="11"/>
      <c r="R32901" s="11"/>
      <c r="S32901" s="11"/>
      <c r="T32901" s="11"/>
    </row>
    <row r="32902" spans="8:20" x14ac:dyDescent="0.35">
      <c r="H32902" s="711"/>
      <c r="I32902" s="711"/>
      <c r="J32902" s="711"/>
      <c r="K32902" s="711"/>
      <c r="L32902" s="711"/>
      <c r="Q32902" s="11"/>
      <c r="R32902" s="11"/>
      <c r="S32902" s="11"/>
      <c r="T32902" s="11"/>
    </row>
    <row r="32903" spans="8:20" x14ac:dyDescent="0.35">
      <c r="H32903" s="711"/>
      <c r="I32903" s="711"/>
      <c r="J32903" s="711"/>
      <c r="K32903" s="711"/>
      <c r="L32903" s="711"/>
      <c r="Q32903" s="11"/>
      <c r="R32903" s="11"/>
      <c r="S32903" s="11"/>
      <c r="T32903" s="11"/>
    </row>
    <row r="32904" spans="8:20" x14ac:dyDescent="0.35">
      <c r="H32904" s="711"/>
      <c r="I32904" s="711"/>
      <c r="J32904" s="711"/>
      <c r="K32904" s="711"/>
      <c r="L32904" s="711"/>
      <c r="Q32904" s="11"/>
      <c r="R32904" s="11"/>
      <c r="S32904" s="11"/>
      <c r="T32904" s="11"/>
    </row>
    <row r="32905" spans="8:20" x14ac:dyDescent="0.35">
      <c r="H32905" s="711"/>
      <c r="I32905" s="711"/>
      <c r="J32905" s="711"/>
      <c r="K32905" s="711"/>
      <c r="L32905" s="711"/>
      <c r="Q32905" s="11"/>
      <c r="R32905" s="11"/>
      <c r="S32905" s="11"/>
      <c r="T32905" s="11"/>
    </row>
    <row r="32906" spans="8:20" x14ac:dyDescent="0.35">
      <c r="H32906" s="711"/>
      <c r="I32906" s="711"/>
      <c r="J32906" s="711"/>
      <c r="K32906" s="711"/>
      <c r="L32906" s="711"/>
      <c r="Q32906" s="11"/>
      <c r="R32906" s="11"/>
      <c r="S32906" s="11"/>
      <c r="T32906" s="11"/>
    </row>
    <row r="32907" spans="8:20" x14ac:dyDescent="0.35">
      <c r="H32907" s="711"/>
      <c r="I32907" s="711"/>
      <c r="J32907" s="711"/>
      <c r="K32907" s="711"/>
      <c r="L32907" s="711"/>
      <c r="Q32907" s="11"/>
      <c r="R32907" s="11"/>
      <c r="S32907" s="11"/>
      <c r="T32907" s="11"/>
    </row>
    <row r="32908" spans="8:20" x14ac:dyDescent="0.35">
      <c r="H32908" s="711"/>
      <c r="I32908" s="711"/>
      <c r="J32908" s="711"/>
      <c r="K32908" s="711"/>
      <c r="L32908" s="711"/>
      <c r="Q32908" s="11"/>
      <c r="R32908" s="11"/>
      <c r="S32908" s="11"/>
      <c r="T32908" s="11"/>
    </row>
    <row r="32909" spans="8:20" x14ac:dyDescent="0.35">
      <c r="H32909" s="711"/>
      <c r="I32909" s="711"/>
      <c r="J32909" s="711"/>
      <c r="K32909" s="711"/>
      <c r="L32909" s="711"/>
      <c r="Q32909" s="11"/>
      <c r="R32909" s="11"/>
      <c r="S32909" s="11"/>
      <c r="T32909" s="11"/>
    </row>
    <row r="32910" spans="8:20" x14ac:dyDescent="0.35">
      <c r="H32910" s="711"/>
      <c r="I32910" s="711"/>
      <c r="J32910" s="711"/>
      <c r="K32910" s="711"/>
      <c r="L32910" s="711"/>
      <c r="Q32910" s="11"/>
      <c r="R32910" s="11"/>
      <c r="S32910" s="11"/>
      <c r="T32910" s="11"/>
    </row>
    <row r="32911" spans="8:20" x14ac:dyDescent="0.35">
      <c r="H32911" s="711"/>
      <c r="I32911" s="711"/>
      <c r="J32911" s="711"/>
      <c r="K32911" s="711"/>
      <c r="L32911" s="711"/>
      <c r="Q32911" s="11"/>
      <c r="R32911" s="11"/>
      <c r="S32911" s="11"/>
      <c r="T32911" s="11"/>
    </row>
    <row r="32912" spans="8:20" x14ac:dyDescent="0.35">
      <c r="H32912" s="711"/>
      <c r="I32912" s="711"/>
      <c r="J32912" s="711"/>
      <c r="K32912" s="711"/>
      <c r="L32912" s="711"/>
      <c r="Q32912" s="11"/>
      <c r="R32912" s="11"/>
      <c r="S32912" s="11"/>
      <c r="T32912" s="11"/>
    </row>
    <row r="32913" spans="8:20" x14ac:dyDescent="0.35">
      <c r="H32913" s="711"/>
      <c r="I32913" s="711"/>
      <c r="J32913" s="711"/>
      <c r="K32913" s="711"/>
      <c r="L32913" s="711"/>
      <c r="Q32913" s="11"/>
      <c r="R32913" s="11"/>
      <c r="S32913" s="11"/>
      <c r="T32913" s="11"/>
    </row>
    <row r="32914" spans="8:20" x14ac:dyDescent="0.35">
      <c r="H32914" s="711"/>
      <c r="I32914" s="711"/>
      <c r="J32914" s="711"/>
      <c r="K32914" s="711"/>
      <c r="L32914" s="711"/>
      <c r="Q32914" s="11"/>
      <c r="R32914" s="11"/>
      <c r="S32914" s="11"/>
      <c r="T32914" s="11"/>
    </row>
    <row r="32915" spans="8:20" x14ac:dyDescent="0.35">
      <c r="H32915" s="711"/>
      <c r="I32915" s="711"/>
      <c r="J32915" s="711"/>
      <c r="K32915" s="711"/>
      <c r="L32915" s="711"/>
      <c r="Q32915" s="11"/>
      <c r="R32915" s="11"/>
      <c r="S32915" s="11"/>
      <c r="T32915" s="11"/>
    </row>
    <row r="32916" spans="8:20" x14ac:dyDescent="0.35">
      <c r="H32916" s="711"/>
      <c r="I32916" s="711"/>
      <c r="J32916" s="711"/>
      <c r="K32916" s="711"/>
      <c r="L32916" s="711"/>
      <c r="Q32916" s="11"/>
      <c r="R32916" s="11"/>
      <c r="S32916" s="11"/>
      <c r="T32916" s="11"/>
    </row>
    <row r="32917" spans="8:20" x14ac:dyDescent="0.35">
      <c r="H32917" s="711"/>
      <c r="I32917" s="711"/>
      <c r="J32917" s="711"/>
      <c r="K32917" s="711"/>
      <c r="L32917" s="711"/>
      <c r="Q32917" s="11"/>
      <c r="R32917" s="11"/>
      <c r="S32917" s="11"/>
      <c r="T32917" s="11"/>
    </row>
    <row r="32918" spans="8:20" x14ac:dyDescent="0.35">
      <c r="H32918" s="711"/>
      <c r="I32918" s="711"/>
      <c r="J32918" s="711"/>
      <c r="K32918" s="711"/>
      <c r="L32918" s="711"/>
      <c r="Q32918" s="11"/>
      <c r="R32918" s="11"/>
      <c r="S32918" s="11"/>
      <c r="T32918" s="11"/>
    </row>
    <row r="32919" spans="8:20" x14ac:dyDescent="0.35">
      <c r="H32919" s="711"/>
      <c r="I32919" s="711"/>
      <c r="J32919" s="711"/>
      <c r="K32919" s="711"/>
      <c r="L32919" s="711"/>
      <c r="Q32919" s="11"/>
      <c r="R32919" s="11"/>
      <c r="S32919" s="11"/>
      <c r="T32919" s="11"/>
    </row>
    <row r="32920" spans="8:20" x14ac:dyDescent="0.35">
      <c r="H32920" s="711"/>
      <c r="I32920" s="711"/>
      <c r="J32920" s="711"/>
      <c r="K32920" s="711"/>
      <c r="L32920" s="711"/>
      <c r="Q32920" s="11"/>
      <c r="R32920" s="11"/>
      <c r="S32920" s="11"/>
      <c r="T32920" s="11"/>
    </row>
    <row r="32921" spans="8:20" x14ac:dyDescent="0.35">
      <c r="H32921" s="711"/>
      <c r="I32921" s="711"/>
      <c r="J32921" s="711"/>
      <c r="K32921" s="711"/>
      <c r="L32921" s="711"/>
      <c r="Q32921" s="11"/>
      <c r="R32921" s="11"/>
      <c r="S32921" s="11"/>
      <c r="T32921" s="11"/>
    </row>
    <row r="32922" spans="8:20" x14ac:dyDescent="0.35">
      <c r="H32922" s="711"/>
      <c r="I32922" s="711"/>
      <c r="J32922" s="711"/>
      <c r="K32922" s="711"/>
      <c r="L32922" s="711"/>
      <c r="Q32922" s="11"/>
      <c r="R32922" s="11"/>
      <c r="S32922" s="11"/>
      <c r="T32922" s="11"/>
    </row>
    <row r="32923" spans="8:20" x14ac:dyDescent="0.35">
      <c r="H32923" s="711"/>
      <c r="I32923" s="711"/>
      <c r="J32923" s="711"/>
      <c r="K32923" s="711"/>
      <c r="L32923" s="711"/>
      <c r="Q32923" s="11"/>
      <c r="R32923" s="11"/>
      <c r="S32923" s="11"/>
      <c r="T32923" s="11"/>
    </row>
    <row r="32924" spans="8:20" x14ac:dyDescent="0.35">
      <c r="H32924" s="711"/>
      <c r="I32924" s="711"/>
      <c r="J32924" s="711"/>
      <c r="K32924" s="711"/>
      <c r="L32924" s="711"/>
      <c r="Q32924" s="11"/>
      <c r="R32924" s="11"/>
      <c r="S32924" s="11"/>
      <c r="T32924" s="11"/>
    </row>
    <row r="32925" spans="8:20" x14ac:dyDescent="0.35">
      <c r="H32925" s="711"/>
      <c r="I32925" s="711"/>
      <c r="J32925" s="711"/>
      <c r="K32925" s="711"/>
      <c r="L32925" s="711"/>
      <c r="Q32925" s="11"/>
      <c r="R32925" s="11"/>
      <c r="S32925" s="11"/>
      <c r="T32925" s="11"/>
    </row>
    <row r="32926" spans="8:20" x14ac:dyDescent="0.35">
      <c r="H32926" s="711"/>
      <c r="I32926" s="711"/>
      <c r="J32926" s="711"/>
      <c r="K32926" s="711"/>
      <c r="L32926" s="711"/>
      <c r="Q32926" s="11"/>
      <c r="R32926" s="11"/>
      <c r="S32926" s="11"/>
      <c r="T32926" s="11"/>
    </row>
    <row r="32927" spans="8:20" x14ac:dyDescent="0.35">
      <c r="H32927" s="711"/>
      <c r="I32927" s="711"/>
      <c r="J32927" s="711"/>
      <c r="K32927" s="711"/>
      <c r="L32927" s="711"/>
      <c r="Q32927" s="11"/>
      <c r="R32927" s="11"/>
      <c r="S32927" s="11"/>
      <c r="T32927" s="11"/>
    </row>
    <row r="32928" spans="8:20" x14ac:dyDescent="0.35">
      <c r="H32928" s="711"/>
      <c r="I32928" s="711"/>
      <c r="J32928" s="711"/>
      <c r="K32928" s="711"/>
      <c r="L32928" s="711"/>
      <c r="Q32928" s="11"/>
      <c r="R32928" s="11"/>
      <c r="S32928" s="11"/>
      <c r="T32928" s="11"/>
    </row>
    <row r="32929" spans="8:20" x14ac:dyDescent="0.35">
      <c r="H32929" s="711"/>
      <c r="I32929" s="711"/>
      <c r="J32929" s="711"/>
      <c r="K32929" s="711"/>
      <c r="L32929" s="711"/>
      <c r="Q32929" s="11"/>
      <c r="R32929" s="11"/>
      <c r="S32929" s="11"/>
      <c r="T32929" s="11"/>
    </row>
    <row r="32930" spans="8:20" x14ac:dyDescent="0.35">
      <c r="H32930" s="711"/>
      <c r="I32930" s="711"/>
      <c r="J32930" s="711"/>
      <c r="K32930" s="711"/>
      <c r="L32930" s="711"/>
      <c r="Q32930" s="11"/>
      <c r="R32930" s="11"/>
      <c r="S32930" s="11"/>
      <c r="T32930" s="11"/>
    </row>
    <row r="32931" spans="8:20" x14ac:dyDescent="0.35">
      <c r="H32931" s="711"/>
      <c r="I32931" s="711"/>
      <c r="J32931" s="711"/>
      <c r="K32931" s="711"/>
      <c r="L32931" s="711"/>
      <c r="Q32931" s="11"/>
      <c r="R32931" s="11"/>
      <c r="S32931" s="11"/>
      <c r="T32931" s="11"/>
    </row>
    <row r="32932" spans="8:20" x14ac:dyDescent="0.35">
      <c r="H32932" s="711"/>
      <c r="I32932" s="711"/>
      <c r="J32932" s="711"/>
      <c r="K32932" s="711"/>
      <c r="L32932" s="711"/>
      <c r="Q32932" s="11"/>
      <c r="R32932" s="11"/>
      <c r="S32932" s="11"/>
      <c r="T32932" s="11"/>
    </row>
    <row r="32933" spans="8:20" x14ac:dyDescent="0.35">
      <c r="H32933" s="711"/>
      <c r="I32933" s="711"/>
      <c r="J32933" s="711"/>
      <c r="K32933" s="711"/>
      <c r="L32933" s="711"/>
      <c r="Q32933" s="11"/>
      <c r="R32933" s="11"/>
      <c r="S32933" s="11"/>
      <c r="T32933" s="11"/>
    </row>
    <row r="32934" spans="8:20" x14ac:dyDescent="0.35">
      <c r="H32934" s="711"/>
      <c r="I32934" s="711"/>
      <c r="J32934" s="711"/>
      <c r="K32934" s="711"/>
      <c r="L32934" s="711"/>
      <c r="Q32934" s="11"/>
      <c r="R32934" s="11"/>
      <c r="S32934" s="11"/>
      <c r="T32934" s="11"/>
    </row>
    <row r="32935" spans="8:20" x14ac:dyDescent="0.35">
      <c r="H32935" s="711"/>
      <c r="I32935" s="711"/>
      <c r="J32935" s="711"/>
      <c r="K32935" s="711"/>
      <c r="L32935" s="711"/>
      <c r="Q32935" s="11"/>
      <c r="R32935" s="11"/>
      <c r="S32935" s="11"/>
      <c r="T32935" s="11"/>
    </row>
    <row r="32936" spans="8:20" x14ac:dyDescent="0.35">
      <c r="H32936" s="711"/>
      <c r="I32936" s="711"/>
      <c r="J32936" s="711"/>
      <c r="K32936" s="711"/>
      <c r="L32936" s="711"/>
      <c r="Q32936" s="11"/>
      <c r="R32936" s="11"/>
      <c r="S32936" s="11"/>
      <c r="T32936" s="11"/>
    </row>
    <row r="32937" spans="8:20" x14ac:dyDescent="0.35">
      <c r="H32937" s="711"/>
      <c r="I32937" s="711"/>
      <c r="J32937" s="711"/>
      <c r="K32937" s="711"/>
      <c r="L32937" s="711"/>
      <c r="Q32937" s="11"/>
      <c r="R32937" s="11"/>
      <c r="S32937" s="11"/>
      <c r="T32937" s="11"/>
    </row>
    <row r="32938" spans="8:20" x14ac:dyDescent="0.35">
      <c r="H32938" s="711"/>
      <c r="I32938" s="711"/>
      <c r="J32938" s="711"/>
      <c r="K32938" s="711"/>
      <c r="L32938" s="711"/>
      <c r="Q32938" s="11"/>
      <c r="R32938" s="11"/>
      <c r="S32938" s="11"/>
      <c r="T32938" s="11"/>
    </row>
    <row r="32939" spans="8:20" x14ac:dyDescent="0.35">
      <c r="H32939" s="711"/>
      <c r="I32939" s="711"/>
      <c r="J32939" s="711"/>
      <c r="K32939" s="711"/>
      <c r="L32939" s="711"/>
      <c r="Q32939" s="11"/>
      <c r="R32939" s="11"/>
      <c r="S32939" s="11"/>
      <c r="T32939" s="11"/>
    </row>
    <row r="32940" spans="8:20" x14ac:dyDescent="0.35">
      <c r="H32940" s="711"/>
      <c r="I32940" s="711"/>
      <c r="J32940" s="711"/>
      <c r="K32940" s="711"/>
      <c r="L32940" s="711"/>
      <c r="Q32940" s="11"/>
      <c r="R32940" s="11"/>
      <c r="S32940" s="11"/>
      <c r="T32940" s="11"/>
    </row>
    <row r="32941" spans="8:20" x14ac:dyDescent="0.35">
      <c r="H32941" s="711"/>
      <c r="I32941" s="711"/>
      <c r="J32941" s="711"/>
      <c r="K32941" s="711"/>
      <c r="L32941" s="711"/>
      <c r="Q32941" s="11"/>
      <c r="R32941" s="11"/>
      <c r="S32941" s="11"/>
      <c r="T32941" s="11"/>
    </row>
    <row r="32942" spans="8:20" x14ac:dyDescent="0.35">
      <c r="H32942" s="711"/>
      <c r="I32942" s="711"/>
      <c r="J32942" s="711"/>
      <c r="K32942" s="711"/>
      <c r="L32942" s="711"/>
      <c r="Q32942" s="11"/>
      <c r="R32942" s="11"/>
      <c r="S32942" s="11"/>
      <c r="T32942" s="11"/>
    </row>
    <row r="32943" spans="8:20" x14ac:dyDescent="0.35">
      <c r="H32943" s="711"/>
      <c r="I32943" s="711"/>
      <c r="J32943" s="711"/>
      <c r="K32943" s="711"/>
      <c r="L32943" s="711"/>
      <c r="Q32943" s="11"/>
      <c r="R32943" s="11"/>
      <c r="S32943" s="11"/>
      <c r="T32943" s="11"/>
    </row>
    <row r="32944" spans="8:20" x14ac:dyDescent="0.35">
      <c r="H32944" s="711"/>
      <c r="I32944" s="711"/>
      <c r="J32944" s="711"/>
      <c r="K32944" s="711"/>
      <c r="L32944" s="711"/>
      <c r="Q32944" s="11"/>
      <c r="R32944" s="11"/>
      <c r="S32944" s="11"/>
      <c r="T32944" s="11"/>
    </row>
    <row r="32945" spans="8:20" x14ac:dyDescent="0.35">
      <c r="H32945" s="711"/>
      <c r="I32945" s="711"/>
      <c r="J32945" s="711"/>
      <c r="K32945" s="711"/>
      <c r="L32945" s="711"/>
      <c r="Q32945" s="11"/>
      <c r="R32945" s="11"/>
      <c r="S32945" s="11"/>
      <c r="T32945" s="11"/>
    </row>
    <row r="32946" spans="8:20" x14ac:dyDescent="0.35">
      <c r="H32946" s="711"/>
      <c r="I32946" s="711"/>
      <c r="J32946" s="711"/>
      <c r="K32946" s="711"/>
      <c r="L32946" s="711"/>
      <c r="Q32946" s="11"/>
      <c r="R32946" s="11"/>
      <c r="S32946" s="11"/>
      <c r="T32946" s="11"/>
    </row>
    <row r="32947" spans="8:20" x14ac:dyDescent="0.35">
      <c r="H32947" s="711"/>
      <c r="I32947" s="711"/>
      <c r="J32947" s="711"/>
      <c r="K32947" s="711"/>
      <c r="L32947" s="711"/>
      <c r="Q32947" s="11"/>
      <c r="R32947" s="11"/>
      <c r="S32947" s="11"/>
      <c r="T32947" s="11"/>
    </row>
    <row r="32948" spans="8:20" x14ac:dyDescent="0.35">
      <c r="H32948" s="711"/>
      <c r="I32948" s="711"/>
      <c r="J32948" s="711"/>
      <c r="K32948" s="711"/>
      <c r="L32948" s="711"/>
      <c r="Q32948" s="11"/>
      <c r="R32948" s="11"/>
      <c r="S32948" s="11"/>
      <c r="T32948" s="11"/>
    </row>
    <row r="32949" spans="8:20" x14ac:dyDescent="0.35">
      <c r="H32949" s="711"/>
      <c r="I32949" s="711"/>
      <c r="J32949" s="711"/>
      <c r="K32949" s="711"/>
      <c r="L32949" s="711"/>
      <c r="Q32949" s="11"/>
      <c r="R32949" s="11"/>
      <c r="S32949" s="11"/>
      <c r="T32949" s="11"/>
    </row>
    <row r="32950" spans="8:20" x14ac:dyDescent="0.35">
      <c r="H32950" s="711"/>
      <c r="I32950" s="711"/>
      <c r="J32950" s="711"/>
      <c r="K32950" s="711"/>
      <c r="L32950" s="711"/>
      <c r="Q32950" s="11"/>
      <c r="R32950" s="11"/>
      <c r="S32950" s="11"/>
      <c r="T32950" s="11"/>
    </row>
    <row r="32951" spans="8:20" x14ac:dyDescent="0.35">
      <c r="H32951" s="711"/>
      <c r="I32951" s="711"/>
      <c r="J32951" s="711"/>
      <c r="K32951" s="711"/>
      <c r="L32951" s="711"/>
      <c r="Q32951" s="11"/>
      <c r="R32951" s="11"/>
      <c r="S32951" s="11"/>
      <c r="T32951" s="11"/>
    </row>
    <row r="32952" spans="8:20" x14ac:dyDescent="0.35">
      <c r="H32952" s="711"/>
      <c r="I32952" s="711"/>
      <c r="J32952" s="711"/>
      <c r="K32952" s="711"/>
      <c r="L32952" s="711"/>
      <c r="Q32952" s="11"/>
      <c r="R32952" s="11"/>
      <c r="S32952" s="11"/>
      <c r="T32952" s="11"/>
    </row>
    <row r="32953" spans="8:20" x14ac:dyDescent="0.35">
      <c r="H32953" s="711"/>
      <c r="I32953" s="711"/>
      <c r="J32953" s="711"/>
      <c r="K32953" s="711"/>
      <c r="L32953" s="711"/>
      <c r="Q32953" s="11"/>
      <c r="R32953" s="11"/>
      <c r="S32953" s="11"/>
      <c r="T32953" s="11"/>
    </row>
    <row r="32954" spans="8:20" x14ac:dyDescent="0.35">
      <c r="H32954" s="711"/>
      <c r="I32954" s="711"/>
      <c r="J32954" s="711"/>
      <c r="K32954" s="711"/>
      <c r="L32954" s="711"/>
      <c r="Q32954" s="11"/>
      <c r="R32954" s="11"/>
      <c r="S32954" s="11"/>
      <c r="T32954" s="11"/>
    </row>
    <row r="32955" spans="8:20" x14ac:dyDescent="0.35">
      <c r="H32955" s="711"/>
      <c r="I32955" s="711"/>
      <c r="J32955" s="711"/>
      <c r="K32955" s="711"/>
      <c r="L32955" s="711"/>
      <c r="Q32955" s="11"/>
      <c r="R32955" s="11"/>
      <c r="S32955" s="11"/>
      <c r="T32955" s="11"/>
    </row>
    <row r="32956" spans="8:20" x14ac:dyDescent="0.35">
      <c r="H32956" s="711"/>
      <c r="I32956" s="711"/>
      <c r="J32956" s="711"/>
      <c r="K32956" s="711"/>
      <c r="L32956" s="711"/>
      <c r="Q32956" s="11"/>
      <c r="R32956" s="11"/>
      <c r="S32956" s="11"/>
      <c r="T32956" s="11"/>
    </row>
    <row r="32957" spans="8:20" x14ac:dyDescent="0.35">
      <c r="H32957" s="711"/>
      <c r="I32957" s="711"/>
      <c r="J32957" s="711"/>
      <c r="K32957" s="711"/>
      <c r="L32957" s="711"/>
      <c r="Q32957" s="11"/>
      <c r="R32957" s="11"/>
      <c r="S32957" s="11"/>
      <c r="T32957" s="11"/>
    </row>
    <row r="32958" spans="8:20" x14ac:dyDescent="0.35">
      <c r="H32958" s="711"/>
      <c r="I32958" s="711"/>
      <c r="J32958" s="711"/>
      <c r="K32958" s="711"/>
      <c r="L32958" s="711"/>
      <c r="Q32958" s="11"/>
      <c r="R32958" s="11"/>
      <c r="S32958" s="11"/>
      <c r="T32958" s="11"/>
    </row>
    <row r="32959" spans="8:20" x14ac:dyDescent="0.35">
      <c r="H32959" s="711"/>
      <c r="I32959" s="711"/>
      <c r="J32959" s="711"/>
      <c r="K32959" s="711"/>
      <c r="L32959" s="711"/>
      <c r="Q32959" s="11"/>
      <c r="R32959" s="11"/>
      <c r="S32959" s="11"/>
      <c r="T32959" s="11"/>
    </row>
    <row r="32960" spans="8:20" x14ac:dyDescent="0.35">
      <c r="H32960" s="711"/>
      <c r="I32960" s="711"/>
      <c r="J32960" s="711"/>
      <c r="K32960" s="711"/>
      <c r="L32960" s="711"/>
      <c r="Q32960" s="11"/>
      <c r="R32960" s="11"/>
      <c r="S32960" s="11"/>
      <c r="T32960" s="11"/>
    </row>
    <row r="32961" spans="8:20" x14ac:dyDescent="0.35">
      <c r="H32961" s="711"/>
      <c r="I32961" s="711"/>
      <c r="J32961" s="711"/>
      <c r="K32961" s="711"/>
      <c r="L32961" s="711"/>
      <c r="Q32961" s="11"/>
      <c r="R32961" s="11"/>
      <c r="S32961" s="11"/>
      <c r="T32961" s="11"/>
    </row>
    <row r="32962" spans="8:20" x14ac:dyDescent="0.35">
      <c r="H32962" s="711"/>
      <c r="I32962" s="711"/>
      <c r="J32962" s="711"/>
      <c r="K32962" s="711"/>
      <c r="L32962" s="711"/>
      <c r="Q32962" s="11"/>
      <c r="R32962" s="11"/>
      <c r="S32962" s="11"/>
      <c r="T32962" s="11"/>
    </row>
    <row r="32963" spans="8:20" x14ac:dyDescent="0.35">
      <c r="H32963" s="711"/>
      <c r="I32963" s="711"/>
      <c r="J32963" s="711"/>
      <c r="K32963" s="711"/>
      <c r="L32963" s="711"/>
      <c r="Q32963" s="11"/>
      <c r="R32963" s="11"/>
      <c r="S32963" s="11"/>
      <c r="T32963" s="11"/>
    </row>
    <row r="32964" spans="8:20" x14ac:dyDescent="0.35">
      <c r="H32964" s="711"/>
      <c r="I32964" s="711"/>
      <c r="J32964" s="711"/>
      <c r="K32964" s="711"/>
      <c r="L32964" s="711"/>
      <c r="Q32964" s="11"/>
      <c r="R32964" s="11"/>
      <c r="S32964" s="11"/>
      <c r="T32964" s="11"/>
    </row>
    <row r="32965" spans="8:20" x14ac:dyDescent="0.35">
      <c r="H32965" s="711"/>
      <c r="I32965" s="711"/>
      <c r="J32965" s="711"/>
      <c r="K32965" s="711"/>
      <c r="L32965" s="711"/>
      <c r="Q32965" s="11"/>
      <c r="R32965" s="11"/>
      <c r="S32965" s="11"/>
      <c r="T32965" s="11"/>
    </row>
    <row r="32966" spans="8:20" x14ac:dyDescent="0.35">
      <c r="H32966" s="711"/>
      <c r="I32966" s="711"/>
      <c r="J32966" s="711"/>
      <c r="K32966" s="711"/>
      <c r="L32966" s="711"/>
      <c r="Q32966" s="11"/>
      <c r="R32966" s="11"/>
      <c r="S32966" s="11"/>
      <c r="T32966" s="11"/>
    </row>
    <row r="32967" spans="8:20" x14ac:dyDescent="0.35">
      <c r="H32967" s="711"/>
      <c r="I32967" s="711"/>
      <c r="J32967" s="711"/>
      <c r="K32967" s="711"/>
      <c r="L32967" s="711"/>
      <c r="Q32967" s="11"/>
      <c r="R32967" s="11"/>
      <c r="S32967" s="11"/>
      <c r="T32967" s="11"/>
    </row>
    <row r="32968" spans="8:20" x14ac:dyDescent="0.35">
      <c r="H32968" s="711"/>
      <c r="I32968" s="711"/>
      <c r="J32968" s="711"/>
      <c r="K32968" s="711"/>
      <c r="L32968" s="711"/>
      <c r="Q32968" s="11"/>
      <c r="R32968" s="11"/>
      <c r="S32968" s="11"/>
      <c r="T32968" s="11"/>
    </row>
    <row r="32969" spans="8:20" x14ac:dyDescent="0.35">
      <c r="H32969" s="711"/>
      <c r="I32969" s="711"/>
      <c r="J32969" s="711"/>
      <c r="K32969" s="711"/>
      <c r="L32969" s="711"/>
      <c r="Q32969" s="11"/>
      <c r="R32969" s="11"/>
      <c r="S32969" s="11"/>
      <c r="T32969" s="11"/>
    </row>
    <row r="32970" spans="8:20" x14ac:dyDescent="0.35">
      <c r="H32970" s="711"/>
      <c r="I32970" s="711"/>
      <c r="J32970" s="711"/>
      <c r="K32970" s="711"/>
      <c r="L32970" s="711"/>
      <c r="Q32970" s="11"/>
      <c r="R32970" s="11"/>
      <c r="S32970" s="11"/>
      <c r="T32970" s="11"/>
    </row>
    <row r="32971" spans="8:20" x14ac:dyDescent="0.35">
      <c r="H32971" s="711"/>
      <c r="I32971" s="711"/>
      <c r="J32971" s="711"/>
      <c r="K32971" s="711"/>
      <c r="L32971" s="711"/>
      <c r="Q32971" s="11"/>
      <c r="R32971" s="11"/>
      <c r="S32971" s="11"/>
      <c r="T32971" s="11"/>
    </row>
    <row r="32972" spans="8:20" x14ac:dyDescent="0.35">
      <c r="H32972" s="711"/>
      <c r="I32972" s="711"/>
      <c r="J32972" s="711"/>
      <c r="K32972" s="711"/>
      <c r="L32972" s="711"/>
      <c r="Q32972" s="11"/>
      <c r="R32972" s="11"/>
      <c r="S32972" s="11"/>
      <c r="T32972" s="11"/>
    </row>
    <row r="32973" spans="8:20" x14ac:dyDescent="0.35">
      <c r="H32973" s="711"/>
      <c r="I32973" s="711"/>
      <c r="J32973" s="711"/>
      <c r="K32973" s="711"/>
      <c r="L32973" s="711"/>
      <c r="Q32973" s="11"/>
      <c r="R32973" s="11"/>
      <c r="S32973" s="11"/>
      <c r="T32973" s="11"/>
    </row>
    <row r="32974" spans="8:20" x14ac:dyDescent="0.35">
      <c r="H32974" s="711"/>
      <c r="I32974" s="711"/>
      <c r="J32974" s="711"/>
      <c r="K32974" s="711"/>
      <c r="L32974" s="711"/>
      <c r="Q32974" s="11"/>
      <c r="R32974" s="11"/>
      <c r="S32974" s="11"/>
      <c r="T32974" s="11"/>
    </row>
    <row r="32975" spans="8:20" x14ac:dyDescent="0.35">
      <c r="H32975" s="711"/>
      <c r="I32975" s="711"/>
      <c r="J32975" s="711"/>
      <c r="K32975" s="711"/>
      <c r="L32975" s="711"/>
      <c r="Q32975" s="11"/>
      <c r="R32975" s="11"/>
      <c r="S32975" s="11"/>
      <c r="T32975" s="11"/>
    </row>
    <row r="32976" spans="8:20" x14ac:dyDescent="0.35">
      <c r="H32976" s="711"/>
      <c r="I32976" s="711"/>
      <c r="J32976" s="711"/>
      <c r="K32976" s="711"/>
      <c r="L32976" s="711"/>
      <c r="Q32976" s="11"/>
      <c r="R32976" s="11"/>
      <c r="S32976" s="11"/>
      <c r="T32976" s="11"/>
    </row>
    <row r="32977" spans="8:20" x14ac:dyDescent="0.35">
      <c r="H32977" s="711"/>
      <c r="I32977" s="711"/>
      <c r="J32977" s="711"/>
      <c r="K32977" s="711"/>
      <c r="L32977" s="711"/>
      <c r="Q32977" s="11"/>
      <c r="R32977" s="11"/>
      <c r="S32977" s="11"/>
      <c r="T32977" s="11"/>
    </row>
    <row r="32978" spans="8:20" x14ac:dyDescent="0.35">
      <c r="H32978" s="711"/>
      <c r="I32978" s="711"/>
      <c r="J32978" s="711"/>
      <c r="K32978" s="711"/>
      <c r="L32978" s="711"/>
      <c r="Q32978" s="11"/>
      <c r="R32978" s="11"/>
      <c r="S32978" s="11"/>
      <c r="T32978" s="11"/>
    </row>
    <row r="32979" spans="8:20" x14ac:dyDescent="0.35">
      <c r="H32979" s="711"/>
      <c r="I32979" s="711"/>
      <c r="J32979" s="711"/>
      <c r="K32979" s="711"/>
      <c r="L32979" s="711"/>
      <c r="Q32979" s="11"/>
      <c r="R32979" s="11"/>
      <c r="S32979" s="11"/>
      <c r="T32979" s="11"/>
    </row>
    <row r="32980" spans="8:20" x14ac:dyDescent="0.35">
      <c r="H32980" s="711"/>
      <c r="I32980" s="711"/>
      <c r="J32980" s="711"/>
      <c r="K32980" s="711"/>
      <c r="L32980" s="711"/>
      <c r="Q32980" s="11"/>
      <c r="R32980" s="11"/>
      <c r="S32980" s="11"/>
      <c r="T32980" s="11"/>
    </row>
    <row r="32981" spans="8:20" x14ac:dyDescent="0.35">
      <c r="H32981" s="711"/>
      <c r="I32981" s="711"/>
      <c r="J32981" s="711"/>
      <c r="K32981" s="711"/>
      <c r="L32981" s="711"/>
      <c r="Q32981" s="11"/>
      <c r="R32981" s="11"/>
      <c r="S32981" s="11"/>
      <c r="T32981" s="11"/>
    </row>
    <row r="32982" spans="8:20" x14ac:dyDescent="0.35">
      <c r="H32982" s="711"/>
      <c r="I32982" s="711"/>
      <c r="J32982" s="711"/>
      <c r="K32982" s="711"/>
      <c r="L32982" s="711"/>
      <c r="Q32982" s="11"/>
      <c r="R32982" s="11"/>
      <c r="S32982" s="11"/>
      <c r="T32982" s="11"/>
    </row>
    <row r="32983" spans="8:20" x14ac:dyDescent="0.35">
      <c r="H32983" s="711"/>
      <c r="I32983" s="711"/>
      <c r="J32983" s="711"/>
      <c r="K32983" s="711"/>
      <c r="L32983" s="711"/>
      <c r="Q32983" s="11"/>
      <c r="R32983" s="11"/>
      <c r="S32983" s="11"/>
      <c r="T32983" s="11"/>
    </row>
    <row r="32984" spans="8:20" x14ac:dyDescent="0.35">
      <c r="H32984" s="711"/>
      <c r="I32984" s="711"/>
      <c r="J32984" s="711"/>
      <c r="K32984" s="711"/>
      <c r="L32984" s="711"/>
      <c r="Q32984" s="11"/>
      <c r="R32984" s="11"/>
      <c r="S32984" s="11"/>
      <c r="T32984" s="11"/>
    </row>
    <row r="32985" spans="8:20" x14ac:dyDescent="0.35">
      <c r="H32985" s="711"/>
      <c r="I32985" s="711"/>
      <c r="J32985" s="711"/>
      <c r="K32985" s="711"/>
      <c r="L32985" s="711"/>
      <c r="Q32985" s="11"/>
      <c r="R32985" s="11"/>
      <c r="S32985" s="11"/>
      <c r="T32985" s="11"/>
    </row>
    <row r="32986" spans="8:20" x14ac:dyDescent="0.35">
      <c r="H32986" s="711"/>
      <c r="I32986" s="711"/>
      <c r="J32986" s="711"/>
      <c r="K32986" s="711"/>
      <c r="L32986" s="711"/>
      <c r="Q32986" s="11"/>
      <c r="R32986" s="11"/>
      <c r="S32986" s="11"/>
      <c r="T32986" s="11"/>
    </row>
    <row r="32987" spans="8:20" x14ac:dyDescent="0.35">
      <c r="H32987" s="711"/>
      <c r="I32987" s="711"/>
      <c r="J32987" s="711"/>
      <c r="K32987" s="711"/>
      <c r="L32987" s="711"/>
      <c r="Q32987" s="11"/>
      <c r="R32987" s="11"/>
      <c r="S32987" s="11"/>
      <c r="T32987" s="11"/>
    </row>
    <row r="32988" spans="8:20" x14ac:dyDescent="0.35">
      <c r="H32988" s="711"/>
      <c r="I32988" s="711"/>
      <c r="J32988" s="711"/>
      <c r="K32988" s="711"/>
      <c r="L32988" s="711"/>
      <c r="Q32988" s="11"/>
      <c r="R32988" s="11"/>
      <c r="S32988" s="11"/>
      <c r="T32988" s="11"/>
    </row>
    <row r="32989" spans="8:20" x14ac:dyDescent="0.35">
      <c r="H32989" s="711"/>
      <c r="I32989" s="711"/>
      <c r="J32989" s="711"/>
      <c r="K32989" s="711"/>
      <c r="L32989" s="711"/>
      <c r="Q32989" s="11"/>
      <c r="R32989" s="11"/>
      <c r="S32989" s="11"/>
      <c r="T32989" s="11"/>
    </row>
    <row r="32990" spans="8:20" x14ac:dyDescent="0.35">
      <c r="H32990" s="711"/>
      <c r="I32990" s="711"/>
      <c r="J32990" s="711"/>
      <c r="K32990" s="711"/>
      <c r="L32990" s="711"/>
      <c r="Q32990" s="11"/>
      <c r="R32990" s="11"/>
      <c r="S32990" s="11"/>
      <c r="T32990" s="11"/>
    </row>
    <row r="32991" spans="8:20" x14ac:dyDescent="0.35">
      <c r="H32991" s="711"/>
      <c r="I32991" s="711"/>
      <c r="J32991" s="711"/>
      <c r="K32991" s="711"/>
      <c r="L32991" s="711"/>
      <c r="Q32991" s="11"/>
      <c r="R32991" s="11"/>
      <c r="S32991" s="11"/>
      <c r="T32991" s="11"/>
    </row>
    <row r="32992" spans="8:20" x14ac:dyDescent="0.35">
      <c r="H32992" s="711"/>
      <c r="I32992" s="711"/>
      <c r="J32992" s="711"/>
      <c r="K32992" s="711"/>
      <c r="L32992" s="711"/>
      <c r="Q32992" s="11"/>
      <c r="R32992" s="11"/>
      <c r="S32992" s="11"/>
      <c r="T32992" s="11"/>
    </row>
    <row r="32993" spans="8:20" x14ac:dyDescent="0.35">
      <c r="H32993" s="711"/>
      <c r="I32993" s="711"/>
      <c r="J32993" s="711"/>
      <c r="K32993" s="711"/>
      <c r="L32993" s="711"/>
      <c r="Q32993" s="11"/>
      <c r="R32993" s="11"/>
      <c r="S32993" s="11"/>
      <c r="T32993" s="11"/>
    </row>
    <row r="32994" spans="8:20" x14ac:dyDescent="0.35">
      <c r="H32994" s="711"/>
      <c r="I32994" s="711"/>
      <c r="J32994" s="711"/>
      <c r="K32994" s="711"/>
      <c r="L32994" s="711"/>
      <c r="Q32994" s="11"/>
      <c r="R32994" s="11"/>
      <c r="S32994" s="11"/>
      <c r="T32994" s="11"/>
    </row>
    <row r="32995" spans="8:20" x14ac:dyDescent="0.35">
      <c r="H32995" s="711"/>
      <c r="I32995" s="711"/>
      <c r="J32995" s="711"/>
      <c r="K32995" s="711"/>
      <c r="L32995" s="711"/>
      <c r="Q32995" s="11"/>
      <c r="R32995" s="11"/>
      <c r="S32995" s="11"/>
      <c r="T32995" s="11"/>
    </row>
    <row r="32996" spans="8:20" x14ac:dyDescent="0.35">
      <c r="H32996" s="711"/>
      <c r="I32996" s="711"/>
      <c r="J32996" s="711"/>
      <c r="K32996" s="711"/>
      <c r="L32996" s="711"/>
      <c r="Q32996" s="11"/>
      <c r="R32996" s="11"/>
      <c r="S32996" s="11"/>
      <c r="T32996" s="11"/>
    </row>
    <row r="32997" spans="8:20" x14ac:dyDescent="0.35">
      <c r="H32997" s="711"/>
      <c r="I32997" s="711"/>
      <c r="J32997" s="711"/>
      <c r="K32997" s="711"/>
      <c r="L32997" s="711"/>
      <c r="Q32997" s="11"/>
      <c r="R32997" s="11"/>
      <c r="S32997" s="11"/>
      <c r="T32997" s="11"/>
    </row>
    <row r="32998" spans="8:20" x14ac:dyDescent="0.35">
      <c r="H32998" s="711"/>
      <c r="I32998" s="711"/>
      <c r="J32998" s="711"/>
      <c r="K32998" s="711"/>
      <c r="L32998" s="711"/>
      <c r="Q32998" s="11"/>
      <c r="R32998" s="11"/>
      <c r="S32998" s="11"/>
      <c r="T32998" s="11"/>
    </row>
    <row r="32999" spans="8:20" x14ac:dyDescent="0.35">
      <c r="H32999" s="711"/>
      <c r="I32999" s="711"/>
      <c r="J32999" s="711"/>
      <c r="K32999" s="711"/>
      <c r="L32999" s="711"/>
      <c r="Q32999" s="11"/>
      <c r="R32999" s="11"/>
      <c r="S32999" s="11"/>
      <c r="T32999" s="11"/>
    </row>
    <row r="33000" spans="8:20" x14ac:dyDescent="0.35">
      <c r="H33000" s="711"/>
      <c r="I33000" s="711"/>
      <c r="J33000" s="711"/>
      <c r="K33000" s="711"/>
      <c r="L33000" s="711"/>
      <c r="Q33000" s="11"/>
      <c r="R33000" s="11"/>
      <c r="S33000" s="11"/>
      <c r="T33000" s="11"/>
    </row>
    <row r="33001" spans="8:20" x14ac:dyDescent="0.35">
      <c r="H33001" s="711"/>
      <c r="I33001" s="711"/>
      <c r="J33001" s="711"/>
      <c r="K33001" s="711"/>
      <c r="L33001" s="711"/>
      <c r="Q33001" s="11"/>
      <c r="R33001" s="11"/>
      <c r="S33001" s="11"/>
      <c r="T33001" s="11"/>
    </row>
    <row r="33002" spans="8:20" x14ac:dyDescent="0.35">
      <c r="H33002" s="711"/>
      <c r="I33002" s="711"/>
      <c r="J33002" s="711"/>
      <c r="K33002" s="711"/>
      <c r="L33002" s="711"/>
      <c r="Q33002" s="11"/>
      <c r="R33002" s="11"/>
      <c r="S33002" s="11"/>
      <c r="T33002" s="11"/>
    </row>
    <row r="33003" spans="8:20" x14ac:dyDescent="0.35">
      <c r="H33003" s="711"/>
      <c r="I33003" s="711"/>
      <c r="J33003" s="711"/>
      <c r="K33003" s="711"/>
      <c r="L33003" s="711"/>
      <c r="Q33003" s="11"/>
      <c r="R33003" s="11"/>
      <c r="S33003" s="11"/>
      <c r="T33003" s="11"/>
    </row>
    <row r="33004" spans="8:20" x14ac:dyDescent="0.35">
      <c r="H33004" s="711"/>
      <c r="I33004" s="711"/>
      <c r="J33004" s="711"/>
      <c r="K33004" s="711"/>
      <c r="L33004" s="711"/>
      <c r="Q33004" s="11"/>
      <c r="R33004" s="11"/>
      <c r="S33004" s="11"/>
      <c r="T33004" s="11"/>
    </row>
    <row r="33005" spans="8:20" x14ac:dyDescent="0.35">
      <c r="H33005" s="711"/>
      <c r="I33005" s="711"/>
      <c r="J33005" s="711"/>
      <c r="K33005" s="711"/>
      <c r="L33005" s="711"/>
      <c r="Q33005" s="11"/>
      <c r="R33005" s="11"/>
      <c r="S33005" s="11"/>
      <c r="T33005" s="11"/>
    </row>
    <row r="33006" spans="8:20" x14ac:dyDescent="0.35">
      <c r="H33006" s="711"/>
      <c r="I33006" s="711"/>
      <c r="J33006" s="711"/>
      <c r="K33006" s="711"/>
      <c r="L33006" s="711"/>
      <c r="Q33006" s="11"/>
      <c r="R33006" s="11"/>
      <c r="S33006" s="11"/>
      <c r="T33006" s="11"/>
    </row>
    <row r="33007" spans="8:20" x14ac:dyDescent="0.35">
      <c r="H33007" s="711"/>
      <c r="I33007" s="711"/>
      <c r="J33007" s="711"/>
      <c r="K33007" s="711"/>
      <c r="L33007" s="711"/>
      <c r="Q33007" s="11"/>
      <c r="R33007" s="11"/>
      <c r="S33007" s="11"/>
      <c r="T33007" s="11"/>
    </row>
    <row r="33008" spans="8:20" x14ac:dyDescent="0.35">
      <c r="H33008" s="711"/>
      <c r="I33008" s="711"/>
      <c r="J33008" s="711"/>
      <c r="K33008" s="711"/>
      <c r="L33008" s="711"/>
      <c r="Q33008" s="11"/>
      <c r="R33008" s="11"/>
      <c r="S33008" s="11"/>
      <c r="T33008" s="11"/>
    </row>
    <row r="33009" spans="8:20" x14ac:dyDescent="0.35">
      <c r="H33009" s="711"/>
      <c r="I33009" s="711"/>
      <c r="J33009" s="711"/>
      <c r="K33009" s="711"/>
      <c r="L33009" s="711"/>
      <c r="Q33009" s="11"/>
      <c r="R33009" s="11"/>
      <c r="S33009" s="11"/>
      <c r="T33009" s="11"/>
    </row>
    <row r="33010" spans="8:20" x14ac:dyDescent="0.35">
      <c r="H33010" s="711"/>
      <c r="I33010" s="711"/>
      <c r="J33010" s="711"/>
      <c r="K33010" s="711"/>
      <c r="L33010" s="711"/>
      <c r="Q33010" s="11"/>
      <c r="R33010" s="11"/>
      <c r="S33010" s="11"/>
      <c r="T33010" s="11"/>
    </row>
    <row r="33011" spans="8:20" x14ac:dyDescent="0.35">
      <c r="H33011" s="711"/>
      <c r="I33011" s="711"/>
      <c r="J33011" s="711"/>
      <c r="K33011" s="711"/>
      <c r="L33011" s="711"/>
      <c r="Q33011" s="11"/>
      <c r="R33011" s="11"/>
      <c r="S33011" s="11"/>
      <c r="T33011" s="11"/>
    </row>
    <row r="33012" spans="8:20" x14ac:dyDescent="0.35">
      <c r="H33012" s="711"/>
      <c r="I33012" s="711"/>
      <c r="J33012" s="711"/>
      <c r="K33012" s="711"/>
      <c r="L33012" s="711"/>
      <c r="Q33012" s="11"/>
      <c r="R33012" s="11"/>
      <c r="S33012" s="11"/>
      <c r="T33012" s="11"/>
    </row>
    <row r="33013" spans="8:20" x14ac:dyDescent="0.35">
      <c r="H33013" s="711"/>
      <c r="I33013" s="711"/>
      <c r="J33013" s="711"/>
      <c r="K33013" s="711"/>
      <c r="L33013" s="711"/>
      <c r="Q33013" s="11"/>
      <c r="R33013" s="11"/>
      <c r="S33013" s="11"/>
      <c r="T33013" s="11"/>
    </row>
    <row r="33014" spans="8:20" x14ac:dyDescent="0.35">
      <c r="H33014" s="711"/>
      <c r="I33014" s="711"/>
      <c r="J33014" s="711"/>
      <c r="K33014" s="711"/>
      <c r="L33014" s="711"/>
      <c r="Q33014" s="11"/>
      <c r="R33014" s="11"/>
      <c r="S33014" s="11"/>
      <c r="T33014" s="11"/>
    </row>
    <row r="33015" spans="8:20" x14ac:dyDescent="0.35">
      <c r="H33015" s="711"/>
      <c r="I33015" s="711"/>
      <c r="J33015" s="711"/>
      <c r="K33015" s="711"/>
      <c r="L33015" s="711"/>
      <c r="Q33015" s="11"/>
      <c r="R33015" s="11"/>
      <c r="S33015" s="11"/>
      <c r="T33015" s="11"/>
    </row>
    <row r="33016" spans="8:20" x14ac:dyDescent="0.35">
      <c r="H33016" s="711"/>
      <c r="I33016" s="711"/>
      <c r="J33016" s="711"/>
      <c r="K33016" s="711"/>
      <c r="L33016" s="711"/>
      <c r="Q33016" s="11"/>
      <c r="R33016" s="11"/>
      <c r="S33016" s="11"/>
      <c r="T33016" s="11"/>
    </row>
    <row r="33017" spans="8:20" x14ac:dyDescent="0.35">
      <c r="H33017" s="711"/>
      <c r="I33017" s="711"/>
      <c r="J33017" s="711"/>
      <c r="K33017" s="711"/>
      <c r="L33017" s="711"/>
      <c r="Q33017" s="11"/>
      <c r="R33017" s="11"/>
      <c r="S33017" s="11"/>
      <c r="T33017" s="11"/>
    </row>
    <row r="33018" spans="8:20" x14ac:dyDescent="0.35">
      <c r="H33018" s="711"/>
      <c r="I33018" s="711"/>
      <c r="J33018" s="711"/>
      <c r="K33018" s="711"/>
      <c r="L33018" s="711"/>
      <c r="Q33018" s="11"/>
      <c r="R33018" s="11"/>
      <c r="S33018" s="11"/>
      <c r="T33018" s="11"/>
    </row>
    <row r="33019" spans="8:20" x14ac:dyDescent="0.35">
      <c r="H33019" s="711"/>
      <c r="I33019" s="711"/>
      <c r="J33019" s="711"/>
      <c r="K33019" s="711"/>
      <c r="L33019" s="711"/>
      <c r="Q33019" s="11"/>
      <c r="R33019" s="11"/>
      <c r="S33019" s="11"/>
      <c r="T33019" s="11"/>
    </row>
    <row r="33020" spans="8:20" x14ac:dyDescent="0.35">
      <c r="H33020" s="711"/>
      <c r="I33020" s="711"/>
      <c r="J33020" s="711"/>
      <c r="K33020" s="711"/>
      <c r="L33020" s="711"/>
      <c r="Q33020" s="11"/>
      <c r="R33020" s="11"/>
      <c r="S33020" s="11"/>
      <c r="T33020" s="11"/>
    </row>
    <row r="33021" spans="8:20" x14ac:dyDescent="0.35">
      <c r="H33021" s="711"/>
      <c r="I33021" s="711"/>
      <c r="J33021" s="711"/>
      <c r="K33021" s="711"/>
      <c r="L33021" s="711"/>
      <c r="Q33021" s="11"/>
      <c r="R33021" s="11"/>
      <c r="S33021" s="11"/>
      <c r="T33021" s="11"/>
    </row>
    <row r="33022" spans="8:20" x14ac:dyDescent="0.35">
      <c r="H33022" s="711"/>
      <c r="I33022" s="711"/>
      <c r="J33022" s="711"/>
      <c r="K33022" s="711"/>
      <c r="L33022" s="711"/>
      <c r="Q33022" s="11"/>
      <c r="R33022" s="11"/>
      <c r="S33022" s="11"/>
      <c r="T33022" s="11"/>
    </row>
    <row r="33023" spans="8:20" x14ac:dyDescent="0.35">
      <c r="H33023" s="711"/>
      <c r="I33023" s="711"/>
      <c r="J33023" s="711"/>
      <c r="K33023" s="711"/>
      <c r="L33023" s="711"/>
      <c r="Q33023" s="11"/>
      <c r="R33023" s="11"/>
      <c r="S33023" s="11"/>
      <c r="T33023" s="11"/>
    </row>
    <row r="33024" spans="8:20" x14ac:dyDescent="0.35">
      <c r="H33024" s="711"/>
      <c r="I33024" s="711"/>
      <c r="J33024" s="711"/>
      <c r="K33024" s="711"/>
      <c r="L33024" s="711"/>
      <c r="Q33024" s="11"/>
      <c r="R33024" s="11"/>
      <c r="S33024" s="11"/>
      <c r="T33024" s="11"/>
    </row>
    <row r="33025" spans="8:20" x14ac:dyDescent="0.35">
      <c r="H33025" s="711"/>
      <c r="I33025" s="711"/>
      <c r="J33025" s="711"/>
      <c r="K33025" s="711"/>
      <c r="L33025" s="711"/>
      <c r="Q33025" s="11"/>
      <c r="R33025" s="11"/>
      <c r="S33025" s="11"/>
      <c r="T33025" s="11"/>
    </row>
    <row r="33026" spans="8:20" x14ac:dyDescent="0.35">
      <c r="H33026" s="711"/>
      <c r="I33026" s="711"/>
      <c r="J33026" s="711"/>
      <c r="K33026" s="711"/>
      <c r="L33026" s="711"/>
      <c r="Q33026" s="11"/>
      <c r="R33026" s="11"/>
      <c r="S33026" s="11"/>
      <c r="T33026" s="11"/>
    </row>
    <row r="33027" spans="8:20" x14ac:dyDescent="0.35">
      <c r="H33027" s="711"/>
      <c r="I33027" s="711"/>
      <c r="J33027" s="711"/>
      <c r="K33027" s="711"/>
      <c r="L33027" s="711"/>
      <c r="Q33027" s="11"/>
      <c r="R33027" s="11"/>
      <c r="S33027" s="11"/>
      <c r="T33027" s="11"/>
    </row>
    <row r="33028" spans="8:20" x14ac:dyDescent="0.35">
      <c r="H33028" s="711"/>
      <c r="I33028" s="711"/>
      <c r="J33028" s="711"/>
      <c r="K33028" s="711"/>
      <c r="L33028" s="711"/>
      <c r="Q33028" s="11"/>
      <c r="R33028" s="11"/>
      <c r="S33028" s="11"/>
      <c r="T33028" s="11"/>
    </row>
    <row r="33029" spans="8:20" x14ac:dyDescent="0.35">
      <c r="H33029" s="711"/>
      <c r="I33029" s="711"/>
      <c r="J33029" s="711"/>
      <c r="K33029" s="711"/>
      <c r="L33029" s="711"/>
      <c r="Q33029" s="11"/>
      <c r="R33029" s="11"/>
      <c r="S33029" s="11"/>
      <c r="T33029" s="11"/>
    </row>
    <row r="33030" spans="8:20" x14ac:dyDescent="0.35">
      <c r="H33030" s="711"/>
      <c r="I33030" s="711"/>
      <c r="J33030" s="711"/>
      <c r="K33030" s="711"/>
      <c r="L33030" s="711"/>
      <c r="Q33030" s="11"/>
      <c r="R33030" s="11"/>
      <c r="S33030" s="11"/>
      <c r="T33030" s="11"/>
    </row>
    <row r="33031" spans="8:20" x14ac:dyDescent="0.35">
      <c r="H33031" s="711"/>
      <c r="I33031" s="711"/>
      <c r="J33031" s="711"/>
      <c r="K33031" s="711"/>
      <c r="L33031" s="711"/>
      <c r="Q33031" s="11"/>
      <c r="R33031" s="11"/>
      <c r="S33031" s="11"/>
      <c r="T33031" s="11"/>
    </row>
    <row r="33032" spans="8:20" x14ac:dyDescent="0.35">
      <c r="H33032" s="711"/>
      <c r="I33032" s="711"/>
      <c r="J33032" s="711"/>
      <c r="K33032" s="711"/>
      <c r="L33032" s="711"/>
      <c r="Q33032" s="11"/>
      <c r="R33032" s="11"/>
      <c r="S33032" s="11"/>
      <c r="T33032" s="11"/>
    </row>
    <row r="33033" spans="8:20" x14ac:dyDescent="0.35">
      <c r="H33033" s="711"/>
      <c r="I33033" s="711"/>
      <c r="J33033" s="711"/>
      <c r="K33033" s="711"/>
      <c r="L33033" s="711"/>
      <c r="Q33033" s="11"/>
      <c r="R33033" s="11"/>
      <c r="S33033" s="11"/>
      <c r="T33033" s="11"/>
    </row>
    <row r="33034" spans="8:20" x14ac:dyDescent="0.35">
      <c r="H33034" s="711"/>
      <c r="I33034" s="711"/>
      <c r="J33034" s="711"/>
      <c r="K33034" s="711"/>
      <c r="L33034" s="711"/>
      <c r="Q33034" s="11"/>
      <c r="R33034" s="11"/>
      <c r="S33034" s="11"/>
      <c r="T33034" s="11"/>
    </row>
    <row r="33035" spans="8:20" x14ac:dyDescent="0.35">
      <c r="H33035" s="711"/>
      <c r="I33035" s="711"/>
      <c r="J33035" s="711"/>
      <c r="K33035" s="711"/>
      <c r="L33035" s="711"/>
      <c r="Q33035" s="11"/>
      <c r="R33035" s="11"/>
      <c r="S33035" s="11"/>
      <c r="T33035" s="11"/>
    </row>
    <row r="33036" spans="8:20" x14ac:dyDescent="0.35">
      <c r="H33036" s="711"/>
      <c r="I33036" s="711"/>
      <c r="J33036" s="711"/>
      <c r="K33036" s="711"/>
      <c r="L33036" s="711"/>
      <c r="Q33036" s="11"/>
      <c r="R33036" s="11"/>
      <c r="S33036" s="11"/>
      <c r="T33036" s="11"/>
    </row>
    <row r="33037" spans="8:20" x14ac:dyDescent="0.35">
      <c r="H33037" s="711"/>
      <c r="I33037" s="711"/>
      <c r="J33037" s="711"/>
      <c r="K33037" s="711"/>
      <c r="L33037" s="711"/>
      <c r="Q33037" s="11"/>
      <c r="R33037" s="11"/>
      <c r="S33037" s="11"/>
      <c r="T33037" s="11"/>
    </row>
    <row r="33038" spans="8:20" x14ac:dyDescent="0.35">
      <c r="H33038" s="711"/>
      <c r="I33038" s="711"/>
      <c r="J33038" s="711"/>
      <c r="K33038" s="711"/>
      <c r="L33038" s="711"/>
      <c r="Q33038" s="11"/>
      <c r="R33038" s="11"/>
      <c r="S33038" s="11"/>
      <c r="T33038" s="11"/>
    </row>
    <row r="33039" spans="8:20" x14ac:dyDescent="0.35">
      <c r="H33039" s="711"/>
      <c r="I33039" s="711"/>
      <c r="J33039" s="711"/>
      <c r="K33039" s="711"/>
      <c r="L33039" s="711"/>
      <c r="Q33039" s="11"/>
      <c r="R33039" s="11"/>
      <c r="S33039" s="11"/>
      <c r="T33039" s="11"/>
    </row>
    <row r="33040" spans="8:20" x14ac:dyDescent="0.35">
      <c r="H33040" s="711"/>
      <c r="I33040" s="711"/>
      <c r="J33040" s="711"/>
      <c r="K33040" s="711"/>
      <c r="L33040" s="711"/>
      <c r="Q33040" s="11"/>
      <c r="R33040" s="11"/>
      <c r="S33040" s="11"/>
      <c r="T33040" s="11"/>
    </row>
    <row r="33041" spans="8:20" x14ac:dyDescent="0.35">
      <c r="H33041" s="711"/>
      <c r="I33041" s="711"/>
      <c r="J33041" s="711"/>
      <c r="K33041" s="711"/>
      <c r="L33041" s="711"/>
      <c r="Q33041" s="11"/>
      <c r="R33041" s="11"/>
      <c r="S33041" s="11"/>
      <c r="T33041" s="11"/>
    </row>
    <row r="33042" spans="8:20" x14ac:dyDescent="0.35">
      <c r="H33042" s="711"/>
      <c r="I33042" s="711"/>
      <c r="J33042" s="711"/>
      <c r="K33042" s="711"/>
      <c r="L33042" s="711"/>
      <c r="Q33042" s="11"/>
      <c r="R33042" s="11"/>
      <c r="S33042" s="11"/>
      <c r="T33042" s="11"/>
    </row>
    <row r="33043" spans="8:20" x14ac:dyDescent="0.35">
      <c r="H33043" s="711"/>
      <c r="I33043" s="711"/>
      <c r="J33043" s="711"/>
      <c r="K33043" s="711"/>
      <c r="L33043" s="711"/>
      <c r="Q33043" s="11"/>
      <c r="R33043" s="11"/>
      <c r="S33043" s="11"/>
      <c r="T33043" s="11"/>
    </row>
    <row r="33044" spans="8:20" x14ac:dyDescent="0.35">
      <c r="H33044" s="711"/>
      <c r="I33044" s="711"/>
      <c r="J33044" s="711"/>
      <c r="K33044" s="711"/>
      <c r="L33044" s="711"/>
      <c r="Q33044" s="11"/>
      <c r="R33044" s="11"/>
      <c r="S33044" s="11"/>
      <c r="T33044" s="11"/>
    </row>
    <row r="33045" spans="8:20" x14ac:dyDescent="0.35">
      <c r="H33045" s="711"/>
      <c r="I33045" s="711"/>
      <c r="J33045" s="711"/>
      <c r="K33045" s="711"/>
      <c r="L33045" s="711"/>
      <c r="Q33045" s="11"/>
      <c r="R33045" s="11"/>
      <c r="S33045" s="11"/>
      <c r="T33045" s="11"/>
    </row>
    <row r="33046" spans="8:20" x14ac:dyDescent="0.35">
      <c r="H33046" s="711"/>
      <c r="I33046" s="711"/>
      <c r="J33046" s="711"/>
      <c r="K33046" s="711"/>
      <c r="L33046" s="711"/>
      <c r="Q33046" s="11"/>
      <c r="R33046" s="11"/>
      <c r="S33046" s="11"/>
      <c r="T33046" s="11"/>
    </row>
    <row r="33047" spans="8:20" x14ac:dyDescent="0.35">
      <c r="H33047" s="711"/>
      <c r="I33047" s="711"/>
      <c r="J33047" s="711"/>
      <c r="K33047" s="711"/>
      <c r="L33047" s="711"/>
      <c r="Q33047" s="11"/>
      <c r="R33047" s="11"/>
      <c r="S33047" s="11"/>
      <c r="T33047" s="11"/>
    </row>
    <row r="33048" spans="8:20" x14ac:dyDescent="0.35">
      <c r="H33048" s="711"/>
      <c r="I33048" s="711"/>
      <c r="J33048" s="711"/>
      <c r="K33048" s="711"/>
      <c r="L33048" s="711"/>
      <c r="Q33048" s="11"/>
      <c r="R33048" s="11"/>
      <c r="S33048" s="11"/>
      <c r="T33048" s="11"/>
    </row>
    <row r="33049" spans="8:20" x14ac:dyDescent="0.35">
      <c r="H33049" s="711"/>
      <c r="I33049" s="711"/>
      <c r="J33049" s="711"/>
      <c r="K33049" s="711"/>
      <c r="L33049" s="711"/>
      <c r="Q33049" s="11"/>
      <c r="R33049" s="11"/>
      <c r="S33049" s="11"/>
      <c r="T33049" s="11"/>
    </row>
    <row r="33050" spans="8:20" x14ac:dyDescent="0.35">
      <c r="H33050" s="711"/>
      <c r="I33050" s="711"/>
      <c r="J33050" s="711"/>
      <c r="K33050" s="711"/>
      <c r="L33050" s="711"/>
      <c r="Q33050" s="11"/>
      <c r="R33050" s="11"/>
      <c r="S33050" s="11"/>
      <c r="T33050" s="11"/>
    </row>
    <row r="33051" spans="8:20" x14ac:dyDescent="0.35">
      <c r="H33051" s="711"/>
      <c r="I33051" s="711"/>
      <c r="J33051" s="711"/>
      <c r="K33051" s="711"/>
      <c r="L33051" s="711"/>
      <c r="Q33051" s="11"/>
      <c r="R33051" s="11"/>
      <c r="S33051" s="11"/>
      <c r="T33051" s="11"/>
    </row>
    <row r="33052" spans="8:20" x14ac:dyDescent="0.35">
      <c r="H33052" s="711"/>
      <c r="I33052" s="711"/>
      <c r="J33052" s="711"/>
      <c r="K33052" s="711"/>
      <c r="L33052" s="711"/>
      <c r="Q33052" s="11"/>
      <c r="R33052" s="11"/>
      <c r="S33052" s="11"/>
      <c r="T33052" s="11"/>
    </row>
    <row r="33053" spans="8:20" x14ac:dyDescent="0.35">
      <c r="H33053" s="711"/>
      <c r="I33053" s="711"/>
      <c r="J33053" s="711"/>
      <c r="K33053" s="711"/>
      <c r="L33053" s="711"/>
      <c r="Q33053" s="11"/>
      <c r="R33053" s="11"/>
      <c r="S33053" s="11"/>
      <c r="T33053" s="11"/>
    </row>
    <row r="33054" spans="8:20" x14ac:dyDescent="0.35">
      <c r="H33054" s="711"/>
      <c r="I33054" s="711"/>
      <c r="J33054" s="711"/>
      <c r="K33054" s="711"/>
      <c r="L33054" s="711"/>
      <c r="Q33054" s="11"/>
      <c r="R33054" s="11"/>
      <c r="S33054" s="11"/>
      <c r="T33054" s="11"/>
    </row>
    <row r="33055" spans="8:20" x14ac:dyDescent="0.35">
      <c r="H33055" s="711"/>
      <c r="I33055" s="711"/>
      <c r="J33055" s="711"/>
      <c r="K33055" s="711"/>
      <c r="L33055" s="711"/>
      <c r="Q33055" s="11"/>
      <c r="R33055" s="11"/>
      <c r="S33055" s="11"/>
      <c r="T33055" s="11"/>
    </row>
    <row r="33056" spans="8:20" x14ac:dyDescent="0.35">
      <c r="H33056" s="711"/>
      <c r="I33056" s="711"/>
      <c r="J33056" s="711"/>
      <c r="K33056" s="711"/>
      <c r="L33056" s="711"/>
      <c r="Q33056" s="11"/>
      <c r="R33056" s="11"/>
      <c r="S33056" s="11"/>
      <c r="T33056" s="11"/>
    </row>
    <row r="33057" spans="8:20" x14ac:dyDescent="0.35">
      <c r="H33057" s="711"/>
      <c r="I33057" s="711"/>
      <c r="J33057" s="711"/>
      <c r="K33057" s="711"/>
      <c r="L33057" s="711"/>
      <c r="Q33057" s="11"/>
      <c r="R33057" s="11"/>
      <c r="S33057" s="11"/>
      <c r="T33057" s="11"/>
    </row>
    <row r="33058" spans="8:20" x14ac:dyDescent="0.35">
      <c r="H33058" s="711"/>
      <c r="I33058" s="711"/>
      <c r="J33058" s="711"/>
      <c r="K33058" s="711"/>
      <c r="L33058" s="711"/>
      <c r="Q33058" s="11"/>
      <c r="R33058" s="11"/>
      <c r="S33058" s="11"/>
      <c r="T33058" s="11"/>
    </row>
    <row r="33059" spans="8:20" x14ac:dyDescent="0.35">
      <c r="H33059" s="711"/>
      <c r="I33059" s="711"/>
      <c r="J33059" s="711"/>
      <c r="K33059" s="711"/>
      <c r="L33059" s="711"/>
      <c r="Q33059" s="11"/>
      <c r="R33059" s="11"/>
      <c r="S33059" s="11"/>
      <c r="T33059" s="11"/>
    </row>
    <row r="33060" spans="8:20" x14ac:dyDescent="0.35">
      <c r="H33060" s="711"/>
      <c r="I33060" s="711"/>
      <c r="J33060" s="711"/>
      <c r="K33060" s="711"/>
      <c r="L33060" s="711"/>
      <c r="Q33060" s="11"/>
      <c r="R33060" s="11"/>
      <c r="S33060" s="11"/>
      <c r="T33060" s="11"/>
    </row>
    <row r="33061" spans="8:20" x14ac:dyDescent="0.35">
      <c r="H33061" s="711"/>
      <c r="I33061" s="711"/>
      <c r="J33061" s="711"/>
      <c r="K33061" s="711"/>
      <c r="L33061" s="711"/>
      <c r="Q33061" s="11"/>
      <c r="R33061" s="11"/>
      <c r="S33061" s="11"/>
      <c r="T33061" s="11"/>
    </row>
    <row r="33062" spans="8:20" x14ac:dyDescent="0.35">
      <c r="H33062" s="711"/>
      <c r="I33062" s="711"/>
      <c r="J33062" s="711"/>
      <c r="K33062" s="711"/>
      <c r="L33062" s="711"/>
      <c r="Q33062" s="11"/>
      <c r="R33062" s="11"/>
      <c r="S33062" s="11"/>
      <c r="T33062" s="11"/>
    </row>
    <row r="33063" spans="8:20" x14ac:dyDescent="0.35">
      <c r="H33063" s="711"/>
      <c r="I33063" s="711"/>
      <c r="J33063" s="711"/>
      <c r="K33063" s="711"/>
      <c r="L33063" s="711"/>
      <c r="Q33063" s="11"/>
      <c r="R33063" s="11"/>
      <c r="S33063" s="11"/>
      <c r="T33063" s="11"/>
    </row>
    <row r="33064" spans="8:20" x14ac:dyDescent="0.35">
      <c r="H33064" s="711"/>
      <c r="I33064" s="711"/>
      <c r="J33064" s="711"/>
      <c r="K33064" s="711"/>
      <c r="L33064" s="711"/>
      <c r="Q33064" s="11"/>
      <c r="R33064" s="11"/>
      <c r="S33064" s="11"/>
      <c r="T33064" s="11"/>
    </row>
    <row r="33065" spans="8:20" x14ac:dyDescent="0.35">
      <c r="H33065" s="711"/>
      <c r="I33065" s="711"/>
      <c r="J33065" s="711"/>
      <c r="K33065" s="711"/>
      <c r="L33065" s="711"/>
      <c r="Q33065" s="11"/>
      <c r="R33065" s="11"/>
      <c r="S33065" s="11"/>
      <c r="T33065" s="11"/>
    </row>
    <row r="33066" spans="8:20" x14ac:dyDescent="0.35">
      <c r="H33066" s="711"/>
      <c r="I33066" s="711"/>
      <c r="J33066" s="711"/>
      <c r="K33066" s="711"/>
      <c r="L33066" s="711"/>
      <c r="Q33066" s="11"/>
      <c r="R33066" s="11"/>
      <c r="S33066" s="11"/>
      <c r="T33066" s="11"/>
    </row>
    <row r="33067" spans="8:20" x14ac:dyDescent="0.35">
      <c r="H33067" s="711"/>
      <c r="I33067" s="711"/>
      <c r="J33067" s="711"/>
      <c r="K33067" s="711"/>
      <c r="L33067" s="711"/>
      <c r="Q33067" s="11"/>
      <c r="R33067" s="11"/>
      <c r="S33067" s="11"/>
      <c r="T33067" s="11"/>
    </row>
    <row r="33068" spans="8:20" x14ac:dyDescent="0.35">
      <c r="H33068" s="711"/>
      <c r="I33068" s="711"/>
      <c r="J33068" s="711"/>
      <c r="K33068" s="711"/>
      <c r="L33068" s="711"/>
      <c r="Q33068" s="11"/>
      <c r="R33068" s="11"/>
      <c r="S33068" s="11"/>
      <c r="T33068" s="11"/>
    </row>
    <row r="33069" spans="8:20" x14ac:dyDescent="0.35">
      <c r="H33069" s="711"/>
      <c r="I33069" s="711"/>
      <c r="J33069" s="711"/>
      <c r="K33069" s="711"/>
      <c r="L33069" s="711"/>
      <c r="Q33069" s="11"/>
      <c r="R33069" s="11"/>
      <c r="S33069" s="11"/>
      <c r="T33069" s="11"/>
    </row>
    <row r="33070" spans="8:20" x14ac:dyDescent="0.35">
      <c r="H33070" s="711"/>
      <c r="I33070" s="711"/>
      <c r="J33070" s="711"/>
      <c r="K33070" s="711"/>
      <c r="L33070" s="711"/>
      <c r="Q33070" s="11"/>
      <c r="R33070" s="11"/>
      <c r="S33070" s="11"/>
      <c r="T33070" s="11"/>
    </row>
    <row r="33071" spans="8:20" x14ac:dyDescent="0.35">
      <c r="H33071" s="711"/>
      <c r="I33071" s="711"/>
      <c r="J33071" s="711"/>
      <c r="K33071" s="711"/>
      <c r="L33071" s="711"/>
      <c r="Q33071" s="11"/>
      <c r="R33071" s="11"/>
      <c r="S33071" s="11"/>
      <c r="T33071" s="11"/>
    </row>
    <row r="33072" spans="8:20" x14ac:dyDescent="0.35">
      <c r="H33072" s="711"/>
      <c r="I33072" s="711"/>
      <c r="J33072" s="711"/>
      <c r="K33072" s="711"/>
      <c r="L33072" s="711"/>
      <c r="Q33072" s="11"/>
      <c r="R33072" s="11"/>
      <c r="S33072" s="11"/>
      <c r="T33072" s="11"/>
    </row>
    <row r="33073" spans="8:20" x14ac:dyDescent="0.35">
      <c r="H33073" s="711"/>
      <c r="I33073" s="711"/>
      <c r="J33073" s="711"/>
      <c r="K33073" s="711"/>
      <c r="L33073" s="711"/>
      <c r="Q33073" s="11"/>
      <c r="R33073" s="11"/>
      <c r="S33073" s="11"/>
      <c r="T33073" s="11"/>
    </row>
    <row r="33074" spans="8:20" x14ac:dyDescent="0.35">
      <c r="H33074" s="711"/>
      <c r="I33074" s="711"/>
      <c r="J33074" s="711"/>
      <c r="K33074" s="711"/>
      <c r="L33074" s="711"/>
      <c r="Q33074" s="11"/>
      <c r="R33074" s="11"/>
      <c r="S33074" s="11"/>
      <c r="T33074" s="11"/>
    </row>
    <row r="33075" spans="8:20" x14ac:dyDescent="0.35">
      <c r="H33075" s="711"/>
      <c r="I33075" s="711"/>
      <c r="J33075" s="711"/>
      <c r="K33075" s="711"/>
      <c r="L33075" s="711"/>
      <c r="Q33075" s="11"/>
      <c r="R33075" s="11"/>
      <c r="S33075" s="11"/>
      <c r="T33075" s="11"/>
    </row>
    <row r="33076" spans="8:20" x14ac:dyDescent="0.35">
      <c r="H33076" s="711"/>
      <c r="I33076" s="711"/>
      <c r="J33076" s="711"/>
      <c r="K33076" s="711"/>
      <c r="L33076" s="711"/>
      <c r="Q33076" s="11"/>
      <c r="R33076" s="11"/>
      <c r="S33076" s="11"/>
      <c r="T33076" s="11"/>
    </row>
    <row r="33077" spans="8:20" x14ac:dyDescent="0.35">
      <c r="H33077" s="711"/>
      <c r="I33077" s="711"/>
      <c r="J33077" s="711"/>
      <c r="K33077" s="711"/>
      <c r="L33077" s="711"/>
      <c r="Q33077" s="11"/>
      <c r="R33077" s="11"/>
      <c r="S33077" s="11"/>
      <c r="T33077" s="11"/>
    </row>
    <row r="33078" spans="8:20" x14ac:dyDescent="0.35">
      <c r="H33078" s="711"/>
      <c r="I33078" s="711"/>
      <c r="J33078" s="711"/>
      <c r="K33078" s="711"/>
      <c r="L33078" s="711"/>
      <c r="Q33078" s="11"/>
      <c r="R33078" s="11"/>
      <c r="S33078" s="11"/>
      <c r="T33078" s="11"/>
    </row>
    <row r="33079" spans="8:20" x14ac:dyDescent="0.35">
      <c r="H33079" s="711"/>
      <c r="I33079" s="711"/>
      <c r="J33079" s="711"/>
      <c r="K33079" s="711"/>
      <c r="L33079" s="711"/>
      <c r="Q33079" s="11"/>
      <c r="R33079" s="11"/>
      <c r="S33079" s="11"/>
      <c r="T33079" s="11"/>
    </row>
    <row r="33080" spans="8:20" x14ac:dyDescent="0.35">
      <c r="H33080" s="711"/>
      <c r="I33080" s="711"/>
      <c r="J33080" s="711"/>
      <c r="K33080" s="711"/>
      <c r="L33080" s="711"/>
      <c r="Q33080" s="11"/>
      <c r="R33080" s="11"/>
      <c r="S33080" s="11"/>
      <c r="T33080" s="11"/>
    </row>
    <row r="33081" spans="8:20" x14ac:dyDescent="0.35">
      <c r="H33081" s="711"/>
      <c r="I33081" s="711"/>
      <c r="J33081" s="711"/>
      <c r="K33081" s="711"/>
      <c r="L33081" s="711"/>
      <c r="Q33081" s="11"/>
      <c r="R33081" s="11"/>
      <c r="S33081" s="11"/>
      <c r="T33081" s="11"/>
    </row>
    <row r="33082" spans="8:20" x14ac:dyDescent="0.35">
      <c r="H33082" s="711"/>
      <c r="I33082" s="711"/>
      <c r="J33082" s="711"/>
      <c r="K33082" s="711"/>
      <c r="L33082" s="711"/>
      <c r="Q33082" s="11"/>
      <c r="R33082" s="11"/>
      <c r="S33082" s="11"/>
      <c r="T33082" s="11"/>
    </row>
    <row r="33083" spans="8:20" x14ac:dyDescent="0.35">
      <c r="H33083" s="711"/>
      <c r="I33083" s="711"/>
      <c r="J33083" s="711"/>
      <c r="K33083" s="711"/>
      <c r="L33083" s="711"/>
      <c r="Q33083" s="11"/>
      <c r="R33083" s="11"/>
      <c r="S33083" s="11"/>
      <c r="T33083" s="11"/>
    </row>
    <row r="33084" spans="8:20" x14ac:dyDescent="0.35">
      <c r="H33084" s="711"/>
      <c r="I33084" s="711"/>
      <c r="J33084" s="711"/>
      <c r="K33084" s="711"/>
      <c r="L33084" s="711"/>
      <c r="Q33084" s="11"/>
      <c r="R33084" s="11"/>
      <c r="S33084" s="11"/>
      <c r="T33084" s="11"/>
    </row>
    <row r="33085" spans="8:20" x14ac:dyDescent="0.35">
      <c r="H33085" s="711"/>
      <c r="I33085" s="711"/>
      <c r="J33085" s="711"/>
      <c r="K33085" s="711"/>
      <c r="L33085" s="711"/>
      <c r="Q33085" s="11"/>
      <c r="R33085" s="11"/>
      <c r="S33085" s="11"/>
      <c r="T33085" s="11"/>
    </row>
    <row r="33086" spans="8:20" x14ac:dyDescent="0.35">
      <c r="H33086" s="711"/>
      <c r="I33086" s="711"/>
      <c r="J33086" s="711"/>
      <c r="K33086" s="711"/>
      <c r="L33086" s="711"/>
      <c r="Q33086" s="11"/>
      <c r="R33086" s="11"/>
      <c r="S33086" s="11"/>
      <c r="T33086" s="11"/>
    </row>
    <row r="33087" spans="8:20" x14ac:dyDescent="0.35">
      <c r="H33087" s="711"/>
      <c r="I33087" s="711"/>
      <c r="J33087" s="711"/>
      <c r="K33087" s="711"/>
      <c r="L33087" s="711"/>
      <c r="Q33087" s="11"/>
      <c r="R33087" s="11"/>
      <c r="S33087" s="11"/>
      <c r="T33087" s="11"/>
    </row>
    <row r="33088" spans="8:20" x14ac:dyDescent="0.35">
      <c r="H33088" s="711"/>
      <c r="I33088" s="711"/>
      <c r="J33088" s="711"/>
      <c r="K33088" s="711"/>
      <c r="L33088" s="711"/>
      <c r="Q33088" s="11"/>
      <c r="R33088" s="11"/>
      <c r="S33088" s="11"/>
      <c r="T33088" s="11"/>
    </row>
    <row r="33089" spans="8:20" x14ac:dyDescent="0.35">
      <c r="H33089" s="711"/>
      <c r="I33089" s="711"/>
      <c r="J33089" s="711"/>
      <c r="K33089" s="711"/>
      <c r="L33089" s="711"/>
      <c r="Q33089" s="11"/>
      <c r="R33089" s="11"/>
      <c r="S33089" s="11"/>
      <c r="T33089" s="11"/>
    </row>
    <row r="33090" spans="8:20" x14ac:dyDescent="0.35">
      <c r="H33090" s="711"/>
      <c r="I33090" s="711"/>
      <c r="J33090" s="711"/>
      <c r="K33090" s="711"/>
      <c r="L33090" s="711"/>
      <c r="Q33090" s="11"/>
      <c r="R33090" s="11"/>
      <c r="S33090" s="11"/>
      <c r="T33090" s="11"/>
    </row>
    <row r="33091" spans="8:20" x14ac:dyDescent="0.35">
      <c r="H33091" s="711"/>
      <c r="I33091" s="711"/>
      <c r="J33091" s="711"/>
      <c r="K33091" s="711"/>
      <c r="L33091" s="711"/>
      <c r="Q33091" s="11"/>
      <c r="R33091" s="11"/>
      <c r="S33091" s="11"/>
      <c r="T33091" s="11"/>
    </row>
    <row r="33092" spans="8:20" x14ac:dyDescent="0.35">
      <c r="H33092" s="711"/>
      <c r="I33092" s="711"/>
      <c r="J33092" s="711"/>
      <c r="K33092" s="711"/>
      <c r="L33092" s="711"/>
      <c r="Q33092" s="11"/>
      <c r="R33092" s="11"/>
      <c r="S33092" s="11"/>
      <c r="T33092" s="11"/>
    </row>
    <row r="33093" spans="8:20" x14ac:dyDescent="0.35">
      <c r="H33093" s="711"/>
      <c r="I33093" s="711"/>
      <c r="J33093" s="711"/>
      <c r="K33093" s="711"/>
      <c r="L33093" s="711"/>
      <c r="Q33093" s="11"/>
      <c r="R33093" s="11"/>
      <c r="S33093" s="11"/>
      <c r="T33093" s="11"/>
    </row>
    <row r="33094" spans="8:20" x14ac:dyDescent="0.35">
      <c r="H33094" s="711"/>
      <c r="I33094" s="711"/>
      <c r="J33094" s="711"/>
      <c r="K33094" s="711"/>
      <c r="L33094" s="711"/>
      <c r="Q33094" s="11"/>
      <c r="R33094" s="11"/>
      <c r="S33094" s="11"/>
      <c r="T33094" s="11"/>
    </row>
    <row r="33095" spans="8:20" x14ac:dyDescent="0.35">
      <c r="H33095" s="711"/>
      <c r="I33095" s="711"/>
      <c r="J33095" s="711"/>
      <c r="K33095" s="711"/>
      <c r="L33095" s="711"/>
      <c r="Q33095" s="11"/>
      <c r="R33095" s="11"/>
      <c r="S33095" s="11"/>
      <c r="T33095" s="11"/>
    </row>
    <row r="33096" spans="8:20" x14ac:dyDescent="0.35">
      <c r="H33096" s="711"/>
      <c r="I33096" s="711"/>
      <c r="J33096" s="711"/>
      <c r="K33096" s="711"/>
      <c r="L33096" s="711"/>
      <c r="Q33096" s="11"/>
      <c r="R33096" s="11"/>
      <c r="S33096" s="11"/>
      <c r="T33096" s="11"/>
    </row>
    <row r="33097" spans="8:20" x14ac:dyDescent="0.35">
      <c r="H33097" s="711"/>
      <c r="I33097" s="711"/>
      <c r="J33097" s="711"/>
      <c r="K33097" s="711"/>
      <c r="L33097" s="711"/>
      <c r="Q33097" s="11"/>
      <c r="R33097" s="11"/>
      <c r="S33097" s="11"/>
      <c r="T33097" s="11"/>
    </row>
    <row r="33098" spans="8:20" x14ac:dyDescent="0.35">
      <c r="H33098" s="711"/>
      <c r="I33098" s="711"/>
      <c r="J33098" s="711"/>
      <c r="K33098" s="711"/>
      <c r="L33098" s="711"/>
      <c r="Q33098" s="11"/>
      <c r="R33098" s="11"/>
      <c r="S33098" s="11"/>
      <c r="T33098" s="11"/>
    </row>
    <row r="33099" spans="8:20" x14ac:dyDescent="0.35">
      <c r="H33099" s="711"/>
      <c r="I33099" s="711"/>
      <c r="J33099" s="711"/>
      <c r="K33099" s="711"/>
      <c r="L33099" s="711"/>
      <c r="Q33099" s="11"/>
      <c r="R33099" s="11"/>
      <c r="S33099" s="11"/>
      <c r="T33099" s="11"/>
    </row>
    <row r="33100" spans="8:20" x14ac:dyDescent="0.35">
      <c r="H33100" s="711"/>
      <c r="I33100" s="711"/>
      <c r="J33100" s="711"/>
      <c r="K33100" s="711"/>
      <c r="L33100" s="711"/>
      <c r="Q33100" s="11"/>
      <c r="R33100" s="11"/>
      <c r="S33100" s="11"/>
      <c r="T33100" s="11"/>
    </row>
    <row r="33101" spans="8:20" x14ac:dyDescent="0.35">
      <c r="H33101" s="711"/>
      <c r="I33101" s="711"/>
      <c r="J33101" s="711"/>
      <c r="K33101" s="711"/>
      <c r="L33101" s="711"/>
      <c r="Q33101" s="11"/>
      <c r="R33101" s="11"/>
      <c r="S33101" s="11"/>
      <c r="T33101" s="11"/>
    </row>
    <row r="33102" spans="8:20" x14ac:dyDescent="0.35">
      <c r="H33102" s="711"/>
      <c r="I33102" s="711"/>
      <c r="J33102" s="711"/>
      <c r="K33102" s="711"/>
      <c r="L33102" s="711"/>
      <c r="Q33102" s="11"/>
      <c r="R33102" s="11"/>
      <c r="S33102" s="11"/>
      <c r="T33102" s="11"/>
    </row>
    <row r="33103" spans="8:20" x14ac:dyDescent="0.35">
      <c r="H33103" s="711"/>
      <c r="I33103" s="711"/>
      <c r="J33103" s="711"/>
      <c r="K33103" s="711"/>
      <c r="L33103" s="711"/>
      <c r="Q33103" s="11"/>
      <c r="R33103" s="11"/>
      <c r="S33103" s="11"/>
      <c r="T33103" s="11"/>
    </row>
    <row r="33104" spans="8:20" x14ac:dyDescent="0.35">
      <c r="H33104" s="711"/>
      <c r="I33104" s="711"/>
      <c r="J33104" s="711"/>
      <c r="K33104" s="711"/>
      <c r="L33104" s="711"/>
      <c r="Q33104" s="11"/>
      <c r="R33104" s="11"/>
      <c r="S33104" s="11"/>
      <c r="T33104" s="11"/>
    </row>
    <row r="33105" spans="8:20" x14ac:dyDescent="0.35">
      <c r="H33105" s="711"/>
      <c r="I33105" s="711"/>
      <c r="J33105" s="711"/>
      <c r="K33105" s="711"/>
      <c r="L33105" s="711"/>
      <c r="Q33105" s="11"/>
      <c r="R33105" s="11"/>
      <c r="S33105" s="11"/>
      <c r="T33105" s="11"/>
    </row>
    <row r="33106" spans="8:20" x14ac:dyDescent="0.35">
      <c r="H33106" s="711"/>
      <c r="I33106" s="711"/>
      <c r="J33106" s="711"/>
      <c r="K33106" s="711"/>
      <c r="L33106" s="711"/>
      <c r="Q33106" s="11"/>
      <c r="R33106" s="11"/>
      <c r="S33106" s="11"/>
      <c r="T33106" s="11"/>
    </row>
    <row r="33107" spans="8:20" x14ac:dyDescent="0.35">
      <c r="H33107" s="711"/>
      <c r="I33107" s="711"/>
      <c r="J33107" s="711"/>
      <c r="K33107" s="711"/>
      <c r="L33107" s="711"/>
      <c r="Q33107" s="11"/>
      <c r="R33107" s="11"/>
      <c r="S33107" s="11"/>
      <c r="T33107" s="11"/>
    </row>
    <row r="33108" spans="8:20" x14ac:dyDescent="0.35">
      <c r="H33108" s="711"/>
      <c r="I33108" s="711"/>
      <c r="J33108" s="711"/>
      <c r="K33108" s="711"/>
      <c r="L33108" s="711"/>
      <c r="Q33108" s="11"/>
      <c r="R33108" s="11"/>
      <c r="S33108" s="11"/>
      <c r="T33108" s="11"/>
    </row>
    <row r="33109" spans="8:20" x14ac:dyDescent="0.35">
      <c r="H33109" s="711"/>
      <c r="I33109" s="711"/>
      <c r="J33109" s="711"/>
      <c r="K33109" s="711"/>
      <c r="L33109" s="711"/>
      <c r="Q33109" s="11"/>
      <c r="R33109" s="11"/>
      <c r="S33109" s="11"/>
      <c r="T33109" s="11"/>
    </row>
    <row r="33110" spans="8:20" x14ac:dyDescent="0.35">
      <c r="H33110" s="711"/>
      <c r="I33110" s="711"/>
      <c r="J33110" s="711"/>
      <c r="K33110" s="711"/>
      <c r="L33110" s="711"/>
      <c r="Q33110" s="11"/>
      <c r="R33110" s="11"/>
      <c r="S33110" s="11"/>
      <c r="T33110" s="11"/>
    </row>
    <row r="33111" spans="8:20" x14ac:dyDescent="0.35">
      <c r="H33111" s="711"/>
      <c r="I33111" s="711"/>
      <c r="J33111" s="711"/>
      <c r="K33111" s="711"/>
      <c r="L33111" s="711"/>
      <c r="Q33111" s="11"/>
      <c r="R33111" s="11"/>
      <c r="S33111" s="11"/>
      <c r="T33111" s="11"/>
    </row>
    <row r="33112" spans="8:20" x14ac:dyDescent="0.35">
      <c r="H33112" s="711"/>
      <c r="I33112" s="711"/>
      <c r="J33112" s="711"/>
      <c r="K33112" s="711"/>
      <c r="L33112" s="711"/>
      <c r="Q33112" s="11"/>
      <c r="R33112" s="11"/>
      <c r="S33112" s="11"/>
      <c r="T33112" s="11"/>
    </row>
    <row r="33113" spans="8:20" x14ac:dyDescent="0.35">
      <c r="H33113" s="711"/>
      <c r="I33113" s="711"/>
      <c r="J33113" s="711"/>
      <c r="K33113" s="711"/>
      <c r="L33113" s="711"/>
      <c r="Q33113" s="11"/>
      <c r="R33113" s="11"/>
      <c r="S33113" s="11"/>
      <c r="T33113" s="11"/>
    </row>
    <row r="33114" spans="8:20" x14ac:dyDescent="0.35">
      <c r="H33114" s="711"/>
      <c r="I33114" s="711"/>
      <c r="J33114" s="711"/>
      <c r="K33114" s="711"/>
      <c r="L33114" s="711"/>
      <c r="Q33114" s="11"/>
      <c r="R33114" s="11"/>
      <c r="S33114" s="11"/>
      <c r="T33114" s="11"/>
    </row>
    <row r="33115" spans="8:20" x14ac:dyDescent="0.35">
      <c r="H33115" s="711"/>
      <c r="I33115" s="711"/>
      <c r="J33115" s="711"/>
      <c r="K33115" s="711"/>
      <c r="L33115" s="711"/>
      <c r="Q33115" s="11"/>
      <c r="R33115" s="11"/>
      <c r="S33115" s="11"/>
      <c r="T33115" s="11"/>
    </row>
    <row r="33116" spans="8:20" x14ac:dyDescent="0.35">
      <c r="H33116" s="711"/>
      <c r="I33116" s="711"/>
      <c r="J33116" s="711"/>
      <c r="K33116" s="711"/>
      <c r="L33116" s="711"/>
      <c r="Q33116" s="11"/>
      <c r="R33116" s="11"/>
      <c r="S33116" s="11"/>
      <c r="T33116" s="11"/>
    </row>
    <row r="33117" spans="8:20" x14ac:dyDescent="0.35">
      <c r="H33117" s="711"/>
      <c r="I33117" s="711"/>
      <c r="J33117" s="711"/>
      <c r="K33117" s="711"/>
      <c r="L33117" s="711"/>
      <c r="Q33117" s="11"/>
      <c r="R33117" s="11"/>
      <c r="S33117" s="11"/>
      <c r="T33117" s="11"/>
    </row>
    <row r="33118" spans="8:20" x14ac:dyDescent="0.35">
      <c r="H33118" s="711"/>
      <c r="I33118" s="711"/>
      <c r="J33118" s="711"/>
      <c r="K33118" s="711"/>
      <c r="L33118" s="711"/>
      <c r="Q33118" s="11"/>
      <c r="R33118" s="11"/>
      <c r="S33118" s="11"/>
      <c r="T33118" s="11"/>
    </row>
    <row r="33119" spans="8:20" x14ac:dyDescent="0.35">
      <c r="H33119" s="711"/>
      <c r="I33119" s="711"/>
      <c r="J33119" s="711"/>
      <c r="K33119" s="711"/>
      <c r="L33119" s="711"/>
      <c r="Q33119" s="11"/>
      <c r="R33119" s="11"/>
      <c r="S33119" s="11"/>
      <c r="T33119" s="11"/>
    </row>
    <row r="33120" spans="8:20" x14ac:dyDescent="0.35">
      <c r="H33120" s="711"/>
      <c r="I33120" s="711"/>
      <c r="J33120" s="711"/>
      <c r="K33120" s="711"/>
      <c r="L33120" s="711"/>
      <c r="Q33120" s="11"/>
      <c r="R33120" s="11"/>
      <c r="S33120" s="11"/>
      <c r="T33120" s="11"/>
    </row>
    <row r="33121" spans="8:20" x14ac:dyDescent="0.35">
      <c r="H33121" s="711"/>
      <c r="I33121" s="711"/>
      <c r="J33121" s="711"/>
      <c r="K33121" s="711"/>
      <c r="L33121" s="711"/>
      <c r="Q33121" s="11"/>
      <c r="R33121" s="11"/>
      <c r="S33121" s="11"/>
      <c r="T33121" s="11"/>
    </row>
    <row r="33122" spans="8:20" x14ac:dyDescent="0.35">
      <c r="H33122" s="711"/>
      <c r="I33122" s="711"/>
      <c r="J33122" s="711"/>
      <c r="K33122" s="711"/>
      <c r="L33122" s="711"/>
      <c r="Q33122" s="11"/>
      <c r="R33122" s="11"/>
      <c r="S33122" s="11"/>
      <c r="T33122" s="11"/>
    </row>
    <row r="33123" spans="8:20" x14ac:dyDescent="0.35">
      <c r="H33123" s="711"/>
      <c r="I33123" s="711"/>
      <c r="J33123" s="711"/>
      <c r="K33123" s="711"/>
      <c r="L33123" s="711"/>
      <c r="Q33123" s="11"/>
      <c r="R33123" s="11"/>
      <c r="S33123" s="11"/>
      <c r="T33123" s="11"/>
    </row>
    <row r="33124" spans="8:20" x14ac:dyDescent="0.35">
      <c r="H33124" s="711"/>
      <c r="I33124" s="711"/>
      <c r="J33124" s="711"/>
      <c r="K33124" s="711"/>
      <c r="L33124" s="711"/>
      <c r="Q33124" s="11"/>
      <c r="R33124" s="11"/>
      <c r="S33124" s="11"/>
      <c r="T33124" s="11"/>
    </row>
    <row r="33125" spans="8:20" x14ac:dyDescent="0.35">
      <c r="H33125" s="711"/>
      <c r="I33125" s="711"/>
      <c r="J33125" s="711"/>
      <c r="K33125" s="711"/>
      <c r="L33125" s="711"/>
      <c r="Q33125" s="11"/>
      <c r="R33125" s="11"/>
      <c r="S33125" s="11"/>
      <c r="T33125" s="11"/>
    </row>
    <row r="33126" spans="8:20" x14ac:dyDescent="0.35">
      <c r="H33126" s="711"/>
      <c r="I33126" s="711"/>
      <c r="J33126" s="711"/>
      <c r="K33126" s="711"/>
      <c r="L33126" s="711"/>
      <c r="Q33126" s="11"/>
      <c r="R33126" s="11"/>
      <c r="S33126" s="11"/>
      <c r="T33126" s="11"/>
    </row>
    <row r="33127" spans="8:20" x14ac:dyDescent="0.35">
      <c r="H33127" s="711"/>
      <c r="I33127" s="711"/>
      <c r="J33127" s="711"/>
      <c r="K33127" s="711"/>
      <c r="L33127" s="711"/>
      <c r="Q33127" s="11"/>
      <c r="R33127" s="11"/>
      <c r="S33127" s="11"/>
      <c r="T33127" s="11"/>
    </row>
    <row r="33128" spans="8:20" x14ac:dyDescent="0.35">
      <c r="H33128" s="711"/>
      <c r="I33128" s="711"/>
      <c r="J33128" s="711"/>
      <c r="K33128" s="711"/>
      <c r="L33128" s="711"/>
      <c r="Q33128" s="11"/>
      <c r="R33128" s="11"/>
      <c r="S33128" s="11"/>
      <c r="T33128" s="11"/>
    </row>
    <row r="33129" spans="8:20" x14ac:dyDescent="0.35">
      <c r="H33129" s="711"/>
      <c r="I33129" s="711"/>
      <c r="J33129" s="711"/>
      <c r="K33129" s="711"/>
      <c r="L33129" s="711"/>
      <c r="Q33129" s="11"/>
      <c r="R33129" s="11"/>
      <c r="S33129" s="11"/>
      <c r="T33129" s="11"/>
    </row>
    <row r="33130" spans="8:20" x14ac:dyDescent="0.35">
      <c r="H33130" s="711"/>
      <c r="I33130" s="711"/>
      <c r="J33130" s="711"/>
      <c r="K33130" s="711"/>
      <c r="L33130" s="711"/>
      <c r="Q33130" s="11"/>
      <c r="R33130" s="11"/>
      <c r="S33130" s="11"/>
      <c r="T33130" s="11"/>
    </row>
    <row r="33131" spans="8:20" x14ac:dyDescent="0.35">
      <c r="H33131" s="711"/>
      <c r="I33131" s="711"/>
      <c r="J33131" s="711"/>
      <c r="K33131" s="711"/>
      <c r="L33131" s="711"/>
      <c r="Q33131" s="11"/>
      <c r="R33131" s="11"/>
      <c r="S33131" s="11"/>
      <c r="T33131" s="11"/>
    </row>
    <row r="33132" spans="8:20" x14ac:dyDescent="0.35">
      <c r="H33132" s="711"/>
      <c r="I33132" s="711"/>
      <c r="J33132" s="711"/>
      <c r="K33132" s="711"/>
      <c r="L33132" s="711"/>
      <c r="Q33132" s="11"/>
      <c r="R33132" s="11"/>
      <c r="S33132" s="11"/>
      <c r="T33132" s="11"/>
    </row>
    <row r="33133" spans="8:20" x14ac:dyDescent="0.35">
      <c r="H33133" s="711"/>
      <c r="I33133" s="711"/>
      <c r="J33133" s="711"/>
      <c r="K33133" s="711"/>
      <c r="L33133" s="711"/>
      <c r="Q33133" s="11"/>
      <c r="R33133" s="11"/>
      <c r="S33133" s="11"/>
      <c r="T33133" s="11"/>
    </row>
    <row r="33134" spans="8:20" x14ac:dyDescent="0.35">
      <c r="H33134" s="711"/>
      <c r="I33134" s="711"/>
      <c r="J33134" s="711"/>
      <c r="K33134" s="711"/>
      <c r="L33134" s="711"/>
      <c r="Q33134" s="11"/>
      <c r="R33134" s="11"/>
      <c r="S33134" s="11"/>
      <c r="T33134" s="11"/>
    </row>
    <row r="33135" spans="8:20" x14ac:dyDescent="0.35">
      <c r="H33135" s="711"/>
      <c r="I33135" s="711"/>
      <c r="J33135" s="711"/>
      <c r="K33135" s="711"/>
      <c r="L33135" s="711"/>
      <c r="Q33135" s="11"/>
      <c r="R33135" s="11"/>
      <c r="S33135" s="11"/>
      <c r="T33135" s="11"/>
    </row>
    <row r="33136" spans="8:20" x14ac:dyDescent="0.35">
      <c r="H33136" s="711"/>
      <c r="I33136" s="711"/>
      <c r="J33136" s="711"/>
      <c r="K33136" s="711"/>
      <c r="L33136" s="711"/>
      <c r="Q33136" s="11"/>
      <c r="R33136" s="11"/>
      <c r="S33136" s="11"/>
      <c r="T33136" s="11"/>
    </row>
    <row r="33137" spans="8:20" x14ac:dyDescent="0.35">
      <c r="H33137" s="711"/>
      <c r="I33137" s="711"/>
      <c r="J33137" s="711"/>
      <c r="K33137" s="711"/>
      <c r="L33137" s="711"/>
      <c r="Q33137" s="11"/>
      <c r="R33137" s="11"/>
      <c r="S33137" s="11"/>
      <c r="T33137" s="11"/>
    </row>
    <row r="33138" spans="8:20" x14ac:dyDescent="0.35">
      <c r="H33138" s="711"/>
      <c r="I33138" s="711"/>
      <c r="J33138" s="711"/>
      <c r="K33138" s="711"/>
      <c r="L33138" s="711"/>
      <c r="Q33138" s="11"/>
      <c r="R33138" s="11"/>
      <c r="S33138" s="11"/>
      <c r="T33138" s="11"/>
    </row>
    <row r="33139" spans="8:20" x14ac:dyDescent="0.35">
      <c r="H33139" s="711"/>
      <c r="I33139" s="711"/>
      <c r="J33139" s="711"/>
      <c r="K33139" s="711"/>
      <c r="L33139" s="711"/>
      <c r="Q33139" s="11"/>
      <c r="R33139" s="11"/>
      <c r="S33139" s="11"/>
      <c r="T33139" s="11"/>
    </row>
    <row r="33140" spans="8:20" x14ac:dyDescent="0.35">
      <c r="H33140" s="711"/>
      <c r="I33140" s="711"/>
      <c r="J33140" s="711"/>
      <c r="K33140" s="711"/>
      <c r="L33140" s="711"/>
      <c r="Q33140" s="11"/>
      <c r="R33140" s="11"/>
      <c r="S33140" s="11"/>
      <c r="T33140" s="11"/>
    </row>
    <row r="33141" spans="8:20" x14ac:dyDescent="0.35">
      <c r="H33141" s="711"/>
      <c r="I33141" s="711"/>
      <c r="J33141" s="711"/>
      <c r="K33141" s="711"/>
      <c r="L33141" s="711"/>
      <c r="Q33141" s="11"/>
      <c r="R33141" s="11"/>
      <c r="S33141" s="11"/>
      <c r="T33141" s="11"/>
    </row>
    <row r="33142" spans="8:20" x14ac:dyDescent="0.35">
      <c r="H33142" s="711"/>
      <c r="I33142" s="711"/>
      <c r="J33142" s="711"/>
      <c r="K33142" s="711"/>
      <c r="L33142" s="711"/>
      <c r="Q33142" s="11"/>
      <c r="R33142" s="11"/>
      <c r="S33142" s="11"/>
      <c r="T33142" s="11"/>
    </row>
    <row r="33143" spans="8:20" x14ac:dyDescent="0.35">
      <c r="H33143" s="711"/>
      <c r="I33143" s="711"/>
      <c r="J33143" s="711"/>
      <c r="K33143" s="711"/>
      <c r="L33143" s="711"/>
      <c r="Q33143" s="11"/>
      <c r="R33143" s="11"/>
      <c r="S33143" s="11"/>
      <c r="T33143" s="11"/>
    </row>
    <row r="33144" spans="8:20" x14ac:dyDescent="0.35">
      <c r="H33144" s="711"/>
      <c r="I33144" s="711"/>
      <c r="J33144" s="711"/>
      <c r="K33144" s="711"/>
      <c r="L33144" s="711"/>
      <c r="Q33144" s="11"/>
      <c r="R33144" s="11"/>
      <c r="S33144" s="11"/>
      <c r="T33144" s="11"/>
    </row>
    <row r="33145" spans="8:20" x14ac:dyDescent="0.35">
      <c r="H33145" s="711"/>
      <c r="I33145" s="711"/>
      <c r="J33145" s="711"/>
      <c r="K33145" s="711"/>
      <c r="L33145" s="711"/>
      <c r="Q33145" s="11"/>
      <c r="R33145" s="11"/>
      <c r="S33145" s="11"/>
      <c r="T33145" s="11"/>
    </row>
    <row r="33146" spans="8:20" x14ac:dyDescent="0.35">
      <c r="H33146" s="711"/>
      <c r="I33146" s="711"/>
      <c r="J33146" s="711"/>
      <c r="K33146" s="711"/>
      <c r="L33146" s="711"/>
      <c r="Q33146" s="11"/>
      <c r="R33146" s="11"/>
      <c r="S33146" s="11"/>
      <c r="T33146" s="11"/>
    </row>
    <row r="33147" spans="8:20" x14ac:dyDescent="0.35">
      <c r="H33147" s="711"/>
      <c r="I33147" s="711"/>
      <c r="J33147" s="711"/>
      <c r="K33147" s="711"/>
      <c r="L33147" s="711"/>
      <c r="Q33147" s="11"/>
      <c r="R33147" s="11"/>
      <c r="S33147" s="11"/>
      <c r="T33147" s="11"/>
    </row>
    <row r="33148" spans="8:20" x14ac:dyDescent="0.35">
      <c r="H33148" s="711"/>
      <c r="I33148" s="711"/>
      <c r="J33148" s="711"/>
      <c r="K33148" s="711"/>
      <c r="L33148" s="711"/>
      <c r="Q33148" s="11"/>
      <c r="R33148" s="11"/>
      <c r="S33148" s="11"/>
      <c r="T33148" s="11"/>
    </row>
    <row r="33149" spans="8:20" x14ac:dyDescent="0.35">
      <c r="H33149" s="711"/>
      <c r="I33149" s="711"/>
      <c r="J33149" s="711"/>
      <c r="K33149" s="711"/>
      <c r="L33149" s="711"/>
      <c r="Q33149" s="11"/>
      <c r="R33149" s="11"/>
      <c r="S33149" s="11"/>
      <c r="T33149" s="11"/>
    </row>
    <row r="33150" spans="8:20" x14ac:dyDescent="0.35">
      <c r="H33150" s="711"/>
      <c r="I33150" s="711"/>
      <c r="J33150" s="711"/>
      <c r="K33150" s="711"/>
      <c r="L33150" s="711"/>
      <c r="Q33150" s="11"/>
      <c r="R33150" s="11"/>
      <c r="S33150" s="11"/>
      <c r="T33150" s="11"/>
    </row>
    <row r="33151" spans="8:20" x14ac:dyDescent="0.35">
      <c r="H33151" s="711"/>
      <c r="I33151" s="711"/>
      <c r="J33151" s="711"/>
      <c r="K33151" s="711"/>
      <c r="L33151" s="711"/>
      <c r="Q33151" s="11"/>
      <c r="R33151" s="11"/>
      <c r="S33151" s="11"/>
      <c r="T33151" s="11"/>
    </row>
    <row r="33152" spans="8:20" x14ac:dyDescent="0.35">
      <c r="H33152" s="711"/>
      <c r="I33152" s="711"/>
      <c r="J33152" s="711"/>
      <c r="K33152" s="711"/>
      <c r="L33152" s="711"/>
      <c r="Q33152" s="11"/>
      <c r="R33152" s="11"/>
      <c r="S33152" s="11"/>
      <c r="T33152" s="11"/>
    </row>
    <row r="33153" spans="8:20" x14ac:dyDescent="0.35">
      <c r="H33153" s="711"/>
      <c r="I33153" s="711"/>
      <c r="J33153" s="711"/>
      <c r="K33153" s="711"/>
      <c r="L33153" s="711"/>
      <c r="Q33153" s="11"/>
      <c r="R33153" s="11"/>
      <c r="S33153" s="11"/>
      <c r="T33153" s="11"/>
    </row>
    <row r="33154" spans="8:20" x14ac:dyDescent="0.35">
      <c r="H33154" s="711"/>
      <c r="I33154" s="711"/>
      <c r="J33154" s="711"/>
      <c r="K33154" s="711"/>
      <c r="L33154" s="711"/>
      <c r="Q33154" s="11"/>
      <c r="R33154" s="11"/>
      <c r="S33154" s="11"/>
      <c r="T33154" s="11"/>
    </row>
    <row r="33155" spans="8:20" x14ac:dyDescent="0.35">
      <c r="H33155" s="711"/>
      <c r="I33155" s="711"/>
      <c r="J33155" s="711"/>
      <c r="K33155" s="711"/>
      <c r="L33155" s="711"/>
      <c r="Q33155" s="11"/>
      <c r="R33155" s="11"/>
      <c r="S33155" s="11"/>
      <c r="T33155" s="11"/>
    </row>
    <row r="33156" spans="8:20" x14ac:dyDescent="0.35">
      <c r="H33156" s="711"/>
      <c r="I33156" s="711"/>
      <c r="J33156" s="711"/>
      <c r="K33156" s="711"/>
      <c r="L33156" s="711"/>
      <c r="Q33156" s="11"/>
      <c r="R33156" s="11"/>
      <c r="S33156" s="11"/>
      <c r="T33156" s="11"/>
    </row>
    <row r="33157" spans="8:20" x14ac:dyDescent="0.35">
      <c r="H33157" s="711"/>
      <c r="I33157" s="711"/>
      <c r="J33157" s="711"/>
      <c r="K33157" s="711"/>
      <c r="L33157" s="711"/>
      <c r="Q33157" s="11"/>
      <c r="R33157" s="11"/>
      <c r="S33157" s="11"/>
      <c r="T33157" s="11"/>
    </row>
    <row r="33158" spans="8:20" x14ac:dyDescent="0.35">
      <c r="H33158" s="711"/>
      <c r="I33158" s="711"/>
      <c r="J33158" s="711"/>
      <c r="K33158" s="711"/>
      <c r="L33158" s="711"/>
      <c r="Q33158" s="11"/>
      <c r="R33158" s="11"/>
      <c r="S33158" s="11"/>
      <c r="T33158" s="11"/>
    </row>
    <row r="33159" spans="8:20" x14ac:dyDescent="0.35">
      <c r="H33159" s="711"/>
      <c r="I33159" s="711"/>
      <c r="J33159" s="711"/>
      <c r="K33159" s="711"/>
      <c r="L33159" s="711"/>
      <c r="Q33159" s="11"/>
      <c r="R33159" s="11"/>
      <c r="S33159" s="11"/>
      <c r="T33159" s="11"/>
    </row>
    <row r="33160" spans="8:20" x14ac:dyDescent="0.35">
      <c r="H33160" s="711"/>
      <c r="I33160" s="711"/>
      <c r="J33160" s="711"/>
      <c r="K33160" s="711"/>
      <c r="L33160" s="711"/>
      <c r="Q33160" s="11"/>
      <c r="R33160" s="11"/>
      <c r="S33160" s="11"/>
      <c r="T33160" s="11"/>
    </row>
    <row r="33161" spans="8:20" x14ac:dyDescent="0.35">
      <c r="H33161" s="711"/>
      <c r="I33161" s="711"/>
      <c r="J33161" s="711"/>
      <c r="K33161" s="711"/>
      <c r="L33161" s="711"/>
      <c r="Q33161" s="11"/>
      <c r="R33161" s="11"/>
      <c r="S33161" s="11"/>
      <c r="T33161" s="11"/>
    </row>
    <row r="33162" spans="8:20" x14ac:dyDescent="0.35">
      <c r="H33162" s="711"/>
      <c r="I33162" s="711"/>
      <c r="J33162" s="711"/>
      <c r="K33162" s="711"/>
      <c r="L33162" s="711"/>
      <c r="Q33162" s="11"/>
      <c r="R33162" s="11"/>
      <c r="S33162" s="11"/>
      <c r="T33162" s="11"/>
    </row>
    <row r="33163" spans="8:20" x14ac:dyDescent="0.35">
      <c r="H33163" s="711"/>
      <c r="I33163" s="711"/>
      <c r="J33163" s="711"/>
      <c r="K33163" s="711"/>
      <c r="L33163" s="711"/>
      <c r="Q33163" s="11"/>
      <c r="R33163" s="11"/>
      <c r="S33163" s="11"/>
      <c r="T33163" s="11"/>
    </row>
    <row r="33164" spans="8:20" x14ac:dyDescent="0.35">
      <c r="H33164" s="711"/>
      <c r="I33164" s="711"/>
      <c r="J33164" s="711"/>
      <c r="K33164" s="711"/>
      <c r="L33164" s="711"/>
      <c r="Q33164" s="11"/>
      <c r="R33164" s="11"/>
      <c r="S33164" s="11"/>
      <c r="T33164" s="11"/>
    </row>
    <row r="33165" spans="8:20" x14ac:dyDescent="0.35">
      <c r="H33165" s="711"/>
      <c r="I33165" s="711"/>
      <c r="J33165" s="711"/>
      <c r="K33165" s="711"/>
      <c r="L33165" s="711"/>
      <c r="Q33165" s="11"/>
      <c r="R33165" s="11"/>
      <c r="S33165" s="11"/>
      <c r="T33165" s="11"/>
    </row>
    <row r="33166" spans="8:20" x14ac:dyDescent="0.35">
      <c r="H33166" s="711"/>
      <c r="I33166" s="711"/>
      <c r="J33166" s="711"/>
      <c r="K33166" s="711"/>
      <c r="L33166" s="711"/>
      <c r="Q33166" s="11"/>
      <c r="R33166" s="11"/>
      <c r="S33166" s="11"/>
      <c r="T33166" s="11"/>
    </row>
    <row r="33167" spans="8:20" x14ac:dyDescent="0.35">
      <c r="H33167" s="711"/>
      <c r="I33167" s="711"/>
      <c r="J33167" s="711"/>
      <c r="K33167" s="711"/>
      <c r="L33167" s="711"/>
      <c r="Q33167" s="11"/>
      <c r="R33167" s="11"/>
      <c r="S33167" s="11"/>
      <c r="T33167" s="11"/>
    </row>
    <row r="33168" spans="8:20" x14ac:dyDescent="0.35">
      <c r="H33168" s="711"/>
      <c r="I33168" s="711"/>
      <c r="J33168" s="711"/>
      <c r="K33168" s="711"/>
      <c r="L33168" s="711"/>
      <c r="Q33168" s="11"/>
      <c r="R33168" s="11"/>
      <c r="S33168" s="11"/>
      <c r="T33168" s="11"/>
    </row>
    <row r="33169" spans="8:20" x14ac:dyDescent="0.35">
      <c r="H33169" s="711"/>
      <c r="I33169" s="711"/>
      <c r="J33169" s="711"/>
      <c r="K33169" s="711"/>
      <c r="L33169" s="711"/>
      <c r="Q33169" s="11"/>
      <c r="R33169" s="11"/>
      <c r="S33169" s="11"/>
      <c r="T33169" s="11"/>
    </row>
    <row r="33170" spans="8:20" x14ac:dyDescent="0.35">
      <c r="H33170" s="711"/>
      <c r="I33170" s="711"/>
      <c r="J33170" s="711"/>
      <c r="K33170" s="711"/>
      <c r="L33170" s="711"/>
      <c r="Q33170" s="11"/>
      <c r="R33170" s="11"/>
      <c r="S33170" s="11"/>
      <c r="T33170" s="11"/>
    </row>
    <row r="33171" spans="8:20" x14ac:dyDescent="0.35">
      <c r="H33171" s="711"/>
      <c r="I33171" s="711"/>
      <c r="J33171" s="711"/>
      <c r="K33171" s="711"/>
      <c r="L33171" s="711"/>
      <c r="Q33171" s="11"/>
      <c r="R33171" s="11"/>
      <c r="S33171" s="11"/>
      <c r="T33171" s="11"/>
    </row>
    <row r="33172" spans="8:20" x14ac:dyDescent="0.35">
      <c r="H33172" s="711"/>
      <c r="I33172" s="711"/>
      <c r="J33172" s="711"/>
      <c r="K33172" s="711"/>
      <c r="L33172" s="711"/>
      <c r="Q33172" s="11"/>
      <c r="R33172" s="11"/>
      <c r="S33172" s="11"/>
      <c r="T33172" s="11"/>
    </row>
    <row r="33173" spans="8:20" x14ac:dyDescent="0.35">
      <c r="H33173" s="711"/>
      <c r="I33173" s="711"/>
      <c r="J33173" s="711"/>
      <c r="K33173" s="711"/>
      <c r="L33173" s="711"/>
      <c r="Q33173" s="11"/>
      <c r="R33173" s="11"/>
      <c r="S33173" s="11"/>
      <c r="T33173" s="11"/>
    </row>
    <row r="33174" spans="8:20" x14ac:dyDescent="0.35">
      <c r="H33174" s="711"/>
      <c r="I33174" s="711"/>
      <c r="J33174" s="711"/>
      <c r="K33174" s="711"/>
      <c r="L33174" s="711"/>
      <c r="Q33174" s="11"/>
      <c r="R33174" s="11"/>
      <c r="S33174" s="11"/>
      <c r="T33174" s="11"/>
    </row>
    <row r="33175" spans="8:20" x14ac:dyDescent="0.35">
      <c r="H33175" s="711"/>
      <c r="I33175" s="711"/>
      <c r="J33175" s="711"/>
      <c r="K33175" s="711"/>
      <c r="L33175" s="711"/>
      <c r="Q33175" s="11"/>
      <c r="R33175" s="11"/>
      <c r="S33175" s="11"/>
      <c r="T33175" s="11"/>
    </row>
    <row r="33176" spans="8:20" x14ac:dyDescent="0.35">
      <c r="H33176" s="711"/>
      <c r="I33176" s="711"/>
      <c r="J33176" s="711"/>
      <c r="K33176" s="711"/>
      <c r="L33176" s="711"/>
      <c r="Q33176" s="11"/>
      <c r="R33176" s="11"/>
      <c r="S33176" s="11"/>
      <c r="T33176" s="11"/>
    </row>
    <row r="33177" spans="8:20" x14ac:dyDescent="0.35">
      <c r="H33177" s="711"/>
      <c r="I33177" s="711"/>
      <c r="J33177" s="711"/>
      <c r="K33177" s="711"/>
      <c r="L33177" s="711"/>
      <c r="Q33177" s="11"/>
      <c r="R33177" s="11"/>
      <c r="S33177" s="11"/>
      <c r="T33177" s="11"/>
    </row>
    <row r="33178" spans="8:20" x14ac:dyDescent="0.35">
      <c r="H33178" s="711"/>
      <c r="I33178" s="711"/>
      <c r="J33178" s="711"/>
      <c r="K33178" s="711"/>
      <c r="L33178" s="711"/>
      <c r="Q33178" s="11"/>
      <c r="R33178" s="11"/>
      <c r="S33178" s="11"/>
      <c r="T33178" s="11"/>
    </row>
    <row r="33179" spans="8:20" x14ac:dyDescent="0.35">
      <c r="H33179" s="711"/>
      <c r="I33179" s="711"/>
      <c r="J33179" s="711"/>
      <c r="K33179" s="711"/>
      <c r="L33179" s="711"/>
      <c r="Q33179" s="11"/>
      <c r="R33179" s="11"/>
      <c r="S33179" s="11"/>
      <c r="T33179" s="11"/>
    </row>
    <row r="33180" spans="8:20" x14ac:dyDescent="0.35">
      <c r="H33180" s="711"/>
      <c r="I33180" s="711"/>
      <c r="J33180" s="711"/>
      <c r="K33180" s="711"/>
      <c r="L33180" s="711"/>
      <c r="Q33180" s="11"/>
      <c r="R33180" s="11"/>
      <c r="S33180" s="11"/>
      <c r="T33180" s="11"/>
    </row>
    <row r="33181" spans="8:20" x14ac:dyDescent="0.35">
      <c r="H33181" s="711"/>
      <c r="I33181" s="711"/>
      <c r="J33181" s="711"/>
      <c r="K33181" s="711"/>
      <c r="L33181" s="711"/>
      <c r="Q33181" s="11"/>
      <c r="R33181" s="11"/>
      <c r="S33181" s="11"/>
      <c r="T33181" s="11"/>
    </row>
    <row r="33182" spans="8:20" x14ac:dyDescent="0.35">
      <c r="H33182" s="711"/>
      <c r="I33182" s="711"/>
      <c r="J33182" s="711"/>
      <c r="K33182" s="711"/>
      <c r="L33182" s="711"/>
      <c r="Q33182" s="11"/>
      <c r="R33182" s="11"/>
      <c r="S33182" s="11"/>
      <c r="T33182" s="11"/>
    </row>
    <row r="33183" spans="8:20" x14ac:dyDescent="0.35">
      <c r="H33183" s="711"/>
      <c r="I33183" s="711"/>
      <c r="J33183" s="711"/>
      <c r="K33183" s="711"/>
      <c r="L33183" s="711"/>
      <c r="Q33183" s="11"/>
      <c r="R33183" s="11"/>
      <c r="S33183" s="11"/>
      <c r="T33183" s="11"/>
    </row>
    <row r="33184" spans="8:20" x14ac:dyDescent="0.35">
      <c r="H33184" s="711"/>
      <c r="I33184" s="711"/>
      <c r="J33184" s="711"/>
      <c r="K33184" s="711"/>
      <c r="L33184" s="711"/>
      <c r="Q33184" s="11"/>
      <c r="R33184" s="11"/>
      <c r="S33184" s="11"/>
      <c r="T33184" s="11"/>
    </row>
    <row r="33185" spans="8:20" x14ac:dyDescent="0.35">
      <c r="H33185" s="711"/>
      <c r="I33185" s="711"/>
      <c r="J33185" s="711"/>
      <c r="K33185" s="711"/>
      <c r="L33185" s="711"/>
      <c r="Q33185" s="11"/>
      <c r="R33185" s="11"/>
      <c r="S33185" s="11"/>
      <c r="T33185" s="11"/>
    </row>
    <row r="33186" spans="8:20" x14ac:dyDescent="0.35">
      <c r="H33186" s="711"/>
      <c r="I33186" s="711"/>
      <c r="J33186" s="711"/>
      <c r="K33186" s="711"/>
      <c r="L33186" s="711"/>
      <c r="Q33186" s="11"/>
      <c r="R33186" s="11"/>
      <c r="S33186" s="11"/>
      <c r="T33186" s="11"/>
    </row>
    <row r="33187" spans="8:20" x14ac:dyDescent="0.35">
      <c r="H33187" s="711"/>
      <c r="I33187" s="711"/>
      <c r="J33187" s="711"/>
      <c r="K33187" s="711"/>
      <c r="L33187" s="711"/>
      <c r="Q33187" s="11"/>
      <c r="R33187" s="11"/>
      <c r="S33187" s="11"/>
      <c r="T33187" s="11"/>
    </row>
    <row r="33188" spans="8:20" x14ac:dyDescent="0.35">
      <c r="H33188" s="711"/>
      <c r="I33188" s="711"/>
      <c r="J33188" s="711"/>
      <c r="K33188" s="711"/>
      <c r="L33188" s="711"/>
      <c r="Q33188" s="11"/>
      <c r="R33188" s="11"/>
      <c r="S33188" s="11"/>
      <c r="T33188" s="11"/>
    </row>
    <row r="33189" spans="8:20" x14ac:dyDescent="0.35">
      <c r="H33189" s="711"/>
      <c r="I33189" s="711"/>
      <c r="J33189" s="711"/>
      <c r="K33189" s="711"/>
      <c r="L33189" s="711"/>
      <c r="Q33189" s="11"/>
      <c r="R33189" s="11"/>
      <c r="S33189" s="11"/>
      <c r="T33189" s="11"/>
    </row>
    <row r="33190" spans="8:20" x14ac:dyDescent="0.35">
      <c r="H33190" s="711"/>
      <c r="I33190" s="711"/>
      <c r="J33190" s="711"/>
      <c r="K33190" s="711"/>
      <c r="L33190" s="711"/>
      <c r="Q33190" s="11"/>
      <c r="R33190" s="11"/>
      <c r="S33190" s="11"/>
      <c r="T33190" s="11"/>
    </row>
    <row r="33191" spans="8:20" x14ac:dyDescent="0.35">
      <c r="H33191" s="711"/>
      <c r="I33191" s="711"/>
      <c r="J33191" s="711"/>
      <c r="K33191" s="711"/>
      <c r="L33191" s="711"/>
      <c r="Q33191" s="11"/>
      <c r="R33191" s="11"/>
      <c r="S33191" s="11"/>
      <c r="T33191" s="11"/>
    </row>
    <row r="33192" spans="8:20" x14ac:dyDescent="0.35">
      <c r="H33192" s="711"/>
      <c r="I33192" s="711"/>
      <c r="J33192" s="711"/>
      <c r="K33192" s="711"/>
      <c r="L33192" s="711"/>
      <c r="Q33192" s="11"/>
      <c r="R33192" s="11"/>
      <c r="S33192" s="11"/>
      <c r="T33192" s="11"/>
    </row>
    <row r="33193" spans="8:20" x14ac:dyDescent="0.35">
      <c r="H33193" s="711"/>
      <c r="I33193" s="711"/>
      <c r="J33193" s="711"/>
      <c r="K33193" s="711"/>
      <c r="L33193" s="711"/>
      <c r="Q33193" s="11"/>
      <c r="R33193" s="11"/>
      <c r="S33193" s="11"/>
      <c r="T33193" s="11"/>
    </row>
    <row r="33194" spans="8:20" x14ac:dyDescent="0.35">
      <c r="H33194" s="711"/>
      <c r="I33194" s="711"/>
      <c r="J33194" s="711"/>
      <c r="K33194" s="711"/>
      <c r="L33194" s="711"/>
      <c r="Q33194" s="11"/>
      <c r="R33194" s="11"/>
      <c r="S33194" s="11"/>
      <c r="T33194" s="11"/>
    </row>
    <row r="33195" spans="8:20" x14ac:dyDescent="0.35">
      <c r="H33195" s="711"/>
      <c r="I33195" s="711"/>
      <c r="J33195" s="711"/>
      <c r="K33195" s="711"/>
      <c r="L33195" s="711"/>
      <c r="Q33195" s="11"/>
      <c r="R33195" s="11"/>
      <c r="S33195" s="11"/>
      <c r="T33195" s="11"/>
    </row>
    <row r="33196" spans="8:20" x14ac:dyDescent="0.35">
      <c r="H33196" s="711"/>
      <c r="I33196" s="711"/>
      <c r="J33196" s="711"/>
      <c r="K33196" s="711"/>
      <c r="L33196" s="711"/>
      <c r="Q33196" s="11"/>
      <c r="R33196" s="11"/>
      <c r="S33196" s="11"/>
      <c r="T33196" s="11"/>
    </row>
    <row r="33197" spans="8:20" x14ac:dyDescent="0.35">
      <c r="H33197" s="711"/>
      <c r="I33197" s="711"/>
      <c r="J33197" s="711"/>
      <c r="K33197" s="711"/>
      <c r="L33197" s="711"/>
      <c r="Q33197" s="11"/>
      <c r="R33197" s="11"/>
      <c r="S33197" s="11"/>
      <c r="T33197" s="11"/>
    </row>
    <row r="33198" spans="8:20" x14ac:dyDescent="0.35">
      <c r="H33198" s="711"/>
      <c r="I33198" s="711"/>
      <c r="J33198" s="711"/>
      <c r="K33198" s="711"/>
      <c r="L33198" s="711"/>
      <c r="Q33198" s="11"/>
      <c r="R33198" s="11"/>
      <c r="S33198" s="11"/>
      <c r="T33198" s="11"/>
    </row>
    <row r="33199" spans="8:20" x14ac:dyDescent="0.35">
      <c r="H33199" s="711"/>
      <c r="I33199" s="711"/>
      <c r="J33199" s="711"/>
      <c r="K33199" s="711"/>
      <c r="L33199" s="711"/>
      <c r="Q33199" s="11"/>
      <c r="R33199" s="11"/>
      <c r="S33199" s="11"/>
      <c r="T33199" s="11"/>
    </row>
    <row r="33200" spans="8:20" x14ac:dyDescent="0.35">
      <c r="H33200" s="711"/>
      <c r="I33200" s="711"/>
      <c r="J33200" s="711"/>
      <c r="K33200" s="711"/>
      <c r="L33200" s="711"/>
      <c r="Q33200" s="11"/>
      <c r="R33200" s="11"/>
      <c r="S33200" s="11"/>
      <c r="T33200" s="11"/>
    </row>
    <row r="33201" spans="8:20" x14ac:dyDescent="0.35">
      <c r="H33201" s="711"/>
      <c r="I33201" s="711"/>
      <c r="J33201" s="711"/>
      <c r="K33201" s="711"/>
      <c r="L33201" s="711"/>
      <c r="Q33201" s="11"/>
      <c r="R33201" s="11"/>
      <c r="S33201" s="11"/>
      <c r="T33201" s="11"/>
    </row>
    <row r="33202" spans="8:20" x14ac:dyDescent="0.35">
      <c r="H33202" s="711"/>
      <c r="I33202" s="711"/>
      <c r="J33202" s="711"/>
      <c r="K33202" s="711"/>
      <c r="L33202" s="711"/>
      <c r="Q33202" s="11"/>
      <c r="R33202" s="11"/>
      <c r="S33202" s="11"/>
      <c r="T33202" s="11"/>
    </row>
    <row r="33203" spans="8:20" x14ac:dyDescent="0.35">
      <c r="H33203" s="711"/>
      <c r="I33203" s="711"/>
      <c r="J33203" s="711"/>
      <c r="K33203" s="711"/>
      <c r="L33203" s="711"/>
      <c r="Q33203" s="11"/>
      <c r="R33203" s="11"/>
      <c r="S33203" s="11"/>
      <c r="T33203" s="11"/>
    </row>
    <row r="33204" spans="8:20" x14ac:dyDescent="0.35">
      <c r="H33204" s="711"/>
      <c r="I33204" s="711"/>
      <c r="J33204" s="711"/>
      <c r="K33204" s="711"/>
      <c r="L33204" s="711"/>
      <c r="Q33204" s="11"/>
      <c r="R33204" s="11"/>
      <c r="S33204" s="11"/>
      <c r="T33204" s="11"/>
    </row>
    <row r="33205" spans="8:20" x14ac:dyDescent="0.35">
      <c r="H33205" s="711"/>
      <c r="I33205" s="711"/>
      <c r="J33205" s="711"/>
      <c r="K33205" s="711"/>
      <c r="L33205" s="711"/>
      <c r="Q33205" s="11"/>
      <c r="R33205" s="11"/>
      <c r="S33205" s="11"/>
      <c r="T33205" s="11"/>
    </row>
    <row r="33206" spans="8:20" x14ac:dyDescent="0.35">
      <c r="H33206" s="711"/>
      <c r="I33206" s="711"/>
      <c r="J33206" s="711"/>
      <c r="K33206" s="711"/>
      <c r="L33206" s="711"/>
      <c r="Q33206" s="11"/>
      <c r="R33206" s="11"/>
      <c r="S33206" s="11"/>
      <c r="T33206" s="11"/>
    </row>
    <row r="33207" spans="8:20" x14ac:dyDescent="0.35">
      <c r="H33207" s="711"/>
      <c r="I33207" s="711"/>
      <c r="J33207" s="711"/>
      <c r="K33207" s="711"/>
      <c r="L33207" s="711"/>
      <c r="Q33207" s="11"/>
      <c r="R33207" s="11"/>
      <c r="S33207" s="11"/>
      <c r="T33207" s="11"/>
    </row>
    <row r="33208" spans="8:20" x14ac:dyDescent="0.35">
      <c r="H33208" s="711"/>
      <c r="I33208" s="711"/>
      <c r="J33208" s="711"/>
      <c r="K33208" s="711"/>
      <c r="L33208" s="711"/>
      <c r="Q33208" s="11"/>
      <c r="R33208" s="11"/>
      <c r="S33208" s="11"/>
      <c r="T33208" s="11"/>
    </row>
    <row r="33209" spans="8:20" x14ac:dyDescent="0.35">
      <c r="H33209" s="711"/>
      <c r="I33209" s="711"/>
      <c r="J33209" s="711"/>
      <c r="K33209" s="711"/>
      <c r="L33209" s="711"/>
      <c r="Q33209" s="11"/>
      <c r="R33209" s="11"/>
      <c r="S33209" s="11"/>
      <c r="T33209" s="11"/>
    </row>
    <row r="33210" spans="8:20" x14ac:dyDescent="0.35">
      <c r="H33210" s="711"/>
      <c r="I33210" s="711"/>
      <c r="J33210" s="711"/>
      <c r="K33210" s="711"/>
      <c r="L33210" s="711"/>
      <c r="Q33210" s="11"/>
      <c r="R33210" s="11"/>
      <c r="S33210" s="11"/>
      <c r="T33210" s="11"/>
    </row>
    <row r="33211" spans="8:20" x14ac:dyDescent="0.35">
      <c r="H33211" s="711"/>
      <c r="I33211" s="711"/>
      <c r="J33211" s="711"/>
      <c r="K33211" s="711"/>
      <c r="L33211" s="711"/>
      <c r="Q33211" s="11"/>
      <c r="R33211" s="11"/>
      <c r="S33211" s="11"/>
      <c r="T33211" s="11"/>
    </row>
    <row r="33212" spans="8:20" x14ac:dyDescent="0.35">
      <c r="H33212" s="711"/>
      <c r="I33212" s="711"/>
      <c r="J33212" s="711"/>
      <c r="K33212" s="711"/>
      <c r="L33212" s="711"/>
      <c r="Q33212" s="11"/>
      <c r="R33212" s="11"/>
      <c r="S33212" s="11"/>
      <c r="T33212" s="11"/>
    </row>
    <row r="33213" spans="8:20" x14ac:dyDescent="0.35">
      <c r="H33213" s="711"/>
      <c r="I33213" s="711"/>
      <c r="J33213" s="711"/>
      <c r="K33213" s="711"/>
      <c r="L33213" s="711"/>
      <c r="Q33213" s="11"/>
      <c r="R33213" s="11"/>
      <c r="S33213" s="11"/>
      <c r="T33213" s="11"/>
    </row>
    <row r="33214" spans="8:20" x14ac:dyDescent="0.35">
      <c r="H33214" s="711"/>
      <c r="I33214" s="711"/>
      <c r="J33214" s="711"/>
      <c r="K33214" s="711"/>
      <c r="L33214" s="711"/>
      <c r="Q33214" s="11"/>
      <c r="R33214" s="11"/>
      <c r="S33214" s="11"/>
      <c r="T33214" s="11"/>
    </row>
    <row r="33215" spans="8:20" x14ac:dyDescent="0.35">
      <c r="H33215" s="711"/>
      <c r="I33215" s="711"/>
      <c r="J33215" s="711"/>
      <c r="K33215" s="711"/>
      <c r="L33215" s="711"/>
      <c r="Q33215" s="11"/>
      <c r="R33215" s="11"/>
      <c r="S33215" s="11"/>
      <c r="T33215" s="11"/>
    </row>
    <row r="33216" spans="8:20" x14ac:dyDescent="0.35">
      <c r="H33216" s="711"/>
      <c r="I33216" s="711"/>
      <c r="J33216" s="711"/>
      <c r="K33216" s="711"/>
      <c r="L33216" s="711"/>
      <c r="Q33216" s="11"/>
      <c r="R33216" s="11"/>
      <c r="S33216" s="11"/>
      <c r="T33216" s="11"/>
    </row>
    <row r="33217" spans="8:20" x14ac:dyDescent="0.35">
      <c r="H33217" s="711"/>
      <c r="I33217" s="711"/>
      <c r="J33217" s="711"/>
      <c r="K33217" s="711"/>
      <c r="L33217" s="711"/>
      <c r="Q33217" s="11"/>
      <c r="R33217" s="11"/>
      <c r="S33217" s="11"/>
      <c r="T33217" s="11"/>
    </row>
    <row r="33218" spans="8:20" x14ac:dyDescent="0.35">
      <c r="H33218" s="711"/>
      <c r="I33218" s="711"/>
      <c r="J33218" s="711"/>
      <c r="K33218" s="711"/>
      <c r="L33218" s="711"/>
      <c r="Q33218" s="11"/>
      <c r="R33218" s="11"/>
      <c r="S33218" s="11"/>
      <c r="T33218" s="11"/>
    </row>
    <row r="33219" spans="8:20" x14ac:dyDescent="0.35">
      <c r="H33219" s="711"/>
      <c r="I33219" s="711"/>
      <c r="J33219" s="711"/>
      <c r="K33219" s="711"/>
      <c r="L33219" s="711"/>
      <c r="Q33219" s="11"/>
      <c r="R33219" s="11"/>
      <c r="S33219" s="11"/>
      <c r="T33219" s="11"/>
    </row>
    <row r="33220" spans="8:20" x14ac:dyDescent="0.35">
      <c r="H33220" s="711"/>
      <c r="I33220" s="711"/>
      <c r="J33220" s="711"/>
      <c r="K33220" s="711"/>
      <c r="L33220" s="711"/>
      <c r="Q33220" s="11"/>
      <c r="R33220" s="11"/>
      <c r="S33220" s="11"/>
      <c r="T33220" s="11"/>
    </row>
    <row r="33221" spans="8:20" x14ac:dyDescent="0.35">
      <c r="H33221" s="711"/>
      <c r="I33221" s="711"/>
      <c r="J33221" s="711"/>
      <c r="K33221" s="711"/>
      <c r="L33221" s="711"/>
      <c r="Q33221" s="11"/>
      <c r="R33221" s="11"/>
      <c r="S33221" s="11"/>
      <c r="T33221" s="11"/>
    </row>
    <row r="33222" spans="8:20" x14ac:dyDescent="0.35">
      <c r="H33222" s="711"/>
      <c r="I33222" s="711"/>
      <c r="J33222" s="711"/>
      <c r="K33222" s="711"/>
      <c r="L33222" s="711"/>
      <c r="Q33222" s="11"/>
      <c r="R33222" s="11"/>
      <c r="S33222" s="11"/>
      <c r="T33222" s="11"/>
    </row>
    <row r="33223" spans="8:20" x14ac:dyDescent="0.35">
      <c r="H33223" s="711"/>
      <c r="I33223" s="711"/>
      <c r="J33223" s="711"/>
      <c r="K33223" s="711"/>
      <c r="L33223" s="711"/>
      <c r="Q33223" s="11"/>
      <c r="R33223" s="11"/>
      <c r="S33223" s="11"/>
      <c r="T33223" s="11"/>
    </row>
    <row r="33224" spans="8:20" x14ac:dyDescent="0.35">
      <c r="H33224" s="711"/>
      <c r="I33224" s="711"/>
      <c r="J33224" s="711"/>
      <c r="K33224" s="711"/>
      <c r="L33224" s="711"/>
      <c r="Q33224" s="11"/>
      <c r="R33224" s="11"/>
      <c r="S33224" s="11"/>
      <c r="T33224" s="11"/>
    </row>
    <row r="33225" spans="8:20" x14ac:dyDescent="0.35">
      <c r="H33225" s="711"/>
      <c r="I33225" s="711"/>
      <c r="J33225" s="711"/>
      <c r="K33225" s="711"/>
      <c r="L33225" s="711"/>
      <c r="Q33225" s="11"/>
      <c r="R33225" s="11"/>
      <c r="S33225" s="11"/>
      <c r="T33225" s="11"/>
    </row>
    <row r="33226" spans="8:20" x14ac:dyDescent="0.35">
      <c r="H33226" s="711"/>
      <c r="I33226" s="711"/>
      <c r="J33226" s="711"/>
      <c r="K33226" s="711"/>
      <c r="L33226" s="711"/>
      <c r="Q33226" s="11"/>
      <c r="R33226" s="11"/>
      <c r="S33226" s="11"/>
      <c r="T33226" s="11"/>
    </row>
    <row r="33227" spans="8:20" x14ac:dyDescent="0.35">
      <c r="H33227" s="711"/>
      <c r="I33227" s="711"/>
      <c r="J33227" s="711"/>
      <c r="K33227" s="711"/>
      <c r="L33227" s="711"/>
      <c r="Q33227" s="11"/>
      <c r="R33227" s="11"/>
      <c r="S33227" s="11"/>
      <c r="T33227" s="11"/>
    </row>
    <row r="33228" spans="8:20" x14ac:dyDescent="0.35">
      <c r="H33228" s="711"/>
      <c r="I33228" s="711"/>
      <c r="J33228" s="711"/>
      <c r="K33228" s="711"/>
      <c r="L33228" s="711"/>
      <c r="Q33228" s="11"/>
      <c r="R33228" s="11"/>
      <c r="S33228" s="11"/>
      <c r="T33228" s="11"/>
    </row>
    <row r="33229" spans="8:20" x14ac:dyDescent="0.35">
      <c r="H33229" s="711"/>
      <c r="I33229" s="711"/>
      <c r="J33229" s="711"/>
      <c r="K33229" s="711"/>
      <c r="L33229" s="711"/>
      <c r="Q33229" s="11"/>
      <c r="R33229" s="11"/>
      <c r="S33229" s="11"/>
      <c r="T33229" s="11"/>
    </row>
    <row r="33230" spans="8:20" x14ac:dyDescent="0.35">
      <c r="H33230" s="711"/>
      <c r="I33230" s="711"/>
      <c r="J33230" s="711"/>
      <c r="K33230" s="711"/>
      <c r="L33230" s="711"/>
      <c r="Q33230" s="11"/>
      <c r="R33230" s="11"/>
      <c r="S33230" s="11"/>
      <c r="T33230" s="11"/>
    </row>
    <row r="33231" spans="8:20" x14ac:dyDescent="0.35">
      <c r="H33231" s="711"/>
      <c r="I33231" s="711"/>
      <c r="J33231" s="711"/>
      <c r="K33231" s="711"/>
      <c r="L33231" s="711"/>
      <c r="Q33231" s="11"/>
      <c r="R33231" s="11"/>
      <c r="S33231" s="11"/>
      <c r="T33231" s="11"/>
    </row>
    <row r="33232" spans="8:20" x14ac:dyDescent="0.35">
      <c r="H33232" s="711"/>
      <c r="I33232" s="711"/>
      <c r="J33232" s="711"/>
      <c r="K33232" s="711"/>
      <c r="L33232" s="711"/>
      <c r="Q33232" s="11"/>
      <c r="R33232" s="11"/>
      <c r="S33232" s="11"/>
      <c r="T33232" s="11"/>
    </row>
    <row r="33233" spans="8:20" x14ac:dyDescent="0.35">
      <c r="H33233" s="711"/>
      <c r="I33233" s="711"/>
      <c r="J33233" s="711"/>
      <c r="K33233" s="711"/>
      <c r="L33233" s="711"/>
      <c r="Q33233" s="11"/>
      <c r="R33233" s="11"/>
      <c r="S33233" s="11"/>
      <c r="T33233" s="11"/>
    </row>
    <row r="33234" spans="8:20" x14ac:dyDescent="0.35">
      <c r="H33234" s="711"/>
      <c r="I33234" s="711"/>
      <c r="J33234" s="711"/>
      <c r="K33234" s="711"/>
      <c r="L33234" s="711"/>
      <c r="Q33234" s="11"/>
      <c r="R33234" s="11"/>
      <c r="S33234" s="11"/>
      <c r="T33234" s="11"/>
    </row>
    <row r="33235" spans="8:20" x14ac:dyDescent="0.35">
      <c r="H33235" s="711"/>
      <c r="I33235" s="711"/>
      <c r="J33235" s="711"/>
      <c r="K33235" s="711"/>
      <c r="L33235" s="711"/>
      <c r="Q33235" s="11"/>
      <c r="R33235" s="11"/>
      <c r="S33235" s="11"/>
      <c r="T33235" s="11"/>
    </row>
    <row r="33236" spans="8:20" x14ac:dyDescent="0.35">
      <c r="H33236" s="711"/>
      <c r="I33236" s="711"/>
      <c r="J33236" s="711"/>
      <c r="K33236" s="711"/>
      <c r="L33236" s="711"/>
      <c r="Q33236" s="11"/>
      <c r="R33236" s="11"/>
      <c r="S33236" s="11"/>
      <c r="T33236" s="11"/>
    </row>
    <row r="33237" spans="8:20" x14ac:dyDescent="0.35">
      <c r="H33237" s="711"/>
      <c r="I33237" s="711"/>
      <c r="J33237" s="711"/>
      <c r="K33237" s="711"/>
      <c r="L33237" s="711"/>
      <c r="Q33237" s="11"/>
      <c r="R33237" s="11"/>
      <c r="S33237" s="11"/>
      <c r="T33237" s="11"/>
    </row>
    <row r="33238" spans="8:20" x14ac:dyDescent="0.35">
      <c r="H33238" s="711"/>
      <c r="I33238" s="711"/>
      <c r="J33238" s="711"/>
      <c r="K33238" s="711"/>
      <c r="L33238" s="711"/>
      <c r="Q33238" s="11"/>
      <c r="R33238" s="11"/>
      <c r="S33238" s="11"/>
      <c r="T33238" s="11"/>
    </row>
    <row r="33239" spans="8:20" x14ac:dyDescent="0.35">
      <c r="H33239" s="711"/>
      <c r="I33239" s="711"/>
      <c r="J33239" s="711"/>
      <c r="K33239" s="711"/>
      <c r="L33239" s="711"/>
      <c r="Q33239" s="11"/>
      <c r="R33239" s="11"/>
      <c r="S33239" s="11"/>
      <c r="T33239" s="11"/>
    </row>
    <row r="33240" spans="8:20" x14ac:dyDescent="0.35">
      <c r="H33240" s="711"/>
      <c r="I33240" s="711"/>
      <c r="J33240" s="711"/>
      <c r="K33240" s="711"/>
      <c r="L33240" s="711"/>
      <c r="Q33240" s="11"/>
      <c r="R33240" s="11"/>
      <c r="S33240" s="11"/>
      <c r="T33240" s="11"/>
    </row>
    <row r="33241" spans="8:20" x14ac:dyDescent="0.35">
      <c r="H33241" s="711"/>
      <c r="I33241" s="711"/>
      <c r="J33241" s="711"/>
      <c r="K33241" s="711"/>
      <c r="L33241" s="711"/>
      <c r="Q33241" s="11"/>
      <c r="R33241" s="11"/>
      <c r="S33241" s="11"/>
      <c r="T33241" s="11"/>
    </row>
    <row r="33242" spans="8:20" x14ac:dyDescent="0.35">
      <c r="H33242" s="711"/>
      <c r="I33242" s="711"/>
      <c r="J33242" s="711"/>
      <c r="K33242" s="711"/>
      <c r="L33242" s="711"/>
      <c r="Q33242" s="11"/>
      <c r="R33242" s="11"/>
      <c r="S33242" s="11"/>
      <c r="T33242" s="11"/>
    </row>
    <row r="33243" spans="8:20" x14ac:dyDescent="0.35">
      <c r="H33243" s="711"/>
      <c r="I33243" s="711"/>
      <c r="J33243" s="711"/>
      <c r="K33243" s="711"/>
      <c r="L33243" s="711"/>
      <c r="Q33243" s="11"/>
      <c r="R33243" s="11"/>
      <c r="S33243" s="11"/>
      <c r="T33243" s="11"/>
    </row>
    <row r="33244" spans="8:20" x14ac:dyDescent="0.35">
      <c r="H33244" s="711"/>
      <c r="I33244" s="711"/>
      <c r="J33244" s="711"/>
      <c r="K33244" s="711"/>
      <c r="L33244" s="711"/>
      <c r="Q33244" s="11"/>
      <c r="R33244" s="11"/>
      <c r="S33244" s="11"/>
      <c r="T33244" s="11"/>
    </row>
    <row r="33245" spans="8:20" x14ac:dyDescent="0.35">
      <c r="H33245" s="711"/>
      <c r="I33245" s="711"/>
      <c r="J33245" s="711"/>
      <c r="K33245" s="711"/>
      <c r="L33245" s="711"/>
      <c r="Q33245" s="11"/>
      <c r="R33245" s="11"/>
      <c r="S33245" s="11"/>
      <c r="T33245" s="11"/>
    </row>
    <row r="33246" spans="8:20" x14ac:dyDescent="0.35">
      <c r="H33246" s="711"/>
      <c r="I33246" s="711"/>
      <c r="J33246" s="711"/>
      <c r="K33246" s="711"/>
      <c r="L33246" s="711"/>
      <c r="Q33246" s="11"/>
      <c r="R33246" s="11"/>
      <c r="S33246" s="11"/>
      <c r="T33246" s="11"/>
    </row>
    <row r="33247" spans="8:20" x14ac:dyDescent="0.35">
      <c r="H33247" s="711"/>
      <c r="I33247" s="711"/>
      <c r="J33247" s="711"/>
      <c r="K33247" s="711"/>
      <c r="L33247" s="711"/>
      <c r="Q33247" s="11"/>
      <c r="R33247" s="11"/>
      <c r="S33247" s="11"/>
      <c r="T33247" s="11"/>
    </row>
    <row r="33248" spans="8:20" x14ac:dyDescent="0.35">
      <c r="H33248" s="711"/>
      <c r="I33248" s="711"/>
      <c r="J33248" s="711"/>
      <c r="K33248" s="711"/>
      <c r="L33248" s="711"/>
      <c r="Q33248" s="11"/>
      <c r="R33248" s="11"/>
      <c r="S33248" s="11"/>
      <c r="T33248" s="11"/>
    </row>
    <row r="33249" spans="8:20" x14ac:dyDescent="0.35">
      <c r="H33249" s="711"/>
      <c r="I33249" s="711"/>
      <c r="J33249" s="711"/>
      <c r="K33249" s="711"/>
      <c r="L33249" s="711"/>
      <c r="Q33249" s="11"/>
      <c r="R33249" s="11"/>
      <c r="S33249" s="11"/>
      <c r="T33249" s="11"/>
    </row>
    <row r="33250" spans="8:20" x14ac:dyDescent="0.35">
      <c r="H33250" s="711"/>
      <c r="I33250" s="711"/>
      <c r="J33250" s="711"/>
      <c r="K33250" s="711"/>
      <c r="L33250" s="711"/>
      <c r="Q33250" s="11"/>
      <c r="R33250" s="11"/>
      <c r="S33250" s="11"/>
      <c r="T33250" s="11"/>
    </row>
    <row r="33251" spans="8:20" x14ac:dyDescent="0.35">
      <c r="H33251" s="711"/>
      <c r="I33251" s="711"/>
      <c r="J33251" s="711"/>
      <c r="K33251" s="711"/>
      <c r="L33251" s="711"/>
      <c r="Q33251" s="11"/>
      <c r="R33251" s="11"/>
      <c r="S33251" s="11"/>
      <c r="T33251" s="11"/>
    </row>
    <row r="33252" spans="8:20" x14ac:dyDescent="0.35">
      <c r="H33252" s="711"/>
      <c r="I33252" s="711"/>
      <c r="J33252" s="711"/>
      <c r="K33252" s="711"/>
      <c r="L33252" s="711"/>
      <c r="Q33252" s="11"/>
      <c r="R33252" s="11"/>
      <c r="S33252" s="11"/>
      <c r="T33252" s="11"/>
    </row>
    <row r="33253" spans="8:20" x14ac:dyDescent="0.35">
      <c r="H33253" s="711"/>
      <c r="I33253" s="711"/>
      <c r="J33253" s="711"/>
      <c r="K33253" s="711"/>
      <c r="L33253" s="711"/>
      <c r="Q33253" s="11"/>
      <c r="R33253" s="11"/>
      <c r="S33253" s="11"/>
      <c r="T33253" s="11"/>
    </row>
    <row r="33254" spans="8:20" x14ac:dyDescent="0.35">
      <c r="H33254" s="711"/>
      <c r="I33254" s="711"/>
      <c r="J33254" s="711"/>
      <c r="K33254" s="711"/>
      <c r="L33254" s="711"/>
      <c r="Q33254" s="11"/>
      <c r="R33254" s="11"/>
      <c r="S33254" s="11"/>
      <c r="T33254" s="11"/>
    </row>
    <row r="33255" spans="8:20" x14ac:dyDescent="0.35">
      <c r="H33255" s="711"/>
      <c r="I33255" s="711"/>
      <c r="J33255" s="711"/>
      <c r="K33255" s="711"/>
      <c r="L33255" s="711"/>
      <c r="Q33255" s="11"/>
      <c r="R33255" s="11"/>
      <c r="S33255" s="11"/>
      <c r="T33255" s="11"/>
    </row>
    <row r="33256" spans="8:20" x14ac:dyDescent="0.35">
      <c r="H33256" s="711"/>
      <c r="I33256" s="711"/>
      <c r="J33256" s="711"/>
      <c r="K33256" s="711"/>
      <c r="L33256" s="711"/>
      <c r="Q33256" s="11"/>
      <c r="R33256" s="11"/>
      <c r="S33256" s="11"/>
      <c r="T33256" s="11"/>
    </row>
    <row r="33257" spans="8:20" x14ac:dyDescent="0.35">
      <c r="H33257" s="711"/>
      <c r="I33257" s="711"/>
      <c r="J33257" s="711"/>
      <c r="K33257" s="711"/>
      <c r="L33257" s="711"/>
      <c r="Q33257" s="11"/>
      <c r="R33257" s="11"/>
      <c r="S33257" s="11"/>
      <c r="T33257" s="11"/>
    </row>
    <row r="33258" spans="8:20" x14ac:dyDescent="0.35">
      <c r="H33258" s="711"/>
      <c r="I33258" s="711"/>
      <c r="J33258" s="711"/>
      <c r="K33258" s="711"/>
      <c r="L33258" s="711"/>
      <c r="Q33258" s="11"/>
      <c r="R33258" s="11"/>
      <c r="S33258" s="11"/>
      <c r="T33258" s="11"/>
    </row>
    <row r="33259" spans="8:20" x14ac:dyDescent="0.35">
      <c r="H33259" s="711"/>
      <c r="I33259" s="711"/>
      <c r="J33259" s="711"/>
      <c r="K33259" s="711"/>
      <c r="L33259" s="711"/>
      <c r="Q33259" s="11"/>
      <c r="R33259" s="11"/>
      <c r="S33259" s="11"/>
      <c r="T33259" s="11"/>
    </row>
    <row r="33260" spans="8:20" x14ac:dyDescent="0.35">
      <c r="H33260" s="711"/>
      <c r="I33260" s="711"/>
      <c r="J33260" s="711"/>
      <c r="K33260" s="711"/>
      <c r="L33260" s="711"/>
      <c r="Q33260" s="11"/>
      <c r="R33260" s="11"/>
      <c r="S33260" s="11"/>
      <c r="T33260" s="11"/>
    </row>
    <row r="33261" spans="8:20" x14ac:dyDescent="0.35">
      <c r="H33261" s="711"/>
      <c r="I33261" s="711"/>
      <c r="J33261" s="711"/>
      <c r="K33261" s="711"/>
      <c r="L33261" s="711"/>
      <c r="Q33261" s="11"/>
      <c r="R33261" s="11"/>
      <c r="S33261" s="11"/>
      <c r="T33261" s="11"/>
    </row>
    <row r="33262" spans="8:20" x14ac:dyDescent="0.35">
      <c r="H33262" s="711"/>
      <c r="I33262" s="711"/>
      <c r="J33262" s="711"/>
      <c r="K33262" s="711"/>
      <c r="L33262" s="711"/>
      <c r="Q33262" s="11"/>
      <c r="R33262" s="11"/>
      <c r="S33262" s="11"/>
      <c r="T33262" s="11"/>
    </row>
    <row r="33263" spans="8:20" x14ac:dyDescent="0.35">
      <c r="H33263" s="711"/>
      <c r="I33263" s="711"/>
      <c r="J33263" s="711"/>
      <c r="K33263" s="711"/>
      <c r="L33263" s="711"/>
      <c r="Q33263" s="11"/>
      <c r="R33263" s="11"/>
      <c r="S33263" s="11"/>
      <c r="T33263" s="11"/>
    </row>
    <row r="33264" spans="8:20" x14ac:dyDescent="0.35">
      <c r="H33264" s="711"/>
      <c r="I33264" s="711"/>
      <c r="J33264" s="711"/>
      <c r="K33264" s="711"/>
      <c r="L33264" s="711"/>
      <c r="Q33264" s="11"/>
      <c r="R33264" s="11"/>
      <c r="S33264" s="11"/>
      <c r="T33264" s="11"/>
    </row>
    <row r="33265" spans="8:20" x14ac:dyDescent="0.35">
      <c r="H33265" s="711"/>
      <c r="I33265" s="711"/>
      <c r="J33265" s="711"/>
      <c r="K33265" s="711"/>
      <c r="L33265" s="711"/>
      <c r="Q33265" s="11"/>
      <c r="R33265" s="11"/>
      <c r="S33265" s="11"/>
      <c r="T33265" s="11"/>
    </row>
    <row r="33266" spans="8:20" x14ac:dyDescent="0.35">
      <c r="H33266" s="711"/>
      <c r="I33266" s="711"/>
      <c r="J33266" s="711"/>
      <c r="K33266" s="711"/>
      <c r="L33266" s="711"/>
      <c r="Q33266" s="11"/>
      <c r="R33266" s="11"/>
      <c r="S33266" s="11"/>
      <c r="T33266" s="11"/>
    </row>
    <row r="33267" spans="8:20" x14ac:dyDescent="0.35">
      <c r="H33267" s="711"/>
      <c r="I33267" s="711"/>
      <c r="J33267" s="711"/>
      <c r="K33267" s="711"/>
      <c r="L33267" s="711"/>
      <c r="Q33267" s="11"/>
      <c r="R33267" s="11"/>
      <c r="S33267" s="11"/>
      <c r="T33267" s="11"/>
    </row>
    <row r="33268" spans="8:20" x14ac:dyDescent="0.35">
      <c r="H33268" s="711"/>
      <c r="I33268" s="711"/>
      <c r="J33268" s="711"/>
      <c r="K33268" s="711"/>
      <c r="L33268" s="711"/>
      <c r="Q33268" s="11"/>
      <c r="R33268" s="11"/>
      <c r="S33268" s="11"/>
      <c r="T33268" s="11"/>
    </row>
    <row r="33269" spans="8:20" x14ac:dyDescent="0.35">
      <c r="H33269" s="711"/>
      <c r="I33269" s="711"/>
      <c r="J33269" s="711"/>
      <c r="K33269" s="711"/>
      <c r="L33269" s="711"/>
      <c r="Q33269" s="11"/>
      <c r="R33269" s="11"/>
      <c r="S33269" s="11"/>
      <c r="T33269" s="11"/>
    </row>
    <row r="33270" spans="8:20" x14ac:dyDescent="0.35">
      <c r="H33270" s="711"/>
      <c r="I33270" s="711"/>
      <c r="J33270" s="711"/>
      <c r="K33270" s="711"/>
      <c r="L33270" s="711"/>
      <c r="Q33270" s="11"/>
      <c r="R33270" s="11"/>
      <c r="S33270" s="11"/>
      <c r="T33270" s="11"/>
    </row>
    <row r="33271" spans="8:20" x14ac:dyDescent="0.35">
      <c r="H33271" s="711"/>
      <c r="I33271" s="711"/>
      <c r="J33271" s="711"/>
      <c r="K33271" s="711"/>
      <c r="L33271" s="711"/>
      <c r="Q33271" s="11"/>
      <c r="R33271" s="11"/>
      <c r="S33271" s="11"/>
      <c r="T33271" s="11"/>
    </row>
    <row r="33272" spans="8:20" x14ac:dyDescent="0.35">
      <c r="H33272" s="711"/>
      <c r="I33272" s="711"/>
      <c r="J33272" s="711"/>
      <c r="K33272" s="711"/>
      <c r="L33272" s="711"/>
      <c r="Q33272" s="11"/>
      <c r="R33272" s="11"/>
      <c r="S33272" s="11"/>
      <c r="T33272" s="11"/>
    </row>
    <row r="33273" spans="8:20" x14ac:dyDescent="0.35">
      <c r="H33273" s="711"/>
      <c r="I33273" s="711"/>
      <c r="J33273" s="711"/>
      <c r="K33273" s="711"/>
      <c r="L33273" s="711"/>
      <c r="Q33273" s="11"/>
      <c r="R33273" s="11"/>
      <c r="S33273" s="11"/>
      <c r="T33273" s="11"/>
    </row>
    <row r="33274" spans="8:20" x14ac:dyDescent="0.35">
      <c r="H33274" s="711"/>
      <c r="I33274" s="711"/>
      <c r="J33274" s="711"/>
      <c r="K33274" s="711"/>
      <c r="L33274" s="711"/>
      <c r="Q33274" s="11"/>
      <c r="R33274" s="11"/>
      <c r="S33274" s="11"/>
      <c r="T33274" s="11"/>
    </row>
    <row r="33275" spans="8:20" x14ac:dyDescent="0.35">
      <c r="H33275" s="711"/>
      <c r="I33275" s="711"/>
      <c r="J33275" s="711"/>
      <c r="K33275" s="711"/>
      <c r="L33275" s="711"/>
      <c r="Q33275" s="11"/>
      <c r="R33275" s="11"/>
      <c r="S33275" s="11"/>
      <c r="T33275" s="11"/>
    </row>
    <row r="33276" spans="8:20" x14ac:dyDescent="0.35">
      <c r="H33276" s="711"/>
      <c r="I33276" s="711"/>
      <c r="J33276" s="711"/>
      <c r="K33276" s="711"/>
      <c r="L33276" s="711"/>
      <c r="Q33276" s="11"/>
      <c r="R33276" s="11"/>
      <c r="S33276" s="11"/>
      <c r="T33276" s="11"/>
    </row>
    <row r="33277" spans="8:20" x14ac:dyDescent="0.35">
      <c r="H33277" s="711"/>
      <c r="I33277" s="711"/>
      <c r="J33277" s="711"/>
      <c r="K33277" s="711"/>
      <c r="L33277" s="711"/>
      <c r="Q33277" s="11"/>
      <c r="R33277" s="11"/>
      <c r="S33277" s="11"/>
      <c r="T33277" s="11"/>
    </row>
    <row r="33278" spans="8:20" x14ac:dyDescent="0.35">
      <c r="H33278" s="711"/>
      <c r="I33278" s="711"/>
      <c r="J33278" s="711"/>
      <c r="K33278" s="711"/>
      <c r="L33278" s="711"/>
      <c r="Q33278" s="11"/>
      <c r="R33278" s="11"/>
      <c r="S33278" s="11"/>
      <c r="T33278" s="11"/>
    </row>
    <row r="33279" spans="8:20" x14ac:dyDescent="0.35">
      <c r="H33279" s="711"/>
      <c r="I33279" s="711"/>
      <c r="J33279" s="711"/>
      <c r="K33279" s="711"/>
      <c r="L33279" s="711"/>
      <c r="Q33279" s="11"/>
      <c r="R33279" s="11"/>
      <c r="S33279" s="11"/>
      <c r="T33279" s="11"/>
    </row>
    <row r="33280" spans="8:20" x14ac:dyDescent="0.35">
      <c r="H33280" s="711"/>
      <c r="I33280" s="711"/>
      <c r="J33280" s="711"/>
      <c r="K33280" s="711"/>
      <c r="L33280" s="711"/>
      <c r="Q33280" s="11"/>
      <c r="R33280" s="11"/>
      <c r="S33280" s="11"/>
      <c r="T33280" s="11"/>
    </row>
    <row r="33281" spans="8:20" x14ac:dyDescent="0.35">
      <c r="H33281" s="711"/>
      <c r="I33281" s="711"/>
      <c r="J33281" s="711"/>
      <c r="K33281" s="711"/>
      <c r="L33281" s="711"/>
      <c r="Q33281" s="11"/>
      <c r="R33281" s="11"/>
      <c r="S33281" s="11"/>
      <c r="T33281" s="11"/>
    </row>
    <row r="33282" spans="8:20" x14ac:dyDescent="0.35">
      <c r="H33282" s="711"/>
      <c r="I33282" s="711"/>
      <c r="J33282" s="711"/>
      <c r="K33282" s="711"/>
      <c r="L33282" s="711"/>
      <c r="Q33282" s="11"/>
      <c r="R33282" s="11"/>
      <c r="S33282" s="11"/>
      <c r="T33282" s="11"/>
    </row>
    <row r="33283" spans="8:20" x14ac:dyDescent="0.35">
      <c r="H33283" s="711"/>
      <c r="I33283" s="711"/>
      <c r="J33283" s="711"/>
      <c r="K33283" s="711"/>
      <c r="L33283" s="711"/>
      <c r="Q33283" s="11"/>
      <c r="R33283" s="11"/>
      <c r="S33283" s="11"/>
      <c r="T33283" s="11"/>
    </row>
    <row r="33284" spans="8:20" x14ac:dyDescent="0.35">
      <c r="H33284" s="711"/>
      <c r="I33284" s="711"/>
      <c r="J33284" s="711"/>
      <c r="K33284" s="711"/>
      <c r="L33284" s="711"/>
      <c r="Q33284" s="11"/>
      <c r="R33284" s="11"/>
      <c r="S33284" s="11"/>
      <c r="T33284" s="11"/>
    </row>
    <row r="33285" spans="8:20" x14ac:dyDescent="0.35">
      <c r="H33285" s="711"/>
      <c r="I33285" s="711"/>
      <c r="J33285" s="711"/>
      <c r="K33285" s="711"/>
      <c r="L33285" s="711"/>
      <c r="Q33285" s="11"/>
      <c r="R33285" s="11"/>
      <c r="S33285" s="11"/>
      <c r="T33285" s="11"/>
    </row>
    <row r="33286" spans="8:20" x14ac:dyDescent="0.35">
      <c r="H33286" s="711"/>
      <c r="I33286" s="711"/>
      <c r="J33286" s="711"/>
      <c r="K33286" s="711"/>
      <c r="L33286" s="711"/>
      <c r="Q33286" s="11"/>
      <c r="R33286" s="11"/>
      <c r="S33286" s="11"/>
      <c r="T33286" s="11"/>
    </row>
    <row r="33287" spans="8:20" x14ac:dyDescent="0.35">
      <c r="H33287" s="711"/>
      <c r="I33287" s="711"/>
      <c r="J33287" s="711"/>
      <c r="K33287" s="711"/>
      <c r="L33287" s="711"/>
      <c r="Q33287" s="11"/>
      <c r="R33287" s="11"/>
      <c r="S33287" s="11"/>
      <c r="T33287" s="11"/>
    </row>
    <row r="33288" spans="8:20" x14ac:dyDescent="0.35">
      <c r="H33288" s="711"/>
      <c r="I33288" s="711"/>
      <c r="J33288" s="711"/>
      <c r="K33288" s="711"/>
      <c r="L33288" s="711"/>
      <c r="Q33288" s="11"/>
      <c r="R33288" s="11"/>
      <c r="S33288" s="11"/>
      <c r="T33288" s="11"/>
    </row>
    <row r="33289" spans="8:20" x14ac:dyDescent="0.35">
      <c r="H33289" s="711"/>
      <c r="I33289" s="711"/>
      <c r="J33289" s="711"/>
      <c r="K33289" s="711"/>
      <c r="L33289" s="711"/>
      <c r="Q33289" s="11"/>
      <c r="R33289" s="11"/>
      <c r="S33289" s="11"/>
      <c r="T33289" s="11"/>
    </row>
    <row r="33290" spans="8:20" x14ac:dyDescent="0.35">
      <c r="H33290" s="711"/>
      <c r="I33290" s="711"/>
      <c r="J33290" s="711"/>
      <c r="K33290" s="711"/>
      <c r="L33290" s="711"/>
      <c r="Q33290" s="11"/>
      <c r="R33290" s="11"/>
      <c r="S33290" s="11"/>
      <c r="T33290" s="11"/>
    </row>
    <row r="33291" spans="8:20" x14ac:dyDescent="0.35">
      <c r="H33291" s="711"/>
      <c r="I33291" s="711"/>
      <c r="J33291" s="711"/>
      <c r="K33291" s="711"/>
      <c r="L33291" s="711"/>
      <c r="Q33291" s="11"/>
      <c r="R33291" s="11"/>
      <c r="S33291" s="11"/>
      <c r="T33291" s="11"/>
    </row>
    <row r="33292" spans="8:20" x14ac:dyDescent="0.35">
      <c r="H33292" s="711"/>
      <c r="I33292" s="711"/>
      <c r="J33292" s="711"/>
      <c r="K33292" s="711"/>
      <c r="L33292" s="711"/>
      <c r="Q33292" s="11"/>
      <c r="R33292" s="11"/>
      <c r="S33292" s="11"/>
      <c r="T33292" s="11"/>
    </row>
    <row r="33293" spans="8:20" x14ac:dyDescent="0.35">
      <c r="H33293" s="711"/>
      <c r="I33293" s="711"/>
      <c r="J33293" s="711"/>
      <c r="K33293" s="711"/>
      <c r="L33293" s="711"/>
      <c r="Q33293" s="11"/>
      <c r="R33293" s="11"/>
      <c r="S33293" s="11"/>
      <c r="T33293" s="11"/>
    </row>
    <row r="33294" spans="8:20" x14ac:dyDescent="0.35">
      <c r="H33294" s="711"/>
      <c r="I33294" s="711"/>
      <c r="J33294" s="711"/>
      <c r="K33294" s="711"/>
      <c r="L33294" s="711"/>
      <c r="Q33294" s="11"/>
      <c r="R33294" s="11"/>
      <c r="S33294" s="11"/>
      <c r="T33294" s="11"/>
    </row>
    <row r="33295" spans="8:20" x14ac:dyDescent="0.35">
      <c r="H33295" s="711"/>
      <c r="I33295" s="711"/>
      <c r="J33295" s="711"/>
      <c r="K33295" s="711"/>
      <c r="L33295" s="711"/>
      <c r="Q33295" s="11"/>
      <c r="R33295" s="11"/>
      <c r="S33295" s="11"/>
      <c r="T33295" s="11"/>
    </row>
    <row r="33296" spans="8:20" x14ac:dyDescent="0.35">
      <c r="H33296" s="711"/>
      <c r="I33296" s="711"/>
      <c r="J33296" s="711"/>
      <c r="K33296" s="711"/>
      <c r="L33296" s="711"/>
      <c r="Q33296" s="11"/>
      <c r="R33296" s="11"/>
      <c r="S33296" s="11"/>
      <c r="T33296" s="11"/>
    </row>
    <row r="33297" spans="8:20" x14ac:dyDescent="0.35">
      <c r="H33297" s="711"/>
      <c r="I33297" s="711"/>
      <c r="J33297" s="711"/>
      <c r="K33297" s="711"/>
      <c r="L33297" s="711"/>
      <c r="Q33297" s="11"/>
      <c r="R33297" s="11"/>
      <c r="S33297" s="11"/>
      <c r="T33297" s="11"/>
    </row>
    <row r="33298" spans="8:20" x14ac:dyDescent="0.35">
      <c r="H33298" s="711"/>
      <c r="I33298" s="711"/>
      <c r="J33298" s="711"/>
      <c r="K33298" s="711"/>
      <c r="L33298" s="711"/>
      <c r="Q33298" s="11"/>
      <c r="R33298" s="11"/>
      <c r="S33298" s="11"/>
      <c r="T33298" s="11"/>
    </row>
    <row r="33299" spans="8:20" x14ac:dyDescent="0.35">
      <c r="H33299" s="711"/>
      <c r="I33299" s="711"/>
      <c r="J33299" s="711"/>
      <c r="K33299" s="711"/>
      <c r="L33299" s="711"/>
      <c r="Q33299" s="11"/>
      <c r="R33299" s="11"/>
      <c r="S33299" s="11"/>
      <c r="T33299" s="11"/>
    </row>
    <row r="33300" spans="8:20" x14ac:dyDescent="0.35">
      <c r="H33300" s="711"/>
      <c r="I33300" s="711"/>
      <c r="J33300" s="711"/>
      <c r="K33300" s="711"/>
      <c r="L33300" s="711"/>
      <c r="Q33300" s="11"/>
      <c r="R33300" s="11"/>
      <c r="S33300" s="11"/>
      <c r="T33300" s="11"/>
    </row>
    <row r="33301" spans="8:20" x14ac:dyDescent="0.35">
      <c r="H33301" s="711"/>
      <c r="I33301" s="711"/>
      <c r="J33301" s="711"/>
      <c r="K33301" s="711"/>
      <c r="L33301" s="711"/>
      <c r="Q33301" s="11"/>
      <c r="R33301" s="11"/>
      <c r="S33301" s="11"/>
      <c r="T33301" s="11"/>
    </row>
    <row r="33302" spans="8:20" x14ac:dyDescent="0.35">
      <c r="H33302" s="711"/>
      <c r="I33302" s="711"/>
      <c r="J33302" s="711"/>
      <c r="K33302" s="711"/>
      <c r="L33302" s="711"/>
      <c r="Q33302" s="11"/>
      <c r="R33302" s="11"/>
      <c r="S33302" s="11"/>
      <c r="T33302" s="11"/>
    </row>
    <row r="33303" spans="8:20" x14ac:dyDescent="0.35">
      <c r="H33303" s="711"/>
      <c r="I33303" s="711"/>
      <c r="J33303" s="711"/>
      <c r="K33303" s="711"/>
      <c r="L33303" s="711"/>
      <c r="Q33303" s="11"/>
      <c r="R33303" s="11"/>
      <c r="S33303" s="11"/>
      <c r="T33303" s="11"/>
    </row>
    <row r="33304" spans="8:20" x14ac:dyDescent="0.35">
      <c r="H33304" s="711"/>
      <c r="I33304" s="711"/>
      <c r="J33304" s="711"/>
      <c r="K33304" s="711"/>
      <c r="L33304" s="711"/>
      <c r="Q33304" s="11"/>
      <c r="R33304" s="11"/>
      <c r="S33304" s="11"/>
      <c r="T33304" s="11"/>
    </row>
    <row r="33305" spans="8:20" x14ac:dyDescent="0.35">
      <c r="H33305" s="711"/>
      <c r="I33305" s="711"/>
      <c r="J33305" s="711"/>
      <c r="K33305" s="711"/>
      <c r="L33305" s="711"/>
      <c r="Q33305" s="11"/>
      <c r="R33305" s="11"/>
      <c r="S33305" s="11"/>
      <c r="T33305" s="11"/>
    </row>
    <row r="33306" spans="8:20" x14ac:dyDescent="0.35">
      <c r="H33306" s="711"/>
      <c r="I33306" s="711"/>
      <c r="J33306" s="711"/>
      <c r="K33306" s="711"/>
      <c r="L33306" s="711"/>
      <c r="Q33306" s="11"/>
      <c r="R33306" s="11"/>
      <c r="S33306" s="11"/>
      <c r="T33306" s="11"/>
    </row>
    <row r="33307" spans="8:20" x14ac:dyDescent="0.35">
      <c r="H33307" s="711"/>
      <c r="I33307" s="711"/>
      <c r="J33307" s="711"/>
      <c r="K33307" s="711"/>
      <c r="L33307" s="711"/>
      <c r="Q33307" s="11"/>
      <c r="R33307" s="11"/>
      <c r="S33307" s="11"/>
      <c r="T33307" s="11"/>
    </row>
    <row r="33308" spans="8:20" x14ac:dyDescent="0.35">
      <c r="H33308" s="711"/>
      <c r="I33308" s="711"/>
      <c r="J33308" s="711"/>
      <c r="K33308" s="711"/>
      <c r="L33308" s="711"/>
      <c r="Q33308" s="11"/>
      <c r="R33308" s="11"/>
      <c r="S33308" s="11"/>
      <c r="T33308" s="11"/>
    </row>
    <row r="33309" spans="8:20" x14ac:dyDescent="0.35">
      <c r="H33309" s="711"/>
      <c r="I33309" s="711"/>
      <c r="J33309" s="711"/>
      <c r="K33309" s="711"/>
      <c r="L33309" s="711"/>
      <c r="Q33309" s="11"/>
      <c r="R33309" s="11"/>
      <c r="S33309" s="11"/>
      <c r="T33309" s="11"/>
    </row>
    <row r="33310" spans="8:20" x14ac:dyDescent="0.35">
      <c r="H33310" s="711"/>
      <c r="I33310" s="711"/>
      <c r="J33310" s="711"/>
      <c r="K33310" s="711"/>
      <c r="L33310" s="711"/>
      <c r="Q33310" s="11"/>
      <c r="R33310" s="11"/>
      <c r="S33310" s="11"/>
      <c r="T33310" s="11"/>
    </row>
    <row r="33311" spans="8:20" x14ac:dyDescent="0.35">
      <c r="H33311" s="711"/>
      <c r="I33311" s="711"/>
      <c r="J33311" s="711"/>
      <c r="K33311" s="711"/>
      <c r="L33311" s="711"/>
      <c r="Q33311" s="11"/>
      <c r="R33311" s="11"/>
      <c r="S33311" s="11"/>
      <c r="T33311" s="11"/>
    </row>
    <row r="33312" spans="8:20" x14ac:dyDescent="0.35">
      <c r="H33312" s="711"/>
      <c r="I33312" s="711"/>
      <c r="J33312" s="711"/>
      <c r="K33312" s="711"/>
      <c r="L33312" s="711"/>
      <c r="Q33312" s="11"/>
      <c r="R33312" s="11"/>
      <c r="S33312" s="11"/>
      <c r="T33312" s="11"/>
    </row>
    <row r="33313" spans="8:20" x14ac:dyDescent="0.35">
      <c r="H33313" s="711"/>
      <c r="I33313" s="711"/>
      <c r="J33313" s="711"/>
      <c r="K33313" s="711"/>
      <c r="L33313" s="711"/>
      <c r="Q33313" s="11"/>
      <c r="R33313" s="11"/>
      <c r="S33313" s="11"/>
      <c r="T33313" s="11"/>
    </row>
    <row r="33314" spans="8:20" x14ac:dyDescent="0.35">
      <c r="H33314" s="711"/>
      <c r="I33314" s="711"/>
      <c r="J33314" s="711"/>
      <c r="K33314" s="711"/>
      <c r="L33314" s="711"/>
      <c r="Q33314" s="11"/>
      <c r="R33314" s="11"/>
      <c r="S33314" s="11"/>
      <c r="T33314" s="11"/>
    </row>
    <row r="33315" spans="8:20" x14ac:dyDescent="0.35">
      <c r="H33315" s="711"/>
      <c r="I33315" s="711"/>
      <c r="J33315" s="711"/>
      <c r="K33315" s="711"/>
      <c r="L33315" s="711"/>
      <c r="Q33315" s="11"/>
      <c r="R33315" s="11"/>
      <c r="S33315" s="11"/>
      <c r="T33315" s="11"/>
    </row>
    <row r="33316" spans="8:20" x14ac:dyDescent="0.35">
      <c r="H33316" s="711"/>
      <c r="I33316" s="711"/>
      <c r="J33316" s="711"/>
      <c r="K33316" s="711"/>
      <c r="L33316" s="711"/>
      <c r="Q33316" s="11"/>
      <c r="R33316" s="11"/>
      <c r="S33316" s="11"/>
      <c r="T33316" s="11"/>
    </row>
    <row r="33317" spans="8:20" x14ac:dyDescent="0.35">
      <c r="H33317" s="711"/>
      <c r="I33317" s="711"/>
      <c r="J33317" s="711"/>
      <c r="K33317" s="711"/>
      <c r="L33317" s="711"/>
      <c r="Q33317" s="11"/>
      <c r="R33317" s="11"/>
      <c r="S33317" s="11"/>
      <c r="T33317" s="11"/>
    </row>
    <row r="33318" spans="8:20" x14ac:dyDescent="0.35">
      <c r="H33318" s="711"/>
      <c r="I33318" s="711"/>
      <c r="J33318" s="711"/>
      <c r="K33318" s="711"/>
      <c r="L33318" s="711"/>
      <c r="Q33318" s="11"/>
      <c r="R33318" s="11"/>
      <c r="S33318" s="11"/>
      <c r="T33318" s="11"/>
    </row>
    <row r="33319" spans="8:20" x14ac:dyDescent="0.35">
      <c r="H33319" s="711"/>
      <c r="I33319" s="711"/>
      <c r="J33319" s="711"/>
      <c r="K33319" s="711"/>
      <c r="L33319" s="711"/>
      <c r="Q33319" s="11"/>
      <c r="R33319" s="11"/>
      <c r="S33319" s="11"/>
      <c r="T33319" s="11"/>
    </row>
    <row r="33320" spans="8:20" x14ac:dyDescent="0.35">
      <c r="H33320" s="711"/>
      <c r="I33320" s="711"/>
      <c r="J33320" s="711"/>
      <c r="K33320" s="711"/>
      <c r="L33320" s="711"/>
      <c r="Q33320" s="11"/>
      <c r="R33320" s="11"/>
      <c r="S33320" s="11"/>
      <c r="T33320" s="11"/>
    </row>
    <row r="33321" spans="8:20" x14ac:dyDescent="0.35">
      <c r="H33321" s="711"/>
      <c r="I33321" s="711"/>
      <c r="J33321" s="711"/>
      <c r="K33321" s="711"/>
      <c r="L33321" s="711"/>
      <c r="Q33321" s="11"/>
      <c r="R33321" s="11"/>
      <c r="S33321" s="11"/>
      <c r="T33321" s="11"/>
    </row>
    <row r="33322" spans="8:20" x14ac:dyDescent="0.35">
      <c r="H33322" s="711"/>
      <c r="I33322" s="711"/>
      <c r="J33322" s="711"/>
      <c r="K33322" s="711"/>
      <c r="L33322" s="711"/>
      <c r="Q33322" s="11"/>
      <c r="R33322" s="11"/>
      <c r="S33322" s="11"/>
      <c r="T33322" s="11"/>
    </row>
    <row r="33323" spans="8:20" x14ac:dyDescent="0.35">
      <c r="H33323" s="711"/>
      <c r="I33323" s="711"/>
      <c r="J33323" s="711"/>
      <c r="K33323" s="711"/>
      <c r="L33323" s="711"/>
      <c r="Q33323" s="11"/>
      <c r="R33323" s="11"/>
      <c r="S33323" s="11"/>
      <c r="T33323" s="11"/>
    </row>
    <row r="33324" spans="8:20" x14ac:dyDescent="0.35">
      <c r="H33324" s="711"/>
      <c r="I33324" s="711"/>
      <c r="J33324" s="711"/>
      <c r="K33324" s="711"/>
      <c r="L33324" s="711"/>
      <c r="Q33324" s="11"/>
      <c r="R33324" s="11"/>
      <c r="S33324" s="11"/>
      <c r="T33324" s="11"/>
    </row>
    <row r="33325" spans="8:20" x14ac:dyDescent="0.35">
      <c r="H33325" s="711"/>
      <c r="I33325" s="711"/>
      <c r="J33325" s="711"/>
      <c r="K33325" s="711"/>
      <c r="L33325" s="711"/>
      <c r="Q33325" s="11"/>
      <c r="R33325" s="11"/>
      <c r="S33325" s="11"/>
      <c r="T33325" s="11"/>
    </row>
    <row r="33326" spans="8:20" x14ac:dyDescent="0.35">
      <c r="H33326" s="711"/>
      <c r="I33326" s="711"/>
      <c r="J33326" s="711"/>
      <c r="K33326" s="711"/>
      <c r="L33326" s="711"/>
      <c r="Q33326" s="11"/>
      <c r="R33326" s="11"/>
      <c r="S33326" s="11"/>
      <c r="T33326" s="11"/>
    </row>
    <row r="33327" spans="8:20" x14ac:dyDescent="0.35">
      <c r="H33327" s="711"/>
      <c r="I33327" s="711"/>
      <c r="J33327" s="711"/>
      <c r="K33327" s="711"/>
      <c r="L33327" s="711"/>
      <c r="Q33327" s="11"/>
      <c r="R33327" s="11"/>
      <c r="S33327" s="11"/>
      <c r="T33327" s="11"/>
    </row>
    <row r="33328" spans="8:20" x14ac:dyDescent="0.35">
      <c r="H33328" s="711"/>
      <c r="I33328" s="711"/>
      <c r="J33328" s="711"/>
      <c r="K33328" s="711"/>
      <c r="L33328" s="711"/>
      <c r="Q33328" s="11"/>
      <c r="R33328" s="11"/>
      <c r="S33328" s="11"/>
      <c r="T33328" s="11"/>
    </row>
    <row r="33329" spans="8:20" x14ac:dyDescent="0.35">
      <c r="H33329" s="711"/>
      <c r="I33329" s="711"/>
      <c r="J33329" s="711"/>
      <c r="K33329" s="711"/>
      <c r="L33329" s="711"/>
      <c r="Q33329" s="11"/>
      <c r="R33329" s="11"/>
      <c r="S33329" s="11"/>
      <c r="T33329" s="11"/>
    </row>
    <row r="33330" spans="8:20" x14ac:dyDescent="0.35">
      <c r="H33330" s="711"/>
      <c r="I33330" s="711"/>
      <c r="J33330" s="711"/>
      <c r="K33330" s="711"/>
      <c r="L33330" s="711"/>
      <c r="Q33330" s="11"/>
      <c r="R33330" s="11"/>
      <c r="S33330" s="11"/>
      <c r="T33330" s="11"/>
    </row>
    <row r="33331" spans="8:20" x14ac:dyDescent="0.35">
      <c r="H33331" s="711"/>
      <c r="I33331" s="711"/>
      <c r="J33331" s="711"/>
      <c r="K33331" s="711"/>
      <c r="L33331" s="711"/>
      <c r="Q33331" s="11"/>
      <c r="R33331" s="11"/>
      <c r="S33331" s="11"/>
      <c r="T33331" s="11"/>
    </row>
    <row r="33332" spans="8:20" x14ac:dyDescent="0.35">
      <c r="H33332" s="711"/>
      <c r="I33332" s="711"/>
      <c r="J33332" s="711"/>
      <c r="K33332" s="711"/>
      <c r="L33332" s="711"/>
      <c r="Q33332" s="11"/>
      <c r="R33332" s="11"/>
      <c r="S33332" s="11"/>
      <c r="T33332" s="11"/>
    </row>
    <row r="33333" spans="8:20" x14ac:dyDescent="0.35">
      <c r="H33333" s="711"/>
      <c r="I33333" s="711"/>
      <c r="J33333" s="711"/>
      <c r="K33333" s="711"/>
      <c r="L33333" s="711"/>
      <c r="Q33333" s="11"/>
      <c r="R33333" s="11"/>
      <c r="S33333" s="11"/>
      <c r="T33333" s="11"/>
    </row>
    <row r="33334" spans="8:20" x14ac:dyDescent="0.35">
      <c r="H33334" s="711"/>
      <c r="I33334" s="711"/>
      <c r="J33334" s="711"/>
      <c r="K33334" s="711"/>
      <c r="L33334" s="711"/>
      <c r="Q33334" s="11"/>
      <c r="R33334" s="11"/>
      <c r="S33334" s="11"/>
      <c r="T33334" s="11"/>
    </row>
    <row r="33335" spans="8:20" x14ac:dyDescent="0.35">
      <c r="H33335" s="711"/>
      <c r="I33335" s="711"/>
      <c r="J33335" s="711"/>
      <c r="K33335" s="711"/>
      <c r="L33335" s="711"/>
      <c r="Q33335" s="11"/>
      <c r="R33335" s="11"/>
      <c r="S33335" s="11"/>
      <c r="T33335" s="11"/>
    </row>
    <row r="33336" spans="8:20" x14ac:dyDescent="0.35">
      <c r="H33336" s="711"/>
      <c r="I33336" s="711"/>
      <c r="J33336" s="711"/>
      <c r="K33336" s="711"/>
      <c r="L33336" s="711"/>
      <c r="Q33336" s="11"/>
      <c r="R33336" s="11"/>
      <c r="S33336" s="11"/>
      <c r="T33336" s="11"/>
    </row>
    <row r="33337" spans="8:20" x14ac:dyDescent="0.35">
      <c r="H33337" s="711"/>
      <c r="I33337" s="711"/>
      <c r="J33337" s="711"/>
      <c r="K33337" s="711"/>
      <c r="L33337" s="711"/>
      <c r="Q33337" s="11"/>
      <c r="R33337" s="11"/>
      <c r="S33337" s="11"/>
      <c r="T33337" s="11"/>
    </row>
    <row r="33338" spans="8:20" x14ac:dyDescent="0.35">
      <c r="H33338" s="711"/>
      <c r="I33338" s="711"/>
      <c r="J33338" s="711"/>
      <c r="K33338" s="711"/>
      <c r="L33338" s="711"/>
      <c r="Q33338" s="11"/>
      <c r="R33338" s="11"/>
      <c r="S33338" s="11"/>
      <c r="T33338" s="11"/>
    </row>
    <row r="33339" spans="8:20" x14ac:dyDescent="0.35">
      <c r="H33339" s="711"/>
      <c r="I33339" s="711"/>
      <c r="J33339" s="711"/>
      <c r="K33339" s="711"/>
      <c r="L33339" s="711"/>
      <c r="Q33339" s="11"/>
      <c r="R33339" s="11"/>
      <c r="S33339" s="11"/>
      <c r="T33339" s="11"/>
    </row>
    <row r="33340" spans="8:20" x14ac:dyDescent="0.35">
      <c r="H33340" s="711"/>
      <c r="I33340" s="711"/>
      <c r="J33340" s="711"/>
      <c r="K33340" s="711"/>
      <c r="L33340" s="711"/>
      <c r="Q33340" s="11"/>
      <c r="R33340" s="11"/>
      <c r="S33340" s="11"/>
      <c r="T33340" s="11"/>
    </row>
    <row r="33341" spans="8:20" x14ac:dyDescent="0.35">
      <c r="H33341" s="711"/>
      <c r="I33341" s="711"/>
      <c r="J33341" s="711"/>
      <c r="K33341" s="711"/>
      <c r="L33341" s="711"/>
      <c r="Q33341" s="11"/>
      <c r="R33341" s="11"/>
      <c r="S33341" s="11"/>
      <c r="T33341" s="11"/>
    </row>
    <row r="33342" spans="8:20" x14ac:dyDescent="0.35">
      <c r="H33342" s="711"/>
      <c r="I33342" s="711"/>
      <c r="J33342" s="711"/>
      <c r="K33342" s="711"/>
      <c r="L33342" s="711"/>
      <c r="Q33342" s="11"/>
      <c r="R33342" s="11"/>
      <c r="S33342" s="11"/>
      <c r="T33342" s="11"/>
    </row>
    <row r="33343" spans="8:20" x14ac:dyDescent="0.35">
      <c r="H33343" s="711"/>
      <c r="I33343" s="711"/>
      <c r="J33343" s="711"/>
      <c r="K33343" s="711"/>
      <c r="L33343" s="711"/>
      <c r="Q33343" s="11"/>
      <c r="R33343" s="11"/>
      <c r="S33343" s="11"/>
      <c r="T33343" s="11"/>
    </row>
    <row r="33344" spans="8:20" x14ac:dyDescent="0.35">
      <c r="H33344" s="711"/>
      <c r="I33344" s="711"/>
      <c r="J33344" s="711"/>
      <c r="K33344" s="711"/>
      <c r="L33344" s="711"/>
      <c r="Q33344" s="11"/>
      <c r="R33344" s="11"/>
      <c r="S33344" s="11"/>
      <c r="T33344" s="11"/>
    </row>
    <row r="33345" spans="8:20" x14ac:dyDescent="0.35">
      <c r="H33345" s="711"/>
      <c r="I33345" s="711"/>
      <c r="J33345" s="711"/>
      <c r="K33345" s="711"/>
      <c r="L33345" s="711"/>
      <c r="Q33345" s="11"/>
      <c r="R33345" s="11"/>
      <c r="S33345" s="11"/>
      <c r="T33345" s="11"/>
    </row>
    <row r="33346" spans="8:20" x14ac:dyDescent="0.35">
      <c r="H33346" s="711"/>
      <c r="I33346" s="711"/>
      <c r="J33346" s="711"/>
      <c r="K33346" s="711"/>
      <c r="L33346" s="711"/>
      <c r="Q33346" s="11"/>
      <c r="R33346" s="11"/>
      <c r="S33346" s="11"/>
      <c r="T33346" s="11"/>
    </row>
    <row r="33347" spans="8:20" x14ac:dyDescent="0.35">
      <c r="H33347" s="711"/>
      <c r="I33347" s="711"/>
      <c r="J33347" s="711"/>
      <c r="K33347" s="711"/>
      <c r="L33347" s="711"/>
      <c r="Q33347" s="11"/>
      <c r="R33347" s="11"/>
      <c r="S33347" s="11"/>
      <c r="T33347" s="11"/>
    </row>
    <row r="33348" spans="8:20" x14ac:dyDescent="0.35">
      <c r="H33348" s="711"/>
      <c r="I33348" s="711"/>
      <c r="J33348" s="711"/>
      <c r="K33348" s="711"/>
      <c r="L33348" s="711"/>
      <c r="Q33348" s="11"/>
      <c r="R33348" s="11"/>
      <c r="S33348" s="11"/>
      <c r="T33348" s="11"/>
    </row>
    <row r="33349" spans="8:20" x14ac:dyDescent="0.35">
      <c r="H33349" s="711"/>
      <c r="I33349" s="711"/>
      <c r="J33349" s="711"/>
      <c r="K33349" s="711"/>
      <c r="L33349" s="711"/>
      <c r="Q33349" s="11"/>
      <c r="R33349" s="11"/>
      <c r="S33349" s="11"/>
      <c r="T33349" s="11"/>
    </row>
    <row r="33350" spans="8:20" x14ac:dyDescent="0.35">
      <c r="H33350" s="711"/>
      <c r="I33350" s="711"/>
      <c r="J33350" s="711"/>
      <c r="K33350" s="711"/>
      <c r="L33350" s="711"/>
      <c r="Q33350" s="11"/>
      <c r="R33350" s="11"/>
      <c r="S33350" s="11"/>
      <c r="T33350" s="11"/>
    </row>
    <row r="33351" spans="8:20" x14ac:dyDescent="0.35">
      <c r="H33351" s="711"/>
      <c r="I33351" s="711"/>
      <c r="J33351" s="711"/>
      <c r="K33351" s="711"/>
      <c r="L33351" s="711"/>
      <c r="Q33351" s="11"/>
      <c r="R33351" s="11"/>
      <c r="S33351" s="11"/>
      <c r="T33351" s="11"/>
    </row>
    <row r="33352" spans="8:20" x14ac:dyDescent="0.35">
      <c r="H33352" s="711"/>
      <c r="I33352" s="711"/>
      <c r="J33352" s="711"/>
      <c r="K33352" s="711"/>
      <c r="L33352" s="711"/>
      <c r="Q33352" s="11"/>
      <c r="R33352" s="11"/>
      <c r="S33352" s="11"/>
      <c r="T33352" s="11"/>
    </row>
    <row r="33353" spans="8:20" x14ac:dyDescent="0.35">
      <c r="H33353" s="711"/>
      <c r="I33353" s="711"/>
      <c r="J33353" s="711"/>
      <c r="K33353" s="711"/>
      <c r="L33353" s="711"/>
      <c r="Q33353" s="11"/>
      <c r="R33353" s="11"/>
      <c r="S33353" s="11"/>
      <c r="T33353" s="11"/>
    </row>
    <row r="33354" spans="8:20" x14ac:dyDescent="0.35">
      <c r="H33354" s="711"/>
      <c r="I33354" s="711"/>
      <c r="J33354" s="711"/>
      <c r="K33354" s="711"/>
      <c r="L33354" s="711"/>
      <c r="Q33354" s="11"/>
      <c r="R33354" s="11"/>
      <c r="S33354" s="11"/>
      <c r="T33354" s="11"/>
    </row>
    <row r="33355" spans="8:20" x14ac:dyDescent="0.35">
      <c r="H33355" s="711"/>
      <c r="I33355" s="711"/>
      <c r="J33355" s="711"/>
      <c r="K33355" s="711"/>
      <c r="L33355" s="711"/>
      <c r="Q33355" s="11"/>
      <c r="R33355" s="11"/>
      <c r="S33355" s="11"/>
      <c r="T33355" s="11"/>
    </row>
    <row r="33356" spans="8:20" x14ac:dyDescent="0.35">
      <c r="H33356" s="711"/>
      <c r="I33356" s="711"/>
      <c r="J33356" s="711"/>
      <c r="K33356" s="711"/>
      <c r="L33356" s="711"/>
      <c r="Q33356" s="11"/>
      <c r="R33356" s="11"/>
      <c r="S33356" s="11"/>
      <c r="T33356" s="11"/>
    </row>
    <row r="33357" spans="8:20" x14ac:dyDescent="0.35">
      <c r="H33357" s="711"/>
      <c r="I33357" s="711"/>
      <c r="J33357" s="711"/>
      <c r="K33357" s="711"/>
      <c r="L33357" s="711"/>
      <c r="Q33357" s="11"/>
      <c r="R33357" s="11"/>
      <c r="S33357" s="11"/>
      <c r="T33357" s="11"/>
    </row>
    <row r="33358" spans="8:20" x14ac:dyDescent="0.35">
      <c r="H33358" s="711"/>
      <c r="I33358" s="711"/>
      <c r="J33358" s="711"/>
      <c r="K33358" s="711"/>
      <c r="L33358" s="711"/>
      <c r="Q33358" s="11"/>
      <c r="R33358" s="11"/>
      <c r="S33358" s="11"/>
      <c r="T33358" s="11"/>
    </row>
    <row r="33359" spans="8:20" x14ac:dyDescent="0.35">
      <c r="H33359" s="711"/>
      <c r="I33359" s="711"/>
      <c r="J33359" s="711"/>
      <c r="K33359" s="711"/>
      <c r="L33359" s="711"/>
      <c r="Q33359" s="11"/>
      <c r="R33359" s="11"/>
      <c r="S33359" s="11"/>
      <c r="T33359" s="11"/>
    </row>
    <row r="33360" spans="8:20" x14ac:dyDescent="0.35">
      <c r="H33360" s="711"/>
      <c r="I33360" s="711"/>
      <c r="J33360" s="711"/>
      <c r="K33360" s="711"/>
      <c r="L33360" s="711"/>
      <c r="Q33360" s="11"/>
      <c r="R33360" s="11"/>
      <c r="S33360" s="11"/>
      <c r="T33360" s="11"/>
    </row>
    <row r="33361" spans="8:20" x14ac:dyDescent="0.35">
      <c r="H33361" s="711"/>
      <c r="I33361" s="711"/>
      <c r="J33361" s="711"/>
      <c r="K33361" s="711"/>
      <c r="L33361" s="711"/>
      <c r="Q33361" s="11"/>
      <c r="R33361" s="11"/>
      <c r="S33361" s="11"/>
      <c r="T33361" s="11"/>
    </row>
    <row r="33362" spans="8:20" x14ac:dyDescent="0.35">
      <c r="H33362" s="711"/>
      <c r="I33362" s="711"/>
      <c r="J33362" s="711"/>
      <c r="K33362" s="711"/>
      <c r="L33362" s="711"/>
      <c r="Q33362" s="11"/>
      <c r="R33362" s="11"/>
      <c r="S33362" s="11"/>
      <c r="T33362" s="11"/>
    </row>
    <row r="33363" spans="8:20" x14ac:dyDescent="0.35">
      <c r="H33363" s="711"/>
      <c r="I33363" s="711"/>
      <c r="J33363" s="711"/>
      <c r="K33363" s="711"/>
      <c r="L33363" s="711"/>
      <c r="Q33363" s="11"/>
      <c r="R33363" s="11"/>
      <c r="S33363" s="11"/>
      <c r="T33363" s="11"/>
    </row>
    <row r="33364" spans="8:20" x14ac:dyDescent="0.35">
      <c r="H33364" s="711"/>
      <c r="I33364" s="711"/>
      <c r="J33364" s="711"/>
      <c r="K33364" s="711"/>
      <c r="L33364" s="711"/>
      <c r="Q33364" s="11"/>
      <c r="R33364" s="11"/>
      <c r="S33364" s="11"/>
      <c r="T33364" s="11"/>
    </row>
    <row r="33365" spans="8:20" x14ac:dyDescent="0.35">
      <c r="H33365" s="711"/>
      <c r="I33365" s="711"/>
      <c r="J33365" s="711"/>
      <c r="K33365" s="711"/>
      <c r="L33365" s="711"/>
      <c r="Q33365" s="11"/>
      <c r="R33365" s="11"/>
      <c r="S33365" s="11"/>
      <c r="T33365" s="11"/>
    </row>
    <row r="33366" spans="8:20" x14ac:dyDescent="0.35">
      <c r="H33366" s="711"/>
      <c r="I33366" s="711"/>
      <c r="J33366" s="711"/>
      <c r="K33366" s="711"/>
      <c r="L33366" s="711"/>
      <c r="Q33366" s="11"/>
      <c r="R33366" s="11"/>
      <c r="S33366" s="11"/>
      <c r="T33366" s="11"/>
    </row>
    <row r="33367" spans="8:20" x14ac:dyDescent="0.35">
      <c r="H33367" s="711"/>
      <c r="I33367" s="711"/>
      <c r="J33367" s="711"/>
      <c r="K33367" s="711"/>
      <c r="L33367" s="711"/>
      <c r="Q33367" s="11"/>
      <c r="R33367" s="11"/>
      <c r="S33367" s="11"/>
      <c r="T33367" s="11"/>
    </row>
    <row r="33368" spans="8:20" x14ac:dyDescent="0.35">
      <c r="H33368" s="711"/>
      <c r="I33368" s="711"/>
      <c r="J33368" s="711"/>
      <c r="K33368" s="711"/>
      <c r="L33368" s="711"/>
      <c r="Q33368" s="11"/>
      <c r="R33368" s="11"/>
      <c r="S33368" s="11"/>
      <c r="T33368" s="11"/>
    </row>
    <row r="33369" spans="8:20" x14ac:dyDescent="0.35">
      <c r="H33369" s="711"/>
      <c r="I33369" s="711"/>
      <c r="J33369" s="711"/>
      <c r="K33369" s="711"/>
      <c r="L33369" s="711"/>
      <c r="Q33369" s="11"/>
      <c r="R33369" s="11"/>
      <c r="S33369" s="11"/>
      <c r="T33369" s="11"/>
    </row>
    <row r="33370" spans="8:20" x14ac:dyDescent="0.35">
      <c r="H33370" s="711"/>
      <c r="I33370" s="711"/>
      <c r="J33370" s="711"/>
      <c r="K33370" s="711"/>
      <c r="L33370" s="711"/>
      <c r="Q33370" s="11"/>
      <c r="R33370" s="11"/>
      <c r="S33370" s="11"/>
      <c r="T33370" s="11"/>
    </row>
    <row r="33371" spans="8:20" x14ac:dyDescent="0.35">
      <c r="H33371" s="711"/>
      <c r="I33371" s="711"/>
      <c r="J33371" s="711"/>
      <c r="K33371" s="711"/>
      <c r="L33371" s="711"/>
      <c r="Q33371" s="11"/>
      <c r="R33371" s="11"/>
      <c r="S33371" s="11"/>
      <c r="T33371" s="11"/>
    </row>
    <row r="33372" spans="8:20" x14ac:dyDescent="0.35">
      <c r="H33372" s="711"/>
      <c r="I33372" s="711"/>
      <c r="J33372" s="711"/>
      <c r="K33372" s="711"/>
      <c r="L33372" s="711"/>
      <c r="Q33372" s="11"/>
      <c r="R33372" s="11"/>
      <c r="S33372" s="11"/>
      <c r="T33372" s="11"/>
    </row>
    <row r="33373" spans="8:20" x14ac:dyDescent="0.35">
      <c r="H33373" s="711"/>
      <c r="I33373" s="711"/>
      <c r="J33373" s="711"/>
      <c r="K33373" s="711"/>
      <c r="L33373" s="711"/>
      <c r="Q33373" s="11"/>
      <c r="R33373" s="11"/>
      <c r="S33373" s="11"/>
      <c r="T33373" s="11"/>
    </row>
    <row r="33374" spans="8:20" x14ac:dyDescent="0.35">
      <c r="H33374" s="711"/>
      <c r="I33374" s="711"/>
      <c r="J33374" s="711"/>
      <c r="K33374" s="711"/>
      <c r="L33374" s="711"/>
      <c r="Q33374" s="11"/>
      <c r="R33374" s="11"/>
      <c r="S33374" s="11"/>
      <c r="T33374" s="11"/>
    </row>
    <row r="33375" spans="8:20" x14ac:dyDescent="0.35">
      <c r="H33375" s="711"/>
      <c r="I33375" s="711"/>
      <c r="J33375" s="711"/>
      <c r="K33375" s="711"/>
      <c r="L33375" s="711"/>
      <c r="Q33375" s="11"/>
      <c r="R33375" s="11"/>
      <c r="S33375" s="11"/>
      <c r="T33375" s="11"/>
    </row>
    <row r="33376" spans="8:20" x14ac:dyDescent="0.35">
      <c r="H33376" s="711"/>
      <c r="I33376" s="711"/>
      <c r="J33376" s="711"/>
      <c r="K33376" s="711"/>
      <c r="L33376" s="711"/>
      <c r="Q33376" s="11"/>
      <c r="R33376" s="11"/>
      <c r="S33376" s="11"/>
      <c r="T33376" s="11"/>
    </row>
    <row r="33377" spans="8:20" x14ac:dyDescent="0.35">
      <c r="H33377" s="711"/>
      <c r="I33377" s="711"/>
      <c r="J33377" s="711"/>
      <c r="K33377" s="711"/>
      <c r="L33377" s="711"/>
      <c r="Q33377" s="11"/>
      <c r="R33377" s="11"/>
      <c r="S33377" s="11"/>
      <c r="T33377" s="11"/>
    </row>
    <row r="33378" spans="8:20" x14ac:dyDescent="0.35">
      <c r="H33378" s="711"/>
      <c r="I33378" s="711"/>
      <c r="J33378" s="711"/>
      <c r="K33378" s="711"/>
      <c r="L33378" s="711"/>
      <c r="Q33378" s="11"/>
      <c r="R33378" s="11"/>
      <c r="S33378" s="11"/>
      <c r="T33378" s="11"/>
    </row>
    <row r="33379" spans="8:20" x14ac:dyDescent="0.35">
      <c r="H33379" s="711"/>
      <c r="I33379" s="711"/>
      <c r="J33379" s="711"/>
      <c r="K33379" s="711"/>
      <c r="L33379" s="711"/>
      <c r="Q33379" s="11"/>
      <c r="R33379" s="11"/>
      <c r="S33379" s="11"/>
      <c r="T33379" s="11"/>
    </row>
    <row r="33380" spans="8:20" x14ac:dyDescent="0.35">
      <c r="H33380" s="711"/>
      <c r="I33380" s="711"/>
      <c r="J33380" s="711"/>
      <c r="K33380" s="711"/>
      <c r="L33380" s="711"/>
      <c r="Q33380" s="11"/>
      <c r="R33380" s="11"/>
      <c r="S33380" s="11"/>
      <c r="T33380" s="11"/>
    </row>
    <row r="33381" spans="8:20" x14ac:dyDescent="0.35">
      <c r="H33381" s="711"/>
      <c r="I33381" s="711"/>
      <c r="J33381" s="711"/>
      <c r="K33381" s="711"/>
      <c r="L33381" s="711"/>
      <c r="Q33381" s="11"/>
      <c r="R33381" s="11"/>
      <c r="S33381" s="11"/>
      <c r="T33381" s="11"/>
    </row>
    <row r="33382" spans="8:20" x14ac:dyDescent="0.35">
      <c r="H33382" s="711"/>
      <c r="I33382" s="711"/>
      <c r="J33382" s="711"/>
      <c r="K33382" s="711"/>
      <c r="L33382" s="711"/>
      <c r="Q33382" s="11"/>
      <c r="R33382" s="11"/>
      <c r="S33382" s="11"/>
      <c r="T33382" s="11"/>
    </row>
    <row r="33383" spans="8:20" x14ac:dyDescent="0.35">
      <c r="H33383" s="711"/>
      <c r="I33383" s="711"/>
      <c r="J33383" s="711"/>
      <c r="K33383" s="711"/>
      <c r="L33383" s="711"/>
      <c r="Q33383" s="11"/>
      <c r="R33383" s="11"/>
      <c r="S33383" s="11"/>
      <c r="T33383" s="11"/>
    </row>
    <row r="33384" spans="8:20" x14ac:dyDescent="0.35">
      <c r="H33384" s="711"/>
      <c r="I33384" s="711"/>
      <c r="J33384" s="711"/>
      <c r="K33384" s="711"/>
      <c r="L33384" s="711"/>
      <c r="Q33384" s="11"/>
      <c r="R33384" s="11"/>
      <c r="S33384" s="11"/>
      <c r="T33384" s="11"/>
    </row>
    <row r="33385" spans="8:20" x14ac:dyDescent="0.35">
      <c r="H33385" s="711"/>
      <c r="I33385" s="711"/>
      <c r="J33385" s="711"/>
      <c r="K33385" s="711"/>
      <c r="L33385" s="711"/>
      <c r="Q33385" s="11"/>
      <c r="R33385" s="11"/>
      <c r="S33385" s="11"/>
      <c r="T33385" s="11"/>
    </row>
    <row r="33386" spans="8:20" x14ac:dyDescent="0.35">
      <c r="H33386" s="711"/>
      <c r="I33386" s="711"/>
      <c r="J33386" s="711"/>
      <c r="K33386" s="711"/>
      <c r="L33386" s="711"/>
      <c r="Q33386" s="11"/>
      <c r="R33386" s="11"/>
      <c r="S33386" s="11"/>
      <c r="T33386" s="11"/>
    </row>
    <row r="33387" spans="8:20" x14ac:dyDescent="0.35">
      <c r="H33387" s="711"/>
      <c r="I33387" s="711"/>
      <c r="J33387" s="711"/>
      <c r="K33387" s="711"/>
      <c r="L33387" s="711"/>
      <c r="Q33387" s="11"/>
      <c r="R33387" s="11"/>
      <c r="S33387" s="11"/>
      <c r="T33387" s="11"/>
    </row>
    <row r="33388" spans="8:20" x14ac:dyDescent="0.35">
      <c r="H33388" s="711"/>
      <c r="I33388" s="711"/>
      <c r="J33388" s="711"/>
      <c r="K33388" s="711"/>
      <c r="L33388" s="711"/>
      <c r="Q33388" s="11"/>
      <c r="R33388" s="11"/>
      <c r="S33388" s="11"/>
      <c r="T33388" s="11"/>
    </row>
    <row r="33389" spans="8:20" x14ac:dyDescent="0.35">
      <c r="H33389" s="711"/>
      <c r="I33389" s="711"/>
      <c r="J33389" s="711"/>
      <c r="K33389" s="711"/>
      <c r="L33389" s="711"/>
      <c r="Q33389" s="11"/>
      <c r="R33389" s="11"/>
      <c r="S33389" s="11"/>
      <c r="T33389" s="11"/>
    </row>
    <row r="33390" spans="8:20" x14ac:dyDescent="0.35">
      <c r="H33390" s="711"/>
      <c r="I33390" s="711"/>
      <c r="J33390" s="711"/>
      <c r="K33390" s="711"/>
      <c r="L33390" s="711"/>
      <c r="Q33390" s="11"/>
      <c r="R33390" s="11"/>
      <c r="S33390" s="11"/>
      <c r="T33390" s="11"/>
    </row>
    <row r="33391" spans="8:20" x14ac:dyDescent="0.35">
      <c r="H33391" s="711"/>
      <c r="I33391" s="711"/>
      <c r="J33391" s="711"/>
      <c r="K33391" s="711"/>
      <c r="L33391" s="711"/>
      <c r="Q33391" s="11"/>
      <c r="R33391" s="11"/>
      <c r="S33391" s="11"/>
      <c r="T33391" s="11"/>
    </row>
    <row r="33392" spans="8:20" x14ac:dyDescent="0.35">
      <c r="H33392" s="711"/>
      <c r="I33392" s="711"/>
      <c r="J33392" s="711"/>
      <c r="K33392" s="711"/>
      <c r="L33392" s="711"/>
      <c r="Q33392" s="11"/>
      <c r="R33392" s="11"/>
      <c r="S33392" s="11"/>
      <c r="T33392" s="11"/>
    </row>
    <row r="33393" spans="8:20" x14ac:dyDescent="0.35">
      <c r="H33393" s="711"/>
      <c r="I33393" s="711"/>
      <c r="J33393" s="711"/>
      <c r="K33393" s="711"/>
      <c r="L33393" s="711"/>
      <c r="Q33393" s="11"/>
      <c r="R33393" s="11"/>
      <c r="S33393" s="11"/>
      <c r="T33393" s="11"/>
    </row>
    <row r="33394" spans="8:20" x14ac:dyDescent="0.35">
      <c r="H33394" s="711"/>
      <c r="I33394" s="711"/>
      <c r="J33394" s="711"/>
      <c r="K33394" s="711"/>
      <c r="L33394" s="711"/>
      <c r="Q33394" s="11"/>
      <c r="R33394" s="11"/>
      <c r="S33394" s="11"/>
      <c r="T33394" s="11"/>
    </row>
    <row r="33395" spans="8:20" x14ac:dyDescent="0.35">
      <c r="H33395" s="711"/>
      <c r="I33395" s="711"/>
      <c r="J33395" s="711"/>
      <c r="K33395" s="711"/>
      <c r="L33395" s="711"/>
      <c r="Q33395" s="11"/>
      <c r="R33395" s="11"/>
      <c r="S33395" s="11"/>
      <c r="T33395" s="11"/>
    </row>
    <row r="33396" spans="8:20" x14ac:dyDescent="0.35">
      <c r="H33396" s="711"/>
      <c r="I33396" s="711"/>
      <c r="J33396" s="711"/>
      <c r="K33396" s="711"/>
      <c r="L33396" s="711"/>
      <c r="Q33396" s="11"/>
      <c r="R33396" s="11"/>
      <c r="S33396" s="11"/>
      <c r="T33396" s="11"/>
    </row>
    <row r="33397" spans="8:20" x14ac:dyDescent="0.35">
      <c r="H33397" s="711"/>
      <c r="I33397" s="711"/>
      <c r="J33397" s="711"/>
      <c r="K33397" s="711"/>
      <c r="L33397" s="711"/>
      <c r="Q33397" s="11"/>
      <c r="R33397" s="11"/>
      <c r="S33397" s="11"/>
      <c r="T33397" s="11"/>
    </row>
    <row r="33398" spans="8:20" x14ac:dyDescent="0.35">
      <c r="H33398" s="711"/>
      <c r="I33398" s="711"/>
      <c r="J33398" s="711"/>
      <c r="K33398" s="711"/>
      <c r="L33398" s="711"/>
      <c r="Q33398" s="11"/>
      <c r="R33398" s="11"/>
      <c r="S33398" s="11"/>
      <c r="T33398" s="11"/>
    </row>
    <row r="33399" spans="8:20" x14ac:dyDescent="0.35">
      <c r="H33399" s="711"/>
      <c r="I33399" s="711"/>
      <c r="J33399" s="711"/>
      <c r="K33399" s="711"/>
      <c r="L33399" s="711"/>
      <c r="Q33399" s="11"/>
      <c r="R33399" s="11"/>
      <c r="S33399" s="11"/>
      <c r="T33399" s="11"/>
    </row>
    <row r="33400" spans="8:20" x14ac:dyDescent="0.35">
      <c r="H33400" s="711"/>
      <c r="I33400" s="711"/>
      <c r="J33400" s="711"/>
      <c r="K33400" s="711"/>
      <c r="L33400" s="711"/>
      <c r="Q33400" s="11"/>
      <c r="R33400" s="11"/>
      <c r="S33400" s="11"/>
      <c r="T33400" s="11"/>
    </row>
    <row r="33401" spans="8:20" x14ac:dyDescent="0.35">
      <c r="H33401" s="711"/>
      <c r="I33401" s="711"/>
      <c r="J33401" s="711"/>
      <c r="K33401" s="711"/>
      <c r="L33401" s="711"/>
      <c r="Q33401" s="11"/>
      <c r="R33401" s="11"/>
      <c r="S33401" s="11"/>
      <c r="T33401" s="11"/>
    </row>
    <row r="33402" spans="8:20" x14ac:dyDescent="0.35">
      <c r="H33402" s="711"/>
      <c r="I33402" s="711"/>
      <c r="J33402" s="711"/>
      <c r="K33402" s="711"/>
      <c r="L33402" s="711"/>
      <c r="Q33402" s="11"/>
      <c r="R33402" s="11"/>
      <c r="S33402" s="11"/>
      <c r="T33402" s="11"/>
    </row>
    <row r="33403" spans="8:20" x14ac:dyDescent="0.35">
      <c r="H33403" s="711"/>
      <c r="I33403" s="711"/>
      <c r="J33403" s="711"/>
      <c r="K33403" s="711"/>
      <c r="L33403" s="711"/>
      <c r="Q33403" s="11"/>
      <c r="R33403" s="11"/>
      <c r="S33403" s="11"/>
      <c r="T33403" s="11"/>
    </row>
    <row r="33404" spans="8:20" x14ac:dyDescent="0.35">
      <c r="H33404" s="711"/>
      <c r="I33404" s="711"/>
      <c r="J33404" s="711"/>
      <c r="K33404" s="711"/>
      <c r="L33404" s="711"/>
      <c r="Q33404" s="11"/>
      <c r="R33404" s="11"/>
      <c r="S33404" s="11"/>
      <c r="T33404" s="11"/>
    </row>
    <row r="33405" spans="8:20" x14ac:dyDescent="0.35">
      <c r="H33405" s="711"/>
      <c r="I33405" s="711"/>
      <c r="J33405" s="711"/>
      <c r="K33405" s="711"/>
      <c r="L33405" s="711"/>
      <c r="Q33405" s="11"/>
      <c r="R33405" s="11"/>
      <c r="S33405" s="11"/>
      <c r="T33405" s="11"/>
    </row>
    <row r="33406" spans="8:20" x14ac:dyDescent="0.35">
      <c r="H33406" s="711"/>
      <c r="I33406" s="711"/>
      <c r="J33406" s="711"/>
      <c r="K33406" s="711"/>
      <c r="L33406" s="711"/>
      <c r="Q33406" s="11"/>
      <c r="R33406" s="11"/>
      <c r="S33406" s="11"/>
      <c r="T33406" s="11"/>
    </row>
    <row r="33407" spans="8:20" x14ac:dyDescent="0.35">
      <c r="H33407" s="711"/>
      <c r="I33407" s="711"/>
      <c r="J33407" s="711"/>
      <c r="K33407" s="711"/>
      <c r="L33407" s="711"/>
      <c r="Q33407" s="11"/>
      <c r="R33407" s="11"/>
      <c r="S33407" s="11"/>
      <c r="T33407" s="11"/>
    </row>
    <row r="33408" spans="8:20" x14ac:dyDescent="0.35">
      <c r="H33408" s="711"/>
      <c r="I33408" s="711"/>
      <c r="J33408" s="711"/>
      <c r="K33408" s="711"/>
      <c r="L33408" s="711"/>
      <c r="Q33408" s="11"/>
      <c r="R33408" s="11"/>
      <c r="S33408" s="11"/>
      <c r="T33408" s="11"/>
    </row>
    <row r="33409" spans="8:20" x14ac:dyDescent="0.35">
      <c r="H33409" s="711"/>
      <c r="I33409" s="711"/>
      <c r="J33409" s="711"/>
      <c r="K33409" s="711"/>
      <c r="L33409" s="711"/>
      <c r="Q33409" s="11"/>
      <c r="R33409" s="11"/>
      <c r="S33409" s="11"/>
      <c r="T33409" s="11"/>
    </row>
    <row r="33410" spans="8:20" x14ac:dyDescent="0.35">
      <c r="H33410" s="711"/>
      <c r="I33410" s="711"/>
      <c r="J33410" s="711"/>
      <c r="K33410" s="711"/>
      <c r="L33410" s="711"/>
      <c r="Q33410" s="11"/>
      <c r="R33410" s="11"/>
      <c r="S33410" s="11"/>
      <c r="T33410" s="11"/>
    </row>
    <row r="33411" spans="8:20" x14ac:dyDescent="0.35">
      <c r="H33411" s="711"/>
      <c r="I33411" s="711"/>
      <c r="J33411" s="711"/>
      <c r="K33411" s="711"/>
      <c r="L33411" s="711"/>
      <c r="Q33411" s="11"/>
      <c r="R33411" s="11"/>
      <c r="S33411" s="11"/>
      <c r="T33411" s="11"/>
    </row>
    <row r="33412" spans="8:20" x14ac:dyDescent="0.35">
      <c r="H33412" s="711"/>
      <c r="I33412" s="711"/>
      <c r="J33412" s="711"/>
      <c r="K33412" s="711"/>
      <c r="L33412" s="711"/>
      <c r="Q33412" s="11"/>
      <c r="R33412" s="11"/>
      <c r="S33412" s="11"/>
      <c r="T33412" s="11"/>
    </row>
    <row r="33413" spans="8:20" x14ac:dyDescent="0.35">
      <c r="H33413" s="711"/>
      <c r="I33413" s="711"/>
      <c r="J33413" s="711"/>
      <c r="K33413" s="711"/>
      <c r="L33413" s="711"/>
      <c r="Q33413" s="11"/>
      <c r="R33413" s="11"/>
      <c r="S33413" s="11"/>
      <c r="T33413" s="11"/>
    </row>
    <row r="33414" spans="8:20" x14ac:dyDescent="0.35">
      <c r="H33414" s="711"/>
      <c r="I33414" s="711"/>
      <c r="J33414" s="711"/>
      <c r="K33414" s="711"/>
      <c r="L33414" s="711"/>
      <c r="Q33414" s="11"/>
      <c r="R33414" s="11"/>
      <c r="S33414" s="11"/>
      <c r="T33414" s="11"/>
    </row>
    <row r="33415" spans="8:20" x14ac:dyDescent="0.35">
      <c r="H33415" s="711"/>
      <c r="I33415" s="711"/>
      <c r="J33415" s="711"/>
      <c r="K33415" s="711"/>
      <c r="L33415" s="711"/>
      <c r="Q33415" s="11"/>
      <c r="R33415" s="11"/>
      <c r="S33415" s="11"/>
      <c r="T33415" s="11"/>
    </row>
    <row r="33416" spans="8:20" x14ac:dyDescent="0.35">
      <c r="H33416" s="711"/>
      <c r="I33416" s="711"/>
      <c r="J33416" s="711"/>
      <c r="K33416" s="711"/>
      <c r="L33416" s="711"/>
      <c r="Q33416" s="11"/>
      <c r="R33416" s="11"/>
      <c r="S33416" s="11"/>
      <c r="T33416" s="11"/>
    </row>
    <row r="33417" spans="8:20" x14ac:dyDescent="0.35">
      <c r="H33417" s="711"/>
      <c r="I33417" s="711"/>
      <c r="J33417" s="711"/>
      <c r="K33417" s="711"/>
      <c r="L33417" s="711"/>
      <c r="Q33417" s="11"/>
      <c r="R33417" s="11"/>
      <c r="S33417" s="11"/>
      <c r="T33417" s="11"/>
    </row>
    <row r="33418" spans="8:20" x14ac:dyDescent="0.35">
      <c r="H33418" s="711"/>
      <c r="I33418" s="711"/>
      <c r="J33418" s="711"/>
      <c r="K33418" s="711"/>
      <c r="L33418" s="711"/>
      <c r="Q33418" s="11"/>
      <c r="R33418" s="11"/>
      <c r="S33418" s="11"/>
      <c r="T33418" s="11"/>
    </row>
    <row r="33419" spans="8:20" x14ac:dyDescent="0.35">
      <c r="H33419" s="711"/>
      <c r="I33419" s="711"/>
      <c r="J33419" s="711"/>
      <c r="K33419" s="711"/>
      <c r="L33419" s="711"/>
      <c r="Q33419" s="11"/>
      <c r="R33419" s="11"/>
      <c r="S33419" s="11"/>
      <c r="T33419" s="11"/>
    </row>
    <row r="33420" spans="8:20" x14ac:dyDescent="0.35">
      <c r="H33420" s="711"/>
      <c r="I33420" s="711"/>
      <c r="J33420" s="711"/>
      <c r="K33420" s="711"/>
      <c r="L33420" s="711"/>
      <c r="Q33420" s="11"/>
      <c r="R33420" s="11"/>
      <c r="S33420" s="11"/>
      <c r="T33420" s="11"/>
    </row>
    <row r="33421" spans="8:20" x14ac:dyDescent="0.35">
      <c r="H33421" s="711"/>
      <c r="I33421" s="711"/>
      <c r="J33421" s="711"/>
      <c r="K33421" s="711"/>
      <c r="L33421" s="711"/>
      <c r="Q33421" s="11"/>
      <c r="R33421" s="11"/>
      <c r="S33421" s="11"/>
      <c r="T33421" s="11"/>
    </row>
    <row r="33422" spans="8:20" x14ac:dyDescent="0.35">
      <c r="H33422" s="711"/>
      <c r="I33422" s="711"/>
      <c r="J33422" s="711"/>
      <c r="K33422" s="711"/>
      <c r="L33422" s="711"/>
      <c r="Q33422" s="11"/>
      <c r="R33422" s="11"/>
      <c r="S33422" s="11"/>
      <c r="T33422" s="11"/>
    </row>
    <row r="33423" spans="8:20" x14ac:dyDescent="0.35">
      <c r="H33423" s="711"/>
      <c r="I33423" s="711"/>
      <c r="J33423" s="711"/>
      <c r="K33423" s="711"/>
      <c r="L33423" s="711"/>
      <c r="Q33423" s="11"/>
      <c r="R33423" s="11"/>
      <c r="S33423" s="11"/>
      <c r="T33423" s="11"/>
    </row>
    <row r="33424" spans="8:20" x14ac:dyDescent="0.35">
      <c r="H33424" s="711"/>
      <c r="I33424" s="711"/>
      <c r="J33424" s="711"/>
      <c r="K33424" s="711"/>
      <c r="L33424" s="711"/>
      <c r="Q33424" s="11"/>
      <c r="R33424" s="11"/>
      <c r="S33424" s="11"/>
      <c r="T33424" s="11"/>
    </row>
    <row r="33425" spans="8:20" x14ac:dyDescent="0.35">
      <c r="H33425" s="711"/>
      <c r="I33425" s="711"/>
      <c r="J33425" s="711"/>
      <c r="K33425" s="711"/>
      <c r="L33425" s="711"/>
      <c r="Q33425" s="11"/>
      <c r="R33425" s="11"/>
      <c r="S33425" s="11"/>
      <c r="T33425" s="11"/>
    </row>
    <row r="33426" spans="8:20" x14ac:dyDescent="0.35">
      <c r="H33426" s="711"/>
      <c r="I33426" s="711"/>
      <c r="J33426" s="711"/>
      <c r="K33426" s="711"/>
      <c r="L33426" s="711"/>
      <c r="Q33426" s="11"/>
      <c r="R33426" s="11"/>
      <c r="S33426" s="11"/>
      <c r="T33426" s="11"/>
    </row>
    <row r="33427" spans="8:20" x14ac:dyDescent="0.35">
      <c r="H33427" s="711"/>
      <c r="I33427" s="711"/>
      <c r="J33427" s="711"/>
      <c r="K33427" s="711"/>
      <c r="L33427" s="711"/>
      <c r="Q33427" s="11"/>
      <c r="R33427" s="11"/>
      <c r="S33427" s="11"/>
      <c r="T33427" s="11"/>
    </row>
    <row r="33428" spans="8:20" x14ac:dyDescent="0.35">
      <c r="H33428" s="711"/>
      <c r="I33428" s="711"/>
      <c r="J33428" s="711"/>
      <c r="K33428" s="711"/>
      <c r="L33428" s="711"/>
      <c r="Q33428" s="11"/>
      <c r="R33428" s="11"/>
      <c r="S33428" s="11"/>
      <c r="T33428" s="11"/>
    </row>
    <row r="33429" spans="8:20" x14ac:dyDescent="0.35">
      <c r="H33429" s="711"/>
      <c r="I33429" s="711"/>
      <c r="J33429" s="711"/>
      <c r="K33429" s="711"/>
      <c r="L33429" s="711"/>
      <c r="Q33429" s="11"/>
      <c r="R33429" s="11"/>
      <c r="S33429" s="11"/>
      <c r="T33429" s="11"/>
    </row>
    <row r="33430" spans="8:20" x14ac:dyDescent="0.35">
      <c r="H33430" s="711"/>
      <c r="I33430" s="711"/>
      <c r="J33430" s="711"/>
      <c r="K33430" s="711"/>
      <c r="L33430" s="711"/>
      <c r="Q33430" s="11"/>
      <c r="R33430" s="11"/>
      <c r="S33430" s="11"/>
      <c r="T33430" s="11"/>
    </row>
    <row r="33431" spans="8:20" x14ac:dyDescent="0.35">
      <c r="H33431" s="711"/>
      <c r="I33431" s="711"/>
      <c r="J33431" s="711"/>
      <c r="K33431" s="711"/>
      <c r="L33431" s="711"/>
      <c r="Q33431" s="11"/>
      <c r="R33431" s="11"/>
      <c r="S33431" s="11"/>
      <c r="T33431" s="11"/>
    </row>
    <row r="33432" spans="8:20" x14ac:dyDescent="0.35">
      <c r="H33432" s="711"/>
      <c r="I33432" s="711"/>
      <c r="J33432" s="711"/>
      <c r="K33432" s="711"/>
      <c r="L33432" s="711"/>
      <c r="Q33432" s="11"/>
      <c r="R33432" s="11"/>
      <c r="S33432" s="11"/>
      <c r="T33432" s="11"/>
    </row>
    <row r="33433" spans="8:20" x14ac:dyDescent="0.35">
      <c r="H33433" s="711"/>
      <c r="I33433" s="711"/>
      <c r="J33433" s="711"/>
      <c r="K33433" s="711"/>
      <c r="L33433" s="711"/>
      <c r="Q33433" s="11"/>
      <c r="R33433" s="11"/>
      <c r="S33433" s="11"/>
      <c r="T33433" s="11"/>
    </row>
    <row r="33434" spans="8:20" x14ac:dyDescent="0.35">
      <c r="H33434" s="711"/>
      <c r="I33434" s="711"/>
      <c r="J33434" s="711"/>
      <c r="K33434" s="711"/>
      <c r="L33434" s="711"/>
      <c r="Q33434" s="11"/>
      <c r="R33434" s="11"/>
      <c r="S33434" s="11"/>
      <c r="T33434" s="11"/>
    </row>
    <row r="33435" spans="8:20" x14ac:dyDescent="0.35">
      <c r="H33435" s="711"/>
      <c r="I33435" s="711"/>
      <c r="J33435" s="711"/>
      <c r="K33435" s="711"/>
      <c r="L33435" s="711"/>
      <c r="Q33435" s="11"/>
      <c r="R33435" s="11"/>
      <c r="S33435" s="11"/>
      <c r="T33435" s="11"/>
    </row>
    <row r="33436" spans="8:20" x14ac:dyDescent="0.35">
      <c r="H33436" s="711"/>
      <c r="I33436" s="711"/>
      <c r="J33436" s="711"/>
      <c r="K33436" s="711"/>
      <c r="L33436" s="711"/>
      <c r="Q33436" s="11"/>
      <c r="R33436" s="11"/>
      <c r="S33436" s="11"/>
      <c r="T33436" s="11"/>
    </row>
    <row r="33437" spans="8:20" x14ac:dyDescent="0.35">
      <c r="H33437" s="711"/>
      <c r="I33437" s="711"/>
      <c r="J33437" s="711"/>
      <c r="K33437" s="711"/>
      <c r="L33437" s="711"/>
      <c r="Q33437" s="11"/>
      <c r="R33437" s="11"/>
      <c r="S33437" s="11"/>
      <c r="T33437" s="11"/>
    </row>
    <row r="33438" spans="8:20" x14ac:dyDescent="0.35">
      <c r="H33438" s="711"/>
      <c r="I33438" s="711"/>
      <c r="J33438" s="711"/>
      <c r="K33438" s="711"/>
      <c r="L33438" s="711"/>
      <c r="Q33438" s="11"/>
      <c r="R33438" s="11"/>
      <c r="S33438" s="11"/>
      <c r="T33438" s="11"/>
    </row>
    <row r="33439" spans="8:20" x14ac:dyDescent="0.35">
      <c r="H33439" s="711"/>
      <c r="I33439" s="711"/>
      <c r="J33439" s="711"/>
      <c r="K33439" s="711"/>
      <c r="L33439" s="711"/>
      <c r="Q33439" s="11"/>
      <c r="R33439" s="11"/>
      <c r="S33439" s="11"/>
      <c r="T33439" s="11"/>
    </row>
    <row r="33440" spans="8:20" x14ac:dyDescent="0.35">
      <c r="H33440" s="711"/>
      <c r="I33440" s="711"/>
      <c r="J33440" s="711"/>
      <c r="K33440" s="711"/>
      <c r="L33440" s="711"/>
      <c r="Q33440" s="11"/>
      <c r="R33440" s="11"/>
      <c r="S33440" s="11"/>
      <c r="T33440" s="11"/>
    </row>
    <row r="33441" spans="8:20" x14ac:dyDescent="0.35">
      <c r="H33441" s="711"/>
      <c r="I33441" s="711"/>
      <c r="J33441" s="711"/>
      <c r="K33441" s="711"/>
      <c r="L33441" s="711"/>
      <c r="Q33441" s="11"/>
      <c r="R33441" s="11"/>
      <c r="S33441" s="11"/>
      <c r="T33441" s="11"/>
    </row>
    <row r="33442" spans="8:20" x14ac:dyDescent="0.35">
      <c r="H33442" s="711"/>
      <c r="I33442" s="711"/>
      <c r="J33442" s="711"/>
      <c r="K33442" s="711"/>
      <c r="L33442" s="711"/>
      <c r="Q33442" s="11"/>
      <c r="R33442" s="11"/>
      <c r="S33442" s="11"/>
      <c r="T33442" s="11"/>
    </row>
    <row r="33443" spans="8:20" x14ac:dyDescent="0.35">
      <c r="H33443" s="711"/>
      <c r="I33443" s="711"/>
      <c r="J33443" s="711"/>
      <c r="K33443" s="711"/>
      <c r="L33443" s="711"/>
      <c r="Q33443" s="11"/>
      <c r="R33443" s="11"/>
      <c r="S33443" s="11"/>
      <c r="T33443" s="11"/>
    </row>
    <row r="33444" spans="8:20" x14ac:dyDescent="0.35">
      <c r="H33444" s="711"/>
      <c r="I33444" s="711"/>
      <c r="J33444" s="711"/>
      <c r="K33444" s="711"/>
      <c r="L33444" s="711"/>
      <c r="Q33444" s="11"/>
      <c r="R33444" s="11"/>
      <c r="S33444" s="11"/>
      <c r="T33444" s="11"/>
    </row>
    <row r="33445" spans="8:20" x14ac:dyDescent="0.35">
      <c r="H33445" s="711"/>
      <c r="I33445" s="711"/>
      <c r="J33445" s="711"/>
      <c r="K33445" s="711"/>
      <c r="L33445" s="711"/>
      <c r="Q33445" s="11"/>
      <c r="R33445" s="11"/>
      <c r="S33445" s="11"/>
      <c r="T33445" s="11"/>
    </row>
    <row r="33446" spans="8:20" x14ac:dyDescent="0.35">
      <c r="H33446" s="711"/>
      <c r="I33446" s="711"/>
      <c r="J33446" s="711"/>
      <c r="K33446" s="711"/>
      <c r="L33446" s="711"/>
      <c r="Q33446" s="11"/>
      <c r="R33446" s="11"/>
      <c r="S33446" s="11"/>
      <c r="T33446" s="11"/>
    </row>
    <row r="33447" spans="8:20" x14ac:dyDescent="0.35">
      <c r="H33447" s="711"/>
      <c r="I33447" s="711"/>
      <c r="J33447" s="711"/>
      <c r="K33447" s="711"/>
      <c r="L33447" s="711"/>
      <c r="Q33447" s="11"/>
      <c r="R33447" s="11"/>
      <c r="S33447" s="11"/>
      <c r="T33447" s="11"/>
    </row>
    <row r="33448" spans="8:20" x14ac:dyDescent="0.35">
      <c r="H33448" s="711"/>
      <c r="I33448" s="711"/>
      <c r="J33448" s="711"/>
      <c r="K33448" s="711"/>
      <c r="L33448" s="711"/>
      <c r="Q33448" s="11"/>
      <c r="R33448" s="11"/>
      <c r="S33448" s="11"/>
      <c r="T33448" s="11"/>
    </row>
    <row r="33449" spans="8:20" x14ac:dyDescent="0.35">
      <c r="H33449" s="711"/>
      <c r="I33449" s="711"/>
      <c r="J33449" s="711"/>
      <c r="K33449" s="711"/>
      <c r="L33449" s="711"/>
      <c r="Q33449" s="11"/>
      <c r="R33449" s="11"/>
      <c r="S33449" s="11"/>
      <c r="T33449" s="11"/>
    </row>
    <row r="33450" spans="8:20" x14ac:dyDescent="0.35">
      <c r="H33450" s="711"/>
      <c r="I33450" s="711"/>
      <c r="J33450" s="711"/>
      <c r="K33450" s="711"/>
      <c r="L33450" s="711"/>
      <c r="Q33450" s="11"/>
      <c r="R33450" s="11"/>
      <c r="S33450" s="11"/>
      <c r="T33450" s="11"/>
    </row>
    <row r="33451" spans="8:20" x14ac:dyDescent="0.35">
      <c r="H33451" s="711"/>
      <c r="I33451" s="711"/>
      <c r="J33451" s="711"/>
      <c r="K33451" s="711"/>
      <c r="L33451" s="711"/>
      <c r="Q33451" s="11"/>
      <c r="R33451" s="11"/>
      <c r="S33451" s="11"/>
      <c r="T33451" s="11"/>
    </row>
    <row r="33452" spans="8:20" x14ac:dyDescent="0.35">
      <c r="H33452" s="711"/>
      <c r="I33452" s="711"/>
      <c r="J33452" s="711"/>
      <c r="K33452" s="711"/>
      <c r="L33452" s="711"/>
      <c r="Q33452" s="11"/>
      <c r="R33452" s="11"/>
      <c r="S33452" s="11"/>
      <c r="T33452" s="11"/>
    </row>
    <row r="33453" spans="8:20" x14ac:dyDescent="0.35">
      <c r="H33453" s="711"/>
      <c r="I33453" s="711"/>
      <c r="J33453" s="711"/>
      <c r="K33453" s="711"/>
      <c r="L33453" s="711"/>
      <c r="Q33453" s="11"/>
      <c r="R33453" s="11"/>
      <c r="S33453" s="11"/>
      <c r="T33453" s="11"/>
    </row>
    <row r="33454" spans="8:20" x14ac:dyDescent="0.35">
      <c r="H33454" s="711"/>
      <c r="I33454" s="711"/>
      <c r="J33454" s="711"/>
      <c r="K33454" s="711"/>
      <c r="L33454" s="711"/>
      <c r="Q33454" s="11"/>
      <c r="R33454" s="11"/>
      <c r="S33454" s="11"/>
      <c r="T33454" s="11"/>
    </row>
    <row r="33455" spans="8:20" x14ac:dyDescent="0.35">
      <c r="H33455" s="711"/>
      <c r="I33455" s="711"/>
      <c r="J33455" s="711"/>
      <c r="K33455" s="711"/>
      <c r="L33455" s="711"/>
      <c r="Q33455" s="11"/>
      <c r="R33455" s="11"/>
      <c r="S33455" s="11"/>
      <c r="T33455" s="11"/>
    </row>
    <row r="33456" spans="8:20" x14ac:dyDescent="0.35">
      <c r="H33456" s="711"/>
      <c r="I33456" s="711"/>
      <c r="J33456" s="711"/>
      <c r="K33456" s="711"/>
      <c r="L33456" s="711"/>
      <c r="Q33456" s="11"/>
      <c r="R33456" s="11"/>
      <c r="S33456" s="11"/>
      <c r="T33456" s="11"/>
    </row>
    <row r="33457" spans="8:20" x14ac:dyDescent="0.35">
      <c r="H33457" s="711"/>
      <c r="I33457" s="711"/>
      <c r="J33457" s="711"/>
      <c r="K33457" s="711"/>
      <c r="L33457" s="711"/>
      <c r="Q33457" s="11"/>
      <c r="R33457" s="11"/>
      <c r="S33457" s="11"/>
      <c r="T33457" s="11"/>
    </row>
    <row r="33458" spans="8:20" x14ac:dyDescent="0.35">
      <c r="H33458" s="711"/>
      <c r="I33458" s="711"/>
      <c r="J33458" s="711"/>
      <c r="K33458" s="711"/>
      <c r="L33458" s="711"/>
      <c r="Q33458" s="11"/>
      <c r="R33458" s="11"/>
      <c r="S33458" s="11"/>
      <c r="T33458" s="11"/>
    </row>
    <row r="33459" spans="8:20" x14ac:dyDescent="0.35">
      <c r="H33459" s="711"/>
      <c r="I33459" s="711"/>
      <c r="J33459" s="711"/>
      <c r="K33459" s="711"/>
      <c r="L33459" s="711"/>
      <c r="Q33459" s="11"/>
      <c r="R33459" s="11"/>
      <c r="S33459" s="11"/>
      <c r="T33459" s="11"/>
    </row>
    <row r="33460" spans="8:20" x14ac:dyDescent="0.35">
      <c r="H33460" s="711"/>
      <c r="I33460" s="711"/>
      <c r="J33460" s="711"/>
      <c r="K33460" s="711"/>
      <c r="L33460" s="711"/>
      <c r="Q33460" s="11"/>
      <c r="R33460" s="11"/>
      <c r="S33460" s="11"/>
      <c r="T33460" s="11"/>
    </row>
    <row r="33461" spans="8:20" x14ac:dyDescent="0.35">
      <c r="H33461" s="711"/>
      <c r="I33461" s="711"/>
      <c r="J33461" s="711"/>
      <c r="K33461" s="711"/>
      <c r="L33461" s="711"/>
      <c r="Q33461" s="11"/>
      <c r="R33461" s="11"/>
      <c r="S33461" s="11"/>
      <c r="T33461" s="11"/>
    </row>
    <row r="33462" spans="8:20" x14ac:dyDescent="0.35">
      <c r="H33462" s="711"/>
      <c r="I33462" s="711"/>
      <c r="J33462" s="711"/>
      <c r="K33462" s="711"/>
      <c r="L33462" s="711"/>
      <c r="Q33462" s="11"/>
      <c r="R33462" s="11"/>
      <c r="S33462" s="11"/>
      <c r="T33462" s="11"/>
    </row>
    <row r="33463" spans="8:20" x14ac:dyDescent="0.35">
      <c r="H33463" s="711"/>
      <c r="I33463" s="711"/>
      <c r="J33463" s="711"/>
      <c r="K33463" s="711"/>
      <c r="L33463" s="711"/>
      <c r="Q33463" s="11"/>
      <c r="R33463" s="11"/>
      <c r="S33463" s="11"/>
      <c r="T33463" s="11"/>
    </row>
    <row r="33464" spans="8:20" x14ac:dyDescent="0.35">
      <c r="H33464" s="711"/>
      <c r="I33464" s="711"/>
      <c r="J33464" s="711"/>
      <c r="K33464" s="711"/>
      <c r="L33464" s="711"/>
      <c r="Q33464" s="11"/>
      <c r="R33464" s="11"/>
      <c r="S33464" s="11"/>
      <c r="T33464" s="11"/>
    </row>
    <row r="33465" spans="8:20" x14ac:dyDescent="0.35">
      <c r="H33465" s="711"/>
      <c r="I33465" s="711"/>
      <c r="J33465" s="711"/>
      <c r="K33465" s="711"/>
      <c r="L33465" s="711"/>
      <c r="Q33465" s="11"/>
      <c r="R33465" s="11"/>
      <c r="S33465" s="11"/>
      <c r="T33465" s="11"/>
    </row>
    <row r="33466" spans="8:20" x14ac:dyDescent="0.35">
      <c r="H33466" s="711"/>
      <c r="I33466" s="711"/>
      <c r="J33466" s="711"/>
      <c r="K33466" s="711"/>
      <c r="L33466" s="711"/>
      <c r="Q33466" s="11"/>
      <c r="R33466" s="11"/>
      <c r="S33466" s="11"/>
      <c r="T33466" s="11"/>
    </row>
    <row r="33467" spans="8:20" x14ac:dyDescent="0.35">
      <c r="H33467" s="711"/>
      <c r="I33467" s="711"/>
      <c r="J33467" s="711"/>
      <c r="K33467" s="711"/>
      <c r="L33467" s="711"/>
      <c r="Q33467" s="11"/>
      <c r="R33467" s="11"/>
      <c r="S33467" s="11"/>
      <c r="T33467" s="11"/>
    </row>
    <row r="33468" spans="8:20" x14ac:dyDescent="0.35">
      <c r="H33468" s="711"/>
      <c r="I33468" s="711"/>
      <c r="J33468" s="711"/>
      <c r="K33468" s="711"/>
      <c r="L33468" s="711"/>
      <c r="Q33468" s="11"/>
      <c r="R33468" s="11"/>
      <c r="S33468" s="11"/>
      <c r="T33468" s="11"/>
    </row>
    <row r="33469" spans="8:20" x14ac:dyDescent="0.35">
      <c r="H33469" s="711"/>
      <c r="I33469" s="711"/>
      <c r="J33469" s="711"/>
      <c r="K33469" s="711"/>
      <c r="L33469" s="711"/>
      <c r="Q33469" s="11"/>
      <c r="R33469" s="11"/>
      <c r="S33469" s="11"/>
      <c r="T33469" s="11"/>
    </row>
    <row r="33470" spans="8:20" x14ac:dyDescent="0.35">
      <c r="H33470" s="711"/>
      <c r="I33470" s="711"/>
      <c r="J33470" s="711"/>
      <c r="K33470" s="711"/>
      <c r="L33470" s="711"/>
      <c r="Q33470" s="11"/>
      <c r="R33470" s="11"/>
      <c r="S33470" s="11"/>
      <c r="T33470" s="11"/>
    </row>
    <row r="33471" spans="8:20" x14ac:dyDescent="0.35">
      <c r="H33471" s="711"/>
      <c r="I33471" s="711"/>
      <c r="J33471" s="711"/>
      <c r="K33471" s="711"/>
      <c r="L33471" s="711"/>
      <c r="Q33471" s="11"/>
      <c r="R33471" s="11"/>
      <c r="S33471" s="11"/>
      <c r="T33471" s="11"/>
    </row>
    <row r="33472" spans="8:20" x14ac:dyDescent="0.35">
      <c r="H33472" s="711"/>
      <c r="I33472" s="711"/>
      <c r="J33472" s="711"/>
      <c r="K33472" s="711"/>
      <c r="L33472" s="711"/>
      <c r="Q33472" s="11"/>
      <c r="R33472" s="11"/>
      <c r="S33472" s="11"/>
      <c r="T33472" s="11"/>
    </row>
    <row r="33473" spans="8:20" x14ac:dyDescent="0.35">
      <c r="H33473" s="711"/>
      <c r="I33473" s="711"/>
      <c r="J33473" s="711"/>
      <c r="K33473" s="711"/>
      <c r="L33473" s="711"/>
      <c r="Q33473" s="11"/>
      <c r="R33473" s="11"/>
      <c r="S33473" s="11"/>
      <c r="T33473" s="11"/>
    </row>
    <row r="33474" spans="8:20" x14ac:dyDescent="0.35">
      <c r="H33474" s="711"/>
      <c r="I33474" s="711"/>
      <c r="J33474" s="711"/>
      <c r="K33474" s="711"/>
      <c r="L33474" s="711"/>
      <c r="Q33474" s="11"/>
      <c r="R33474" s="11"/>
      <c r="S33474" s="11"/>
      <c r="T33474" s="11"/>
    </row>
    <row r="33475" spans="8:20" x14ac:dyDescent="0.35">
      <c r="H33475" s="711"/>
      <c r="I33475" s="711"/>
      <c r="J33475" s="711"/>
      <c r="K33475" s="711"/>
      <c r="L33475" s="711"/>
      <c r="Q33475" s="11"/>
      <c r="R33475" s="11"/>
      <c r="S33475" s="11"/>
      <c r="T33475" s="11"/>
    </row>
    <row r="33476" spans="8:20" x14ac:dyDescent="0.35">
      <c r="H33476" s="711"/>
      <c r="I33476" s="711"/>
      <c r="J33476" s="711"/>
      <c r="K33476" s="711"/>
      <c r="L33476" s="711"/>
      <c r="Q33476" s="11"/>
      <c r="R33476" s="11"/>
      <c r="S33476" s="11"/>
      <c r="T33476" s="11"/>
    </row>
    <row r="33477" spans="8:20" x14ac:dyDescent="0.35">
      <c r="H33477" s="711"/>
      <c r="I33477" s="711"/>
      <c r="J33477" s="711"/>
      <c r="K33477" s="711"/>
      <c r="L33477" s="711"/>
      <c r="Q33477" s="11"/>
      <c r="R33477" s="11"/>
      <c r="S33477" s="11"/>
      <c r="T33477" s="11"/>
    </row>
    <row r="33478" spans="8:20" x14ac:dyDescent="0.35">
      <c r="H33478" s="711"/>
      <c r="I33478" s="711"/>
      <c r="J33478" s="711"/>
      <c r="K33478" s="711"/>
      <c r="L33478" s="711"/>
      <c r="Q33478" s="11"/>
      <c r="R33478" s="11"/>
      <c r="S33478" s="11"/>
      <c r="T33478" s="11"/>
    </row>
    <row r="33479" spans="8:20" x14ac:dyDescent="0.35">
      <c r="H33479" s="711"/>
      <c r="I33479" s="711"/>
      <c r="J33479" s="711"/>
      <c r="K33479" s="711"/>
      <c r="L33479" s="711"/>
      <c r="Q33479" s="11"/>
      <c r="R33479" s="11"/>
      <c r="S33479" s="11"/>
      <c r="T33479" s="11"/>
    </row>
    <row r="33480" spans="8:20" x14ac:dyDescent="0.35">
      <c r="H33480" s="711"/>
      <c r="I33480" s="711"/>
      <c r="J33480" s="711"/>
      <c r="K33480" s="711"/>
      <c r="L33480" s="711"/>
      <c r="Q33480" s="11"/>
      <c r="R33480" s="11"/>
      <c r="S33480" s="11"/>
      <c r="T33480" s="11"/>
    </row>
    <row r="33481" spans="8:20" x14ac:dyDescent="0.35">
      <c r="H33481" s="711"/>
      <c r="I33481" s="711"/>
      <c r="J33481" s="711"/>
      <c r="K33481" s="711"/>
      <c r="L33481" s="711"/>
      <c r="Q33481" s="11"/>
      <c r="R33481" s="11"/>
      <c r="S33481" s="11"/>
      <c r="T33481" s="11"/>
    </row>
    <row r="33482" spans="8:20" x14ac:dyDescent="0.35">
      <c r="H33482" s="711"/>
      <c r="I33482" s="711"/>
      <c r="J33482" s="711"/>
      <c r="K33482" s="711"/>
      <c r="L33482" s="711"/>
      <c r="Q33482" s="11"/>
      <c r="R33482" s="11"/>
      <c r="S33482" s="11"/>
      <c r="T33482" s="11"/>
    </row>
    <row r="33483" spans="8:20" x14ac:dyDescent="0.35">
      <c r="H33483" s="711"/>
      <c r="I33483" s="711"/>
      <c r="J33483" s="711"/>
      <c r="K33483" s="711"/>
      <c r="L33483" s="711"/>
      <c r="Q33483" s="11"/>
      <c r="R33483" s="11"/>
      <c r="S33483" s="11"/>
      <c r="T33483" s="11"/>
    </row>
    <row r="33484" spans="8:20" x14ac:dyDescent="0.35">
      <c r="H33484" s="711"/>
      <c r="I33484" s="711"/>
      <c r="J33484" s="711"/>
      <c r="K33484" s="711"/>
      <c r="L33484" s="711"/>
      <c r="Q33484" s="11"/>
      <c r="R33484" s="11"/>
      <c r="S33484" s="11"/>
      <c r="T33484" s="11"/>
    </row>
    <row r="33485" spans="8:20" x14ac:dyDescent="0.35">
      <c r="H33485" s="711"/>
      <c r="I33485" s="711"/>
      <c r="J33485" s="711"/>
      <c r="K33485" s="711"/>
      <c r="L33485" s="711"/>
      <c r="Q33485" s="11"/>
      <c r="R33485" s="11"/>
      <c r="S33485" s="11"/>
      <c r="T33485" s="11"/>
    </row>
    <row r="33486" spans="8:20" x14ac:dyDescent="0.35">
      <c r="H33486" s="711"/>
      <c r="I33486" s="711"/>
      <c r="J33486" s="711"/>
      <c r="K33486" s="711"/>
      <c r="L33486" s="711"/>
      <c r="Q33486" s="11"/>
      <c r="R33486" s="11"/>
      <c r="S33486" s="11"/>
      <c r="T33486" s="11"/>
    </row>
    <row r="33487" spans="8:20" x14ac:dyDescent="0.35">
      <c r="H33487" s="711"/>
      <c r="I33487" s="711"/>
      <c r="J33487" s="711"/>
      <c r="K33487" s="711"/>
      <c r="L33487" s="711"/>
      <c r="Q33487" s="11"/>
      <c r="R33487" s="11"/>
      <c r="S33487" s="11"/>
      <c r="T33487" s="11"/>
    </row>
    <row r="33488" spans="8:20" x14ac:dyDescent="0.35">
      <c r="H33488" s="711"/>
      <c r="I33488" s="711"/>
      <c r="J33488" s="711"/>
      <c r="K33488" s="711"/>
      <c r="L33488" s="711"/>
      <c r="Q33488" s="11"/>
      <c r="R33488" s="11"/>
      <c r="S33488" s="11"/>
      <c r="T33488" s="11"/>
    </row>
    <row r="33489" spans="8:20" x14ac:dyDescent="0.35">
      <c r="H33489" s="711"/>
      <c r="I33489" s="711"/>
      <c r="J33489" s="711"/>
      <c r="K33489" s="711"/>
      <c r="L33489" s="711"/>
      <c r="Q33489" s="11"/>
      <c r="R33489" s="11"/>
      <c r="S33489" s="11"/>
      <c r="T33489" s="11"/>
    </row>
    <row r="33490" spans="8:20" x14ac:dyDescent="0.35">
      <c r="H33490" s="711"/>
      <c r="I33490" s="711"/>
      <c r="J33490" s="711"/>
      <c r="K33490" s="711"/>
      <c r="L33490" s="711"/>
      <c r="Q33490" s="11"/>
      <c r="R33490" s="11"/>
      <c r="S33490" s="11"/>
      <c r="T33490" s="11"/>
    </row>
    <row r="33491" spans="8:20" x14ac:dyDescent="0.35">
      <c r="H33491" s="711"/>
      <c r="I33491" s="711"/>
      <c r="J33491" s="711"/>
      <c r="K33491" s="711"/>
      <c r="L33491" s="711"/>
      <c r="Q33491" s="11"/>
      <c r="R33491" s="11"/>
      <c r="S33491" s="11"/>
      <c r="T33491" s="11"/>
    </row>
    <row r="33492" spans="8:20" x14ac:dyDescent="0.35">
      <c r="H33492" s="711"/>
      <c r="I33492" s="711"/>
      <c r="J33492" s="711"/>
      <c r="K33492" s="711"/>
      <c r="L33492" s="711"/>
      <c r="Q33492" s="11"/>
      <c r="R33492" s="11"/>
      <c r="S33492" s="11"/>
      <c r="T33492" s="11"/>
    </row>
    <row r="33493" spans="8:20" x14ac:dyDescent="0.35">
      <c r="H33493" s="711"/>
      <c r="I33493" s="711"/>
      <c r="J33493" s="711"/>
      <c r="K33493" s="711"/>
      <c r="L33493" s="711"/>
      <c r="Q33493" s="11"/>
      <c r="R33493" s="11"/>
      <c r="S33493" s="11"/>
      <c r="T33493" s="11"/>
    </row>
    <row r="33494" spans="8:20" x14ac:dyDescent="0.35">
      <c r="H33494" s="711"/>
      <c r="I33494" s="711"/>
      <c r="J33494" s="711"/>
      <c r="K33494" s="711"/>
      <c r="L33494" s="711"/>
      <c r="Q33494" s="11"/>
      <c r="R33494" s="11"/>
      <c r="S33494" s="11"/>
      <c r="T33494" s="11"/>
    </row>
    <row r="33495" spans="8:20" x14ac:dyDescent="0.35">
      <c r="H33495" s="711"/>
      <c r="I33495" s="711"/>
      <c r="J33495" s="711"/>
      <c r="K33495" s="711"/>
      <c r="L33495" s="711"/>
      <c r="Q33495" s="11"/>
      <c r="R33495" s="11"/>
      <c r="S33495" s="11"/>
      <c r="T33495" s="11"/>
    </row>
    <row r="33496" spans="8:20" x14ac:dyDescent="0.35">
      <c r="H33496" s="711"/>
      <c r="I33496" s="711"/>
      <c r="J33496" s="711"/>
      <c r="K33496" s="711"/>
      <c r="L33496" s="711"/>
      <c r="Q33496" s="11"/>
      <c r="R33496" s="11"/>
      <c r="S33496" s="11"/>
      <c r="T33496" s="11"/>
    </row>
    <row r="33497" spans="8:20" x14ac:dyDescent="0.35">
      <c r="H33497" s="711"/>
      <c r="I33497" s="711"/>
      <c r="J33497" s="711"/>
      <c r="K33497" s="711"/>
      <c r="L33497" s="711"/>
      <c r="Q33497" s="11"/>
      <c r="R33497" s="11"/>
      <c r="S33497" s="11"/>
      <c r="T33497" s="11"/>
    </row>
    <row r="33498" spans="8:20" x14ac:dyDescent="0.35">
      <c r="H33498" s="711"/>
      <c r="I33498" s="711"/>
      <c r="J33498" s="711"/>
      <c r="K33498" s="711"/>
      <c r="L33498" s="711"/>
      <c r="Q33498" s="11"/>
      <c r="R33498" s="11"/>
      <c r="S33498" s="11"/>
      <c r="T33498" s="11"/>
    </row>
    <row r="33499" spans="8:20" x14ac:dyDescent="0.35">
      <c r="H33499" s="711"/>
      <c r="I33499" s="711"/>
      <c r="J33499" s="711"/>
      <c r="K33499" s="711"/>
      <c r="L33499" s="711"/>
      <c r="Q33499" s="11"/>
      <c r="R33499" s="11"/>
      <c r="S33499" s="11"/>
      <c r="T33499" s="11"/>
    </row>
    <row r="33500" spans="8:20" x14ac:dyDescent="0.35">
      <c r="H33500" s="711"/>
      <c r="I33500" s="711"/>
      <c r="J33500" s="711"/>
      <c r="K33500" s="711"/>
      <c r="L33500" s="711"/>
      <c r="Q33500" s="11"/>
      <c r="R33500" s="11"/>
      <c r="S33500" s="11"/>
      <c r="T33500" s="11"/>
    </row>
    <row r="33501" spans="8:20" x14ac:dyDescent="0.35">
      <c r="H33501" s="711"/>
      <c r="I33501" s="711"/>
      <c r="J33501" s="711"/>
      <c r="K33501" s="711"/>
      <c r="L33501" s="711"/>
      <c r="Q33501" s="11"/>
      <c r="R33501" s="11"/>
      <c r="S33501" s="11"/>
      <c r="T33501" s="11"/>
    </row>
    <row r="33502" spans="8:20" x14ac:dyDescent="0.35">
      <c r="H33502" s="711"/>
      <c r="I33502" s="711"/>
      <c r="J33502" s="711"/>
      <c r="K33502" s="711"/>
      <c r="L33502" s="711"/>
      <c r="Q33502" s="11"/>
      <c r="R33502" s="11"/>
      <c r="S33502" s="11"/>
      <c r="T33502" s="11"/>
    </row>
    <row r="33503" spans="8:20" x14ac:dyDescent="0.35">
      <c r="H33503" s="711"/>
      <c r="I33503" s="711"/>
      <c r="J33503" s="711"/>
      <c r="K33503" s="711"/>
      <c r="L33503" s="711"/>
      <c r="Q33503" s="11"/>
      <c r="R33503" s="11"/>
      <c r="S33503" s="11"/>
      <c r="T33503" s="11"/>
    </row>
    <row r="33504" spans="8:20" x14ac:dyDescent="0.35">
      <c r="H33504" s="711"/>
      <c r="I33504" s="711"/>
      <c r="J33504" s="711"/>
      <c r="K33504" s="711"/>
      <c r="L33504" s="711"/>
      <c r="Q33504" s="11"/>
      <c r="R33504" s="11"/>
      <c r="S33504" s="11"/>
      <c r="T33504" s="11"/>
    </row>
    <row r="33505" spans="8:20" x14ac:dyDescent="0.35">
      <c r="H33505" s="711"/>
      <c r="I33505" s="711"/>
      <c r="J33505" s="711"/>
      <c r="K33505" s="711"/>
      <c r="L33505" s="711"/>
      <c r="Q33505" s="11"/>
      <c r="R33505" s="11"/>
      <c r="S33505" s="11"/>
      <c r="T33505" s="11"/>
    </row>
    <row r="33506" spans="8:20" x14ac:dyDescent="0.35">
      <c r="H33506" s="711"/>
      <c r="I33506" s="711"/>
      <c r="J33506" s="711"/>
      <c r="K33506" s="711"/>
      <c r="L33506" s="711"/>
      <c r="Q33506" s="11"/>
      <c r="R33506" s="11"/>
      <c r="S33506" s="11"/>
      <c r="T33506" s="11"/>
    </row>
    <row r="33507" spans="8:20" x14ac:dyDescent="0.35">
      <c r="H33507" s="711"/>
      <c r="I33507" s="711"/>
      <c r="J33507" s="711"/>
      <c r="K33507" s="711"/>
      <c r="L33507" s="711"/>
      <c r="Q33507" s="11"/>
      <c r="R33507" s="11"/>
      <c r="S33507" s="11"/>
      <c r="T33507" s="11"/>
    </row>
    <row r="33508" spans="8:20" x14ac:dyDescent="0.35">
      <c r="H33508" s="711"/>
      <c r="I33508" s="711"/>
      <c r="J33508" s="711"/>
      <c r="K33508" s="711"/>
      <c r="L33508" s="711"/>
      <c r="Q33508" s="11"/>
      <c r="R33508" s="11"/>
      <c r="S33508" s="11"/>
      <c r="T33508" s="11"/>
    </row>
    <row r="33509" spans="8:20" x14ac:dyDescent="0.35">
      <c r="H33509" s="711"/>
      <c r="I33509" s="711"/>
      <c r="J33509" s="711"/>
      <c r="K33509" s="711"/>
      <c r="L33509" s="711"/>
      <c r="Q33509" s="11"/>
      <c r="R33509" s="11"/>
      <c r="S33509" s="11"/>
      <c r="T33509" s="11"/>
    </row>
    <row r="33510" spans="8:20" x14ac:dyDescent="0.35">
      <c r="H33510" s="711"/>
      <c r="I33510" s="711"/>
      <c r="J33510" s="711"/>
      <c r="K33510" s="711"/>
      <c r="L33510" s="711"/>
      <c r="Q33510" s="11"/>
      <c r="R33510" s="11"/>
      <c r="S33510" s="11"/>
      <c r="T33510" s="11"/>
    </row>
    <row r="33511" spans="8:20" x14ac:dyDescent="0.35">
      <c r="H33511" s="711"/>
      <c r="I33511" s="711"/>
      <c r="J33511" s="711"/>
      <c r="K33511" s="711"/>
      <c r="L33511" s="711"/>
      <c r="Q33511" s="11"/>
      <c r="R33511" s="11"/>
      <c r="S33511" s="11"/>
      <c r="T33511" s="11"/>
    </row>
    <row r="33512" spans="8:20" x14ac:dyDescent="0.35">
      <c r="H33512" s="711"/>
      <c r="I33512" s="711"/>
      <c r="J33512" s="711"/>
      <c r="K33512" s="711"/>
      <c r="L33512" s="711"/>
      <c r="Q33512" s="11"/>
      <c r="R33512" s="11"/>
      <c r="S33512" s="11"/>
      <c r="T33512" s="11"/>
    </row>
    <row r="33513" spans="8:20" x14ac:dyDescent="0.35">
      <c r="H33513" s="711"/>
      <c r="I33513" s="711"/>
      <c r="J33513" s="711"/>
      <c r="K33513" s="711"/>
      <c r="L33513" s="711"/>
      <c r="Q33513" s="11"/>
      <c r="R33513" s="11"/>
      <c r="S33513" s="11"/>
      <c r="T33513" s="11"/>
    </row>
    <row r="33514" spans="8:20" x14ac:dyDescent="0.35">
      <c r="H33514" s="711"/>
      <c r="I33514" s="711"/>
      <c r="J33514" s="711"/>
      <c r="K33514" s="711"/>
      <c r="L33514" s="711"/>
      <c r="Q33514" s="11"/>
      <c r="R33514" s="11"/>
      <c r="S33514" s="11"/>
      <c r="T33514" s="11"/>
    </row>
    <row r="33515" spans="8:20" x14ac:dyDescent="0.35">
      <c r="H33515" s="711"/>
      <c r="I33515" s="711"/>
      <c r="J33515" s="711"/>
      <c r="K33515" s="711"/>
      <c r="L33515" s="711"/>
      <c r="Q33515" s="11"/>
      <c r="R33515" s="11"/>
      <c r="S33515" s="11"/>
      <c r="T33515" s="11"/>
    </row>
    <row r="33516" spans="8:20" x14ac:dyDescent="0.35">
      <c r="H33516" s="711"/>
      <c r="I33516" s="711"/>
      <c r="J33516" s="711"/>
      <c r="K33516" s="711"/>
      <c r="L33516" s="711"/>
      <c r="Q33516" s="11"/>
      <c r="R33516" s="11"/>
      <c r="S33516" s="11"/>
      <c r="T33516" s="11"/>
    </row>
    <row r="33517" spans="8:20" x14ac:dyDescent="0.35">
      <c r="H33517" s="711"/>
      <c r="I33517" s="711"/>
      <c r="J33517" s="711"/>
      <c r="K33517" s="711"/>
      <c r="L33517" s="711"/>
      <c r="Q33517" s="11"/>
      <c r="R33517" s="11"/>
      <c r="S33517" s="11"/>
      <c r="T33517" s="11"/>
    </row>
    <row r="33518" spans="8:20" x14ac:dyDescent="0.35">
      <c r="H33518" s="711"/>
      <c r="I33518" s="711"/>
      <c r="J33518" s="711"/>
      <c r="K33518" s="711"/>
      <c r="L33518" s="711"/>
      <c r="Q33518" s="11"/>
      <c r="R33518" s="11"/>
      <c r="S33518" s="11"/>
      <c r="T33518" s="11"/>
    </row>
    <row r="33519" spans="8:20" x14ac:dyDescent="0.35">
      <c r="H33519" s="711"/>
      <c r="I33519" s="711"/>
      <c r="J33519" s="711"/>
      <c r="K33519" s="711"/>
      <c r="L33519" s="711"/>
      <c r="Q33519" s="11"/>
      <c r="R33519" s="11"/>
      <c r="S33519" s="11"/>
      <c r="T33519" s="11"/>
    </row>
    <row r="33520" spans="8:20" x14ac:dyDescent="0.35">
      <c r="H33520" s="711"/>
      <c r="I33520" s="711"/>
      <c r="J33520" s="711"/>
      <c r="K33520" s="711"/>
      <c r="L33520" s="711"/>
      <c r="Q33520" s="11"/>
      <c r="R33520" s="11"/>
      <c r="S33520" s="11"/>
      <c r="T33520" s="11"/>
    </row>
    <row r="33521" spans="8:20" x14ac:dyDescent="0.35">
      <c r="H33521" s="711"/>
      <c r="I33521" s="711"/>
      <c r="J33521" s="711"/>
      <c r="K33521" s="711"/>
      <c r="L33521" s="711"/>
      <c r="Q33521" s="11"/>
      <c r="R33521" s="11"/>
      <c r="S33521" s="11"/>
      <c r="T33521" s="11"/>
    </row>
    <row r="33522" spans="8:20" x14ac:dyDescent="0.35">
      <c r="H33522" s="711"/>
      <c r="I33522" s="711"/>
      <c r="J33522" s="711"/>
      <c r="K33522" s="711"/>
      <c r="L33522" s="711"/>
      <c r="Q33522" s="11"/>
      <c r="R33522" s="11"/>
      <c r="S33522" s="11"/>
      <c r="T33522" s="11"/>
    </row>
    <row r="33523" spans="8:20" x14ac:dyDescent="0.35">
      <c r="H33523" s="711"/>
      <c r="I33523" s="711"/>
      <c r="J33523" s="711"/>
      <c r="K33523" s="711"/>
      <c r="L33523" s="711"/>
      <c r="Q33523" s="11"/>
      <c r="R33523" s="11"/>
      <c r="S33523" s="11"/>
      <c r="T33523" s="11"/>
    </row>
    <row r="33524" spans="8:20" x14ac:dyDescent="0.35">
      <c r="H33524" s="711"/>
      <c r="I33524" s="711"/>
      <c r="J33524" s="711"/>
      <c r="K33524" s="711"/>
      <c r="L33524" s="711"/>
      <c r="Q33524" s="11"/>
      <c r="R33524" s="11"/>
      <c r="S33524" s="11"/>
      <c r="T33524" s="11"/>
    </row>
    <row r="33525" spans="8:20" x14ac:dyDescent="0.35">
      <c r="H33525" s="711"/>
      <c r="I33525" s="711"/>
      <c r="J33525" s="711"/>
      <c r="K33525" s="711"/>
      <c r="L33525" s="711"/>
      <c r="Q33525" s="11"/>
      <c r="R33525" s="11"/>
      <c r="S33525" s="11"/>
      <c r="T33525" s="11"/>
    </row>
    <row r="33526" spans="8:20" x14ac:dyDescent="0.35">
      <c r="H33526" s="711"/>
      <c r="I33526" s="711"/>
      <c r="J33526" s="711"/>
      <c r="K33526" s="711"/>
      <c r="L33526" s="711"/>
      <c r="Q33526" s="11"/>
      <c r="R33526" s="11"/>
      <c r="S33526" s="11"/>
      <c r="T33526" s="11"/>
    </row>
    <row r="33527" spans="8:20" x14ac:dyDescent="0.35">
      <c r="H33527" s="711"/>
      <c r="I33527" s="711"/>
      <c r="J33527" s="711"/>
      <c r="K33527" s="711"/>
      <c r="L33527" s="711"/>
      <c r="Q33527" s="11"/>
      <c r="R33527" s="11"/>
      <c r="S33527" s="11"/>
      <c r="T33527" s="11"/>
    </row>
    <row r="33528" spans="8:20" x14ac:dyDescent="0.35">
      <c r="H33528" s="711"/>
      <c r="I33528" s="711"/>
      <c r="J33528" s="711"/>
      <c r="K33528" s="711"/>
      <c r="L33528" s="711"/>
      <c r="Q33528" s="11"/>
      <c r="R33528" s="11"/>
      <c r="S33528" s="11"/>
      <c r="T33528" s="11"/>
    </row>
    <row r="33529" spans="8:20" x14ac:dyDescent="0.35">
      <c r="H33529" s="711"/>
      <c r="I33529" s="711"/>
      <c r="J33529" s="711"/>
      <c r="K33529" s="711"/>
      <c r="L33529" s="711"/>
      <c r="Q33529" s="11"/>
      <c r="R33529" s="11"/>
      <c r="S33529" s="11"/>
      <c r="T33529" s="11"/>
    </row>
    <row r="33530" spans="8:20" x14ac:dyDescent="0.35">
      <c r="H33530" s="711"/>
      <c r="I33530" s="711"/>
      <c r="J33530" s="711"/>
      <c r="K33530" s="711"/>
      <c r="L33530" s="711"/>
      <c r="Q33530" s="11"/>
      <c r="R33530" s="11"/>
      <c r="S33530" s="11"/>
      <c r="T33530" s="11"/>
    </row>
    <row r="33531" spans="8:20" x14ac:dyDescent="0.35">
      <c r="H33531" s="711"/>
      <c r="I33531" s="711"/>
      <c r="J33531" s="711"/>
      <c r="K33531" s="711"/>
      <c r="L33531" s="711"/>
      <c r="Q33531" s="11"/>
      <c r="R33531" s="11"/>
      <c r="S33531" s="11"/>
      <c r="T33531" s="11"/>
    </row>
    <row r="33532" spans="8:20" x14ac:dyDescent="0.35">
      <c r="H33532" s="711"/>
      <c r="I33532" s="711"/>
      <c r="J33532" s="711"/>
      <c r="K33532" s="711"/>
      <c r="L33532" s="711"/>
      <c r="Q33532" s="11"/>
      <c r="R33532" s="11"/>
      <c r="S33532" s="11"/>
      <c r="T33532" s="11"/>
    </row>
    <row r="33533" spans="8:20" x14ac:dyDescent="0.35">
      <c r="H33533" s="711"/>
      <c r="I33533" s="711"/>
      <c r="J33533" s="711"/>
      <c r="K33533" s="711"/>
      <c r="L33533" s="711"/>
      <c r="Q33533" s="11"/>
      <c r="R33533" s="11"/>
      <c r="S33533" s="11"/>
      <c r="T33533" s="11"/>
    </row>
    <row r="33534" spans="8:20" x14ac:dyDescent="0.35">
      <c r="H33534" s="711"/>
      <c r="I33534" s="711"/>
      <c r="J33534" s="711"/>
      <c r="K33534" s="711"/>
      <c r="L33534" s="711"/>
      <c r="Q33534" s="11"/>
      <c r="R33534" s="11"/>
      <c r="S33534" s="11"/>
      <c r="T33534" s="11"/>
    </row>
    <row r="33535" spans="8:20" x14ac:dyDescent="0.35">
      <c r="H33535" s="711"/>
      <c r="I33535" s="711"/>
      <c r="J33535" s="711"/>
      <c r="K33535" s="711"/>
      <c r="L33535" s="711"/>
      <c r="Q33535" s="11"/>
      <c r="R33535" s="11"/>
      <c r="S33535" s="11"/>
      <c r="T33535" s="11"/>
    </row>
    <row r="33536" spans="8:20" x14ac:dyDescent="0.35">
      <c r="H33536" s="711"/>
      <c r="I33536" s="711"/>
      <c r="J33536" s="711"/>
      <c r="K33536" s="711"/>
      <c r="L33536" s="711"/>
      <c r="Q33536" s="11"/>
      <c r="R33536" s="11"/>
      <c r="S33536" s="11"/>
      <c r="T33536" s="11"/>
    </row>
    <row r="33537" spans="8:20" x14ac:dyDescent="0.35">
      <c r="H33537" s="711"/>
      <c r="I33537" s="711"/>
      <c r="J33537" s="711"/>
      <c r="K33537" s="711"/>
      <c r="L33537" s="711"/>
      <c r="Q33537" s="11"/>
      <c r="R33537" s="11"/>
      <c r="S33537" s="11"/>
      <c r="T33537" s="11"/>
    </row>
    <row r="33538" spans="8:20" x14ac:dyDescent="0.35">
      <c r="H33538" s="711"/>
      <c r="I33538" s="711"/>
      <c r="J33538" s="711"/>
      <c r="K33538" s="711"/>
      <c r="L33538" s="711"/>
      <c r="Q33538" s="11"/>
      <c r="R33538" s="11"/>
      <c r="S33538" s="11"/>
      <c r="T33538" s="11"/>
    </row>
    <row r="33539" spans="8:20" x14ac:dyDescent="0.35">
      <c r="H33539" s="711"/>
      <c r="I33539" s="711"/>
      <c r="J33539" s="711"/>
      <c r="K33539" s="711"/>
      <c r="L33539" s="711"/>
      <c r="Q33539" s="11"/>
      <c r="R33539" s="11"/>
      <c r="S33539" s="11"/>
      <c r="T33539" s="11"/>
    </row>
    <row r="33540" spans="8:20" x14ac:dyDescent="0.35">
      <c r="H33540" s="711"/>
      <c r="I33540" s="711"/>
      <c r="J33540" s="711"/>
      <c r="K33540" s="711"/>
      <c r="L33540" s="711"/>
      <c r="Q33540" s="11"/>
      <c r="R33540" s="11"/>
      <c r="S33540" s="11"/>
      <c r="T33540" s="11"/>
    </row>
    <row r="33541" spans="8:20" x14ac:dyDescent="0.35">
      <c r="H33541" s="711"/>
      <c r="I33541" s="711"/>
      <c r="J33541" s="711"/>
      <c r="K33541" s="711"/>
      <c r="L33541" s="711"/>
      <c r="Q33541" s="11"/>
      <c r="R33541" s="11"/>
      <c r="S33541" s="11"/>
      <c r="T33541" s="11"/>
    </row>
    <row r="33542" spans="8:20" x14ac:dyDescent="0.35">
      <c r="H33542" s="711"/>
      <c r="I33542" s="711"/>
      <c r="J33542" s="711"/>
      <c r="K33542" s="711"/>
      <c r="L33542" s="711"/>
      <c r="Q33542" s="11"/>
      <c r="R33542" s="11"/>
      <c r="S33542" s="11"/>
      <c r="T33542" s="11"/>
    </row>
    <row r="33543" spans="8:20" x14ac:dyDescent="0.35">
      <c r="H33543" s="711"/>
      <c r="I33543" s="711"/>
      <c r="J33543" s="711"/>
      <c r="K33543" s="711"/>
      <c r="L33543" s="711"/>
      <c r="Q33543" s="11"/>
      <c r="R33543" s="11"/>
      <c r="S33543" s="11"/>
      <c r="T33543" s="11"/>
    </row>
    <row r="33544" spans="8:20" x14ac:dyDescent="0.35">
      <c r="H33544" s="711"/>
      <c r="I33544" s="711"/>
      <c r="J33544" s="711"/>
      <c r="K33544" s="711"/>
      <c r="L33544" s="711"/>
      <c r="Q33544" s="11"/>
      <c r="R33544" s="11"/>
      <c r="S33544" s="11"/>
      <c r="T33544" s="11"/>
    </row>
    <row r="33545" spans="8:20" x14ac:dyDescent="0.35">
      <c r="H33545" s="711"/>
      <c r="I33545" s="711"/>
      <c r="J33545" s="711"/>
      <c r="K33545" s="711"/>
      <c r="L33545" s="711"/>
      <c r="Q33545" s="11"/>
      <c r="R33545" s="11"/>
      <c r="S33545" s="11"/>
      <c r="T33545" s="11"/>
    </row>
    <row r="33546" spans="8:20" x14ac:dyDescent="0.35">
      <c r="H33546" s="711"/>
      <c r="I33546" s="711"/>
      <c r="J33546" s="711"/>
      <c r="K33546" s="711"/>
      <c r="L33546" s="711"/>
      <c r="Q33546" s="11"/>
      <c r="R33546" s="11"/>
      <c r="S33546" s="11"/>
      <c r="T33546" s="11"/>
    </row>
    <row r="33547" spans="8:20" x14ac:dyDescent="0.35">
      <c r="H33547" s="711"/>
      <c r="I33547" s="711"/>
      <c r="J33547" s="711"/>
      <c r="K33547" s="711"/>
      <c r="L33547" s="711"/>
      <c r="Q33547" s="11"/>
      <c r="R33547" s="11"/>
      <c r="S33547" s="11"/>
      <c r="T33547" s="11"/>
    </row>
    <row r="33548" spans="8:20" x14ac:dyDescent="0.35">
      <c r="H33548" s="711"/>
      <c r="I33548" s="711"/>
      <c r="J33548" s="711"/>
      <c r="K33548" s="711"/>
      <c r="L33548" s="711"/>
      <c r="Q33548" s="11"/>
      <c r="R33548" s="11"/>
      <c r="S33548" s="11"/>
      <c r="T33548" s="11"/>
    </row>
    <row r="33549" spans="8:20" x14ac:dyDescent="0.35">
      <c r="H33549" s="711"/>
      <c r="I33549" s="711"/>
      <c r="J33549" s="711"/>
      <c r="K33549" s="711"/>
      <c r="L33549" s="711"/>
      <c r="Q33549" s="11"/>
      <c r="R33549" s="11"/>
      <c r="S33549" s="11"/>
      <c r="T33549" s="11"/>
    </row>
    <row r="33550" spans="8:20" x14ac:dyDescent="0.35">
      <c r="H33550" s="711"/>
      <c r="I33550" s="711"/>
      <c r="J33550" s="711"/>
      <c r="K33550" s="711"/>
      <c r="L33550" s="711"/>
      <c r="Q33550" s="11"/>
      <c r="R33550" s="11"/>
      <c r="S33550" s="11"/>
      <c r="T33550" s="11"/>
    </row>
    <row r="33551" spans="8:20" x14ac:dyDescent="0.35">
      <c r="H33551" s="711"/>
      <c r="I33551" s="711"/>
      <c r="J33551" s="711"/>
      <c r="K33551" s="711"/>
      <c r="L33551" s="711"/>
      <c r="Q33551" s="11"/>
      <c r="R33551" s="11"/>
      <c r="S33551" s="11"/>
      <c r="T33551" s="11"/>
    </row>
    <row r="33552" spans="8:20" x14ac:dyDescent="0.35">
      <c r="H33552" s="711"/>
      <c r="I33552" s="711"/>
      <c r="J33552" s="711"/>
      <c r="K33552" s="711"/>
      <c r="L33552" s="711"/>
      <c r="Q33552" s="11"/>
      <c r="R33552" s="11"/>
      <c r="S33552" s="11"/>
      <c r="T33552" s="11"/>
    </row>
    <row r="33553" spans="8:20" x14ac:dyDescent="0.35">
      <c r="H33553" s="711"/>
      <c r="I33553" s="711"/>
      <c r="J33553" s="711"/>
      <c r="K33553" s="711"/>
      <c r="L33553" s="711"/>
      <c r="Q33553" s="11"/>
      <c r="R33553" s="11"/>
      <c r="S33553" s="11"/>
      <c r="T33553" s="11"/>
    </row>
    <row r="33554" spans="8:20" x14ac:dyDescent="0.35">
      <c r="H33554" s="711"/>
      <c r="I33554" s="711"/>
      <c r="J33554" s="711"/>
      <c r="K33554" s="711"/>
      <c r="L33554" s="711"/>
      <c r="Q33554" s="11"/>
      <c r="R33554" s="11"/>
      <c r="S33554" s="11"/>
      <c r="T33554" s="11"/>
    </row>
    <row r="33555" spans="8:20" x14ac:dyDescent="0.35">
      <c r="H33555" s="711"/>
      <c r="I33555" s="711"/>
      <c r="J33555" s="711"/>
      <c r="K33555" s="711"/>
      <c r="L33555" s="711"/>
      <c r="Q33555" s="11"/>
      <c r="R33555" s="11"/>
      <c r="S33555" s="11"/>
      <c r="T33555" s="11"/>
    </row>
    <row r="33556" spans="8:20" x14ac:dyDescent="0.35">
      <c r="H33556" s="711"/>
      <c r="I33556" s="711"/>
      <c r="J33556" s="711"/>
      <c r="K33556" s="711"/>
      <c r="L33556" s="711"/>
      <c r="Q33556" s="11"/>
      <c r="R33556" s="11"/>
      <c r="S33556" s="11"/>
      <c r="T33556" s="11"/>
    </row>
    <row r="33557" spans="8:20" x14ac:dyDescent="0.35">
      <c r="H33557" s="711"/>
      <c r="I33557" s="711"/>
      <c r="J33557" s="711"/>
      <c r="K33557" s="711"/>
      <c r="L33557" s="711"/>
      <c r="Q33557" s="11"/>
      <c r="R33557" s="11"/>
      <c r="S33557" s="11"/>
      <c r="T33557" s="11"/>
    </row>
    <row r="33558" spans="8:20" x14ac:dyDescent="0.35">
      <c r="H33558" s="711"/>
      <c r="I33558" s="711"/>
      <c r="J33558" s="711"/>
      <c r="K33558" s="711"/>
      <c r="L33558" s="711"/>
      <c r="Q33558" s="11"/>
      <c r="R33558" s="11"/>
      <c r="S33558" s="11"/>
      <c r="T33558" s="11"/>
    </row>
    <row r="33559" spans="8:20" x14ac:dyDescent="0.35">
      <c r="H33559" s="711"/>
      <c r="I33559" s="711"/>
      <c r="J33559" s="711"/>
      <c r="K33559" s="711"/>
      <c r="L33559" s="711"/>
      <c r="Q33559" s="11"/>
      <c r="R33559" s="11"/>
      <c r="S33559" s="11"/>
      <c r="T33559" s="11"/>
    </row>
    <row r="33560" spans="8:20" x14ac:dyDescent="0.35">
      <c r="H33560" s="711"/>
      <c r="I33560" s="711"/>
      <c r="J33560" s="711"/>
      <c r="K33560" s="711"/>
      <c r="L33560" s="711"/>
      <c r="Q33560" s="11"/>
      <c r="R33560" s="11"/>
      <c r="S33560" s="11"/>
      <c r="T33560" s="11"/>
    </row>
    <row r="33561" spans="8:20" x14ac:dyDescent="0.35">
      <c r="H33561" s="711"/>
      <c r="I33561" s="711"/>
      <c r="J33561" s="711"/>
      <c r="K33561" s="711"/>
      <c r="L33561" s="711"/>
      <c r="Q33561" s="11"/>
      <c r="R33561" s="11"/>
      <c r="S33561" s="11"/>
      <c r="T33561" s="11"/>
    </row>
    <row r="33562" spans="8:20" x14ac:dyDescent="0.35">
      <c r="H33562" s="711"/>
      <c r="I33562" s="711"/>
      <c r="J33562" s="711"/>
      <c r="K33562" s="711"/>
      <c r="L33562" s="711"/>
      <c r="Q33562" s="11"/>
      <c r="R33562" s="11"/>
      <c r="S33562" s="11"/>
      <c r="T33562" s="11"/>
    </row>
    <row r="33563" spans="8:20" x14ac:dyDescent="0.35">
      <c r="H33563" s="711"/>
      <c r="I33563" s="711"/>
      <c r="J33563" s="711"/>
      <c r="K33563" s="711"/>
      <c r="L33563" s="711"/>
      <c r="Q33563" s="11"/>
      <c r="R33563" s="11"/>
      <c r="S33563" s="11"/>
      <c r="T33563" s="11"/>
    </row>
    <row r="33564" spans="8:20" x14ac:dyDescent="0.35">
      <c r="H33564" s="711"/>
      <c r="I33564" s="711"/>
      <c r="J33564" s="711"/>
      <c r="K33564" s="711"/>
      <c r="L33564" s="711"/>
      <c r="Q33564" s="11"/>
      <c r="R33564" s="11"/>
      <c r="S33564" s="11"/>
      <c r="T33564" s="11"/>
    </row>
    <row r="33565" spans="8:20" x14ac:dyDescent="0.35">
      <c r="H33565" s="711"/>
      <c r="I33565" s="711"/>
      <c r="J33565" s="711"/>
      <c r="K33565" s="711"/>
      <c r="L33565" s="711"/>
      <c r="Q33565" s="11"/>
      <c r="R33565" s="11"/>
      <c r="S33565" s="11"/>
      <c r="T33565" s="11"/>
    </row>
    <row r="33566" spans="8:20" x14ac:dyDescent="0.35">
      <c r="H33566" s="711"/>
      <c r="I33566" s="711"/>
      <c r="J33566" s="711"/>
      <c r="K33566" s="711"/>
      <c r="L33566" s="711"/>
      <c r="Q33566" s="11"/>
      <c r="R33566" s="11"/>
      <c r="S33566" s="11"/>
      <c r="T33566" s="11"/>
    </row>
    <row r="33567" spans="8:20" x14ac:dyDescent="0.35">
      <c r="H33567" s="711"/>
      <c r="I33567" s="711"/>
      <c r="J33567" s="711"/>
      <c r="K33567" s="711"/>
      <c r="L33567" s="711"/>
      <c r="Q33567" s="11"/>
      <c r="R33567" s="11"/>
      <c r="S33567" s="11"/>
      <c r="T33567" s="11"/>
    </row>
    <row r="33568" spans="8:20" x14ac:dyDescent="0.35">
      <c r="H33568" s="711"/>
      <c r="I33568" s="711"/>
      <c r="J33568" s="711"/>
      <c r="K33568" s="711"/>
      <c r="L33568" s="711"/>
      <c r="Q33568" s="11"/>
      <c r="R33568" s="11"/>
      <c r="S33568" s="11"/>
      <c r="T33568" s="11"/>
    </row>
    <row r="33569" spans="8:20" x14ac:dyDescent="0.35">
      <c r="H33569" s="711"/>
      <c r="I33569" s="711"/>
      <c r="J33569" s="711"/>
      <c r="K33569" s="711"/>
      <c r="L33569" s="711"/>
      <c r="Q33569" s="11"/>
      <c r="R33569" s="11"/>
      <c r="S33569" s="11"/>
      <c r="T33569" s="11"/>
    </row>
    <row r="33570" spans="8:20" x14ac:dyDescent="0.35">
      <c r="H33570" s="711"/>
      <c r="I33570" s="711"/>
      <c r="J33570" s="711"/>
      <c r="K33570" s="711"/>
      <c r="L33570" s="711"/>
      <c r="Q33570" s="11"/>
      <c r="R33570" s="11"/>
      <c r="S33570" s="11"/>
      <c r="T33570" s="11"/>
    </row>
    <row r="33571" spans="8:20" x14ac:dyDescent="0.35">
      <c r="H33571" s="711"/>
      <c r="I33571" s="711"/>
      <c r="J33571" s="711"/>
      <c r="K33571" s="711"/>
      <c r="L33571" s="711"/>
      <c r="Q33571" s="11"/>
      <c r="R33571" s="11"/>
      <c r="S33571" s="11"/>
      <c r="T33571" s="11"/>
    </row>
    <row r="33572" spans="8:20" x14ac:dyDescent="0.35">
      <c r="H33572" s="711"/>
      <c r="I33572" s="711"/>
      <c r="J33572" s="711"/>
      <c r="K33572" s="711"/>
      <c r="L33572" s="711"/>
      <c r="Q33572" s="11"/>
      <c r="R33572" s="11"/>
      <c r="S33572" s="11"/>
      <c r="T33572" s="11"/>
    </row>
    <row r="33573" spans="8:20" x14ac:dyDescent="0.35">
      <c r="H33573" s="711"/>
      <c r="I33573" s="711"/>
      <c r="J33573" s="711"/>
      <c r="K33573" s="711"/>
      <c r="L33573" s="711"/>
      <c r="Q33573" s="11"/>
      <c r="R33573" s="11"/>
      <c r="S33573" s="11"/>
      <c r="T33573" s="11"/>
    </row>
    <row r="33574" spans="8:20" x14ac:dyDescent="0.35">
      <c r="H33574" s="711"/>
      <c r="I33574" s="711"/>
      <c r="J33574" s="711"/>
      <c r="K33574" s="711"/>
      <c r="L33574" s="711"/>
      <c r="Q33574" s="11"/>
      <c r="R33574" s="11"/>
      <c r="S33574" s="11"/>
      <c r="T33574" s="11"/>
    </row>
    <row r="33575" spans="8:20" x14ac:dyDescent="0.35">
      <c r="H33575" s="711"/>
      <c r="I33575" s="711"/>
      <c r="J33575" s="711"/>
      <c r="K33575" s="711"/>
      <c r="L33575" s="711"/>
      <c r="Q33575" s="11"/>
      <c r="R33575" s="11"/>
      <c r="S33575" s="11"/>
      <c r="T33575" s="11"/>
    </row>
    <row r="33576" spans="8:20" x14ac:dyDescent="0.35">
      <c r="H33576" s="711"/>
      <c r="I33576" s="711"/>
      <c r="J33576" s="711"/>
      <c r="K33576" s="711"/>
      <c r="L33576" s="711"/>
      <c r="Q33576" s="11"/>
      <c r="R33576" s="11"/>
      <c r="S33576" s="11"/>
      <c r="T33576" s="11"/>
    </row>
    <row r="33577" spans="8:20" x14ac:dyDescent="0.35">
      <c r="H33577" s="711"/>
      <c r="I33577" s="711"/>
      <c r="J33577" s="711"/>
      <c r="K33577" s="711"/>
      <c r="L33577" s="711"/>
      <c r="Q33577" s="11"/>
      <c r="R33577" s="11"/>
      <c r="S33577" s="11"/>
      <c r="T33577" s="11"/>
    </row>
    <row r="33578" spans="8:20" x14ac:dyDescent="0.35">
      <c r="H33578" s="711"/>
      <c r="I33578" s="711"/>
      <c r="J33578" s="711"/>
      <c r="K33578" s="711"/>
      <c r="L33578" s="711"/>
      <c r="Q33578" s="11"/>
      <c r="R33578" s="11"/>
      <c r="S33578" s="11"/>
      <c r="T33578" s="11"/>
    </row>
    <row r="33579" spans="8:20" x14ac:dyDescent="0.35">
      <c r="H33579" s="711"/>
      <c r="I33579" s="711"/>
      <c r="J33579" s="711"/>
      <c r="K33579" s="711"/>
      <c r="L33579" s="711"/>
      <c r="Q33579" s="11"/>
      <c r="R33579" s="11"/>
      <c r="S33579" s="11"/>
      <c r="T33579" s="11"/>
    </row>
    <row r="33580" spans="8:20" x14ac:dyDescent="0.35">
      <c r="H33580" s="711"/>
      <c r="I33580" s="711"/>
      <c r="J33580" s="711"/>
      <c r="K33580" s="711"/>
      <c r="L33580" s="711"/>
      <c r="Q33580" s="11"/>
      <c r="R33580" s="11"/>
      <c r="S33580" s="11"/>
      <c r="T33580" s="11"/>
    </row>
    <row r="33581" spans="8:20" x14ac:dyDescent="0.35">
      <c r="H33581" s="711"/>
      <c r="I33581" s="711"/>
      <c r="J33581" s="711"/>
      <c r="K33581" s="711"/>
      <c r="L33581" s="711"/>
      <c r="Q33581" s="11"/>
      <c r="R33581" s="11"/>
      <c r="S33581" s="11"/>
      <c r="T33581" s="11"/>
    </row>
    <row r="33582" spans="8:20" x14ac:dyDescent="0.35">
      <c r="H33582" s="711"/>
      <c r="I33582" s="711"/>
      <c r="J33582" s="711"/>
      <c r="K33582" s="711"/>
      <c r="L33582" s="711"/>
      <c r="Q33582" s="11"/>
      <c r="R33582" s="11"/>
      <c r="S33582" s="11"/>
      <c r="T33582" s="11"/>
    </row>
    <row r="33583" spans="8:20" x14ac:dyDescent="0.35">
      <c r="H33583" s="711"/>
      <c r="I33583" s="711"/>
      <c r="J33583" s="711"/>
      <c r="K33583" s="711"/>
      <c r="L33583" s="711"/>
      <c r="Q33583" s="11"/>
      <c r="R33583" s="11"/>
      <c r="S33583" s="11"/>
      <c r="T33583" s="11"/>
    </row>
    <row r="33584" spans="8:20" x14ac:dyDescent="0.35">
      <c r="H33584" s="711"/>
      <c r="I33584" s="711"/>
      <c r="J33584" s="711"/>
      <c r="K33584" s="711"/>
      <c r="L33584" s="711"/>
      <c r="Q33584" s="11"/>
      <c r="R33584" s="11"/>
      <c r="S33584" s="11"/>
      <c r="T33584" s="11"/>
    </row>
    <row r="33585" spans="8:20" x14ac:dyDescent="0.35">
      <c r="H33585" s="711"/>
      <c r="I33585" s="711"/>
      <c r="J33585" s="711"/>
      <c r="K33585" s="711"/>
      <c r="L33585" s="711"/>
      <c r="Q33585" s="11"/>
      <c r="R33585" s="11"/>
      <c r="S33585" s="11"/>
      <c r="T33585" s="11"/>
    </row>
    <row r="33586" spans="8:20" x14ac:dyDescent="0.35">
      <c r="H33586" s="711"/>
      <c r="I33586" s="711"/>
      <c r="J33586" s="711"/>
      <c r="K33586" s="711"/>
      <c r="L33586" s="711"/>
      <c r="Q33586" s="11"/>
      <c r="R33586" s="11"/>
      <c r="S33586" s="11"/>
      <c r="T33586" s="11"/>
    </row>
    <row r="33587" spans="8:20" x14ac:dyDescent="0.35">
      <c r="H33587" s="711"/>
      <c r="I33587" s="711"/>
      <c r="J33587" s="711"/>
      <c r="K33587" s="711"/>
      <c r="L33587" s="711"/>
      <c r="Q33587" s="11"/>
      <c r="R33587" s="11"/>
      <c r="S33587" s="11"/>
      <c r="T33587" s="11"/>
    </row>
    <row r="33588" spans="8:20" x14ac:dyDescent="0.35">
      <c r="H33588" s="711"/>
      <c r="I33588" s="711"/>
      <c r="J33588" s="711"/>
      <c r="K33588" s="711"/>
      <c r="L33588" s="711"/>
      <c r="Q33588" s="11"/>
      <c r="R33588" s="11"/>
      <c r="S33588" s="11"/>
      <c r="T33588" s="11"/>
    </row>
    <row r="33589" spans="8:20" x14ac:dyDescent="0.35">
      <c r="H33589" s="711"/>
      <c r="I33589" s="711"/>
      <c r="J33589" s="711"/>
      <c r="K33589" s="711"/>
      <c r="L33589" s="711"/>
      <c r="Q33589" s="11"/>
      <c r="R33589" s="11"/>
      <c r="S33589" s="11"/>
      <c r="T33589" s="11"/>
    </row>
    <row r="33590" spans="8:20" x14ac:dyDescent="0.35">
      <c r="H33590" s="711"/>
      <c r="I33590" s="711"/>
      <c r="J33590" s="711"/>
      <c r="K33590" s="711"/>
      <c r="L33590" s="711"/>
      <c r="Q33590" s="11"/>
      <c r="R33590" s="11"/>
      <c r="S33590" s="11"/>
      <c r="T33590" s="11"/>
    </row>
    <row r="33591" spans="8:20" x14ac:dyDescent="0.35">
      <c r="H33591" s="711"/>
      <c r="I33591" s="711"/>
      <c r="J33591" s="711"/>
      <c r="K33591" s="711"/>
      <c r="L33591" s="711"/>
      <c r="Q33591" s="11"/>
      <c r="R33591" s="11"/>
      <c r="S33591" s="11"/>
      <c r="T33591" s="11"/>
    </row>
    <row r="33592" spans="8:20" x14ac:dyDescent="0.35">
      <c r="H33592" s="711"/>
      <c r="I33592" s="711"/>
      <c r="J33592" s="711"/>
      <c r="K33592" s="711"/>
      <c r="L33592" s="711"/>
      <c r="Q33592" s="11"/>
      <c r="R33592" s="11"/>
      <c r="S33592" s="11"/>
      <c r="T33592" s="11"/>
    </row>
    <row r="33593" spans="8:20" x14ac:dyDescent="0.35">
      <c r="H33593" s="711"/>
      <c r="I33593" s="711"/>
      <c r="J33593" s="711"/>
      <c r="K33593" s="711"/>
      <c r="L33593" s="711"/>
      <c r="Q33593" s="11"/>
      <c r="R33593" s="11"/>
      <c r="S33593" s="11"/>
      <c r="T33593" s="11"/>
    </row>
    <row r="33594" spans="8:20" x14ac:dyDescent="0.35">
      <c r="H33594" s="711"/>
      <c r="I33594" s="711"/>
      <c r="J33594" s="711"/>
      <c r="K33594" s="711"/>
      <c r="L33594" s="711"/>
      <c r="Q33594" s="11"/>
      <c r="R33594" s="11"/>
      <c r="S33594" s="11"/>
      <c r="T33594" s="11"/>
    </row>
    <row r="33595" spans="8:20" x14ac:dyDescent="0.35">
      <c r="H33595" s="711"/>
      <c r="I33595" s="711"/>
      <c r="J33595" s="711"/>
      <c r="K33595" s="711"/>
      <c r="L33595" s="711"/>
      <c r="Q33595" s="11"/>
      <c r="R33595" s="11"/>
      <c r="S33595" s="11"/>
      <c r="T33595" s="11"/>
    </row>
    <row r="33596" spans="8:20" x14ac:dyDescent="0.35">
      <c r="H33596" s="711"/>
      <c r="I33596" s="711"/>
      <c r="J33596" s="711"/>
      <c r="K33596" s="711"/>
      <c r="L33596" s="711"/>
      <c r="Q33596" s="11"/>
      <c r="R33596" s="11"/>
      <c r="S33596" s="11"/>
      <c r="T33596" s="11"/>
    </row>
    <row r="33597" spans="8:20" x14ac:dyDescent="0.35">
      <c r="H33597" s="711"/>
      <c r="I33597" s="711"/>
      <c r="J33597" s="711"/>
      <c r="K33597" s="711"/>
      <c r="L33597" s="711"/>
      <c r="Q33597" s="11"/>
      <c r="R33597" s="11"/>
      <c r="S33597" s="11"/>
      <c r="T33597" s="11"/>
    </row>
    <row r="33598" spans="8:20" x14ac:dyDescent="0.35">
      <c r="H33598" s="711"/>
      <c r="I33598" s="711"/>
      <c r="J33598" s="711"/>
      <c r="K33598" s="711"/>
      <c r="L33598" s="711"/>
      <c r="Q33598" s="11"/>
      <c r="R33598" s="11"/>
      <c r="S33598" s="11"/>
      <c r="T33598" s="11"/>
    </row>
    <row r="33599" spans="8:20" x14ac:dyDescent="0.35">
      <c r="H33599" s="711"/>
      <c r="I33599" s="711"/>
      <c r="J33599" s="711"/>
      <c r="K33599" s="711"/>
      <c r="L33599" s="711"/>
      <c r="Q33599" s="11"/>
      <c r="R33599" s="11"/>
      <c r="S33599" s="11"/>
      <c r="T33599" s="11"/>
    </row>
    <row r="33600" spans="8:20" x14ac:dyDescent="0.35">
      <c r="H33600" s="711"/>
      <c r="I33600" s="711"/>
      <c r="J33600" s="711"/>
      <c r="K33600" s="711"/>
      <c r="L33600" s="711"/>
      <c r="Q33600" s="11"/>
      <c r="R33600" s="11"/>
      <c r="S33600" s="11"/>
      <c r="T33600" s="11"/>
    </row>
    <row r="33601" spans="8:20" x14ac:dyDescent="0.35">
      <c r="H33601" s="711"/>
      <c r="I33601" s="711"/>
      <c r="J33601" s="711"/>
      <c r="K33601" s="711"/>
      <c r="L33601" s="711"/>
      <c r="Q33601" s="11"/>
      <c r="R33601" s="11"/>
      <c r="S33601" s="11"/>
      <c r="T33601" s="11"/>
    </row>
    <row r="33602" spans="8:20" x14ac:dyDescent="0.35">
      <c r="H33602" s="711"/>
      <c r="I33602" s="711"/>
      <c r="J33602" s="711"/>
      <c r="K33602" s="711"/>
      <c r="L33602" s="711"/>
      <c r="Q33602" s="11"/>
      <c r="R33602" s="11"/>
      <c r="S33602" s="11"/>
      <c r="T33602" s="11"/>
    </row>
    <row r="33603" spans="8:20" x14ac:dyDescent="0.35">
      <c r="H33603" s="711"/>
      <c r="I33603" s="711"/>
      <c r="J33603" s="711"/>
      <c r="K33603" s="711"/>
      <c r="L33603" s="711"/>
      <c r="Q33603" s="11"/>
      <c r="R33603" s="11"/>
      <c r="S33603" s="11"/>
      <c r="T33603" s="11"/>
    </row>
    <row r="33604" spans="8:20" x14ac:dyDescent="0.35">
      <c r="H33604" s="711"/>
      <c r="I33604" s="711"/>
      <c r="J33604" s="711"/>
      <c r="K33604" s="711"/>
      <c r="L33604" s="711"/>
      <c r="Q33604" s="11"/>
      <c r="R33604" s="11"/>
      <c r="S33604" s="11"/>
      <c r="T33604" s="11"/>
    </row>
    <row r="33605" spans="8:20" x14ac:dyDescent="0.35">
      <c r="H33605" s="711"/>
      <c r="I33605" s="711"/>
      <c r="J33605" s="711"/>
      <c r="K33605" s="711"/>
      <c r="L33605" s="711"/>
      <c r="Q33605" s="11"/>
      <c r="R33605" s="11"/>
      <c r="S33605" s="11"/>
      <c r="T33605" s="11"/>
    </row>
    <row r="33606" spans="8:20" x14ac:dyDescent="0.35">
      <c r="H33606" s="711"/>
      <c r="I33606" s="711"/>
      <c r="J33606" s="711"/>
      <c r="K33606" s="711"/>
      <c r="L33606" s="711"/>
      <c r="Q33606" s="11"/>
      <c r="R33606" s="11"/>
      <c r="S33606" s="11"/>
      <c r="T33606" s="11"/>
    </row>
    <row r="33607" spans="8:20" x14ac:dyDescent="0.35">
      <c r="H33607" s="711"/>
      <c r="I33607" s="711"/>
      <c r="J33607" s="711"/>
      <c r="K33607" s="711"/>
      <c r="L33607" s="711"/>
      <c r="Q33607" s="11"/>
      <c r="R33607" s="11"/>
      <c r="S33607" s="11"/>
      <c r="T33607" s="11"/>
    </row>
    <row r="33608" spans="8:20" x14ac:dyDescent="0.35">
      <c r="H33608" s="711"/>
      <c r="I33608" s="711"/>
      <c r="J33608" s="711"/>
      <c r="K33608" s="711"/>
      <c r="L33608" s="711"/>
      <c r="Q33608" s="11"/>
      <c r="R33608" s="11"/>
      <c r="S33608" s="11"/>
      <c r="T33608" s="11"/>
    </row>
    <row r="33609" spans="8:20" x14ac:dyDescent="0.35">
      <c r="H33609" s="711"/>
      <c r="I33609" s="711"/>
      <c r="J33609" s="711"/>
      <c r="K33609" s="711"/>
      <c r="L33609" s="711"/>
      <c r="Q33609" s="11"/>
      <c r="R33609" s="11"/>
      <c r="S33609" s="11"/>
      <c r="T33609" s="11"/>
    </row>
    <row r="33610" spans="8:20" x14ac:dyDescent="0.35">
      <c r="H33610" s="711"/>
      <c r="I33610" s="711"/>
      <c r="J33610" s="711"/>
      <c r="K33610" s="711"/>
      <c r="L33610" s="711"/>
      <c r="Q33610" s="11"/>
      <c r="R33610" s="11"/>
      <c r="S33610" s="11"/>
      <c r="T33610" s="11"/>
    </row>
    <row r="33611" spans="8:20" x14ac:dyDescent="0.35">
      <c r="H33611" s="711"/>
      <c r="I33611" s="711"/>
      <c r="J33611" s="711"/>
      <c r="K33611" s="711"/>
      <c r="L33611" s="711"/>
      <c r="Q33611" s="11"/>
      <c r="R33611" s="11"/>
      <c r="S33611" s="11"/>
      <c r="T33611" s="11"/>
    </row>
    <row r="33612" spans="8:20" x14ac:dyDescent="0.35">
      <c r="H33612" s="711"/>
      <c r="I33612" s="711"/>
      <c r="J33612" s="711"/>
      <c r="K33612" s="711"/>
      <c r="L33612" s="711"/>
      <c r="Q33612" s="11"/>
      <c r="R33612" s="11"/>
      <c r="S33612" s="11"/>
      <c r="T33612" s="11"/>
    </row>
    <row r="33613" spans="8:20" x14ac:dyDescent="0.35">
      <c r="H33613" s="711"/>
      <c r="I33613" s="711"/>
      <c r="J33613" s="711"/>
      <c r="K33613" s="711"/>
      <c r="L33613" s="711"/>
      <c r="Q33613" s="11"/>
      <c r="R33613" s="11"/>
      <c r="S33613" s="11"/>
      <c r="T33613" s="11"/>
    </row>
    <row r="33614" spans="8:20" x14ac:dyDescent="0.35">
      <c r="H33614" s="711"/>
      <c r="I33614" s="711"/>
      <c r="J33614" s="711"/>
      <c r="K33614" s="711"/>
      <c r="L33614" s="711"/>
      <c r="Q33614" s="11"/>
      <c r="R33614" s="11"/>
      <c r="S33614" s="11"/>
      <c r="T33614" s="11"/>
    </row>
    <row r="33615" spans="8:20" x14ac:dyDescent="0.35">
      <c r="H33615" s="711"/>
      <c r="I33615" s="711"/>
      <c r="J33615" s="711"/>
      <c r="K33615" s="711"/>
      <c r="L33615" s="711"/>
      <c r="Q33615" s="11"/>
      <c r="R33615" s="11"/>
      <c r="S33615" s="11"/>
      <c r="T33615" s="11"/>
    </row>
    <row r="33616" spans="8:20" x14ac:dyDescent="0.35">
      <c r="H33616" s="711"/>
      <c r="I33616" s="711"/>
      <c r="J33616" s="711"/>
      <c r="K33616" s="711"/>
      <c r="L33616" s="711"/>
      <c r="Q33616" s="11"/>
      <c r="R33616" s="11"/>
      <c r="S33616" s="11"/>
      <c r="T33616" s="11"/>
    </row>
    <row r="33617" spans="8:20" x14ac:dyDescent="0.35">
      <c r="H33617" s="711"/>
      <c r="I33617" s="711"/>
      <c r="J33617" s="711"/>
      <c r="K33617" s="711"/>
      <c r="L33617" s="711"/>
      <c r="Q33617" s="11"/>
      <c r="R33617" s="11"/>
      <c r="S33617" s="11"/>
      <c r="T33617" s="11"/>
    </row>
    <row r="33618" spans="8:20" x14ac:dyDescent="0.35">
      <c r="H33618" s="711"/>
      <c r="I33618" s="711"/>
      <c r="J33618" s="711"/>
      <c r="K33618" s="711"/>
      <c r="L33618" s="711"/>
      <c r="Q33618" s="11"/>
      <c r="R33618" s="11"/>
      <c r="S33618" s="11"/>
      <c r="T33618" s="11"/>
    </row>
    <row r="33619" spans="8:20" x14ac:dyDescent="0.35">
      <c r="H33619" s="711"/>
      <c r="I33619" s="711"/>
      <c r="J33619" s="711"/>
      <c r="K33619" s="711"/>
      <c r="L33619" s="711"/>
      <c r="Q33619" s="11"/>
      <c r="R33619" s="11"/>
      <c r="S33619" s="11"/>
      <c r="T33619" s="11"/>
    </row>
    <row r="33620" spans="8:20" x14ac:dyDescent="0.35">
      <c r="H33620" s="711"/>
      <c r="I33620" s="711"/>
      <c r="J33620" s="711"/>
      <c r="K33620" s="711"/>
      <c r="L33620" s="711"/>
      <c r="Q33620" s="11"/>
      <c r="R33620" s="11"/>
      <c r="S33620" s="11"/>
      <c r="T33620" s="11"/>
    </row>
    <row r="33621" spans="8:20" x14ac:dyDescent="0.35">
      <c r="H33621" s="711"/>
      <c r="I33621" s="711"/>
      <c r="J33621" s="711"/>
      <c r="K33621" s="711"/>
      <c r="L33621" s="711"/>
      <c r="Q33621" s="11"/>
      <c r="R33621" s="11"/>
      <c r="S33621" s="11"/>
      <c r="T33621" s="11"/>
    </row>
    <row r="33622" spans="8:20" x14ac:dyDescent="0.35">
      <c r="H33622" s="711"/>
      <c r="I33622" s="711"/>
      <c r="J33622" s="711"/>
      <c r="K33622" s="711"/>
      <c r="L33622" s="711"/>
      <c r="Q33622" s="11"/>
      <c r="R33622" s="11"/>
      <c r="S33622" s="11"/>
      <c r="T33622" s="11"/>
    </row>
    <row r="33623" spans="8:20" x14ac:dyDescent="0.35">
      <c r="H33623" s="711"/>
      <c r="I33623" s="711"/>
      <c r="J33623" s="711"/>
      <c r="K33623" s="711"/>
      <c r="L33623" s="711"/>
      <c r="Q33623" s="11"/>
      <c r="R33623" s="11"/>
      <c r="S33623" s="11"/>
      <c r="T33623" s="11"/>
    </row>
    <row r="33624" spans="8:20" x14ac:dyDescent="0.35">
      <c r="H33624" s="711"/>
      <c r="I33624" s="711"/>
      <c r="J33624" s="711"/>
      <c r="K33624" s="711"/>
      <c r="L33624" s="711"/>
      <c r="Q33624" s="11"/>
      <c r="R33624" s="11"/>
      <c r="S33624" s="11"/>
      <c r="T33624" s="11"/>
    </row>
    <row r="33625" spans="8:20" x14ac:dyDescent="0.35">
      <c r="H33625" s="711"/>
      <c r="I33625" s="711"/>
      <c r="J33625" s="711"/>
      <c r="K33625" s="711"/>
      <c r="L33625" s="711"/>
      <c r="Q33625" s="11"/>
      <c r="R33625" s="11"/>
      <c r="S33625" s="11"/>
      <c r="T33625" s="11"/>
    </row>
    <row r="33626" spans="8:20" x14ac:dyDescent="0.35">
      <c r="H33626" s="711"/>
      <c r="I33626" s="711"/>
      <c r="J33626" s="711"/>
      <c r="K33626" s="711"/>
      <c r="L33626" s="711"/>
      <c r="Q33626" s="11"/>
      <c r="R33626" s="11"/>
      <c r="S33626" s="11"/>
      <c r="T33626" s="11"/>
    </row>
    <row r="33627" spans="8:20" x14ac:dyDescent="0.35">
      <c r="H33627" s="711"/>
      <c r="I33627" s="711"/>
      <c r="J33627" s="711"/>
      <c r="K33627" s="711"/>
      <c r="L33627" s="711"/>
      <c r="Q33627" s="11"/>
      <c r="R33627" s="11"/>
      <c r="S33627" s="11"/>
      <c r="T33627" s="11"/>
    </row>
    <row r="33628" spans="8:20" x14ac:dyDescent="0.35">
      <c r="H33628" s="711"/>
      <c r="I33628" s="711"/>
      <c r="J33628" s="711"/>
      <c r="K33628" s="711"/>
      <c r="L33628" s="711"/>
      <c r="Q33628" s="11"/>
      <c r="R33628" s="11"/>
      <c r="S33628" s="11"/>
      <c r="T33628" s="11"/>
    </row>
    <row r="33629" spans="8:20" x14ac:dyDescent="0.35">
      <c r="H33629" s="711"/>
      <c r="I33629" s="711"/>
      <c r="J33629" s="711"/>
      <c r="K33629" s="711"/>
      <c r="L33629" s="711"/>
      <c r="Q33629" s="11"/>
      <c r="R33629" s="11"/>
      <c r="S33629" s="11"/>
      <c r="T33629" s="11"/>
    </row>
    <row r="33630" spans="8:20" x14ac:dyDescent="0.35">
      <c r="H33630" s="711"/>
      <c r="I33630" s="711"/>
      <c r="J33630" s="711"/>
      <c r="K33630" s="711"/>
      <c r="L33630" s="711"/>
      <c r="Q33630" s="11"/>
      <c r="R33630" s="11"/>
      <c r="S33630" s="11"/>
      <c r="T33630" s="11"/>
    </row>
    <row r="33631" spans="8:20" x14ac:dyDescent="0.35">
      <c r="H33631" s="711"/>
      <c r="I33631" s="711"/>
      <c r="J33631" s="711"/>
      <c r="K33631" s="711"/>
      <c r="L33631" s="711"/>
      <c r="Q33631" s="11"/>
      <c r="R33631" s="11"/>
      <c r="S33631" s="11"/>
      <c r="T33631" s="11"/>
    </row>
    <row r="33632" spans="8:20" x14ac:dyDescent="0.35">
      <c r="H33632" s="711"/>
      <c r="I33632" s="711"/>
      <c r="J33632" s="711"/>
      <c r="K33632" s="711"/>
      <c r="L33632" s="711"/>
      <c r="Q33632" s="11"/>
      <c r="R33632" s="11"/>
      <c r="S33632" s="11"/>
      <c r="T33632" s="11"/>
    </row>
    <row r="33633" spans="8:20" x14ac:dyDescent="0.35">
      <c r="H33633" s="711"/>
      <c r="I33633" s="711"/>
      <c r="J33633" s="711"/>
      <c r="K33633" s="711"/>
      <c r="L33633" s="711"/>
      <c r="Q33633" s="11"/>
      <c r="R33633" s="11"/>
      <c r="S33633" s="11"/>
      <c r="T33633" s="11"/>
    </row>
    <row r="33634" spans="8:20" x14ac:dyDescent="0.35">
      <c r="H33634" s="711"/>
      <c r="I33634" s="711"/>
      <c r="J33634" s="711"/>
      <c r="K33634" s="711"/>
      <c r="L33634" s="711"/>
      <c r="Q33634" s="11"/>
      <c r="R33634" s="11"/>
      <c r="S33634" s="11"/>
      <c r="T33634" s="11"/>
    </row>
    <row r="33635" spans="8:20" x14ac:dyDescent="0.35">
      <c r="H33635" s="711"/>
      <c r="I33635" s="711"/>
      <c r="J33635" s="711"/>
      <c r="K33635" s="711"/>
      <c r="L33635" s="711"/>
      <c r="Q33635" s="11"/>
      <c r="R33635" s="11"/>
      <c r="S33635" s="11"/>
      <c r="T33635" s="11"/>
    </row>
    <row r="33636" spans="8:20" x14ac:dyDescent="0.35">
      <c r="H33636" s="711"/>
      <c r="I33636" s="711"/>
      <c r="J33636" s="711"/>
      <c r="K33636" s="711"/>
      <c r="L33636" s="711"/>
      <c r="Q33636" s="11"/>
      <c r="R33636" s="11"/>
      <c r="S33636" s="11"/>
      <c r="T33636" s="11"/>
    </row>
    <row r="33637" spans="8:20" x14ac:dyDescent="0.35">
      <c r="H33637" s="711"/>
      <c r="I33637" s="711"/>
      <c r="J33637" s="711"/>
      <c r="K33637" s="711"/>
      <c r="L33637" s="711"/>
      <c r="Q33637" s="11"/>
      <c r="R33637" s="11"/>
      <c r="S33637" s="11"/>
      <c r="T33637" s="11"/>
    </row>
    <row r="33638" spans="8:20" x14ac:dyDescent="0.35">
      <c r="H33638" s="711"/>
      <c r="I33638" s="711"/>
      <c r="J33638" s="711"/>
      <c r="K33638" s="711"/>
      <c r="L33638" s="711"/>
      <c r="Q33638" s="11"/>
      <c r="R33638" s="11"/>
      <c r="S33638" s="11"/>
      <c r="T33638" s="11"/>
    </row>
    <row r="33639" spans="8:20" x14ac:dyDescent="0.35">
      <c r="H33639" s="711"/>
      <c r="I33639" s="711"/>
      <c r="J33639" s="711"/>
      <c r="K33639" s="711"/>
      <c r="L33639" s="711"/>
      <c r="Q33639" s="11"/>
      <c r="R33639" s="11"/>
      <c r="S33639" s="11"/>
      <c r="T33639" s="11"/>
    </row>
    <row r="33640" spans="8:20" x14ac:dyDescent="0.35">
      <c r="H33640" s="711"/>
      <c r="I33640" s="711"/>
      <c r="J33640" s="711"/>
      <c r="K33640" s="711"/>
      <c r="L33640" s="711"/>
      <c r="Q33640" s="11"/>
      <c r="R33640" s="11"/>
      <c r="S33640" s="11"/>
      <c r="T33640" s="11"/>
    </row>
    <row r="33641" spans="8:20" x14ac:dyDescent="0.35">
      <c r="H33641" s="711"/>
      <c r="I33641" s="711"/>
      <c r="J33641" s="711"/>
      <c r="K33641" s="711"/>
      <c r="L33641" s="711"/>
      <c r="Q33641" s="11"/>
      <c r="R33641" s="11"/>
      <c r="S33641" s="11"/>
      <c r="T33641" s="11"/>
    </row>
    <row r="33642" spans="8:20" x14ac:dyDescent="0.35">
      <c r="H33642" s="711"/>
      <c r="I33642" s="711"/>
      <c r="J33642" s="711"/>
      <c r="K33642" s="711"/>
      <c r="L33642" s="711"/>
      <c r="Q33642" s="11"/>
      <c r="R33642" s="11"/>
      <c r="S33642" s="11"/>
      <c r="T33642" s="11"/>
    </row>
    <row r="33643" spans="8:20" x14ac:dyDescent="0.35">
      <c r="H33643" s="711"/>
      <c r="I33643" s="711"/>
      <c r="J33643" s="711"/>
      <c r="K33643" s="711"/>
      <c r="L33643" s="711"/>
      <c r="Q33643" s="11"/>
      <c r="R33643" s="11"/>
      <c r="S33643" s="11"/>
      <c r="T33643" s="11"/>
    </row>
    <row r="33644" spans="8:20" x14ac:dyDescent="0.35">
      <c r="H33644" s="711"/>
      <c r="I33644" s="711"/>
      <c r="J33644" s="711"/>
      <c r="K33644" s="711"/>
      <c r="L33644" s="711"/>
      <c r="Q33644" s="11"/>
      <c r="R33644" s="11"/>
      <c r="S33644" s="11"/>
      <c r="T33644" s="11"/>
    </row>
    <row r="33645" spans="8:20" x14ac:dyDescent="0.35">
      <c r="H33645" s="711"/>
      <c r="I33645" s="711"/>
      <c r="J33645" s="711"/>
      <c r="K33645" s="711"/>
      <c r="L33645" s="711"/>
      <c r="Q33645" s="11"/>
      <c r="R33645" s="11"/>
      <c r="S33645" s="11"/>
      <c r="T33645" s="11"/>
    </row>
    <row r="33646" spans="8:20" x14ac:dyDescent="0.35">
      <c r="H33646" s="711"/>
      <c r="I33646" s="711"/>
      <c r="J33646" s="711"/>
      <c r="K33646" s="711"/>
      <c r="L33646" s="711"/>
      <c r="Q33646" s="11"/>
      <c r="R33646" s="11"/>
      <c r="S33646" s="11"/>
      <c r="T33646" s="11"/>
    </row>
    <row r="33647" spans="8:20" x14ac:dyDescent="0.35">
      <c r="H33647" s="711"/>
      <c r="I33647" s="711"/>
      <c r="J33647" s="711"/>
      <c r="K33647" s="711"/>
      <c r="L33647" s="711"/>
      <c r="Q33647" s="11"/>
      <c r="R33647" s="11"/>
      <c r="S33647" s="11"/>
      <c r="T33647" s="11"/>
    </row>
    <row r="33648" spans="8:20" x14ac:dyDescent="0.35">
      <c r="H33648" s="711"/>
      <c r="I33648" s="711"/>
      <c r="J33648" s="711"/>
      <c r="K33648" s="711"/>
      <c r="L33648" s="711"/>
      <c r="Q33648" s="11"/>
      <c r="R33648" s="11"/>
      <c r="S33648" s="11"/>
      <c r="T33648" s="11"/>
    </row>
    <row r="33649" spans="8:20" x14ac:dyDescent="0.35">
      <c r="H33649" s="711"/>
      <c r="I33649" s="711"/>
      <c r="J33649" s="711"/>
      <c r="K33649" s="711"/>
      <c r="L33649" s="711"/>
      <c r="Q33649" s="11"/>
      <c r="R33649" s="11"/>
      <c r="S33649" s="11"/>
      <c r="T33649" s="11"/>
    </row>
    <row r="33650" spans="8:20" x14ac:dyDescent="0.35">
      <c r="H33650" s="711"/>
      <c r="I33650" s="711"/>
      <c r="J33650" s="711"/>
      <c r="K33650" s="711"/>
      <c r="L33650" s="711"/>
      <c r="Q33650" s="11"/>
      <c r="R33650" s="11"/>
      <c r="S33650" s="11"/>
      <c r="T33650" s="11"/>
    </row>
    <row r="33651" spans="8:20" x14ac:dyDescent="0.35">
      <c r="H33651" s="711"/>
      <c r="I33651" s="711"/>
      <c r="J33651" s="711"/>
      <c r="K33651" s="711"/>
      <c r="L33651" s="711"/>
      <c r="Q33651" s="11"/>
      <c r="R33651" s="11"/>
      <c r="S33651" s="11"/>
      <c r="T33651" s="11"/>
    </row>
    <row r="33652" spans="8:20" x14ac:dyDescent="0.35">
      <c r="H33652" s="711"/>
      <c r="I33652" s="711"/>
      <c r="J33652" s="711"/>
      <c r="K33652" s="711"/>
      <c r="L33652" s="711"/>
      <c r="Q33652" s="11"/>
      <c r="R33652" s="11"/>
      <c r="S33652" s="11"/>
      <c r="T33652" s="11"/>
    </row>
    <row r="33653" spans="8:20" x14ac:dyDescent="0.35">
      <c r="H33653" s="711"/>
      <c r="I33653" s="711"/>
      <c r="J33653" s="711"/>
      <c r="K33653" s="711"/>
      <c r="L33653" s="711"/>
      <c r="Q33653" s="11"/>
      <c r="R33653" s="11"/>
      <c r="S33653" s="11"/>
      <c r="T33653" s="11"/>
    </row>
    <row r="33654" spans="8:20" x14ac:dyDescent="0.35">
      <c r="H33654" s="711"/>
      <c r="I33654" s="711"/>
      <c r="J33654" s="711"/>
      <c r="K33654" s="711"/>
      <c r="L33654" s="711"/>
      <c r="Q33654" s="11"/>
      <c r="R33654" s="11"/>
      <c r="S33654" s="11"/>
      <c r="T33654" s="11"/>
    </row>
    <row r="33655" spans="8:20" x14ac:dyDescent="0.35">
      <c r="H33655" s="711"/>
      <c r="I33655" s="711"/>
      <c r="J33655" s="711"/>
      <c r="K33655" s="711"/>
      <c r="L33655" s="711"/>
      <c r="Q33655" s="11"/>
      <c r="R33655" s="11"/>
      <c r="S33655" s="11"/>
      <c r="T33655" s="11"/>
    </row>
    <row r="33656" spans="8:20" x14ac:dyDescent="0.35">
      <c r="H33656" s="711"/>
      <c r="I33656" s="711"/>
      <c r="J33656" s="711"/>
      <c r="K33656" s="711"/>
      <c r="L33656" s="711"/>
      <c r="Q33656" s="11"/>
      <c r="R33656" s="11"/>
      <c r="S33656" s="11"/>
      <c r="T33656" s="11"/>
    </row>
    <row r="33657" spans="8:20" x14ac:dyDescent="0.35">
      <c r="H33657" s="711"/>
      <c r="I33657" s="711"/>
      <c r="J33657" s="711"/>
      <c r="K33657" s="711"/>
      <c r="L33657" s="711"/>
      <c r="Q33657" s="11"/>
      <c r="R33657" s="11"/>
      <c r="S33657" s="11"/>
      <c r="T33657" s="11"/>
    </row>
    <row r="33658" spans="8:20" x14ac:dyDescent="0.35">
      <c r="H33658" s="711"/>
      <c r="I33658" s="711"/>
      <c r="J33658" s="711"/>
      <c r="K33658" s="711"/>
      <c r="L33658" s="711"/>
      <c r="Q33658" s="11"/>
      <c r="R33658" s="11"/>
      <c r="S33658" s="11"/>
      <c r="T33658" s="11"/>
    </row>
    <row r="33659" spans="8:20" x14ac:dyDescent="0.35">
      <c r="H33659" s="711"/>
      <c r="I33659" s="711"/>
      <c r="J33659" s="711"/>
      <c r="K33659" s="711"/>
      <c r="L33659" s="711"/>
      <c r="Q33659" s="11"/>
      <c r="R33659" s="11"/>
      <c r="S33659" s="11"/>
      <c r="T33659" s="11"/>
    </row>
    <row r="33660" spans="8:20" x14ac:dyDescent="0.35">
      <c r="H33660" s="711"/>
      <c r="I33660" s="711"/>
      <c r="J33660" s="711"/>
      <c r="K33660" s="711"/>
      <c r="L33660" s="711"/>
      <c r="Q33660" s="11"/>
      <c r="R33660" s="11"/>
      <c r="S33660" s="11"/>
      <c r="T33660" s="11"/>
    </row>
    <row r="33661" spans="8:20" x14ac:dyDescent="0.35">
      <c r="H33661" s="711"/>
      <c r="I33661" s="711"/>
      <c r="J33661" s="711"/>
      <c r="K33661" s="711"/>
      <c r="L33661" s="711"/>
      <c r="Q33661" s="11"/>
      <c r="R33661" s="11"/>
      <c r="S33661" s="11"/>
      <c r="T33661" s="11"/>
    </row>
    <row r="33662" spans="8:20" x14ac:dyDescent="0.35">
      <c r="H33662" s="711"/>
      <c r="I33662" s="711"/>
      <c r="J33662" s="711"/>
      <c r="K33662" s="711"/>
      <c r="L33662" s="711"/>
      <c r="Q33662" s="11"/>
      <c r="R33662" s="11"/>
      <c r="S33662" s="11"/>
      <c r="T33662" s="11"/>
    </row>
    <row r="33663" spans="8:20" x14ac:dyDescent="0.35">
      <c r="H33663" s="711"/>
      <c r="I33663" s="711"/>
      <c r="J33663" s="711"/>
      <c r="K33663" s="711"/>
      <c r="L33663" s="711"/>
      <c r="Q33663" s="11"/>
      <c r="R33663" s="11"/>
      <c r="S33663" s="11"/>
      <c r="T33663" s="11"/>
    </row>
    <row r="33664" spans="8:20" x14ac:dyDescent="0.35">
      <c r="H33664" s="711"/>
      <c r="I33664" s="711"/>
      <c r="J33664" s="711"/>
      <c r="K33664" s="711"/>
      <c r="L33664" s="711"/>
      <c r="Q33664" s="11"/>
      <c r="R33664" s="11"/>
      <c r="S33664" s="11"/>
      <c r="T33664" s="11"/>
    </row>
    <row r="33665" spans="8:20" x14ac:dyDescent="0.35">
      <c r="H33665" s="711"/>
      <c r="I33665" s="711"/>
      <c r="J33665" s="711"/>
      <c r="K33665" s="711"/>
      <c r="L33665" s="711"/>
      <c r="Q33665" s="11"/>
      <c r="R33665" s="11"/>
      <c r="S33665" s="11"/>
      <c r="T33665" s="11"/>
    </row>
    <row r="33666" spans="8:20" x14ac:dyDescent="0.35">
      <c r="H33666" s="711"/>
      <c r="I33666" s="711"/>
      <c r="J33666" s="711"/>
      <c r="K33666" s="711"/>
      <c r="L33666" s="711"/>
      <c r="Q33666" s="11"/>
      <c r="R33666" s="11"/>
      <c r="S33666" s="11"/>
      <c r="T33666" s="11"/>
    </row>
    <row r="33667" spans="8:20" x14ac:dyDescent="0.35">
      <c r="H33667" s="711"/>
      <c r="I33667" s="711"/>
      <c r="J33667" s="711"/>
      <c r="K33667" s="711"/>
      <c r="L33667" s="711"/>
      <c r="Q33667" s="11"/>
      <c r="R33667" s="11"/>
      <c r="S33667" s="11"/>
      <c r="T33667" s="11"/>
    </row>
    <row r="33668" spans="8:20" x14ac:dyDescent="0.35">
      <c r="H33668" s="711"/>
      <c r="I33668" s="711"/>
      <c r="J33668" s="711"/>
      <c r="K33668" s="711"/>
      <c r="L33668" s="711"/>
      <c r="Q33668" s="11"/>
      <c r="R33668" s="11"/>
      <c r="S33668" s="11"/>
      <c r="T33668" s="11"/>
    </row>
    <row r="33669" spans="8:20" x14ac:dyDescent="0.35">
      <c r="H33669" s="711"/>
      <c r="I33669" s="711"/>
      <c r="J33669" s="711"/>
      <c r="K33669" s="711"/>
      <c r="L33669" s="711"/>
      <c r="Q33669" s="11"/>
      <c r="R33669" s="11"/>
      <c r="S33669" s="11"/>
      <c r="T33669" s="11"/>
    </row>
    <row r="33670" spans="8:20" x14ac:dyDescent="0.35">
      <c r="H33670" s="711"/>
      <c r="I33670" s="711"/>
      <c r="J33670" s="711"/>
      <c r="K33670" s="711"/>
      <c r="L33670" s="711"/>
      <c r="Q33670" s="11"/>
      <c r="R33670" s="11"/>
      <c r="S33670" s="11"/>
      <c r="T33670" s="11"/>
    </row>
    <row r="33671" spans="8:20" x14ac:dyDescent="0.35">
      <c r="H33671" s="711"/>
      <c r="I33671" s="711"/>
      <c r="J33671" s="711"/>
      <c r="K33671" s="711"/>
      <c r="L33671" s="711"/>
      <c r="Q33671" s="11"/>
      <c r="R33671" s="11"/>
      <c r="S33671" s="11"/>
      <c r="T33671" s="11"/>
    </row>
    <row r="33672" spans="8:20" x14ac:dyDescent="0.35">
      <c r="H33672" s="711"/>
      <c r="I33672" s="711"/>
      <c r="J33672" s="711"/>
      <c r="K33672" s="711"/>
      <c r="L33672" s="711"/>
      <c r="Q33672" s="11"/>
      <c r="R33672" s="11"/>
      <c r="S33672" s="11"/>
      <c r="T33672" s="11"/>
    </row>
    <row r="33673" spans="8:20" x14ac:dyDescent="0.35">
      <c r="H33673" s="711"/>
      <c r="I33673" s="711"/>
      <c r="J33673" s="711"/>
      <c r="K33673" s="711"/>
      <c r="L33673" s="711"/>
      <c r="Q33673" s="11"/>
      <c r="R33673" s="11"/>
      <c r="S33673" s="11"/>
      <c r="T33673" s="11"/>
    </row>
    <row r="33674" spans="8:20" x14ac:dyDescent="0.35">
      <c r="H33674" s="711"/>
      <c r="I33674" s="711"/>
      <c r="J33674" s="711"/>
      <c r="K33674" s="711"/>
      <c r="L33674" s="711"/>
      <c r="Q33674" s="11"/>
      <c r="R33674" s="11"/>
      <c r="S33674" s="11"/>
      <c r="T33674" s="11"/>
    </row>
    <row r="33675" spans="8:20" x14ac:dyDescent="0.35">
      <c r="H33675" s="711"/>
      <c r="I33675" s="711"/>
      <c r="J33675" s="711"/>
      <c r="K33675" s="711"/>
      <c r="L33675" s="711"/>
      <c r="Q33675" s="11"/>
      <c r="R33675" s="11"/>
      <c r="S33675" s="11"/>
      <c r="T33675" s="11"/>
    </row>
    <row r="33676" spans="8:20" x14ac:dyDescent="0.35">
      <c r="H33676" s="711"/>
      <c r="I33676" s="711"/>
      <c r="J33676" s="711"/>
      <c r="K33676" s="711"/>
      <c r="L33676" s="711"/>
      <c r="Q33676" s="11"/>
      <c r="R33676" s="11"/>
      <c r="S33676" s="11"/>
      <c r="T33676" s="11"/>
    </row>
    <row r="33677" spans="8:20" x14ac:dyDescent="0.35">
      <c r="H33677" s="711"/>
      <c r="I33677" s="711"/>
      <c r="J33677" s="711"/>
      <c r="K33677" s="711"/>
      <c r="L33677" s="711"/>
      <c r="Q33677" s="11"/>
      <c r="R33677" s="11"/>
      <c r="S33677" s="11"/>
      <c r="T33677" s="11"/>
    </row>
    <row r="33678" spans="8:20" x14ac:dyDescent="0.35">
      <c r="H33678" s="711"/>
      <c r="I33678" s="711"/>
      <c r="J33678" s="711"/>
      <c r="K33678" s="711"/>
      <c r="L33678" s="711"/>
      <c r="Q33678" s="11"/>
      <c r="R33678" s="11"/>
      <c r="S33678" s="11"/>
      <c r="T33678" s="11"/>
    </row>
    <row r="33679" spans="8:20" x14ac:dyDescent="0.35">
      <c r="H33679" s="711"/>
      <c r="I33679" s="711"/>
      <c r="J33679" s="711"/>
      <c r="K33679" s="711"/>
      <c r="L33679" s="711"/>
      <c r="Q33679" s="11"/>
      <c r="R33679" s="11"/>
      <c r="S33679" s="11"/>
      <c r="T33679" s="11"/>
    </row>
    <row r="33680" spans="8:20" x14ac:dyDescent="0.35">
      <c r="H33680" s="711"/>
      <c r="I33680" s="711"/>
      <c r="J33680" s="711"/>
      <c r="K33680" s="711"/>
      <c r="L33680" s="711"/>
      <c r="Q33680" s="11"/>
      <c r="R33680" s="11"/>
      <c r="S33680" s="11"/>
      <c r="T33680" s="11"/>
    </row>
    <row r="33681" spans="8:20" x14ac:dyDescent="0.35">
      <c r="H33681" s="711"/>
      <c r="I33681" s="711"/>
      <c r="J33681" s="711"/>
      <c r="K33681" s="711"/>
      <c r="L33681" s="711"/>
      <c r="Q33681" s="11"/>
      <c r="R33681" s="11"/>
      <c r="S33681" s="11"/>
      <c r="T33681" s="11"/>
    </row>
    <row r="33682" spans="8:20" x14ac:dyDescent="0.35">
      <c r="H33682" s="711"/>
      <c r="I33682" s="711"/>
      <c r="J33682" s="711"/>
      <c r="K33682" s="711"/>
      <c r="L33682" s="711"/>
      <c r="Q33682" s="11"/>
      <c r="R33682" s="11"/>
      <c r="S33682" s="11"/>
      <c r="T33682" s="11"/>
    </row>
    <row r="33683" spans="8:20" x14ac:dyDescent="0.35">
      <c r="H33683" s="711"/>
      <c r="I33683" s="711"/>
      <c r="J33683" s="711"/>
      <c r="K33683" s="711"/>
      <c r="L33683" s="711"/>
      <c r="Q33683" s="11"/>
      <c r="R33683" s="11"/>
      <c r="S33683" s="11"/>
      <c r="T33683" s="11"/>
    </row>
    <row r="33684" spans="8:20" x14ac:dyDescent="0.35">
      <c r="H33684" s="711"/>
      <c r="I33684" s="711"/>
      <c r="J33684" s="711"/>
      <c r="K33684" s="711"/>
      <c r="L33684" s="711"/>
      <c r="Q33684" s="11"/>
      <c r="R33684" s="11"/>
      <c r="S33684" s="11"/>
      <c r="T33684" s="11"/>
    </row>
    <row r="33685" spans="8:20" x14ac:dyDescent="0.35">
      <c r="H33685" s="711"/>
      <c r="I33685" s="711"/>
      <c r="J33685" s="711"/>
      <c r="K33685" s="711"/>
      <c r="L33685" s="711"/>
      <c r="Q33685" s="11"/>
      <c r="R33685" s="11"/>
      <c r="S33685" s="11"/>
      <c r="T33685" s="11"/>
    </row>
    <row r="33686" spans="8:20" x14ac:dyDescent="0.35">
      <c r="H33686" s="711"/>
      <c r="I33686" s="711"/>
      <c r="J33686" s="711"/>
      <c r="K33686" s="711"/>
      <c r="L33686" s="711"/>
      <c r="Q33686" s="11"/>
      <c r="R33686" s="11"/>
      <c r="S33686" s="11"/>
      <c r="T33686" s="11"/>
    </row>
    <row r="33687" spans="8:20" x14ac:dyDescent="0.35">
      <c r="H33687" s="711"/>
      <c r="I33687" s="711"/>
      <c r="J33687" s="711"/>
      <c r="K33687" s="711"/>
      <c r="L33687" s="711"/>
      <c r="Q33687" s="11"/>
      <c r="R33687" s="11"/>
      <c r="S33687" s="11"/>
      <c r="T33687" s="11"/>
    </row>
    <row r="33688" spans="8:20" x14ac:dyDescent="0.35">
      <c r="H33688" s="711"/>
      <c r="I33688" s="711"/>
      <c r="J33688" s="711"/>
      <c r="K33688" s="711"/>
      <c r="L33688" s="711"/>
      <c r="Q33688" s="11"/>
      <c r="R33688" s="11"/>
      <c r="S33688" s="11"/>
      <c r="T33688" s="11"/>
    </row>
    <row r="33689" spans="8:20" x14ac:dyDescent="0.35">
      <c r="H33689" s="711"/>
      <c r="I33689" s="711"/>
      <c r="J33689" s="711"/>
      <c r="K33689" s="711"/>
      <c r="L33689" s="711"/>
      <c r="Q33689" s="11"/>
      <c r="R33689" s="11"/>
      <c r="S33689" s="11"/>
      <c r="T33689" s="11"/>
    </row>
    <row r="33690" spans="8:20" x14ac:dyDescent="0.35">
      <c r="H33690" s="711"/>
      <c r="I33690" s="711"/>
      <c r="J33690" s="711"/>
      <c r="K33690" s="711"/>
      <c r="L33690" s="711"/>
      <c r="Q33690" s="11"/>
      <c r="R33690" s="11"/>
      <c r="S33690" s="11"/>
      <c r="T33690" s="11"/>
    </row>
    <row r="33691" spans="8:20" x14ac:dyDescent="0.35">
      <c r="H33691" s="711"/>
      <c r="I33691" s="711"/>
      <c r="J33691" s="711"/>
      <c r="K33691" s="711"/>
      <c r="L33691" s="711"/>
      <c r="Q33691" s="11"/>
      <c r="R33691" s="11"/>
      <c r="S33691" s="11"/>
      <c r="T33691" s="11"/>
    </row>
    <row r="33692" spans="8:20" x14ac:dyDescent="0.35">
      <c r="H33692" s="711"/>
      <c r="I33692" s="711"/>
      <c r="J33692" s="711"/>
      <c r="K33692" s="711"/>
      <c r="L33692" s="711"/>
      <c r="Q33692" s="11"/>
      <c r="R33692" s="11"/>
      <c r="S33692" s="11"/>
      <c r="T33692" s="11"/>
    </row>
    <row r="33693" spans="8:20" x14ac:dyDescent="0.35">
      <c r="H33693" s="711"/>
      <c r="I33693" s="711"/>
      <c r="J33693" s="711"/>
      <c r="K33693" s="711"/>
      <c r="L33693" s="711"/>
      <c r="Q33693" s="11"/>
      <c r="R33693" s="11"/>
      <c r="S33693" s="11"/>
      <c r="T33693" s="11"/>
    </row>
    <row r="33694" spans="8:20" x14ac:dyDescent="0.35">
      <c r="H33694" s="711"/>
      <c r="I33694" s="711"/>
      <c r="J33694" s="711"/>
      <c r="K33694" s="711"/>
      <c r="L33694" s="711"/>
      <c r="Q33694" s="11"/>
      <c r="R33694" s="11"/>
      <c r="S33694" s="11"/>
      <c r="T33694" s="11"/>
    </row>
    <row r="33695" spans="8:20" x14ac:dyDescent="0.35">
      <c r="H33695" s="711"/>
      <c r="I33695" s="711"/>
      <c r="J33695" s="711"/>
      <c r="K33695" s="711"/>
      <c r="L33695" s="711"/>
      <c r="Q33695" s="11"/>
      <c r="R33695" s="11"/>
      <c r="S33695" s="11"/>
      <c r="T33695" s="11"/>
    </row>
    <row r="33696" spans="8:20" x14ac:dyDescent="0.35">
      <c r="H33696" s="711"/>
      <c r="I33696" s="711"/>
      <c r="J33696" s="711"/>
      <c r="K33696" s="711"/>
      <c r="L33696" s="711"/>
      <c r="Q33696" s="11"/>
      <c r="R33696" s="11"/>
      <c r="S33696" s="11"/>
      <c r="T33696" s="11"/>
    </row>
    <row r="33697" spans="8:20" x14ac:dyDescent="0.35">
      <c r="H33697" s="711"/>
      <c r="I33697" s="711"/>
      <c r="J33697" s="711"/>
      <c r="K33697" s="711"/>
      <c r="L33697" s="711"/>
      <c r="Q33697" s="11"/>
      <c r="R33697" s="11"/>
      <c r="S33697" s="11"/>
      <c r="T33697" s="11"/>
    </row>
    <row r="33698" spans="8:20" x14ac:dyDescent="0.35">
      <c r="H33698" s="711"/>
      <c r="I33698" s="711"/>
      <c r="J33698" s="711"/>
      <c r="K33698" s="711"/>
      <c r="L33698" s="711"/>
      <c r="Q33698" s="11"/>
      <c r="R33698" s="11"/>
      <c r="S33698" s="11"/>
      <c r="T33698" s="11"/>
    </row>
    <row r="33699" spans="8:20" x14ac:dyDescent="0.35">
      <c r="H33699" s="711"/>
      <c r="I33699" s="711"/>
      <c r="J33699" s="711"/>
      <c r="K33699" s="711"/>
      <c r="L33699" s="711"/>
      <c r="Q33699" s="11"/>
      <c r="R33699" s="11"/>
      <c r="S33699" s="11"/>
      <c r="T33699" s="11"/>
    </row>
    <row r="33700" spans="8:20" x14ac:dyDescent="0.35">
      <c r="H33700" s="711"/>
      <c r="I33700" s="711"/>
      <c r="J33700" s="711"/>
      <c r="K33700" s="711"/>
      <c r="L33700" s="711"/>
      <c r="Q33700" s="11"/>
      <c r="R33700" s="11"/>
      <c r="S33700" s="11"/>
      <c r="T33700" s="11"/>
    </row>
    <row r="33701" spans="8:20" x14ac:dyDescent="0.35">
      <c r="H33701" s="711"/>
      <c r="I33701" s="711"/>
      <c r="J33701" s="711"/>
      <c r="K33701" s="711"/>
      <c r="L33701" s="711"/>
      <c r="Q33701" s="11"/>
      <c r="R33701" s="11"/>
      <c r="S33701" s="11"/>
      <c r="T33701" s="11"/>
    </row>
    <row r="33702" spans="8:20" x14ac:dyDescent="0.35">
      <c r="H33702" s="711"/>
      <c r="I33702" s="711"/>
      <c r="J33702" s="711"/>
      <c r="K33702" s="711"/>
      <c r="L33702" s="711"/>
      <c r="Q33702" s="11"/>
      <c r="R33702" s="11"/>
      <c r="S33702" s="11"/>
      <c r="T33702" s="11"/>
    </row>
    <row r="33703" spans="8:20" x14ac:dyDescent="0.35">
      <c r="H33703" s="711"/>
      <c r="I33703" s="711"/>
      <c r="J33703" s="711"/>
      <c r="K33703" s="711"/>
      <c r="L33703" s="711"/>
      <c r="Q33703" s="11"/>
      <c r="R33703" s="11"/>
      <c r="S33703" s="11"/>
      <c r="T33703" s="11"/>
    </row>
    <row r="33704" spans="8:20" x14ac:dyDescent="0.35">
      <c r="H33704" s="711"/>
      <c r="I33704" s="711"/>
      <c r="J33704" s="711"/>
      <c r="K33704" s="711"/>
      <c r="L33704" s="711"/>
      <c r="Q33704" s="11"/>
      <c r="R33704" s="11"/>
      <c r="S33704" s="11"/>
      <c r="T33704" s="11"/>
    </row>
    <row r="33705" spans="8:20" x14ac:dyDescent="0.35">
      <c r="H33705" s="711"/>
      <c r="I33705" s="711"/>
      <c r="J33705" s="711"/>
      <c r="K33705" s="711"/>
      <c r="L33705" s="711"/>
      <c r="Q33705" s="11"/>
      <c r="R33705" s="11"/>
      <c r="S33705" s="11"/>
      <c r="T33705" s="11"/>
    </row>
    <row r="33706" spans="8:20" x14ac:dyDescent="0.35">
      <c r="H33706" s="711"/>
      <c r="I33706" s="711"/>
      <c r="J33706" s="711"/>
      <c r="K33706" s="711"/>
      <c r="L33706" s="711"/>
      <c r="Q33706" s="11"/>
      <c r="R33706" s="11"/>
      <c r="S33706" s="11"/>
      <c r="T33706" s="11"/>
    </row>
    <row r="33707" spans="8:20" x14ac:dyDescent="0.35">
      <c r="H33707" s="711"/>
      <c r="I33707" s="711"/>
      <c r="J33707" s="711"/>
      <c r="K33707" s="711"/>
      <c r="L33707" s="711"/>
      <c r="Q33707" s="11"/>
      <c r="R33707" s="11"/>
      <c r="S33707" s="11"/>
      <c r="T33707" s="11"/>
    </row>
    <row r="33708" spans="8:20" x14ac:dyDescent="0.35">
      <c r="H33708" s="711"/>
      <c r="I33708" s="711"/>
      <c r="J33708" s="711"/>
      <c r="K33708" s="711"/>
      <c r="L33708" s="711"/>
      <c r="Q33708" s="11"/>
      <c r="R33708" s="11"/>
      <c r="S33708" s="11"/>
      <c r="T33708" s="11"/>
    </row>
    <row r="33709" spans="8:20" x14ac:dyDescent="0.35">
      <c r="H33709" s="711"/>
      <c r="I33709" s="711"/>
      <c r="J33709" s="711"/>
      <c r="K33709" s="711"/>
      <c r="L33709" s="711"/>
      <c r="Q33709" s="11"/>
      <c r="R33709" s="11"/>
      <c r="S33709" s="11"/>
      <c r="T33709" s="11"/>
    </row>
    <row r="33710" spans="8:20" x14ac:dyDescent="0.35">
      <c r="H33710" s="711"/>
      <c r="I33710" s="711"/>
      <c r="J33710" s="711"/>
      <c r="K33710" s="711"/>
      <c r="L33710" s="711"/>
      <c r="Q33710" s="11"/>
      <c r="R33710" s="11"/>
      <c r="S33710" s="11"/>
      <c r="T33710" s="11"/>
    </row>
    <row r="33711" spans="8:20" x14ac:dyDescent="0.35">
      <c r="H33711" s="711"/>
      <c r="I33711" s="711"/>
      <c r="J33711" s="711"/>
      <c r="K33711" s="711"/>
      <c r="L33711" s="711"/>
      <c r="Q33711" s="11"/>
      <c r="R33711" s="11"/>
      <c r="S33711" s="11"/>
      <c r="T33711" s="11"/>
    </row>
    <row r="33712" spans="8:20" x14ac:dyDescent="0.35">
      <c r="H33712" s="711"/>
      <c r="I33712" s="711"/>
      <c r="J33712" s="711"/>
      <c r="K33712" s="711"/>
      <c r="L33712" s="711"/>
      <c r="Q33712" s="11"/>
      <c r="R33712" s="11"/>
      <c r="S33712" s="11"/>
      <c r="T33712" s="11"/>
    </row>
    <row r="33713" spans="8:20" x14ac:dyDescent="0.35">
      <c r="H33713" s="711"/>
      <c r="I33713" s="711"/>
      <c r="J33713" s="711"/>
      <c r="K33713" s="711"/>
      <c r="L33713" s="711"/>
      <c r="Q33713" s="11"/>
      <c r="R33713" s="11"/>
      <c r="S33713" s="11"/>
      <c r="T33713" s="11"/>
    </row>
    <row r="33714" spans="8:20" x14ac:dyDescent="0.35">
      <c r="H33714" s="711"/>
      <c r="I33714" s="711"/>
      <c r="J33714" s="711"/>
      <c r="K33714" s="711"/>
      <c r="L33714" s="711"/>
      <c r="Q33714" s="11"/>
      <c r="R33714" s="11"/>
      <c r="S33714" s="11"/>
      <c r="T33714" s="11"/>
    </row>
    <row r="33715" spans="8:20" x14ac:dyDescent="0.35">
      <c r="H33715" s="711"/>
      <c r="I33715" s="711"/>
      <c r="J33715" s="711"/>
      <c r="K33715" s="711"/>
      <c r="L33715" s="711"/>
      <c r="Q33715" s="11"/>
      <c r="R33715" s="11"/>
      <c r="S33715" s="11"/>
      <c r="T33715" s="11"/>
    </row>
    <row r="33716" spans="8:20" x14ac:dyDescent="0.35">
      <c r="H33716" s="711"/>
      <c r="I33716" s="711"/>
      <c r="J33716" s="711"/>
      <c r="K33716" s="711"/>
      <c r="L33716" s="711"/>
      <c r="Q33716" s="11"/>
      <c r="R33716" s="11"/>
      <c r="S33716" s="11"/>
      <c r="T33716" s="11"/>
    </row>
    <row r="33717" spans="8:20" x14ac:dyDescent="0.35">
      <c r="H33717" s="711"/>
      <c r="I33717" s="711"/>
      <c r="J33717" s="711"/>
      <c r="K33717" s="711"/>
      <c r="L33717" s="711"/>
      <c r="Q33717" s="11"/>
      <c r="R33717" s="11"/>
      <c r="S33717" s="11"/>
      <c r="T33717" s="11"/>
    </row>
    <row r="33718" spans="8:20" x14ac:dyDescent="0.35">
      <c r="H33718" s="711"/>
      <c r="I33718" s="711"/>
      <c r="J33718" s="711"/>
      <c r="K33718" s="711"/>
      <c r="L33718" s="711"/>
      <c r="Q33718" s="11"/>
      <c r="R33718" s="11"/>
      <c r="S33718" s="11"/>
      <c r="T33718" s="11"/>
    </row>
    <row r="33719" spans="8:20" x14ac:dyDescent="0.35">
      <c r="H33719" s="711"/>
      <c r="I33719" s="711"/>
      <c r="J33719" s="711"/>
      <c r="K33719" s="711"/>
      <c r="L33719" s="711"/>
      <c r="Q33719" s="11"/>
      <c r="R33719" s="11"/>
      <c r="S33719" s="11"/>
      <c r="T33719" s="11"/>
    </row>
    <row r="33720" spans="8:20" x14ac:dyDescent="0.35">
      <c r="H33720" s="711"/>
      <c r="I33720" s="711"/>
      <c r="J33720" s="711"/>
      <c r="K33720" s="711"/>
      <c r="L33720" s="711"/>
      <c r="Q33720" s="11"/>
      <c r="R33720" s="11"/>
      <c r="S33720" s="11"/>
      <c r="T33720" s="11"/>
    </row>
    <row r="33721" spans="8:20" x14ac:dyDescent="0.35">
      <c r="H33721" s="711"/>
      <c r="I33721" s="711"/>
      <c r="J33721" s="711"/>
      <c r="K33721" s="711"/>
      <c r="L33721" s="711"/>
      <c r="Q33721" s="11"/>
      <c r="R33721" s="11"/>
      <c r="S33721" s="11"/>
      <c r="T33721" s="11"/>
    </row>
    <row r="33722" spans="8:20" x14ac:dyDescent="0.35">
      <c r="H33722" s="711"/>
      <c r="I33722" s="711"/>
      <c r="J33722" s="711"/>
      <c r="K33722" s="711"/>
      <c r="L33722" s="711"/>
      <c r="Q33722" s="11"/>
      <c r="R33722" s="11"/>
      <c r="S33722" s="11"/>
      <c r="T33722" s="11"/>
    </row>
    <row r="33723" spans="8:20" x14ac:dyDescent="0.35">
      <c r="H33723" s="711"/>
      <c r="I33723" s="711"/>
      <c r="J33723" s="711"/>
      <c r="K33723" s="711"/>
      <c r="L33723" s="711"/>
      <c r="Q33723" s="11"/>
      <c r="R33723" s="11"/>
      <c r="S33723" s="11"/>
      <c r="T33723" s="11"/>
    </row>
    <row r="33724" spans="8:20" x14ac:dyDescent="0.35">
      <c r="H33724" s="711"/>
      <c r="I33724" s="711"/>
      <c r="J33724" s="711"/>
      <c r="K33724" s="711"/>
      <c r="L33724" s="711"/>
      <c r="Q33724" s="11"/>
      <c r="R33724" s="11"/>
      <c r="S33724" s="11"/>
      <c r="T33724" s="11"/>
    </row>
    <row r="33725" spans="8:20" x14ac:dyDescent="0.35">
      <c r="H33725" s="711"/>
      <c r="I33725" s="711"/>
      <c r="J33725" s="711"/>
      <c r="K33725" s="711"/>
      <c r="L33725" s="711"/>
      <c r="Q33725" s="11"/>
      <c r="R33725" s="11"/>
      <c r="S33725" s="11"/>
      <c r="T33725" s="11"/>
    </row>
    <row r="33726" spans="8:20" x14ac:dyDescent="0.35">
      <c r="H33726" s="711"/>
      <c r="I33726" s="711"/>
      <c r="J33726" s="711"/>
      <c r="K33726" s="711"/>
      <c r="L33726" s="711"/>
      <c r="Q33726" s="11"/>
      <c r="R33726" s="11"/>
      <c r="S33726" s="11"/>
      <c r="T33726" s="11"/>
    </row>
    <row r="33727" spans="8:20" x14ac:dyDescent="0.35">
      <c r="H33727" s="711"/>
      <c r="I33727" s="711"/>
      <c r="J33727" s="711"/>
      <c r="K33727" s="711"/>
      <c r="L33727" s="711"/>
      <c r="Q33727" s="11"/>
      <c r="R33727" s="11"/>
      <c r="S33727" s="11"/>
      <c r="T33727" s="11"/>
    </row>
    <row r="33728" spans="8:20" x14ac:dyDescent="0.35">
      <c r="H33728" s="711"/>
      <c r="I33728" s="711"/>
      <c r="J33728" s="711"/>
      <c r="K33728" s="711"/>
      <c r="L33728" s="711"/>
      <c r="Q33728" s="11"/>
      <c r="R33728" s="11"/>
      <c r="S33728" s="11"/>
      <c r="T33728" s="11"/>
    </row>
    <row r="33729" spans="8:20" x14ac:dyDescent="0.35">
      <c r="H33729" s="711"/>
      <c r="I33729" s="711"/>
      <c r="J33729" s="711"/>
      <c r="K33729" s="711"/>
      <c r="L33729" s="711"/>
      <c r="Q33729" s="11"/>
      <c r="R33729" s="11"/>
      <c r="S33729" s="11"/>
      <c r="T33729" s="11"/>
    </row>
    <row r="33730" spans="8:20" x14ac:dyDescent="0.35">
      <c r="H33730" s="711"/>
      <c r="I33730" s="711"/>
      <c r="J33730" s="711"/>
      <c r="K33730" s="711"/>
      <c r="L33730" s="711"/>
      <c r="Q33730" s="11"/>
      <c r="R33730" s="11"/>
      <c r="S33730" s="11"/>
      <c r="T33730" s="11"/>
    </row>
    <row r="33731" spans="8:20" x14ac:dyDescent="0.35">
      <c r="H33731" s="711"/>
      <c r="I33731" s="711"/>
      <c r="J33731" s="711"/>
      <c r="K33731" s="711"/>
      <c r="L33731" s="711"/>
      <c r="Q33731" s="11"/>
      <c r="R33731" s="11"/>
      <c r="S33731" s="11"/>
      <c r="T33731" s="11"/>
    </row>
    <row r="33732" spans="8:20" x14ac:dyDescent="0.35">
      <c r="H33732" s="711"/>
      <c r="I33732" s="711"/>
      <c r="J33732" s="711"/>
      <c r="K33732" s="711"/>
      <c r="L33732" s="711"/>
      <c r="Q33732" s="11"/>
      <c r="R33732" s="11"/>
      <c r="S33732" s="11"/>
      <c r="T33732" s="11"/>
    </row>
    <row r="33733" spans="8:20" x14ac:dyDescent="0.35">
      <c r="H33733" s="711"/>
      <c r="I33733" s="711"/>
      <c r="J33733" s="711"/>
      <c r="K33733" s="711"/>
      <c r="L33733" s="711"/>
      <c r="Q33733" s="11"/>
      <c r="R33733" s="11"/>
      <c r="S33733" s="11"/>
      <c r="T33733" s="11"/>
    </row>
    <row r="33734" spans="8:20" x14ac:dyDescent="0.35">
      <c r="H33734" s="711"/>
      <c r="I33734" s="711"/>
      <c r="J33734" s="711"/>
      <c r="K33734" s="711"/>
      <c r="L33734" s="711"/>
      <c r="Q33734" s="11"/>
      <c r="R33734" s="11"/>
      <c r="S33734" s="11"/>
      <c r="T33734" s="11"/>
    </row>
    <row r="33735" spans="8:20" x14ac:dyDescent="0.35">
      <c r="H33735" s="711"/>
      <c r="I33735" s="711"/>
      <c r="J33735" s="711"/>
      <c r="K33735" s="711"/>
      <c r="L33735" s="711"/>
      <c r="Q33735" s="11"/>
      <c r="R33735" s="11"/>
      <c r="S33735" s="11"/>
      <c r="T33735" s="11"/>
    </row>
    <row r="33736" spans="8:20" x14ac:dyDescent="0.35">
      <c r="H33736" s="711"/>
      <c r="I33736" s="711"/>
      <c r="J33736" s="711"/>
      <c r="K33736" s="711"/>
      <c r="L33736" s="711"/>
      <c r="Q33736" s="11"/>
      <c r="R33736" s="11"/>
      <c r="S33736" s="11"/>
      <c r="T33736" s="11"/>
    </row>
    <row r="33737" spans="8:20" x14ac:dyDescent="0.35">
      <c r="H33737" s="711"/>
      <c r="I33737" s="711"/>
      <c r="J33737" s="711"/>
      <c r="K33737" s="711"/>
      <c r="L33737" s="711"/>
      <c r="Q33737" s="11"/>
      <c r="R33737" s="11"/>
      <c r="S33737" s="11"/>
      <c r="T33737" s="11"/>
    </row>
    <row r="33738" spans="8:20" x14ac:dyDescent="0.35">
      <c r="H33738" s="711"/>
      <c r="I33738" s="711"/>
      <c r="J33738" s="711"/>
      <c r="K33738" s="711"/>
      <c r="L33738" s="711"/>
      <c r="Q33738" s="11"/>
      <c r="R33738" s="11"/>
      <c r="S33738" s="11"/>
      <c r="T33738" s="11"/>
    </row>
    <row r="33739" spans="8:20" x14ac:dyDescent="0.35">
      <c r="H33739" s="711"/>
      <c r="I33739" s="711"/>
      <c r="J33739" s="711"/>
      <c r="K33739" s="711"/>
      <c r="L33739" s="711"/>
      <c r="Q33739" s="11"/>
      <c r="R33739" s="11"/>
      <c r="S33739" s="11"/>
      <c r="T33739" s="11"/>
    </row>
    <row r="33740" spans="8:20" x14ac:dyDescent="0.35">
      <c r="H33740" s="711"/>
      <c r="I33740" s="711"/>
      <c r="J33740" s="711"/>
      <c r="K33740" s="711"/>
      <c r="L33740" s="711"/>
      <c r="Q33740" s="11"/>
      <c r="R33740" s="11"/>
      <c r="S33740" s="11"/>
      <c r="T33740" s="11"/>
    </row>
    <row r="33741" spans="8:20" x14ac:dyDescent="0.35">
      <c r="H33741" s="711"/>
      <c r="I33741" s="711"/>
      <c r="J33741" s="711"/>
      <c r="K33741" s="711"/>
      <c r="L33741" s="711"/>
      <c r="Q33741" s="11"/>
      <c r="R33741" s="11"/>
      <c r="S33741" s="11"/>
      <c r="T33741" s="11"/>
    </row>
    <row r="33742" spans="8:20" x14ac:dyDescent="0.35">
      <c r="H33742" s="711"/>
      <c r="I33742" s="711"/>
      <c r="J33742" s="711"/>
      <c r="K33742" s="711"/>
      <c r="L33742" s="711"/>
      <c r="Q33742" s="11"/>
      <c r="R33742" s="11"/>
      <c r="S33742" s="11"/>
      <c r="T33742" s="11"/>
    </row>
    <row r="33743" spans="8:20" x14ac:dyDescent="0.35">
      <c r="H33743" s="711"/>
      <c r="I33743" s="711"/>
      <c r="J33743" s="711"/>
      <c r="K33743" s="711"/>
      <c r="L33743" s="711"/>
      <c r="Q33743" s="11"/>
      <c r="R33743" s="11"/>
      <c r="S33743" s="11"/>
      <c r="T33743" s="11"/>
    </row>
    <row r="33744" spans="8:20" x14ac:dyDescent="0.35">
      <c r="H33744" s="711"/>
      <c r="I33744" s="711"/>
      <c r="J33744" s="711"/>
      <c r="K33744" s="711"/>
      <c r="L33744" s="711"/>
      <c r="Q33744" s="11"/>
      <c r="R33744" s="11"/>
      <c r="S33744" s="11"/>
      <c r="T33744" s="11"/>
    </row>
    <row r="33745" spans="8:20" x14ac:dyDescent="0.35">
      <c r="H33745" s="711"/>
      <c r="I33745" s="711"/>
      <c r="J33745" s="711"/>
      <c r="K33745" s="711"/>
      <c r="L33745" s="711"/>
      <c r="Q33745" s="11"/>
      <c r="R33745" s="11"/>
      <c r="S33745" s="11"/>
      <c r="T33745" s="11"/>
    </row>
    <row r="33746" spans="8:20" x14ac:dyDescent="0.35">
      <c r="H33746" s="711"/>
      <c r="I33746" s="711"/>
      <c r="J33746" s="711"/>
      <c r="K33746" s="711"/>
      <c r="L33746" s="711"/>
      <c r="Q33746" s="11"/>
      <c r="R33746" s="11"/>
      <c r="S33746" s="11"/>
      <c r="T33746" s="11"/>
    </row>
    <row r="33747" spans="8:20" x14ac:dyDescent="0.35">
      <c r="H33747" s="711"/>
      <c r="I33747" s="711"/>
      <c r="J33747" s="711"/>
      <c r="K33747" s="711"/>
      <c r="L33747" s="711"/>
      <c r="Q33747" s="11"/>
      <c r="R33747" s="11"/>
      <c r="S33747" s="11"/>
      <c r="T33747" s="11"/>
    </row>
    <row r="33748" spans="8:20" x14ac:dyDescent="0.35">
      <c r="H33748" s="711"/>
      <c r="I33748" s="711"/>
      <c r="J33748" s="711"/>
      <c r="K33748" s="711"/>
      <c r="L33748" s="711"/>
      <c r="Q33748" s="11"/>
      <c r="R33748" s="11"/>
      <c r="S33748" s="11"/>
      <c r="T33748" s="11"/>
    </row>
    <row r="33749" spans="8:20" x14ac:dyDescent="0.35">
      <c r="H33749" s="711"/>
      <c r="I33749" s="711"/>
      <c r="J33749" s="711"/>
      <c r="K33749" s="711"/>
      <c r="L33749" s="711"/>
      <c r="Q33749" s="11"/>
      <c r="R33749" s="11"/>
      <c r="S33749" s="11"/>
      <c r="T33749" s="11"/>
    </row>
    <row r="33750" spans="8:20" x14ac:dyDescent="0.35">
      <c r="H33750" s="711"/>
      <c r="I33750" s="711"/>
      <c r="J33750" s="711"/>
      <c r="K33750" s="711"/>
      <c r="L33750" s="711"/>
      <c r="Q33750" s="11"/>
      <c r="R33750" s="11"/>
      <c r="S33750" s="11"/>
      <c r="T33750" s="11"/>
    </row>
    <row r="33751" spans="8:20" x14ac:dyDescent="0.35">
      <c r="H33751" s="711"/>
      <c r="I33751" s="711"/>
      <c r="J33751" s="711"/>
      <c r="K33751" s="711"/>
      <c r="L33751" s="711"/>
      <c r="Q33751" s="11"/>
      <c r="R33751" s="11"/>
      <c r="S33751" s="11"/>
      <c r="T33751" s="11"/>
    </row>
    <row r="33752" spans="8:20" x14ac:dyDescent="0.35">
      <c r="H33752" s="711"/>
      <c r="I33752" s="711"/>
      <c r="J33752" s="711"/>
      <c r="K33752" s="711"/>
      <c r="L33752" s="711"/>
      <c r="Q33752" s="11"/>
      <c r="R33752" s="11"/>
      <c r="S33752" s="11"/>
      <c r="T33752" s="11"/>
    </row>
    <row r="33753" spans="8:20" x14ac:dyDescent="0.35">
      <c r="H33753" s="711"/>
      <c r="I33753" s="711"/>
      <c r="J33753" s="711"/>
      <c r="K33753" s="711"/>
      <c r="L33753" s="711"/>
      <c r="Q33753" s="11"/>
      <c r="R33753" s="11"/>
      <c r="S33753" s="11"/>
      <c r="T33753" s="11"/>
    </row>
    <row r="33754" spans="8:20" x14ac:dyDescent="0.35">
      <c r="H33754" s="711"/>
      <c r="I33754" s="711"/>
      <c r="J33754" s="711"/>
      <c r="K33754" s="711"/>
      <c r="L33754" s="711"/>
      <c r="Q33754" s="11"/>
      <c r="R33754" s="11"/>
      <c r="S33754" s="11"/>
      <c r="T33754" s="11"/>
    </row>
    <row r="33755" spans="8:20" x14ac:dyDescent="0.35">
      <c r="H33755" s="711"/>
      <c r="I33755" s="711"/>
      <c r="J33755" s="711"/>
      <c r="K33755" s="711"/>
      <c r="L33755" s="711"/>
      <c r="Q33755" s="11"/>
      <c r="R33755" s="11"/>
      <c r="S33755" s="11"/>
      <c r="T33755" s="11"/>
    </row>
    <row r="33756" spans="8:20" x14ac:dyDescent="0.35">
      <c r="H33756" s="711"/>
      <c r="I33756" s="711"/>
      <c r="J33756" s="711"/>
      <c r="K33756" s="711"/>
      <c r="L33756" s="711"/>
      <c r="Q33756" s="11"/>
      <c r="R33756" s="11"/>
      <c r="S33756" s="11"/>
      <c r="T33756" s="11"/>
    </row>
    <row r="33757" spans="8:20" x14ac:dyDescent="0.35">
      <c r="H33757" s="711"/>
      <c r="I33757" s="711"/>
      <c r="J33757" s="711"/>
      <c r="K33757" s="711"/>
      <c r="L33757" s="711"/>
      <c r="Q33757" s="11"/>
      <c r="R33757" s="11"/>
      <c r="S33757" s="11"/>
      <c r="T33757" s="11"/>
    </row>
    <row r="33758" spans="8:20" x14ac:dyDescent="0.35">
      <c r="H33758" s="711"/>
      <c r="I33758" s="711"/>
      <c r="J33758" s="711"/>
      <c r="K33758" s="711"/>
      <c r="L33758" s="711"/>
      <c r="Q33758" s="11"/>
      <c r="R33758" s="11"/>
      <c r="S33758" s="11"/>
      <c r="T33758" s="11"/>
    </row>
    <row r="33759" spans="8:20" x14ac:dyDescent="0.35">
      <c r="H33759" s="711"/>
      <c r="I33759" s="711"/>
      <c r="J33759" s="711"/>
      <c r="K33759" s="711"/>
      <c r="L33759" s="711"/>
      <c r="Q33759" s="11"/>
      <c r="R33759" s="11"/>
      <c r="S33759" s="11"/>
      <c r="T33759" s="11"/>
    </row>
    <row r="33760" spans="8:20" x14ac:dyDescent="0.35">
      <c r="H33760" s="711"/>
      <c r="I33760" s="711"/>
      <c r="J33760" s="711"/>
      <c r="K33760" s="711"/>
      <c r="L33760" s="711"/>
      <c r="Q33760" s="11"/>
      <c r="R33760" s="11"/>
      <c r="S33760" s="11"/>
      <c r="T33760" s="11"/>
    </row>
    <row r="33761" spans="8:20" x14ac:dyDescent="0.35">
      <c r="H33761" s="711"/>
      <c r="I33761" s="711"/>
      <c r="J33761" s="711"/>
      <c r="K33761" s="711"/>
      <c r="L33761" s="711"/>
      <c r="Q33761" s="11"/>
      <c r="R33761" s="11"/>
      <c r="S33761" s="11"/>
      <c r="T33761" s="11"/>
    </row>
    <row r="33762" spans="8:20" x14ac:dyDescent="0.35">
      <c r="H33762" s="711"/>
      <c r="I33762" s="711"/>
      <c r="J33762" s="711"/>
      <c r="K33762" s="711"/>
      <c r="L33762" s="711"/>
      <c r="Q33762" s="11"/>
      <c r="R33762" s="11"/>
      <c r="S33762" s="11"/>
      <c r="T33762" s="11"/>
    </row>
    <row r="33763" spans="8:20" x14ac:dyDescent="0.35">
      <c r="H33763" s="711"/>
      <c r="I33763" s="711"/>
      <c r="J33763" s="711"/>
      <c r="K33763" s="711"/>
      <c r="L33763" s="711"/>
      <c r="Q33763" s="11"/>
      <c r="R33763" s="11"/>
      <c r="S33763" s="11"/>
      <c r="T33763" s="11"/>
    </row>
    <row r="33764" spans="8:20" x14ac:dyDescent="0.35">
      <c r="H33764" s="711"/>
      <c r="I33764" s="711"/>
      <c r="J33764" s="711"/>
      <c r="K33764" s="711"/>
      <c r="L33764" s="711"/>
      <c r="Q33764" s="11"/>
      <c r="R33764" s="11"/>
      <c r="S33764" s="11"/>
      <c r="T33764" s="11"/>
    </row>
    <row r="33765" spans="8:20" x14ac:dyDescent="0.35">
      <c r="H33765" s="711"/>
      <c r="I33765" s="711"/>
      <c r="J33765" s="711"/>
      <c r="K33765" s="711"/>
      <c r="L33765" s="711"/>
      <c r="Q33765" s="11"/>
      <c r="R33765" s="11"/>
      <c r="S33765" s="11"/>
      <c r="T33765" s="11"/>
    </row>
    <row r="33766" spans="8:20" x14ac:dyDescent="0.35">
      <c r="H33766" s="711"/>
      <c r="I33766" s="711"/>
      <c r="J33766" s="711"/>
      <c r="K33766" s="711"/>
      <c r="L33766" s="711"/>
      <c r="Q33766" s="11"/>
      <c r="R33766" s="11"/>
      <c r="S33766" s="11"/>
      <c r="T33766" s="11"/>
    </row>
    <row r="33767" spans="8:20" x14ac:dyDescent="0.35">
      <c r="H33767" s="711"/>
      <c r="I33767" s="711"/>
      <c r="J33767" s="711"/>
      <c r="K33767" s="711"/>
      <c r="L33767" s="711"/>
      <c r="Q33767" s="11"/>
      <c r="R33767" s="11"/>
      <c r="S33767" s="11"/>
      <c r="T33767" s="11"/>
    </row>
    <row r="33768" spans="8:20" x14ac:dyDescent="0.35">
      <c r="H33768" s="711"/>
      <c r="I33768" s="711"/>
      <c r="J33768" s="711"/>
      <c r="K33768" s="711"/>
      <c r="L33768" s="711"/>
      <c r="Q33768" s="11"/>
      <c r="R33768" s="11"/>
      <c r="S33768" s="11"/>
      <c r="T33768" s="11"/>
    </row>
    <row r="33769" spans="8:20" x14ac:dyDescent="0.35">
      <c r="H33769" s="711"/>
      <c r="I33769" s="711"/>
      <c r="J33769" s="711"/>
      <c r="K33769" s="711"/>
      <c r="L33769" s="711"/>
      <c r="Q33769" s="11"/>
      <c r="R33769" s="11"/>
      <c r="S33769" s="11"/>
      <c r="T33769" s="11"/>
    </row>
    <row r="33770" spans="8:20" x14ac:dyDescent="0.35">
      <c r="H33770" s="711"/>
      <c r="I33770" s="711"/>
      <c r="J33770" s="711"/>
      <c r="K33770" s="711"/>
      <c r="L33770" s="711"/>
      <c r="Q33770" s="11"/>
      <c r="R33770" s="11"/>
      <c r="S33770" s="11"/>
      <c r="T33770" s="11"/>
    </row>
    <row r="33771" spans="8:20" x14ac:dyDescent="0.35">
      <c r="H33771" s="711"/>
      <c r="I33771" s="711"/>
      <c r="J33771" s="711"/>
      <c r="K33771" s="711"/>
      <c r="L33771" s="711"/>
      <c r="Q33771" s="11"/>
      <c r="R33771" s="11"/>
      <c r="S33771" s="11"/>
      <c r="T33771" s="11"/>
    </row>
    <row r="33772" spans="8:20" x14ac:dyDescent="0.35">
      <c r="H33772" s="711"/>
      <c r="I33772" s="711"/>
      <c r="J33772" s="711"/>
      <c r="K33772" s="711"/>
      <c r="L33772" s="711"/>
      <c r="Q33772" s="11"/>
      <c r="R33772" s="11"/>
      <c r="S33772" s="11"/>
      <c r="T33772" s="11"/>
    </row>
    <row r="33773" spans="8:20" x14ac:dyDescent="0.35">
      <c r="H33773" s="711"/>
      <c r="I33773" s="711"/>
      <c r="J33773" s="711"/>
      <c r="K33773" s="711"/>
      <c r="L33773" s="711"/>
      <c r="Q33773" s="11"/>
      <c r="R33773" s="11"/>
      <c r="S33773" s="11"/>
      <c r="T33773" s="11"/>
    </row>
    <row r="33774" spans="8:20" x14ac:dyDescent="0.35">
      <c r="H33774" s="711"/>
      <c r="I33774" s="711"/>
      <c r="J33774" s="711"/>
      <c r="K33774" s="711"/>
      <c r="L33774" s="711"/>
      <c r="Q33774" s="11"/>
      <c r="R33774" s="11"/>
      <c r="S33774" s="11"/>
      <c r="T33774" s="11"/>
    </row>
    <row r="33775" spans="8:20" x14ac:dyDescent="0.35">
      <c r="H33775" s="711"/>
      <c r="I33775" s="711"/>
      <c r="J33775" s="711"/>
      <c r="K33775" s="711"/>
      <c r="L33775" s="711"/>
      <c r="Q33775" s="11"/>
      <c r="R33775" s="11"/>
      <c r="S33775" s="11"/>
      <c r="T33775" s="11"/>
    </row>
    <row r="33776" spans="8:20" x14ac:dyDescent="0.35">
      <c r="H33776" s="711"/>
      <c r="I33776" s="711"/>
      <c r="J33776" s="711"/>
      <c r="K33776" s="711"/>
      <c r="L33776" s="711"/>
      <c r="Q33776" s="11"/>
      <c r="R33776" s="11"/>
      <c r="S33776" s="11"/>
      <c r="T33776" s="11"/>
    </row>
    <row r="33777" spans="8:20" x14ac:dyDescent="0.35">
      <c r="H33777" s="711"/>
      <c r="I33777" s="711"/>
      <c r="J33777" s="711"/>
      <c r="K33777" s="711"/>
      <c r="L33777" s="711"/>
      <c r="Q33777" s="11"/>
      <c r="R33777" s="11"/>
      <c r="S33777" s="11"/>
      <c r="T33777" s="11"/>
    </row>
    <row r="33778" spans="8:20" x14ac:dyDescent="0.35">
      <c r="H33778" s="711"/>
      <c r="I33778" s="711"/>
      <c r="J33778" s="711"/>
      <c r="K33778" s="711"/>
      <c r="L33778" s="711"/>
      <c r="Q33778" s="11"/>
      <c r="R33778" s="11"/>
      <c r="S33778" s="11"/>
      <c r="T33778" s="11"/>
    </row>
    <row r="33779" spans="8:20" x14ac:dyDescent="0.35">
      <c r="H33779" s="711"/>
      <c r="I33779" s="711"/>
      <c r="J33779" s="711"/>
      <c r="K33779" s="711"/>
      <c r="L33779" s="711"/>
      <c r="Q33779" s="11"/>
      <c r="R33779" s="11"/>
      <c r="S33779" s="11"/>
      <c r="T33779" s="11"/>
    </row>
    <row r="33780" spans="8:20" x14ac:dyDescent="0.35">
      <c r="H33780" s="711"/>
      <c r="I33780" s="711"/>
      <c r="J33780" s="711"/>
      <c r="K33780" s="711"/>
      <c r="L33780" s="711"/>
      <c r="Q33780" s="11"/>
      <c r="R33780" s="11"/>
      <c r="S33780" s="11"/>
      <c r="T33780" s="11"/>
    </row>
    <row r="33781" spans="8:20" x14ac:dyDescent="0.35">
      <c r="H33781" s="711"/>
      <c r="I33781" s="711"/>
      <c r="J33781" s="711"/>
      <c r="K33781" s="711"/>
      <c r="L33781" s="711"/>
      <c r="Q33781" s="11"/>
      <c r="R33781" s="11"/>
      <c r="S33781" s="11"/>
      <c r="T33781" s="11"/>
    </row>
    <row r="33782" spans="8:20" x14ac:dyDescent="0.35">
      <c r="H33782" s="711"/>
      <c r="I33782" s="711"/>
      <c r="J33782" s="711"/>
      <c r="K33782" s="711"/>
      <c r="L33782" s="711"/>
      <c r="Q33782" s="11"/>
      <c r="R33782" s="11"/>
      <c r="S33782" s="11"/>
      <c r="T33782" s="11"/>
    </row>
    <row r="33783" spans="8:20" x14ac:dyDescent="0.35">
      <c r="H33783" s="711"/>
      <c r="I33783" s="711"/>
      <c r="J33783" s="711"/>
      <c r="K33783" s="711"/>
      <c r="L33783" s="711"/>
      <c r="Q33783" s="11"/>
      <c r="R33783" s="11"/>
      <c r="S33783" s="11"/>
      <c r="T33783" s="11"/>
    </row>
    <row r="33784" spans="8:20" x14ac:dyDescent="0.35">
      <c r="H33784" s="711"/>
      <c r="I33784" s="711"/>
      <c r="J33784" s="711"/>
      <c r="K33784" s="711"/>
      <c r="L33784" s="711"/>
      <c r="Q33784" s="11"/>
      <c r="R33784" s="11"/>
      <c r="S33784" s="11"/>
      <c r="T33784" s="11"/>
    </row>
    <row r="33785" spans="8:20" x14ac:dyDescent="0.35">
      <c r="H33785" s="711"/>
      <c r="I33785" s="711"/>
      <c r="J33785" s="711"/>
      <c r="K33785" s="711"/>
      <c r="L33785" s="711"/>
      <c r="Q33785" s="11"/>
      <c r="R33785" s="11"/>
      <c r="S33785" s="11"/>
      <c r="T33785" s="11"/>
    </row>
    <row r="33786" spans="8:20" x14ac:dyDescent="0.35">
      <c r="H33786" s="711"/>
      <c r="I33786" s="711"/>
      <c r="J33786" s="711"/>
      <c r="K33786" s="711"/>
      <c r="L33786" s="711"/>
      <c r="Q33786" s="11"/>
      <c r="R33786" s="11"/>
      <c r="S33786" s="11"/>
      <c r="T33786" s="11"/>
    </row>
    <row r="33787" spans="8:20" x14ac:dyDescent="0.35">
      <c r="H33787" s="711"/>
      <c r="I33787" s="711"/>
      <c r="J33787" s="711"/>
      <c r="K33787" s="711"/>
      <c r="L33787" s="711"/>
      <c r="Q33787" s="11"/>
      <c r="R33787" s="11"/>
      <c r="S33787" s="11"/>
      <c r="T33787" s="11"/>
    </row>
    <row r="33788" spans="8:20" x14ac:dyDescent="0.35">
      <c r="H33788" s="711"/>
      <c r="I33788" s="711"/>
      <c r="J33788" s="711"/>
      <c r="K33788" s="711"/>
      <c r="L33788" s="711"/>
      <c r="Q33788" s="11"/>
      <c r="R33788" s="11"/>
      <c r="S33788" s="11"/>
      <c r="T33788" s="11"/>
    </row>
    <row r="33789" spans="8:20" x14ac:dyDescent="0.35">
      <c r="H33789" s="711"/>
      <c r="I33789" s="711"/>
      <c r="J33789" s="711"/>
      <c r="K33789" s="711"/>
      <c r="L33789" s="711"/>
      <c r="Q33789" s="11"/>
      <c r="R33789" s="11"/>
      <c r="S33789" s="11"/>
      <c r="T33789" s="11"/>
    </row>
    <row r="33790" spans="8:20" x14ac:dyDescent="0.35">
      <c r="H33790" s="711"/>
      <c r="I33790" s="711"/>
      <c r="J33790" s="711"/>
      <c r="K33790" s="711"/>
      <c r="L33790" s="711"/>
      <c r="Q33790" s="11"/>
      <c r="R33790" s="11"/>
      <c r="S33790" s="11"/>
      <c r="T33790" s="11"/>
    </row>
    <row r="33791" spans="8:20" x14ac:dyDescent="0.35">
      <c r="H33791" s="711"/>
      <c r="I33791" s="711"/>
      <c r="J33791" s="711"/>
      <c r="K33791" s="711"/>
      <c r="L33791" s="711"/>
      <c r="Q33791" s="11"/>
      <c r="R33791" s="11"/>
      <c r="S33791" s="11"/>
      <c r="T33791" s="11"/>
    </row>
    <row r="33792" spans="8:20" x14ac:dyDescent="0.35">
      <c r="H33792" s="711"/>
      <c r="I33792" s="711"/>
      <c r="J33792" s="711"/>
      <c r="K33792" s="711"/>
      <c r="L33792" s="711"/>
      <c r="Q33792" s="11"/>
      <c r="R33792" s="11"/>
      <c r="S33792" s="11"/>
      <c r="T33792" s="11"/>
    </row>
    <row r="33793" spans="8:20" x14ac:dyDescent="0.35">
      <c r="H33793" s="711"/>
      <c r="I33793" s="711"/>
      <c r="J33793" s="711"/>
      <c r="K33793" s="711"/>
      <c r="L33793" s="711"/>
      <c r="Q33793" s="11"/>
      <c r="R33793" s="11"/>
      <c r="S33793" s="11"/>
      <c r="T33793" s="11"/>
    </row>
    <row r="33794" spans="8:20" x14ac:dyDescent="0.35">
      <c r="H33794" s="711"/>
      <c r="I33794" s="711"/>
      <c r="J33794" s="711"/>
      <c r="K33794" s="711"/>
      <c r="L33794" s="711"/>
      <c r="Q33794" s="11"/>
      <c r="R33794" s="11"/>
      <c r="S33794" s="11"/>
      <c r="T33794" s="11"/>
    </row>
    <row r="33795" spans="8:20" x14ac:dyDescent="0.35">
      <c r="H33795" s="711"/>
      <c r="I33795" s="711"/>
      <c r="J33795" s="711"/>
      <c r="K33795" s="711"/>
      <c r="L33795" s="711"/>
      <c r="Q33795" s="11"/>
      <c r="R33795" s="11"/>
      <c r="S33795" s="11"/>
      <c r="T33795" s="11"/>
    </row>
    <row r="33796" spans="8:20" x14ac:dyDescent="0.35">
      <c r="H33796" s="711"/>
      <c r="I33796" s="711"/>
      <c r="J33796" s="711"/>
      <c r="K33796" s="711"/>
      <c r="L33796" s="711"/>
      <c r="Q33796" s="11"/>
      <c r="R33796" s="11"/>
      <c r="S33796" s="11"/>
      <c r="T33796" s="11"/>
    </row>
    <row r="33797" spans="8:20" x14ac:dyDescent="0.35">
      <c r="H33797" s="711"/>
      <c r="I33797" s="711"/>
      <c r="J33797" s="711"/>
      <c r="K33797" s="711"/>
      <c r="L33797" s="711"/>
      <c r="Q33797" s="11"/>
      <c r="R33797" s="11"/>
      <c r="S33797" s="11"/>
      <c r="T33797" s="11"/>
    </row>
    <row r="33798" spans="8:20" x14ac:dyDescent="0.35">
      <c r="H33798" s="711"/>
      <c r="I33798" s="711"/>
      <c r="J33798" s="711"/>
      <c r="K33798" s="711"/>
      <c r="L33798" s="711"/>
      <c r="Q33798" s="11"/>
      <c r="R33798" s="11"/>
      <c r="S33798" s="11"/>
      <c r="T33798" s="11"/>
    </row>
    <row r="33799" spans="8:20" x14ac:dyDescent="0.35">
      <c r="H33799" s="711"/>
      <c r="I33799" s="711"/>
      <c r="J33799" s="711"/>
      <c r="K33799" s="711"/>
      <c r="L33799" s="711"/>
      <c r="Q33799" s="11"/>
      <c r="R33799" s="11"/>
      <c r="S33799" s="11"/>
      <c r="T33799" s="11"/>
    </row>
    <row r="33800" spans="8:20" x14ac:dyDescent="0.35">
      <c r="H33800" s="711"/>
      <c r="I33800" s="711"/>
      <c r="J33800" s="711"/>
      <c r="K33800" s="711"/>
      <c r="L33800" s="711"/>
      <c r="Q33800" s="11"/>
      <c r="R33800" s="11"/>
      <c r="S33800" s="11"/>
      <c r="T33800" s="11"/>
    </row>
    <row r="33801" spans="8:20" x14ac:dyDescent="0.35">
      <c r="H33801" s="711"/>
      <c r="I33801" s="711"/>
      <c r="J33801" s="711"/>
      <c r="K33801" s="711"/>
      <c r="L33801" s="711"/>
      <c r="Q33801" s="11"/>
      <c r="R33801" s="11"/>
      <c r="S33801" s="11"/>
      <c r="T33801" s="11"/>
    </row>
    <row r="33802" spans="8:20" x14ac:dyDescent="0.35">
      <c r="H33802" s="711"/>
      <c r="I33802" s="711"/>
      <c r="J33802" s="711"/>
      <c r="K33802" s="711"/>
      <c r="L33802" s="711"/>
      <c r="Q33802" s="11"/>
      <c r="R33802" s="11"/>
      <c r="S33802" s="11"/>
      <c r="T33802" s="11"/>
    </row>
    <row r="33803" spans="8:20" x14ac:dyDescent="0.35">
      <c r="H33803" s="711"/>
      <c r="I33803" s="711"/>
      <c r="J33803" s="711"/>
      <c r="K33803" s="711"/>
      <c r="L33803" s="711"/>
      <c r="Q33803" s="11"/>
      <c r="R33803" s="11"/>
      <c r="S33803" s="11"/>
      <c r="T33803" s="11"/>
    </row>
    <row r="33804" spans="8:20" x14ac:dyDescent="0.35">
      <c r="H33804" s="711"/>
      <c r="I33804" s="711"/>
      <c r="J33804" s="711"/>
      <c r="K33804" s="711"/>
      <c r="L33804" s="711"/>
      <c r="Q33804" s="11"/>
      <c r="R33804" s="11"/>
      <c r="S33804" s="11"/>
      <c r="T33804" s="11"/>
    </row>
    <row r="33805" spans="8:20" x14ac:dyDescent="0.35">
      <c r="H33805" s="711"/>
      <c r="I33805" s="711"/>
      <c r="J33805" s="711"/>
      <c r="K33805" s="711"/>
      <c r="L33805" s="711"/>
      <c r="Q33805" s="11"/>
      <c r="R33805" s="11"/>
      <c r="S33805" s="11"/>
      <c r="T33805" s="11"/>
    </row>
    <row r="33806" spans="8:20" x14ac:dyDescent="0.35">
      <c r="H33806" s="711"/>
      <c r="I33806" s="711"/>
      <c r="J33806" s="711"/>
      <c r="K33806" s="711"/>
      <c r="L33806" s="711"/>
      <c r="Q33806" s="11"/>
      <c r="R33806" s="11"/>
      <c r="S33806" s="11"/>
      <c r="T33806" s="11"/>
    </row>
    <row r="33807" spans="8:20" x14ac:dyDescent="0.35">
      <c r="H33807" s="711"/>
      <c r="I33807" s="711"/>
      <c r="J33807" s="711"/>
      <c r="K33807" s="711"/>
      <c r="L33807" s="711"/>
      <c r="Q33807" s="11"/>
      <c r="R33807" s="11"/>
      <c r="S33807" s="11"/>
      <c r="T33807" s="11"/>
    </row>
    <row r="33808" spans="8:20" x14ac:dyDescent="0.35">
      <c r="H33808" s="711"/>
      <c r="I33808" s="711"/>
      <c r="J33808" s="711"/>
      <c r="K33808" s="711"/>
      <c r="L33808" s="711"/>
      <c r="Q33808" s="11"/>
      <c r="R33808" s="11"/>
      <c r="S33808" s="11"/>
      <c r="T33808" s="11"/>
    </row>
    <row r="33809" spans="8:20" x14ac:dyDescent="0.35">
      <c r="H33809" s="711"/>
      <c r="I33809" s="711"/>
      <c r="J33809" s="711"/>
      <c r="K33809" s="711"/>
      <c r="L33809" s="711"/>
      <c r="Q33809" s="11"/>
      <c r="R33809" s="11"/>
      <c r="S33809" s="11"/>
      <c r="T33809" s="11"/>
    </row>
    <row r="33810" spans="8:20" x14ac:dyDescent="0.35">
      <c r="H33810" s="711"/>
      <c r="I33810" s="711"/>
      <c r="J33810" s="711"/>
      <c r="K33810" s="711"/>
      <c r="L33810" s="711"/>
      <c r="Q33810" s="11"/>
      <c r="R33810" s="11"/>
      <c r="S33810" s="11"/>
      <c r="T33810" s="11"/>
    </row>
    <row r="33811" spans="8:20" x14ac:dyDescent="0.35">
      <c r="H33811" s="711"/>
      <c r="I33811" s="711"/>
      <c r="J33811" s="711"/>
      <c r="K33811" s="711"/>
      <c r="L33811" s="711"/>
      <c r="Q33811" s="11"/>
      <c r="R33811" s="11"/>
      <c r="S33811" s="11"/>
      <c r="T33811" s="11"/>
    </row>
    <row r="33812" spans="8:20" x14ac:dyDescent="0.35">
      <c r="H33812" s="711"/>
      <c r="I33812" s="711"/>
      <c r="J33812" s="711"/>
      <c r="K33812" s="711"/>
      <c r="L33812" s="711"/>
      <c r="Q33812" s="11"/>
      <c r="R33812" s="11"/>
      <c r="S33812" s="11"/>
      <c r="T33812" s="11"/>
    </row>
    <row r="33813" spans="8:20" x14ac:dyDescent="0.35">
      <c r="H33813" s="711"/>
      <c r="I33813" s="711"/>
      <c r="J33813" s="711"/>
      <c r="K33813" s="711"/>
      <c r="L33813" s="711"/>
      <c r="Q33813" s="11"/>
      <c r="R33813" s="11"/>
      <c r="S33813" s="11"/>
      <c r="T33813" s="11"/>
    </row>
    <row r="33814" spans="8:20" x14ac:dyDescent="0.35">
      <c r="H33814" s="711"/>
      <c r="I33814" s="711"/>
      <c r="J33814" s="711"/>
      <c r="K33814" s="711"/>
      <c r="L33814" s="711"/>
      <c r="Q33814" s="11"/>
      <c r="R33814" s="11"/>
      <c r="S33814" s="11"/>
      <c r="T33814" s="11"/>
    </row>
    <row r="33815" spans="8:20" x14ac:dyDescent="0.35">
      <c r="H33815" s="711"/>
      <c r="I33815" s="711"/>
      <c r="J33815" s="711"/>
      <c r="K33815" s="711"/>
      <c r="L33815" s="711"/>
      <c r="Q33815" s="11"/>
      <c r="R33815" s="11"/>
      <c r="S33815" s="11"/>
      <c r="T33815" s="11"/>
    </row>
    <row r="33816" spans="8:20" x14ac:dyDescent="0.35">
      <c r="H33816" s="711"/>
      <c r="I33816" s="711"/>
      <c r="J33816" s="711"/>
      <c r="K33816" s="711"/>
      <c r="L33816" s="711"/>
      <c r="Q33816" s="11"/>
      <c r="R33816" s="11"/>
      <c r="S33816" s="11"/>
      <c r="T33816" s="11"/>
    </row>
    <row r="33817" spans="8:20" x14ac:dyDescent="0.35">
      <c r="H33817" s="711"/>
      <c r="I33817" s="711"/>
      <c r="J33817" s="711"/>
      <c r="K33817" s="711"/>
      <c r="L33817" s="711"/>
      <c r="Q33817" s="11"/>
      <c r="R33817" s="11"/>
      <c r="S33817" s="11"/>
      <c r="T33817" s="11"/>
    </row>
    <row r="33818" spans="8:20" x14ac:dyDescent="0.35">
      <c r="H33818" s="711"/>
      <c r="I33818" s="711"/>
      <c r="J33818" s="711"/>
      <c r="K33818" s="711"/>
      <c r="L33818" s="711"/>
      <c r="Q33818" s="11"/>
      <c r="R33818" s="11"/>
      <c r="S33818" s="11"/>
      <c r="T33818" s="11"/>
    </row>
    <row r="33819" spans="8:20" x14ac:dyDescent="0.35">
      <c r="H33819" s="711"/>
      <c r="I33819" s="711"/>
      <c r="J33819" s="711"/>
      <c r="K33819" s="711"/>
      <c r="L33819" s="711"/>
      <c r="Q33819" s="11"/>
      <c r="R33819" s="11"/>
      <c r="S33819" s="11"/>
      <c r="T33819" s="11"/>
    </row>
    <row r="33820" spans="8:20" x14ac:dyDescent="0.35">
      <c r="H33820" s="711"/>
      <c r="I33820" s="711"/>
      <c r="J33820" s="711"/>
      <c r="K33820" s="711"/>
      <c r="L33820" s="711"/>
      <c r="Q33820" s="11"/>
      <c r="R33820" s="11"/>
      <c r="S33820" s="11"/>
      <c r="T33820" s="11"/>
    </row>
    <row r="33821" spans="8:20" x14ac:dyDescent="0.35">
      <c r="H33821" s="711"/>
      <c r="I33821" s="711"/>
      <c r="J33821" s="711"/>
      <c r="K33821" s="711"/>
      <c r="L33821" s="711"/>
      <c r="Q33821" s="11"/>
      <c r="R33821" s="11"/>
      <c r="S33821" s="11"/>
      <c r="T33821" s="11"/>
    </row>
    <row r="33822" spans="8:20" x14ac:dyDescent="0.35">
      <c r="H33822" s="711"/>
      <c r="I33822" s="711"/>
      <c r="J33822" s="711"/>
      <c r="K33822" s="711"/>
      <c r="L33822" s="711"/>
      <c r="Q33822" s="11"/>
      <c r="R33822" s="11"/>
      <c r="S33822" s="11"/>
      <c r="T33822" s="11"/>
    </row>
    <row r="33823" spans="8:20" x14ac:dyDescent="0.35">
      <c r="H33823" s="711"/>
      <c r="I33823" s="711"/>
      <c r="J33823" s="711"/>
      <c r="K33823" s="711"/>
      <c r="L33823" s="711"/>
      <c r="Q33823" s="11"/>
      <c r="R33823" s="11"/>
      <c r="S33823" s="11"/>
      <c r="T33823" s="11"/>
    </row>
    <row r="33824" spans="8:20" x14ac:dyDescent="0.35">
      <c r="H33824" s="711"/>
      <c r="I33824" s="711"/>
      <c r="J33824" s="711"/>
      <c r="K33824" s="711"/>
      <c r="L33824" s="711"/>
      <c r="Q33824" s="11"/>
      <c r="R33824" s="11"/>
      <c r="S33824" s="11"/>
      <c r="T33824" s="11"/>
    </row>
    <row r="33825" spans="8:20" x14ac:dyDescent="0.35">
      <c r="H33825" s="711"/>
      <c r="I33825" s="711"/>
      <c r="J33825" s="711"/>
      <c r="K33825" s="711"/>
      <c r="L33825" s="711"/>
      <c r="Q33825" s="11"/>
      <c r="R33825" s="11"/>
      <c r="S33825" s="11"/>
      <c r="T33825" s="11"/>
    </row>
    <row r="33826" spans="8:20" x14ac:dyDescent="0.35">
      <c r="H33826" s="711"/>
      <c r="I33826" s="711"/>
      <c r="J33826" s="711"/>
      <c r="K33826" s="711"/>
      <c r="L33826" s="711"/>
      <c r="Q33826" s="11"/>
      <c r="R33826" s="11"/>
      <c r="S33826" s="11"/>
      <c r="T33826" s="11"/>
    </row>
    <row r="33827" spans="8:20" x14ac:dyDescent="0.35">
      <c r="H33827" s="711"/>
      <c r="I33827" s="711"/>
      <c r="J33827" s="711"/>
      <c r="K33827" s="711"/>
      <c r="L33827" s="711"/>
      <c r="Q33827" s="11"/>
      <c r="R33827" s="11"/>
      <c r="S33827" s="11"/>
      <c r="T33827" s="11"/>
    </row>
    <row r="33828" spans="8:20" x14ac:dyDescent="0.35">
      <c r="H33828" s="711"/>
      <c r="I33828" s="711"/>
      <c r="J33828" s="711"/>
      <c r="K33828" s="711"/>
      <c r="L33828" s="711"/>
      <c r="Q33828" s="11"/>
      <c r="R33828" s="11"/>
      <c r="S33828" s="11"/>
      <c r="T33828" s="11"/>
    </row>
    <row r="33829" spans="8:20" x14ac:dyDescent="0.35">
      <c r="H33829" s="711"/>
      <c r="I33829" s="711"/>
      <c r="J33829" s="711"/>
      <c r="K33829" s="711"/>
      <c r="L33829" s="711"/>
      <c r="Q33829" s="11"/>
      <c r="R33829" s="11"/>
      <c r="S33829" s="11"/>
      <c r="T33829" s="11"/>
    </row>
    <row r="33830" spans="8:20" x14ac:dyDescent="0.35">
      <c r="H33830" s="711"/>
      <c r="I33830" s="711"/>
      <c r="J33830" s="711"/>
      <c r="K33830" s="711"/>
      <c r="L33830" s="711"/>
      <c r="Q33830" s="11"/>
      <c r="R33830" s="11"/>
      <c r="S33830" s="11"/>
      <c r="T33830" s="11"/>
    </row>
    <row r="33831" spans="8:20" x14ac:dyDescent="0.35">
      <c r="H33831" s="711"/>
      <c r="I33831" s="711"/>
      <c r="J33831" s="711"/>
      <c r="K33831" s="711"/>
      <c r="L33831" s="711"/>
      <c r="Q33831" s="11"/>
      <c r="R33831" s="11"/>
      <c r="S33831" s="11"/>
      <c r="T33831" s="11"/>
    </row>
    <row r="33832" spans="8:20" x14ac:dyDescent="0.35">
      <c r="H33832" s="711"/>
      <c r="I33832" s="711"/>
      <c r="J33832" s="711"/>
      <c r="K33832" s="711"/>
      <c r="L33832" s="711"/>
      <c r="Q33832" s="11"/>
      <c r="R33832" s="11"/>
      <c r="S33832" s="11"/>
      <c r="T33832" s="11"/>
    </row>
    <row r="33833" spans="8:20" x14ac:dyDescent="0.35">
      <c r="H33833" s="711"/>
      <c r="I33833" s="711"/>
      <c r="J33833" s="711"/>
      <c r="K33833" s="711"/>
      <c r="L33833" s="711"/>
      <c r="Q33833" s="11"/>
      <c r="R33833" s="11"/>
      <c r="S33833" s="11"/>
      <c r="T33833" s="11"/>
    </row>
    <row r="33834" spans="8:20" x14ac:dyDescent="0.35">
      <c r="H33834" s="711"/>
      <c r="I33834" s="711"/>
      <c r="J33834" s="711"/>
      <c r="K33834" s="711"/>
      <c r="L33834" s="711"/>
      <c r="Q33834" s="11"/>
      <c r="R33834" s="11"/>
      <c r="S33834" s="11"/>
      <c r="T33834" s="11"/>
    </row>
    <row r="33835" spans="8:20" x14ac:dyDescent="0.35">
      <c r="H33835" s="711"/>
      <c r="I33835" s="711"/>
      <c r="J33835" s="711"/>
      <c r="K33835" s="711"/>
      <c r="L33835" s="711"/>
      <c r="Q33835" s="11"/>
      <c r="R33835" s="11"/>
      <c r="S33835" s="11"/>
      <c r="T33835" s="11"/>
    </row>
    <row r="33836" spans="8:20" x14ac:dyDescent="0.35">
      <c r="H33836" s="711"/>
      <c r="I33836" s="711"/>
      <c r="J33836" s="711"/>
      <c r="K33836" s="711"/>
      <c r="L33836" s="711"/>
      <c r="Q33836" s="11"/>
      <c r="R33836" s="11"/>
      <c r="S33836" s="11"/>
      <c r="T33836" s="11"/>
    </row>
    <row r="33837" spans="8:20" x14ac:dyDescent="0.35">
      <c r="H33837" s="711"/>
      <c r="I33837" s="711"/>
      <c r="J33837" s="711"/>
      <c r="K33837" s="711"/>
      <c r="L33837" s="711"/>
      <c r="Q33837" s="11"/>
      <c r="R33837" s="11"/>
      <c r="S33837" s="11"/>
      <c r="T33837" s="11"/>
    </row>
    <row r="33838" spans="8:20" x14ac:dyDescent="0.35">
      <c r="H33838" s="711"/>
      <c r="I33838" s="711"/>
      <c r="J33838" s="711"/>
      <c r="K33838" s="711"/>
      <c r="L33838" s="711"/>
      <c r="Q33838" s="11"/>
      <c r="R33838" s="11"/>
      <c r="S33838" s="11"/>
      <c r="T33838" s="11"/>
    </row>
    <row r="33839" spans="8:20" x14ac:dyDescent="0.35">
      <c r="H33839" s="711"/>
      <c r="I33839" s="711"/>
      <c r="J33839" s="711"/>
      <c r="K33839" s="711"/>
      <c r="L33839" s="711"/>
      <c r="Q33839" s="11"/>
      <c r="R33839" s="11"/>
      <c r="S33839" s="11"/>
      <c r="T33839" s="11"/>
    </row>
    <row r="33840" spans="8:20" x14ac:dyDescent="0.35">
      <c r="H33840" s="711"/>
      <c r="I33840" s="711"/>
      <c r="J33840" s="711"/>
      <c r="K33840" s="711"/>
      <c r="L33840" s="711"/>
      <c r="Q33840" s="11"/>
      <c r="R33840" s="11"/>
      <c r="S33840" s="11"/>
      <c r="T33840" s="11"/>
    </row>
    <row r="33841" spans="8:20" x14ac:dyDescent="0.35">
      <c r="H33841" s="711"/>
      <c r="I33841" s="711"/>
      <c r="J33841" s="711"/>
      <c r="K33841" s="711"/>
      <c r="L33841" s="711"/>
      <c r="Q33841" s="11"/>
      <c r="R33841" s="11"/>
      <c r="S33841" s="11"/>
      <c r="T33841" s="11"/>
    </row>
    <row r="33842" spans="8:20" x14ac:dyDescent="0.35">
      <c r="H33842" s="711"/>
      <c r="I33842" s="711"/>
      <c r="J33842" s="711"/>
      <c r="K33842" s="711"/>
      <c r="L33842" s="711"/>
      <c r="Q33842" s="11"/>
      <c r="R33842" s="11"/>
      <c r="S33842" s="11"/>
      <c r="T33842" s="11"/>
    </row>
    <row r="33843" spans="8:20" x14ac:dyDescent="0.35">
      <c r="H33843" s="711"/>
      <c r="I33843" s="711"/>
      <c r="J33843" s="711"/>
      <c r="K33843" s="711"/>
      <c r="L33843" s="711"/>
      <c r="Q33843" s="11"/>
      <c r="R33843" s="11"/>
      <c r="S33843" s="11"/>
      <c r="T33843" s="11"/>
    </row>
    <row r="33844" spans="8:20" x14ac:dyDescent="0.35">
      <c r="H33844" s="711"/>
      <c r="I33844" s="711"/>
      <c r="J33844" s="711"/>
      <c r="K33844" s="711"/>
      <c r="L33844" s="711"/>
      <c r="Q33844" s="11"/>
      <c r="R33844" s="11"/>
      <c r="S33844" s="11"/>
      <c r="T33844" s="11"/>
    </row>
    <row r="33845" spans="8:20" x14ac:dyDescent="0.35">
      <c r="H33845" s="711"/>
      <c r="I33845" s="711"/>
      <c r="J33845" s="711"/>
      <c r="K33845" s="711"/>
      <c r="L33845" s="711"/>
      <c r="Q33845" s="11"/>
      <c r="R33845" s="11"/>
      <c r="S33845" s="11"/>
      <c r="T33845" s="11"/>
    </row>
    <row r="33846" spans="8:20" x14ac:dyDescent="0.35">
      <c r="H33846" s="711"/>
      <c r="I33846" s="711"/>
      <c r="J33846" s="711"/>
      <c r="K33846" s="711"/>
      <c r="L33846" s="711"/>
      <c r="Q33846" s="11"/>
      <c r="R33846" s="11"/>
      <c r="S33846" s="11"/>
      <c r="T33846" s="11"/>
    </row>
    <row r="33847" spans="8:20" x14ac:dyDescent="0.35">
      <c r="H33847" s="711"/>
      <c r="I33847" s="711"/>
      <c r="J33847" s="711"/>
      <c r="K33847" s="711"/>
      <c r="L33847" s="711"/>
      <c r="Q33847" s="11"/>
      <c r="R33847" s="11"/>
      <c r="S33847" s="11"/>
      <c r="T33847" s="11"/>
    </row>
    <row r="33848" spans="8:20" x14ac:dyDescent="0.35">
      <c r="H33848" s="711"/>
      <c r="I33848" s="711"/>
      <c r="J33848" s="711"/>
      <c r="K33848" s="711"/>
      <c r="L33848" s="711"/>
      <c r="Q33848" s="11"/>
      <c r="R33848" s="11"/>
      <c r="S33848" s="11"/>
      <c r="T33848" s="11"/>
    </row>
    <row r="33849" spans="8:20" x14ac:dyDescent="0.35">
      <c r="H33849" s="711"/>
      <c r="I33849" s="711"/>
      <c r="J33849" s="711"/>
      <c r="K33849" s="711"/>
      <c r="L33849" s="711"/>
      <c r="Q33849" s="11"/>
      <c r="R33849" s="11"/>
      <c r="S33849" s="11"/>
      <c r="T33849" s="11"/>
    </row>
    <row r="33850" spans="8:20" x14ac:dyDescent="0.35">
      <c r="H33850" s="711"/>
      <c r="I33850" s="711"/>
      <c r="J33850" s="711"/>
      <c r="K33850" s="711"/>
      <c r="L33850" s="711"/>
      <c r="Q33850" s="11"/>
      <c r="R33850" s="11"/>
      <c r="S33850" s="11"/>
      <c r="T33850" s="11"/>
    </row>
    <row r="33851" spans="8:20" x14ac:dyDescent="0.35">
      <c r="H33851" s="711"/>
      <c r="I33851" s="711"/>
      <c r="J33851" s="711"/>
      <c r="K33851" s="711"/>
      <c r="L33851" s="711"/>
      <c r="Q33851" s="11"/>
      <c r="R33851" s="11"/>
      <c r="S33851" s="11"/>
      <c r="T33851" s="11"/>
    </row>
    <row r="33852" spans="8:20" x14ac:dyDescent="0.35">
      <c r="H33852" s="711"/>
      <c r="I33852" s="711"/>
      <c r="J33852" s="711"/>
      <c r="K33852" s="711"/>
      <c r="L33852" s="711"/>
      <c r="Q33852" s="11"/>
      <c r="R33852" s="11"/>
      <c r="S33852" s="11"/>
      <c r="T33852" s="11"/>
    </row>
    <row r="33853" spans="8:20" x14ac:dyDescent="0.35">
      <c r="H33853" s="711"/>
      <c r="I33853" s="711"/>
      <c r="J33853" s="711"/>
      <c r="K33853" s="711"/>
      <c r="L33853" s="711"/>
      <c r="Q33853" s="11"/>
      <c r="R33853" s="11"/>
      <c r="S33853" s="11"/>
      <c r="T33853" s="11"/>
    </row>
    <row r="33854" spans="8:20" x14ac:dyDescent="0.35">
      <c r="H33854" s="711"/>
      <c r="I33854" s="711"/>
      <c r="J33854" s="711"/>
      <c r="K33854" s="711"/>
      <c r="L33854" s="711"/>
      <c r="Q33854" s="11"/>
      <c r="R33854" s="11"/>
      <c r="S33854" s="11"/>
      <c r="T33854" s="11"/>
    </row>
    <row r="33855" spans="8:20" x14ac:dyDescent="0.35">
      <c r="H33855" s="711"/>
      <c r="I33855" s="711"/>
      <c r="J33855" s="711"/>
      <c r="K33855" s="711"/>
      <c r="L33855" s="711"/>
      <c r="Q33855" s="11"/>
      <c r="R33855" s="11"/>
      <c r="S33855" s="11"/>
      <c r="T33855" s="11"/>
    </row>
    <row r="33856" spans="8:20" x14ac:dyDescent="0.35">
      <c r="H33856" s="711"/>
      <c r="I33856" s="711"/>
      <c r="J33856" s="711"/>
      <c r="K33856" s="711"/>
      <c r="L33856" s="711"/>
      <c r="Q33856" s="11"/>
      <c r="R33856" s="11"/>
      <c r="S33856" s="11"/>
      <c r="T33856" s="11"/>
    </row>
    <row r="33857" spans="8:20" x14ac:dyDescent="0.35">
      <c r="H33857" s="711"/>
      <c r="I33857" s="711"/>
      <c r="J33857" s="711"/>
      <c r="K33857" s="711"/>
      <c r="L33857" s="711"/>
      <c r="Q33857" s="11"/>
      <c r="R33857" s="11"/>
      <c r="S33857" s="11"/>
      <c r="T33857" s="11"/>
    </row>
    <row r="33858" spans="8:20" x14ac:dyDescent="0.35">
      <c r="H33858" s="711"/>
      <c r="I33858" s="711"/>
      <c r="J33858" s="711"/>
      <c r="K33858" s="711"/>
      <c r="L33858" s="711"/>
      <c r="Q33858" s="11"/>
      <c r="R33858" s="11"/>
      <c r="S33858" s="11"/>
      <c r="T33858" s="11"/>
    </row>
    <row r="33859" spans="8:20" x14ac:dyDescent="0.35">
      <c r="H33859" s="711"/>
      <c r="I33859" s="711"/>
      <c r="J33859" s="711"/>
      <c r="K33859" s="711"/>
      <c r="L33859" s="711"/>
      <c r="Q33859" s="11"/>
      <c r="R33859" s="11"/>
      <c r="S33859" s="11"/>
      <c r="T33859" s="11"/>
    </row>
    <row r="33860" spans="8:20" x14ac:dyDescent="0.35">
      <c r="H33860" s="711"/>
      <c r="I33860" s="711"/>
      <c r="J33860" s="711"/>
      <c r="K33860" s="711"/>
      <c r="L33860" s="711"/>
      <c r="Q33860" s="11"/>
      <c r="R33860" s="11"/>
      <c r="S33860" s="11"/>
      <c r="T33860" s="11"/>
    </row>
    <row r="33861" spans="8:20" x14ac:dyDescent="0.35">
      <c r="H33861" s="711"/>
      <c r="I33861" s="711"/>
      <c r="J33861" s="711"/>
      <c r="K33861" s="711"/>
      <c r="L33861" s="711"/>
      <c r="Q33861" s="11"/>
      <c r="R33861" s="11"/>
      <c r="S33861" s="11"/>
      <c r="T33861" s="11"/>
    </row>
    <row r="33862" spans="8:20" x14ac:dyDescent="0.35">
      <c r="H33862" s="711"/>
      <c r="I33862" s="711"/>
      <c r="J33862" s="711"/>
      <c r="K33862" s="711"/>
      <c r="L33862" s="711"/>
      <c r="Q33862" s="11"/>
      <c r="R33862" s="11"/>
      <c r="S33862" s="11"/>
      <c r="T33862" s="11"/>
    </row>
    <row r="33863" spans="8:20" x14ac:dyDescent="0.35">
      <c r="H33863" s="711"/>
      <c r="I33863" s="711"/>
      <c r="J33863" s="711"/>
      <c r="K33863" s="711"/>
      <c r="L33863" s="711"/>
      <c r="Q33863" s="11"/>
      <c r="R33863" s="11"/>
      <c r="S33863" s="11"/>
      <c r="T33863" s="11"/>
    </row>
    <row r="33864" spans="8:20" x14ac:dyDescent="0.35">
      <c r="H33864" s="711"/>
      <c r="I33864" s="711"/>
      <c r="J33864" s="711"/>
      <c r="K33864" s="711"/>
      <c r="L33864" s="711"/>
      <c r="Q33864" s="11"/>
      <c r="R33864" s="11"/>
      <c r="S33864" s="11"/>
      <c r="T33864" s="11"/>
    </row>
    <row r="33865" spans="8:20" x14ac:dyDescent="0.35">
      <c r="H33865" s="711"/>
      <c r="I33865" s="711"/>
      <c r="J33865" s="711"/>
      <c r="K33865" s="711"/>
      <c r="L33865" s="711"/>
      <c r="Q33865" s="11"/>
      <c r="R33865" s="11"/>
      <c r="S33865" s="11"/>
      <c r="T33865" s="11"/>
    </row>
    <row r="33866" spans="8:20" x14ac:dyDescent="0.35">
      <c r="H33866" s="711"/>
      <c r="I33866" s="711"/>
      <c r="J33866" s="711"/>
      <c r="K33866" s="711"/>
      <c r="L33866" s="711"/>
      <c r="Q33866" s="11"/>
      <c r="R33866" s="11"/>
      <c r="S33866" s="11"/>
      <c r="T33866" s="11"/>
    </row>
    <row r="33867" spans="8:20" x14ac:dyDescent="0.35">
      <c r="H33867" s="711"/>
      <c r="I33867" s="711"/>
      <c r="J33867" s="711"/>
      <c r="K33867" s="711"/>
      <c r="L33867" s="711"/>
      <c r="Q33867" s="11"/>
      <c r="R33867" s="11"/>
      <c r="S33867" s="11"/>
      <c r="T33867" s="11"/>
    </row>
    <row r="33868" spans="8:20" x14ac:dyDescent="0.35">
      <c r="H33868" s="711"/>
      <c r="I33868" s="711"/>
      <c r="J33868" s="711"/>
      <c r="K33868" s="711"/>
      <c r="L33868" s="711"/>
      <c r="Q33868" s="11"/>
      <c r="R33868" s="11"/>
      <c r="S33868" s="11"/>
      <c r="T33868" s="11"/>
    </row>
    <row r="33869" spans="8:20" x14ac:dyDescent="0.35">
      <c r="H33869" s="711"/>
      <c r="I33869" s="711"/>
      <c r="J33869" s="711"/>
      <c r="K33869" s="711"/>
      <c r="L33869" s="711"/>
      <c r="Q33869" s="11"/>
      <c r="R33869" s="11"/>
      <c r="S33869" s="11"/>
      <c r="T33869" s="11"/>
    </row>
    <row r="33870" spans="8:20" x14ac:dyDescent="0.35">
      <c r="H33870" s="711"/>
      <c r="I33870" s="711"/>
      <c r="J33870" s="711"/>
      <c r="K33870" s="711"/>
      <c r="L33870" s="711"/>
      <c r="Q33870" s="11"/>
      <c r="R33870" s="11"/>
      <c r="S33870" s="11"/>
      <c r="T33870" s="11"/>
    </row>
    <row r="33871" spans="8:20" x14ac:dyDescent="0.35">
      <c r="H33871" s="711"/>
      <c r="I33871" s="711"/>
      <c r="J33871" s="711"/>
      <c r="K33871" s="711"/>
      <c r="L33871" s="711"/>
      <c r="Q33871" s="11"/>
      <c r="R33871" s="11"/>
      <c r="S33871" s="11"/>
      <c r="T33871" s="11"/>
    </row>
    <row r="33872" spans="8:20" x14ac:dyDescent="0.35">
      <c r="H33872" s="711"/>
      <c r="I33872" s="711"/>
      <c r="J33872" s="711"/>
      <c r="K33872" s="711"/>
      <c r="L33872" s="711"/>
      <c r="Q33872" s="11"/>
      <c r="R33872" s="11"/>
      <c r="S33872" s="11"/>
      <c r="T33872" s="11"/>
    </row>
    <row r="33873" spans="8:20" x14ac:dyDescent="0.35">
      <c r="H33873" s="711"/>
      <c r="I33873" s="711"/>
      <c r="J33873" s="711"/>
      <c r="K33873" s="711"/>
      <c r="L33873" s="711"/>
      <c r="Q33873" s="11"/>
      <c r="R33873" s="11"/>
      <c r="S33873" s="11"/>
      <c r="T33873" s="11"/>
    </row>
    <row r="33874" spans="8:20" x14ac:dyDescent="0.35">
      <c r="H33874" s="711"/>
      <c r="I33874" s="711"/>
      <c r="J33874" s="711"/>
      <c r="K33874" s="711"/>
      <c r="L33874" s="711"/>
      <c r="Q33874" s="11"/>
      <c r="R33874" s="11"/>
      <c r="S33874" s="11"/>
      <c r="T33874" s="11"/>
    </row>
    <row r="33875" spans="8:20" x14ac:dyDescent="0.35">
      <c r="H33875" s="711"/>
      <c r="I33875" s="711"/>
      <c r="J33875" s="711"/>
      <c r="K33875" s="711"/>
      <c r="L33875" s="711"/>
      <c r="Q33875" s="11"/>
      <c r="R33875" s="11"/>
      <c r="S33875" s="11"/>
      <c r="T33875" s="11"/>
    </row>
    <row r="33876" spans="8:20" x14ac:dyDescent="0.35">
      <c r="H33876" s="711"/>
      <c r="I33876" s="711"/>
      <c r="J33876" s="711"/>
      <c r="K33876" s="711"/>
      <c r="L33876" s="711"/>
      <c r="Q33876" s="11"/>
      <c r="R33876" s="11"/>
      <c r="S33876" s="11"/>
      <c r="T33876" s="11"/>
    </row>
    <row r="33877" spans="8:20" x14ac:dyDescent="0.35">
      <c r="H33877" s="711"/>
      <c r="I33877" s="711"/>
      <c r="J33877" s="711"/>
      <c r="K33877" s="711"/>
      <c r="L33877" s="711"/>
      <c r="Q33877" s="11"/>
      <c r="R33877" s="11"/>
      <c r="S33877" s="11"/>
      <c r="T33877" s="11"/>
    </row>
    <row r="33878" spans="8:20" x14ac:dyDescent="0.35">
      <c r="H33878" s="711"/>
      <c r="I33878" s="711"/>
      <c r="J33878" s="711"/>
      <c r="K33878" s="711"/>
      <c r="L33878" s="711"/>
      <c r="Q33878" s="11"/>
      <c r="R33878" s="11"/>
      <c r="S33878" s="11"/>
      <c r="T33878" s="11"/>
    </row>
    <row r="33879" spans="8:20" x14ac:dyDescent="0.35">
      <c r="H33879" s="711"/>
      <c r="I33879" s="711"/>
      <c r="J33879" s="711"/>
      <c r="K33879" s="711"/>
      <c r="L33879" s="711"/>
      <c r="Q33879" s="11"/>
      <c r="R33879" s="11"/>
      <c r="S33879" s="11"/>
      <c r="T33879" s="11"/>
    </row>
    <row r="33880" spans="8:20" x14ac:dyDescent="0.35">
      <c r="H33880" s="711"/>
      <c r="I33880" s="711"/>
      <c r="J33880" s="711"/>
      <c r="K33880" s="711"/>
      <c r="L33880" s="711"/>
      <c r="Q33880" s="11"/>
      <c r="R33880" s="11"/>
      <c r="S33880" s="11"/>
      <c r="T33880" s="11"/>
    </row>
    <row r="33881" spans="8:20" x14ac:dyDescent="0.35">
      <c r="H33881" s="711"/>
      <c r="I33881" s="711"/>
      <c r="J33881" s="711"/>
      <c r="K33881" s="711"/>
      <c r="L33881" s="711"/>
      <c r="Q33881" s="11"/>
      <c r="R33881" s="11"/>
      <c r="S33881" s="11"/>
      <c r="T33881" s="11"/>
    </row>
    <row r="33882" spans="8:20" x14ac:dyDescent="0.35">
      <c r="H33882" s="711"/>
      <c r="I33882" s="711"/>
      <c r="J33882" s="711"/>
      <c r="K33882" s="711"/>
      <c r="L33882" s="711"/>
      <c r="Q33882" s="11"/>
      <c r="R33882" s="11"/>
      <c r="S33882" s="11"/>
      <c r="T33882" s="11"/>
    </row>
    <row r="33883" spans="8:20" x14ac:dyDescent="0.35">
      <c r="H33883" s="711"/>
      <c r="I33883" s="711"/>
      <c r="J33883" s="711"/>
      <c r="K33883" s="711"/>
      <c r="L33883" s="711"/>
      <c r="Q33883" s="11"/>
      <c r="R33883" s="11"/>
      <c r="S33883" s="11"/>
      <c r="T33883" s="11"/>
    </row>
    <row r="33884" spans="8:20" x14ac:dyDescent="0.35">
      <c r="H33884" s="711"/>
      <c r="I33884" s="711"/>
      <c r="J33884" s="711"/>
      <c r="K33884" s="711"/>
      <c r="L33884" s="711"/>
      <c r="Q33884" s="11"/>
      <c r="R33884" s="11"/>
      <c r="S33884" s="11"/>
      <c r="T33884" s="11"/>
    </row>
    <row r="33885" spans="8:20" x14ac:dyDescent="0.35">
      <c r="H33885" s="711"/>
      <c r="I33885" s="711"/>
      <c r="J33885" s="711"/>
      <c r="K33885" s="711"/>
      <c r="L33885" s="711"/>
      <c r="Q33885" s="11"/>
      <c r="R33885" s="11"/>
      <c r="S33885" s="11"/>
      <c r="T33885" s="11"/>
    </row>
    <row r="33886" spans="8:20" x14ac:dyDescent="0.35">
      <c r="H33886" s="711"/>
      <c r="I33886" s="711"/>
      <c r="J33886" s="711"/>
      <c r="K33886" s="711"/>
      <c r="L33886" s="711"/>
      <c r="Q33886" s="11"/>
      <c r="R33886" s="11"/>
      <c r="S33886" s="11"/>
      <c r="T33886" s="11"/>
    </row>
    <row r="33887" spans="8:20" x14ac:dyDescent="0.35">
      <c r="H33887" s="711"/>
      <c r="I33887" s="711"/>
      <c r="J33887" s="711"/>
      <c r="K33887" s="711"/>
      <c r="L33887" s="711"/>
      <c r="Q33887" s="11"/>
      <c r="R33887" s="11"/>
      <c r="S33887" s="11"/>
      <c r="T33887" s="11"/>
    </row>
    <row r="33888" spans="8:20" x14ac:dyDescent="0.35">
      <c r="H33888" s="711"/>
      <c r="I33888" s="711"/>
      <c r="J33888" s="711"/>
      <c r="K33888" s="711"/>
      <c r="L33888" s="711"/>
      <c r="Q33888" s="11"/>
      <c r="R33888" s="11"/>
      <c r="S33888" s="11"/>
      <c r="T33888" s="11"/>
    </row>
    <row r="33889" spans="8:20" x14ac:dyDescent="0.35">
      <c r="H33889" s="711"/>
      <c r="I33889" s="711"/>
      <c r="J33889" s="711"/>
      <c r="K33889" s="711"/>
      <c r="L33889" s="711"/>
      <c r="Q33889" s="11"/>
      <c r="R33889" s="11"/>
      <c r="S33889" s="11"/>
      <c r="T33889" s="11"/>
    </row>
    <row r="33890" spans="8:20" x14ac:dyDescent="0.35">
      <c r="H33890" s="711"/>
      <c r="I33890" s="711"/>
      <c r="J33890" s="711"/>
      <c r="K33890" s="711"/>
      <c r="L33890" s="711"/>
      <c r="Q33890" s="11"/>
      <c r="R33890" s="11"/>
      <c r="S33890" s="11"/>
      <c r="T33890" s="11"/>
    </row>
    <row r="33891" spans="8:20" x14ac:dyDescent="0.35">
      <c r="H33891" s="711"/>
      <c r="I33891" s="711"/>
      <c r="J33891" s="711"/>
      <c r="K33891" s="711"/>
      <c r="L33891" s="711"/>
      <c r="Q33891" s="11"/>
      <c r="R33891" s="11"/>
      <c r="S33891" s="11"/>
      <c r="T33891" s="11"/>
    </row>
    <row r="33892" spans="8:20" x14ac:dyDescent="0.35">
      <c r="H33892" s="711"/>
      <c r="I33892" s="711"/>
      <c r="J33892" s="711"/>
      <c r="K33892" s="711"/>
      <c r="L33892" s="711"/>
      <c r="Q33892" s="11"/>
      <c r="R33892" s="11"/>
      <c r="S33892" s="11"/>
      <c r="T33892" s="11"/>
    </row>
    <row r="33893" spans="8:20" x14ac:dyDescent="0.35">
      <c r="H33893" s="711"/>
      <c r="I33893" s="711"/>
      <c r="J33893" s="711"/>
      <c r="K33893" s="711"/>
      <c r="L33893" s="711"/>
      <c r="Q33893" s="11"/>
      <c r="R33893" s="11"/>
      <c r="S33893" s="11"/>
      <c r="T33893" s="11"/>
    </row>
    <row r="33894" spans="8:20" x14ac:dyDescent="0.35">
      <c r="H33894" s="711"/>
      <c r="I33894" s="711"/>
      <c r="J33894" s="711"/>
      <c r="K33894" s="711"/>
      <c r="L33894" s="711"/>
      <c r="Q33894" s="11"/>
      <c r="R33894" s="11"/>
      <c r="S33894" s="11"/>
      <c r="T33894" s="11"/>
    </row>
    <row r="33895" spans="8:20" x14ac:dyDescent="0.35">
      <c r="H33895" s="711"/>
      <c r="I33895" s="711"/>
      <c r="J33895" s="711"/>
      <c r="K33895" s="711"/>
      <c r="L33895" s="711"/>
      <c r="Q33895" s="11"/>
      <c r="R33895" s="11"/>
      <c r="S33895" s="11"/>
      <c r="T33895" s="11"/>
    </row>
    <row r="33896" spans="8:20" x14ac:dyDescent="0.35">
      <c r="H33896" s="711"/>
      <c r="I33896" s="711"/>
      <c r="J33896" s="711"/>
      <c r="K33896" s="711"/>
      <c r="L33896" s="711"/>
      <c r="Q33896" s="11"/>
      <c r="R33896" s="11"/>
      <c r="S33896" s="11"/>
      <c r="T33896" s="11"/>
    </row>
    <row r="33897" spans="8:20" x14ac:dyDescent="0.35">
      <c r="H33897" s="711"/>
      <c r="I33897" s="711"/>
      <c r="J33897" s="711"/>
      <c r="K33897" s="711"/>
      <c r="L33897" s="711"/>
      <c r="Q33897" s="11"/>
      <c r="R33897" s="11"/>
      <c r="S33897" s="11"/>
      <c r="T33897" s="11"/>
    </row>
    <row r="33898" spans="8:20" x14ac:dyDescent="0.35">
      <c r="H33898" s="711"/>
      <c r="I33898" s="711"/>
      <c r="J33898" s="711"/>
      <c r="K33898" s="711"/>
      <c r="L33898" s="711"/>
      <c r="Q33898" s="11"/>
      <c r="R33898" s="11"/>
      <c r="S33898" s="11"/>
      <c r="T33898" s="11"/>
    </row>
    <row r="33899" spans="8:20" x14ac:dyDescent="0.35">
      <c r="H33899" s="711"/>
      <c r="I33899" s="711"/>
      <c r="J33899" s="711"/>
      <c r="K33899" s="711"/>
      <c r="L33899" s="711"/>
      <c r="Q33899" s="11"/>
      <c r="R33899" s="11"/>
      <c r="S33899" s="11"/>
      <c r="T33899" s="11"/>
    </row>
    <row r="33900" spans="8:20" x14ac:dyDescent="0.35">
      <c r="H33900" s="711"/>
      <c r="I33900" s="711"/>
      <c r="J33900" s="711"/>
      <c r="K33900" s="711"/>
      <c r="L33900" s="711"/>
      <c r="Q33900" s="11"/>
      <c r="R33900" s="11"/>
      <c r="S33900" s="11"/>
      <c r="T33900" s="11"/>
    </row>
    <row r="33901" spans="8:20" x14ac:dyDescent="0.35">
      <c r="H33901" s="711"/>
      <c r="I33901" s="711"/>
      <c r="J33901" s="711"/>
      <c r="K33901" s="711"/>
      <c r="L33901" s="711"/>
      <c r="Q33901" s="11"/>
      <c r="R33901" s="11"/>
      <c r="S33901" s="11"/>
      <c r="T33901" s="11"/>
    </row>
    <row r="33902" spans="8:20" x14ac:dyDescent="0.35">
      <c r="H33902" s="711"/>
      <c r="I33902" s="711"/>
      <c r="J33902" s="711"/>
      <c r="K33902" s="711"/>
      <c r="L33902" s="711"/>
      <c r="Q33902" s="11"/>
      <c r="R33902" s="11"/>
      <c r="S33902" s="11"/>
      <c r="T33902" s="11"/>
    </row>
    <row r="33903" spans="8:20" x14ac:dyDescent="0.35">
      <c r="H33903" s="711"/>
      <c r="I33903" s="711"/>
      <c r="J33903" s="711"/>
      <c r="K33903" s="711"/>
      <c r="L33903" s="711"/>
      <c r="Q33903" s="11"/>
      <c r="R33903" s="11"/>
      <c r="S33903" s="11"/>
      <c r="T33903" s="11"/>
    </row>
    <row r="33904" spans="8:20" x14ac:dyDescent="0.35">
      <c r="H33904" s="711"/>
      <c r="I33904" s="711"/>
      <c r="J33904" s="711"/>
      <c r="K33904" s="711"/>
      <c r="L33904" s="711"/>
      <c r="Q33904" s="11"/>
      <c r="R33904" s="11"/>
      <c r="S33904" s="11"/>
      <c r="T33904" s="11"/>
    </row>
    <row r="33905" spans="8:20" x14ac:dyDescent="0.35">
      <c r="H33905" s="711"/>
      <c r="I33905" s="711"/>
      <c r="J33905" s="711"/>
      <c r="K33905" s="711"/>
      <c r="L33905" s="711"/>
      <c r="Q33905" s="11"/>
      <c r="R33905" s="11"/>
      <c r="S33905" s="11"/>
      <c r="T33905" s="11"/>
    </row>
    <row r="33906" spans="8:20" x14ac:dyDescent="0.35">
      <c r="H33906" s="711"/>
      <c r="I33906" s="711"/>
      <c r="J33906" s="711"/>
      <c r="K33906" s="711"/>
      <c r="L33906" s="711"/>
      <c r="Q33906" s="11"/>
      <c r="R33906" s="11"/>
      <c r="S33906" s="11"/>
      <c r="T33906" s="11"/>
    </row>
    <row r="33907" spans="8:20" x14ac:dyDescent="0.35">
      <c r="H33907" s="711"/>
      <c r="I33907" s="711"/>
      <c r="J33907" s="711"/>
      <c r="K33907" s="711"/>
      <c r="L33907" s="711"/>
      <c r="Q33907" s="11"/>
      <c r="R33907" s="11"/>
      <c r="S33907" s="11"/>
      <c r="T33907" s="11"/>
    </row>
    <row r="33908" spans="8:20" x14ac:dyDescent="0.35">
      <c r="H33908" s="711"/>
      <c r="I33908" s="711"/>
      <c r="J33908" s="711"/>
      <c r="K33908" s="711"/>
      <c r="L33908" s="711"/>
      <c r="Q33908" s="11"/>
      <c r="R33908" s="11"/>
      <c r="S33908" s="11"/>
      <c r="T33908" s="11"/>
    </row>
    <row r="33909" spans="8:20" x14ac:dyDescent="0.35">
      <c r="H33909" s="711"/>
      <c r="I33909" s="711"/>
      <c r="J33909" s="711"/>
      <c r="K33909" s="711"/>
      <c r="L33909" s="711"/>
      <c r="Q33909" s="11"/>
      <c r="R33909" s="11"/>
      <c r="S33909" s="11"/>
      <c r="T33909" s="11"/>
    </row>
    <row r="33910" spans="8:20" x14ac:dyDescent="0.35">
      <c r="H33910" s="711"/>
      <c r="I33910" s="711"/>
      <c r="J33910" s="711"/>
      <c r="K33910" s="711"/>
      <c r="L33910" s="711"/>
      <c r="Q33910" s="11"/>
      <c r="R33910" s="11"/>
      <c r="S33910" s="11"/>
      <c r="T33910" s="11"/>
    </row>
    <row r="33911" spans="8:20" x14ac:dyDescent="0.35">
      <c r="H33911" s="711"/>
      <c r="I33911" s="711"/>
      <c r="J33911" s="711"/>
      <c r="K33911" s="711"/>
      <c r="L33911" s="711"/>
      <c r="Q33911" s="11"/>
      <c r="R33911" s="11"/>
      <c r="S33911" s="11"/>
      <c r="T33911" s="11"/>
    </row>
    <row r="33912" spans="8:20" x14ac:dyDescent="0.35">
      <c r="H33912" s="711"/>
      <c r="I33912" s="711"/>
      <c r="J33912" s="711"/>
      <c r="K33912" s="711"/>
      <c r="L33912" s="711"/>
      <c r="Q33912" s="11"/>
      <c r="R33912" s="11"/>
      <c r="S33912" s="11"/>
      <c r="T33912" s="11"/>
    </row>
    <row r="33913" spans="8:20" x14ac:dyDescent="0.35">
      <c r="H33913" s="711"/>
      <c r="I33913" s="711"/>
      <c r="J33913" s="711"/>
      <c r="K33913" s="711"/>
      <c r="L33913" s="711"/>
      <c r="Q33913" s="11"/>
      <c r="R33913" s="11"/>
      <c r="S33913" s="11"/>
      <c r="T33913" s="11"/>
    </row>
    <row r="33914" spans="8:20" x14ac:dyDescent="0.35">
      <c r="H33914" s="711"/>
      <c r="I33914" s="711"/>
      <c r="J33914" s="711"/>
      <c r="K33914" s="711"/>
      <c r="L33914" s="711"/>
      <c r="Q33914" s="11"/>
      <c r="R33914" s="11"/>
      <c r="S33914" s="11"/>
      <c r="T33914" s="11"/>
    </row>
    <row r="33915" spans="8:20" x14ac:dyDescent="0.35">
      <c r="H33915" s="711"/>
      <c r="I33915" s="711"/>
      <c r="J33915" s="711"/>
      <c r="K33915" s="711"/>
      <c r="L33915" s="711"/>
      <c r="Q33915" s="11"/>
      <c r="R33915" s="11"/>
      <c r="S33915" s="11"/>
      <c r="T33915" s="11"/>
    </row>
    <row r="33916" spans="8:20" x14ac:dyDescent="0.35">
      <c r="H33916" s="711"/>
      <c r="I33916" s="711"/>
      <c r="J33916" s="711"/>
      <c r="K33916" s="711"/>
      <c r="L33916" s="711"/>
      <c r="Q33916" s="11"/>
      <c r="R33916" s="11"/>
      <c r="S33916" s="11"/>
      <c r="T33916" s="11"/>
    </row>
    <row r="33917" spans="8:20" x14ac:dyDescent="0.35">
      <c r="H33917" s="711"/>
      <c r="I33917" s="711"/>
      <c r="J33917" s="711"/>
      <c r="K33917" s="711"/>
      <c r="L33917" s="711"/>
      <c r="Q33917" s="11"/>
      <c r="R33917" s="11"/>
      <c r="S33917" s="11"/>
      <c r="T33917" s="11"/>
    </row>
    <row r="33918" spans="8:20" x14ac:dyDescent="0.35">
      <c r="H33918" s="711"/>
      <c r="I33918" s="711"/>
      <c r="J33918" s="711"/>
      <c r="K33918" s="711"/>
      <c r="L33918" s="711"/>
      <c r="Q33918" s="11"/>
      <c r="R33918" s="11"/>
      <c r="S33918" s="11"/>
      <c r="T33918" s="11"/>
    </row>
    <row r="33919" spans="8:20" x14ac:dyDescent="0.35">
      <c r="H33919" s="711"/>
      <c r="I33919" s="711"/>
      <c r="J33919" s="711"/>
      <c r="K33919" s="711"/>
      <c r="L33919" s="711"/>
      <c r="Q33919" s="11"/>
      <c r="R33919" s="11"/>
      <c r="S33919" s="11"/>
      <c r="T33919" s="11"/>
    </row>
    <row r="33920" spans="8:20" x14ac:dyDescent="0.35">
      <c r="H33920" s="711"/>
      <c r="I33920" s="711"/>
      <c r="J33920" s="711"/>
      <c r="K33920" s="711"/>
      <c r="L33920" s="711"/>
      <c r="Q33920" s="11"/>
      <c r="R33920" s="11"/>
      <c r="S33920" s="11"/>
      <c r="T33920" s="11"/>
    </row>
    <row r="33921" spans="8:20" x14ac:dyDescent="0.35">
      <c r="H33921" s="711"/>
      <c r="I33921" s="711"/>
      <c r="J33921" s="711"/>
      <c r="K33921" s="711"/>
      <c r="L33921" s="711"/>
      <c r="Q33921" s="11"/>
      <c r="R33921" s="11"/>
      <c r="S33921" s="11"/>
      <c r="T33921" s="11"/>
    </row>
    <row r="33922" spans="8:20" x14ac:dyDescent="0.35">
      <c r="H33922" s="711"/>
      <c r="I33922" s="711"/>
      <c r="J33922" s="711"/>
      <c r="K33922" s="711"/>
      <c r="L33922" s="711"/>
      <c r="Q33922" s="11"/>
      <c r="R33922" s="11"/>
      <c r="S33922" s="11"/>
      <c r="T33922" s="11"/>
    </row>
    <row r="33923" spans="8:20" x14ac:dyDescent="0.35">
      <c r="H33923" s="711"/>
      <c r="I33923" s="711"/>
      <c r="J33923" s="711"/>
      <c r="K33923" s="711"/>
      <c r="L33923" s="711"/>
      <c r="Q33923" s="11"/>
      <c r="R33923" s="11"/>
      <c r="S33923" s="11"/>
      <c r="T33923" s="11"/>
    </row>
    <row r="33924" spans="8:20" x14ac:dyDescent="0.35">
      <c r="H33924" s="711"/>
      <c r="I33924" s="711"/>
      <c r="J33924" s="711"/>
      <c r="K33924" s="711"/>
      <c r="L33924" s="711"/>
      <c r="Q33924" s="11"/>
      <c r="R33924" s="11"/>
      <c r="S33924" s="11"/>
      <c r="T33924" s="11"/>
    </row>
    <row r="33925" spans="8:20" x14ac:dyDescent="0.35">
      <c r="H33925" s="711"/>
      <c r="I33925" s="711"/>
      <c r="J33925" s="711"/>
      <c r="K33925" s="711"/>
      <c r="L33925" s="711"/>
      <c r="Q33925" s="11"/>
      <c r="R33925" s="11"/>
      <c r="S33925" s="11"/>
      <c r="T33925" s="11"/>
    </row>
    <row r="33926" spans="8:20" x14ac:dyDescent="0.35">
      <c r="H33926" s="711"/>
      <c r="I33926" s="711"/>
      <c r="J33926" s="711"/>
      <c r="K33926" s="711"/>
      <c r="L33926" s="711"/>
      <c r="Q33926" s="11"/>
      <c r="R33926" s="11"/>
      <c r="S33926" s="11"/>
      <c r="T33926" s="11"/>
    </row>
    <row r="33927" spans="8:20" x14ac:dyDescent="0.35">
      <c r="H33927" s="711"/>
      <c r="I33927" s="711"/>
      <c r="J33927" s="711"/>
      <c r="K33927" s="711"/>
      <c r="L33927" s="711"/>
      <c r="Q33927" s="11"/>
      <c r="R33927" s="11"/>
      <c r="S33927" s="11"/>
      <c r="T33927" s="11"/>
    </row>
    <row r="33928" spans="8:20" x14ac:dyDescent="0.35">
      <c r="H33928" s="711"/>
      <c r="I33928" s="711"/>
      <c r="J33928" s="711"/>
      <c r="K33928" s="711"/>
      <c r="L33928" s="711"/>
      <c r="Q33928" s="11"/>
      <c r="R33928" s="11"/>
      <c r="S33928" s="11"/>
      <c r="T33928" s="11"/>
    </row>
    <row r="33929" spans="8:20" x14ac:dyDescent="0.35">
      <c r="H33929" s="711"/>
      <c r="I33929" s="711"/>
      <c r="J33929" s="711"/>
      <c r="K33929" s="711"/>
      <c r="L33929" s="711"/>
      <c r="Q33929" s="11"/>
      <c r="R33929" s="11"/>
      <c r="S33929" s="11"/>
      <c r="T33929" s="11"/>
    </row>
    <row r="33930" spans="8:20" x14ac:dyDescent="0.35">
      <c r="H33930" s="711"/>
      <c r="I33930" s="711"/>
      <c r="J33930" s="711"/>
      <c r="K33930" s="711"/>
      <c r="L33930" s="711"/>
      <c r="Q33930" s="11"/>
      <c r="R33930" s="11"/>
      <c r="S33930" s="11"/>
      <c r="T33930" s="11"/>
    </row>
    <row r="33931" spans="8:20" x14ac:dyDescent="0.35">
      <c r="H33931" s="711"/>
      <c r="I33931" s="711"/>
      <c r="J33931" s="711"/>
      <c r="K33931" s="711"/>
      <c r="L33931" s="711"/>
      <c r="Q33931" s="11"/>
      <c r="R33931" s="11"/>
      <c r="S33931" s="11"/>
      <c r="T33931" s="11"/>
    </row>
    <row r="33932" spans="8:20" x14ac:dyDescent="0.35">
      <c r="H33932" s="711"/>
      <c r="I33932" s="711"/>
      <c r="J33932" s="711"/>
      <c r="K33932" s="711"/>
      <c r="L33932" s="711"/>
      <c r="Q33932" s="11"/>
      <c r="R33932" s="11"/>
      <c r="S33932" s="11"/>
      <c r="T33932" s="11"/>
    </row>
    <row r="33933" spans="8:20" x14ac:dyDescent="0.35">
      <c r="H33933" s="711"/>
      <c r="I33933" s="711"/>
      <c r="J33933" s="711"/>
      <c r="K33933" s="711"/>
      <c r="L33933" s="711"/>
      <c r="Q33933" s="11"/>
      <c r="R33933" s="11"/>
      <c r="S33933" s="11"/>
      <c r="T33933" s="11"/>
    </row>
    <row r="33934" spans="8:20" x14ac:dyDescent="0.35">
      <c r="H33934" s="711"/>
      <c r="I33934" s="711"/>
      <c r="J33934" s="711"/>
      <c r="K33934" s="711"/>
      <c r="L33934" s="711"/>
      <c r="Q33934" s="11"/>
      <c r="R33934" s="11"/>
      <c r="S33934" s="11"/>
      <c r="T33934" s="11"/>
    </row>
    <row r="33935" spans="8:20" x14ac:dyDescent="0.35">
      <c r="H33935" s="711"/>
      <c r="I33935" s="711"/>
      <c r="J33935" s="711"/>
      <c r="K33935" s="711"/>
      <c r="L33935" s="711"/>
      <c r="Q33935" s="11"/>
      <c r="R33935" s="11"/>
      <c r="S33935" s="11"/>
      <c r="T33935" s="11"/>
    </row>
    <row r="33936" spans="8:20" x14ac:dyDescent="0.35">
      <c r="H33936" s="711"/>
      <c r="I33936" s="711"/>
      <c r="J33936" s="711"/>
      <c r="K33936" s="711"/>
      <c r="L33936" s="711"/>
      <c r="Q33936" s="11"/>
      <c r="R33936" s="11"/>
      <c r="S33936" s="11"/>
      <c r="T33936" s="11"/>
    </row>
    <row r="33937" spans="8:20" x14ac:dyDescent="0.35">
      <c r="H33937" s="711"/>
      <c r="I33937" s="711"/>
      <c r="J33937" s="711"/>
      <c r="K33937" s="711"/>
      <c r="L33937" s="711"/>
      <c r="Q33937" s="11"/>
      <c r="R33937" s="11"/>
      <c r="S33937" s="11"/>
      <c r="T33937" s="11"/>
    </row>
    <row r="33938" spans="8:20" x14ac:dyDescent="0.35">
      <c r="H33938" s="711"/>
      <c r="I33938" s="711"/>
      <c r="J33938" s="711"/>
      <c r="K33938" s="711"/>
      <c r="L33938" s="711"/>
      <c r="Q33938" s="11"/>
      <c r="R33938" s="11"/>
      <c r="S33938" s="11"/>
      <c r="T33938" s="11"/>
    </row>
    <row r="33939" spans="8:20" x14ac:dyDescent="0.35">
      <c r="H33939" s="711"/>
      <c r="I33939" s="711"/>
      <c r="J33939" s="711"/>
      <c r="K33939" s="711"/>
      <c r="L33939" s="711"/>
      <c r="Q33939" s="11"/>
      <c r="R33939" s="11"/>
      <c r="S33939" s="11"/>
      <c r="T33939" s="11"/>
    </row>
    <row r="33940" spans="8:20" x14ac:dyDescent="0.35">
      <c r="H33940" s="711"/>
      <c r="I33940" s="711"/>
      <c r="J33940" s="711"/>
      <c r="K33940" s="711"/>
      <c r="L33940" s="711"/>
      <c r="Q33940" s="11"/>
      <c r="R33940" s="11"/>
      <c r="S33940" s="11"/>
      <c r="T33940" s="11"/>
    </row>
    <row r="33941" spans="8:20" x14ac:dyDescent="0.35">
      <c r="H33941" s="711"/>
      <c r="I33941" s="711"/>
      <c r="J33941" s="711"/>
      <c r="K33941" s="711"/>
      <c r="L33941" s="711"/>
      <c r="Q33941" s="11"/>
      <c r="R33941" s="11"/>
      <c r="S33941" s="11"/>
      <c r="T33941" s="11"/>
    </row>
    <row r="33942" spans="8:20" x14ac:dyDescent="0.35">
      <c r="H33942" s="711"/>
      <c r="I33942" s="711"/>
      <c r="J33942" s="711"/>
      <c r="K33942" s="711"/>
      <c r="L33942" s="711"/>
      <c r="Q33942" s="11"/>
      <c r="R33942" s="11"/>
      <c r="S33942" s="11"/>
      <c r="T33942" s="11"/>
    </row>
    <row r="33943" spans="8:20" x14ac:dyDescent="0.35">
      <c r="H33943" s="711"/>
      <c r="I33943" s="711"/>
      <c r="J33943" s="711"/>
      <c r="K33943" s="711"/>
      <c r="L33943" s="711"/>
      <c r="Q33943" s="11"/>
      <c r="R33943" s="11"/>
      <c r="S33943" s="11"/>
      <c r="T33943" s="11"/>
    </row>
    <row r="33944" spans="8:20" x14ac:dyDescent="0.35">
      <c r="H33944" s="711"/>
      <c r="I33944" s="711"/>
      <c r="J33944" s="711"/>
      <c r="K33944" s="711"/>
      <c r="L33944" s="711"/>
      <c r="Q33944" s="11"/>
      <c r="R33944" s="11"/>
      <c r="S33944" s="11"/>
      <c r="T33944" s="11"/>
    </row>
    <row r="33945" spans="8:20" x14ac:dyDescent="0.35">
      <c r="H33945" s="711"/>
      <c r="I33945" s="711"/>
      <c r="J33945" s="711"/>
      <c r="K33945" s="711"/>
      <c r="L33945" s="711"/>
      <c r="Q33945" s="11"/>
      <c r="R33945" s="11"/>
      <c r="S33945" s="11"/>
      <c r="T33945" s="11"/>
    </row>
    <row r="33946" spans="8:20" x14ac:dyDescent="0.35">
      <c r="H33946" s="711"/>
      <c r="I33946" s="711"/>
      <c r="J33946" s="711"/>
      <c r="K33946" s="711"/>
      <c r="L33946" s="711"/>
      <c r="Q33946" s="11"/>
      <c r="R33946" s="11"/>
      <c r="S33946" s="11"/>
      <c r="T33946" s="11"/>
    </row>
    <row r="33947" spans="8:20" x14ac:dyDescent="0.35">
      <c r="H33947" s="711"/>
      <c r="I33947" s="711"/>
      <c r="J33947" s="711"/>
      <c r="K33947" s="711"/>
      <c r="L33947" s="711"/>
      <c r="Q33947" s="11"/>
      <c r="R33947" s="11"/>
      <c r="S33947" s="11"/>
      <c r="T33947" s="11"/>
    </row>
    <row r="33948" spans="8:20" x14ac:dyDescent="0.35">
      <c r="H33948" s="711"/>
      <c r="I33948" s="711"/>
      <c r="J33948" s="711"/>
      <c r="K33948" s="711"/>
      <c r="L33948" s="711"/>
      <c r="Q33948" s="11"/>
      <c r="R33948" s="11"/>
      <c r="S33948" s="11"/>
      <c r="T33948" s="11"/>
    </row>
    <row r="33949" spans="8:20" x14ac:dyDescent="0.35">
      <c r="H33949" s="711"/>
      <c r="I33949" s="711"/>
      <c r="J33949" s="711"/>
      <c r="K33949" s="711"/>
      <c r="L33949" s="711"/>
      <c r="Q33949" s="11"/>
      <c r="R33949" s="11"/>
      <c r="S33949" s="11"/>
      <c r="T33949" s="11"/>
    </row>
    <row r="33950" spans="8:20" x14ac:dyDescent="0.35">
      <c r="H33950" s="711"/>
      <c r="I33950" s="711"/>
      <c r="J33950" s="711"/>
      <c r="K33950" s="711"/>
      <c r="L33950" s="711"/>
      <c r="Q33950" s="11"/>
      <c r="R33950" s="11"/>
      <c r="S33950" s="11"/>
      <c r="T33950" s="11"/>
    </row>
    <row r="33951" spans="8:20" x14ac:dyDescent="0.35">
      <c r="H33951" s="711"/>
      <c r="I33951" s="711"/>
      <c r="J33951" s="711"/>
      <c r="K33951" s="711"/>
      <c r="L33951" s="711"/>
      <c r="Q33951" s="11"/>
      <c r="R33951" s="11"/>
      <c r="S33951" s="11"/>
      <c r="T33951" s="11"/>
    </row>
    <row r="33952" spans="8:20" x14ac:dyDescent="0.35">
      <c r="H33952" s="711"/>
      <c r="I33952" s="711"/>
      <c r="J33952" s="711"/>
      <c r="K33952" s="711"/>
      <c r="L33952" s="711"/>
      <c r="Q33952" s="11"/>
      <c r="R33952" s="11"/>
      <c r="S33952" s="11"/>
      <c r="T33952" s="11"/>
    </row>
    <row r="33953" spans="8:20" x14ac:dyDescent="0.35">
      <c r="H33953" s="711"/>
      <c r="I33953" s="711"/>
      <c r="J33953" s="711"/>
      <c r="K33953" s="711"/>
      <c r="L33953" s="711"/>
      <c r="Q33953" s="11"/>
      <c r="R33953" s="11"/>
      <c r="S33953" s="11"/>
      <c r="T33953" s="11"/>
    </row>
    <row r="33954" spans="8:20" x14ac:dyDescent="0.35">
      <c r="H33954" s="711"/>
      <c r="I33954" s="711"/>
      <c r="J33954" s="711"/>
      <c r="K33954" s="711"/>
      <c r="L33954" s="711"/>
      <c r="Q33954" s="11"/>
      <c r="R33954" s="11"/>
      <c r="S33954" s="11"/>
      <c r="T33954" s="11"/>
    </row>
    <row r="33955" spans="8:20" x14ac:dyDescent="0.35">
      <c r="H33955" s="711"/>
      <c r="I33955" s="711"/>
      <c r="J33955" s="711"/>
      <c r="K33955" s="711"/>
      <c r="L33955" s="711"/>
      <c r="Q33955" s="11"/>
      <c r="R33955" s="11"/>
      <c r="S33955" s="11"/>
      <c r="T33955" s="11"/>
    </row>
    <row r="33956" spans="8:20" x14ac:dyDescent="0.35">
      <c r="H33956" s="711"/>
      <c r="I33956" s="711"/>
      <c r="J33956" s="711"/>
      <c r="K33956" s="711"/>
      <c r="L33956" s="711"/>
      <c r="Q33956" s="11"/>
      <c r="R33956" s="11"/>
      <c r="S33956" s="11"/>
      <c r="T33956" s="11"/>
    </row>
    <row r="33957" spans="8:20" x14ac:dyDescent="0.35">
      <c r="H33957" s="711"/>
      <c r="I33957" s="711"/>
      <c r="J33957" s="711"/>
      <c r="K33957" s="711"/>
      <c r="L33957" s="711"/>
      <c r="Q33957" s="11"/>
      <c r="R33957" s="11"/>
      <c r="S33957" s="11"/>
      <c r="T33957" s="11"/>
    </row>
    <row r="33958" spans="8:20" x14ac:dyDescent="0.35">
      <c r="H33958" s="711"/>
      <c r="I33958" s="711"/>
      <c r="J33958" s="711"/>
      <c r="K33958" s="711"/>
      <c r="L33958" s="711"/>
      <c r="Q33958" s="11"/>
      <c r="R33958" s="11"/>
      <c r="S33958" s="11"/>
      <c r="T33958" s="11"/>
    </row>
    <row r="33959" spans="8:20" x14ac:dyDescent="0.35">
      <c r="H33959" s="711"/>
      <c r="I33959" s="711"/>
      <c r="J33959" s="711"/>
      <c r="K33959" s="711"/>
      <c r="L33959" s="711"/>
      <c r="Q33959" s="11"/>
      <c r="R33959" s="11"/>
      <c r="S33959" s="11"/>
      <c r="T33959" s="11"/>
    </row>
    <row r="33960" spans="8:20" x14ac:dyDescent="0.35">
      <c r="H33960" s="711"/>
      <c r="I33960" s="711"/>
      <c r="J33960" s="711"/>
      <c r="K33960" s="711"/>
      <c r="L33960" s="711"/>
      <c r="Q33960" s="11"/>
      <c r="R33960" s="11"/>
      <c r="S33960" s="11"/>
      <c r="T33960" s="11"/>
    </row>
    <row r="33961" spans="8:20" x14ac:dyDescent="0.35">
      <c r="H33961" s="711"/>
      <c r="I33961" s="711"/>
      <c r="J33961" s="711"/>
      <c r="K33961" s="711"/>
      <c r="L33961" s="711"/>
      <c r="Q33961" s="11"/>
      <c r="R33961" s="11"/>
      <c r="S33961" s="11"/>
      <c r="T33961" s="11"/>
    </row>
    <row r="33962" spans="8:20" x14ac:dyDescent="0.35">
      <c r="H33962" s="711"/>
      <c r="I33962" s="711"/>
      <c r="J33962" s="711"/>
      <c r="K33962" s="711"/>
      <c r="L33962" s="711"/>
      <c r="Q33962" s="11"/>
      <c r="R33962" s="11"/>
      <c r="S33962" s="11"/>
      <c r="T33962" s="11"/>
    </row>
    <row r="33963" spans="8:20" x14ac:dyDescent="0.35">
      <c r="H33963" s="711"/>
      <c r="I33963" s="711"/>
      <c r="J33963" s="711"/>
      <c r="K33963" s="711"/>
      <c r="L33963" s="711"/>
      <c r="Q33963" s="11"/>
      <c r="R33963" s="11"/>
      <c r="S33963" s="11"/>
      <c r="T33963" s="11"/>
    </row>
    <row r="33964" spans="8:20" x14ac:dyDescent="0.35">
      <c r="H33964" s="711"/>
      <c r="I33964" s="711"/>
      <c r="J33964" s="711"/>
      <c r="K33964" s="711"/>
      <c r="L33964" s="711"/>
      <c r="Q33964" s="11"/>
      <c r="R33964" s="11"/>
      <c r="S33964" s="11"/>
      <c r="T33964" s="11"/>
    </row>
    <row r="33965" spans="8:20" x14ac:dyDescent="0.35">
      <c r="H33965" s="711"/>
      <c r="I33965" s="711"/>
      <c r="J33965" s="711"/>
      <c r="K33965" s="711"/>
      <c r="L33965" s="711"/>
      <c r="Q33965" s="11"/>
      <c r="R33965" s="11"/>
      <c r="S33965" s="11"/>
      <c r="T33965" s="11"/>
    </row>
    <row r="33966" spans="8:20" x14ac:dyDescent="0.35">
      <c r="H33966" s="711"/>
      <c r="I33966" s="711"/>
      <c r="J33966" s="711"/>
      <c r="K33966" s="711"/>
      <c r="L33966" s="711"/>
      <c r="Q33966" s="11"/>
      <c r="R33966" s="11"/>
      <c r="S33966" s="11"/>
      <c r="T33966" s="11"/>
    </row>
    <row r="33967" spans="8:20" x14ac:dyDescent="0.35">
      <c r="H33967" s="711"/>
      <c r="I33967" s="711"/>
      <c r="J33967" s="711"/>
      <c r="K33967" s="711"/>
      <c r="L33967" s="711"/>
      <c r="Q33967" s="11"/>
      <c r="R33967" s="11"/>
      <c r="S33967" s="11"/>
      <c r="T33967" s="11"/>
    </row>
    <row r="33968" spans="8:20" x14ac:dyDescent="0.35">
      <c r="H33968" s="711"/>
      <c r="I33968" s="711"/>
      <c r="J33968" s="711"/>
      <c r="K33968" s="711"/>
      <c r="L33968" s="711"/>
      <c r="Q33968" s="11"/>
      <c r="R33968" s="11"/>
      <c r="S33968" s="11"/>
      <c r="T33968" s="11"/>
    </row>
    <row r="33969" spans="8:20" x14ac:dyDescent="0.35">
      <c r="H33969" s="711"/>
      <c r="I33969" s="711"/>
      <c r="J33969" s="711"/>
      <c r="K33969" s="711"/>
      <c r="L33969" s="711"/>
      <c r="Q33969" s="11"/>
      <c r="R33969" s="11"/>
      <c r="S33969" s="11"/>
      <c r="T33969" s="11"/>
    </row>
    <row r="33970" spans="8:20" x14ac:dyDescent="0.35">
      <c r="H33970" s="711"/>
      <c r="I33970" s="711"/>
      <c r="J33970" s="711"/>
      <c r="K33970" s="711"/>
      <c r="L33970" s="711"/>
      <c r="Q33970" s="11"/>
      <c r="R33970" s="11"/>
      <c r="S33970" s="11"/>
      <c r="T33970" s="11"/>
    </row>
    <row r="33971" spans="8:20" x14ac:dyDescent="0.35">
      <c r="H33971" s="711"/>
      <c r="I33971" s="711"/>
      <c r="J33971" s="711"/>
      <c r="K33971" s="711"/>
      <c r="L33971" s="711"/>
      <c r="Q33971" s="11"/>
      <c r="R33971" s="11"/>
      <c r="S33971" s="11"/>
      <c r="T33971" s="11"/>
    </row>
    <row r="33972" spans="8:20" x14ac:dyDescent="0.35">
      <c r="H33972" s="711"/>
      <c r="I33972" s="711"/>
      <c r="J33972" s="711"/>
      <c r="K33972" s="711"/>
      <c r="L33972" s="711"/>
      <c r="Q33972" s="11"/>
      <c r="R33972" s="11"/>
      <c r="S33972" s="11"/>
      <c r="T33972" s="11"/>
    </row>
    <row r="33973" spans="8:20" x14ac:dyDescent="0.35">
      <c r="H33973" s="711"/>
      <c r="I33973" s="711"/>
      <c r="J33973" s="711"/>
      <c r="K33973" s="711"/>
      <c r="L33973" s="711"/>
      <c r="Q33973" s="11"/>
      <c r="R33973" s="11"/>
      <c r="S33973" s="11"/>
      <c r="T33973" s="11"/>
    </row>
    <row r="33974" spans="8:20" x14ac:dyDescent="0.35">
      <c r="H33974" s="711"/>
      <c r="I33974" s="711"/>
      <c r="J33974" s="711"/>
      <c r="K33974" s="711"/>
      <c r="L33974" s="711"/>
      <c r="Q33974" s="11"/>
      <c r="R33974" s="11"/>
      <c r="S33974" s="11"/>
      <c r="T33974" s="11"/>
    </row>
    <row r="33975" spans="8:20" x14ac:dyDescent="0.35">
      <c r="H33975" s="711"/>
      <c r="I33975" s="711"/>
      <c r="J33975" s="711"/>
      <c r="K33975" s="711"/>
      <c r="L33975" s="711"/>
      <c r="Q33975" s="11"/>
      <c r="R33975" s="11"/>
      <c r="S33975" s="11"/>
      <c r="T33975" s="11"/>
    </row>
    <row r="33976" spans="8:20" x14ac:dyDescent="0.35">
      <c r="H33976" s="711"/>
      <c r="I33976" s="711"/>
      <c r="J33976" s="711"/>
      <c r="K33976" s="711"/>
      <c r="L33976" s="711"/>
      <c r="Q33976" s="11"/>
      <c r="R33976" s="11"/>
      <c r="S33976" s="11"/>
      <c r="T33976" s="11"/>
    </row>
    <row r="33977" spans="8:20" x14ac:dyDescent="0.35">
      <c r="H33977" s="711"/>
      <c r="I33977" s="711"/>
      <c r="J33977" s="711"/>
      <c r="K33977" s="711"/>
      <c r="L33977" s="711"/>
      <c r="Q33977" s="11"/>
      <c r="R33977" s="11"/>
      <c r="S33977" s="11"/>
      <c r="T33977" s="11"/>
    </row>
    <row r="33978" spans="8:20" x14ac:dyDescent="0.35">
      <c r="H33978" s="711"/>
      <c r="I33978" s="711"/>
      <c r="J33978" s="711"/>
      <c r="K33978" s="711"/>
      <c r="L33978" s="711"/>
      <c r="Q33978" s="11"/>
      <c r="R33978" s="11"/>
      <c r="S33978" s="11"/>
      <c r="T33978" s="11"/>
    </row>
    <row r="33979" spans="8:20" x14ac:dyDescent="0.35">
      <c r="H33979" s="711"/>
      <c r="I33979" s="711"/>
      <c r="J33979" s="711"/>
      <c r="K33979" s="711"/>
      <c r="L33979" s="711"/>
      <c r="Q33979" s="11"/>
      <c r="R33979" s="11"/>
      <c r="S33979" s="11"/>
      <c r="T33979" s="11"/>
    </row>
    <row r="33980" spans="8:20" x14ac:dyDescent="0.35">
      <c r="H33980" s="711"/>
      <c r="I33980" s="711"/>
      <c r="J33980" s="711"/>
      <c r="K33980" s="711"/>
      <c r="L33980" s="711"/>
      <c r="Q33980" s="11"/>
      <c r="R33980" s="11"/>
      <c r="S33980" s="11"/>
      <c r="T33980" s="11"/>
    </row>
    <row r="33981" spans="8:20" x14ac:dyDescent="0.35">
      <c r="H33981" s="711"/>
      <c r="I33981" s="711"/>
      <c r="J33981" s="711"/>
      <c r="K33981" s="711"/>
      <c r="L33981" s="711"/>
      <c r="Q33981" s="11"/>
      <c r="R33981" s="11"/>
      <c r="S33981" s="11"/>
      <c r="T33981" s="11"/>
    </row>
    <row r="33982" spans="8:20" x14ac:dyDescent="0.35">
      <c r="H33982" s="711"/>
      <c r="I33982" s="711"/>
      <c r="J33982" s="711"/>
      <c r="K33982" s="711"/>
      <c r="L33982" s="711"/>
      <c r="Q33982" s="11"/>
      <c r="R33982" s="11"/>
      <c r="S33982" s="11"/>
      <c r="T33982" s="11"/>
    </row>
    <row r="33983" spans="8:20" x14ac:dyDescent="0.35">
      <c r="H33983" s="711"/>
      <c r="I33983" s="711"/>
      <c r="J33983" s="711"/>
      <c r="K33983" s="711"/>
      <c r="L33983" s="711"/>
      <c r="Q33983" s="11"/>
      <c r="R33983" s="11"/>
      <c r="S33983" s="11"/>
      <c r="T33983" s="11"/>
    </row>
    <row r="33984" spans="8:20" x14ac:dyDescent="0.35">
      <c r="H33984" s="711"/>
      <c r="I33984" s="711"/>
      <c r="J33984" s="711"/>
      <c r="K33984" s="711"/>
      <c r="L33984" s="711"/>
      <c r="Q33984" s="11"/>
      <c r="R33984" s="11"/>
      <c r="S33984" s="11"/>
      <c r="T33984" s="11"/>
    </row>
    <row r="33985" spans="8:20" x14ac:dyDescent="0.35">
      <c r="H33985" s="711"/>
      <c r="I33985" s="711"/>
      <c r="J33985" s="711"/>
      <c r="K33985" s="711"/>
      <c r="L33985" s="711"/>
      <c r="Q33985" s="11"/>
      <c r="R33985" s="11"/>
      <c r="S33985" s="11"/>
      <c r="T33985" s="11"/>
    </row>
    <row r="33986" spans="8:20" x14ac:dyDescent="0.35">
      <c r="H33986" s="711"/>
      <c r="I33986" s="711"/>
      <c r="J33986" s="711"/>
      <c r="K33986" s="711"/>
      <c r="L33986" s="711"/>
      <c r="Q33986" s="11"/>
      <c r="R33986" s="11"/>
      <c r="S33986" s="11"/>
      <c r="T33986" s="11"/>
    </row>
    <row r="33987" spans="8:20" x14ac:dyDescent="0.35">
      <c r="H33987" s="711"/>
      <c r="I33987" s="711"/>
      <c r="J33987" s="711"/>
      <c r="K33987" s="711"/>
      <c r="L33987" s="711"/>
      <c r="Q33987" s="11"/>
      <c r="R33987" s="11"/>
      <c r="S33987" s="11"/>
      <c r="T33987" s="11"/>
    </row>
    <row r="33988" spans="8:20" x14ac:dyDescent="0.35">
      <c r="H33988" s="711"/>
      <c r="I33988" s="711"/>
      <c r="J33988" s="711"/>
      <c r="K33988" s="711"/>
      <c r="L33988" s="711"/>
      <c r="Q33988" s="11"/>
      <c r="R33988" s="11"/>
      <c r="S33988" s="11"/>
      <c r="T33988" s="11"/>
    </row>
    <row r="33989" spans="8:20" x14ac:dyDescent="0.35">
      <c r="H33989" s="711"/>
      <c r="I33989" s="711"/>
      <c r="J33989" s="711"/>
      <c r="K33989" s="711"/>
      <c r="L33989" s="711"/>
      <c r="Q33989" s="11"/>
      <c r="R33989" s="11"/>
      <c r="S33989" s="11"/>
      <c r="T33989" s="11"/>
    </row>
    <row r="33990" spans="8:20" x14ac:dyDescent="0.35">
      <c r="H33990" s="711"/>
      <c r="I33990" s="711"/>
      <c r="J33990" s="711"/>
      <c r="K33990" s="711"/>
      <c r="L33990" s="711"/>
      <c r="Q33990" s="11"/>
      <c r="R33990" s="11"/>
      <c r="S33990" s="11"/>
      <c r="T33990" s="11"/>
    </row>
    <row r="33991" spans="8:20" x14ac:dyDescent="0.35">
      <c r="H33991" s="711"/>
      <c r="I33991" s="711"/>
      <c r="J33991" s="711"/>
      <c r="K33991" s="711"/>
      <c r="L33991" s="711"/>
      <c r="Q33991" s="11"/>
      <c r="R33991" s="11"/>
      <c r="S33991" s="11"/>
      <c r="T33991" s="11"/>
    </row>
    <row r="33992" spans="8:20" x14ac:dyDescent="0.35">
      <c r="H33992" s="711"/>
      <c r="I33992" s="711"/>
      <c r="J33992" s="711"/>
      <c r="K33992" s="711"/>
      <c r="L33992" s="711"/>
      <c r="Q33992" s="11"/>
      <c r="R33992" s="11"/>
      <c r="S33992" s="11"/>
      <c r="T33992" s="11"/>
    </row>
    <row r="33993" spans="8:20" x14ac:dyDescent="0.35">
      <c r="H33993" s="711"/>
      <c r="I33993" s="711"/>
      <c r="J33993" s="711"/>
      <c r="K33993" s="711"/>
      <c r="L33993" s="711"/>
      <c r="Q33993" s="11"/>
      <c r="R33993" s="11"/>
      <c r="S33993" s="11"/>
      <c r="T33993" s="11"/>
    </row>
    <row r="33994" spans="8:20" x14ac:dyDescent="0.35">
      <c r="H33994" s="711"/>
      <c r="I33994" s="711"/>
      <c r="J33994" s="711"/>
      <c r="K33994" s="711"/>
      <c r="L33994" s="711"/>
      <c r="Q33994" s="11"/>
      <c r="R33994" s="11"/>
      <c r="S33994" s="11"/>
      <c r="T33994" s="11"/>
    </row>
    <row r="33995" spans="8:20" x14ac:dyDescent="0.35">
      <c r="H33995" s="711"/>
      <c r="I33995" s="711"/>
      <c r="J33995" s="711"/>
      <c r="K33995" s="711"/>
      <c r="L33995" s="711"/>
      <c r="Q33995" s="11"/>
      <c r="R33995" s="11"/>
      <c r="S33995" s="11"/>
      <c r="T33995" s="11"/>
    </row>
    <row r="33996" spans="8:20" x14ac:dyDescent="0.35">
      <c r="H33996" s="711"/>
      <c r="I33996" s="711"/>
      <c r="J33996" s="711"/>
      <c r="K33996" s="711"/>
      <c r="L33996" s="711"/>
      <c r="Q33996" s="11"/>
      <c r="R33996" s="11"/>
      <c r="S33996" s="11"/>
      <c r="T33996" s="11"/>
    </row>
    <row r="33997" spans="8:20" x14ac:dyDescent="0.35">
      <c r="H33997" s="711"/>
      <c r="I33997" s="711"/>
      <c r="J33997" s="711"/>
      <c r="K33997" s="711"/>
      <c r="L33997" s="711"/>
      <c r="Q33997" s="11"/>
      <c r="R33997" s="11"/>
      <c r="S33997" s="11"/>
      <c r="T33997" s="11"/>
    </row>
    <row r="33998" spans="8:20" x14ac:dyDescent="0.35">
      <c r="H33998" s="711"/>
      <c r="I33998" s="711"/>
      <c r="J33998" s="711"/>
      <c r="K33998" s="711"/>
      <c r="L33998" s="711"/>
      <c r="Q33998" s="11"/>
      <c r="R33998" s="11"/>
      <c r="S33998" s="11"/>
      <c r="T33998" s="11"/>
    </row>
    <row r="33999" spans="8:20" x14ac:dyDescent="0.35">
      <c r="H33999" s="711"/>
      <c r="I33999" s="711"/>
      <c r="J33999" s="711"/>
      <c r="K33999" s="711"/>
      <c r="L33999" s="711"/>
      <c r="Q33999" s="11"/>
      <c r="R33999" s="11"/>
      <c r="S33999" s="11"/>
      <c r="T33999" s="11"/>
    </row>
    <row r="34000" spans="8:20" x14ac:dyDescent="0.35">
      <c r="H34000" s="711"/>
      <c r="I34000" s="711"/>
      <c r="J34000" s="711"/>
      <c r="K34000" s="711"/>
      <c r="L34000" s="711"/>
      <c r="Q34000" s="11"/>
      <c r="R34000" s="11"/>
      <c r="S34000" s="11"/>
      <c r="T34000" s="11"/>
    </row>
    <row r="34001" spans="8:20" x14ac:dyDescent="0.35">
      <c r="H34001" s="711"/>
      <c r="I34001" s="711"/>
      <c r="J34001" s="711"/>
      <c r="K34001" s="711"/>
      <c r="L34001" s="711"/>
      <c r="Q34001" s="11"/>
      <c r="R34001" s="11"/>
      <c r="S34001" s="11"/>
      <c r="T34001" s="11"/>
    </row>
    <row r="34002" spans="8:20" x14ac:dyDescent="0.35">
      <c r="H34002" s="711"/>
      <c r="I34002" s="711"/>
      <c r="J34002" s="711"/>
      <c r="K34002" s="711"/>
      <c r="L34002" s="711"/>
      <c r="Q34002" s="11"/>
      <c r="R34002" s="11"/>
      <c r="S34002" s="11"/>
      <c r="T34002" s="11"/>
    </row>
    <row r="34003" spans="8:20" x14ac:dyDescent="0.35">
      <c r="H34003" s="711"/>
      <c r="I34003" s="711"/>
      <c r="J34003" s="711"/>
      <c r="K34003" s="711"/>
      <c r="L34003" s="711"/>
      <c r="Q34003" s="11"/>
      <c r="R34003" s="11"/>
      <c r="S34003" s="11"/>
      <c r="T34003" s="11"/>
    </row>
    <row r="34004" spans="8:20" x14ac:dyDescent="0.35">
      <c r="H34004" s="711"/>
      <c r="I34004" s="711"/>
      <c r="J34004" s="711"/>
      <c r="K34004" s="711"/>
      <c r="L34004" s="711"/>
      <c r="Q34004" s="11"/>
      <c r="R34004" s="11"/>
      <c r="S34004" s="11"/>
      <c r="T34004" s="11"/>
    </row>
    <row r="34005" spans="8:20" x14ac:dyDescent="0.35">
      <c r="H34005" s="711"/>
      <c r="I34005" s="711"/>
      <c r="J34005" s="711"/>
      <c r="K34005" s="711"/>
      <c r="L34005" s="711"/>
      <c r="Q34005" s="11"/>
      <c r="R34005" s="11"/>
      <c r="S34005" s="11"/>
      <c r="T34005" s="11"/>
    </row>
    <row r="34006" spans="8:20" x14ac:dyDescent="0.35">
      <c r="H34006" s="711"/>
      <c r="I34006" s="711"/>
      <c r="J34006" s="711"/>
      <c r="K34006" s="711"/>
      <c r="L34006" s="711"/>
      <c r="Q34006" s="11"/>
      <c r="R34006" s="11"/>
      <c r="S34006" s="11"/>
      <c r="T34006" s="11"/>
    </row>
    <row r="34007" spans="8:20" x14ac:dyDescent="0.35">
      <c r="H34007" s="711"/>
      <c r="I34007" s="711"/>
      <c r="J34007" s="711"/>
      <c r="K34007" s="711"/>
      <c r="L34007" s="711"/>
      <c r="Q34007" s="11"/>
      <c r="R34007" s="11"/>
      <c r="S34007" s="11"/>
      <c r="T34007" s="11"/>
    </row>
    <row r="34008" spans="8:20" x14ac:dyDescent="0.35">
      <c r="H34008" s="711"/>
      <c r="I34008" s="711"/>
      <c r="J34008" s="711"/>
      <c r="K34008" s="711"/>
      <c r="L34008" s="711"/>
      <c r="Q34008" s="11"/>
      <c r="R34008" s="11"/>
      <c r="S34008" s="11"/>
      <c r="T34008" s="11"/>
    </row>
    <row r="34009" spans="8:20" x14ac:dyDescent="0.35">
      <c r="H34009" s="711"/>
      <c r="I34009" s="711"/>
      <c r="J34009" s="711"/>
      <c r="K34009" s="711"/>
      <c r="L34009" s="711"/>
      <c r="Q34009" s="11"/>
      <c r="R34009" s="11"/>
      <c r="S34009" s="11"/>
      <c r="T34009" s="11"/>
    </row>
    <row r="34010" spans="8:20" x14ac:dyDescent="0.35">
      <c r="H34010" s="711"/>
      <c r="I34010" s="711"/>
      <c r="J34010" s="711"/>
      <c r="K34010" s="711"/>
      <c r="L34010" s="711"/>
      <c r="Q34010" s="11"/>
      <c r="R34010" s="11"/>
      <c r="S34010" s="11"/>
      <c r="T34010" s="11"/>
    </row>
    <row r="34011" spans="8:20" x14ac:dyDescent="0.35">
      <c r="H34011" s="711"/>
      <c r="I34011" s="711"/>
      <c r="J34011" s="711"/>
      <c r="K34011" s="711"/>
      <c r="L34011" s="711"/>
      <c r="Q34011" s="11"/>
      <c r="R34011" s="11"/>
      <c r="S34011" s="11"/>
      <c r="T34011" s="11"/>
    </row>
    <row r="34012" spans="8:20" x14ac:dyDescent="0.35">
      <c r="H34012" s="711"/>
      <c r="I34012" s="711"/>
      <c r="J34012" s="711"/>
      <c r="K34012" s="711"/>
      <c r="L34012" s="711"/>
      <c r="Q34012" s="11"/>
      <c r="R34012" s="11"/>
      <c r="S34012" s="11"/>
      <c r="T34012" s="11"/>
    </row>
    <row r="34013" spans="8:20" x14ac:dyDescent="0.35">
      <c r="H34013" s="711"/>
      <c r="I34013" s="711"/>
      <c r="J34013" s="711"/>
      <c r="K34013" s="711"/>
      <c r="L34013" s="711"/>
      <c r="Q34013" s="11"/>
      <c r="R34013" s="11"/>
      <c r="S34013" s="11"/>
      <c r="T34013" s="11"/>
    </row>
    <row r="34014" spans="8:20" x14ac:dyDescent="0.35">
      <c r="H34014" s="711"/>
      <c r="I34014" s="711"/>
      <c r="J34014" s="711"/>
      <c r="K34014" s="711"/>
      <c r="L34014" s="711"/>
      <c r="Q34014" s="11"/>
      <c r="R34014" s="11"/>
      <c r="S34014" s="11"/>
      <c r="T34014" s="11"/>
    </row>
    <row r="34015" spans="8:20" x14ac:dyDescent="0.35">
      <c r="H34015" s="711"/>
      <c r="I34015" s="711"/>
      <c r="J34015" s="711"/>
      <c r="K34015" s="711"/>
      <c r="L34015" s="711"/>
      <c r="Q34015" s="11"/>
      <c r="R34015" s="11"/>
      <c r="S34015" s="11"/>
      <c r="T34015" s="11"/>
    </row>
    <row r="34016" spans="8:20" x14ac:dyDescent="0.35">
      <c r="H34016" s="711"/>
      <c r="I34016" s="711"/>
      <c r="J34016" s="711"/>
      <c r="K34016" s="711"/>
      <c r="L34016" s="711"/>
      <c r="Q34016" s="11"/>
      <c r="R34016" s="11"/>
      <c r="S34016" s="11"/>
      <c r="T34016" s="11"/>
    </row>
    <row r="34017" spans="8:20" x14ac:dyDescent="0.35">
      <c r="H34017" s="711"/>
      <c r="I34017" s="711"/>
      <c r="J34017" s="711"/>
      <c r="K34017" s="711"/>
      <c r="L34017" s="711"/>
      <c r="Q34017" s="11"/>
      <c r="R34017" s="11"/>
      <c r="S34017" s="11"/>
      <c r="T34017" s="11"/>
    </row>
    <row r="34018" spans="8:20" x14ac:dyDescent="0.35">
      <c r="H34018" s="711"/>
      <c r="I34018" s="711"/>
      <c r="J34018" s="711"/>
      <c r="K34018" s="711"/>
      <c r="L34018" s="711"/>
      <c r="Q34018" s="11"/>
      <c r="R34018" s="11"/>
      <c r="S34018" s="11"/>
      <c r="T34018" s="11"/>
    </row>
    <row r="34019" spans="8:20" x14ac:dyDescent="0.35">
      <c r="H34019" s="711"/>
      <c r="I34019" s="711"/>
      <c r="J34019" s="711"/>
      <c r="K34019" s="711"/>
      <c r="L34019" s="711"/>
      <c r="Q34019" s="11"/>
      <c r="R34019" s="11"/>
      <c r="S34019" s="11"/>
      <c r="T34019" s="11"/>
    </row>
    <row r="34020" spans="8:20" x14ac:dyDescent="0.35">
      <c r="H34020" s="711"/>
      <c r="I34020" s="711"/>
      <c r="J34020" s="711"/>
      <c r="K34020" s="711"/>
      <c r="L34020" s="711"/>
      <c r="Q34020" s="11"/>
      <c r="R34020" s="11"/>
      <c r="S34020" s="11"/>
      <c r="T34020" s="11"/>
    </row>
    <row r="34021" spans="8:20" x14ac:dyDescent="0.35">
      <c r="H34021" s="711"/>
      <c r="I34021" s="711"/>
      <c r="J34021" s="711"/>
      <c r="K34021" s="711"/>
      <c r="L34021" s="711"/>
      <c r="Q34021" s="11"/>
      <c r="R34021" s="11"/>
      <c r="S34021" s="11"/>
      <c r="T34021" s="11"/>
    </row>
    <row r="34022" spans="8:20" x14ac:dyDescent="0.35">
      <c r="H34022" s="711"/>
      <c r="I34022" s="711"/>
      <c r="J34022" s="711"/>
      <c r="K34022" s="711"/>
      <c r="L34022" s="711"/>
      <c r="Q34022" s="11"/>
      <c r="R34022" s="11"/>
      <c r="S34022" s="11"/>
      <c r="T34022" s="11"/>
    </row>
    <row r="34023" spans="8:20" x14ac:dyDescent="0.35">
      <c r="H34023" s="711"/>
      <c r="I34023" s="711"/>
      <c r="J34023" s="711"/>
      <c r="K34023" s="711"/>
      <c r="L34023" s="711"/>
      <c r="Q34023" s="11"/>
      <c r="R34023" s="11"/>
      <c r="S34023" s="11"/>
      <c r="T34023" s="11"/>
    </row>
    <row r="34024" spans="8:20" x14ac:dyDescent="0.35">
      <c r="H34024" s="711"/>
      <c r="I34024" s="711"/>
      <c r="J34024" s="711"/>
      <c r="K34024" s="711"/>
      <c r="L34024" s="711"/>
      <c r="Q34024" s="11"/>
      <c r="R34024" s="11"/>
      <c r="S34024" s="11"/>
      <c r="T34024" s="11"/>
    </row>
    <row r="34025" spans="8:20" x14ac:dyDescent="0.35">
      <c r="H34025" s="711"/>
      <c r="I34025" s="711"/>
      <c r="J34025" s="711"/>
      <c r="K34025" s="711"/>
      <c r="L34025" s="711"/>
      <c r="Q34025" s="11"/>
      <c r="R34025" s="11"/>
      <c r="S34025" s="11"/>
      <c r="T34025" s="11"/>
    </row>
    <row r="34026" spans="8:20" x14ac:dyDescent="0.35">
      <c r="H34026" s="711"/>
      <c r="I34026" s="711"/>
      <c r="J34026" s="711"/>
      <c r="K34026" s="711"/>
      <c r="L34026" s="711"/>
      <c r="Q34026" s="11"/>
      <c r="R34026" s="11"/>
      <c r="S34026" s="11"/>
      <c r="T34026" s="11"/>
    </row>
    <row r="34027" spans="8:20" x14ac:dyDescent="0.35">
      <c r="H34027" s="711"/>
      <c r="I34027" s="711"/>
      <c r="J34027" s="711"/>
      <c r="K34027" s="711"/>
      <c r="L34027" s="711"/>
      <c r="Q34027" s="11"/>
      <c r="R34027" s="11"/>
      <c r="S34027" s="11"/>
      <c r="T34027" s="11"/>
    </row>
    <row r="34028" spans="8:20" x14ac:dyDescent="0.35">
      <c r="H34028" s="711"/>
      <c r="I34028" s="711"/>
      <c r="J34028" s="711"/>
      <c r="K34028" s="711"/>
      <c r="L34028" s="711"/>
      <c r="Q34028" s="11"/>
      <c r="R34028" s="11"/>
      <c r="S34028" s="11"/>
      <c r="T34028" s="11"/>
    </row>
    <row r="34029" spans="8:20" x14ac:dyDescent="0.35">
      <c r="H34029" s="711"/>
      <c r="I34029" s="711"/>
      <c r="J34029" s="711"/>
      <c r="K34029" s="711"/>
      <c r="L34029" s="711"/>
      <c r="Q34029" s="11"/>
      <c r="R34029" s="11"/>
      <c r="S34029" s="11"/>
      <c r="T34029" s="11"/>
    </row>
    <row r="34030" spans="8:20" x14ac:dyDescent="0.35">
      <c r="H34030" s="711"/>
      <c r="I34030" s="711"/>
      <c r="J34030" s="711"/>
      <c r="K34030" s="711"/>
      <c r="L34030" s="711"/>
      <c r="Q34030" s="11"/>
      <c r="R34030" s="11"/>
      <c r="S34030" s="11"/>
      <c r="T34030" s="11"/>
    </row>
    <row r="34031" spans="8:20" x14ac:dyDescent="0.35">
      <c r="H34031" s="711"/>
      <c r="I34031" s="711"/>
      <c r="J34031" s="711"/>
      <c r="K34031" s="711"/>
      <c r="L34031" s="711"/>
      <c r="Q34031" s="11"/>
      <c r="R34031" s="11"/>
      <c r="S34031" s="11"/>
      <c r="T34031" s="11"/>
    </row>
    <row r="34032" spans="8:20" x14ac:dyDescent="0.35">
      <c r="H34032" s="711"/>
      <c r="I34032" s="711"/>
      <c r="J34032" s="711"/>
      <c r="K34032" s="711"/>
      <c r="L34032" s="711"/>
      <c r="Q34032" s="11"/>
      <c r="R34032" s="11"/>
      <c r="S34032" s="11"/>
      <c r="T34032" s="11"/>
    </row>
    <row r="34033" spans="8:20" x14ac:dyDescent="0.35">
      <c r="H34033" s="711"/>
      <c r="I34033" s="711"/>
      <c r="J34033" s="711"/>
      <c r="K34033" s="711"/>
      <c r="L34033" s="711"/>
      <c r="Q34033" s="11"/>
      <c r="R34033" s="11"/>
      <c r="S34033" s="11"/>
      <c r="T34033" s="11"/>
    </row>
    <row r="34034" spans="8:20" x14ac:dyDescent="0.35">
      <c r="H34034" s="711"/>
      <c r="I34034" s="711"/>
      <c r="J34034" s="711"/>
      <c r="K34034" s="711"/>
      <c r="L34034" s="711"/>
      <c r="Q34034" s="11"/>
      <c r="R34034" s="11"/>
      <c r="S34034" s="11"/>
      <c r="T34034" s="11"/>
    </row>
    <row r="34035" spans="8:20" x14ac:dyDescent="0.35">
      <c r="H34035" s="711"/>
      <c r="I34035" s="711"/>
      <c r="J34035" s="711"/>
      <c r="K34035" s="711"/>
      <c r="L34035" s="711"/>
      <c r="Q34035" s="11"/>
      <c r="R34035" s="11"/>
      <c r="S34035" s="11"/>
      <c r="T34035" s="11"/>
    </row>
    <row r="34036" spans="8:20" x14ac:dyDescent="0.35">
      <c r="H34036" s="711"/>
      <c r="I34036" s="711"/>
      <c r="J34036" s="711"/>
      <c r="K34036" s="711"/>
      <c r="L34036" s="711"/>
      <c r="Q34036" s="11"/>
      <c r="R34036" s="11"/>
      <c r="S34036" s="11"/>
      <c r="T34036" s="11"/>
    </row>
    <row r="34037" spans="8:20" x14ac:dyDescent="0.35">
      <c r="H34037" s="711"/>
      <c r="I34037" s="711"/>
      <c r="J34037" s="711"/>
      <c r="K34037" s="711"/>
      <c r="L34037" s="711"/>
      <c r="Q34037" s="11"/>
      <c r="R34037" s="11"/>
      <c r="S34037" s="11"/>
      <c r="T34037" s="11"/>
    </row>
    <row r="34038" spans="8:20" x14ac:dyDescent="0.35">
      <c r="H34038" s="711"/>
      <c r="I34038" s="711"/>
      <c r="J34038" s="711"/>
      <c r="K34038" s="711"/>
      <c r="L34038" s="711"/>
      <c r="Q34038" s="11"/>
      <c r="R34038" s="11"/>
      <c r="S34038" s="11"/>
      <c r="T34038" s="11"/>
    </row>
    <row r="34039" spans="8:20" x14ac:dyDescent="0.35">
      <c r="H34039" s="711"/>
      <c r="I34039" s="711"/>
      <c r="J34039" s="711"/>
      <c r="K34039" s="711"/>
      <c r="L34039" s="711"/>
      <c r="Q34039" s="11"/>
      <c r="R34039" s="11"/>
      <c r="S34039" s="11"/>
      <c r="T34039" s="11"/>
    </row>
    <row r="34040" spans="8:20" x14ac:dyDescent="0.35">
      <c r="H34040" s="711"/>
      <c r="I34040" s="711"/>
      <c r="J34040" s="711"/>
      <c r="K34040" s="711"/>
      <c r="L34040" s="711"/>
      <c r="Q34040" s="11"/>
      <c r="R34040" s="11"/>
      <c r="S34040" s="11"/>
      <c r="T34040" s="11"/>
    </row>
    <row r="34041" spans="8:20" x14ac:dyDescent="0.35">
      <c r="H34041" s="711"/>
      <c r="I34041" s="711"/>
      <c r="J34041" s="711"/>
      <c r="K34041" s="711"/>
      <c r="L34041" s="711"/>
      <c r="Q34041" s="11"/>
      <c r="R34041" s="11"/>
      <c r="S34041" s="11"/>
      <c r="T34041" s="11"/>
    </row>
    <row r="34042" spans="8:20" x14ac:dyDescent="0.35">
      <c r="H34042" s="711"/>
      <c r="I34042" s="711"/>
      <c r="J34042" s="711"/>
      <c r="K34042" s="711"/>
      <c r="L34042" s="711"/>
      <c r="Q34042" s="11"/>
      <c r="R34042" s="11"/>
      <c r="S34042" s="11"/>
      <c r="T34042" s="11"/>
    </row>
    <row r="34043" spans="8:20" x14ac:dyDescent="0.35">
      <c r="H34043" s="711"/>
      <c r="I34043" s="711"/>
      <c r="J34043" s="711"/>
      <c r="K34043" s="711"/>
      <c r="L34043" s="711"/>
      <c r="Q34043" s="11"/>
      <c r="R34043" s="11"/>
      <c r="S34043" s="11"/>
      <c r="T34043" s="11"/>
    </row>
    <row r="34044" spans="8:20" x14ac:dyDescent="0.35">
      <c r="H34044" s="711"/>
      <c r="I34044" s="711"/>
      <c r="J34044" s="711"/>
      <c r="K34044" s="711"/>
      <c r="L34044" s="711"/>
      <c r="Q34044" s="11"/>
      <c r="R34044" s="11"/>
      <c r="S34044" s="11"/>
      <c r="T34044" s="11"/>
    </row>
    <row r="34045" spans="8:20" x14ac:dyDescent="0.35">
      <c r="H34045" s="711"/>
      <c r="I34045" s="711"/>
      <c r="J34045" s="711"/>
      <c r="K34045" s="711"/>
      <c r="L34045" s="711"/>
      <c r="Q34045" s="11"/>
      <c r="R34045" s="11"/>
      <c r="S34045" s="11"/>
      <c r="T34045" s="11"/>
    </row>
    <row r="34046" spans="8:20" x14ac:dyDescent="0.35">
      <c r="H34046" s="711"/>
      <c r="I34046" s="711"/>
      <c r="J34046" s="711"/>
      <c r="K34046" s="711"/>
      <c r="L34046" s="711"/>
      <c r="Q34046" s="11"/>
      <c r="R34046" s="11"/>
      <c r="S34046" s="11"/>
      <c r="T34046" s="11"/>
    </row>
    <row r="34047" spans="8:20" x14ac:dyDescent="0.35">
      <c r="H34047" s="711"/>
      <c r="I34047" s="711"/>
      <c r="J34047" s="711"/>
      <c r="K34047" s="711"/>
      <c r="L34047" s="711"/>
      <c r="Q34047" s="11"/>
      <c r="R34047" s="11"/>
      <c r="S34047" s="11"/>
      <c r="T34047" s="11"/>
    </row>
    <row r="34048" spans="8:20" x14ac:dyDescent="0.35">
      <c r="H34048" s="711"/>
      <c r="I34048" s="711"/>
      <c r="J34048" s="711"/>
      <c r="K34048" s="711"/>
      <c r="L34048" s="711"/>
      <c r="Q34048" s="11"/>
      <c r="R34048" s="11"/>
      <c r="S34048" s="11"/>
      <c r="T34048" s="11"/>
    </row>
    <row r="34049" spans="8:20" x14ac:dyDescent="0.35">
      <c r="H34049" s="711"/>
      <c r="I34049" s="711"/>
      <c r="J34049" s="711"/>
      <c r="K34049" s="711"/>
      <c r="L34049" s="711"/>
      <c r="Q34049" s="11"/>
      <c r="R34049" s="11"/>
      <c r="S34049" s="11"/>
      <c r="T34049" s="11"/>
    </row>
    <row r="34050" spans="8:20" x14ac:dyDescent="0.35">
      <c r="H34050" s="711"/>
      <c r="I34050" s="711"/>
      <c r="J34050" s="711"/>
      <c r="K34050" s="711"/>
      <c r="L34050" s="711"/>
      <c r="Q34050" s="11"/>
      <c r="R34050" s="11"/>
      <c r="S34050" s="11"/>
      <c r="T34050" s="11"/>
    </row>
    <row r="34051" spans="8:20" x14ac:dyDescent="0.35">
      <c r="H34051" s="711"/>
      <c r="I34051" s="711"/>
      <c r="J34051" s="711"/>
      <c r="K34051" s="711"/>
      <c r="L34051" s="711"/>
      <c r="Q34051" s="11"/>
      <c r="R34051" s="11"/>
      <c r="S34051" s="11"/>
      <c r="T34051" s="11"/>
    </row>
    <row r="34052" spans="8:20" x14ac:dyDescent="0.35">
      <c r="H34052" s="711"/>
      <c r="I34052" s="711"/>
      <c r="J34052" s="711"/>
      <c r="K34052" s="711"/>
      <c r="L34052" s="711"/>
      <c r="Q34052" s="11"/>
      <c r="R34052" s="11"/>
      <c r="S34052" s="11"/>
      <c r="T34052" s="11"/>
    </row>
    <row r="34053" spans="8:20" x14ac:dyDescent="0.35">
      <c r="H34053" s="711"/>
      <c r="I34053" s="711"/>
      <c r="J34053" s="711"/>
      <c r="K34053" s="711"/>
      <c r="L34053" s="711"/>
      <c r="Q34053" s="11"/>
      <c r="R34053" s="11"/>
      <c r="S34053" s="11"/>
      <c r="T34053" s="11"/>
    </row>
    <row r="34054" spans="8:20" x14ac:dyDescent="0.35">
      <c r="H34054" s="711"/>
      <c r="I34054" s="711"/>
      <c r="J34054" s="711"/>
      <c r="K34054" s="711"/>
      <c r="L34054" s="711"/>
      <c r="Q34054" s="11"/>
      <c r="R34054" s="11"/>
      <c r="S34054" s="11"/>
      <c r="T34054" s="11"/>
    </row>
    <row r="34055" spans="8:20" x14ac:dyDescent="0.35">
      <c r="H34055" s="711"/>
      <c r="I34055" s="711"/>
      <c r="J34055" s="711"/>
      <c r="K34055" s="711"/>
      <c r="L34055" s="711"/>
      <c r="Q34055" s="11"/>
      <c r="R34055" s="11"/>
      <c r="S34055" s="11"/>
      <c r="T34055" s="11"/>
    </row>
    <row r="34056" spans="8:20" x14ac:dyDescent="0.35">
      <c r="H34056" s="711"/>
      <c r="I34056" s="711"/>
      <c r="J34056" s="711"/>
      <c r="K34056" s="711"/>
      <c r="L34056" s="711"/>
      <c r="Q34056" s="11"/>
      <c r="R34056" s="11"/>
      <c r="S34056" s="11"/>
      <c r="T34056" s="11"/>
    </row>
    <row r="34057" spans="8:20" x14ac:dyDescent="0.35">
      <c r="H34057" s="711"/>
      <c r="I34057" s="711"/>
      <c r="J34057" s="711"/>
      <c r="K34057" s="711"/>
      <c r="L34057" s="711"/>
      <c r="Q34057" s="11"/>
      <c r="R34057" s="11"/>
      <c r="S34057" s="11"/>
      <c r="T34057" s="11"/>
    </row>
    <row r="34058" spans="8:20" x14ac:dyDescent="0.35">
      <c r="H34058" s="711"/>
      <c r="I34058" s="711"/>
      <c r="J34058" s="711"/>
      <c r="K34058" s="711"/>
      <c r="L34058" s="711"/>
      <c r="Q34058" s="11"/>
      <c r="R34058" s="11"/>
      <c r="S34058" s="11"/>
      <c r="T34058" s="11"/>
    </row>
    <row r="34059" spans="8:20" x14ac:dyDescent="0.35">
      <c r="H34059" s="711"/>
      <c r="I34059" s="711"/>
      <c r="J34059" s="711"/>
      <c r="K34059" s="711"/>
      <c r="L34059" s="711"/>
      <c r="Q34059" s="11"/>
      <c r="R34059" s="11"/>
      <c r="S34059" s="11"/>
      <c r="T34059" s="11"/>
    </row>
    <row r="34060" spans="8:20" x14ac:dyDescent="0.35">
      <c r="H34060" s="711"/>
      <c r="I34060" s="711"/>
      <c r="J34060" s="711"/>
      <c r="K34060" s="711"/>
      <c r="L34060" s="711"/>
      <c r="Q34060" s="11"/>
      <c r="R34060" s="11"/>
      <c r="S34060" s="11"/>
      <c r="T34060" s="11"/>
    </row>
    <row r="34061" spans="8:20" x14ac:dyDescent="0.35">
      <c r="H34061" s="711"/>
      <c r="I34061" s="711"/>
      <c r="J34061" s="711"/>
      <c r="K34061" s="711"/>
      <c r="L34061" s="711"/>
      <c r="Q34061" s="11"/>
      <c r="R34061" s="11"/>
      <c r="S34061" s="11"/>
      <c r="T34061" s="11"/>
    </row>
    <row r="34062" spans="8:20" x14ac:dyDescent="0.35">
      <c r="H34062" s="711"/>
      <c r="I34062" s="711"/>
      <c r="J34062" s="711"/>
      <c r="K34062" s="711"/>
      <c r="L34062" s="711"/>
      <c r="Q34062" s="11"/>
      <c r="R34062" s="11"/>
      <c r="S34062" s="11"/>
      <c r="T34062" s="11"/>
    </row>
    <row r="34063" spans="8:20" x14ac:dyDescent="0.35">
      <c r="H34063" s="711"/>
      <c r="I34063" s="711"/>
      <c r="J34063" s="711"/>
      <c r="K34063" s="711"/>
      <c r="L34063" s="711"/>
      <c r="Q34063" s="11"/>
      <c r="R34063" s="11"/>
      <c r="S34063" s="11"/>
      <c r="T34063" s="11"/>
    </row>
    <row r="34064" spans="8:20" x14ac:dyDescent="0.35">
      <c r="H34064" s="711"/>
      <c r="I34064" s="711"/>
      <c r="J34064" s="711"/>
      <c r="K34064" s="711"/>
      <c r="L34064" s="711"/>
      <c r="Q34064" s="11"/>
      <c r="R34064" s="11"/>
      <c r="S34064" s="11"/>
      <c r="T34064" s="11"/>
    </row>
    <row r="34065" spans="8:20" x14ac:dyDescent="0.35">
      <c r="H34065" s="711"/>
      <c r="I34065" s="711"/>
      <c r="J34065" s="711"/>
      <c r="K34065" s="711"/>
      <c r="L34065" s="711"/>
      <c r="Q34065" s="11"/>
      <c r="R34065" s="11"/>
      <c r="S34065" s="11"/>
      <c r="T34065" s="11"/>
    </row>
    <row r="34066" spans="8:20" x14ac:dyDescent="0.35">
      <c r="H34066" s="711"/>
      <c r="I34066" s="711"/>
      <c r="J34066" s="711"/>
      <c r="K34066" s="711"/>
      <c r="L34066" s="711"/>
      <c r="Q34066" s="11"/>
      <c r="R34066" s="11"/>
      <c r="S34066" s="11"/>
      <c r="T34066" s="11"/>
    </row>
    <row r="34067" spans="8:20" x14ac:dyDescent="0.35">
      <c r="H34067" s="711"/>
      <c r="I34067" s="711"/>
      <c r="J34067" s="711"/>
      <c r="K34067" s="711"/>
      <c r="L34067" s="711"/>
      <c r="Q34067" s="11"/>
      <c r="R34067" s="11"/>
      <c r="S34067" s="11"/>
      <c r="T34067" s="11"/>
    </row>
    <row r="34068" spans="8:20" x14ac:dyDescent="0.35">
      <c r="H34068" s="711"/>
      <c r="I34068" s="711"/>
      <c r="J34068" s="711"/>
      <c r="K34068" s="711"/>
      <c r="L34068" s="711"/>
      <c r="Q34068" s="11"/>
      <c r="R34068" s="11"/>
      <c r="S34068" s="11"/>
      <c r="T34068" s="11"/>
    </row>
    <row r="34069" spans="8:20" x14ac:dyDescent="0.35">
      <c r="H34069" s="711"/>
      <c r="I34069" s="711"/>
      <c r="J34069" s="711"/>
      <c r="K34069" s="711"/>
      <c r="L34069" s="711"/>
      <c r="Q34069" s="11"/>
      <c r="R34069" s="11"/>
      <c r="S34069" s="11"/>
      <c r="T34069" s="11"/>
    </row>
    <row r="34070" spans="8:20" x14ac:dyDescent="0.35">
      <c r="H34070" s="711"/>
      <c r="I34070" s="711"/>
      <c r="J34070" s="711"/>
      <c r="K34070" s="711"/>
      <c r="L34070" s="711"/>
      <c r="Q34070" s="11"/>
      <c r="R34070" s="11"/>
      <c r="S34070" s="11"/>
      <c r="T34070" s="11"/>
    </row>
    <row r="34071" spans="8:20" x14ac:dyDescent="0.35">
      <c r="H34071" s="711"/>
      <c r="I34071" s="711"/>
      <c r="J34071" s="711"/>
      <c r="K34071" s="711"/>
      <c r="L34071" s="711"/>
      <c r="Q34071" s="11"/>
      <c r="R34071" s="11"/>
      <c r="S34071" s="11"/>
      <c r="T34071" s="11"/>
    </row>
    <row r="34072" spans="8:20" x14ac:dyDescent="0.35">
      <c r="H34072" s="711"/>
      <c r="I34072" s="711"/>
      <c r="J34072" s="711"/>
      <c r="K34072" s="711"/>
      <c r="L34072" s="711"/>
      <c r="Q34072" s="11"/>
      <c r="R34072" s="11"/>
      <c r="S34072" s="11"/>
      <c r="T34072" s="11"/>
    </row>
    <row r="34073" spans="8:20" x14ac:dyDescent="0.35">
      <c r="H34073" s="711"/>
      <c r="I34073" s="711"/>
      <c r="J34073" s="711"/>
      <c r="K34073" s="711"/>
      <c r="L34073" s="711"/>
      <c r="Q34073" s="11"/>
      <c r="R34073" s="11"/>
      <c r="S34073" s="11"/>
      <c r="T34073" s="11"/>
    </row>
    <row r="34074" spans="8:20" x14ac:dyDescent="0.35">
      <c r="H34074" s="711"/>
      <c r="I34074" s="711"/>
      <c r="J34074" s="711"/>
      <c r="K34074" s="711"/>
      <c r="L34074" s="711"/>
      <c r="Q34074" s="11"/>
      <c r="R34074" s="11"/>
      <c r="S34074" s="11"/>
      <c r="T34074" s="11"/>
    </row>
    <row r="34075" spans="8:20" x14ac:dyDescent="0.35">
      <c r="H34075" s="711"/>
      <c r="I34075" s="711"/>
      <c r="J34075" s="711"/>
      <c r="K34075" s="711"/>
      <c r="L34075" s="711"/>
      <c r="Q34075" s="11"/>
      <c r="R34075" s="11"/>
      <c r="S34075" s="11"/>
      <c r="T34075" s="11"/>
    </row>
    <row r="34076" spans="8:20" x14ac:dyDescent="0.35">
      <c r="H34076" s="711"/>
      <c r="I34076" s="711"/>
      <c r="J34076" s="711"/>
      <c r="K34076" s="711"/>
      <c r="L34076" s="711"/>
      <c r="Q34076" s="11"/>
      <c r="R34076" s="11"/>
      <c r="S34076" s="11"/>
      <c r="T34076" s="11"/>
    </row>
    <row r="34077" spans="8:20" x14ac:dyDescent="0.35">
      <c r="H34077" s="711"/>
      <c r="I34077" s="711"/>
      <c r="J34077" s="711"/>
      <c r="K34077" s="711"/>
      <c r="L34077" s="711"/>
      <c r="Q34077" s="11"/>
      <c r="R34077" s="11"/>
      <c r="S34077" s="11"/>
      <c r="T34077" s="11"/>
    </row>
    <row r="34078" spans="8:20" x14ac:dyDescent="0.35">
      <c r="H34078" s="711"/>
      <c r="I34078" s="711"/>
      <c r="J34078" s="711"/>
      <c r="K34078" s="711"/>
      <c r="L34078" s="711"/>
      <c r="Q34078" s="11"/>
      <c r="R34078" s="11"/>
      <c r="S34078" s="11"/>
      <c r="T34078" s="11"/>
    </row>
    <row r="34079" spans="8:20" x14ac:dyDescent="0.35">
      <c r="H34079" s="711"/>
      <c r="I34079" s="711"/>
      <c r="J34079" s="711"/>
      <c r="K34079" s="711"/>
      <c r="L34079" s="711"/>
      <c r="Q34079" s="11"/>
      <c r="R34079" s="11"/>
      <c r="S34079" s="11"/>
      <c r="T34079" s="11"/>
    </row>
    <row r="34080" spans="8:20" x14ac:dyDescent="0.35">
      <c r="H34080" s="711"/>
      <c r="I34080" s="711"/>
      <c r="J34080" s="711"/>
      <c r="K34080" s="711"/>
      <c r="L34080" s="711"/>
      <c r="Q34080" s="11"/>
      <c r="R34080" s="11"/>
      <c r="S34080" s="11"/>
      <c r="T34080" s="11"/>
    </row>
    <row r="34081" spans="8:20" x14ac:dyDescent="0.35">
      <c r="H34081" s="711"/>
      <c r="I34081" s="711"/>
      <c r="J34081" s="711"/>
      <c r="K34081" s="711"/>
      <c r="L34081" s="711"/>
      <c r="Q34081" s="11"/>
      <c r="R34081" s="11"/>
      <c r="S34081" s="11"/>
      <c r="T34081" s="11"/>
    </row>
    <row r="34082" spans="8:20" x14ac:dyDescent="0.35">
      <c r="H34082" s="711"/>
      <c r="I34082" s="711"/>
      <c r="J34082" s="711"/>
      <c r="K34082" s="711"/>
      <c r="L34082" s="711"/>
      <c r="Q34082" s="11"/>
      <c r="R34082" s="11"/>
      <c r="S34082" s="11"/>
      <c r="T34082" s="11"/>
    </row>
    <row r="34083" spans="8:20" x14ac:dyDescent="0.35">
      <c r="H34083" s="711"/>
      <c r="I34083" s="711"/>
      <c r="J34083" s="711"/>
      <c r="K34083" s="711"/>
      <c r="L34083" s="711"/>
      <c r="Q34083" s="11"/>
      <c r="R34083" s="11"/>
      <c r="S34083" s="11"/>
      <c r="T34083" s="11"/>
    </row>
    <row r="34084" spans="8:20" x14ac:dyDescent="0.35">
      <c r="H34084" s="711"/>
      <c r="I34084" s="711"/>
      <c r="J34084" s="711"/>
      <c r="K34084" s="711"/>
      <c r="L34084" s="711"/>
      <c r="Q34084" s="11"/>
      <c r="R34084" s="11"/>
      <c r="S34084" s="11"/>
      <c r="T34084" s="11"/>
    </row>
    <row r="34085" spans="8:20" x14ac:dyDescent="0.35">
      <c r="H34085" s="711"/>
      <c r="I34085" s="711"/>
      <c r="J34085" s="711"/>
      <c r="K34085" s="711"/>
      <c r="L34085" s="711"/>
      <c r="Q34085" s="11"/>
      <c r="R34085" s="11"/>
      <c r="S34085" s="11"/>
      <c r="T34085" s="11"/>
    </row>
    <row r="34086" spans="8:20" x14ac:dyDescent="0.35">
      <c r="H34086" s="711"/>
      <c r="I34086" s="711"/>
      <c r="J34086" s="711"/>
      <c r="K34086" s="711"/>
      <c r="L34086" s="711"/>
      <c r="Q34086" s="11"/>
      <c r="R34086" s="11"/>
      <c r="S34086" s="11"/>
      <c r="T34086" s="11"/>
    </row>
    <row r="34087" spans="8:20" x14ac:dyDescent="0.35">
      <c r="H34087" s="711"/>
      <c r="I34087" s="711"/>
      <c r="J34087" s="711"/>
      <c r="K34087" s="711"/>
      <c r="L34087" s="711"/>
      <c r="Q34087" s="11"/>
      <c r="R34087" s="11"/>
      <c r="S34087" s="11"/>
      <c r="T34087" s="11"/>
    </row>
    <row r="34088" spans="8:20" x14ac:dyDescent="0.35">
      <c r="H34088" s="711"/>
      <c r="I34088" s="711"/>
      <c r="J34088" s="711"/>
      <c r="K34088" s="711"/>
      <c r="L34088" s="711"/>
      <c r="Q34088" s="11"/>
      <c r="R34088" s="11"/>
      <c r="S34088" s="11"/>
      <c r="T34088" s="11"/>
    </row>
    <row r="34089" spans="8:20" x14ac:dyDescent="0.35">
      <c r="H34089" s="711"/>
      <c r="I34089" s="711"/>
      <c r="J34089" s="711"/>
      <c r="K34089" s="711"/>
      <c r="L34089" s="711"/>
      <c r="Q34089" s="11"/>
      <c r="R34089" s="11"/>
      <c r="S34089" s="11"/>
      <c r="T34089" s="11"/>
    </row>
    <row r="34090" spans="8:20" x14ac:dyDescent="0.35">
      <c r="H34090" s="711"/>
      <c r="I34090" s="711"/>
      <c r="J34090" s="711"/>
      <c r="K34090" s="711"/>
      <c r="L34090" s="711"/>
      <c r="Q34090" s="11"/>
      <c r="R34090" s="11"/>
      <c r="S34090" s="11"/>
      <c r="T34090" s="11"/>
    </row>
    <row r="34091" spans="8:20" x14ac:dyDescent="0.35">
      <c r="H34091" s="711"/>
      <c r="I34091" s="711"/>
      <c r="J34091" s="711"/>
      <c r="K34091" s="711"/>
      <c r="L34091" s="711"/>
      <c r="Q34091" s="11"/>
      <c r="R34091" s="11"/>
      <c r="S34091" s="11"/>
      <c r="T34091" s="11"/>
    </row>
    <row r="34092" spans="8:20" x14ac:dyDescent="0.35">
      <c r="H34092" s="711"/>
      <c r="I34092" s="711"/>
      <c r="J34092" s="711"/>
      <c r="K34092" s="711"/>
      <c r="L34092" s="711"/>
      <c r="Q34092" s="11"/>
      <c r="R34092" s="11"/>
      <c r="S34092" s="11"/>
      <c r="T34092" s="11"/>
    </row>
    <row r="34093" spans="8:20" x14ac:dyDescent="0.35">
      <c r="H34093" s="711"/>
      <c r="I34093" s="711"/>
      <c r="J34093" s="711"/>
      <c r="K34093" s="711"/>
      <c r="L34093" s="711"/>
      <c r="Q34093" s="11"/>
      <c r="R34093" s="11"/>
      <c r="S34093" s="11"/>
      <c r="T34093" s="11"/>
    </row>
    <row r="34094" spans="8:20" x14ac:dyDescent="0.35">
      <c r="H34094" s="711"/>
      <c r="I34094" s="711"/>
      <c r="J34094" s="711"/>
      <c r="K34094" s="711"/>
      <c r="L34094" s="711"/>
      <c r="Q34094" s="11"/>
      <c r="R34094" s="11"/>
      <c r="S34094" s="11"/>
      <c r="T34094" s="11"/>
    </row>
    <row r="34095" spans="8:20" x14ac:dyDescent="0.35">
      <c r="H34095" s="711"/>
      <c r="I34095" s="711"/>
      <c r="J34095" s="711"/>
      <c r="K34095" s="711"/>
      <c r="L34095" s="711"/>
      <c r="Q34095" s="11"/>
      <c r="R34095" s="11"/>
      <c r="S34095" s="11"/>
      <c r="T34095" s="11"/>
    </row>
    <row r="34096" spans="8:20" x14ac:dyDescent="0.35">
      <c r="H34096" s="711"/>
      <c r="I34096" s="711"/>
      <c r="J34096" s="711"/>
      <c r="K34096" s="711"/>
      <c r="L34096" s="711"/>
      <c r="Q34096" s="11"/>
      <c r="R34096" s="11"/>
      <c r="S34096" s="11"/>
      <c r="T34096" s="11"/>
    </row>
    <row r="34097" spans="8:20" x14ac:dyDescent="0.35">
      <c r="H34097" s="711"/>
      <c r="I34097" s="711"/>
      <c r="J34097" s="711"/>
      <c r="K34097" s="711"/>
      <c r="L34097" s="711"/>
      <c r="Q34097" s="11"/>
      <c r="R34097" s="11"/>
      <c r="S34097" s="11"/>
      <c r="T34097" s="11"/>
    </row>
    <row r="34098" spans="8:20" x14ac:dyDescent="0.35">
      <c r="H34098" s="711"/>
      <c r="I34098" s="711"/>
      <c r="J34098" s="711"/>
      <c r="K34098" s="711"/>
      <c r="L34098" s="711"/>
      <c r="Q34098" s="11"/>
      <c r="R34098" s="11"/>
      <c r="S34098" s="11"/>
      <c r="T34098" s="11"/>
    </row>
    <row r="34099" spans="8:20" x14ac:dyDescent="0.35">
      <c r="H34099" s="711"/>
      <c r="I34099" s="711"/>
      <c r="J34099" s="711"/>
      <c r="K34099" s="711"/>
      <c r="L34099" s="711"/>
      <c r="Q34099" s="11"/>
      <c r="R34099" s="11"/>
      <c r="S34099" s="11"/>
      <c r="T34099" s="11"/>
    </row>
    <row r="34100" spans="8:20" x14ac:dyDescent="0.35">
      <c r="H34100" s="711"/>
      <c r="I34100" s="711"/>
      <c r="J34100" s="711"/>
      <c r="K34100" s="711"/>
      <c r="L34100" s="711"/>
      <c r="Q34100" s="11"/>
      <c r="R34100" s="11"/>
      <c r="S34100" s="11"/>
      <c r="T34100" s="11"/>
    </row>
    <row r="34101" spans="8:20" x14ac:dyDescent="0.35">
      <c r="H34101" s="711"/>
      <c r="I34101" s="711"/>
      <c r="J34101" s="711"/>
      <c r="K34101" s="711"/>
      <c r="L34101" s="711"/>
      <c r="Q34101" s="11"/>
      <c r="R34101" s="11"/>
      <c r="S34101" s="11"/>
      <c r="T34101" s="11"/>
    </row>
    <row r="34102" spans="8:20" x14ac:dyDescent="0.35">
      <c r="H34102" s="711"/>
      <c r="I34102" s="711"/>
      <c r="J34102" s="711"/>
      <c r="K34102" s="711"/>
      <c r="L34102" s="711"/>
      <c r="Q34102" s="11"/>
      <c r="R34102" s="11"/>
      <c r="S34102" s="11"/>
      <c r="T34102" s="11"/>
    </row>
    <row r="34103" spans="8:20" x14ac:dyDescent="0.35">
      <c r="H34103" s="711"/>
      <c r="I34103" s="711"/>
      <c r="J34103" s="711"/>
      <c r="K34103" s="711"/>
      <c r="L34103" s="711"/>
      <c r="Q34103" s="11"/>
      <c r="R34103" s="11"/>
      <c r="S34103" s="11"/>
      <c r="T34103" s="11"/>
    </row>
    <row r="34104" spans="8:20" x14ac:dyDescent="0.35">
      <c r="H34104" s="711"/>
      <c r="I34104" s="711"/>
      <c r="J34104" s="711"/>
      <c r="K34104" s="711"/>
      <c r="L34104" s="711"/>
      <c r="Q34104" s="11"/>
      <c r="R34104" s="11"/>
      <c r="S34104" s="11"/>
      <c r="T34104" s="11"/>
    </row>
    <row r="34105" spans="8:20" x14ac:dyDescent="0.35">
      <c r="H34105" s="711"/>
      <c r="I34105" s="711"/>
      <c r="J34105" s="711"/>
      <c r="K34105" s="711"/>
      <c r="L34105" s="711"/>
      <c r="Q34105" s="11"/>
      <c r="R34105" s="11"/>
      <c r="S34105" s="11"/>
      <c r="T34105" s="11"/>
    </row>
    <row r="34106" spans="8:20" x14ac:dyDescent="0.35">
      <c r="H34106" s="711"/>
      <c r="I34106" s="711"/>
      <c r="J34106" s="711"/>
      <c r="K34106" s="711"/>
      <c r="L34106" s="711"/>
      <c r="Q34106" s="11"/>
      <c r="R34106" s="11"/>
      <c r="S34106" s="11"/>
      <c r="T34106" s="11"/>
    </row>
    <row r="34107" spans="8:20" x14ac:dyDescent="0.35">
      <c r="H34107" s="711"/>
      <c r="I34107" s="711"/>
      <c r="J34107" s="711"/>
      <c r="K34107" s="711"/>
      <c r="L34107" s="711"/>
      <c r="Q34107" s="11"/>
      <c r="R34107" s="11"/>
      <c r="S34107" s="11"/>
      <c r="T34107" s="11"/>
    </row>
    <row r="34108" spans="8:20" x14ac:dyDescent="0.35">
      <c r="H34108" s="711"/>
      <c r="I34108" s="711"/>
      <c r="J34108" s="711"/>
      <c r="K34108" s="711"/>
      <c r="L34108" s="711"/>
      <c r="Q34108" s="11"/>
      <c r="R34108" s="11"/>
      <c r="S34108" s="11"/>
      <c r="T34108" s="11"/>
    </row>
    <row r="34109" spans="8:20" x14ac:dyDescent="0.35">
      <c r="H34109" s="711"/>
      <c r="I34109" s="711"/>
      <c r="J34109" s="711"/>
      <c r="K34109" s="711"/>
      <c r="L34109" s="711"/>
      <c r="Q34109" s="11"/>
      <c r="R34109" s="11"/>
      <c r="S34109" s="11"/>
      <c r="T34109" s="11"/>
    </row>
    <row r="34110" spans="8:20" x14ac:dyDescent="0.35">
      <c r="H34110" s="711"/>
      <c r="I34110" s="711"/>
      <c r="J34110" s="711"/>
      <c r="K34110" s="711"/>
      <c r="L34110" s="711"/>
      <c r="Q34110" s="11"/>
      <c r="R34110" s="11"/>
      <c r="S34110" s="11"/>
      <c r="T34110" s="11"/>
    </row>
    <row r="34111" spans="8:20" x14ac:dyDescent="0.35">
      <c r="H34111" s="711"/>
      <c r="I34111" s="711"/>
      <c r="J34111" s="711"/>
      <c r="K34111" s="711"/>
      <c r="L34111" s="711"/>
      <c r="Q34111" s="11"/>
      <c r="R34111" s="11"/>
      <c r="S34111" s="11"/>
      <c r="T34111" s="11"/>
    </row>
    <row r="34112" spans="8:20" x14ac:dyDescent="0.35">
      <c r="H34112" s="711"/>
      <c r="I34112" s="711"/>
      <c r="J34112" s="711"/>
      <c r="K34112" s="711"/>
      <c r="L34112" s="711"/>
      <c r="Q34112" s="11"/>
      <c r="R34112" s="11"/>
      <c r="S34112" s="11"/>
      <c r="T34112" s="11"/>
    </row>
    <row r="34113" spans="8:20" x14ac:dyDescent="0.35">
      <c r="H34113" s="711"/>
      <c r="I34113" s="711"/>
      <c r="J34113" s="711"/>
      <c r="K34113" s="711"/>
      <c r="L34113" s="711"/>
      <c r="Q34113" s="11"/>
      <c r="R34113" s="11"/>
      <c r="S34113" s="11"/>
      <c r="T34113" s="11"/>
    </row>
    <row r="34114" spans="8:20" x14ac:dyDescent="0.35">
      <c r="H34114" s="711"/>
      <c r="I34114" s="711"/>
      <c r="J34114" s="711"/>
      <c r="K34114" s="711"/>
      <c r="L34114" s="711"/>
      <c r="Q34114" s="11"/>
      <c r="R34114" s="11"/>
      <c r="S34114" s="11"/>
      <c r="T34114" s="11"/>
    </row>
    <row r="34115" spans="8:20" x14ac:dyDescent="0.35">
      <c r="H34115" s="711"/>
      <c r="I34115" s="711"/>
      <c r="J34115" s="711"/>
      <c r="K34115" s="711"/>
      <c r="L34115" s="711"/>
      <c r="Q34115" s="11"/>
      <c r="R34115" s="11"/>
      <c r="S34115" s="11"/>
      <c r="T34115" s="11"/>
    </row>
    <row r="34116" spans="8:20" x14ac:dyDescent="0.35">
      <c r="H34116" s="711"/>
      <c r="I34116" s="711"/>
      <c r="J34116" s="711"/>
      <c r="K34116" s="711"/>
      <c r="L34116" s="711"/>
      <c r="Q34116" s="11"/>
      <c r="R34116" s="11"/>
      <c r="S34116" s="11"/>
      <c r="T34116" s="11"/>
    </row>
    <row r="34117" spans="8:20" x14ac:dyDescent="0.35">
      <c r="H34117" s="711"/>
      <c r="I34117" s="711"/>
      <c r="J34117" s="711"/>
      <c r="K34117" s="711"/>
      <c r="L34117" s="711"/>
      <c r="Q34117" s="11"/>
      <c r="R34117" s="11"/>
      <c r="S34117" s="11"/>
      <c r="T34117" s="11"/>
    </row>
    <row r="34118" spans="8:20" x14ac:dyDescent="0.35">
      <c r="H34118" s="711"/>
      <c r="I34118" s="711"/>
      <c r="J34118" s="711"/>
      <c r="K34118" s="711"/>
      <c r="L34118" s="711"/>
      <c r="Q34118" s="11"/>
      <c r="R34118" s="11"/>
      <c r="S34118" s="11"/>
      <c r="T34118" s="11"/>
    </row>
    <row r="34119" spans="8:20" x14ac:dyDescent="0.35">
      <c r="H34119" s="711"/>
      <c r="I34119" s="711"/>
      <c r="J34119" s="711"/>
      <c r="K34119" s="711"/>
      <c r="L34119" s="711"/>
      <c r="Q34119" s="11"/>
      <c r="R34119" s="11"/>
      <c r="S34119" s="11"/>
      <c r="T34119" s="11"/>
    </row>
    <row r="34120" spans="8:20" x14ac:dyDescent="0.35">
      <c r="H34120" s="711"/>
      <c r="I34120" s="711"/>
      <c r="J34120" s="711"/>
      <c r="K34120" s="711"/>
      <c r="L34120" s="711"/>
      <c r="Q34120" s="11"/>
      <c r="R34120" s="11"/>
      <c r="S34120" s="11"/>
      <c r="T34120" s="11"/>
    </row>
    <row r="34121" spans="8:20" x14ac:dyDescent="0.35">
      <c r="H34121" s="711"/>
      <c r="I34121" s="711"/>
      <c r="J34121" s="711"/>
      <c r="K34121" s="711"/>
      <c r="L34121" s="711"/>
      <c r="Q34121" s="11"/>
      <c r="R34121" s="11"/>
      <c r="S34121" s="11"/>
      <c r="T34121" s="11"/>
    </row>
    <row r="34122" spans="8:20" x14ac:dyDescent="0.35">
      <c r="H34122" s="711"/>
      <c r="I34122" s="711"/>
      <c r="J34122" s="711"/>
      <c r="K34122" s="711"/>
      <c r="L34122" s="711"/>
      <c r="Q34122" s="11"/>
      <c r="R34122" s="11"/>
      <c r="S34122" s="11"/>
      <c r="T34122" s="11"/>
    </row>
    <row r="34123" spans="8:20" x14ac:dyDescent="0.35">
      <c r="H34123" s="711"/>
      <c r="I34123" s="711"/>
      <c r="J34123" s="711"/>
      <c r="K34123" s="711"/>
      <c r="L34123" s="711"/>
      <c r="Q34123" s="11"/>
      <c r="R34123" s="11"/>
      <c r="S34123" s="11"/>
      <c r="T34123" s="11"/>
    </row>
    <row r="34124" spans="8:20" x14ac:dyDescent="0.35">
      <c r="H34124" s="711"/>
      <c r="I34124" s="711"/>
      <c r="J34124" s="711"/>
      <c r="K34124" s="711"/>
      <c r="L34124" s="711"/>
      <c r="Q34124" s="11"/>
      <c r="R34124" s="11"/>
      <c r="S34124" s="11"/>
      <c r="T34124" s="11"/>
    </row>
    <row r="34125" spans="8:20" x14ac:dyDescent="0.35">
      <c r="H34125" s="711"/>
      <c r="I34125" s="711"/>
      <c r="J34125" s="711"/>
      <c r="K34125" s="711"/>
      <c r="L34125" s="711"/>
      <c r="Q34125" s="11"/>
      <c r="R34125" s="11"/>
      <c r="S34125" s="11"/>
      <c r="T34125" s="11"/>
    </row>
    <row r="34126" spans="8:20" x14ac:dyDescent="0.35">
      <c r="H34126" s="711"/>
      <c r="I34126" s="711"/>
      <c r="J34126" s="711"/>
      <c r="K34126" s="711"/>
      <c r="L34126" s="711"/>
      <c r="Q34126" s="11"/>
      <c r="R34126" s="11"/>
      <c r="S34126" s="11"/>
      <c r="T34126" s="11"/>
    </row>
    <row r="34127" spans="8:20" x14ac:dyDescent="0.35">
      <c r="H34127" s="711"/>
      <c r="I34127" s="711"/>
      <c r="J34127" s="711"/>
      <c r="K34127" s="711"/>
      <c r="L34127" s="711"/>
      <c r="Q34127" s="11"/>
      <c r="R34127" s="11"/>
      <c r="S34127" s="11"/>
      <c r="T34127" s="11"/>
    </row>
    <row r="34128" spans="8:20" x14ac:dyDescent="0.35">
      <c r="H34128" s="711"/>
      <c r="I34128" s="711"/>
      <c r="J34128" s="711"/>
      <c r="K34128" s="711"/>
      <c r="L34128" s="711"/>
      <c r="Q34128" s="11"/>
      <c r="R34128" s="11"/>
      <c r="S34128" s="11"/>
      <c r="T34128" s="11"/>
    </row>
    <row r="34129" spans="8:20" x14ac:dyDescent="0.35">
      <c r="H34129" s="711"/>
      <c r="I34129" s="711"/>
      <c r="J34129" s="711"/>
      <c r="K34129" s="711"/>
      <c r="L34129" s="711"/>
      <c r="Q34129" s="11"/>
      <c r="R34129" s="11"/>
      <c r="S34129" s="11"/>
      <c r="T34129" s="11"/>
    </row>
    <row r="34130" spans="8:20" x14ac:dyDescent="0.35">
      <c r="H34130" s="711"/>
      <c r="I34130" s="711"/>
      <c r="J34130" s="711"/>
      <c r="K34130" s="711"/>
      <c r="L34130" s="711"/>
      <c r="Q34130" s="11"/>
      <c r="R34130" s="11"/>
      <c r="S34130" s="11"/>
      <c r="T34130" s="11"/>
    </row>
    <row r="34131" spans="8:20" x14ac:dyDescent="0.35">
      <c r="H34131" s="711"/>
      <c r="I34131" s="711"/>
      <c r="J34131" s="711"/>
      <c r="K34131" s="711"/>
      <c r="L34131" s="711"/>
      <c r="Q34131" s="11"/>
      <c r="R34131" s="11"/>
      <c r="S34131" s="11"/>
      <c r="T34131" s="11"/>
    </row>
    <row r="34132" spans="8:20" x14ac:dyDescent="0.35">
      <c r="H34132" s="711"/>
      <c r="I34132" s="711"/>
      <c r="J34132" s="711"/>
      <c r="K34132" s="711"/>
      <c r="L34132" s="711"/>
      <c r="Q34132" s="11"/>
      <c r="R34132" s="11"/>
      <c r="S34132" s="11"/>
      <c r="T34132" s="11"/>
    </row>
    <row r="34133" spans="8:20" x14ac:dyDescent="0.35">
      <c r="H34133" s="711"/>
      <c r="I34133" s="711"/>
      <c r="J34133" s="711"/>
      <c r="K34133" s="711"/>
      <c r="L34133" s="711"/>
      <c r="Q34133" s="11"/>
      <c r="R34133" s="11"/>
      <c r="S34133" s="11"/>
      <c r="T34133" s="11"/>
    </row>
    <row r="34134" spans="8:20" x14ac:dyDescent="0.35">
      <c r="H34134" s="711"/>
      <c r="I34134" s="711"/>
      <c r="J34134" s="711"/>
      <c r="K34134" s="711"/>
      <c r="L34134" s="711"/>
      <c r="Q34134" s="11"/>
      <c r="R34134" s="11"/>
      <c r="S34134" s="11"/>
      <c r="T34134" s="11"/>
    </row>
    <row r="34135" spans="8:20" x14ac:dyDescent="0.35">
      <c r="H34135" s="711"/>
      <c r="I34135" s="711"/>
      <c r="J34135" s="711"/>
      <c r="K34135" s="711"/>
      <c r="L34135" s="711"/>
      <c r="Q34135" s="11"/>
      <c r="R34135" s="11"/>
      <c r="S34135" s="11"/>
      <c r="T34135" s="11"/>
    </row>
    <row r="34136" spans="8:20" x14ac:dyDescent="0.35">
      <c r="H34136" s="711"/>
      <c r="I34136" s="711"/>
      <c r="J34136" s="711"/>
      <c r="K34136" s="711"/>
      <c r="L34136" s="711"/>
      <c r="Q34136" s="11"/>
      <c r="R34136" s="11"/>
      <c r="S34136" s="11"/>
      <c r="T34136" s="11"/>
    </row>
    <row r="34137" spans="8:20" x14ac:dyDescent="0.35">
      <c r="H34137" s="711"/>
      <c r="I34137" s="711"/>
      <c r="J34137" s="711"/>
      <c r="K34137" s="711"/>
      <c r="L34137" s="711"/>
      <c r="Q34137" s="11"/>
      <c r="R34137" s="11"/>
      <c r="S34137" s="11"/>
      <c r="T34137" s="11"/>
    </row>
    <row r="34138" spans="8:20" x14ac:dyDescent="0.35">
      <c r="H34138" s="711"/>
      <c r="I34138" s="711"/>
      <c r="J34138" s="711"/>
      <c r="K34138" s="711"/>
      <c r="L34138" s="711"/>
      <c r="Q34138" s="11"/>
      <c r="R34138" s="11"/>
      <c r="S34138" s="11"/>
      <c r="T34138" s="11"/>
    </row>
    <row r="34139" spans="8:20" x14ac:dyDescent="0.35">
      <c r="H34139" s="711"/>
      <c r="I34139" s="711"/>
      <c r="J34139" s="711"/>
      <c r="K34139" s="711"/>
      <c r="L34139" s="711"/>
      <c r="Q34139" s="11"/>
      <c r="R34139" s="11"/>
      <c r="S34139" s="11"/>
      <c r="T34139" s="11"/>
    </row>
    <row r="34140" spans="8:20" x14ac:dyDescent="0.35">
      <c r="H34140" s="711"/>
      <c r="I34140" s="711"/>
      <c r="J34140" s="711"/>
      <c r="K34140" s="711"/>
      <c r="L34140" s="711"/>
      <c r="Q34140" s="11"/>
      <c r="R34140" s="11"/>
      <c r="S34140" s="11"/>
      <c r="T34140" s="11"/>
    </row>
    <row r="34141" spans="8:20" x14ac:dyDescent="0.35">
      <c r="H34141" s="711"/>
      <c r="I34141" s="711"/>
      <c r="J34141" s="711"/>
      <c r="K34141" s="711"/>
      <c r="L34141" s="711"/>
      <c r="Q34141" s="11"/>
      <c r="R34141" s="11"/>
      <c r="S34141" s="11"/>
      <c r="T34141" s="11"/>
    </row>
    <row r="34142" spans="8:20" x14ac:dyDescent="0.35">
      <c r="H34142" s="711"/>
      <c r="I34142" s="711"/>
      <c r="J34142" s="711"/>
      <c r="K34142" s="711"/>
      <c r="L34142" s="711"/>
      <c r="Q34142" s="11"/>
      <c r="R34142" s="11"/>
      <c r="S34142" s="11"/>
      <c r="T34142" s="11"/>
    </row>
    <row r="34143" spans="8:20" x14ac:dyDescent="0.35">
      <c r="H34143" s="711"/>
      <c r="I34143" s="711"/>
      <c r="J34143" s="711"/>
      <c r="K34143" s="711"/>
      <c r="L34143" s="711"/>
      <c r="Q34143" s="11"/>
      <c r="R34143" s="11"/>
      <c r="S34143" s="11"/>
      <c r="T34143" s="11"/>
    </row>
    <row r="34144" spans="8:20" x14ac:dyDescent="0.35">
      <c r="H34144" s="711"/>
      <c r="I34144" s="711"/>
      <c r="J34144" s="711"/>
      <c r="K34144" s="711"/>
      <c r="L34144" s="711"/>
      <c r="Q34144" s="11"/>
      <c r="R34144" s="11"/>
      <c r="S34144" s="11"/>
      <c r="T34144" s="11"/>
    </row>
    <row r="34145" spans="8:20" x14ac:dyDescent="0.35">
      <c r="H34145" s="711"/>
      <c r="I34145" s="711"/>
      <c r="J34145" s="711"/>
      <c r="K34145" s="711"/>
      <c r="L34145" s="711"/>
      <c r="Q34145" s="11"/>
      <c r="R34145" s="11"/>
      <c r="S34145" s="11"/>
      <c r="T34145" s="11"/>
    </row>
    <row r="34146" spans="8:20" x14ac:dyDescent="0.35">
      <c r="H34146" s="711"/>
      <c r="I34146" s="711"/>
      <c r="J34146" s="711"/>
      <c r="K34146" s="711"/>
      <c r="L34146" s="711"/>
      <c r="Q34146" s="11"/>
      <c r="R34146" s="11"/>
      <c r="S34146" s="11"/>
      <c r="T34146" s="11"/>
    </row>
    <row r="34147" spans="8:20" x14ac:dyDescent="0.35">
      <c r="H34147" s="711"/>
      <c r="I34147" s="711"/>
      <c r="J34147" s="711"/>
      <c r="K34147" s="711"/>
      <c r="L34147" s="711"/>
      <c r="Q34147" s="11"/>
      <c r="R34147" s="11"/>
      <c r="S34147" s="11"/>
      <c r="T34147" s="11"/>
    </row>
    <row r="34148" spans="8:20" x14ac:dyDescent="0.35">
      <c r="H34148" s="711"/>
      <c r="I34148" s="711"/>
      <c r="J34148" s="711"/>
      <c r="K34148" s="711"/>
      <c r="L34148" s="711"/>
      <c r="Q34148" s="11"/>
      <c r="R34148" s="11"/>
      <c r="S34148" s="11"/>
      <c r="T34148" s="11"/>
    </row>
    <row r="34149" spans="8:20" x14ac:dyDescent="0.35">
      <c r="H34149" s="711"/>
      <c r="I34149" s="711"/>
      <c r="J34149" s="711"/>
      <c r="K34149" s="711"/>
      <c r="L34149" s="711"/>
      <c r="Q34149" s="11"/>
      <c r="R34149" s="11"/>
      <c r="S34149" s="11"/>
      <c r="T34149" s="11"/>
    </row>
    <row r="34150" spans="8:20" x14ac:dyDescent="0.35">
      <c r="H34150" s="711"/>
      <c r="I34150" s="711"/>
      <c r="J34150" s="711"/>
      <c r="K34150" s="711"/>
      <c r="L34150" s="711"/>
      <c r="Q34150" s="11"/>
      <c r="R34150" s="11"/>
      <c r="S34150" s="11"/>
      <c r="T34150" s="11"/>
    </row>
    <row r="34151" spans="8:20" x14ac:dyDescent="0.35">
      <c r="H34151" s="711"/>
      <c r="I34151" s="711"/>
      <c r="J34151" s="711"/>
      <c r="K34151" s="711"/>
      <c r="L34151" s="711"/>
      <c r="Q34151" s="11"/>
      <c r="R34151" s="11"/>
      <c r="S34151" s="11"/>
      <c r="T34151" s="11"/>
    </row>
    <row r="34152" spans="8:20" x14ac:dyDescent="0.35">
      <c r="H34152" s="711"/>
      <c r="I34152" s="711"/>
      <c r="J34152" s="711"/>
      <c r="K34152" s="711"/>
      <c r="L34152" s="711"/>
      <c r="Q34152" s="11"/>
      <c r="R34152" s="11"/>
      <c r="S34152" s="11"/>
      <c r="T34152" s="11"/>
    </row>
    <row r="34153" spans="8:20" x14ac:dyDescent="0.35">
      <c r="H34153" s="711"/>
      <c r="I34153" s="711"/>
      <c r="J34153" s="711"/>
      <c r="K34153" s="711"/>
      <c r="L34153" s="711"/>
      <c r="Q34153" s="11"/>
      <c r="R34153" s="11"/>
      <c r="S34153" s="11"/>
      <c r="T34153" s="11"/>
    </row>
    <row r="34154" spans="8:20" x14ac:dyDescent="0.35">
      <c r="H34154" s="711"/>
      <c r="I34154" s="711"/>
      <c r="J34154" s="711"/>
      <c r="K34154" s="711"/>
      <c r="L34154" s="711"/>
      <c r="Q34154" s="11"/>
      <c r="R34154" s="11"/>
      <c r="S34154" s="11"/>
      <c r="T34154" s="11"/>
    </row>
    <row r="34155" spans="8:20" x14ac:dyDescent="0.35">
      <c r="H34155" s="711"/>
      <c r="I34155" s="711"/>
      <c r="J34155" s="711"/>
      <c r="K34155" s="711"/>
      <c r="L34155" s="711"/>
      <c r="Q34155" s="11"/>
      <c r="R34155" s="11"/>
      <c r="S34155" s="11"/>
      <c r="T34155" s="11"/>
    </row>
    <row r="34156" spans="8:20" x14ac:dyDescent="0.35">
      <c r="H34156" s="711"/>
      <c r="I34156" s="711"/>
      <c r="J34156" s="711"/>
      <c r="K34156" s="711"/>
      <c r="L34156" s="711"/>
      <c r="Q34156" s="11"/>
      <c r="R34156" s="11"/>
      <c r="S34156" s="11"/>
      <c r="T34156" s="11"/>
    </row>
    <row r="34157" spans="8:20" x14ac:dyDescent="0.35">
      <c r="H34157" s="711"/>
      <c r="I34157" s="711"/>
      <c r="J34157" s="711"/>
      <c r="K34157" s="711"/>
      <c r="L34157" s="711"/>
      <c r="Q34157" s="11"/>
      <c r="R34157" s="11"/>
      <c r="S34157" s="11"/>
      <c r="T34157" s="11"/>
    </row>
    <row r="34158" spans="8:20" x14ac:dyDescent="0.35">
      <c r="H34158" s="711"/>
      <c r="I34158" s="711"/>
      <c r="J34158" s="711"/>
      <c r="K34158" s="711"/>
      <c r="L34158" s="711"/>
      <c r="Q34158" s="11"/>
      <c r="R34158" s="11"/>
      <c r="S34158" s="11"/>
      <c r="T34158" s="11"/>
    </row>
    <row r="34159" spans="8:20" x14ac:dyDescent="0.35">
      <c r="H34159" s="711"/>
      <c r="I34159" s="711"/>
      <c r="J34159" s="711"/>
      <c r="K34159" s="711"/>
      <c r="L34159" s="711"/>
      <c r="Q34159" s="11"/>
      <c r="R34159" s="11"/>
      <c r="S34159" s="11"/>
      <c r="T34159" s="11"/>
    </row>
    <row r="34160" spans="8:20" x14ac:dyDescent="0.35">
      <c r="H34160" s="711"/>
      <c r="I34160" s="711"/>
      <c r="J34160" s="711"/>
      <c r="K34160" s="711"/>
      <c r="L34160" s="711"/>
      <c r="Q34160" s="11"/>
      <c r="R34160" s="11"/>
      <c r="S34160" s="11"/>
      <c r="T34160" s="11"/>
    </row>
    <row r="34161" spans="8:20" x14ac:dyDescent="0.35">
      <c r="H34161" s="711"/>
      <c r="I34161" s="711"/>
      <c r="J34161" s="711"/>
      <c r="K34161" s="711"/>
      <c r="L34161" s="711"/>
      <c r="Q34161" s="11"/>
      <c r="R34161" s="11"/>
      <c r="S34161" s="11"/>
      <c r="T34161" s="11"/>
    </row>
    <row r="34162" spans="8:20" x14ac:dyDescent="0.35">
      <c r="H34162" s="711"/>
      <c r="I34162" s="711"/>
      <c r="J34162" s="711"/>
      <c r="K34162" s="711"/>
      <c r="L34162" s="711"/>
      <c r="Q34162" s="11"/>
      <c r="R34162" s="11"/>
      <c r="S34162" s="11"/>
      <c r="T34162" s="11"/>
    </row>
    <row r="34163" spans="8:20" x14ac:dyDescent="0.35">
      <c r="H34163" s="711"/>
      <c r="I34163" s="711"/>
      <c r="J34163" s="711"/>
      <c r="K34163" s="711"/>
      <c r="L34163" s="711"/>
      <c r="Q34163" s="11"/>
      <c r="R34163" s="11"/>
      <c r="S34163" s="11"/>
      <c r="T34163" s="11"/>
    </row>
    <row r="34164" spans="8:20" x14ac:dyDescent="0.35">
      <c r="H34164" s="711"/>
      <c r="I34164" s="711"/>
      <c r="J34164" s="711"/>
      <c r="K34164" s="711"/>
      <c r="L34164" s="711"/>
      <c r="Q34164" s="11"/>
      <c r="R34164" s="11"/>
      <c r="S34164" s="11"/>
      <c r="T34164" s="11"/>
    </row>
    <row r="34165" spans="8:20" x14ac:dyDescent="0.35">
      <c r="H34165" s="711"/>
      <c r="I34165" s="711"/>
      <c r="J34165" s="711"/>
      <c r="K34165" s="711"/>
      <c r="L34165" s="711"/>
      <c r="Q34165" s="11"/>
      <c r="R34165" s="11"/>
      <c r="S34165" s="11"/>
      <c r="T34165" s="11"/>
    </row>
    <row r="34166" spans="8:20" x14ac:dyDescent="0.35">
      <c r="H34166" s="711"/>
      <c r="I34166" s="711"/>
      <c r="J34166" s="711"/>
      <c r="K34166" s="711"/>
      <c r="L34166" s="711"/>
      <c r="Q34166" s="11"/>
      <c r="R34166" s="11"/>
      <c r="S34166" s="11"/>
      <c r="T34166" s="11"/>
    </row>
    <row r="34167" spans="8:20" x14ac:dyDescent="0.35">
      <c r="H34167" s="711"/>
      <c r="I34167" s="711"/>
      <c r="J34167" s="711"/>
      <c r="K34167" s="711"/>
      <c r="L34167" s="711"/>
      <c r="Q34167" s="11"/>
      <c r="R34167" s="11"/>
      <c r="S34167" s="11"/>
      <c r="T34167" s="11"/>
    </row>
    <row r="34168" spans="8:20" x14ac:dyDescent="0.35">
      <c r="H34168" s="711"/>
      <c r="I34168" s="711"/>
      <c r="J34168" s="711"/>
      <c r="K34168" s="711"/>
      <c r="L34168" s="711"/>
      <c r="Q34168" s="11"/>
      <c r="R34168" s="11"/>
      <c r="S34168" s="11"/>
      <c r="T34168" s="11"/>
    </row>
    <row r="34169" spans="8:20" x14ac:dyDescent="0.35">
      <c r="H34169" s="711"/>
      <c r="I34169" s="711"/>
      <c r="J34169" s="711"/>
      <c r="K34169" s="711"/>
      <c r="L34169" s="711"/>
      <c r="Q34169" s="11"/>
      <c r="R34169" s="11"/>
      <c r="S34169" s="11"/>
      <c r="T34169" s="11"/>
    </row>
    <row r="34170" spans="8:20" x14ac:dyDescent="0.35">
      <c r="H34170" s="711"/>
      <c r="I34170" s="711"/>
      <c r="J34170" s="711"/>
      <c r="K34170" s="711"/>
      <c r="L34170" s="711"/>
      <c r="Q34170" s="11"/>
      <c r="R34170" s="11"/>
      <c r="S34170" s="11"/>
      <c r="T34170" s="11"/>
    </row>
    <row r="34171" spans="8:20" x14ac:dyDescent="0.35">
      <c r="H34171" s="711"/>
      <c r="I34171" s="711"/>
      <c r="J34171" s="711"/>
      <c r="K34171" s="711"/>
      <c r="L34171" s="711"/>
      <c r="Q34171" s="11"/>
      <c r="R34171" s="11"/>
      <c r="S34171" s="11"/>
      <c r="T34171" s="11"/>
    </row>
    <row r="34172" spans="8:20" x14ac:dyDescent="0.35">
      <c r="H34172" s="711"/>
      <c r="I34172" s="711"/>
      <c r="J34172" s="711"/>
      <c r="K34172" s="711"/>
      <c r="L34172" s="711"/>
      <c r="Q34172" s="11"/>
      <c r="R34172" s="11"/>
      <c r="S34172" s="11"/>
      <c r="T34172" s="11"/>
    </row>
    <row r="34173" spans="8:20" x14ac:dyDescent="0.35">
      <c r="H34173" s="711"/>
      <c r="I34173" s="711"/>
      <c r="J34173" s="711"/>
      <c r="K34173" s="711"/>
      <c r="L34173" s="711"/>
      <c r="Q34173" s="11"/>
      <c r="R34173" s="11"/>
      <c r="S34173" s="11"/>
      <c r="T34173" s="11"/>
    </row>
    <row r="34174" spans="8:20" x14ac:dyDescent="0.35">
      <c r="H34174" s="711"/>
      <c r="I34174" s="711"/>
      <c r="J34174" s="711"/>
      <c r="K34174" s="711"/>
      <c r="L34174" s="711"/>
      <c r="Q34174" s="11"/>
      <c r="R34174" s="11"/>
      <c r="S34174" s="11"/>
      <c r="T34174" s="11"/>
    </row>
    <row r="34175" spans="8:20" x14ac:dyDescent="0.35">
      <c r="H34175" s="711"/>
      <c r="I34175" s="711"/>
      <c r="J34175" s="711"/>
      <c r="K34175" s="711"/>
      <c r="L34175" s="711"/>
      <c r="Q34175" s="11"/>
      <c r="R34175" s="11"/>
      <c r="S34175" s="11"/>
      <c r="T34175" s="11"/>
    </row>
    <row r="34176" spans="8:20" x14ac:dyDescent="0.35">
      <c r="H34176" s="711"/>
      <c r="I34176" s="711"/>
      <c r="J34176" s="711"/>
      <c r="K34176" s="711"/>
      <c r="L34176" s="711"/>
      <c r="Q34176" s="11"/>
      <c r="R34176" s="11"/>
      <c r="S34176" s="11"/>
      <c r="T34176" s="11"/>
    </row>
    <row r="34177" spans="8:20" x14ac:dyDescent="0.35">
      <c r="H34177" s="711"/>
      <c r="I34177" s="711"/>
      <c r="J34177" s="711"/>
      <c r="K34177" s="711"/>
      <c r="L34177" s="711"/>
      <c r="Q34177" s="11"/>
      <c r="R34177" s="11"/>
      <c r="S34177" s="11"/>
      <c r="T34177" s="11"/>
    </row>
    <row r="34178" spans="8:20" x14ac:dyDescent="0.35">
      <c r="H34178" s="711"/>
      <c r="I34178" s="711"/>
      <c r="J34178" s="711"/>
      <c r="K34178" s="711"/>
      <c r="L34178" s="711"/>
      <c r="Q34178" s="11"/>
      <c r="R34178" s="11"/>
      <c r="S34178" s="11"/>
      <c r="T34178" s="11"/>
    </row>
    <row r="34179" spans="8:20" x14ac:dyDescent="0.35">
      <c r="H34179" s="711"/>
      <c r="I34179" s="711"/>
      <c r="J34179" s="711"/>
      <c r="K34179" s="711"/>
      <c r="L34179" s="711"/>
      <c r="Q34179" s="11"/>
      <c r="R34179" s="11"/>
      <c r="S34179" s="11"/>
      <c r="T34179" s="11"/>
    </row>
    <row r="34180" spans="8:20" x14ac:dyDescent="0.35">
      <c r="H34180" s="711"/>
      <c r="I34180" s="711"/>
      <c r="J34180" s="711"/>
      <c r="K34180" s="711"/>
      <c r="L34180" s="711"/>
      <c r="Q34180" s="11"/>
      <c r="R34180" s="11"/>
      <c r="S34180" s="11"/>
      <c r="T34180" s="11"/>
    </row>
    <row r="34181" spans="8:20" x14ac:dyDescent="0.35">
      <c r="H34181" s="711"/>
      <c r="I34181" s="711"/>
      <c r="J34181" s="711"/>
      <c r="K34181" s="711"/>
      <c r="L34181" s="711"/>
      <c r="Q34181" s="11"/>
      <c r="R34181" s="11"/>
      <c r="S34181" s="11"/>
      <c r="T34181" s="11"/>
    </row>
    <row r="34182" spans="8:20" x14ac:dyDescent="0.35">
      <c r="H34182" s="711"/>
      <c r="I34182" s="711"/>
      <c r="J34182" s="711"/>
      <c r="K34182" s="711"/>
      <c r="L34182" s="711"/>
      <c r="Q34182" s="11"/>
      <c r="R34182" s="11"/>
      <c r="S34182" s="11"/>
      <c r="T34182" s="11"/>
    </row>
    <row r="34183" spans="8:20" x14ac:dyDescent="0.35">
      <c r="H34183" s="711"/>
      <c r="I34183" s="711"/>
      <c r="J34183" s="711"/>
      <c r="K34183" s="711"/>
      <c r="L34183" s="711"/>
      <c r="Q34183" s="11"/>
      <c r="R34183" s="11"/>
      <c r="S34183" s="11"/>
      <c r="T34183" s="11"/>
    </row>
    <row r="34184" spans="8:20" x14ac:dyDescent="0.35">
      <c r="H34184" s="711"/>
      <c r="I34184" s="711"/>
      <c r="J34184" s="711"/>
      <c r="K34184" s="711"/>
      <c r="L34184" s="711"/>
      <c r="Q34184" s="11"/>
      <c r="R34184" s="11"/>
      <c r="S34184" s="11"/>
      <c r="T34184" s="11"/>
    </row>
    <row r="34185" spans="8:20" x14ac:dyDescent="0.35">
      <c r="H34185" s="711"/>
      <c r="I34185" s="711"/>
      <c r="J34185" s="711"/>
      <c r="K34185" s="711"/>
      <c r="L34185" s="711"/>
      <c r="Q34185" s="11"/>
      <c r="R34185" s="11"/>
      <c r="S34185" s="11"/>
      <c r="T34185" s="11"/>
    </row>
    <row r="34186" spans="8:20" x14ac:dyDescent="0.35">
      <c r="H34186" s="711"/>
      <c r="I34186" s="711"/>
      <c r="J34186" s="711"/>
      <c r="K34186" s="711"/>
      <c r="L34186" s="711"/>
      <c r="Q34186" s="11"/>
      <c r="R34186" s="11"/>
      <c r="S34186" s="11"/>
      <c r="T34186" s="11"/>
    </row>
    <row r="34187" spans="8:20" x14ac:dyDescent="0.35">
      <c r="H34187" s="711"/>
      <c r="I34187" s="711"/>
      <c r="J34187" s="711"/>
      <c r="K34187" s="711"/>
      <c r="L34187" s="711"/>
      <c r="Q34187" s="11"/>
      <c r="R34187" s="11"/>
      <c r="S34187" s="11"/>
      <c r="T34187" s="11"/>
    </row>
    <row r="34188" spans="8:20" x14ac:dyDescent="0.35">
      <c r="H34188" s="711"/>
      <c r="I34188" s="711"/>
      <c r="J34188" s="711"/>
      <c r="K34188" s="711"/>
      <c r="L34188" s="711"/>
      <c r="Q34188" s="11"/>
      <c r="R34188" s="11"/>
      <c r="S34188" s="11"/>
      <c r="T34188" s="11"/>
    </row>
    <row r="34189" spans="8:20" x14ac:dyDescent="0.35">
      <c r="H34189" s="711"/>
      <c r="I34189" s="711"/>
      <c r="J34189" s="711"/>
      <c r="K34189" s="711"/>
      <c r="L34189" s="711"/>
      <c r="Q34189" s="11"/>
      <c r="R34189" s="11"/>
      <c r="S34189" s="11"/>
      <c r="T34189" s="11"/>
    </row>
    <row r="34190" spans="8:20" x14ac:dyDescent="0.35">
      <c r="H34190" s="711"/>
      <c r="I34190" s="711"/>
      <c r="J34190" s="711"/>
      <c r="K34190" s="711"/>
      <c r="L34190" s="711"/>
      <c r="Q34190" s="11"/>
      <c r="R34190" s="11"/>
      <c r="S34190" s="11"/>
      <c r="T34190" s="11"/>
    </row>
    <row r="34191" spans="8:20" x14ac:dyDescent="0.35">
      <c r="H34191" s="711"/>
      <c r="I34191" s="711"/>
      <c r="J34191" s="711"/>
      <c r="K34191" s="711"/>
      <c r="L34191" s="711"/>
      <c r="Q34191" s="11"/>
      <c r="R34191" s="11"/>
      <c r="S34191" s="11"/>
      <c r="T34191" s="11"/>
    </row>
    <row r="34192" spans="8:20" x14ac:dyDescent="0.35">
      <c r="H34192" s="711"/>
      <c r="I34192" s="711"/>
      <c r="J34192" s="711"/>
      <c r="K34192" s="711"/>
      <c r="L34192" s="711"/>
      <c r="Q34192" s="11"/>
      <c r="R34192" s="11"/>
      <c r="S34192" s="11"/>
      <c r="T34192" s="11"/>
    </row>
    <row r="34193" spans="8:20" x14ac:dyDescent="0.35">
      <c r="H34193" s="711"/>
      <c r="I34193" s="711"/>
      <c r="J34193" s="711"/>
      <c r="K34193" s="711"/>
      <c r="L34193" s="711"/>
      <c r="Q34193" s="11"/>
      <c r="R34193" s="11"/>
      <c r="S34193" s="11"/>
      <c r="T34193" s="11"/>
    </row>
    <row r="34194" spans="8:20" x14ac:dyDescent="0.35">
      <c r="H34194" s="711"/>
      <c r="I34194" s="711"/>
      <c r="J34194" s="711"/>
      <c r="K34194" s="711"/>
      <c r="L34194" s="711"/>
      <c r="Q34194" s="11"/>
      <c r="R34194" s="11"/>
      <c r="S34194" s="11"/>
      <c r="T34194" s="11"/>
    </row>
    <row r="34195" spans="8:20" x14ac:dyDescent="0.35">
      <c r="H34195" s="711"/>
      <c r="I34195" s="711"/>
      <c r="J34195" s="711"/>
      <c r="K34195" s="711"/>
      <c r="L34195" s="711"/>
      <c r="Q34195" s="11"/>
      <c r="R34195" s="11"/>
      <c r="S34195" s="11"/>
      <c r="T34195" s="11"/>
    </row>
    <row r="34196" spans="8:20" x14ac:dyDescent="0.35">
      <c r="H34196" s="711"/>
      <c r="I34196" s="711"/>
      <c r="J34196" s="711"/>
      <c r="K34196" s="711"/>
      <c r="L34196" s="711"/>
      <c r="Q34196" s="11"/>
      <c r="R34196" s="11"/>
      <c r="S34196" s="11"/>
      <c r="T34196" s="11"/>
    </row>
    <row r="34197" spans="8:20" x14ac:dyDescent="0.35">
      <c r="H34197" s="711"/>
      <c r="I34197" s="711"/>
      <c r="J34197" s="711"/>
      <c r="K34197" s="711"/>
      <c r="L34197" s="711"/>
      <c r="Q34197" s="11"/>
      <c r="R34197" s="11"/>
      <c r="S34197" s="11"/>
      <c r="T34197" s="11"/>
    </row>
    <row r="34198" spans="8:20" x14ac:dyDescent="0.35">
      <c r="H34198" s="711"/>
      <c r="I34198" s="711"/>
      <c r="J34198" s="711"/>
      <c r="K34198" s="711"/>
      <c r="L34198" s="711"/>
      <c r="Q34198" s="11"/>
      <c r="R34198" s="11"/>
      <c r="S34198" s="11"/>
      <c r="T34198" s="11"/>
    </row>
    <row r="34199" spans="8:20" x14ac:dyDescent="0.35">
      <c r="H34199" s="711"/>
      <c r="I34199" s="711"/>
      <c r="J34199" s="711"/>
      <c r="K34199" s="711"/>
      <c r="L34199" s="711"/>
      <c r="Q34199" s="11"/>
      <c r="R34199" s="11"/>
      <c r="S34199" s="11"/>
      <c r="T34199" s="11"/>
    </row>
    <row r="34200" spans="8:20" x14ac:dyDescent="0.35">
      <c r="H34200" s="711"/>
      <c r="I34200" s="711"/>
      <c r="J34200" s="711"/>
      <c r="K34200" s="711"/>
      <c r="L34200" s="711"/>
      <c r="Q34200" s="11"/>
      <c r="R34200" s="11"/>
      <c r="S34200" s="11"/>
      <c r="T34200" s="11"/>
    </row>
    <row r="34201" spans="8:20" x14ac:dyDescent="0.35">
      <c r="H34201" s="711"/>
      <c r="I34201" s="711"/>
      <c r="J34201" s="711"/>
      <c r="K34201" s="711"/>
      <c r="L34201" s="711"/>
      <c r="Q34201" s="11"/>
      <c r="R34201" s="11"/>
      <c r="S34201" s="11"/>
      <c r="T34201" s="11"/>
    </row>
    <row r="34202" spans="8:20" x14ac:dyDescent="0.35">
      <c r="H34202" s="711"/>
      <c r="I34202" s="711"/>
      <c r="J34202" s="711"/>
      <c r="K34202" s="711"/>
      <c r="L34202" s="711"/>
      <c r="Q34202" s="11"/>
      <c r="R34202" s="11"/>
      <c r="S34202" s="11"/>
      <c r="T34202" s="11"/>
    </row>
    <row r="34203" spans="8:20" x14ac:dyDescent="0.35">
      <c r="H34203" s="711"/>
      <c r="I34203" s="711"/>
      <c r="J34203" s="711"/>
      <c r="K34203" s="711"/>
      <c r="L34203" s="711"/>
      <c r="Q34203" s="11"/>
      <c r="R34203" s="11"/>
      <c r="S34203" s="11"/>
      <c r="T34203" s="11"/>
    </row>
    <row r="34204" spans="8:20" x14ac:dyDescent="0.35">
      <c r="H34204" s="711"/>
      <c r="I34204" s="711"/>
      <c r="J34204" s="711"/>
      <c r="K34204" s="711"/>
      <c r="L34204" s="711"/>
      <c r="Q34204" s="11"/>
      <c r="R34204" s="11"/>
      <c r="S34204" s="11"/>
      <c r="T34204" s="11"/>
    </row>
    <row r="34205" spans="8:20" x14ac:dyDescent="0.35">
      <c r="H34205" s="711"/>
      <c r="I34205" s="711"/>
      <c r="J34205" s="711"/>
      <c r="K34205" s="711"/>
      <c r="L34205" s="711"/>
      <c r="Q34205" s="11"/>
      <c r="R34205" s="11"/>
      <c r="S34205" s="11"/>
      <c r="T34205" s="11"/>
    </row>
    <row r="34206" spans="8:20" x14ac:dyDescent="0.35">
      <c r="H34206" s="711"/>
      <c r="I34206" s="711"/>
      <c r="J34206" s="711"/>
      <c r="K34206" s="711"/>
      <c r="L34206" s="711"/>
      <c r="Q34206" s="11"/>
      <c r="R34206" s="11"/>
      <c r="S34206" s="11"/>
      <c r="T34206" s="11"/>
    </row>
    <row r="34207" spans="8:20" x14ac:dyDescent="0.35">
      <c r="H34207" s="711"/>
      <c r="I34207" s="711"/>
      <c r="J34207" s="711"/>
      <c r="K34207" s="711"/>
      <c r="L34207" s="711"/>
      <c r="Q34207" s="11"/>
      <c r="R34207" s="11"/>
      <c r="S34207" s="11"/>
      <c r="T34207" s="11"/>
    </row>
    <row r="34208" spans="8:20" x14ac:dyDescent="0.35">
      <c r="H34208" s="711"/>
      <c r="I34208" s="711"/>
      <c r="J34208" s="711"/>
      <c r="K34208" s="711"/>
      <c r="L34208" s="711"/>
      <c r="Q34208" s="11"/>
      <c r="R34208" s="11"/>
      <c r="S34208" s="11"/>
      <c r="T34208" s="11"/>
    </row>
    <row r="34209" spans="8:20" x14ac:dyDescent="0.35">
      <c r="H34209" s="711"/>
      <c r="I34209" s="711"/>
      <c r="J34209" s="711"/>
      <c r="K34209" s="711"/>
      <c r="L34209" s="711"/>
      <c r="Q34209" s="11"/>
      <c r="R34209" s="11"/>
      <c r="S34209" s="11"/>
      <c r="T34209" s="11"/>
    </row>
    <row r="34210" spans="8:20" x14ac:dyDescent="0.35">
      <c r="H34210" s="711"/>
      <c r="I34210" s="711"/>
      <c r="J34210" s="711"/>
      <c r="K34210" s="711"/>
      <c r="L34210" s="711"/>
      <c r="Q34210" s="11"/>
      <c r="R34210" s="11"/>
      <c r="S34210" s="11"/>
      <c r="T34210" s="11"/>
    </row>
    <row r="34211" spans="8:20" x14ac:dyDescent="0.35">
      <c r="H34211" s="711"/>
      <c r="I34211" s="711"/>
      <c r="J34211" s="711"/>
      <c r="K34211" s="711"/>
      <c r="L34211" s="711"/>
      <c r="Q34211" s="11"/>
      <c r="R34211" s="11"/>
      <c r="S34211" s="11"/>
      <c r="T34211" s="11"/>
    </row>
    <row r="34212" spans="8:20" x14ac:dyDescent="0.35">
      <c r="H34212" s="711"/>
      <c r="I34212" s="711"/>
      <c r="J34212" s="711"/>
      <c r="K34212" s="711"/>
      <c r="L34212" s="711"/>
      <c r="Q34212" s="11"/>
      <c r="R34212" s="11"/>
      <c r="S34212" s="11"/>
      <c r="T34212" s="11"/>
    </row>
    <row r="34213" spans="8:20" x14ac:dyDescent="0.35">
      <c r="H34213" s="711"/>
      <c r="I34213" s="711"/>
      <c r="J34213" s="711"/>
      <c r="K34213" s="711"/>
      <c r="L34213" s="711"/>
      <c r="Q34213" s="11"/>
      <c r="R34213" s="11"/>
      <c r="S34213" s="11"/>
      <c r="T34213" s="11"/>
    </row>
    <row r="34214" spans="8:20" x14ac:dyDescent="0.35">
      <c r="H34214" s="711"/>
      <c r="I34214" s="711"/>
      <c r="J34214" s="711"/>
      <c r="K34214" s="711"/>
      <c r="L34214" s="711"/>
      <c r="Q34214" s="11"/>
      <c r="R34214" s="11"/>
      <c r="S34214" s="11"/>
      <c r="T34214" s="11"/>
    </row>
    <row r="34215" spans="8:20" x14ac:dyDescent="0.35">
      <c r="H34215" s="711"/>
      <c r="I34215" s="711"/>
      <c r="J34215" s="711"/>
      <c r="K34215" s="711"/>
      <c r="L34215" s="711"/>
      <c r="Q34215" s="11"/>
      <c r="R34215" s="11"/>
      <c r="S34215" s="11"/>
      <c r="T34215" s="11"/>
    </row>
    <row r="34216" spans="8:20" x14ac:dyDescent="0.35">
      <c r="H34216" s="711"/>
      <c r="I34216" s="711"/>
      <c r="J34216" s="711"/>
      <c r="K34216" s="711"/>
      <c r="L34216" s="711"/>
      <c r="Q34216" s="11"/>
      <c r="R34216" s="11"/>
      <c r="S34216" s="11"/>
      <c r="T34216" s="11"/>
    </row>
    <row r="34217" spans="8:20" x14ac:dyDescent="0.35">
      <c r="H34217" s="711"/>
      <c r="I34217" s="711"/>
      <c r="J34217" s="711"/>
      <c r="K34217" s="711"/>
      <c r="L34217" s="711"/>
      <c r="Q34217" s="11"/>
      <c r="R34217" s="11"/>
      <c r="S34217" s="11"/>
      <c r="T34217" s="11"/>
    </row>
    <row r="34218" spans="8:20" x14ac:dyDescent="0.35">
      <c r="H34218" s="711"/>
      <c r="I34218" s="711"/>
      <c r="J34218" s="711"/>
      <c r="K34218" s="711"/>
      <c r="L34218" s="711"/>
      <c r="Q34218" s="11"/>
      <c r="R34218" s="11"/>
      <c r="S34218" s="11"/>
      <c r="T34218" s="11"/>
    </row>
    <row r="34219" spans="8:20" x14ac:dyDescent="0.35">
      <c r="H34219" s="711"/>
      <c r="I34219" s="711"/>
      <c r="J34219" s="711"/>
      <c r="K34219" s="711"/>
      <c r="L34219" s="711"/>
      <c r="Q34219" s="11"/>
      <c r="R34219" s="11"/>
      <c r="S34219" s="11"/>
      <c r="T34219" s="11"/>
    </row>
    <row r="34220" spans="8:20" x14ac:dyDescent="0.35">
      <c r="H34220" s="711"/>
      <c r="I34220" s="711"/>
      <c r="J34220" s="711"/>
      <c r="K34220" s="711"/>
      <c r="L34220" s="711"/>
      <c r="Q34220" s="11"/>
      <c r="R34220" s="11"/>
      <c r="S34220" s="11"/>
      <c r="T34220" s="11"/>
    </row>
    <row r="34221" spans="8:20" x14ac:dyDescent="0.35">
      <c r="H34221" s="711"/>
      <c r="I34221" s="711"/>
      <c r="J34221" s="711"/>
      <c r="K34221" s="711"/>
      <c r="L34221" s="711"/>
      <c r="Q34221" s="11"/>
      <c r="R34221" s="11"/>
      <c r="S34221" s="11"/>
      <c r="T34221" s="11"/>
    </row>
    <row r="34222" spans="8:20" x14ac:dyDescent="0.35">
      <c r="H34222" s="711"/>
      <c r="I34222" s="711"/>
      <c r="J34222" s="711"/>
      <c r="K34222" s="711"/>
      <c r="L34222" s="711"/>
      <c r="Q34222" s="11"/>
      <c r="R34222" s="11"/>
      <c r="S34222" s="11"/>
      <c r="T34222" s="11"/>
    </row>
    <row r="34223" spans="8:20" x14ac:dyDescent="0.35">
      <c r="H34223" s="711"/>
      <c r="I34223" s="711"/>
      <c r="J34223" s="711"/>
      <c r="K34223" s="711"/>
      <c r="L34223" s="711"/>
      <c r="Q34223" s="11"/>
      <c r="R34223" s="11"/>
      <c r="S34223" s="11"/>
      <c r="T34223" s="11"/>
    </row>
    <row r="34224" spans="8:20" x14ac:dyDescent="0.35">
      <c r="H34224" s="711"/>
      <c r="I34224" s="711"/>
      <c r="J34224" s="711"/>
      <c r="K34224" s="711"/>
      <c r="L34224" s="711"/>
      <c r="Q34224" s="11"/>
      <c r="R34224" s="11"/>
      <c r="S34224" s="11"/>
      <c r="T34224" s="11"/>
    </row>
    <row r="34225" spans="8:20" x14ac:dyDescent="0.35">
      <c r="H34225" s="711"/>
      <c r="I34225" s="711"/>
      <c r="J34225" s="711"/>
      <c r="K34225" s="711"/>
      <c r="L34225" s="711"/>
      <c r="Q34225" s="11"/>
      <c r="R34225" s="11"/>
      <c r="S34225" s="11"/>
      <c r="T34225" s="11"/>
    </row>
    <row r="34226" spans="8:20" x14ac:dyDescent="0.35">
      <c r="H34226" s="711"/>
      <c r="I34226" s="711"/>
      <c r="J34226" s="711"/>
      <c r="K34226" s="711"/>
      <c r="L34226" s="711"/>
      <c r="Q34226" s="11"/>
      <c r="R34226" s="11"/>
      <c r="S34226" s="11"/>
      <c r="T34226" s="11"/>
    </row>
    <row r="34227" spans="8:20" x14ac:dyDescent="0.35">
      <c r="H34227" s="711"/>
      <c r="I34227" s="711"/>
      <c r="J34227" s="711"/>
      <c r="K34227" s="711"/>
      <c r="L34227" s="711"/>
      <c r="Q34227" s="11"/>
      <c r="R34227" s="11"/>
      <c r="S34227" s="11"/>
      <c r="T34227" s="11"/>
    </row>
    <row r="34228" spans="8:20" x14ac:dyDescent="0.35">
      <c r="H34228" s="711"/>
      <c r="I34228" s="711"/>
      <c r="J34228" s="711"/>
      <c r="K34228" s="711"/>
      <c r="L34228" s="711"/>
      <c r="Q34228" s="11"/>
      <c r="R34228" s="11"/>
      <c r="S34228" s="11"/>
      <c r="T34228" s="11"/>
    </row>
    <row r="34229" spans="8:20" x14ac:dyDescent="0.35">
      <c r="H34229" s="711"/>
      <c r="I34229" s="711"/>
      <c r="J34229" s="711"/>
      <c r="K34229" s="711"/>
      <c r="L34229" s="711"/>
      <c r="Q34229" s="11"/>
      <c r="R34229" s="11"/>
      <c r="S34229" s="11"/>
      <c r="T34229" s="11"/>
    </row>
    <row r="34230" spans="8:20" x14ac:dyDescent="0.35">
      <c r="H34230" s="711"/>
      <c r="I34230" s="711"/>
      <c r="J34230" s="711"/>
      <c r="K34230" s="711"/>
      <c r="L34230" s="711"/>
      <c r="Q34230" s="11"/>
      <c r="R34230" s="11"/>
      <c r="S34230" s="11"/>
      <c r="T34230" s="11"/>
    </row>
    <row r="34231" spans="8:20" x14ac:dyDescent="0.35">
      <c r="H34231" s="711"/>
      <c r="I34231" s="711"/>
      <c r="J34231" s="711"/>
      <c r="K34231" s="711"/>
      <c r="L34231" s="711"/>
      <c r="Q34231" s="11"/>
      <c r="R34231" s="11"/>
      <c r="S34231" s="11"/>
      <c r="T34231" s="11"/>
    </row>
    <row r="34232" spans="8:20" x14ac:dyDescent="0.35">
      <c r="H34232" s="711"/>
      <c r="I34232" s="711"/>
      <c r="J34232" s="711"/>
      <c r="K34232" s="711"/>
      <c r="L34232" s="711"/>
      <c r="Q34232" s="11"/>
      <c r="R34232" s="11"/>
      <c r="S34232" s="11"/>
      <c r="T34232" s="11"/>
    </row>
    <row r="34233" spans="8:20" x14ac:dyDescent="0.35">
      <c r="H34233" s="711"/>
      <c r="I34233" s="711"/>
      <c r="J34233" s="711"/>
      <c r="K34233" s="711"/>
      <c r="L34233" s="711"/>
      <c r="Q34233" s="11"/>
      <c r="R34233" s="11"/>
      <c r="S34233" s="11"/>
      <c r="T34233" s="11"/>
    </row>
    <row r="34234" spans="8:20" x14ac:dyDescent="0.35">
      <c r="H34234" s="711"/>
      <c r="I34234" s="711"/>
      <c r="J34234" s="711"/>
      <c r="K34234" s="711"/>
      <c r="L34234" s="711"/>
      <c r="Q34234" s="11"/>
      <c r="R34234" s="11"/>
      <c r="S34234" s="11"/>
      <c r="T34234" s="11"/>
    </row>
    <row r="34235" spans="8:20" x14ac:dyDescent="0.35">
      <c r="H34235" s="711"/>
      <c r="I34235" s="711"/>
      <c r="J34235" s="711"/>
      <c r="K34235" s="711"/>
      <c r="L34235" s="711"/>
      <c r="Q34235" s="11"/>
      <c r="R34235" s="11"/>
      <c r="S34235" s="11"/>
      <c r="T34235" s="11"/>
    </row>
    <row r="34236" spans="8:20" x14ac:dyDescent="0.35">
      <c r="H34236" s="711"/>
      <c r="I34236" s="711"/>
      <c r="J34236" s="711"/>
      <c r="K34236" s="711"/>
      <c r="L34236" s="711"/>
      <c r="Q34236" s="11"/>
      <c r="R34236" s="11"/>
      <c r="S34236" s="11"/>
      <c r="T34236" s="11"/>
    </row>
    <row r="34237" spans="8:20" x14ac:dyDescent="0.35">
      <c r="H34237" s="711"/>
      <c r="I34237" s="711"/>
      <c r="J34237" s="711"/>
      <c r="K34237" s="711"/>
      <c r="L34237" s="711"/>
      <c r="Q34237" s="11"/>
      <c r="R34237" s="11"/>
      <c r="S34237" s="11"/>
      <c r="T34237" s="11"/>
    </row>
    <row r="34238" spans="8:20" x14ac:dyDescent="0.35">
      <c r="H34238" s="711"/>
      <c r="I34238" s="711"/>
      <c r="J34238" s="711"/>
      <c r="K34238" s="711"/>
      <c r="L34238" s="711"/>
      <c r="Q34238" s="11"/>
      <c r="R34238" s="11"/>
      <c r="S34238" s="11"/>
      <c r="T34238" s="11"/>
    </row>
    <row r="34239" spans="8:20" x14ac:dyDescent="0.35">
      <c r="H34239" s="711"/>
      <c r="I34239" s="711"/>
      <c r="J34239" s="711"/>
      <c r="K34239" s="711"/>
      <c r="L34239" s="711"/>
      <c r="Q34239" s="11"/>
      <c r="R34239" s="11"/>
      <c r="S34239" s="11"/>
      <c r="T34239" s="11"/>
    </row>
    <row r="34240" spans="8:20" x14ac:dyDescent="0.35">
      <c r="H34240" s="711"/>
      <c r="I34240" s="711"/>
      <c r="J34240" s="711"/>
      <c r="K34240" s="711"/>
      <c r="L34240" s="711"/>
      <c r="Q34240" s="11"/>
      <c r="R34240" s="11"/>
      <c r="S34240" s="11"/>
      <c r="T34240" s="11"/>
    </row>
    <row r="34241" spans="8:20" x14ac:dyDescent="0.35">
      <c r="H34241" s="711"/>
      <c r="I34241" s="711"/>
      <c r="J34241" s="711"/>
      <c r="K34241" s="711"/>
      <c r="L34241" s="711"/>
      <c r="Q34241" s="11"/>
      <c r="R34241" s="11"/>
      <c r="S34241" s="11"/>
      <c r="T34241" s="11"/>
    </row>
    <row r="34242" spans="8:20" x14ac:dyDescent="0.35">
      <c r="H34242" s="711"/>
      <c r="I34242" s="711"/>
      <c r="J34242" s="711"/>
      <c r="K34242" s="711"/>
      <c r="L34242" s="711"/>
      <c r="Q34242" s="11"/>
      <c r="R34242" s="11"/>
      <c r="S34242" s="11"/>
      <c r="T34242" s="11"/>
    </row>
    <row r="34243" spans="8:20" x14ac:dyDescent="0.35">
      <c r="H34243" s="711"/>
      <c r="I34243" s="711"/>
      <c r="J34243" s="711"/>
      <c r="K34243" s="711"/>
      <c r="L34243" s="711"/>
      <c r="Q34243" s="11"/>
      <c r="R34243" s="11"/>
      <c r="S34243" s="11"/>
      <c r="T34243" s="11"/>
    </row>
    <row r="34244" spans="8:20" x14ac:dyDescent="0.35">
      <c r="H34244" s="711"/>
      <c r="I34244" s="711"/>
      <c r="J34244" s="711"/>
      <c r="K34244" s="711"/>
      <c r="L34244" s="711"/>
      <c r="Q34244" s="11"/>
      <c r="R34244" s="11"/>
      <c r="S34244" s="11"/>
      <c r="T34244" s="11"/>
    </row>
    <row r="34245" spans="8:20" x14ac:dyDescent="0.35">
      <c r="H34245" s="711"/>
      <c r="I34245" s="711"/>
      <c r="J34245" s="711"/>
      <c r="K34245" s="711"/>
      <c r="L34245" s="711"/>
      <c r="Q34245" s="11"/>
      <c r="R34245" s="11"/>
      <c r="S34245" s="11"/>
      <c r="T34245" s="11"/>
    </row>
    <row r="34246" spans="8:20" x14ac:dyDescent="0.35">
      <c r="H34246" s="711"/>
      <c r="I34246" s="711"/>
      <c r="J34246" s="711"/>
      <c r="K34246" s="711"/>
      <c r="L34246" s="711"/>
      <c r="Q34246" s="11"/>
      <c r="R34246" s="11"/>
      <c r="S34246" s="11"/>
      <c r="T34246" s="11"/>
    </row>
    <row r="34247" spans="8:20" x14ac:dyDescent="0.35">
      <c r="H34247" s="711"/>
      <c r="I34247" s="711"/>
      <c r="J34247" s="711"/>
      <c r="K34247" s="711"/>
      <c r="L34247" s="711"/>
      <c r="Q34247" s="11"/>
      <c r="R34247" s="11"/>
      <c r="S34247" s="11"/>
      <c r="T34247" s="11"/>
    </row>
    <row r="34248" spans="8:20" x14ac:dyDescent="0.35">
      <c r="H34248" s="711"/>
      <c r="I34248" s="711"/>
      <c r="J34248" s="711"/>
      <c r="K34248" s="711"/>
      <c r="L34248" s="711"/>
      <c r="Q34248" s="11"/>
      <c r="R34248" s="11"/>
      <c r="S34248" s="11"/>
      <c r="T34248" s="11"/>
    </row>
    <row r="34249" spans="8:20" x14ac:dyDescent="0.35">
      <c r="H34249" s="711"/>
      <c r="I34249" s="711"/>
      <c r="J34249" s="711"/>
      <c r="K34249" s="711"/>
      <c r="L34249" s="711"/>
      <c r="Q34249" s="11"/>
      <c r="R34249" s="11"/>
      <c r="S34249" s="11"/>
      <c r="T34249" s="11"/>
    </row>
    <row r="34250" spans="8:20" x14ac:dyDescent="0.35">
      <c r="H34250" s="711"/>
      <c r="I34250" s="711"/>
      <c r="J34250" s="711"/>
      <c r="K34250" s="711"/>
      <c r="L34250" s="711"/>
      <c r="Q34250" s="11"/>
      <c r="R34250" s="11"/>
      <c r="S34250" s="11"/>
      <c r="T34250" s="11"/>
    </row>
    <row r="34251" spans="8:20" x14ac:dyDescent="0.35">
      <c r="H34251" s="711"/>
      <c r="I34251" s="711"/>
      <c r="J34251" s="711"/>
      <c r="K34251" s="711"/>
      <c r="L34251" s="711"/>
      <c r="Q34251" s="11"/>
      <c r="R34251" s="11"/>
      <c r="S34251" s="11"/>
      <c r="T34251" s="11"/>
    </row>
    <row r="34252" spans="8:20" x14ac:dyDescent="0.35">
      <c r="H34252" s="711"/>
      <c r="I34252" s="711"/>
      <c r="J34252" s="711"/>
      <c r="K34252" s="711"/>
      <c r="L34252" s="711"/>
      <c r="Q34252" s="11"/>
      <c r="R34252" s="11"/>
      <c r="S34252" s="11"/>
      <c r="T34252" s="11"/>
    </row>
    <row r="34253" spans="8:20" x14ac:dyDescent="0.35">
      <c r="H34253" s="711"/>
      <c r="I34253" s="711"/>
      <c r="J34253" s="711"/>
      <c r="K34253" s="711"/>
      <c r="L34253" s="711"/>
      <c r="Q34253" s="11"/>
      <c r="R34253" s="11"/>
      <c r="S34253" s="11"/>
      <c r="T34253" s="11"/>
    </row>
    <row r="34254" spans="8:20" x14ac:dyDescent="0.35">
      <c r="H34254" s="711"/>
      <c r="I34254" s="711"/>
      <c r="J34254" s="711"/>
      <c r="K34254" s="711"/>
      <c r="L34254" s="711"/>
      <c r="Q34254" s="11"/>
      <c r="R34254" s="11"/>
      <c r="S34254" s="11"/>
      <c r="T34254" s="11"/>
    </row>
    <row r="34255" spans="8:20" x14ac:dyDescent="0.35">
      <c r="H34255" s="711"/>
      <c r="I34255" s="711"/>
      <c r="J34255" s="711"/>
      <c r="K34255" s="711"/>
      <c r="L34255" s="711"/>
      <c r="Q34255" s="11"/>
      <c r="R34255" s="11"/>
      <c r="S34255" s="11"/>
      <c r="T34255" s="11"/>
    </row>
    <row r="34256" spans="8:20" x14ac:dyDescent="0.35">
      <c r="H34256" s="711"/>
      <c r="I34256" s="711"/>
      <c r="J34256" s="711"/>
      <c r="K34256" s="711"/>
      <c r="L34256" s="711"/>
      <c r="Q34256" s="11"/>
      <c r="R34256" s="11"/>
      <c r="S34256" s="11"/>
      <c r="T34256" s="11"/>
    </row>
    <row r="34257" spans="8:20" x14ac:dyDescent="0.35">
      <c r="H34257" s="711"/>
      <c r="I34257" s="711"/>
      <c r="J34257" s="711"/>
      <c r="K34257" s="711"/>
      <c r="L34257" s="711"/>
      <c r="Q34257" s="11"/>
      <c r="R34257" s="11"/>
      <c r="S34257" s="11"/>
      <c r="T34257" s="11"/>
    </row>
    <row r="34258" spans="8:20" x14ac:dyDescent="0.35">
      <c r="H34258" s="711"/>
      <c r="I34258" s="711"/>
      <c r="J34258" s="711"/>
      <c r="K34258" s="711"/>
      <c r="L34258" s="711"/>
      <c r="Q34258" s="11"/>
      <c r="R34258" s="11"/>
      <c r="S34258" s="11"/>
      <c r="T34258" s="11"/>
    </row>
    <row r="34259" spans="8:20" x14ac:dyDescent="0.35">
      <c r="H34259" s="711"/>
      <c r="I34259" s="711"/>
      <c r="J34259" s="711"/>
      <c r="K34259" s="711"/>
      <c r="L34259" s="711"/>
      <c r="Q34259" s="11"/>
      <c r="R34259" s="11"/>
      <c r="S34259" s="11"/>
      <c r="T34259" s="11"/>
    </row>
    <row r="34260" spans="8:20" x14ac:dyDescent="0.35">
      <c r="H34260" s="711"/>
      <c r="I34260" s="711"/>
      <c r="J34260" s="711"/>
      <c r="K34260" s="711"/>
      <c r="L34260" s="711"/>
      <c r="Q34260" s="11"/>
      <c r="R34260" s="11"/>
      <c r="S34260" s="11"/>
      <c r="T34260" s="11"/>
    </row>
    <row r="34261" spans="8:20" x14ac:dyDescent="0.35">
      <c r="H34261" s="711"/>
      <c r="I34261" s="711"/>
      <c r="J34261" s="711"/>
      <c r="K34261" s="711"/>
      <c r="L34261" s="711"/>
      <c r="Q34261" s="11"/>
      <c r="R34261" s="11"/>
      <c r="S34261" s="11"/>
      <c r="T34261" s="11"/>
    </row>
    <row r="34262" spans="8:20" x14ac:dyDescent="0.35">
      <c r="H34262" s="711"/>
      <c r="I34262" s="711"/>
      <c r="J34262" s="711"/>
      <c r="K34262" s="711"/>
      <c r="L34262" s="711"/>
      <c r="Q34262" s="11"/>
      <c r="R34262" s="11"/>
      <c r="S34262" s="11"/>
      <c r="T34262" s="11"/>
    </row>
    <row r="34263" spans="8:20" x14ac:dyDescent="0.35">
      <c r="H34263" s="711"/>
      <c r="I34263" s="711"/>
      <c r="J34263" s="711"/>
      <c r="K34263" s="711"/>
      <c r="L34263" s="711"/>
      <c r="Q34263" s="11"/>
      <c r="R34263" s="11"/>
      <c r="S34263" s="11"/>
      <c r="T34263" s="11"/>
    </row>
    <row r="34264" spans="8:20" x14ac:dyDescent="0.35">
      <c r="H34264" s="711"/>
      <c r="I34264" s="711"/>
      <c r="J34264" s="711"/>
      <c r="K34264" s="711"/>
      <c r="L34264" s="711"/>
      <c r="Q34264" s="11"/>
      <c r="R34264" s="11"/>
      <c r="S34264" s="11"/>
      <c r="T34264" s="11"/>
    </row>
    <row r="34265" spans="8:20" x14ac:dyDescent="0.35">
      <c r="H34265" s="711"/>
      <c r="I34265" s="711"/>
      <c r="J34265" s="711"/>
      <c r="K34265" s="711"/>
      <c r="L34265" s="711"/>
      <c r="Q34265" s="11"/>
      <c r="R34265" s="11"/>
      <c r="S34265" s="11"/>
      <c r="T34265" s="11"/>
    </row>
    <row r="34266" spans="8:20" x14ac:dyDescent="0.35">
      <c r="H34266" s="711"/>
      <c r="I34266" s="711"/>
      <c r="J34266" s="711"/>
      <c r="K34266" s="711"/>
      <c r="L34266" s="711"/>
      <c r="Q34266" s="11"/>
      <c r="R34266" s="11"/>
      <c r="S34266" s="11"/>
      <c r="T34266" s="11"/>
    </row>
    <row r="34267" spans="8:20" x14ac:dyDescent="0.35">
      <c r="H34267" s="711"/>
      <c r="I34267" s="711"/>
      <c r="J34267" s="711"/>
      <c r="K34267" s="711"/>
      <c r="L34267" s="711"/>
      <c r="Q34267" s="11"/>
      <c r="R34267" s="11"/>
      <c r="S34267" s="11"/>
      <c r="T34267" s="11"/>
    </row>
    <row r="34268" spans="8:20" x14ac:dyDescent="0.35">
      <c r="H34268" s="711"/>
      <c r="I34268" s="711"/>
      <c r="J34268" s="711"/>
      <c r="K34268" s="711"/>
      <c r="L34268" s="711"/>
      <c r="Q34268" s="11"/>
      <c r="R34268" s="11"/>
      <c r="S34268" s="11"/>
      <c r="T34268" s="11"/>
    </row>
    <row r="34269" spans="8:20" x14ac:dyDescent="0.35">
      <c r="H34269" s="711"/>
      <c r="I34269" s="711"/>
      <c r="J34269" s="711"/>
      <c r="K34269" s="711"/>
      <c r="L34269" s="711"/>
      <c r="Q34269" s="11"/>
      <c r="R34269" s="11"/>
      <c r="S34269" s="11"/>
      <c r="T34269" s="11"/>
    </row>
    <row r="34270" spans="8:20" x14ac:dyDescent="0.35">
      <c r="H34270" s="711"/>
      <c r="I34270" s="711"/>
      <c r="J34270" s="711"/>
      <c r="K34270" s="711"/>
      <c r="L34270" s="711"/>
      <c r="Q34270" s="11"/>
      <c r="R34270" s="11"/>
      <c r="S34270" s="11"/>
      <c r="T34270" s="11"/>
    </row>
    <row r="34271" spans="8:20" x14ac:dyDescent="0.35">
      <c r="H34271" s="711"/>
      <c r="I34271" s="711"/>
      <c r="J34271" s="711"/>
      <c r="K34271" s="711"/>
      <c r="L34271" s="711"/>
      <c r="Q34271" s="11"/>
      <c r="R34271" s="11"/>
      <c r="S34271" s="11"/>
      <c r="T34271" s="11"/>
    </row>
    <row r="34272" spans="8:20" x14ac:dyDescent="0.35">
      <c r="H34272" s="711"/>
      <c r="I34272" s="711"/>
      <c r="J34272" s="711"/>
      <c r="K34272" s="711"/>
      <c r="L34272" s="711"/>
      <c r="Q34272" s="11"/>
      <c r="R34272" s="11"/>
      <c r="S34272" s="11"/>
      <c r="T34272" s="11"/>
    </row>
    <row r="34273" spans="8:20" x14ac:dyDescent="0.35">
      <c r="H34273" s="711"/>
      <c r="I34273" s="711"/>
      <c r="J34273" s="711"/>
      <c r="K34273" s="711"/>
      <c r="L34273" s="711"/>
      <c r="Q34273" s="11"/>
      <c r="R34273" s="11"/>
      <c r="S34273" s="11"/>
      <c r="T34273" s="11"/>
    </row>
    <row r="34274" spans="8:20" x14ac:dyDescent="0.35">
      <c r="H34274" s="711"/>
      <c r="I34274" s="711"/>
      <c r="J34274" s="711"/>
      <c r="K34274" s="711"/>
      <c r="L34274" s="711"/>
      <c r="Q34274" s="11"/>
      <c r="R34274" s="11"/>
      <c r="S34274" s="11"/>
      <c r="T34274" s="11"/>
    </row>
    <row r="34275" spans="8:20" x14ac:dyDescent="0.35">
      <c r="H34275" s="711"/>
      <c r="I34275" s="711"/>
      <c r="J34275" s="711"/>
      <c r="K34275" s="711"/>
      <c r="L34275" s="711"/>
      <c r="Q34275" s="11"/>
      <c r="R34275" s="11"/>
      <c r="S34275" s="11"/>
      <c r="T34275" s="11"/>
    </row>
    <row r="34276" spans="8:20" x14ac:dyDescent="0.35">
      <c r="H34276" s="711"/>
      <c r="I34276" s="711"/>
      <c r="J34276" s="711"/>
      <c r="K34276" s="711"/>
      <c r="L34276" s="711"/>
      <c r="Q34276" s="11"/>
      <c r="R34276" s="11"/>
      <c r="S34276" s="11"/>
      <c r="T34276" s="11"/>
    </row>
    <row r="34277" spans="8:20" x14ac:dyDescent="0.35">
      <c r="H34277" s="711"/>
      <c r="I34277" s="711"/>
      <c r="J34277" s="711"/>
      <c r="K34277" s="711"/>
      <c r="L34277" s="711"/>
      <c r="Q34277" s="11"/>
      <c r="R34277" s="11"/>
      <c r="S34277" s="11"/>
      <c r="T34277" s="11"/>
    </row>
    <row r="34278" spans="8:20" x14ac:dyDescent="0.35">
      <c r="H34278" s="711"/>
      <c r="I34278" s="711"/>
      <c r="J34278" s="711"/>
      <c r="K34278" s="711"/>
      <c r="L34278" s="711"/>
      <c r="Q34278" s="11"/>
      <c r="R34278" s="11"/>
      <c r="S34278" s="11"/>
      <c r="T34278" s="11"/>
    </row>
    <row r="34279" spans="8:20" x14ac:dyDescent="0.35">
      <c r="H34279" s="711"/>
      <c r="I34279" s="711"/>
      <c r="J34279" s="711"/>
      <c r="K34279" s="711"/>
      <c r="L34279" s="711"/>
      <c r="Q34279" s="11"/>
      <c r="R34279" s="11"/>
      <c r="S34279" s="11"/>
      <c r="T34279" s="11"/>
    </row>
    <row r="34280" spans="8:20" x14ac:dyDescent="0.35">
      <c r="H34280" s="711"/>
      <c r="I34280" s="711"/>
      <c r="J34280" s="711"/>
      <c r="K34280" s="711"/>
      <c r="L34280" s="711"/>
      <c r="Q34280" s="11"/>
      <c r="R34280" s="11"/>
      <c r="S34280" s="11"/>
      <c r="T34280" s="11"/>
    </row>
    <row r="34281" spans="8:20" x14ac:dyDescent="0.35">
      <c r="H34281" s="711"/>
      <c r="I34281" s="711"/>
      <c r="J34281" s="711"/>
      <c r="K34281" s="711"/>
      <c r="L34281" s="711"/>
      <c r="Q34281" s="11"/>
      <c r="R34281" s="11"/>
      <c r="S34281" s="11"/>
      <c r="T34281" s="11"/>
    </row>
    <row r="34282" spans="8:20" x14ac:dyDescent="0.35">
      <c r="H34282" s="711"/>
      <c r="I34282" s="711"/>
      <c r="J34282" s="711"/>
      <c r="K34282" s="711"/>
      <c r="L34282" s="711"/>
      <c r="Q34282" s="11"/>
      <c r="R34282" s="11"/>
      <c r="S34282" s="11"/>
      <c r="T34282" s="11"/>
    </row>
    <row r="34283" spans="8:20" x14ac:dyDescent="0.35">
      <c r="H34283" s="711"/>
      <c r="I34283" s="711"/>
      <c r="J34283" s="711"/>
      <c r="K34283" s="711"/>
      <c r="L34283" s="711"/>
      <c r="Q34283" s="11"/>
      <c r="R34283" s="11"/>
      <c r="S34283" s="11"/>
      <c r="T34283" s="11"/>
    </row>
    <row r="34284" spans="8:20" x14ac:dyDescent="0.35">
      <c r="H34284" s="711"/>
      <c r="I34284" s="711"/>
      <c r="J34284" s="711"/>
      <c r="K34284" s="711"/>
      <c r="L34284" s="711"/>
      <c r="Q34284" s="11"/>
      <c r="R34284" s="11"/>
      <c r="S34284" s="11"/>
      <c r="T34284" s="11"/>
    </row>
    <row r="34285" spans="8:20" x14ac:dyDescent="0.35">
      <c r="H34285" s="711"/>
      <c r="I34285" s="711"/>
      <c r="J34285" s="711"/>
      <c r="K34285" s="711"/>
      <c r="L34285" s="711"/>
      <c r="Q34285" s="11"/>
      <c r="R34285" s="11"/>
      <c r="S34285" s="11"/>
      <c r="T34285" s="11"/>
    </row>
    <row r="34286" spans="8:20" x14ac:dyDescent="0.35">
      <c r="H34286" s="711"/>
      <c r="I34286" s="711"/>
      <c r="J34286" s="711"/>
      <c r="K34286" s="711"/>
      <c r="L34286" s="711"/>
      <c r="Q34286" s="11"/>
      <c r="R34286" s="11"/>
      <c r="S34286" s="11"/>
      <c r="T34286" s="11"/>
    </row>
    <row r="34287" spans="8:20" x14ac:dyDescent="0.35">
      <c r="H34287" s="711"/>
      <c r="I34287" s="711"/>
      <c r="J34287" s="711"/>
      <c r="K34287" s="711"/>
      <c r="L34287" s="711"/>
      <c r="Q34287" s="11"/>
      <c r="R34287" s="11"/>
      <c r="S34287" s="11"/>
      <c r="T34287" s="11"/>
    </row>
    <row r="34288" spans="8:20" x14ac:dyDescent="0.35">
      <c r="H34288" s="711"/>
      <c r="I34288" s="711"/>
      <c r="J34288" s="711"/>
      <c r="K34288" s="711"/>
      <c r="L34288" s="711"/>
      <c r="Q34288" s="11"/>
      <c r="R34288" s="11"/>
      <c r="S34288" s="11"/>
      <c r="T34288" s="11"/>
    </row>
    <row r="34289" spans="8:20" x14ac:dyDescent="0.35">
      <c r="H34289" s="711"/>
      <c r="I34289" s="711"/>
      <c r="J34289" s="711"/>
      <c r="K34289" s="711"/>
      <c r="L34289" s="711"/>
      <c r="Q34289" s="11"/>
      <c r="R34289" s="11"/>
      <c r="S34289" s="11"/>
      <c r="T34289" s="11"/>
    </row>
    <row r="34290" spans="8:20" x14ac:dyDescent="0.35">
      <c r="H34290" s="711"/>
      <c r="I34290" s="711"/>
      <c r="J34290" s="711"/>
      <c r="K34290" s="711"/>
      <c r="L34290" s="711"/>
      <c r="Q34290" s="11"/>
      <c r="R34290" s="11"/>
      <c r="S34290" s="11"/>
      <c r="T34290" s="11"/>
    </row>
    <row r="34291" spans="8:20" x14ac:dyDescent="0.35">
      <c r="H34291" s="711"/>
      <c r="I34291" s="711"/>
      <c r="J34291" s="711"/>
      <c r="K34291" s="711"/>
      <c r="L34291" s="711"/>
      <c r="Q34291" s="11"/>
      <c r="R34291" s="11"/>
      <c r="S34291" s="11"/>
      <c r="T34291" s="11"/>
    </row>
    <row r="34292" spans="8:20" x14ac:dyDescent="0.35">
      <c r="H34292" s="711"/>
      <c r="I34292" s="711"/>
      <c r="J34292" s="711"/>
      <c r="K34292" s="711"/>
      <c r="L34292" s="711"/>
      <c r="Q34292" s="11"/>
      <c r="R34292" s="11"/>
      <c r="S34292" s="11"/>
      <c r="T34292" s="11"/>
    </row>
    <row r="34293" spans="8:20" x14ac:dyDescent="0.35">
      <c r="H34293" s="711"/>
      <c r="I34293" s="711"/>
      <c r="J34293" s="711"/>
      <c r="K34293" s="711"/>
      <c r="L34293" s="711"/>
      <c r="Q34293" s="11"/>
      <c r="R34293" s="11"/>
      <c r="S34293" s="11"/>
      <c r="T34293" s="11"/>
    </row>
    <row r="34294" spans="8:20" x14ac:dyDescent="0.35">
      <c r="H34294" s="711"/>
      <c r="I34294" s="711"/>
      <c r="J34294" s="711"/>
      <c r="K34294" s="711"/>
      <c r="L34294" s="711"/>
      <c r="Q34294" s="11"/>
      <c r="R34294" s="11"/>
      <c r="S34294" s="11"/>
      <c r="T34294" s="11"/>
    </row>
    <row r="34295" spans="8:20" x14ac:dyDescent="0.35">
      <c r="H34295" s="711"/>
      <c r="I34295" s="711"/>
      <c r="J34295" s="711"/>
      <c r="K34295" s="711"/>
      <c r="L34295" s="711"/>
      <c r="Q34295" s="11"/>
      <c r="R34295" s="11"/>
      <c r="S34295" s="11"/>
      <c r="T34295" s="11"/>
    </row>
    <row r="34296" spans="8:20" x14ac:dyDescent="0.35">
      <c r="H34296" s="711"/>
      <c r="I34296" s="711"/>
      <c r="J34296" s="711"/>
      <c r="K34296" s="711"/>
      <c r="L34296" s="711"/>
      <c r="Q34296" s="11"/>
      <c r="R34296" s="11"/>
      <c r="S34296" s="11"/>
      <c r="T34296" s="11"/>
    </row>
    <row r="34297" spans="8:20" x14ac:dyDescent="0.35">
      <c r="H34297" s="711"/>
      <c r="I34297" s="711"/>
      <c r="J34297" s="711"/>
      <c r="K34297" s="711"/>
      <c r="L34297" s="711"/>
      <c r="Q34297" s="11"/>
      <c r="R34297" s="11"/>
      <c r="S34297" s="11"/>
      <c r="T34297" s="11"/>
    </row>
    <row r="34298" spans="8:20" x14ac:dyDescent="0.35">
      <c r="H34298" s="711"/>
      <c r="I34298" s="711"/>
      <c r="J34298" s="711"/>
      <c r="K34298" s="711"/>
      <c r="L34298" s="711"/>
      <c r="Q34298" s="11"/>
      <c r="R34298" s="11"/>
      <c r="S34298" s="11"/>
      <c r="T34298" s="11"/>
    </row>
    <row r="34299" spans="8:20" x14ac:dyDescent="0.35">
      <c r="H34299" s="711"/>
      <c r="I34299" s="711"/>
      <c r="J34299" s="711"/>
      <c r="K34299" s="711"/>
      <c r="L34299" s="711"/>
      <c r="Q34299" s="11"/>
      <c r="R34299" s="11"/>
      <c r="S34299" s="11"/>
      <c r="T34299" s="11"/>
    </row>
    <row r="34300" spans="8:20" x14ac:dyDescent="0.35">
      <c r="H34300" s="711"/>
      <c r="I34300" s="711"/>
      <c r="J34300" s="711"/>
      <c r="K34300" s="711"/>
      <c r="L34300" s="711"/>
      <c r="Q34300" s="11"/>
      <c r="R34300" s="11"/>
      <c r="S34300" s="11"/>
      <c r="T34300" s="11"/>
    </row>
    <row r="34301" spans="8:20" x14ac:dyDescent="0.35">
      <c r="H34301" s="711"/>
      <c r="I34301" s="711"/>
      <c r="J34301" s="711"/>
      <c r="K34301" s="711"/>
      <c r="L34301" s="711"/>
      <c r="Q34301" s="11"/>
      <c r="R34301" s="11"/>
      <c r="S34301" s="11"/>
      <c r="T34301" s="11"/>
    </row>
    <row r="34302" spans="8:20" x14ac:dyDescent="0.35">
      <c r="H34302" s="711"/>
      <c r="I34302" s="711"/>
      <c r="J34302" s="711"/>
      <c r="K34302" s="711"/>
      <c r="L34302" s="711"/>
      <c r="Q34302" s="11"/>
      <c r="R34302" s="11"/>
      <c r="S34302" s="11"/>
      <c r="T34302" s="11"/>
    </row>
    <row r="34303" spans="8:20" x14ac:dyDescent="0.35">
      <c r="H34303" s="711"/>
      <c r="I34303" s="711"/>
      <c r="J34303" s="711"/>
      <c r="K34303" s="711"/>
      <c r="L34303" s="711"/>
      <c r="Q34303" s="11"/>
      <c r="R34303" s="11"/>
      <c r="S34303" s="11"/>
      <c r="T34303" s="11"/>
    </row>
    <row r="34304" spans="8:20" x14ac:dyDescent="0.35">
      <c r="H34304" s="711"/>
      <c r="I34304" s="711"/>
      <c r="J34304" s="711"/>
      <c r="K34304" s="711"/>
      <c r="L34304" s="711"/>
      <c r="Q34304" s="11"/>
      <c r="R34304" s="11"/>
      <c r="S34304" s="11"/>
      <c r="T34304" s="11"/>
    </row>
    <row r="34305" spans="8:20" x14ac:dyDescent="0.35">
      <c r="H34305" s="711"/>
      <c r="I34305" s="711"/>
      <c r="J34305" s="711"/>
      <c r="K34305" s="711"/>
      <c r="L34305" s="711"/>
      <c r="Q34305" s="11"/>
      <c r="R34305" s="11"/>
      <c r="S34305" s="11"/>
      <c r="T34305" s="11"/>
    </row>
    <row r="34306" spans="8:20" x14ac:dyDescent="0.35">
      <c r="H34306" s="711"/>
      <c r="I34306" s="711"/>
      <c r="J34306" s="711"/>
      <c r="K34306" s="711"/>
      <c r="L34306" s="711"/>
      <c r="Q34306" s="11"/>
      <c r="R34306" s="11"/>
      <c r="S34306" s="11"/>
      <c r="T34306" s="11"/>
    </row>
    <row r="34307" spans="8:20" x14ac:dyDescent="0.35">
      <c r="H34307" s="711"/>
      <c r="I34307" s="711"/>
      <c r="J34307" s="711"/>
      <c r="K34307" s="711"/>
      <c r="L34307" s="711"/>
      <c r="Q34307" s="11"/>
      <c r="R34307" s="11"/>
      <c r="S34307" s="11"/>
      <c r="T34307" s="11"/>
    </row>
    <row r="34308" spans="8:20" x14ac:dyDescent="0.35">
      <c r="H34308" s="711"/>
      <c r="I34308" s="711"/>
      <c r="J34308" s="711"/>
      <c r="K34308" s="711"/>
      <c r="L34308" s="711"/>
      <c r="Q34308" s="11"/>
      <c r="R34308" s="11"/>
      <c r="S34308" s="11"/>
      <c r="T34308" s="11"/>
    </row>
    <row r="34309" spans="8:20" x14ac:dyDescent="0.35">
      <c r="H34309" s="711"/>
      <c r="I34309" s="711"/>
      <c r="J34309" s="711"/>
      <c r="K34309" s="711"/>
      <c r="L34309" s="711"/>
      <c r="Q34309" s="11"/>
      <c r="R34309" s="11"/>
      <c r="S34309" s="11"/>
      <c r="T34309" s="11"/>
    </row>
    <row r="34310" spans="8:20" x14ac:dyDescent="0.35">
      <c r="H34310" s="711"/>
      <c r="I34310" s="711"/>
      <c r="J34310" s="711"/>
      <c r="K34310" s="711"/>
      <c r="L34310" s="711"/>
      <c r="Q34310" s="11"/>
      <c r="R34310" s="11"/>
      <c r="S34310" s="11"/>
      <c r="T34310" s="11"/>
    </row>
    <row r="34311" spans="8:20" x14ac:dyDescent="0.35">
      <c r="H34311" s="711"/>
      <c r="I34311" s="711"/>
      <c r="J34311" s="711"/>
      <c r="K34311" s="711"/>
      <c r="L34311" s="711"/>
      <c r="Q34311" s="11"/>
      <c r="R34311" s="11"/>
      <c r="S34311" s="11"/>
      <c r="T34311" s="11"/>
    </row>
    <row r="34312" spans="8:20" x14ac:dyDescent="0.35">
      <c r="H34312" s="711"/>
      <c r="I34312" s="711"/>
      <c r="J34312" s="711"/>
      <c r="K34312" s="711"/>
      <c r="L34312" s="711"/>
      <c r="Q34312" s="11"/>
      <c r="R34312" s="11"/>
      <c r="S34312" s="11"/>
      <c r="T34312" s="11"/>
    </row>
    <row r="34313" spans="8:20" x14ac:dyDescent="0.35">
      <c r="H34313" s="711"/>
      <c r="I34313" s="711"/>
      <c r="J34313" s="711"/>
      <c r="K34313" s="711"/>
      <c r="L34313" s="711"/>
      <c r="Q34313" s="11"/>
      <c r="R34313" s="11"/>
      <c r="S34313" s="11"/>
      <c r="T34313" s="11"/>
    </row>
    <row r="34314" spans="8:20" x14ac:dyDescent="0.35">
      <c r="H34314" s="711"/>
      <c r="I34314" s="711"/>
      <c r="J34314" s="711"/>
      <c r="K34314" s="711"/>
      <c r="L34314" s="711"/>
      <c r="Q34314" s="11"/>
      <c r="R34314" s="11"/>
      <c r="S34314" s="11"/>
      <c r="T34314" s="11"/>
    </row>
    <row r="34315" spans="8:20" x14ac:dyDescent="0.35">
      <c r="H34315" s="711"/>
      <c r="I34315" s="711"/>
      <c r="J34315" s="711"/>
      <c r="K34315" s="711"/>
      <c r="L34315" s="711"/>
      <c r="Q34315" s="11"/>
      <c r="R34315" s="11"/>
      <c r="S34315" s="11"/>
      <c r="T34315" s="11"/>
    </row>
    <row r="34316" spans="8:20" x14ac:dyDescent="0.35">
      <c r="H34316" s="711"/>
      <c r="I34316" s="711"/>
      <c r="J34316" s="711"/>
      <c r="K34316" s="711"/>
      <c r="L34316" s="711"/>
      <c r="Q34316" s="11"/>
      <c r="R34316" s="11"/>
      <c r="S34316" s="11"/>
      <c r="T34316" s="11"/>
    </row>
    <row r="34317" spans="8:20" x14ac:dyDescent="0.35">
      <c r="H34317" s="711"/>
      <c r="I34317" s="711"/>
      <c r="J34317" s="711"/>
      <c r="K34317" s="711"/>
      <c r="L34317" s="711"/>
      <c r="Q34317" s="11"/>
      <c r="R34317" s="11"/>
      <c r="S34317" s="11"/>
      <c r="T34317" s="11"/>
    </row>
    <row r="34318" spans="8:20" x14ac:dyDescent="0.35">
      <c r="H34318" s="711"/>
      <c r="I34318" s="711"/>
      <c r="J34318" s="711"/>
      <c r="K34318" s="711"/>
      <c r="L34318" s="711"/>
      <c r="Q34318" s="11"/>
      <c r="R34318" s="11"/>
      <c r="S34318" s="11"/>
      <c r="T34318" s="11"/>
    </row>
    <row r="34319" spans="8:20" x14ac:dyDescent="0.35">
      <c r="H34319" s="711"/>
      <c r="I34319" s="711"/>
      <c r="J34319" s="711"/>
      <c r="K34319" s="711"/>
      <c r="L34319" s="711"/>
      <c r="Q34319" s="11"/>
      <c r="R34319" s="11"/>
      <c r="S34319" s="11"/>
      <c r="T34319" s="11"/>
    </row>
    <row r="34320" spans="8:20" x14ac:dyDescent="0.35">
      <c r="H34320" s="711"/>
      <c r="I34320" s="711"/>
      <c r="J34320" s="711"/>
      <c r="K34320" s="711"/>
      <c r="L34320" s="711"/>
      <c r="Q34320" s="11"/>
      <c r="R34320" s="11"/>
      <c r="S34320" s="11"/>
      <c r="T34320" s="11"/>
    </row>
    <row r="34321" spans="8:20" x14ac:dyDescent="0.35">
      <c r="H34321" s="711"/>
      <c r="I34321" s="711"/>
      <c r="J34321" s="711"/>
      <c r="K34321" s="711"/>
      <c r="L34321" s="711"/>
      <c r="Q34321" s="11"/>
      <c r="R34321" s="11"/>
      <c r="S34321" s="11"/>
      <c r="T34321" s="11"/>
    </row>
    <row r="34322" spans="8:20" x14ac:dyDescent="0.35">
      <c r="H34322" s="711"/>
      <c r="I34322" s="711"/>
      <c r="J34322" s="711"/>
      <c r="K34322" s="711"/>
      <c r="L34322" s="711"/>
      <c r="Q34322" s="11"/>
      <c r="R34322" s="11"/>
      <c r="S34322" s="11"/>
      <c r="T34322" s="11"/>
    </row>
    <row r="34323" spans="8:20" x14ac:dyDescent="0.35">
      <c r="H34323" s="711"/>
      <c r="I34323" s="711"/>
      <c r="J34323" s="711"/>
      <c r="K34323" s="711"/>
      <c r="L34323" s="711"/>
      <c r="Q34323" s="11"/>
      <c r="R34323" s="11"/>
      <c r="S34323" s="11"/>
      <c r="T34323" s="11"/>
    </row>
    <row r="34324" spans="8:20" x14ac:dyDescent="0.35">
      <c r="H34324" s="711"/>
      <c r="I34324" s="711"/>
      <c r="J34324" s="711"/>
      <c r="K34324" s="711"/>
      <c r="L34324" s="711"/>
      <c r="Q34324" s="11"/>
      <c r="R34324" s="11"/>
      <c r="S34324" s="11"/>
      <c r="T34324" s="11"/>
    </row>
    <row r="34325" spans="8:20" x14ac:dyDescent="0.35">
      <c r="H34325" s="711"/>
      <c r="I34325" s="711"/>
      <c r="J34325" s="711"/>
      <c r="K34325" s="711"/>
      <c r="L34325" s="711"/>
      <c r="Q34325" s="11"/>
      <c r="R34325" s="11"/>
      <c r="S34325" s="11"/>
      <c r="T34325" s="11"/>
    </row>
    <row r="34326" spans="8:20" x14ac:dyDescent="0.35">
      <c r="H34326" s="711"/>
      <c r="I34326" s="711"/>
      <c r="J34326" s="711"/>
      <c r="K34326" s="711"/>
      <c r="L34326" s="711"/>
      <c r="Q34326" s="11"/>
      <c r="R34326" s="11"/>
      <c r="S34326" s="11"/>
      <c r="T34326" s="11"/>
    </row>
    <row r="34327" spans="8:20" x14ac:dyDescent="0.35">
      <c r="H34327" s="711"/>
      <c r="I34327" s="711"/>
      <c r="J34327" s="711"/>
      <c r="K34327" s="711"/>
      <c r="L34327" s="711"/>
      <c r="Q34327" s="11"/>
      <c r="R34327" s="11"/>
      <c r="S34327" s="11"/>
      <c r="T34327" s="11"/>
    </row>
    <row r="34328" spans="8:20" x14ac:dyDescent="0.35">
      <c r="H34328" s="711"/>
      <c r="I34328" s="711"/>
      <c r="J34328" s="711"/>
      <c r="K34328" s="711"/>
      <c r="L34328" s="711"/>
      <c r="Q34328" s="11"/>
      <c r="R34328" s="11"/>
      <c r="S34328" s="11"/>
      <c r="T34328" s="11"/>
    </row>
    <row r="34329" spans="8:20" x14ac:dyDescent="0.35">
      <c r="H34329" s="711"/>
      <c r="I34329" s="711"/>
      <c r="J34329" s="711"/>
      <c r="K34329" s="711"/>
      <c r="L34329" s="711"/>
      <c r="Q34329" s="11"/>
      <c r="R34329" s="11"/>
      <c r="S34329" s="11"/>
      <c r="T34329" s="11"/>
    </row>
    <row r="34330" spans="8:20" x14ac:dyDescent="0.35">
      <c r="H34330" s="711"/>
      <c r="I34330" s="711"/>
      <c r="J34330" s="711"/>
      <c r="K34330" s="711"/>
      <c r="L34330" s="711"/>
      <c r="Q34330" s="11"/>
      <c r="R34330" s="11"/>
      <c r="S34330" s="11"/>
      <c r="T34330" s="11"/>
    </row>
    <row r="34331" spans="8:20" x14ac:dyDescent="0.35">
      <c r="H34331" s="711"/>
      <c r="I34331" s="711"/>
      <c r="J34331" s="711"/>
      <c r="K34331" s="711"/>
      <c r="L34331" s="711"/>
      <c r="Q34331" s="11"/>
      <c r="R34331" s="11"/>
      <c r="S34331" s="11"/>
      <c r="T34331" s="11"/>
    </row>
    <row r="34332" spans="8:20" x14ac:dyDescent="0.35">
      <c r="H34332" s="711"/>
      <c r="I34332" s="711"/>
      <c r="J34332" s="711"/>
      <c r="K34332" s="711"/>
      <c r="L34332" s="711"/>
      <c r="Q34332" s="11"/>
      <c r="R34332" s="11"/>
      <c r="S34332" s="11"/>
      <c r="T34332" s="11"/>
    </row>
    <row r="34333" spans="8:20" x14ac:dyDescent="0.35">
      <c r="H34333" s="711"/>
      <c r="I34333" s="711"/>
      <c r="J34333" s="711"/>
      <c r="K34333" s="711"/>
      <c r="L34333" s="711"/>
      <c r="Q34333" s="11"/>
      <c r="R34333" s="11"/>
      <c r="S34333" s="11"/>
      <c r="T34333" s="11"/>
    </row>
    <row r="34334" spans="8:20" x14ac:dyDescent="0.35">
      <c r="H34334" s="711"/>
      <c r="I34334" s="711"/>
      <c r="J34334" s="711"/>
      <c r="K34334" s="711"/>
      <c r="L34334" s="711"/>
      <c r="Q34334" s="11"/>
      <c r="R34334" s="11"/>
      <c r="S34334" s="11"/>
      <c r="T34334" s="11"/>
    </row>
    <row r="34335" spans="8:20" x14ac:dyDescent="0.35">
      <c r="H34335" s="711"/>
      <c r="I34335" s="711"/>
      <c r="J34335" s="711"/>
      <c r="K34335" s="711"/>
      <c r="L34335" s="711"/>
      <c r="Q34335" s="11"/>
      <c r="R34335" s="11"/>
      <c r="S34335" s="11"/>
      <c r="T34335" s="11"/>
    </row>
    <row r="34336" spans="8:20" x14ac:dyDescent="0.35">
      <c r="H34336" s="711"/>
      <c r="I34336" s="711"/>
      <c r="J34336" s="711"/>
      <c r="K34336" s="711"/>
      <c r="L34336" s="711"/>
      <c r="Q34336" s="11"/>
      <c r="R34336" s="11"/>
      <c r="S34336" s="11"/>
      <c r="T34336" s="11"/>
    </row>
    <row r="34337" spans="8:20" x14ac:dyDescent="0.35">
      <c r="H34337" s="711"/>
      <c r="I34337" s="711"/>
      <c r="J34337" s="711"/>
      <c r="K34337" s="711"/>
      <c r="L34337" s="711"/>
      <c r="Q34337" s="11"/>
      <c r="R34337" s="11"/>
      <c r="S34337" s="11"/>
      <c r="T34337" s="11"/>
    </row>
    <row r="34338" spans="8:20" x14ac:dyDescent="0.35">
      <c r="H34338" s="711"/>
      <c r="I34338" s="711"/>
      <c r="J34338" s="711"/>
      <c r="K34338" s="711"/>
      <c r="L34338" s="711"/>
      <c r="Q34338" s="11"/>
      <c r="R34338" s="11"/>
      <c r="S34338" s="11"/>
      <c r="T34338" s="11"/>
    </row>
    <row r="34339" spans="8:20" x14ac:dyDescent="0.35">
      <c r="H34339" s="711"/>
      <c r="I34339" s="711"/>
      <c r="J34339" s="711"/>
      <c r="K34339" s="711"/>
      <c r="L34339" s="711"/>
      <c r="Q34339" s="11"/>
      <c r="R34339" s="11"/>
      <c r="S34339" s="11"/>
      <c r="T34339" s="11"/>
    </row>
    <row r="34340" spans="8:20" x14ac:dyDescent="0.35">
      <c r="H34340" s="711"/>
      <c r="I34340" s="711"/>
      <c r="J34340" s="711"/>
      <c r="K34340" s="711"/>
      <c r="L34340" s="711"/>
      <c r="Q34340" s="11"/>
      <c r="R34340" s="11"/>
      <c r="S34340" s="11"/>
      <c r="T34340" s="11"/>
    </row>
    <row r="34341" spans="8:20" x14ac:dyDescent="0.35">
      <c r="H34341" s="711"/>
      <c r="I34341" s="711"/>
      <c r="J34341" s="711"/>
      <c r="K34341" s="711"/>
      <c r="L34341" s="711"/>
      <c r="Q34341" s="11"/>
      <c r="R34341" s="11"/>
      <c r="S34341" s="11"/>
      <c r="T34341" s="11"/>
    </row>
    <row r="34342" spans="8:20" x14ac:dyDescent="0.35">
      <c r="H34342" s="711"/>
      <c r="I34342" s="711"/>
      <c r="J34342" s="711"/>
      <c r="K34342" s="711"/>
      <c r="L34342" s="711"/>
      <c r="Q34342" s="11"/>
      <c r="R34342" s="11"/>
      <c r="S34342" s="11"/>
      <c r="T34342" s="11"/>
    </row>
    <row r="34343" spans="8:20" x14ac:dyDescent="0.35">
      <c r="H34343" s="711"/>
      <c r="I34343" s="711"/>
      <c r="J34343" s="711"/>
      <c r="K34343" s="711"/>
      <c r="L34343" s="711"/>
      <c r="Q34343" s="11"/>
      <c r="R34343" s="11"/>
      <c r="S34343" s="11"/>
      <c r="T34343" s="11"/>
    </row>
    <row r="34344" spans="8:20" x14ac:dyDescent="0.35">
      <c r="H34344" s="711"/>
      <c r="I34344" s="711"/>
      <c r="J34344" s="711"/>
      <c r="K34344" s="711"/>
      <c r="L34344" s="711"/>
      <c r="Q34344" s="11"/>
      <c r="R34344" s="11"/>
      <c r="S34344" s="11"/>
      <c r="T34344" s="11"/>
    </row>
    <row r="34345" spans="8:20" x14ac:dyDescent="0.35">
      <c r="H34345" s="711"/>
      <c r="I34345" s="711"/>
      <c r="J34345" s="711"/>
      <c r="K34345" s="711"/>
      <c r="L34345" s="711"/>
      <c r="Q34345" s="11"/>
      <c r="R34345" s="11"/>
      <c r="S34345" s="11"/>
      <c r="T34345" s="11"/>
    </row>
    <row r="34346" spans="8:20" x14ac:dyDescent="0.35">
      <c r="H34346" s="711"/>
      <c r="I34346" s="711"/>
      <c r="J34346" s="711"/>
      <c r="K34346" s="711"/>
      <c r="L34346" s="711"/>
      <c r="Q34346" s="11"/>
      <c r="R34346" s="11"/>
      <c r="S34346" s="11"/>
      <c r="T34346" s="11"/>
    </row>
    <row r="34347" spans="8:20" x14ac:dyDescent="0.35">
      <c r="H34347" s="711"/>
      <c r="I34347" s="711"/>
      <c r="J34347" s="711"/>
      <c r="K34347" s="711"/>
      <c r="L34347" s="711"/>
      <c r="Q34347" s="11"/>
      <c r="R34347" s="11"/>
      <c r="S34347" s="11"/>
      <c r="T34347" s="11"/>
    </row>
    <row r="34348" spans="8:20" x14ac:dyDescent="0.35">
      <c r="H34348" s="711"/>
      <c r="I34348" s="711"/>
      <c r="J34348" s="711"/>
      <c r="K34348" s="711"/>
      <c r="L34348" s="711"/>
      <c r="Q34348" s="11"/>
      <c r="R34348" s="11"/>
      <c r="S34348" s="11"/>
      <c r="T34348" s="11"/>
    </row>
    <row r="34349" spans="8:20" x14ac:dyDescent="0.35">
      <c r="H34349" s="711"/>
      <c r="I34349" s="711"/>
      <c r="J34349" s="711"/>
      <c r="K34349" s="711"/>
      <c r="L34349" s="711"/>
      <c r="Q34349" s="11"/>
      <c r="R34349" s="11"/>
      <c r="S34349" s="11"/>
      <c r="T34349" s="11"/>
    </row>
    <row r="34350" spans="8:20" x14ac:dyDescent="0.35">
      <c r="H34350" s="711"/>
      <c r="I34350" s="711"/>
      <c r="J34350" s="711"/>
      <c r="K34350" s="711"/>
      <c r="L34350" s="711"/>
      <c r="Q34350" s="11"/>
      <c r="R34350" s="11"/>
      <c r="S34350" s="11"/>
      <c r="T34350" s="11"/>
    </row>
    <row r="34351" spans="8:20" x14ac:dyDescent="0.35">
      <c r="H34351" s="711"/>
      <c r="I34351" s="711"/>
      <c r="J34351" s="711"/>
      <c r="K34351" s="711"/>
      <c r="L34351" s="711"/>
      <c r="Q34351" s="11"/>
      <c r="R34351" s="11"/>
      <c r="S34351" s="11"/>
      <c r="T34351" s="11"/>
    </row>
    <row r="34352" spans="8:20" x14ac:dyDescent="0.35">
      <c r="H34352" s="711"/>
      <c r="I34352" s="711"/>
      <c r="J34352" s="711"/>
      <c r="K34352" s="711"/>
      <c r="L34352" s="711"/>
      <c r="Q34352" s="11"/>
      <c r="R34352" s="11"/>
      <c r="S34352" s="11"/>
      <c r="T34352" s="11"/>
    </row>
    <row r="34353" spans="8:20" x14ac:dyDescent="0.35">
      <c r="H34353" s="711"/>
      <c r="I34353" s="711"/>
      <c r="J34353" s="711"/>
      <c r="K34353" s="711"/>
      <c r="L34353" s="711"/>
      <c r="Q34353" s="11"/>
      <c r="R34353" s="11"/>
      <c r="S34353" s="11"/>
      <c r="T34353" s="11"/>
    </row>
    <row r="34354" spans="8:20" x14ac:dyDescent="0.35">
      <c r="H34354" s="711"/>
      <c r="I34354" s="711"/>
      <c r="J34354" s="711"/>
      <c r="K34354" s="711"/>
      <c r="L34354" s="711"/>
      <c r="Q34354" s="11"/>
      <c r="R34354" s="11"/>
      <c r="S34354" s="11"/>
      <c r="T34354" s="11"/>
    </row>
    <row r="34355" spans="8:20" x14ac:dyDescent="0.35">
      <c r="H34355" s="711"/>
      <c r="I34355" s="711"/>
      <c r="J34355" s="711"/>
      <c r="K34355" s="711"/>
      <c r="L34355" s="711"/>
      <c r="Q34355" s="11"/>
      <c r="R34355" s="11"/>
      <c r="S34355" s="11"/>
      <c r="T34355" s="11"/>
    </row>
    <row r="34356" spans="8:20" x14ac:dyDescent="0.35">
      <c r="H34356" s="711"/>
      <c r="I34356" s="711"/>
      <c r="J34356" s="711"/>
      <c r="K34356" s="711"/>
      <c r="L34356" s="711"/>
      <c r="Q34356" s="11"/>
      <c r="R34356" s="11"/>
      <c r="S34356" s="11"/>
      <c r="T34356" s="11"/>
    </row>
    <row r="34357" spans="8:20" x14ac:dyDescent="0.35">
      <c r="H34357" s="711"/>
      <c r="I34357" s="711"/>
      <c r="J34357" s="711"/>
      <c r="K34357" s="711"/>
      <c r="L34357" s="711"/>
      <c r="Q34357" s="11"/>
      <c r="R34357" s="11"/>
      <c r="S34357" s="11"/>
      <c r="T34357" s="11"/>
    </row>
    <row r="34358" spans="8:20" x14ac:dyDescent="0.35">
      <c r="H34358" s="711"/>
      <c r="I34358" s="711"/>
      <c r="J34358" s="711"/>
      <c r="K34358" s="711"/>
      <c r="L34358" s="711"/>
      <c r="Q34358" s="11"/>
      <c r="R34358" s="11"/>
      <c r="S34358" s="11"/>
      <c r="T34358" s="11"/>
    </row>
    <row r="34359" spans="8:20" x14ac:dyDescent="0.35">
      <c r="H34359" s="711"/>
      <c r="I34359" s="711"/>
      <c r="J34359" s="711"/>
      <c r="K34359" s="711"/>
      <c r="L34359" s="711"/>
      <c r="Q34359" s="11"/>
      <c r="R34359" s="11"/>
      <c r="S34359" s="11"/>
      <c r="T34359" s="11"/>
    </row>
    <row r="34360" spans="8:20" x14ac:dyDescent="0.35">
      <c r="H34360" s="711"/>
      <c r="I34360" s="711"/>
      <c r="J34360" s="711"/>
      <c r="K34360" s="711"/>
      <c r="L34360" s="711"/>
      <c r="Q34360" s="11"/>
      <c r="R34360" s="11"/>
      <c r="S34360" s="11"/>
      <c r="T34360" s="11"/>
    </row>
    <row r="34361" spans="8:20" x14ac:dyDescent="0.35">
      <c r="H34361" s="711"/>
      <c r="I34361" s="711"/>
      <c r="J34361" s="711"/>
      <c r="K34361" s="711"/>
      <c r="L34361" s="711"/>
      <c r="Q34361" s="11"/>
      <c r="R34361" s="11"/>
      <c r="S34361" s="11"/>
      <c r="T34361" s="11"/>
    </row>
    <row r="34362" spans="8:20" x14ac:dyDescent="0.35">
      <c r="H34362" s="711"/>
      <c r="I34362" s="711"/>
      <c r="J34362" s="711"/>
      <c r="K34362" s="711"/>
      <c r="L34362" s="711"/>
      <c r="Q34362" s="11"/>
      <c r="R34362" s="11"/>
      <c r="S34362" s="11"/>
      <c r="T34362" s="11"/>
    </row>
    <row r="34363" spans="8:20" x14ac:dyDescent="0.35">
      <c r="H34363" s="711"/>
      <c r="I34363" s="711"/>
      <c r="J34363" s="711"/>
      <c r="K34363" s="711"/>
      <c r="L34363" s="711"/>
      <c r="Q34363" s="11"/>
      <c r="R34363" s="11"/>
      <c r="S34363" s="11"/>
      <c r="T34363" s="11"/>
    </row>
    <row r="34364" spans="8:20" x14ac:dyDescent="0.35">
      <c r="H34364" s="711"/>
      <c r="I34364" s="711"/>
      <c r="J34364" s="711"/>
      <c r="K34364" s="711"/>
      <c r="L34364" s="711"/>
      <c r="Q34364" s="11"/>
      <c r="R34364" s="11"/>
      <c r="S34364" s="11"/>
      <c r="T34364" s="11"/>
    </row>
    <row r="34365" spans="8:20" x14ac:dyDescent="0.35">
      <c r="H34365" s="711"/>
      <c r="I34365" s="711"/>
      <c r="J34365" s="711"/>
      <c r="K34365" s="711"/>
      <c r="L34365" s="711"/>
      <c r="Q34365" s="11"/>
      <c r="R34365" s="11"/>
      <c r="S34365" s="11"/>
      <c r="T34365" s="11"/>
    </row>
    <row r="34366" spans="8:20" x14ac:dyDescent="0.35">
      <c r="H34366" s="711"/>
      <c r="I34366" s="711"/>
      <c r="J34366" s="711"/>
      <c r="K34366" s="711"/>
      <c r="L34366" s="711"/>
      <c r="Q34366" s="11"/>
      <c r="R34366" s="11"/>
      <c r="S34366" s="11"/>
      <c r="T34366" s="11"/>
    </row>
    <row r="34367" spans="8:20" x14ac:dyDescent="0.35">
      <c r="H34367" s="711"/>
      <c r="I34367" s="711"/>
      <c r="J34367" s="711"/>
      <c r="K34367" s="711"/>
      <c r="L34367" s="711"/>
      <c r="Q34367" s="11"/>
      <c r="R34367" s="11"/>
      <c r="S34367" s="11"/>
      <c r="T34367" s="11"/>
    </row>
    <row r="34368" spans="8:20" x14ac:dyDescent="0.35">
      <c r="H34368" s="711"/>
      <c r="I34368" s="711"/>
      <c r="J34368" s="711"/>
      <c r="K34368" s="711"/>
      <c r="L34368" s="711"/>
      <c r="Q34368" s="11"/>
      <c r="R34368" s="11"/>
      <c r="S34368" s="11"/>
      <c r="T34368" s="11"/>
    </row>
    <row r="34369" spans="8:20" x14ac:dyDescent="0.35">
      <c r="H34369" s="711"/>
      <c r="I34369" s="711"/>
      <c r="J34369" s="711"/>
      <c r="K34369" s="711"/>
      <c r="L34369" s="711"/>
      <c r="Q34369" s="11"/>
      <c r="R34369" s="11"/>
      <c r="S34369" s="11"/>
      <c r="T34369" s="11"/>
    </row>
    <row r="34370" spans="8:20" x14ac:dyDescent="0.35">
      <c r="H34370" s="711"/>
      <c r="I34370" s="711"/>
      <c r="J34370" s="711"/>
      <c r="K34370" s="711"/>
      <c r="L34370" s="711"/>
      <c r="Q34370" s="11"/>
      <c r="R34370" s="11"/>
      <c r="S34370" s="11"/>
      <c r="T34370" s="11"/>
    </row>
    <row r="34371" spans="8:20" x14ac:dyDescent="0.35">
      <c r="H34371" s="711"/>
      <c r="I34371" s="711"/>
      <c r="J34371" s="711"/>
      <c r="K34371" s="711"/>
      <c r="L34371" s="711"/>
      <c r="Q34371" s="11"/>
      <c r="R34371" s="11"/>
      <c r="S34371" s="11"/>
      <c r="T34371" s="11"/>
    </row>
    <row r="34372" spans="8:20" x14ac:dyDescent="0.35">
      <c r="H34372" s="711"/>
      <c r="I34372" s="711"/>
      <c r="J34372" s="711"/>
      <c r="K34372" s="711"/>
      <c r="L34372" s="711"/>
      <c r="Q34372" s="11"/>
      <c r="R34372" s="11"/>
      <c r="S34372" s="11"/>
      <c r="T34372" s="11"/>
    </row>
    <row r="34373" spans="8:20" x14ac:dyDescent="0.35">
      <c r="H34373" s="711"/>
      <c r="I34373" s="711"/>
      <c r="J34373" s="711"/>
      <c r="K34373" s="711"/>
      <c r="L34373" s="711"/>
      <c r="Q34373" s="11"/>
      <c r="R34373" s="11"/>
      <c r="S34373" s="11"/>
      <c r="T34373" s="11"/>
    </row>
    <row r="34374" spans="8:20" x14ac:dyDescent="0.35">
      <c r="H34374" s="711"/>
      <c r="I34374" s="711"/>
      <c r="J34374" s="711"/>
      <c r="K34374" s="711"/>
      <c r="L34374" s="711"/>
      <c r="Q34374" s="11"/>
      <c r="R34374" s="11"/>
      <c r="S34374" s="11"/>
      <c r="T34374" s="11"/>
    </row>
    <row r="34375" spans="8:20" x14ac:dyDescent="0.35">
      <c r="H34375" s="711"/>
      <c r="I34375" s="711"/>
      <c r="J34375" s="711"/>
      <c r="K34375" s="711"/>
      <c r="L34375" s="711"/>
      <c r="Q34375" s="11"/>
      <c r="R34375" s="11"/>
      <c r="S34375" s="11"/>
      <c r="T34375" s="11"/>
    </row>
    <row r="34376" spans="8:20" x14ac:dyDescent="0.35">
      <c r="H34376" s="711"/>
      <c r="I34376" s="711"/>
      <c r="J34376" s="711"/>
      <c r="K34376" s="711"/>
      <c r="L34376" s="711"/>
      <c r="Q34376" s="11"/>
      <c r="R34376" s="11"/>
      <c r="S34376" s="11"/>
      <c r="T34376" s="11"/>
    </row>
    <row r="34377" spans="8:20" x14ac:dyDescent="0.35">
      <c r="H34377" s="711"/>
      <c r="I34377" s="711"/>
      <c r="J34377" s="711"/>
      <c r="K34377" s="711"/>
      <c r="L34377" s="711"/>
      <c r="Q34377" s="11"/>
      <c r="R34377" s="11"/>
      <c r="S34377" s="11"/>
      <c r="T34377" s="11"/>
    </row>
    <row r="34378" spans="8:20" x14ac:dyDescent="0.35">
      <c r="H34378" s="711"/>
      <c r="I34378" s="711"/>
      <c r="J34378" s="711"/>
      <c r="K34378" s="711"/>
      <c r="L34378" s="711"/>
      <c r="Q34378" s="11"/>
      <c r="R34378" s="11"/>
      <c r="S34378" s="11"/>
      <c r="T34378" s="11"/>
    </row>
    <row r="34379" spans="8:20" x14ac:dyDescent="0.35">
      <c r="H34379" s="711"/>
      <c r="I34379" s="711"/>
      <c r="J34379" s="711"/>
      <c r="K34379" s="711"/>
      <c r="L34379" s="711"/>
      <c r="Q34379" s="11"/>
      <c r="R34379" s="11"/>
      <c r="S34379" s="11"/>
      <c r="T34379" s="11"/>
    </row>
    <row r="34380" spans="8:20" x14ac:dyDescent="0.35">
      <c r="H34380" s="711"/>
      <c r="I34380" s="711"/>
      <c r="J34380" s="711"/>
      <c r="K34380" s="711"/>
      <c r="L34380" s="711"/>
      <c r="Q34380" s="11"/>
      <c r="R34380" s="11"/>
      <c r="S34380" s="11"/>
      <c r="T34380" s="11"/>
    </row>
    <row r="34381" spans="8:20" x14ac:dyDescent="0.35">
      <c r="H34381" s="711"/>
      <c r="I34381" s="711"/>
      <c r="J34381" s="711"/>
      <c r="K34381" s="711"/>
      <c r="L34381" s="711"/>
      <c r="Q34381" s="11"/>
      <c r="R34381" s="11"/>
      <c r="S34381" s="11"/>
      <c r="T34381" s="11"/>
    </row>
    <row r="34382" spans="8:20" x14ac:dyDescent="0.35">
      <c r="H34382" s="711"/>
      <c r="I34382" s="711"/>
      <c r="J34382" s="711"/>
      <c r="K34382" s="711"/>
      <c r="L34382" s="711"/>
      <c r="Q34382" s="11"/>
      <c r="R34382" s="11"/>
      <c r="S34382" s="11"/>
      <c r="T34382" s="11"/>
    </row>
    <row r="34383" spans="8:20" x14ac:dyDescent="0.35">
      <c r="H34383" s="711"/>
      <c r="I34383" s="711"/>
      <c r="J34383" s="711"/>
      <c r="K34383" s="711"/>
      <c r="L34383" s="711"/>
      <c r="Q34383" s="11"/>
      <c r="R34383" s="11"/>
      <c r="S34383" s="11"/>
      <c r="T34383" s="11"/>
    </row>
    <row r="34384" spans="8:20" x14ac:dyDescent="0.35">
      <c r="H34384" s="711"/>
      <c r="I34384" s="711"/>
      <c r="J34384" s="711"/>
      <c r="K34384" s="711"/>
      <c r="L34384" s="711"/>
      <c r="Q34384" s="11"/>
      <c r="R34384" s="11"/>
      <c r="S34384" s="11"/>
      <c r="T34384" s="11"/>
    </row>
    <row r="34385" spans="8:20" x14ac:dyDescent="0.35">
      <c r="H34385" s="711"/>
      <c r="I34385" s="711"/>
      <c r="J34385" s="711"/>
      <c r="K34385" s="711"/>
      <c r="L34385" s="711"/>
      <c r="Q34385" s="11"/>
      <c r="R34385" s="11"/>
      <c r="S34385" s="11"/>
      <c r="T34385" s="11"/>
    </row>
    <row r="34386" spans="8:20" x14ac:dyDescent="0.35">
      <c r="H34386" s="711"/>
      <c r="I34386" s="711"/>
      <c r="J34386" s="711"/>
      <c r="K34386" s="711"/>
      <c r="L34386" s="711"/>
      <c r="Q34386" s="11"/>
      <c r="R34386" s="11"/>
      <c r="S34386" s="11"/>
      <c r="T34386" s="11"/>
    </row>
    <row r="34387" spans="8:20" x14ac:dyDescent="0.35">
      <c r="H34387" s="711"/>
      <c r="I34387" s="711"/>
      <c r="J34387" s="711"/>
      <c r="K34387" s="711"/>
      <c r="L34387" s="711"/>
      <c r="Q34387" s="11"/>
      <c r="R34387" s="11"/>
      <c r="S34387" s="11"/>
      <c r="T34387" s="11"/>
    </row>
    <row r="34388" spans="8:20" x14ac:dyDescent="0.35">
      <c r="H34388" s="711"/>
      <c r="I34388" s="711"/>
      <c r="J34388" s="711"/>
      <c r="K34388" s="711"/>
      <c r="L34388" s="711"/>
      <c r="Q34388" s="11"/>
      <c r="R34388" s="11"/>
      <c r="S34388" s="11"/>
      <c r="T34388" s="11"/>
    </row>
    <row r="34389" spans="8:20" x14ac:dyDescent="0.35">
      <c r="H34389" s="711"/>
      <c r="I34389" s="711"/>
      <c r="J34389" s="711"/>
      <c r="K34389" s="711"/>
      <c r="L34389" s="711"/>
      <c r="Q34389" s="11"/>
      <c r="R34389" s="11"/>
      <c r="S34389" s="11"/>
      <c r="T34389" s="11"/>
    </row>
    <row r="34390" spans="8:20" x14ac:dyDescent="0.35">
      <c r="H34390" s="711"/>
      <c r="I34390" s="711"/>
      <c r="J34390" s="711"/>
      <c r="K34390" s="711"/>
      <c r="L34390" s="711"/>
      <c r="Q34390" s="11"/>
      <c r="R34390" s="11"/>
      <c r="S34390" s="11"/>
      <c r="T34390" s="11"/>
    </row>
    <row r="34391" spans="8:20" x14ac:dyDescent="0.35">
      <c r="H34391" s="711"/>
      <c r="I34391" s="711"/>
      <c r="J34391" s="711"/>
      <c r="K34391" s="711"/>
      <c r="L34391" s="711"/>
      <c r="Q34391" s="11"/>
      <c r="R34391" s="11"/>
      <c r="S34391" s="11"/>
      <c r="T34391" s="11"/>
    </row>
    <row r="34392" spans="8:20" x14ac:dyDescent="0.35">
      <c r="H34392" s="711"/>
      <c r="I34392" s="711"/>
      <c r="J34392" s="711"/>
      <c r="K34392" s="711"/>
      <c r="L34392" s="711"/>
      <c r="Q34392" s="11"/>
      <c r="R34392" s="11"/>
      <c r="S34392" s="11"/>
      <c r="T34392" s="11"/>
    </row>
    <row r="34393" spans="8:20" x14ac:dyDescent="0.35">
      <c r="H34393" s="711"/>
      <c r="I34393" s="711"/>
      <c r="J34393" s="711"/>
      <c r="K34393" s="711"/>
      <c r="L34393" s="711"/>
      <c r="Q34393" s="11"/>
      <c r="R34393" s="11"/>
      <c r="S34393" s="11"/>
      <c r="T34393" s="11"/>
    </row>
    <row r="34394" spans="8:20" x14ac:dyDescent="0.35">
      <c r="H34394" s="711"/>
      <c r="I34394" s="711"/>
      <c r="J34394" s="711"/>
      <c r="K34394" s="711"/>
      <c r="L34394" s="711"/>
      <c r="Q34394" s="11"/>
      <c r="R34394" s="11"/>
      <c r="S34394" s="11"/>
      <c r="T34394" s="11"/>
    </row>
    <row r="34395" spans="8:20" x14ac:dyDescent="0.35">
      <c r="H34395" s="711"/>
      <c r="I34395" s="711"/>
      <c r="J34395" s="711"/>
      <c r="K34395" s="711"/>
      <c r="L34395" s="711"/>
      <c r="Q34395" s="11"/>
      <c r="R34395" s="11"/>
      <c r="S34395" s="11"/>
      <c r="T34395" s="11"/>
    </row>
    <row r="34396" spans="8:20" x14ac:dyDescent="0.35">
      <c r="H34396" s="711"/>
      <c r="I34396" s="711"/>
      <c r="J34396" s="711"/>
      <c r="K34396" s="711"/>
      <c r="L34396" s="711"/>
      <c r="Q34396" s="11"/>
      <c r="R34396" s="11"/>
      <c r="S34396" s="11"/>
      <c r="T34396" s="11"/>
    </row>
    <row r="34397" spans="8:20" x14ac:dyDescent="0.35">
      <c r="H34397" s="711"/>
      <c r="I34397" s="711"/>
      <c r="J34397" s="711"/>
      <c r="K34397" s="711"/>
      <c r="L34397" s="711"/>
      <c r="Q34397" s="11"/>
      <c r="R34397" s="11"/>
      <c r="S34397" s="11"/>
      <c r="T34397" s="11"/>
    </row>
    <row r="34398" spans="8:20" x14ac:dyDescent="0.35">
      <c r="H34398" s="711"/>
      <c r="I34398" s="711"/>
      <c r="J34398" s="711"/>
      <c r="K34398" s="711"/>
      <c r="L34398" s="711"/>
      <c r="Q34398" s="11"/>
      <c r="R34398" s="11"/>
      <c r="S34398" s="11"/>
      <c r="T34398" s="11"/>
    </row>
    <row r="34399" spans="8:20" x14ac:dyDescent="0.35">
      <c r="H34399" s="711"/>
      <c r="I34399" s="711"/>
      <c r="J34399" s="711"/>
      <c r="K34399" s="711"/>
      <c r="L34399" s="711"/>
      <c r="Q34399" s="11"/>
      <c r="R34399" s="11"/>
      <c r="S34399" s="11"/>
      <c r="T34399" s="11"/>
    </row>
    <row r="34400" spans="8:20" x14ac:dyDescent="0.35">
      <c r="H34400" s="711"/>
      <c r="I34400" s="711"/>
      <c r="J34400" s="711"/>
      <c r="K34400" s="711"/>
      <c r="L34400" s="711"/>
      <c r="Q34400" s="11"/>
      <c r="R34400" s="11"/>
      <c r="S34400" s="11"/>
      <c r="T34400" s="11"/>
    </row>
    <row r="34401" spans="8:20" x14ac:dyDescent="0.35">
      <c r="H34401" s="711"/>
      <c r="I34401" s="711"/>
      <c r="J34401" s="711"/>
      <c r="K34401" s="711"/>
      <c r="L34401" s="711"/>
      <c r="Q34401" s="11"/>
      <c r="R34401" s="11"/>
      <c r="S34401" s="11"/>
      <c r="T34401" s="11"/>
    </row>
    <row r="34402" spans="8:20" x14ac:dyDescent="0.35">
      <c r="H34402" s="711"/>
      <c r="I34402" s="711"/>
      <c r="J34402" s="711"/>
      <c r="K34402" s="711"/>
      <c r="L34402" s="711"/>
      <c r="Q34402" s="11"/>
      <c r="R34402" s="11"/>
      <c r="S34402" s="11"/>
      <c r="T34402" s="11"/>
    </row>
    <row r="34403" spans="8:20" x14ac:dyDescent="0.35">
      <c r="H34403" s="711"/>
      <c r="I34403" s="711"/>
      <c r="J34403" s="711"/>
      <c r="K34403" s="711"/>
      <c r="L34403" s="711"/>
      <c r="Q34403" s="11"/>
      <c r="R34403" s="11"/>
      <c r="S34403" s="11"/>
      <c r="T34403" s="11"/>
    </row>
    <row r="34404" spans="8:20" x14ac:dyDescent="0.35">
      <c r="H34404" s="711"/>
      <c r="I34404" s="711"/>
      <c r="J34404" s="711"/>
      <c r="K34404" s="711"/>
      <c r="L34404" s="711"/>
      <c r="Q34404" s="11"/>
      <c r="R34404" s="11"/>
      <c r="S34404" s="11"/>
      <c r="T34404" s="11"/>
    </row>
    <row r="34405" spans="8:20" x14ac:dyDescent="0.35">
      <c r="H34405" s="711"/>
      <c r="I34405" s="711"/>
      <c r="J34405" s="711"/>
      <c r="K34405" s="711"/>
      <c r="L34405" s="711"/>
      <c r="Q34405" s="11"/>
      <c r="R34405" s="11"/>
      <c r="S34405" s="11"/>
      <c r="T34405" s="11"/>
    </row>
    <row r="34406" spans="8:20" x14ac:dyDescent="0.35">
      <c r="H34406" s="711"/>
      <c r="I34406" s="711"/>
      <c r="J34406" s="711"/>
      <c r="K34406" s="711"/>
      <c r="L34406" s="711"/>
      <c r="Q34406" s="11"/>
      <c r="R34406" s="11"/>
      <c r="S34406" s="11"/>
      <c r="T34406" s="11"/>
    </row>
    <row r="34407" spans="8:20" x14ac:dyDescent="0.35">
      <c r="H34407" s="711"/>
      <c r="I34407" s="711"/>
      <c r="J34407" s="711"/>
      <c r="K34407" s="711"/>
      <c r="L34407" s="711"/>
      <c r="Q34407" s="11"/>
      <c r="R34407" s="11"/>
      <c r="S34407" s="11"/>
      <c r="T34407" s="11"/>
    </row>
    <row r="34408" spans="8:20" x14ac:dyDescent="0.35">
      <c r="H34408" s="711"/>
      <c r="I34408" s="711"/>
      <c r="J34408" s="711"/>
      <c r="K34408" s="711"/>
      <c r="L34408" s="711"/>
      <c r="Q34408" s="11"/>
      <c r="R34408" s="11"/>
      <c r="S34408" s="11"/>
      <c r="T34408" s="11"/>
    </row>
    <row r="34409" spans="8:20" x14ac:dyDescent="0.35">
      <c r="H34409" s="711"/>
      <c r="I34409" s="711"/>
      <c r="J34409" s="711"/>
      <c r="K34409" s="711"/>
      <c r="L34409" s="711"/>
      <c r="Q34409" s="11"/>
      <c r="R34409" s="11"/>
      <c r="S34409" s="11"/>
      <c r="T34409" s="11"/>
    </row>
    <row r="34410" spans="8:20" x14ac:dyDescent="0.35">
      <c r="H34410" s="711"/>
      <c r="I34410" s="711"/>
      <c r="J34410" s="711"/>
      <c r="K34410" s="711"/>
      <c r="L34410" s="711"/>
      <c r="Q34410" s="11"/>
      <c r="R34410" s="11"/>
      <c r="S34410" s="11"/>
      <c r="T34410" s="11"/>
    </row>
    <row r="34411" spans="8:20" x14ac:dyDescent="0.35">
      <c r="H34411" s="711"/>
      <c r="I34411" s="711"/>
      <c r="J34411" s="711"/>
      <c r="K34411" s="711"/>
      <c r="L34411" s="711"/>
      <c r="Q34411" s="11"/>
      <c r="R34411" s="11"/>
      <c r="S34411" s="11"/>
      <c r="T34411" s="11"/>
    </row>
    <row r="34412" spans="8:20" x14ac:dyDescent="0.35">
      <c r="H34412" s="711"/>
      <c r="I34412" s="711"/>
      <c r="J34412" s="711"/>
      <c r="K34412" s="711"/>
      <c r="L34412" s="711"/>
      <c r="Q34412" s="11"/>
      <c r="R34412" s="11"/>
      <c r="S34412" s="11"/>
      <c r="T34412" s="11"/>
    </row>
    <row r="34413" spans="8:20" x14ac:dyDescent="0.35">
      <c r="H34413" s="711"/>
      <c r="I34413" s="711"/>
      <c r="J34413" s="711"/>
      <c r="K34413" s="711"/>
      <c r="L34413" s="711"/>
      <c r="Q34413" s="11"/>
      <c r="R34413" s="11"/>
      <c r="S34413" s="11"/>
      <c r="T34413" s="11"/>
    </row>
    <row r="34414" spans="8:20" x14ac:dyDescent="0.35">
      <c r="H34414" s="711"/>
      <c r="I34414" s="711"/>
      <c r="J34414" s="711"/>
      <c r="K34414" s="711"/>
      <c r="L34414" s="711"/>
      <c r="Q34414" s="11"/>
      <c r="R34414" s="11"/>
      <c r="S34414" s="11"/>
      <c r="T34414" s="11"/>
    </row>
    <row r="34415" spans="8:20" x14ac:dyDescent="0.35">
      <c r="H34415" s="711"/>
      <c r="I34415" s="711"/>
      <c r="J34415" s="711"/>
      <c r="K34415" s="711"/>
      <c r="L34415" s="711"/>
      <c r="Q34415" s="11"/>
      <c r="R34415" s="11"/>
      <c r="S34415" s="11"/>
      <c r="T34415" s="11"/>
    </row>
    <row r="34416" spans="8:20" x14ac:dyDescent="0.35">
      <c r="H34416" s="711"/>
      <c r="I34416" s="711"/>
      <c r="J34416" s="711"/>
      <c r="K34416" s="711"/>
      <c r="L34416" s="711"/>
      <c r="Q34416" s="11"/>
      <c r="R34416" s="11"/>
      <c r="S34416" s="11"/>
      <c r="T34416" s="11"/>
    </row>
    <row r="34417" spans="8:20" x14ac:dyDescent="0.35">
      <c r="H34417" s="711"/>
      <c r="I34417" s="711"/>
      <c r="J34417" s="711"/>
      <c r="K34417" s="711"/>
      <c r="L34417" s="711"/>
      <c r="Q34417" s="11"/>
      <c r="R34417" s="11"/>
      <c r="S34417" s="11"/>
      <c r="T34417" s="11"/>
    </row>
    <row r="34418" spans="8:20" x14ac:dyDescent="0.35">
      <c r="H34418" s="711"/>
      <c r="I34418" s="711"/>
      <c r="J34418" s="711"/>
      <c r="K34418" s="711"/>
      <c r="L34418" s="711"/>
      <c r="Q34418" s="11"/>
      <c r="R34418" s="11"/>
      <c r="S34418" s="11"/>
      <c r="T34418" s="11"/>
    </row>
    <row r="34419" spans="8:20" x14ac:dyDescent="0.35">
      <c r="H34419" s="711"/>
      <c r="I34419" s="711"/>
      <c r="J34419" s="711"/>
      <c r="K34419" s="711"/>
      <c r="L34419" s="711"/>
      <c r="Q34419" s="11"/>
      <c r="R34419" s="11"/>
      <c r="S34419" s="11"/>
      <c r="T34419" s="11"/>
    </row>
    <row r="34420" spans="8:20" x14ac:dyDescent="0.35">
      <c r="H34420" s="711"/>
      <c r="I34420" s="711"/>
      <c r="J34420" s="711"/>
      <c r="K34420" s="711"/>
      <c r="L34420" s="711"/>
      <c r="Q34420" s="11"/>
      <c r="R34420" s="11"/>
      <c r="S34420" s="11"/>
      <c r="T34420" s="11"/>
    </row>
    <row r="34421" spans="8:20" x14ac:dyDescent="0.35">
      <c r="H34421" s="711"/>
      <c r="I34421" s="711"/>
      <c r="J34421" s="711"/>
      <c r="K34421" s="711"/>
      <c r="L34421" s="711"/>
      <c r="Q34421" s="11"/>
      <c r="R34421" s="11"/>
      <c r="S34421" s="11"/>
      <c r="T34421" s="11"/>
    </row>
    <row r="34422" spans="8:20" x14ac:dyDescent="0.35">
      <c r="H34422" s="711"/>
      <c r="I34422" s="711"/>
      <c r="J34422" s="711"/>
      <c r="K34422" s="711"/>
      <c r="L34422" s="711"/>
      <c r="Q34422" s="11"/>
      <c r="R34422" s="11"/>
      <c r="S34422" s="11"/>
      <c r="T34422" s="11"/>
    </row>
    <row r="34423" spans="8:20" x14ac:dyDescent="0.35">
      <c r="H34423" s="711"/>
      <c r="I34423" s="711"/>
      <c r="J34423" s="711"/>
      <c r="K34423" s="711"/>
      <c r="L34423" s="711"/>
      <c r="Q34423" s="11"/>
      <c r="R34423" s="11"/>
      <c r="S34423" s="11"/>
      <c r="T34423" s="11"/>
    </row>
    <row r="34424" spans="8:20" x14ac:dyDescent="0.35">
      <c r="H34424" s="711"/>
      <c r="I34424" s="711"/>
      <c r="J34424" s="711"/>
      <c r="K34424" s="711"/>
      <c r="L34424" s="711"/>
      <c r="Q34424" s="11"/>
      <c r="R34424" s="11"/>
      <c r="S34424" s="11"/>
      <c r="T34424" s="11"/>
    </row>
    <row r="34425" spans="8:20" x14ac:dyDescent="0.35">
      <c r="H34425" s="711"/>
      <c r="I34425" s="711"/>
      <c r="J34425" s="711"/>
      <c r="K34425" s="711"/>
      <c r="L34425" s="711"/>
      <c r="Q34425" s="11"/>
      <c r="R34425" s="11"/>
      <c r="S34425" s="11"/>
      <c r="T34425" s="11"/>
    </row>
    <row r="34426" spans="8:20" x14ac:dyDescent="0.35">
      <c r="H34426" s="711"/>
      <c r="I34426" s="711"/>
      <c r="J34426" s="711"/>
      <c r="K34426" s="711"/>
      <c r="L34426" s="711"/>
      <c r="Q34426" s="11"/>
      <c r="R34426" s="11"/>
      <c r="S34426" s="11"/>
      <c r="T34426" s="11"/>
    </row>
    <row r="34427" spans="8:20" x14ac:dyDescent="0.35">
      <c r="H34427" s="711"/>
      <c r="I34427" s="711"/>
      <c r="J34427" s="711"/>
      <c r="K34427" s="711"/>
      <c r="L34427" s="711"/>
      <c r="Q34427" s="11"/>
      <c r="R34427" s="11"/>
      <c r="S34427" s="11"/>
      <c r="T34427" s="11"/>
    </row>
    <row r="34428" spans="8:20" x14ac:dyDescent="0.35">
      <c r="H34428" s="711"/>
      <c r="I34428" s="711"/>
      <c r="J34428" s="711"/>
      <c r="K34428" s="711"/>
      <c r="L34428" s="711"/>
      <c r="Q34428" s="11"/>
      <c r="R34428" s="11"/>
      <c r="S34428" s="11"/>
      <c r="T34428" s="11"/>
    </row>
    <row r="34429" spans="8:20" x14ac:dyDescent="0.35">
      <c r="H34429" s="711"/>
      <c r="I34429" s="711"/>
      <c r="J34429" s="711"/>
      <c r="K34429" s="711"/>
      <c r="L34429" s="711"/>
      <c r="Q34429" s="11"/>
      <c r="R34429" s="11"/>
      <c r="S34429" s="11"/>
      <c r="T34429" s="11"/>
    </row>
    <row r="34430" spans="8:20" x14ac:dyDescent="0.35">
      <c r="H34430" s="711"/>
      <c r="I34430" s="711"/>
      <c r="J34430" s="711"/>
      <c r="K34430" s="711"/>
      <c r="L34430" s="711"/>
      <c r="Q34430" s="11"/>
      <c r="R34430" s="11"/>
      <c r="S34430" s="11"/>
      <c r="T34430" s="11"/>
    </row>
    <row r="34431" spans="8:20" x14ac:dyDescent="0.35">
      <c r="H34431" s="711"/>
      <c r="I34431" s="711"/>
      <c r="J34431" s="711"/>
      <c r="K34431" s="711"/>
      <c r="L34431" s="711"/>
      <c r="Q34431" s="11"/>
      <c r="R34431" s="11"/>
      <c r="S34431" s="11"/>
      <c r="T34431" s="11"/>
    </row>
    <row r="34432" spans="8:20" x14ac:dyDescent="0.35">
      <c r="H34432" s="711"/>
      <c r="I34432" s="711"/>
      <c r="J34432" s="711"/>
      <c r="K34432" s="711"/>
      <c r="L34432" s="711"/>
      <c r="Q34432" s="11"/>
      <c r="R34432" s="11"/>
      <c r="S34432" s="11"/>
      <c r="T34432" s="11"/>
    </row>
    <row r="34433" spans="8:20" x14ac:dyDescent="0.35">
      <c r="H34433" s="711"/>
      <c r="I34433" s="711"/>
      <c r="J34433" s="711"/>
      <c r="K34433" s="711"/>
      <c r="L34433" s="711"/>
      <c r="Q34433" s="11"/>
      <c r="R34433" s="11"/>
      <c r="S34433" s="11"/>
      <c r="T34433" s="11"/>
    </row>
    <row r="34434" spans="8:20" x14ac:dyDescent="0.35">
      <c r="H34434" s="711"/>
      <c r="I34434" s="711"/>
      <c r="J34434" s="711"/>
      <c r="K34434" s="711"/>
      <c r="L34434" s="711"/>
      <c r="Q34434" s="11"/>
      <c r="R34434" s="11"/>
      <c r="S34434" s="11"/>
      <c r="T34434" s="11"/>
    </row>
    <row r="34435" spans="8:20" x14ac:dyDescent="0.35">
      <c r="H34435" s="711"/>
      <c r="I34435" s="711"/>
      <c r="J34435" s="711"/>
      <c r="K34435" s="711"/>
      <c r="L34435" s="711"/>
      <c r="Q34435" s="11"/>
      <c r="R34435" s="11"/>
      <c r="S34435" s="11"/>
      <c r="T34435" s="11"/>
    </row>
    <row r="34436" spans="8:20" x14ac:dyDescent="0.35">
      <c r="H34436" s="711"/>
      <c r="I34436" s="711"/>
      <c r="J34436" s="711"/>
      <c r="K34436" s="711"/>
      <c r="L34436" s="711"/>
      <c r="Q34436" s="11"/>
      <c r="R34436" s="11"/>
      <c r="S34436" s="11"/>
      <c r="T34436" s="11"/>
    </row>
    <row r="34437" spans="8:20" x14ac:dyDescent="0.35">
      <c r="H34437" s="711"/>
      <c r="I34437" s="711"/>
      <c r="J34437" s="711"/>
      <c r="K34437" s="711"/>
      <c r="L34437" s="711"/>
      <c r="Q34437" s="11"/>
      <c r="R34437" s="11"/>
      <c r="S34437" s="11"/>
      <c r="T34437" s="11"/>
    </row>
    <row r="34438" spans="8:20" x14ac:dyDescent="0.35">
      <c r="H34438" s="711"/>
      <c r="I34438" s="711"/>
      <c r="J34438" s="711"/>
      <c r="K34438" s="711"/>
      <c r="L34438" s="711"/>
      <c r="Q34438" s="11"/>
      <c r="R34438" s="11"/>
      <c r="S34438" s="11"/>
      <c r="T34438" s="11"/>
    </row>
    <row r="34439" spans="8:20" x14ac:dyDescent="0.35">
      <c r="H34439" s="711"/>
      <c r="I34439" s="711"/>
      <c r="J34439" s="711"/>
      <c r="K34439" s="711"/>
      <c r="L34439" s="711"/>
      <c r="Q34439" s="11"/>
      <c r="R34439" s="11"/>
      <c r="S34439" s="11"/>
      <c r="T34439" s="11"/>
    </row>
    <row r="34440" spans="8:20" x14ac:dyDescent="0.35">
      <c r="H34440" s="711"/>
      <c r="I34440" s="711"/>
      <c r="J34440" s="711"/>
      <c r="K34440" s="711"/>
      <c r="L34440" s="711"/>
      <c r="Q34440" s="11"/>
      <c r="R34440" s="11"/>
      <c r="S34440" s="11"/>
      <c r="T34440" s="11"/>
    </row>
    <row r="34441" spans="8:20" x14ac:dyDescent="0.35">
      <c r="H34441" s="711"/>
      <c r="I34441" s="711"/>
      <c r="J34441" s="711"/>
      <c r="K34441" s="711"/>
      <c r="L34441" s="711"/>
      <c r="Q34441" s="11"/>
      <c r="R34441" s="11"/>
      <c r="S34441" s="11"/>
      <c r="T34441" s="11"/>
    </row>
    <row r="34442" spans="8:20" x14ac:dyDescent="0.35">
      <c r="H34442" s="711"/>
      <c r="I34442" s="711"/>
      <c r="J34442" s="711"/>
      <c r="K34442" s="711"/>
      <c r="L34442" s="711"/>
      <c r="Q34442" s="11"/>
      <c r="R34442" s="11"/>
      <c r="S34442" s="11"/>
      <c r="T34442" s="11"/>
    </row>
    <row r="34443" spans="8:20" x14ac:dyDescent="0.35">
      <c r="H34443" s="711"/>
      <c r="I34443" s="711"/>
      <c r="J34443" s="711"/>
      <c r="K34443" s="711"/>
      <c r="L34443" s="711"/>
      <c r="Q34443" s="11"/>
      <c r="R34443" s="11"/>
      <c r="S34443" s="11"/>
      <c r="T34443" s="11"/>
    </row>
    <row r="34444" spans="8:20" x14ac:dyDescent="0.35">
      <c r="H34444" s="711"/>
      <c r="I34444" s="711"/>
      <c r="J34444" s="711"/>
      <c r="K34444" s="711"/>
      <c r="L34444" s="711"/>
      <c r="Q34444" s="11"/>
      <c r="R34444" s="11"/>
      <c r="S34444" s="11"/>
      <c r="T34444" s="11"/>
    </row>
    <row r="34445" spans="8:20" x14ac:dyDescent="0.35">
      <c r="H34445" s="711"/>
      <c r="I34445" s="711"/>
      <c r="J34445" s="711"/>
      <c r="K34445" s="711"/>
      <c r="L34445" s="711"/>
      <c r="Q34445" s="11"/>
      <c r="R34445" s="11"/>
      <c r="S34445" s="11"/>
      <c r="T34445" s="11"/>
    </row>
    <row r="34446" spans="8:20" x14ac:dyDescent="0.35">
      <c r="H34446" s="711"/>
      <c r="I34446" s="711"/>
      <c r="J34446" s="711"/>
      <c r="K34446" s="711"/>
      <c r="L34446" s="711"/>
      <c r="Q34446" s="11"/>
      <c r="R34446" s="11"/>
      <c r="S34446" s="11"/>
      <c r="T34446" s="11"/>
    </row>
    <row r="34447" spans="8:20" x14ac:dyDescent="0.35">
      <c r="H34447" s="711"/>
      <c r="I34447" s="711"/>
      <c r="J34447" s="711"/>
      <c r="K34447" s="711"/>
      <c r="L34447" s="711"/>
      <c r="Q34447" s="11"/>
      <c r="R34447" s="11"/>
      <c r="S34447" s="11"/>
      <c r="T34447" s="11"/>
    </row>
    <row r="34448" spans="8:20" x14ac:dyDescent="0.35">
      <c r="H34448" s="711"/>
      <c r="I34448" s="711"/>
      <c r="J34448" s="711"/>
      <c r="K34448" s="711"/>
      <c r="L34448" s="711"/>
      <c r="Q34448" s="11"/>
      <c r="R34448" s="11"/>
      <c r="S34448" s="11"/>
      <c r="T34448" s="11"/>
    </row>
    <row r="34449" spans="8:20" x14ac:dyDescent="0.35">
      <c r="H34449" s="711"/>
      <c r="I34449" s="711"/>
      <c r="J34449" s="711"/>
      <c r="K34449" s="711"/>
      <c r="L34449" s="711"/>
      <c r="Q34449" s="11"/>
      <c r="R34449" s="11"/>
      <c r="S34449" s="11"/>
      <c r="T34449" s="11"/>
    </row>
    <row r="34450" spans="8:20" x14ac:dyDescent="0.35">
      <c r="H34450" s="711"/>
      <c r="I34450" s="711"/>
      <c r="J34450" s="711"/>
      <c r="K34450" s="711"/>
      <c r="L34450" s="711"/>
      <c r="Q34450" s="11"/>
      <c r="R34450" s="11"/>
      <c r="S34450" s="11"/>
      <c r="T34450" s="11"/>
    </row>
    <row r="34451" spans="8:20" x14ac:dyDescent="0.35">
      <c r="H34451" s="711"/>
      <c r="I34451" s="711"/>
      <c r="J34451" s="711"/>
      <c r="K34451" s="711"/>
      <c r="L34451" s="711"/>
      <c r="Q34451" s="11"/>
      <c r="R34451" s="11"/>
      <c r="S34451" s="11"/>
      <c r="T34451" s="11"/>
    </row>
    <row r="34452" spans="8:20" x14ac:dyDescent="0.35">
      <c r="H34452" s="711"/>
      <c r="I34452" s="711"/>
      <c r="J34452" s="711"/>
      <c r="K34452" s="711"/>
      <c r="L34452" s="711"/>
      <c r="Q34452" s="11"/>
      <c r="R34452" s="11"/>
      <c r="S34452" s="11"/>
      <c r="T34452" s="11"/>
    </row>
    <row r="34453" spans="8:20" x14ac:dyDescent="0.35">
      <c r="H34453" s="711"/>
      <c r="I34453" s="711"/>
      <c r="J34453" s="711"/>
      <c r="K34453" s="711"/>
      <c r="L34453" s="711"/>
      <c r="Q34453" s="11"/>
      <c r="R34453" s="11"/>
      <c r="S34453" s="11"/>
      <c r="T34453" s="11"/>
    </row>
    <row r="34454" spans="8:20" x14ac:dyDescent="0.35">
      <c r="H34454" s="711"/>
      <c r="I34454" s="711"/>
      <c r="J34454" s="711"/>
      <c r="K34454" s="711"/>
      <c r="L34454" s="711"/>
      <c r="Q34454" s="11"/>
      <c r="R34454" s="11"/>
      <c r="S34454" s="11"/>
      <c r="T34454" s="11"/>
    </row>
    <row r="34455" spans="8:20" x14ac:dyDescent="0.35">
      <c r="H34455" s="711"/>
      <c r="I34455" s="711"/>
      <c r="J34455" s="711"/>
      <c r="K34455" s="711"/>
      <c r="L34455" s="711"/>
      <c r="Q34455" s="11"/>
      <c r="R34455" s="11"/>
      <c r="S34455" s="11"/>
      <c r="T34455" s="11"/>
    </row>
    <row r="34456" spans="8:20" x14ac:dyDescent="0.35">
      <c r="H34456" s="711"/>
      <c r="I34456" s="711"/>
      <c r="J34456" s="711"/>
      <c r="K34456" s="711"/>
      <c r="L34456" s="711"/>
      <c r="Q34456" s="11"/>
      <c r="R34456" s="11"/>
      <c r="S34456" s="11"/>
      <c r="T34456" s="11"/>
    </row>
    <row r="34457" spans="8:20" x14ac:dyDescent="0.35">
      <c r="H34457" s="711"/>
      <c r="I34457" s="711"/>
      <c r="J34457" s="711"/>
      <c r="K34457" s="711"/>
      <c r="L34457" s="711"/>
      <c r="Q34457" s="11"/>
      <c r="R34457" s="11"/>
      <c r="S34457" s="11"/>
      <c r="T34457" s="11"/>
    </row>
    <row r="34458" spans="8:20" x14ac:dyDescent="0.35">
      <c r="H34458" s="711"/>
      <c r="I34458" s="711"/>
      <c r="J34458" s="711"/>
      <c r="K34458" s="711"/>
      <c r="L34458" s="711"/>
      <c r="Q34458" s="11"/>
      <c r="R34458" s="11"/>
      <c r="S34458" s="11"/>
      <c r="T34458" s="11"/>
    </row>
    <row r="34459" spans="8:20" x14ac:dyDescent="0.35">
      <c r="H34459" s="711"/>
      <c r="I34459" s="711"/>
      <c r="J34459" s="711"/>
      <c r="K34459" s="711"/>
      <c r="L34459" s="711"/>
      <c r="Q34459" s="11"/>
      <c r="R34459" s="11"/>
      <c r="S34459" s="11"/>
      <c r="T34459" s="11"/>
    </row>
    <row r="34460" spans="8:20" x14ac:dyDescent="0.35">
      <c r="H34460" s="711"/>
      <c r="I34460" s="711"/>
      <c r="J34460" s="711"/>
      <c r="K34460" s="711"/>
      <c r="L34460" s="711"/>
      <c r="Q34460" s="11"/>
      <c r="R34460" s="11"/>
      <c r="S34460" s="11"/>
      <c r="T34460" s="11"/>
    </row>
    <row r="34461" spans="8:20" x14ac:dyDescent="0.35">
      <c r="H34461" s="711"/>
      <c r="I34461" s="711"/>
      <c r="J34461" s="711"/>
      <c r="K34461" s="711"/>
      <c r="L34461" s="711"/>
      <c r="Q34461" s="11"/>
      <c r="R34461" s="11"/>
      <c r="S34461" s="11"/>
      <c r="T34461" s="11"/>
    </row>
    <row r="34462" spans="8:20" x14ac:dyDescent="0.35">
      <c r="H34462" s="711"/>
      <c r="I34462" s="711"/>
      <c r="J34462" s="711"/>
      <c r="K34462" s="711"/>
      <c r="L34462" s="711"/>
      <c r="Q34462" s="11"/>
      <c r="R34462" s="11"/>
      <c r="S34462" s="11"/>
      <c r="T34462" s="11"/>
    </row>
    <row r="34463" spans="8:20" x14ac:dyDescent="0.35">
      <c r="H34463" s="711"/>
      <c r="I34463" s="711"/>
      <c r="J34463" s="711"/>
      <c r="K34463" s="711"/>
      <c r="L34463" s="711"/>
      <c r="Q34463" s="11"/>
      <c r="R34463" s="11"/>
      <c r="S34463" s="11"/>
      <c r="T34463" s="11"/>
    </row>
    <row r="34464" spans="8:20" x14ac:dyDescent="0.35">
      <c r="H34464" s="711"/>
      <c r="I34464" s="711"/>
      <c r="J34464" s="711"/>
      <c r="K34464" s="711"/>
      <c r="L34464" s="711"/>
      <c r="Q34464" s="11"/>
      <c r="R34464" s="11"/>
      <c r="S34464" s="11"/>
      <c r="T34464" s="11"/>
    </row>
    <row r="34465" spans="8:20" x14ac:dyDescent="0.35">
      <c r="H34465" s="711"/>
      <c r="I34465" s="711"/>
      <c r="J34465" s="711"/>
      <c r="K34465" s="711"/>
      <c r="L34465" s="711"/>
      <c r="Q34465" s="11"/>
      <c r="R34465" s="11"/>
      <c r="S34465" s="11"/>
      <c r="T34465" s="11"/>
    </row>
    <row r="34466" spans="8:20" x14ac:dyDescent="0.35">
      <c r="H34466" s="711"/>
      <c r="I34466" s="711"/>
      <c r="J34466" s="711"/>
      <c r="K34466" s="711"/>
      <c r="L34466" s="711"/>
      <c r="Q34466" s="11"/>
      <c r="R34466" s="11"/>
      <c r="S34466" s="11"/>
      <c r="T34466" s="11"/>
    </row>
    <row r="34467" spans="8:20" x14ac:dyDescent="0.35">
      <c r="H34467" s="711"/>
      <c r="I34467" s="711"/>
      <c r="J34467" s="711"/>
      <c r="K34467" s="711"/>
      <c r="L34467" s="711"/>
      <c r="Q34467" s="11"/>
      <c r="R34467" s="11"/>
      <c r="S34467" s="11"/>
      <c r="T34467" s="11"/>
    </row>
    <row r="34468" spans="8:20" x14ac:dyDescent="0.35">
      <c r="H34468" s="711"/>
      <c r="I34468" s="711"/>
      <c r="J34468" s="711"/>
      <c r="K34468" s="711"/>
      <c r="L34468" s="711"/>
      <c r="Q34468" s="11"/>
      <c r="R34468" s="11"/>
      <c r="S34468" s="11"/>
      <c r="T34468" s="11"/>
    </row>
    <row r="34469" spans="8:20" x14ac:dyDescent="0.35">
      <c r="H34469" s="711"/>
      <c r="I34469" s="711"/>
      <c r="J34469" s="711"/>
      <c r="K34469" s="711"/>
      <c r="L34469" s="711"/>
      <c r="Q34469" s="11"/>
      <c r="R34469" s="11"/>
      <c r="S34469" s="11"/>
      <c r="T34469" s="11"/>
    </row>
    <row r="34470" spans="8:20" x14ac:dyDescent="0.35">
      <c r="H34470" s="711"/>
      <c r="I34470" s="711"/>
      <c r="J34470" s="711"/>
      <c r="K34470" s="711"/>
      <c r="L34470" s="711"/>
      <c r="Q34470" s="11"/>
      <c r="R34470" s="11"/>
      <c r="S34470" s="11"/>
      <c r="T34470" s="11"/>
    </row>
    <row r="34471" spans="8:20" x14ac:dyDescent="0.35">
      <c r="H34471" s="711"/>
      <c r="I34471" s="711"/>
      <c r="J34471" s="711"/>
      <c r="K34471" s="711"/>
      <c r="L34471" s="711"/>
      <c r="Q34471" s="11"/>
      <c r="R34471" s="11"/>
      <c r="S34471" s="11"/>
      <c r="T34471" s="11"/>
    </row>
    <row r="34472" spans="8:20" x14ac:dyDescent="0.35">
      <c r="H34472" s="711"/>
      <c r="I34472" s="711"/>
      <c r="J34472" s="711"/>
      <c r="K34472" s="711"/>
      <c r="L34472" s="711"/>
      <c r="Q34472" s="11"/>
      <c r="R34472" s="11"/>
      <c r="S34472" s="11"/>
      <c r="T34472" s="11"/>
    </row>
    <row r="34473" spans="8:20" x14ac:dyDescent="0.35">
      <c r="H34473" s="711"/>
      <c r="I34473" s="711"/>
      <c r="J34473" s="711"/>
      <c r="K34473" s="711"/>
      <c r="L34473" s="711"/>
      <c r="Q34473" s="11"/>
      <c r="R34473" s="11"/>
      <c r="S34473" s="11"/>
      <c r="T34473" s="11"/>
    </row>
    <row r="34474" spans="8:20" x14ac:dyDescent="0.35">
      <c r="H34474" s="711"/>
      <c r="I34474" s="711"/>
      <c r="J34474" s="711"/>
      <c r="K34474" s="711"/>
      <c r="L34474" s="711"/>
      <c r="Q34474" s="11"/>
      <c r="R34474" s="11"/>
      <c r="S34474" s="11"/>
      <c r="T34474" s="11"/>
    </row>
    <row r="34475" spans="8:20" x14ac:dyDescent="0.35">
      <c r="H34475" s="711"/>
      <c r="I34475" s="711"/>
      <c r="J34475" s="711"/>
      <c r="K34475" s="711"/>
      <c r="L34475" s="711"/>
      <c r="Q34475" s="11"/>
      <c r="R34475" s="11"/>
      <c r="S34475" s="11"/>
      <c r="T34475" s="11"/>
    </row>
    <row r="34476" spans="8:20" x14ac:dyDescent="0.35">
      <c r="H34476" s="711"/>
      <c r="I34476" s="711"/>
      <c r="J34476" s="711"/>
      <c r="K34476" s="711"/>
      <c r="L34476" s="711"/>
      <c r="Q34476" s="11"/>
      <c r="R34476" s="11"/>
      <c r="S34476" s="11"/>
      <c r="T34476" s="11"/>
    </row>
    <row r="34477" spans="8:20" x14ac:dyDescent="0.35">
      <c r="H34477" s="711"/>
      <c r="I34477" s="711"/>
      <c r="J34477" s="711"/>
      <c r="K34477" s="711"/>
      <c r="L34477" s="711"/>
      <c r="Q34477" s="11"/>
      <c r="R34477" s="11"/>
      <c r="S34477" s="11"/>
      <c r="T34477" s="11"/>
    </row>
    <row r="34478" spans="8:20" x14ac:dyDescent="0.35">
      <c r="H34478" s="711"/>
      <c r="I34478" s="711"/>
      <c r="J34478" s="711"/>
      <c r="K34478" s="711"/>
      <c r="L34478" s="711"/>
      <c r="Q34478" s="11"/>
      <c r="R34478" s="11"/>
      <c r="S34478" s="11"/>
      <c r="T34478" s="11"/>
    </row>
    <row r="34479" spans="8:20" x14ac:dyDescent="0.35">
      <c r="H34479" s="711"/>
      <c r="I34479" s="711"/>
      <c r="J34479" s="711"/>
      <c r="K34479" s="711"/>
      <c r="L34479" s="711"/>
      <c r="Q34479" s="11"/>
      <c r="R34479" s="11"/>
      <c r="S34479" s="11"/>
      <c r="T34479" s="11"/>
    </row>
    <row r="34480" spans="8:20" x14ac:dyDescent="0.35">
      <c r="H34480" s="711"/>
      <c r="I34480" s="711"/>
      <c r="J34480" s="711"/>
      <c r="K34480" s="711"/>
      <c r="L34480" s="711"/>
      <c r="Q34480" s="11"/>
      <c r="R34480" s="11"/>
      <c r="S34480" s="11"/>
      <c r="T34480" s="11"/>
    </row>
    <row r="34481" spans="8:20" x14ac:dyDescent="0.35">
      <c r="H34481" s="711"/>
      <c r="I34481" s="711"/>
      <c r="J34481" s="711"/>
      <c r="K34481" s="711"/>
      <c r="L34481" s="711"/>
      <c r="Q34481" s="11"/>
      <c r="R34481" s="11"/>
      <c r="S34481" s="11"/>
      <c r="T34481" s="11"/>
    </row>
    <row r="34482" spans="8:20" x14ac:dyDescent="0.35">
      <c r="H34482" s="711"/>
      <c r="I34482" s="711"/>
      <c r="J34482" s="711"/>
      <c r="K34482" s="711"/>
      <c r="L34482" s="711"/>
      <c r="Q34482" s="11"/>
      <c r="R34482" s="11"/>
      <c r="S34482" s="11"/>
      <c r="T34482" s="11"/>
    </row>
    <row r="34483" spans="8:20" x14ac:dyDescent="0.35">
      <c r="H34483" s="711"/>
      <c r="I34483" s="711"/>
      <c r="J34483" s="711"/>
      <c r="K34483" s="711"/>
      <c r="L34483" s="711"/>
      <c r="Q34483" s="11"/>
      <c r="R34483" s="11"/>
      <c r="S34483" s="11"/>
      <c r="T34483" s="11"/>
    </row>
    <row r="34484" spans="8:20" x14ac:dyDescent="0.35">
      <c r="H34484" s="711"/>
      <c r="I34484" s="711"/>
      <c r="J34484" s="711"/>
      <c r="K34484" s="711"/>
      <c r="L34484" s="711"/>
      <c r="Q34484" s="11"/>
      <c r="R34484" s="11"/>
      <c r="S34484" s="11"/>
      <c r="T34484" s="11"/>
    </row>
    <row r="34485" spans="8:20" x14ac:dyDescent="0.35">
      <c r="H34485" s="711"/>
      <c r="I34485" s="711"/>
      <c r="J34485" s="711"/>
      <c r="K34485" s="711"/>
      <c r="L34485" s="711"/>
      <c r="Q34485" s="11"/>
      <c r="R34485" s="11"/>
      <c r="S34485" s="11"/>
      <c r="T34485" s="11"/>
    </row>
    <row r="34486" spans="8:20" x14ac:dyDescent="0.35">
      <c r="H34486" s="711"/>
      <c r="I34486" s="711"/>
      <c r="J34486" s="711"/>
      <c r="K34486" s="711"/>
      <c r="L34486" s="711"/>
      <c r="Q34486" s="11"/>
      <c r="R34486" s="11"/>
      <c r="S34486" s="11"/>
      <c r="T34486" s="11"/>
    </row>
    <row r="34487" spans="8:20" x14ac:dyDescent="0.35">
      <c r="H34487" s="711"/>
      <c r="I34487" s="711"/>
      <c r="J34487" s="711"/>
      <c r="K34487" s="711"/>
      <c r="L34487" s="711"/>
      <c r="Q34487" s="11"/>
      <c r="R34487" s="11"/>
      <c r="S34487" s="11"/>
      <c r="T34487" s="11"/>
    </row>
    <row r="34488" spans="8:20" x14ac:dyDescent="0.35">
      <c r="H34488" s="711"/>
      <c r="I34488" s="711"/>
      <c r="J34488" s="711"/>
      <c r="K34488" s="711"/>
      <c r="L34488" s="711"/>
      <c r="Q34488" s="11"/>
      <c r="R34488" s="11"/>
      <c r="S34488" s="11"/>
      <c r="T34488" s="11"/>
    </row>
    <row r="34489" spans="8:20" x14ac:dyDescent="0.35">
      <c r="H34489" s="711"/>
      <c r="I34489" s="711"/>
      <c r="J34489" s="711"/>
      <c r="K34489" s="711"/>
      <c r="L34489" s="711"/>
      <c r="Q34489" s="11"/>
      <c r="R34489" s="11"/>
      <c r="S34489" s="11"/>
      <c r="T34489" s="11"/>
    </row>
    <row r="34490" spans="8:20" x14ac:dyDescent="0.35">
      <c r="H34490" s="711"/>
      <c r="I34490" s="711"/>
      <c r="J34490" s="711"/>
      <c r="K34490" s="711"/>
      <c r="L34490" s="711"/>
      <c r="Q34490" s="11"/>
      <c r="R34490" s="11"/>
      <c r="S34490" s="11"/>
      <c r="T34490" s="11"/>
    </row>
    <row r="34491" spans="8:20" x14ac:dyDescent="0.35">
      <c r="H34491" s="711"/>
      <c r="I34491" s="711"/>
      <c r="J34491" s="711"/>
      <c r="K34491" s="711"/>
      <c r="L34491" s="711"/>
      <c r="Q34491" s="11"/>
      <c r="R34491" s="11"/>
      <c r="S34491" s="11"/>
      <c r="T34491" s="11"/>
    </row>
    <row r="34492" spans="8:20" x14ac:dyDescent="0.35">
      <c r="H34492" s="711"/>
      <c r="I34492" s="711"/>
      <c r="J34492" s="711"/>
      <c r="K34492" s="711"/>
      <c r="L34492" s="711"/>
      <c r="Q34492" s="11"/>
      <c r="R34492" s="11"/>
      <c r="S34492" s="11"/>
      <c r="T34492" s="11"/>
    </row>
    <row r="34493" spans="8:20" x14ac:dyDescent="0.35">
      <c r="H34493" s="711"/>
      <c r="I34493" s="711"/>
      <c r="J34493" s="711"/>
      <c r="K34493" s="711"/>
      <c r="L34493" s="711"/>
      <c r="Q34493" s="11"/>
      <c r="R34493" s="11"/>
      <c r="S34493" s="11"/>
      <c r="T34493" s="11"/>
    </row>
    <row r="34494" spans="8:20" x14ac:dyDescent="0.35">
      <c r="H34494" s="711"/>
      <c r="I34494" s="711"/>
      <c r="J34494" s="711"/>
      <c r="K34494" s="711"/>
      <c r="L34494" s="711"/>
      <c r="Q34494" s="11"/>
      <c r="R34494" s="11"/>
      <c r="S34494" s="11"/>
      <c r="T34494" s="11"/>
    </row>
    <row r="34495" spans="8:20" x14ac:dyDescent="0.35">
      <c r="H34495" s="711"/>
      <c r="I34495" s="711"/>
      <c r="J34495" s="711"/>
      <c r="K34495" s="711"/>
      <c r="L34495" s="711"/>
      <c r="Q34495" s="11"/>
      <c r="R34495" s="11"/>
      <c r="S34495" s="11"/>
      <c r="T34495" s="11"/>
    </row>
    <row r="34496" spans="8:20" x14ac:dyDescent="0.35">
      <c r="H34496" s="711"/>
      <c r="I34496" s="711"/>
      <c r="J34496" s="711"/>
      <c r="K34496" s="711"/>
      <c r="L34496" s="711"/>
      <c r="Q34496" s="11"/>
      <c r="R34496" s="11"/>
      <c r="S34496" s="11"/>
      <c r="T34496" s="11"/>
    </row>
    <row r="34497" spans="8:20" x14ac:dyDescent="0.35">
      <c r="H34497" s="711"/>
      <c r="I34497" s="711"/>
      <c r="J34497" s="711"/>
      <c r="K34497" s="711"/>
      <c r="L34497" s="711"/>
      <c r="Q34497" s="11"/>
      <c r="R34497" s="11"/>
      <c r="S34497" s="11"/>
      <c r="T34497" s="11"/>
    </row>
    <row r="34498" spans="8:20" x14ac:dyDescent="0.35">
      <c r="H34498" s="711"/>
      <c r="I34498" s="711"/>
      <c r="J34498" s="711"/>
      <c r="K34498" s="711"/>
      <c r="L34498" s="711"/>
      <c r="Q34498" s="11"/>
      <c r="R34498" s="11"/>
      <c r="S34498" s="11"/>
      <c r="T34498" s="11"/>
    </row>
    <row r="34499" spans="8:20" x14ac:dyDescent="0.35">
      <c r="H34499" s="711"/>
      <c r="I34499" s="711"/>
      <c r="J34499" s="711"/>
      <c r="K34499" s="711"/>
      <c r="L34499" s="711"/>
      <c r="Q34499" s="11"/>
      <c r="R34499" s="11"/>
      <c r="S34499" s="11"/>
      <c r="T34499" s="11"/>
    </row>
    <row r="34500" spans="8:20" x14ac:dyDescent="0.35">
      <c r="H34500" s="711"/>
      <c r="I34500" s="711"/>
      <c r="J34500" s="711"/>
      <c r="K34500" s="711"/>
      <c r="L34500" s="711"/>
      <c r="Q34500" s="11"/>
      <c r="R34500" s="11"/>
      <c r="S34500" s="11"/>
      <c r="T34500" s="11"/>
    </row>
    <row r="34501" spans="8:20" x14ac:dyDescent="0.35">
      <c r="H34501" s="711"/>
      <c r="I34501" s="711"/>
      <c r="J34501" s="711"/>
      <c r="K34501" s="711"/>
      <c r="L34501" s="711"/>
      <c r="Q34501" s="11"/>
      <c r="R34501" s="11"/>
      <c r="S34501" s="11"/>
      <c r="T34501" s="11"/>
    </row>
    <row r="34502" spans="8:20" x14ac:dyDescent="0.35">
      <c r="H34502" s="711"/>
      <c r="I34502" s="711"/>
      <c r="J34502" s="711"/>
      <c r="K34502" s="711"/>
      <c r="L34502" s="711"/>
      <c r="Q34502" s="11"/>
      <c r="R34502" s="11"/>
      <c r="S34502" s="11"/>
      <c r="T34502" s="11"/>
    </row>
    <row r="34503" spans="8:20" x14ac:dyDescent="0.35">
      <c r="H34503" s="711"/>
      <c r="I34503" s="711"/>
      <c r="J34503" s="711"/>
      <c r="K34503" s="711"/>
      <c r="L34503" s="711"/>
      <c r="Q34503" s="11"/>
      <c r="R34503" s="11"/>
      <c r="S34503" s="11"/>
      <c r="T34503" s="11"/>
    </row>
    <row r="34504" spans="8:20" x14ac:dyDescent="0.35">
      <c r="H34504" s="711"/>
      <c r="I34504" s="711"/>
      <c r="J34504" s="711"/>
      <c r="K34504" s="711"/>
      <c r="L34504" s="711"/>
      <c r="Q34504" s="11"/>
      <c r="R34504" s="11"/>
      <c r="S34504" s="11"/>
      <c r="T34504" s="11"/>
    </row>
    <row r="34505" spans="8:20" x14ac:dyDescent="0.35">
      <c r="H34505" s="711"/>
      <c r="I34505" s="711"/>
      <c r="J34505" s="711"/>
      <c r="K34505" s="711"/>
      <c r="L34505" s="711"/>
      <c r="Q34505" s="11"/>
      <c r="R34505" s="11"/>
      <c r="S34505" s="11"/>
      <c r="T34505" s="11"/>
    </row>
    <row r="34506" spans="8:20" x14ac:dyDescent="0.35">
      <c r="H34506" s="711"/>
      <c r="I34506" s="711"/>
      <c r="J34506" s="711"/>
      <c r="K34506" s="711"/>
      <c r="L34506" s="711"/>
      <c r="Q34506" s="11"/>
      <c r="R34506" s="11"/>
      <c r="S34506" s="11"/>
      <c r="T34506" s="11"/>
    </row>
    <row r="34507" spans="8:20" x14ac:dyDescent="0.35">
      <c r="H34507" s="711"/>
      <c r="I34507" s="711"/>
      <c r="J34507" s="711"/>
      <c r="K34507" s="711"/>
      <c r="L34507" s="711"/>
      <c r="Q34507" s="11"/>
      <c r="R34507" s="11"/>
      <c r="S34507" s="11"/>
      <c r="T34507" s="11"/>
    </row>
    <row r="34508" spans="8:20" x14ac:dyDescent="0.35">
      <c r="H34508" s="711"/>
      <c r="I34508" s="711"/>
      <c r="J34508" s="711"/>
      <c r="K34508" s="711"/>
      <c r="L34508" s="711"/>
      <c r="Q34508" s="11"/>
      <c r="R34508" s="11"/>
      <c r="S34508" s="11"/>
      <c r="T34508" s="11"/>
    </row>
    <row r="34509" spans="8:20" x14ac:dyDescent="0.35">
      <c r="H34509" s="711"/>
      <c r="I34509" s="711"/>
      <c r="J34509" s="711"/>
      <c r="K34509" s="711"/>
      <c r="L34509" s="711"/>
      <c r="Q34509" s="11"/>
      <c r="R34509" s="11"/>
      <c r="S34509" s="11"/>
      <c r="T34509" s="11"/>
    </row>
    <row r="34510" spans="8:20" x14ac:dyDescent="0.35">
      <c r="H34510" s="711"/>
      <c r="I34510" s="711"/>
      <c r="J34510" s="711"/>
      <c r="K34510" s="711"/>
      <c r="L34510" s="711"/>
      <c r="Q34510" s="11"/>
      <c r="R34510" s="11"/>
      <c r="S34510" s="11"/>
      <c r="T34510" s="11"/>
    </row>
    <row r="34511" spans="8:20" x14ac:dyDescent="0.35">
      <c r="H34511" s="711"/>
      <c r="I34511" s="711"/>
      <c r="J34511" s="711"/>
      <c r="K34511" s="711"/>
      <c r="L34511" s="711"/>
      <c r="Q34511" s="11"/>
      <c r="R34511" s="11"/>
      <c r="S34511" s="11"/>
      <c r="T34511" s="11"/>
    </row>
    <row r="34512" spans="8:20" x14ac:dyDescent="0.35">
      <c r="H34512" s="711"/>
      <c r="I34512" s="711"/>
      <c r="J34512" s="711"/>
      <c r="K34512" s="711"/>
      <c r="L34512" s="711"/>
      <c r="Q34512" s="11"/>
      <c r="R34512" s="11"/>
      <c r="S34512" s="11"/>
      <c r="T34512" s="11"/>
    </row>
    <row r="34513" spans="8:20" x14ac:dyDescent="0.35">
      <c r="H34513" s="711"/>
      <c r="I34513" s="711"/>
      <c r="J34513" s="711"/>
      <c r="K34513" s="711"/>
      <c r="L34513" s="711"/>
      <c r="Q34513" s="11"/>
      <c r="R34513" s="11"/>
      <c r="S34513" s="11"/>
      <c r="T34513" s="11"/>
    </row>
    <row r="34514" spans="8:20" x14ac:dyDescent="0.35">
      <c r="H34514" s="711"/>
      <c r="I34514" s="711"/>
      <c r="J34514" s="711"/>
      <c r="K34514" s="711"/>
      <c r="L34514" s="711"/>
      <c r="Q34514" s="11"/>
      <c r="R34514" s="11"/>
      <c r="S34514" s="11"/>
      <c r="T34514" s="11"/>
    </row>
    <row r="34515" spans="8:20" x14ac:dyDescent="0.35">
      <c r="H34515" s="711"/>
      <c r="I34515" s="711"/>
      <c r="J34515" s="711"/>
      <c r="K34515" s="711"/>
      <c r="L34515" s="711"/>
      <c r="Q34515" s="11"/>
      <c r="R34515" s="11"/>
      <c r="S34515" s="11"/>
      <c r="T34515" s="11"/>
    </row>
    <row r="34516" spans="8:20" x14ac:dyDescent="0.35">
      <c r="H34516" s="711"/>
      <c r="I34516" s="711"/>
      <c r="J34516" s="711"/>
      <c r="K34516" s="711"/>
      <c r="L34516" s="711"/>
      <c r="Q34516" s="11"/>
      <c r="R34516" s="11"/>
      <c r="S34516" s="11"/>
      <c r="T34516" s="11"/>
    </row>
    <row r="34517" spans="8:20" x14ac:dyDescent="0.35">
      <c r="H34517" s="711"/>
      <c r="I34517" s="711"/>
      <c r="J34517" s="711"/>
      <c r="K34517" s="711"/>
      <c r="L34517" s="711"/>
      <c r="Q34517" s="11"/>
      <c r="R34517" s="11"/>
      <c r="S34517" s="11"/>
      <c r="T34517" s="11"/>
    </row>
    <row r="34518" spans="8:20" x14ac:dyDescent="0.35">
      <c r="H34518" s="711"/>
      <c r="I34518" s="711"/>
      <c r="J34518" s="711"/>
      <c r="K34518" s="711"/>
      <c r="L34518" s="711"/>
      <c r="Q34518" s="11"/>
      <c r="R34518" s="11"/>
      <c r="S34518" s="11"/>
      <c r="T34518" s="11"/>
    </row>
    <row r="34519" spans="8:20" x14ac:dyDescent="0.35">
      <c r="H34519" s="711"/>
      <c r="I34519" s="711"/>
      <c r="J34519" s="711"/>
      <c r="K34519" s="711"/>
      <c r="L34519" s="711"/>
      <c r="Q34519" s="11"/>
      <c r="R34519" s="11"/>
      <c r="S34519" s="11"/>
      <c r="T34519" s="11"/>
    </row>
    <row r="34520" spans="8:20" x14ac:dyDescent="0.35">
      <c r="H34520" s="711"/>
      <c r="I34520" s="711"/>
      <c r="J34520" s="711"/>
      <c r="K34520" s="711"/>
      <c r="L34520" s="711"/>
      <c r="Q34520" s="11"/>
      <c r="R34520" s="11"/>
      <c r="S34520" s="11"/>
      <c r="T34520" s="11"/>
    </row>
    <row r="34521" spans="8:20" x14ac:dyDescent="0.35">
      <c r="H34521" s="711"/>
      <c r="I34521" s="711"/>
      <c r="J34521" s="711"/>
      <c r="K34521" s="711"/>
      <c r="L34521" s="711"/>
      <c r="Q34521" s="11"/>
      <c r="R34521" s="11"/>
      <c r="S34521" s="11"/>
      <c r="T34521" s="11"/>
    </row>
    <row r="34522" spans="8:20" x14ac:dyDescent="0.35">
      <c r="H34522" s="711"/>
      <c r="I34522" s="711"/>
      <c r="J34522" s="711"/>
      <c r="K34522" s="711"/>
      <c r="L34522" s="711"/>
      <c r="Q34522" s="11"/>
      <c r="R34522" s="11"/>
      <c r="S34522" s="11"/>
      <c r="T34522" s="11"/>
    </row>
    <row r="34523" spans="8:20" x14ac:dyDescent="0.35">
      <c r="H34523" s="711"/>
      <c r="I34523" s="711"/>
      <c r="J34523" s="711"/>
      <c r="K34523" s="711"/>
      <c r="L34523" s="711"/>
      <c r="Q34523" s="11"/>
      <c r="R34523" s="11"/>
      <c r="S34523" s="11"/>
      <c r="T34523" s="11"/>
    </row>
    <row r="34524" spans="8:20" x14ac:dyDescent="0.35">
      <c r="H34524" s="711"/>
      <c r="I34524" s="711"/>
      <c r="J34524" s="711"/>
      <c r="K34524" s="711"/>
      <c r="L34524" s="711"/>
      <c r="Q34524" s="11"/>
      <c r="R34524" s="11"/>
      <c r="S34524" s="11"/>
      <c r="T34524" s="11"/>
    </row>
    <row r="34525" spans="8:20" x14ac:dyDescent="0.35">
      <c r="H34525" s="711"/>
      <c r="I34525" s="711"/>
      <c r="J34525" s="711"/>
      <c r="K34525" s="711"/>
      <c r="L34525" s="711"/>
      <c r="Q34525" s="11"/>
      <c r="R34525" s="11"/>
      <c r="S34525" s="11"/>
      <c r="T34525" s="11"/>
    </row>
    <row r="34526" spans="8:20" x14ac:dyDescent="0.35">
      <c r="H34526" s="711"/>
      <c r="I34526" s="711"/>
      <c r="J34526" s="711"/>
      <c r="K34526" s="711"/>
      <c r="L34526" s="711"/>
      <c r="Q34526" s="11"/>
      <c r="R34526" s="11"/>
      <c r="S34526" s="11"/>
      <c r="T34526" s="11"/>
    </row>
    <row r="34527" spans="8:20" x14ac:dyDescent="0.35">
      <c r="H34527" s="711"/>
      <c r="I34527" s="711"/>
      <c r="J34527" s="711"/>
      <c r="K34527" s="711"/>
      <c r="L34527" s="711"/>
      <c r="Q34527" s="11"/>
      <c r="R34527" s="11"/>
      <c r="S34527" s="11"/>
      <c r="T34527" s="11"/>
    </row>
    <row r="34528" spans="8:20" x14ac:dyDescent="0.35">
      <c r="H34528" s="711"/>
      <c r="I34528" s="711"/>
      <c r="J34528" s="711"/>
      <c r="K34528" s="711"/>
      <c r="L34528" s="711"/>
      <c r="Q34528" s="11"/>
      <c r="R34528" s="11"/>
      <c r="S34528" s="11"/>
      <c r="T34528" s="11"/>
    </row>
    <row r="34529" spans="8:20" x14ac:dyDescent="0.35">
      <c r="H34529" s="711"/>
      <c r="I34529" s="711"/>
      <c r="J34529" s="711"/>
      <c r="K34529" s="711"/>
      <c r="L34529" s="711"/>
      <c r="Q34529" s="11"/>
      <c r="R34529" s="11"/>
      <c r="S34529" s="11"/>
      <c r="T34529" s="11"/>
    </row>
    <row r="34530" spans="8:20" x14ac:dyDescent="0.35">
      <c r="H34530" s="711"/>
      <c r="I34530" s="711"/>
      <c r="J34530" s="711"/>
      <c r="K34530" s="711"/>
      <c r="L34530" s="711"/>
      <c r="Q34530" s="11"/>
      <c r="R34530" s="11"/>
      <c r="S34530" s="11"/>
      <c r="T34530" s="11"/>
    </row>
    <row r="34531" spans="8:20" x14ac:dyDescent="0.35">
      <c r="H34531" s="711"/>
      <c r="I34531" s="711"/>
      <c r="J34531" s="711"/>
      <c r="K34531" s="711"/>
      <c r="L34531" s="711"/>
      <c r="Q34531" s="11"/>
      <c r="R34531" s="11"/>
      <c r="S34531" s="11"/>
      <c r="T34531" s="11"/>
    </row>
    <row r="34532" spans="8:20" x14ac:dyDescent="0.35">
      <c r="H34532" s="711"/>
      <c r="I34532" s="711"/>
      <c r="J34532" s="711"/>
      <c r="K34532" s="711"/>
      <c r="L34532" s="711"/>
      <c r="Q34532" s="11"/>
      <c r="R34532" s="11"/>
      <c r="S34532" s="11"/>
      <c r="T34532" s="11"/>
    </row>
    <row r="34533" spans="8:20" x14ac:dyDescent="0.35">
      <c r="H34533" s="711"/>
      <c r="I34533" s="711"/>
      <c r="J34533" s="711"/>
      <c r="K34533" s="711"/>
      <c r="L34533" s="711"/>
      <c r="Q34533" s="11"/>
      <c r="R34533" s="11"/>
      <c r="S34533" s="11"/>
      <c r="T34533" s="11"/>
    </row>
    <row r="34534" spans="8:20" x14ac:dyDescent="0.35">
      <c r="H34534" s="711"/>
      <c r="I34534" s="711"/>
      <c r="J34534" s="711"/>
      <c r="K34534" s="711"/>
      <c r="L34534" s="711"/>
      <c r="Q34534" s="11"/>
      <c r="R34534" s="11"/>
      <c r="S34534" s="11"/>
      <c r="T34534" s="11"/>
    </row>
    <row r="34535" spans="8:20" x14ac:dyDescent="0.35">
      <c r="H34535" s="711"/>
      <c r="I34535" s="711"/>
      <c r="J34535" s="711"/>
      <c r="K34535" s="711"/>
      <c r="L34535" s="711"/>
      <c r="Q34535" s="11"/>
      <c r="R34535" s="11"/>
      <c r="S34535" s="11"/>
      <c r="T34535" s="11"/>
    </row>
    <row r="34536" spans="8:20" x14ac:dyDescent="0.35">
      <c r="H34536" s="711"/>
      <c r="I34536" s="711"/>
      <c r="J34536" s="711"/>
      <c r="K34536" s="711"/>
      <c r="L34536" s="711"/>
      <c r="Q34536" s="11"/>
      <c r="R34536" s="11"/>
      <c r="S34536" s="11"/>
      <c r="T34536" s="11"/>
    </row>
    <row r="34537" spans="8:20" x14ac:dyDescent="0.35">
      <c r="H34537" s="711"/>
      <c r="I34537" s="711"/>
      <c r="J34537" s="711"/>
      <c r="K34537" s="711"/>
      <c r="L34537" s="711"/>
      <c r="Q34537" s="11"/>
      <c r="R34537" s="11"/>
      <c r="S34537" s="11"/>
      <c r="T34537" s="11"/>
    </row>
    <row r="34538" spans="8:20" x14ac:dyDescent="0.35">
      <c r="H34538" s="711"/>
      <c r="I34538" s="711"/>
      <c r="J34538" s="711"/>
      <c r="K34538" s="711"/>
      <c r="L34538" s="711"/>
      <c r="Q34538" s="11"/>
      <c r="R34538" s="11"/>
      <c r="S34538" s="11"/>
      <c r="T34538" s="11"/>
    </row>
    <row r="34539" spans="8:20" x14ac:dyDescent="0.35">
      <c r="H34539" s="711"/>
      <c r="I34539" s="711"/>
      <c r="J34539" s="711"/>
      <c r="K34539" s="711"/>
      <c r="L34539" s="711"/>
      <c r="Q34539" s="11"/>
      <c r="R34539" s="11"/>
      <c r="S34539" s="11"/>
      <c r="T34539" s="11"/>
    </row>
    <row r="34540" spans="8:20" x14ac:dyDescent="0.35">
      <c r="H34540" s="711"/>
      <c r="I34540" s="711"/>
      <c r="J34540" s="711"/>
      <c r="K34540" s="711"/>
      <c r="L34540" s="711"/>
      <c r="Q34540" s="11"/>
      <c r="R34540" s="11"/>
      <c r="S34540" s="11"/>
      <c r="T34540" s="11"/>
    </row>
    <row r="34541" spans="8:20" x14ac:dyDescent="0.35">
      <c r="H34541" s="711"/>
      <c r="I34541" s="711"/>
      <c r="J34541" s="711"/>
      <c r="K34541" s="711"/>
      <c r="L34541" s="711"/>
      <c r="Q34541" s="11"/>
      <c r="R34541" s="11"/>
      <c r="S34541" s="11"/>
      <c r="T34541" s="11"/>
    </row>
    <row r="34542" spans="8:20" x14ac:dyDescent="0.35">
      <c r="H34542" s="711"/>
      <c r="I34542" s="711"/>
      <c r="J34542" s="711"/>
      <c r="K34542" s="711"/>
      <c r="L34542" s="711"/>
      <c r="Q34542" s="11"/>
      <c r="R34542" s="11"/>
      <c r="S34542" s="11"/>
      <c r="T34542" s="11"/>
    </row>
    <row r="34543" spans="8:20" x14ac:dyDescent="0.35">
      <c r="H34543" s="711"/>
      <c r="I34543" s="711"/>
      <c r="J34543" s="711"/>
      <c r="K34543" s="711"/>
      <c r="L34543" s="711"/>
      <c r="Q34543" s="11"/>
      <c r="R34543" s="11"/>
      <c r="S34543" s="11"/>
      <c r="T34543" s="11"/>
    </row>
    <row r="34544" spans="8:20" x14ac:dyDescent="0.35">
      <c r="H34544" s="711"/>
      <c r="I34544" s="711"/>
      <c r="J34544" s="711"/>
      <c r="K34544" s="711"/>
      <c r="L34544" s="711"/>
      <c r="Q34544" s="11"/>
      <c r="R34544" s="11"/>
      <c r="S34544" s="11"/>
      <c r="T34544" s="11"/>
    </row>
    <row r="34545" spans="8:20" x14ac:dyDescent="0.35">
      <c r="H34545" s="711"/>
      <c r="I34545" s="711"/>
      <c r="J34545" s="711"/>
      <c r="K34545" s="711"/>
      <c r="L34545" s="711"/>
      <c r="Q34545" s="11"/>
      <c r="R34545" s="11"/>
      <c r="S34545" s="11"/>
      <c r="T34545" s="11"/>
    </row>
    <row r="34546" spans="8:20" x14ac:dyDescent="0.35">
      <c r="H34546" s="711"/>
      <c r="I34546" s="711"/>
      <c r="J34546" s="711"/>
      <c r="K34546" s="711"/>
      <c r="L34546" s="711"/>
      <c r="Q34546" s="11"/>
      <c r="R34546" s="11"/>
      <c r="S34546" s="11"/>
      <c r="T34546" s="11"/>
    </row>
    <row r="34547" spans="8:20" x14ac:dyDescent="0.35">
      <c r="H34547" s="711"/>
      <c r="I34547" s="711"/>
      <c r="J34547" s="711"/>
      <c r="K34547" s="711"/>
      <c r="L34547" s="711"/>
      <c r="Q34547" s="11"/>
      <c r="R34547" s="11"/>
      <c r="S34547" s="11"/>
      <c r="T34547" s="11"/>
    </row>
    <row r="34548" spans="8:20" x14ac:dyDescent="0.35">
      <c r="H34548" s="711"/>
      <c r="I34548" s="711"/>
      <c r="J34548" s="711"/>
      <c r="K34548" s="711"/>
      <c r="L34548" s="711"/>
      <c r="Q34548" s="11"/>
      <c r="R34548" s="11"/>
      <c r="S34548" s="11"/>
      <c r="T34548" s="11"/>
    </row>
    <row r="34549" spans="8:20" x14ac:dyDescent="0.35">
      <c r="H34549" s="711"/>
      <c r="I34549" s="711"/>
      <c r="J34549" s="711"/>
      <c r="K34549" s="711"/>
      <c r="L34549" s="711"/>
      <c r="Q34549" s="11"/>
      <c r="R34549" s="11"/>
      <c r="S34549" s="11"/>
      <c r="T34549" s="11"/>
    </row>
    <row r="34550" spans="8:20" x14ac:dyDescent="0.35">
      <c r="H34550" s="711"/>
      <c r="I34550" s="711"/>
      <c r="J34550" s="711"/>
      <c r="K34550" s="711"/>
      <c r="L34550" s="711"/>
      <c r="Q34550" s="11"/>
      <c r="R34550" s="11"/>
      <c r="S34550" s="11"/>
      <c r="T34550" s="11"/>
    </row>
    <row r="34551" spans="8:20" x14ac:dyDescent="0.35">
      <c r="H34551" s="711"/>
      <c r="I34551" s="711"/>
      <c r="J34551" s="711"/>
      <c r="K34551" s="711"/>
      <c r="L34551" s="711"/>
      <c r="Q34551" s="11"/>
      <c r="R34551" s="11"/>
      <c r="S34551" s="11"/>
      <c r="T34551" s="11"/>
    </row>
    <row r="34552" spans="8:20" x14ac:dyDescent="0.35">
      <c r="H34552" s="711"/>
      <c r="I34552" s="711"/>
      <c r="J34552" s="711"/>
      <c r="K34552" s="711"/>
      <c r="L34552" s="711"/>
      <c r="Q34552" s="11"/>
      <c r="R34552" s="11"/>
      <c r="S34552" s="11"/>
      <c r="T34552" s="11"/>
    </row>
    <row r="34553" spans="8:20" x14ac:dyDescent="0.35">
      <c r="H34553" s="711"/>
      <c r="I34553" s="711"/>
      <c r="J34553" s="711"/>
      <c r="K34553" s="711"/>
      <c r="L34553" s="711"/>
      <c r="Q34553" s="11"/>
      <c r="R34553" s="11"/>
      <c r="S34553" s="11"/>
      <c r="T34553" s="11"/>
    </row>
    <row r="34554" spans="8:20" x14ac:dyDescent="0.35">
      <c r="H34554" s="711"/>
      <c r="I34554" s="711"/>
      <c r="J34554" s="711"/>
      <c r="K34554" s="711"/>
      <c r="L34554" s="711"/>
      <c r="Q34554" s="11"/>
      <c r="R34554" s="11"/>
      <c r="S34554" s="11"/>
      <c r="T34554" s="11"/>
    </row>
    <row r="34555" spans="8:20" x14ac:dyDescent="0.35">
      <c r="H34555" s="711"/>
      <c r="I34555" s="711"/>
      <c r="J34555" s="711"/>
      <c r="K34555" s="711"/>
      <c r="L34555" s="711"/>
      <c r="Q34555" s="11"/>
      <c r="R34555" s="11"/>
      <c r="S34555" s="11"/>
      <c r="T34555" s="11"/>
    </row>
    <row r="34556" spans="8:20" x14ac:dyDescent="0.35">
      <c r="H34556" s="711"/>
      <c r="I34556" s="711"/>
      <c r="J34556" s="711"/>
      <c r="K34556" s="711"/>
      <c r="L34556" s="711"/>
      <c r="Q34556" s="11"/>
      <c r="R34556" s="11"/>
      <c r="S34556" s="11"/>
      <c r="T34556" s="11"/>
    </row>
    <row r="34557" spans="8:20" x14ac:dyDescent="0.35">
      <c r="H34557" s="711"/>
      <c r="I34557" s="711"/>
      <c r="J34557" s="711"/>
      <c r="K34557" s="711"/>
      <c r="L34557" s="711"/>
      <c r="Q34557" s="11"/>
      <c r="R34557" s="11"/>
      <c r="S34557" s="11"/>
      <c r="T34557" s="11"/>
    </row>
    <row r="34558" spans="8:20" x14ac:dyDescent="0.35">
      <c r="H34558" s="711"/>
      <c r="I34558" s="711"/>
      <c r="J34558" s="711"/>
      <c r="K34558" s="711"/>
      <c r="L34558" s="711"/>
      <c r="Q34558" s="11"/>
      <c r="R34558" s="11"/>
      <c r="S34558" s="11"/>
      <c r="T34558" s="11"/>
    </row>
    <row r="34559" spans="8:20" x14ac:dyDescent="0.35">
      <c r="H34559" s="711"/>
      <c r="I34559" s="711"/>
      <c r="J34559" s="711"/>
      <c r="K34559" s="711"/>
      <c r="L34559" s="711"/>
      <c r="Q34559" s="11"/>
      <c r="R34559" s="11"/>
      <c r="S34559" s="11"/>
      <c r="T34559" s="11"/>
    </row>
    <row r="34560" spans="8:20" x14ac:dyDescent="0.35">
      <c r="H34560" s="711"/>
      <c r="I34560" s="711"/>
      <c r="J34560" s="711"/>
      <c r="K34560" s="711"/>
      <c r="L34560" s="711"/>
      <c r="Q34560" s="11"/>
      <c r="R34560" s="11"/>
      <c r="S34560" s="11"/>
      <c r="T34560" s="11"/>
    </row>
    <row r="34561" spans="8:20" x14ac:dyDescent="0.35">
      <c r="H34561" s="711"/>
      <c r="I34561" s="711"/>
      <c r="J34561" s="711"/>
      <c r="K34561" s="711"/>
      <c r="L34561" s="711"/>
      <c r="Q34561" s="11"/>
      <c r="R34561" s="11"/>
      <c r="S34561" s="11"/>
      <c r="T34561" s="11"/>
    </row>
    <row r="34562" spans="8:20" x14ac:dyDescent="0.35">
      <c r="H34562" s="711"/>
      <c r="I34562" s="711"/>
      <c r="J34562" s="711"/>
      <c r="K34562" s="711"/>
      <c r="L34562" s="711"/>
      <c r="Q34562" s="11"/>
      <c r="R34562" s="11"/>
      <c r="S34562" s="11"/>
      <c r="T34562" s="11"/>
    </row>
    <row r="34563" spans="8:20" x14ac:dyDescent="0.35">
      <c r="H34563" s="711"/>
      <c r="I34563" s="711"/>
      <c r="J34563" s="711"/>
      <c r="K34563" s="711"/>
      <c r="L34563" s="711"/>
      <c r="Q34563" s="11"/>
      <c r="R34563" s="11"/>
      <c r="S34563" s="11"/>
      <c r="T34563" s="11"/>
    </row>
    <row r="34564" spans="8:20" x14ac:dyDescent="0.35">
      <c r="H34564" s="711"/>
      <c r="I34564" s="711"/>
      <c r="J34564" s="711"/>
      <c r="K34564" s="711"/>
      <c r="L34564" s="711"/>
      <c r="Q34564" s="11"/>
      <c r="R34564" s="11"/>
      <c r="S34564" s="11"/>
      <c r="T34564" s="11"/>
    </row>
    <row r="34565" spans="8:20" x14ac:dyDescent="0.35">
      <c r="H34565" s="711"/>
      <c r="I34565" s="711"/>
      <c r="J34565" s="711"/>
      <c r="K34565" s="711"/>
      <c r="L34565" s="711"/>
      <c r="Q34565" s="11"/>
      <c r="R34565" s="11"/>
      <c r="S34565" s="11"/>
      <c r="T34565" s="11"/>
    </row>
    <row r="34566" spans="8:20" x14ac:dyDescent="0.35">
      <c r="H34566" s="711"/>
      <c r="I34566" s="711"/>
      <c r="J34566" s="711"/>
      <c r="K34566" s="711"/>
      <c r="L34566" s="711"/>
      <c r="Q34566" s="11"/>
      <c r="R34566" s="11"/>
      <c r="S34566" s="11"/>
      <c r="T34566" s="11"/>
    </row>
    <row r="34567" spans="8:20" x14ac:dyDescent="0.35">
      <c r="H34567" s="711"/>
      <c r="I34567" s="711"/>
      <c r="J34567" s="711"/>
      <c r="K34567" s="711"/>
      <c r="L34567" s="711"/>
      <c r="Q34567" s="11"/>
      <c r="R34567" s="11"/>
      <c r="S34567" s="11"/>
      <c r="T34567" s="11"/>
    </row>
    <row r="34568" spans="8:20" x14ac:dyDescent="0.35">
      <c r="H34568" s="711"/>
      <c r="I34568" s="711"/>
      <c r="J34568" s="711"/>
      <c r="K34568" s="711"/>
      <c r="L34568" s="711"/>
      <c r="Q34568" s="11"/>
      <c r="R34568" s="11"/>
      <c r="S34568" s="11"/>
      <c r="T34568" s="11"/>
    </row>
    <row r="34569" spans="8:20" x14ac:dyDescent="0.35">
      <c r="H34569" s="711"/>
      <c r="I34569" s="711"/>
      <c r="J34569" s="711"/>
      <c r="K34569" s="711"/>
      <c r="L34569" s="711"/>
      <c r="Q34569" s="11"/>
      <c r="R34569" s="11"/>
      <c r="S34569" s="11"/>
      <c r="T34569" s="11"/>
    </row>
    <row r="34570" spans="8:20" x14ac:dyDescent="0.35">
      <c r="H34570" s="711"/>
      <c r="I34570" s="711"/>
      <c r="J34570" s="711"/>
      <c r="K34570" s="711"/>
      <c r="L34570" s="711"/>
      <c r="Q34570" s="11"/>
      <c r="R34570" s="11"/>
      <c r="S34570" s="11"/>
      <c r="T34570" s="11"/>
    </row>
    <row r="34571" spans="8:20" x14ac:dyDescent="0.35">
      <c r="H34571" s="711"/>
      <c r="I34571" s="711"/>
      <c r="J34571" s="711"/>
      <c r="K34571" s="711"/>
      <c r="L34571" s="711"/>
      <c r="Q34571" s="11"/>
      <c r="R34571" s="11"/>
      <c r="S34571" s="11"/>
      <c r="T34571" s="11"/>
    </row>
    <row r="34572" spans="8:20" x14ac:dyDescent="0.35">
      <c r="H34572" s="711"/>
      <c r="I34572" s="711"/>
      <c r="J34572" s="711"/>
      <c r="K34572" s="711"/>
      <c r="L34572" s="711"/>
      <c r="Q34572" s="11"/>
      <c r="R34572" s="11"/>
      <c r="S34572" s="11"/>
      <c r="T34572" s="11"/>
    </row>
    <row r="34573" spans="8:20" x14ac:dyDescent="0.35">
      <c r="H34573" s="711"/>
      <c r="I34573" s="711"/>
      <c r="J34573" s="711"/>
      <c r="K34573" s="711"/>
      <c r="L34573" s="711"/>
      <c r="Q34573" s="11"/>
      <c r="R34573" s="11"/>
      <c r="S34573" s="11"/>
      <c r="T34573" s="11"/>
    </row>
    <row r="34574" spans="8:20" x14ac:dyDescent="0.35">
      <c r="H34574" s="711"/>
      <c r="I34574" s="711"/>
      <c r="J34574" s="711"/>
      <c r="K34574" s="711"/>
      <c r="L34574" s="711"/>
      <c r="Q34574" s="11"/>
      <c r="R34574" s="11"/>
      <c r="S34574" s="11"/>
      <c r="T34574" s="11"/>
    </row>
    <row r="34575" spans="8:20" x14ac:dyDescent="0.35">
      <c r="H34575" s="711"/>
      <c r="I34575" s="711"/>
      <c r="J34575" s="711"/>
      <c r="K34575" s="711"/>
      <c r="L34575" s="711"/>
      <c r="Q34575" s="11"/>
      <c r="R34575" s="11"/>
      <c r="S34575" s="11"/>
      <c r="T34575" s="11"/>
    </row>
    <row r="34576" spans="8:20" x14ac:dyDescent="0.35">
      <c r="H34576" s="711"/>
      <c r="I34576" s="711"/>
      <c r="J34576" s="711"/>
      <c r="K34576" s="711"/>
      <c r="L34576" s="711"/>
      <c r="Q34576" s="11"/>
      <c r="R34576" s="11"/>
      <c r="S34576" s="11"/>
      <c r="T34576" s="11"/>
    </row>
    <row r="34577" spans="8:20" x14ac:dyDescent="0.35">
      <c r="H34577" s="711"/>
      <c r="I34577" s="711"/>
      <c r="J34577" s="711"/>
      <c r="K34577" s="711"/>
      <c r="L34577" s="711"/>
      <c r="Q34577" s="11"/>
      <c r="R34577" s="11"/>
      <c r="S34577" s="11"/>
      <c r="T34577" s="11"/>
    </row>
    <row r="34578" spans="8:20" x14ac:dyDescent="0.35">
      <c r="H34578" s="711"/>
      <c r="I34578" s="711"/>
      <c r="J34578" s="711"/>
      <c r="K34578" s="711"/>
      <c r="L34578" s="711"/>
      <c r="Q34578" s="11"/>
      <c r="R34578" s="11"/>
      <c r="S34578" s="11"/>
      <c r="T34578" s="11"/>
    </row>
    <row r="34579" spans="8:20" x14ac:dyDescent="0.35">
      <c r="H34579" s="711"/>
      <c r="I34579" s="711"/>
      <c r="J34579" s="711"/>
      <c r="K34579" s="711"/>
      <c r="L34579" s="711"/>
      <c r="Q34579" s="11"/>
      <c r="R34579" s="11"/>
      <c r="S34579" s="11"/>
      <c r="T34579" s="11"/>
    </row>
    <row r="34580" spans="8:20" x14ac:dyDescent="0.35">
      <c r="H34580" s="711"/>
      <c r="I34580" s="711"/>
      <c r="J34580" s="711"/>
      <c r="K34580" s="711"/>
      <c r="L34580" s="711"/>
      <c r="Q34580" s="11"/>
      <c r="R34580" s="11"/>
      <c r="S34580" s="11"/>
      <c r="T34580" s="11"/>
    </row>
    <row r="34581" spans="8:20" x14ac:dyDescent="0.35">
      <c r="H34581" s="711"/>
      <c r="I34581" s="711"/>
      <c r="J34581" s="711"/>
      <c r="K34581" s="711"/>
      <c r="L34581" s="711"/>
      <c r="Q34581" s="11"/>
      <c r="R34581" s="11"/>
      <c r="S34581" s="11"/>
      <c r="T34581" s="11"/>
    </row>
    <row r="34582" spans="8:20" x14ac:dyDescent="0.35">
      <c r="H34582" s="711"/>
      <c r="I34582" s="711"/>
      <c r="J34582" s="711"/>
      <c r="K34582" s="711"/>
      <c r="L34582" s="711"/>
      <c r="Q34582" s="11"/>
      <c r="R34582" s="11"/>
      <c r="S34582" s="11"/>
      <c r="T34582" s="11"/>
    </row>
    <row r="34583" spans="8:20" x14ac:dyDescent="0.35">
      <c r="H34583" s="711"/>
      <c r="I34583" s="711"/>
      <c r="J34583" s="711"/>
      <c r="K34583" s="711"/>
      <c r="L34583" s="711"/>
      <c r="Q34583" s="11"/>
      <c r="R34583" s="11"/>
      <c r="S34583" s="11"/>
      <c r="T34583" s="11"/>
    </row>
    <row r="34584" spans="8:20" x14ac:dyDescent="0.35">
      <c r="H34584" s="711"/>
      <c r="I34584" s="711"/>
      <c r="J34584" s="711"/>
      <c r="K34584" s="711"/>
      <c r="L34584" s="711"/>
      <c r="Q34584" s="11"/>
      <c r="R34584" s="11"/>
      <c r="S34584" s="11"/>
      <c r="T34584" s="11"/>
    </row>
    <row r="34585" spans="8:20" x14ac:dyDescent="0.35">
      <c r="H34585" s="711"/>
      <c r="I34585" s="711"/>
      <c r="J34585" s="711"/>
      <c r="K34585" s="711"/>
      <c r="L34585" s="711"/>
      <c r="Q34585" s="11"/>
      <c r="R34585" s="11"/>
      <c r="S34585" s="11"/>
      <c r="T34585" s="11"/>
    </row>
    <row r="34586" spans="8:20" x14ac:dyDescent="0.35">
      <c r="H34586" s="711"/>
      <c r="I34586" s="711"/>
      <c r="J34586" s="711"/>
      <c r="K34586" s="711"/>
      <c r="L34586" s="711"/>
      <c r="Q34586" s="11"/>
      <c r="R34586" s="11"/>
      <c r="S34586" s="11"/>
      <c r="T34586" s="11"/>
    </row>
    <row r="34587" spans="8:20" x14ac:dyDescent="0.35">
      <c r="H34587" s="711"/>
      <c r="I34587" s="711"/>
      <c r="J34587" s="711"/>
      <c r="K34587" s="711"/>
      <c r="L34587" s="711"/>
      <c r="Q34587" s="11"/>
      <c r="R34587" s="11"/>
      <c r="S34587" s="11"/>
      <c r="T34587" s="11"/>
    </row>
    <row r="34588" spans="8:20" x14ac:dyDescent="0.35">
      <c r="H34588" s="711"/>
      <c r="I34588" s="711"/>
      <c r="J34588" s="711"/>
      <c r="K34588" s="711"/>
      <c r="L34588" s="711"/>
      <c r="Q34588" s="11"/>
      <c r="R34588" s="11"/>
      <c r="S34588" s="11"/>
      <c r="T34588" s="11"/>
    </row>
    <row r="34589" spans="8:20" x14ac:dyDescent="0.35">
      <c r="H34589" s="711"/>
      <c r="I34589" s="711"/>
      <c r="J34589" s="711"/>
      <c r="K34589" s="711"/>
      <c r="L34589" s="711"/>
      <c r="Q34589" s="11"/>
      <c r="R34589" s="11"/>
      <c r="S34589" s="11"/>
      <c r="T34589" s="11"/>
    </row>
    <row r="34590" spans="8:20" x14ac:dyDescent="0.35">
      <c r="H34590" s="711"/>
      <c r="I34590" s="711"/>
      <c r="J34590" s="711"/>
      <c r="K34590" s="711"/>
      <c r="L34590" s="711"/>
      <c r="Q34590" s="11"/>
      <c r="R34590" s="11"/>
      <c r="S34590" s="11"/>
      <c r="T34590" s="11"/>
    </row>
    <row r="34591" spans="8:20" x14ac:dyDescent="0.35">
      <c r="H34591" s="711"/>
      <c r="I34591" s="711"/>
      <c r="J34591" s="711"/>
      <c r="K34591" s="711"/>
      <c r="L34591" s="711"/>
      <c r="Q34591" s="11"/>
      <c r="R34591" s="11"/>
      <c r="S34591" s="11"/>
      <c r="T34591" s="11"/>
    </row>
    <row r="34592" spans="8:20" x14ac:dyDescent="0.35">
      <c r="H34592" s="711"/>
      <c r="I34592" s="711"/>
      <c r="J34592" s="711"/>
      <c r="K34592" s="711"/>
      <c r="L34592" s="711"/>
      <c r="Q34592" s="11"/>
      <c r="R34592" s="11"/>
      <c r="S34592" s="11"/>
      <c r="T34592" s="11"/>
    </row>
    <row r="34593" spans="8:20" x14ac:dyDescent="0.35">
      <c r="H34593" s="711"/>
      <c r="I34593" s="711"/>
      <c r="J34593" s="711"/>
      <c r="K34593" s="711"/>
      <c r="L34593" s="711"/>
      <c r="Q34593" s="11"/>
      <c r="R34593" s="11"/>
      <c r="S34593" s="11"/>
      <c r="T34593" s="11"/>
    </row>
    <row r="34594" spans="8:20" x14ac:dyDescent="0.35">
      <c r="H34594" s="711"/>
      <c r="I34594" s="711"/>
      <c r="J34594" s="711"/>
      <c r="K34594" s="711"/>
      <c r="L34594" s="711"/>
      <c r="Q34594" s="11"/>
      <c r="R34594" s="11"/>
      <c r="S34594" s="11"/>
      <c r="T34594" s="11"/>
    </row>
    <row r="34595" spans="8:20" x14ac:dyDescent="0.35">
      <c r="H34595" s="711"/>
      <c r="I34595" s="711"/>
      <c r="J34595" s="711"/>
      <c r="K34595" s="711"/>
      <c r="L34595" s="711"/>
      <c r="Q34595" s="11"/>
      <c r="R34595" s="11"/>
      <c r="S34595" s="11"/>
      <c r="T34595" s="11"/>
    </row>
    <row r="34596" spans="8:20" x14ac:dyDescent="0.35">
      <c r="H34596" s="711"/>
      <c r="I34596" s="711"/>
      <c r="J34596" s="711"/>
      <c r="K34596" s="711"/>
      <c r="L34596" s="711"/>
      <c r="Q34596" s="11"/>
      <c r="R34596" s="11"/>
      <c r="S34596" s="11"/>
      <c r="T34596" s="11"/>
    </row>
    <row r="34597" spans="8:20" x14ac:dyDescent="0.35">
      <c r="H34597" s="711"/>
      <c r="I34597" s="711"/>
      <c r="J34597" s="711"/>
      <c r="K34597" s="711"/>
      <c r="L34597" s="711"/>
      <c r="Q34597" s="11"/>
      <c r="R34597" s="11"/>
      <c r="S34597" s="11"/>
      <c r="T34597" s="11"/>
    </row>
    <row r="34598" spans="8:20" x14ac:dyDescent="0.35">
      <c r="H34598" s="711"/>
      <c r="I34598" s="711"/>
      <c r="J34598" s="711"/>
      <c r="K34598" s="711"/>
      <c r="L34598" s="711"/>
      <c r="Q34598" s="11"/>
      <c r="R34598" s="11"/>
      <c r="S34598" s="11"/>
      <c r="T34598" s="11"/>
    </row>
    <row r="34599" spans="8:20" x14ac:dyDescent="0.35">
      <c r="H34599" s="711"/>
      <c r="I34599" s="711"/>
      <c r="J34599" s="711"/>
      <c r="K34599" s="711"/>
      <c r="L34599" s="711"/>
      <c r="Q34599" s="11"/>
      <c r="R34599" s="11"/>
      <c r="S34599" s="11"/>
      <c r="T34599" s="11"/>
    </row>
    <row r="34600" spans="8:20" x14ac:dyDescent="0.35">
      <c r="H34600" s="711"/>
      <c r="I34600" s="711"/>
      <c r="J34600" s="711"/>
      <c r="K34600" s="711"/>
      <c r="L34600" s="711"/>
      <c r="Q34600" s="11"/>
      <c r="R34600" s="11"/>
      <c r="S34600" s="11"/>
      <c r="T34600" s="11"/>
    </row>
    <row r="34601" spans="8:20" x14ac:dyDescent="0.35">
      <c r="H34601" s="711"/>
      <c r="I34601" s="711"/>
      <c r="J34601" s="711"/>
      <c r="K34601" s="711"/>
      <c r="L34601" s="711"/>
      <c r="Q34601" s="11"/>
      <c r="R34601" s="11"/>
      <c r="S34601" s="11"/>
      <c r="T34601" s="11"/>
    </row>
    <row r="34602" spans="8:20" x14ac:dyDescent="0.35">
      <c r="H34602" s="711"/>
      <c r="I34602" s="711"/>
      <c r="J34602" s="711"/>
      <c r="K34602" s="711"/>
      <c r="L34602" s="711"/>
      <c r="Q34602" s="11"/>
      <c r="R34602" s="11"/>
      <c r="S34602" s="11"/>
      <c r="T34602" s="11"/>
    </row>
    <row r="34603" spans="8:20" x14ac:dyDescent="0.35">
      <c r="H34603" s="711"/>
      <c r="I34603" s="711"/>
      <c r="J34603" s="711"/>
      <c r="K34603" s="711"/>
      <c r="L34603" s="711"/>
      <c r="Q34603" s="11"/>
      <c r="R34603" s="11"/>
      <c r="S34603" s="11"/>
      <c r="T34603" s="11"/>
    </row>
    <row r="34604" spans="8:20" x14ac:dyDescent="0.35">
      <c r="H34604" s="711"/>
      <c r="I34604" s="711"/>
      <c r="J34604" s="711"/>
      <c r="K34604" s="711"/>
      <c r="L34604" s="711"/>
      <c r="Q34604" s="11"/>
      <c r="R34604" s="11"/>
      <c r="S34604" s="11"/>
      <c r="T34604" s="11"/>
    </row>
    <row r="34605" spans="8:20" x14ac:dyDescent="0.35">
      <c r="H34605" s="711"/>
      <c r="I34605" s="711"/>
      <c r="J34605" s="711"/>
      <c r="K34605" s="711"/>
      <c r="L34605" s="711"/>
      <c r="Q34605" s="11"/>
      <c r="R34605" s="11"/>
      <c r="S34605" s="11"/>
      <c r="T34605" s="11"/>
    </row>
    <row r="34606" spans="8:20" x14ac:dyDescent="0.35">
      <c r="H34606" s="711"/>
      <c r="I34606" s="711"/>
      <c r="J34606" s="711"/>
      <c r="K34606" s="711"/>
      <c r="L34606" s="711"/>
      <c r="Q34606" s="11"/>
      <c r="R34606" s="11"/>
      <c r="S34606" s="11"/>
      <c r="T34606" s="11"/>
    </row>
    <row r="34607" spans="8:20" x14ac:dyDescent="0.35">
      <c r="H34607" s="711"/>
      <c r="I34607" s="711"/>
      <c r="J34607" s="711"/>
      <c r="K34607" s="711"/>
      <c r="L34607" s="711"/>
      <c r="Q34607" s="11"/>
      <c r="R34607" s="11"/>
      <c r="S34607" s="11"/>
      <c r="T34607" s="11"/>
    </row>
    <row r="34608" spans="8:20" x14ac:dyDescent="0.35">
      <c r="H34608" s="711"/>
      <c r="I34608" s="711"/>
      <c r="J34608" s="711"/>
      <c r="K34608" s="711"/>
      <c r="L34608" s="711"/>
      <c r="Q34608" s="11"/>
      <c r="R34608" s="11"/>
      <c r="S34608" s="11"/>
      <c r="T34608" s="11"/>
    </row>
    <row r="34609" spans="8:20" x14ac:dyDescent="0.35">
      <c r="H34609" s="711"/>
      <c r="I34609" s="711"/>
      <c r="J34609" s="711"/>
      <c r="K34609" s="711"/>
      <c r="L34609" s="711"/>
      <c r="Q34609" s="11"/>
      <c r="R34609" s="11"/>
      <c r="S34609" s="11"/>
      <c r="T34609" s="11"/>
    </row>
    <row r="34610" spans="8:20" x14ac:dyDescent="0.35">
      <c r="H34610" s="711"/>
      <c r="I34610" s="711"/>
      <c r="J34610" s="711"/>
      <c r="K34610" s="711"/>
      <c r="L34610" s="711"/>
      <c r="Q34610" s="11"/>
      <c r="R34610" s="11"/>
      <c r="S34610" s="11"/>
      <c r="T34610" s="11"/>
    </row>
    <row r="34611" spans="8:20" x14ac:dyDescent="0.35">
      <c r="H34611" s="711"/>
      <c r="I34611" s="711"/>
      <c r="J34611" s="711"/>
      <c r="K34611" s="711"/>
      <c r="L34611" s="711"/>
      <c r="Q34611" s="11"/>
      <c r="R34611" s="11"/>
      <c r="S34611" s="11"/>
      <c r="T34611" s="11"/>
    </row>
    <row r="34612" spans="8:20" x14ac:dyDescent="0.35">
      <c r="H34612" s="711"/>
      <c r="I34612" s="711"/>
      <c r="J34612" s="711"/>
      <c r="K34612" s="711"/>
      <c r="L34612" s="711"/>
      <c r="Q34612" s="11"/>
      <c r="R34612" s="11"/>
      <c r="S34612" s="11"/>
      <c r="T34612" s="11"/>
    </row>
    <row r="34613" spans="8:20" x14ac:dyDescent="0.35">
      <c r="H34613" s="711"/>
      <c r="I34613" s="711"/>
      <c r="J34613" s="711"/>
      <c r="K34613" s="711"/>
      <c r="L34613" s="711"/>
      <c r="Q34613" s="11"/>
      <c r="R34613" s="11"/>
      <c r="S34613" s="11"/>
      <c r="T34613" s="11"/>
    </row>
    <row r="34614" spans="8:20" x14ac:dyDescent="0.35">
      <c r="H34614" s="711"/>
      <c r="I34614" s="711"/>
      <c r="J34614" s="711"/>
      <c r="K34614" s="711"/>
      <c r="L34614" s="711"/>
      <c r="Q34614" s="11"/>
      <c r="R34614" s="11"/>
      <c r="S34614" s="11"/>
      <c r="T34614" s="11"/>
    </row>
    <row r="34615" spans="8:20" x14ac:dyDescent="0.35">
      <c r="H34615" s="711"/>
      <c r="I34615" s="711"/>
      <c r="J34615" s="711"/>
      <c r="K34615" s="711"/>
      <c r="L34615" s="711"/>
      <c r="Q34615" s="11"/>
      <c r="R34615" s="11"/>
      <c r="S34615" s="11"/>
      <c r="T34615" s="11"/>
    </row>
    <row r="34616" spans="8:20" x14ac:dyDescent="0.35">
      <c r="H34616" s="711"/>
      <c r="I34616" s="711"/>
      <c r="J34616" s="711"/>
      <c r="K34616" s="711"/>
      <c r="L34616" s="711"/>
      <c r="Q34616" s="11"/>
      <c r="R34616" s="11"/>
      <c r="S34616" s="11"/>
      <c r="T34616" s="11"/>
    </row>
    <row r="34617" spans="8:20" x14ac:dyDescent="0.35">
      <c r="H34617" s="711"/>
      <c r="I34617" s="711"/>
      <c r="J34617" s="711"/>
      <c r="K34617" s="711"/>
      <c r="L34617" s="711"/>
      <c r="Q34617" s="11"/>
      <c r="R34617" s="11"/>
      <c r="S34617" s="11"/>
      <c r="T34617" s="11"/>
    </row>
    <row r="34618" spans="8:20" x14ac:dyDescent="0.35">
      <c r="H34618" s="711"/>
      <c r="I34618" s="711"/>
      <c r="J34618" s="711"/>
      <c r="K34618" s="711"/>
      <c r="L34618" s="711"/>
      <c r="Q34618" s="11"/>
      <c r="R34618" s="11"/>
      <c r="S34618" s="11"/>
      <c r="T34618" s="11"/>
    </row>
    <row r="34619" spans="8:20" x14ac:dyDescent="0.35">
      <c r="H34619" s="711"/>
      <c r="I34619" s="711"/>
      <c r="J34619" s="711"/>
      <c r="K34619" s="711"/>
      <c r="L34619" s="711"/>
      <c r="Q34619" s="11"/>
      <c r="R34619" s="11"/>
      <c r="S34619" s="11"/>
      <c r="T34619" s="11"/>
    </row>
    <row r="34620" spans="8:20" x14ac:dyDescent="0.35">
      <c r="H34620" s="711"/>
      <c r="I34620" s="711"/>
      <c r="J34620" s="711"/>
      <c r="K34620" s="711"/>
      <c r="L34620" s="711"/>
      <c r="Q34620" s="11"/>
      <c r="R34620" s="11"/>
      <c r="S34620" s="11"/>
      <c r="T34620" s="11"/>
    </row>
    <row r="34621" spans="8:20" x14ac:dyDescent="0.35">
      <c r="H34621" s="711"/>
      <c r="I34621" s="711"/>
      <c r="J34621" s="711"/>
      <c r="K34621" s="711"/>
      <c r="L34621" s="711"/>
      <c r="Q34621" s="11"/>
      <c r="R34621" s="11"/>
      <c r="S34621" s="11"/>
      <c r="T34621" s="11"/>
    </row>
    <row r="34622" spans="8:20" x14ac:dyDescent="0.35">
      <c r="H34622" s="711"/>
      <c r="I34622" s="711"/>
      <c r="J34622" s="711"/>
      <c r="K34622" s="711"/>
      <c r="L34622" s="711"/>
      <c r="Q34622" s="11"/>
      <c r="R34622" s="11"/>
      <c r="S34622" s="11"/>
      <c r="T34622" s="11"/>
    </row>
    <row r="34623" spans="8:20" x14ac:dyDescent="0.35">
      <c r="H34623" s="711"/>
      <c r="I34623" s="711"/>
      <c r="J34623" s="711"/>
      <c r="K34623" s="711"/>
      <c r="L34623" s="711"/>
      <c r="Q34623" s="11"/>
      <c r="R34623" s="11"/>
      <c r="S34623" s="11"/>
      <c r="T34623" s="11"/>
    </row>
    <row r="34624" spans="8:20" x14ac:dyDescent="0.35">
      <c r="H34624" s="711"/>
      <c r="I34624" s="711"/>
      <c r="J34624" s="711"/>
      <c r="K34624" s="711"/>
      <c r="L34624" s="711"/>
      <c r="Q34624" s="11"/>
      <c r="R34624" s="11"/>
      <c r="S34624" s="11"/>
      <c r="T34624" s="11"/>
    </row>
    <row r="34625" spans="8:20" x14ac:dyDescent="0.35">
      <c r="H34625" s="711"/>
      <c r="I34625" s="711"/>
      <c r="J34625" s="711"/>
      <c r="K34625" s="711"/>
      <c r="L34625" s="711"/>
      <c r="Q34625" s="11"/>
      <c r="R34625" s="11"/>
      <c r="S34625" s="11"/>
      <c r="T34625" s="11"/>
    </row>
    <row r="34626" spans="8:20" x14ac:dyDescent="0.35">
      <c r="H34626" s="711"/>
      <c r="I34626" s="711"/>
      <c r="J34626" s="711"/>
      <c r="K34626" s="711"/>
      <c r="L34626" s="711"/>
      <c r="Q34626" s="11"/>
      <c r="R34626" s="11"/>
      <c r="S34626" s="11"/>
      <c r="T34626" s="11"/>
    </row>
    <row r="34627" spans="8:20" x14ac:dyDescent="0.35">
      <c r="H34627" s="711"/>
      <c r="I34627" s="711"/>
      <c r="J34627" s="711"/>
      <c r="K34627" s="711"/>
      <c r="L34627" s="711"/>
      <c r="Q34627" s="11"/>
      <c r="R34627" s="11"/>
      <c r="S34627" s="11"/>
      <c r="T34627" s="11"/>
    </row>
    <row r="34628" spans="8:20" x14ac:dyDescent="0.35">
      <c r="H34628" s="711"/>
      <c r="I34628" s="711"/>
      <c r="J34628" s="711"/>
      <c r="K34628" s="711"/>
      <c r="L34628" s="711"/>
      <c r="Q34628" s="11"/>
      <c r="R34628" s="11"/>
      <c r="S34628" s="11"/>
      <c r="T34628" s="11"/>
    </row>
    <row r="34629" spans="8:20" x14ac:dyDescent="0.35">
      <c r="H34629" s="711"/>
      <c r="I34629" s="711"/>
      <c r="J34629" s="711"/>
      <c r="K34629" s="711"/>
      <c r="L34629" s="711"/>
      <c r="Q34629" s="11"/>
      <c r="R34629" s="11"/>
      <c r="S34629" s="11"/>
      <c r="T34629" s="11"/>
    </row>
    <row r="34630" spans="8:20" x14ac:dyDescent="0.35">
      <c r="H34630" s="711"/>
      <c r="I34630" s="711"/>
      <c r="J34630" s="711"/>
      <c r="K34630" s="711"/>
      <c r="L34630" s="711"/>
      <c r="Q34630" s="11"/>
      <c r="R34630" s="11"/>
      <c r="S34630" s="11"/>
      <c r="T34630" s="11"/>
    </row>
    <row r="34631" spans="8:20" x14ac:dyDescent="0.35">
      <c r="H34631" s="711"/>
      <c r="I34631" s="711"/>
      <c r="J34631" s="711"/>
      <c r="K34631" s="711"/>
      <c r="L34631" s="711"/>
      <c r="Q34631" s="11"/>
      <c r="R34631" s="11"/>
      <c r="S34631" s="11"/>
      <c r="T34631" s="11"/>
    </row>
    <row r="34632" spans="8:20" x14ac:dyDescent="0.35">
      <c r="H34632" s="711"/>
      <c r="I34632" s="711"/>
      <c r="J34632" s="711"/>
      <c r="K34632" s="711"/>
      <c r="L34632" s="711"/>
      <c r="Q34632" s="11"/>
      <c r="R34632" s="11"/>
      <c r="S34632" s="11"/>
      <c r="T34632" s="11"/>
    </row>
    <row r="34633" spans="8:20" x14ac:dyDescent="0.35">
      <c r="H34633" s="711"/>
      <c r="I34633" s="711"/>
      <c r="J34633" s="711"/>
      <c r="K34633" s="711"/>
      <c r="L34633" s="711"/>
      <c r="Q34633" s="11"/>
      <c r="R34633" s="11"/>
      <c r="S34633" s="11"/>
      <c r="T34633" s="11"/>
    </row>
    <row r="34634" spans="8:20" x14ac:dyDescent="0.35">
      <c r="H34634" s="711"/>
      <c r="I34634" s="711"/>
      <c r="J34634" s="711"/>
      <c r="K34634" s="711"/>
      <c r="L34634" s="711"/>
      <c r="Q34634" s="11"/>
      <c r="R34634" s="11"/>
      <c r="S34634" s="11"/>
      <c r="T34634" s="11"/>
    </row>
    <row r="34635" spans="8:20" x14ac:dyDescent="0.35">
      <c r="H34635" s="711"/>
      <c r="I34635" s="711"/>
      <c r="J34635" s="711"/>
      <c r="K34635" s="711"/>
      <c r="L34635" s="711"/>
      <c r="Q34635" s="11"/>
      <c r="R34635" s="11"/>
      <c r="S34635" s="11"/>
      <c r="T34635" s="11"/>
    </row>
    <row r="34636" spans="8:20" x14ac:dyDescent="0.35">
      <c r="H34636" s="711"/>
      <c r="I34636" s="711"/>
      <c r="J34636" s="711"/>
      <c r="K34636" s="711"/>
      <c r="L34636" s="711"/>
      <c r="Q34636" s="11"/>
      <c r="R34636" s="11"/>
      <c r="S34636" s="11"/>
      <c r="T34636" s="11"/>
    </row>
    <row r="34637" spans="8:20" x14ac:dyDescent="0.35">
      <c r="H34637" s="711"/>
      <c r="I34637" s="711"/>
      <c r="J34637" s="711"/>
      <c r="K34637" s="711"/>
      <c r="L34637" s="711"/>
      <c r="Q34637" s="11"/>
      <c r="R34637" s="11"/>
      <c r="S34637" s="11"/>
      <c r="T34637" s="11"/>
    </row>
    <row r="34638" spans="8:20" x14ac:dyDescent="0.35">
      <c r="H34638" s="711"/>
      <c r="I34638" s="711"/>
      <c r="J34638" s="711"/>
      <c r="K34638" s="711"/>
      <c r="L34638" s="711"/>
      <c r="Q34638" s="11"/>
      <c r="R34638" s="11"/>
      <c r="S34638" s="11"/>
      <c r="T34638" s="11"/>
    </row>
    <row r="34639" spans="8:20" x14ac:dyDescent="0.35">
      <c r="H34639" s="711"/>
      <c r="I34639" s="711"/>
      <c r="J34639" s="711"/>
      <c r="K34639" s="711"/>
      <c r="L34639" s="711"/>
      <c r="Q34639" s="11"/>
      <c r="R34639" s="11"/>
      <c r="S34639" s="11"/>
      <c r="T34639" s="11"/>
    </row>
    <row r="34640" spans="8:20" x14ac:dyDescent="0.35">
      <c r="H34640" s="711"/>
      <c r="I34640" s="711"/>
      <c r="J34640" s="711"/>
      <c r="K34640" s="711"/>
      <c r="L34640" s="711"/>
      <c r="Q34640" s="11"/>
      <c r="R34640" s="11"/>
      <c r="S34640" s="11"/>
      <c r="T34640" s="11"/>
    </row>
    <row r="34641" spans="8:20" x14ac:dyDescent="0.35">
      <c r="H34641" s="711"/>
      <c r="I34641" s="711"/>
      <c r="J34641" s="711"/>
      <c r="K34641" s="711"/>
      <c r="L34641" s="711"/>
      <c r="Q34641" s="11"/>
      <c r="R34641" s="11"/>
      <c r="S34641" s="11"/>
      <c r="T34641" s="11"/>
    </row>
    <row r="34642" spans="8:20" x14ac:dyDescent="0.35">
      <c r="H34642" s="711"/>
      <c r="I34642" s="711"/>
      <c r="J34642" s="711"/>
      <c r="K34642" s="711"/>
      <c r="L34642" s="711"/>
      <c r="Q34642" s="11"/>
      <c r="R34642" s="11"/>
      <c r="S34642" s="11"/>
      <c r="T34642" s="11"/>
    </row>
    <row r="34643" spans="8:20" x14ac:dyDescent="0.35">
      <c r="H34643" s="711"/>
      <c r="I34643" s="711"/>
      <c r="J34643" s="711"/>
      <c r="K34643" s="711"/>
      <c r="L34643" s="711"/>
      <c r="Q34643" s="11"/>
      <c r="R34643" s="11"/>
      <c r="S34643" s="11"/>
      <c r="T34643" s="11"/>
    </row>
    <row r="34644" spans="8:20" x14ac:dyDescent="0.35">
      <c r="H34644" s="711"/>
      <c r="I34644" s="711"/>
      <c r="J34644" s="711"/>
      <c r="K34644" s="711"/>
      <c r="L34644" s="711"/>
      <c r="Q34644" s="11"/>
      <c r="R34644" s="11"/>
      <c r="S34644" s="11"/>
      <c r="T34644" s="11"/>
    </row>
    <row r="34645" spans="8:20" x14ac:dyDescent="0.35">
      <c r="H34645" s="711"/>
      <c r="I34645" s="711"/>
      <c r="J34645" s="711"/>
      <c r="K34645" s="711"/>
      <c r="L34645" s="711"/>
      <c r="Q34645" s="11"/>
      <c r="R34645" s="11"/>
      <c r="S34645" s="11"/>
      <c r="T34645" s="11"/>
    </row>
    <row r="34646" spans="8:20" x14ac:dyDescent="0.35">
      <c r="H34646" s="711"/>
      <c r="I34646" s="711"/>
      <c r="J34646" s="711"/>
      <c r="K34646" s="711"/>
      <c r="L34646" s="711"/>
      <c r="Q34646" s="11"/>
      <c r="R34646" s="11"/>
      <c r="S34646" s="11"/>
      <c r="T34646" s="11"/>
    </row>
    <row r="34647" spans="8:20" x14ac:dyDescent="0.35">
      <c r="H34647" s="711"/>
      <c r="I34647" s="711"/>
      <c r="J34647" s="711"/>
      <c r="K34647" s="711"/>
      <c r="L34647" s="711"/>
      <c r="Q34647" s="11"/>
      <c r="R34647" s="11"/>
      <c r="S34647" s="11"/>
      <c r="T34647" s="11"/>
    </row>
    <row r="34648" spans="8:20" x14ac:dyDescent="0.35">
      <c r="H34648" s="711"/>
      <c r="I34648" s="711"/>
      <c r="J34648" s="711"/>
      <c r="K34648" s="711"/>
      <c r="L34648" s="711"/>
      <c r="Q34648" s="11"/>
      <c r="R34648" s="11"/>
      <c r="S34648" s="11"/>
      <c r="T34648" s="11"/>
    </row>
    <row r="34649" spans="8:20" x14ac:dyDescent="0.35">
      <c r="H34649" s="711"/>
      <c r="I34649" s="711"/>
      <c r="J34649" s="711"/>
      <c r="K34649" s="711"/>
      <c r="L34649" s="711"/>
      <c r="Q34649" s="11"/>
      <c r="R34649" s="11"/>
      <c r="S34649" s="11"/>
      <c r="T34649" s="11"/>
    </row>
    <row r="34650" spans="8:20" x14ac:dyDescent="0.35">
      <c r="H34650" s="711"/>
      <c r="I34650" s="711"/>
      <c r="J34650" s="711"/>
      <c r="K34650" s="711"/>
      <c r="L34650" s="711"/>
      <c r="Q34650" s="11"/>
      <c r="R34650" s="11"/>
      <c r="S34650" s="11"/>
      <c r="T34650" s="11"/>
    </row>
    <row r="34651" spans="8:20" x14ac:dyDescent="0.35">
      <c r="H34651" s="711"/>
      <c r="I34651" s="711"/>
      <c r="J34651" s="711"/>
      <c r="K34651" s="711"/>
      <c r="L34651" s="711"/>
      <c r="Q34651" s="11"/>
      <c r="R34651" s="11"/>
      <c r="S34651" s="11"/>
      <c r="T34651" s="11"/>
    </row>
    <row r="34652" spans="8:20" x14ac:dyDescent="0.35">
      <c r="H34652" s="711"/>
      <c r="I34652" s="711"/>
      <c r="J34652" s="711"/>
      <c r="K34652" s="711"/>
      <c r="L34652" s="711"/>
      <c r="Q34652" s="11"/>
      <c r="R34652" s="11"/>
      <c r="S34652" s="11"/>
      <c r="T34652" s="11"/>
    </row>
    <row r="34653" spans="8:20" x14ac:dyDescent="0.35">
      <c r="H34653" s="711"/>
      <c r="I34653" s="711"/>
      <c r="J34653" s="711"/>
      <c r="K34653" s="711"/>
      <c r="L34653" s="711"/>
      <c r="Q34653" s="11"/>
      <c r="R34653" s="11"/>
      <c r="S34653" s="11"/>
      <c r="T34653" s="11"/>
    </row>
    <row r="34654" spans="8:20" x14ac:dyDescent="0.35">
      <c r="H34654" s="711"/>
      <c r="I34654" s="711"/>
      <c r="J34654" s="711"/>
      <c r="K34654" s="711"/>
      <c r="L34654" s="711"/>
      <c r="Q34654" s="11"/>
      <c r="R34654" s="11"/>
      <c r="S34654" s="11"/>
      <c r="T34654" s="11"/>
    </row>
    <row r="34655" spans="8:20" x14ac:dyDescent="0.35">
      <c r="H34655" s="711"/>
      <c r="I34655" s="711"/>
      <c r="J34655" s="711"/>
      <c r="K34655" s="711"/>
      <c r="L34655" s="711"/>
      <c r="Q34655" s="11"/>
      <c r="R34655" s="11"/>
      <c r="S34655" s="11"/>
      <c r="T34655" s="11"/>
    </row>
    <row r="34656" spans="8:20" x14ac:dyDescent="0.35">
      <c r="H34656" s="711"/>
      <c r="I34656" s="711"/>
      <c r="J34656" s="711"/>
      <c r="K34656" s="711"/>
      <c r="L34656" s="711"/>
      <c r="Q34656" s="11"/>
      <c r="R34656" s="11"/>
      <c r="S34656" s="11"/>
      <c r="T34656" s="11"/>
    </row>
    <row r="34657" spans="8:20" x14ac:dyDescent="0.35">
      <c r="H34657" s="711"/>
      <c r="I34657" s="711"/>
      <c r="J34657" s="711"/>
      <c r="K34657" s="711"/>
      <c r="L34657" s="711"/>
      <c r="Q34657" s="11"/>
      <c r="R34657" s="11"/>
      <c r="S34657" s="11"/>
      <c r="T34657" s="11"/>
    </row>
    <row r="34658" spans="8:20" x14ac:dyDescent="0.35">
      <c r="H34658" s="711"/>
      <c r="I34658" s="711"/>
      <c r="J34658" s="711"/>
      <c r="K34658" s="711"/>
      <c r="L34658" s="711"/>
      <c r="Q34658" s="11"/>
      <c r="R34658" s="11"/>
      <c r="S34658" s="11"/>
      <c r="T34658" s="11"/>
    </row>
    <row r="34659" spans="8:20" x14ac:dyDescent="0.35">
      <c r="H34659" s="711"/>
      <c r="I34659" s="711"/>
      <c r="J34659" s="711"/>
      <c r="K34659" s="711"/>
      <c r="L34659" s="711"/>
      <c r="Q34659" s="11"/>
      <c r="R34659" s="11"/>
      <c r="S34659" s="11"/>
      <c r="T34659" s="11"/>
    </row>
    <row r="34660" spans="8:20" x14ac:dyDescent="0.35">
      <c r="H34660" s="711"/>
      <c r="I34660" s="711"/>
      <c r="J34660" s="711"/>
      <c r="K34660" s="711"/>
      <c r="L34660" s="711"/>
      <c r="Q34660" s="11"/>
      <c r="R34660" s="11"/>
      <c r="S34660" s="11"/>
      <c r="T34660" s="11"/>
    </row>
    <row r="34661" spans="8:20" x14ac:dyDescent="0.35">
      <c r="H34661" s="711"/>
      <c r="I34661" s="711"/>
      <c r="J34661" s="711"/>
      <c r="K34661" s="711"/>
      <c r="L34661" s="711"/>
      <c r="Q34661" s="11"/>
      <c r="R34661" s="11"/>
      <c r="S34661" s="11"/>
      <c r="T34661" s="11"/>
    </row>
    <row r="34662" spans="8:20" x14ac:dyDescent="0.35">
      <c r="H34662" s="711"/>
      <c r="I34662" s="711"/>
      <c r="J34662" s="711"/>
      <c r="K34662" s="711"/>
      <c r="L34662" s="711"/>
      <c r="Q34662" s="11"/>
      <c r="R34662" s="11"/>
      <c r="S34662" s="11"/>
      <c r="T34662" s="11"/>
    </row>
    <row r="34663" spans="8:20" x14ac:dyDescent="0.35">
      <c r="H34663" s="711"/>
      <c r="I34663" s="711"/>
      <c r="J34663" s="711"/>
      <c r="K34663" s="711"/>
      <c r="L34663" s="711"/>
      <c r="Q34663" s="11"/>
      <c r="R34663" s="11"/>
      <c r="S34663" s="11"/>
      <c r="T34663" s="11"/>
    </row>
    <row r="34664" spans="8:20" x14ac:dyDescent="0.35">
      <c r="H34664" s="711"/>
      <c r="I34664" s="711"/>
      <c r="J34664" s="711"/>
      <c r="K34664" s="711"/>
      <c r="L34664" s="711"/>
      <c r="Q34664" s="11"/>
      <c r="R34664" s="11"/>
      <c r="S34664" s="11"/>
      <c r="T34664" s="11"/>
    </row>
    <row r="34665" spans="8:20" x14ac:dyDescent="0.35">
      <c r="H34665" s="711"/>
      <c r="I34665" s="711"/>
      <c r="J34665" s="711"/>
      <c r="K34665" s="711"/>
      <c r="L34665" s="711"/>
      <c r="Q34665" s="11"/>
      <c r="R34665" s="11"/>
      <c r="S34665" s="11"/>
      <c r="T34665" s="11"/>
    </row>
    <row r="34666" spans="8:20" x14ac:dyDescent="0.35">
      <c r="H34666" s="711"/>
      <c r="I34666" s="711"/>
      <c r="J34666" s="711"/>
      <c r="K34666" s="711"/>
      <c r="L34666" s="711"/>
      <c r="Q34666" s="11"/>
      <c r="R34666" s="11"/>
      <c r="S34666" s="11"/>
      <c r="T34666" s="11"/>
    </row>
    <row r="34667" spans="8:20" x14ac:dyDescent="0.35">
      <c r="H34667" s="711"/>
      <c r="I34667" s="711"/>
      <c r="J34667" s="711"/>
      <c r="K34667" s="711"/>
      <c r="L34667" s="711"/>
      <c r="Q34667" s="11"/>
      <c r="R34667" s="11"/>
      <c r="S34667" s="11"/>
      <c r="T34667" s="11"/>
    </row>
    <row r="34668" spans="8:20" x14ac:dyDescent="0.35">
      <c r="H34668" s="711"/>
      <c r="I34668" s="711"/>
      <c r="J34668" s="711"/>
      <c r="K34668" s="711"/>
      <c r="L34668" s="711"/>
      <c r="Q34668" s="11"/>
      <c r="R34668" s="11"/>
      <c r="S34668" s="11"/>
      <c r="T34668" s="11"/>
    </row>
    <row r="34669" spans="8:20" x14ac:dyDescent="0.35">
      <c r="H34669" s="711"/>
      <c r="I34669" s="711"/>
      <c r="J34669" s="711"/>
      <c r="K34669" s="711"/>
      <c r="L34669" s="711"/>
      <c r="Q34669" s="11"/>
      <c r="R34669" s="11"/>
      <c r="S34669" s="11"/>
      <c r="T34669" s="11"/>
    </row>
    <row r="34670" spans="8:20" x14ac:dyDescent="0.35">
      <c r="H34670" s="711"/>
      <c r="I34670" s="711"/>
      <c r="J34670" s="711"/>
      <c r="K34670" s="711"/>
      <c r="L34670" s="711"/>
      <c r="Q34670" s="11"/>
      <c r="R34670" s="11"/>
      <c r="S34670" s="11"/>
      <c r="T34670" s="11"/>
    </row>
    <row r="34671" spans="8:20" x14ac:dyDescent="0.35">
      <c r="H34671" s="711"/>
      <c r="I34671" s="711"/>
      <c r="J34671" s="711"/>
      <c r="K34671" s="711"/>
      <c r="L34671" s="711"/>
      <c r="Q34671" s="11"/>
      <c r="R34671" s="11"/>
      <c r="S34671" s="11"/>
      <c r="T34671" s="11"/>
    </row>
    <row r="34672" spans="8:20" x14ac:dyDescent="0.35">
      <c r="H34672" s="711"/>
      <c r="I34672" s="711"/>
      <c r="J34672" s="711"/>
      <c r="K34672" s="711"/>
      <c r="L34672" s="711"/>
      <c r="Q34672" s="11"/>
      <c r="R34672" s="11"/>
      <c r="S34672" s="11"/>
      <c r="T34672" s="11"/>
    </row>
    <row r="34673" spans="8:20" x14ac:dyDescent="0.35">
      <c r="H34673" s="711"/>
      <c r="I34673" s="711"/>
      <c r="J34673" s="711"/>
      <c r="K34673" s="711"/>
      <c r="L34673" s="711"/>
      <c r="Q34673" s="11"/>
      <c r="R34673" s="11"/>
      <c r="S34673" s="11"/>
      <c r="T34673" s="11"/>
    </row>
    <row r="34674" spans="8:20" x14ac:dyDescent="0.35">
      <c r="H34674" s="711"/>
      <c r="I34674" s="711"/>
      <c r="J34674" s="711"/>
      <c r="K34674" s="711"/>
      <c r="L34674" s="711"/>
      <c r="Q34674" s="11"/>
      <c r="R34674" s="11"/>
      <c r="S34674" s="11"/>
      <c r="T34674" s="11"/>
    </row>
    <row r="34675" spans="8:20" x14ac:dyDescent="0.35">
      <c r="H34675" s="711"/>
      <c r="I34675" s="711"/>
      <c r="J34675" s="711"/>
      <c r="K34675" s="711"/>
      <c r="L34675" s="711"/>
      <c r="Q34675" s="11"/>
      <c r="R34675" s="11"/>
      <c r="S34675" s="11"/>
      <c r="T34675" s="11"/>
    </row>
    <row r="34676" spans="8:20" x14ac:dyDescent="0.35">
      <c r="H34676" s="711"/>
      <c r="I34676" s="711"/>
      <c r="J34676" s="711"/>
      <c r="K34676" s="711"/>
      <c r="L34676" s="711"/>
      <c r="Q34676" s="11"/>
      <c r="R34676" s="11"/>
      <c r="S34676" s="11"/>
      <c r="T34676" s="11"/>
    </row>
    <row r="34677" spans="8:20" x14ac:dyDescent="0.35">
      <c r="H34677" s="711"/>
      <c r="I34677" s="711"/>
      <c r="J34677" s="711"/>
      <c r="K34677" s="711"/>
      <c r="L34677" s="711"/>
      <c r="Q34677" s="11"/>
      <c r="R34677" s="11"/>
      <c r="S34677" s="11"/>
      <c r="T34677" s="11"/>
    </row>
    <row r="34678" spans="8:20" x14ac:dyDescent="0.35">
      <c r="H34678" s="711"/>
      <c r="I34678" s="711"/>
      <c r="J34678" s="711"/>
      <c r="K34678" s="711"/>
      <c r="L34678" s="711"/>
      <c r="Q34678" s="11"/>
      <c r="R34678" s="11"/>
      <c r="S34678" s="11"/>
      <c r="T34678" s="11"/>
    </row>
    <row r="34679" spans="8:20" x14ac:dyDescent="0.35">
      <c r="H34679" s="711"/>
      <c r="I34679" s="711"/>
      <c r="J34679" s="711"/>
      <c r="K34679" s="711"/>
      <c r="L34679" s="711"/>
      <c r="Q34679" s="11"/>
      <c r="R34679" s="11"/>
      <c r="S34679" s="11"/>
      <c r="T34679" s="11"/>
    </row>
    <row r="34680" spans="8:20" x14ac:dyDescent="0.35">
      <c r="H34680" s="711"/>
      <c r="I34680" s="711"/>
      <c r="J34680" s="711"/>
      <c r="K34680" s="711"/>
      <c r="L34680" s="711"/>
      <c r="Q34680" s="11"/>
      <c r="R34680" s="11"/>
      <c r="S34680" s="11"/>
      <c r="T34680" s="11"/>
    </row>
    <row r="34681" spans="8:20" x14ac:dyDescent="0.35">
      <c r="H34681" s="711"/>
      <c r="I34681" s="711"/>
      <c r="J34681" s="711"/>
      <c r="K34681" s="711"/>
      <c r="L34681" s="711"/>
      <c r="Q34681" s="11"/>
      <c r="R34681" s="11"/>
      <c r="S34681" s="11"/>
      <c r="T34681" s="11"/>
    </row>
    <row r="34682" spans="8:20" x14ac:dyDescent="0.35">
      <c r="H34682" s="711"/>
      <c r="I34682" s="711"/>
      <c r="J34682" s="711"/>
      <c r="K34682" s="711"/>
      <c r="L34682" s="711"/>
      <c r="Q34682" s="11"/>
      <c r="R34682" s="11"/>
      <c r="S34682" s="11"/>
      <c r="T34682" s="11"/>
    </row>
    <row r="34683" spans="8:20" x14ac:dyDescent="0.35">
      <c r="H34683" s="711"/>
      <c r="I34683" s="711"/>
      <c r="J34683" s="711"/>
      <c r="K34683" s="711"/>
      <c r="L34683" s="711"/>
      <c r="Q34683" s="11"/>
      <c r="R34683" s="11"/>
      <c r="S34683" s="11"/>
      <c r="T34683" s="11"/>
    </row>
    <row r="34684" spans="8:20" x14ac:dyDescent="0.35">
      <c r="H34684" s="711"/>
      <c r="I34684" s="711"/>
      <c r="J34684" s="711"/>
      <c r="K34684" s="711"/>
      <c r="L34684" s="711"/>
      <c r="Q34684" s="11"/>
      <c r="R34684" s="11"/>
      <c r="S34684" s="11"/>
      <c r="T34684" s="11"/>
    </row>
    <row r="34685" spans="8:20" x14ac:dyDescent="0.35">
      <c r="H34685" s="711"/>
      <c r="I34685" s="711"/>
      <c r="J34685" s="711"/>
      <c r="K34685" s="711"/>
      <c r="L34685" s="711"/>
      <c r="Q34685" s="11"/>
      <c r="R34685" s="11"/>
      <c r="S34685" s="11"/>
      <c r="T34685" s="11"/>
    </row>
    <row r="34686" spans="8:20" x14ac:dyDescent="0.35">
      <c r="H34686" s="711"/>
      <c r="I34686" s="711"/>
      <c r="J34686" s="711"/>
      <c r="K34686" s="711"/>
      <c r="L34686" s="711"/>
      <c r="Q34686" s="11"/>
      <c r="R34686" s="11"/>
      <c r="S34686" s="11"/>
      <c r="T34686" s="11"/>
    </row>
    <row r="34687" spans="8:20" x14ac:dyDescent="0.35">
      <c r="H34687" s="711"/>
      <c r="I34687" s="711"/>
      <c r="J34687" s="711"/>
      <c r="K34687" s="711"/>
      <c r="L34687" s="711"/>
      <c r="Q34687" s="11"/>
      <c r="R34687" s="11"/>
      <c r="S34687" s="11"/>
      <c r="T34687" s="11"/>
    </row>
    <row r="34688" spans="8:20" x14ac:dyDescent="0.35">
      <c r="H34688" s="711"/>
      <c r="I34688" s="711"/>
      <c r="J34688" s="711"/>
      <c r="K34688" s="711"/>
      <c r="L34688" s="711"/>
      <c r="Q34688" s="11"/>
      <c r="R34688" s="11"/>
      <c r="S34688" s="11"/>
      <c r="T34688" s="11"/>
    </row>
    <row r="34689" spans="8:20" x14ac:dyDescent="0.35">
      <c r="H34689" s="711"/>
      <c r="I34689" s="711"/>
      <c r="J34689" s="711"/>
      <c r="K34689" s="711"/>
      <c r="L34689" s="711"/>
      <c r="Q34689" s="11"/>
      <c r="R34689" s="11"/>
      <c r="S34689" s="11"/>
      <c r="T34689" s="11"/>
    </row>
    <row r="34690" spans="8:20" x14ac:dyDescent="0.35">
      <c r="H34690" s="711"/>
      <c r="I34690" s="711"/>
      <c r="J34690" s="711"/>
      <c r="K34690" s="711"/>
      <c r="L34690" s="711"/>
      <c r="Q34690" s="11"/>
      <c r="R34690" s="11"/>
      <c r="S34690" s="11"/>
      <c r="T34690" s="11"/>
    </row>
    <row r="34691" spans="8:20" x14ac:dyDescent="0.35">
      <c r="H34691" s="711"/>
      <c r="I34691" s="711"/>
      <c r="J34691" s="711"/>
      <c r="K34691" s="711"/>
      <c r="L34691" s="711"/>
      <c r="Q34691" s="11"/>
      <c r="R34691" s="11"/>
      <c r="S34691" s="11"/>
      <c r="T34691" s="11"/>
    </row>
    <row r="34692" spans="8:20" x14ac:dyDescent="0.35">
      <c r="H34692" s="711"/>
      <c r="I34692" s="711"/>
      <c r="J34692" s="711"/>
      <c r="K34692" s="711"/>
      <c r="L34692" s="711"/>
      <c r="Q34692" s="11"/>
      <c r="R34692" s="11"/>
      <c r="S34692" s="11"/>
      <c r="T34692" s="11"/>
    </row>
    <row r="34693" spans="8:20" x14ac:dyDescent="0.35">
      <c r="H34693" s="711"/>
      <c r="I34693" s="711"/>
      <c r="J34693" s="711"/>
      <c r="K34693" s="711"/>
      <c r="L34693" s="711"/>
      <c r="Q34693" s="11"/>
      <c r="R34693" s="11"/>
      <c r="S34693" s="11"/>
      <c r="T34693" s="11"/>
    </row>
    <row r="34694" spans="8:20" x14ac:dyDescent="0.35">
      <c r="H34694" s="711"/>
      <c r="I34694" s="711"/>
      <c r="J34694" s="711"/>
      <c r="K34694" s="711"/>
      <c r="L34694" s="711"/>
      <c r="Q34694" s="11"/>
      <c r="R34694" s="11"/>
      <c r="S34694" s="11"/>
      <c r="T34694" s="11"/>
    </row>
    <row r="34695" spans="8:20" x14ac:dyDescent="0.35">
      <c r="H34695" s="711"/>
      <c r="I34695" s="711"/>
      <c r="J34695" s="711"/>
      <c r="K34695" s="711"/>
      <c r="L34695" s="711"/>
      <c r="Q34695" s="11"/>
      <c r="R34695" s="11"/>
      <c r="S34695" s="11"/>
      <c r="T34695" s="11"/>
    </row>
    <row r="34696" spans="8:20" x14ac:dyDescent="0.35">
      <c r="H34696" s="711"/>
      <c r="I34696" s="711"/>
      <c r="J34696" s="711"/>
      <c r="K34696" s="711"/>
      <c r="L34696" s="711"/>
      <c r="Q34696" s="11"/>
      <c r="R34696" s="11"/>
      <c r="S34696" s="11"/>
      <c r="T34696" s="11"/>
    </row>
    <row r="34697" spans="8:20" x14ac:dyDescent="0.35">
      <c r="H34697" s="711"/>
      <c r="I34697" s="711"/>
      <c r="J34697" s="711"/>
      <c r="K34697" s="711"/>
      <c r="L34697" s="711"/>
      <c r="Q34697" s="11"/>
      <c r="R34697" s="11"/>
      <c r="S34697" s="11"/>
      <c r="T34697" s="11"/>
    </row>
    <row r="34698" spans="8:20" x14ac:dyDescent="0.35">
      <c r="H34698" s="711"/>
      <c r="I34698" s="711"/>
      <c r="J34698" s="711"/>
      <c r="K34698" s="711"/>
      <c r="L34698" s="711"/>
      <c r="Q34698" s="11"/>
      <c r="R34698" s="11"/>
      <c r="S34698" s="11"/>
      <c r="T34698" s="11"/>
    </row>
    <row r="34699" spans="8:20" x14ac:dyDescent="0.35">
      <c r="H34699" s="711"/>
      <c r="I34699" s="711"/>
      <c r="J34699" s="711"/>
      <c r="K34699" s="711"/>
      <c r="L34699" s="711"/>
      <c r="Q34699" s="11"/>
      <c r="R34699" s="11"/>
      <c r="S34699" s="11"/>
      <c r="T34699" s="11"/>
    </row>
    <row r="34700" spans="8:20" x14ac:dyDescent="0.35">
      <c r="H34700" s="711"/>
      <c r="I34700" s="711"/>
      <c r="J34700" s="711"/>
      <c r="K34700" s="711"/>
      <c r="L34700" s="711"/>
      <c r="Q34700" s="11"/>
      <c r="R34700" s="11"/>
      <c r="S34700" s="11"/>
      <c r="T34700" s="11"/>
    </row>
    <row r="34701" spans="8:20" x14ac:dyDescent="0.35">
      <c r="H34701" s="711"/>
      <c r="I34701" s="711"/>
      <c r="J34701" s="711"/>
      <c r="K34701" s="711"/>
      <c r="L34701" s="711"/>
      <c r="Q34701" s="11"/>
      <c r="R34701" s="11"/>
      <c r="S34701" s="11"/>
      <c r="T34701" s="11"/>
    </row>
    <row r="34702" spans="8:20" x14ac:dyDescent="0.35">
      <c r="H34702" s="711"/>
      <c r="I34702" s="711"/>
      <c r="J34702" s="711"/>
      <c r="K34702" s="711"/>
      <c r="L34702" s="711"/>
      <c r="Q34702" s="11"/>
      <c r="R34702" s="11"/>
      <c r="S34702" s="11"/>
      <c r="T34702" s="11"/>
    </row>
    <row r="34703" spans="8:20" x14ac:dyDescent="0.35">
      <c r="H34703" s="711"/>
      <c r="I34703" s="711"/>
      <c r="J34703" s="711"/>
      <c r="K34703" s="711"/>
      <c r="L34703" s="711"/>
      <c r="Q34703" s="11"/>
      <c r="R34703" s="11"/>
      <c r="S34703" s="11"/>
      <c r="T34703" s="11"/>
    </row>
    <row r="34704" spans="8:20" x14ac:dyDescent="0.35">
      <c r="H34704" s="711"/>
      <c r="I34704" s="711"/>
      <c r="J34704" s="711"/>
      <c r="K34704" s="711"/>
      <c r="L34704" s="711"/>
      <c r="Q34704" s="11"/>
      <c r="R34704" s="11"/>
      <c r="S34704" s="11"/>
      <c r="T34704" s="11"/>
    </row>
    <row r="34705" spans="8:20" x14ac:dyDescent="0.35">
      <c r="H34705" s="711"/>
      <c r="I34705" s="711"/>
      <c r="J34705" s="711"/>
      <c r="K34705" s="711"/>
      <c r="L34705" s="711"/>
      <c r="Q34705" s="11"/>
      <c r="R34705" s="11"/>
      <c r="S34705" s="11"/>
      <c r="T34705" s="11"/>
    </row>
    <row r="34706" spans="8:20" x14ac:dyDescent="0.35">
      <c r="H34706" s="711"/>
      <c r="I34706" s="711"/>
      <c r="J34706" s="711"/>
      <c r="K34706" s="711"/>
      <c r="L34706" s="711"/>
      <c r="Q34706" s="11"/>
      <c r="R34706" s="11"/>
      <c r="S34706" s="11"/>
      <c r="T34706" s="11"/>
    </row>
    <row r="34707" spans="8:20" x14ac:dyDescent="0.35">
      <c r="H34707" s="711"/>
      <c r="I34707" s="711"/>
      <c r="J34707" s="711"/>
      <c r="K34707" s="711"/>
      <c r="L34707" s="711"/>
      <c r="Q34707" s="11"/>
      <c r="R34707" s="11"/>
      <c r="S34707" s="11"/>
      <c r="T34707" s="11"/>
    </row>
    <row r="34708" spans="8:20" x14ac:dyDescent="0.35">
      <c r="H34708" s="711"/>
      <c r="I34708" s="711"/>
      <c r="J34708" s="711"/>
      <c r="K34708" s="711"/>
      <c r="L34708" s="711"/>
      <c r="Q34708" s="11"/>
      <c r="R34708" s="11"/>
      <c r="S34708" s="11"/>
      <c r="T34708" s="11"/>
    </row>
    <row r="34709" spans="8:20" x14ac:dyDescent="0.35">
      <c r="H34709" s="711"/>
      <c r="I34709" s="711"/>
      <c r="J34709" s="711"/>
      <c r="K34709" s="711"/>
      <c r="L34709" s="711"/>
      <c r="Q34709" s="11"/>
      <c r="R34709" s="11"/>
      <c r="S34709" s="11"/>
      <c r="T34709" s="11"/>
    </row>
    <row r="34710" spans="8:20" x14ac:dyDescent="0.35">
      <c r="H34710" s="711"/>
      <c r="I34710" s="711"/>
      <c r="J34710" s="711"/>
      <c r="K34710" s="711"/>
      <c r="L34710" s="711"/>
      <c r="Q34710" s="11"/>
      <c r="R34710" s="11"/>
      <c r="S34710" s="11"/>
      <c r="T34710" s="11"/>
    </row>
    <row r="34711" spans="8:20" x14ac:dyDescent="0.35">
      <c r="H34711" s="711"/>
      <c r="I34711" s="711"/>
      <c r="J34711" s="711"/>
      <c r="K34711" s="711"/>
      <c r="L34711" s="711"/>
      <c r="Q34711" s="11"/>
      <c r="R34711" s="11"/>
      <c r="S34711" s="11"/>
      <c r="T34711" s="11"/>
    </row>
    <row r="34712" spans="8:20" x14ac:dyDescent="0.35">
      <c r="H34712" s="711"/>
      <c r="I34712" s="711"/>
      <c r="J34712" s="711"/>
      <c r="K34712" s="711"/>
      <c r="L34712" s="711"/>
      <c r="Q34712" s="11"/>
      <c r="R34712" s="11"/>
      <c r="S34712" s="11"/>
      <c r="T34712" s="11"/>
    </row>
    <row r="34713" spans="8:20" x14ac:dyDescent="0.35">
      <c r="H34713" s="711"/>
      <c r="I34713" s="711"/>
      <c r="J34713" s="711"/>
      <c r="K34713" s="711"/>
      <c r="L34713" s="711"/>
      <c r="Q34713" s="11"/>
      <c r="R34713" s="11"/>
      <c r="S34713" s="11"/>
      <c r="T34713" s="11"/>
    </row>
    <row r="34714" spans="8:20" x14ac:dyDescent="0.35">
      <c r="H34714" s="711"/>
      <c r="I34714" s="711"/>
      <c r="J34714" s="711"/>
      <c r="K34714" s="711"/>
      <c r="L34714" s="711"/>
      <c r="Q34714" s="11"/>
      <c r="R34714" s="11"/>
      <c r="S34714" s="11"/>
      <c r="T34714" s="11"/>
    </row>
    <row r="34715" spans="8:20" x14ac:dyDescent="0.35">
      <c r="H34715" s="711"/>
      <c r="I34715" s="711"/>
      <c r="J34715" s="711"/>
      <c r="K34715" s="711"/>
      <c r="L34715" s="711"/>
      <c r="Q34715" s="11"/>
      <c r="R34715" s="11"/>
      <c r="S34715" s="11"/>
      <c r="T34715" s="11"/>
    </row>
    <row r="34716" spans="8:20" x14ac:dyDescent="0.35">
      <c r="H34716" s="711"/>
      <c r="I34716" s="711"/>
      <c r="J34716" s="711"/>
      <c r="K34716" s="711"/>
      <c r="L34716" s="711"/>
      <c r="Q34716" s="11"/>
      <c r="R34716" s="11"/>
      <c r="S34716" s="11"/>
      <c r="T34716" s="11"/>
    </row>
    <row r="34717" spans="8:20" x14ac:dyDescent="0.35">
      <c r="H34717" s="711"/>
      <c r="I34717" s="711"/>
      <c r="J34717" s="711"/>
      <c r="K34717" s="711"/>
      <c r="L34717" s="711"/>
      <c r="Q34717" s="11"/>
      <c r="R34717" s="11"/>
      <c r="S34717" s="11"/>
      <c r="T34717" s="11"/>
    </row>
    <row r="34718" spans="8:20" x14ac:dyDescent="0.35">
      <c r="H34718" s="711"/>
      <c r="I34718" s="711"/>
      <c r="J34718" s="711"/>
      <c r="K34718" s="711"/>
      <c r="L34718" s="711"/>
      <c r="Q34718" s="11"/>
      <c r="R34718" s="11"/>
      <c r="S34718" s="11"/>
      <c r="T34718" s="11"/>
    </row>
    <row r="34719" spans="8:20" x14ac:dyDescent="0.35">
      <c r="H34719" s="711"/>
      <c r="I34719" s="711"/>
      <c r="J34719" s="711"/>
      <c r="K34719" s="711"/>
      <c r="L34719" s="711"/>
      <c r="Q34719" s="11"/>
      <c r="R34719" s="11"/>
      <c r="S34719" s="11"/>
      <c r="T34719" s="11"/>
    </row>
    <row r="34720" spans="8:20" x14ac:dyDescent="0.35">
      <c r="H34720" s="711"/>
      <c r="I34720" s="711"/>
      <c r="J34720" s="711"/>
      <c r="K34720" s="711"/>
      <c r="L34720" s="711"/>
      <c r="Q34720" s="11"/>
      <c r="R34720" s="11"/>
      <c r="S34720" s="11"/>
      <c r="T34720" s="11"/>
    </row>
    <row r="34721" spans="8:20" x14ac:dyDescent="0.35">
      <c r="H34721" s="711"/>
      <c r="I34721" s="711"/>
      <c r="J34721" s="711"/>
      <c r="K34721" s="711"/>
      <c r="L34721" s="711"/>
      <c r="Q34721" s="11"/>
      <c r="R34721" s="11"/>
      <c r="S34721" s="11"/>
      <c r="T34721" s="11"/>
    </row>
    <row r="34722" spans="8:20" x14ac:dyDescent="0.35">
      <c r="H34722" s="711"/>
      <c r="I34722" s="711"/>
      <c r="J34722" s="711"/>
      <c r="K34722" s="711"/>
      <c r="L34722" s="711"/>
      <c r="Q34722" s="11"/>
      <c r="R34722" s="11"/>
      <c r="S34722" s="11"/>
      <c r="T34722" s="11"/>
    </row>
    <row r="34723" spans="8:20" x14ac:dyDescent="0.35">
      <c r="H34723" s="711"/>
      <c r="I34723" s="711"/>
      <c r="J34723" s="711"/>
      <c r="K34723" s="711"/>
      <c r="L34723" s="711"/>
      <c r="Q34723" s="11"/>
      <c r="R34723" s="11"/>
      <c r="S34723" s="11"/>
      <c r="T34723" s="11"/>
    </row>
    <row r="34724" spans="8:20" x14ac:dyDescent="0.35">
      <c r="H34724" s="711"/>
      <c r="I34724" s="711"/>
      <c r="J34724" s="711"/>
      <c r="K34724" s="711"/>
      <c r="L34724" s="711"/>
      <c r="Q34724" s="11"/>
      <c r="R34724" s="11"/>
      <c r="S34724" s="11"/>
      <c r="T34724" s="11"/>
    </row>
    <row r="34725" spans="8:20" x14ac:dyDescent="0.35">
      <c r="H34725" s="711"/>
      <c r="I34725" s="711"/>
      <c r="J34725" s="711"/>
      <c r="K34725" s="711"/>
      <c r="L34725" s="711"/>
      <c r="Q34725" s="11"/>
      <c r="R34725" s="11"/>
      <c r="S34725" s="11"/>
      <c r="T34725" s="11"/>
    </row>
    <row r="34726" spans="8:20" x14ac:dyDescent="0.35">
      <c r="H34726" s="711"/>
      <c r="I34726" s="711"/>
      <c r="J34726" s="711"/>
      <c r="K34726" s="711"/>
      <c r="L34726" s="711"/>
      <c r="Q34726" s="11"/>
      <c r="R34726" s="11"/>
      <c r="S34726" s="11"/>
      <c r="T34726" s="11"/>
    </row>
    <row r="34727" spans="8:20" x14ac:dyDescent="0.35">
      <c r="H34727" s="711"/>
      <c r="I34727" s="711"/>
      <c r="J34727" s="711"/>
      <c r="K34727" s="711"/>
      <c r="L34727" s="711"/>
      <c r="Q34727" s="11"/>
      <c r="R34727" s="11"/>
      <c r="S34727" s="11"/>
      <c r="T34727" s="11"/>
    </row>
    <row r="34728" spans="8:20" x14ac:dyDescent="0.35">
      <c r="H34728" s="711"/>
      <c r="I34728" s="711"/>
      <c r="J34728" s="711"/>
      <c r="K34728" s="711"/>
      <c r="L34728" s="711"/>
      <c r="Q34728" s="11"/>
      <c r="R34728" s="11"/>
      <c r="S34728" s="11"/>
      <c r="T34728" s="11"/>
    </row>
    <row r="34729" spans="8:20" x14ac:dyDescent="0.35">
      <c r="H34729" s="711"/>
      <c r="I34729" s="711"/>
      <c r="J34729" s="711"/>
      <c r="K34729" s="711"/>
      <c r="L34729" s="711"/>
      <c r="Q34729" s="11"/>
      <c r="R34729" s="11"/>
      <c r="S34729" s="11"/>
      <c r="T34729" s="11"/>
    </row>
    <row r="34730" spans="8:20" x14ac:dyDescent="0.35">
      <c r="H34730" s="711"/>
      <c r="I34730" s="711"/>
      <c r="J34730" s="711"/>
      <c r="K34730" s="711"/>
      <c r="L34730" s="711"/>
      <c r="Q34730" s="11"/>
      <c r="R34730" s="11"/>
      <c r="S34730" s="11"/>
      <c r="T34730" s="11"/>
    </row>
    <row r="34731" spans="8:20" x14ac:dyDescent="0.35">
      <c r="H34731" s="711"/>
      <c r="I34731" s="711"/>
      <c r="J34731" s="711"/>
      <c r="K34731" s="711"/>
      <c r="L34731" s="711"/>
      <c r="Q34731" s="11"/>
      <c r="R34731" s="11"/>
      <c r="S34731" s="11"/>
      <c r="T34731" s="11"/>
    </row>
    <row r="34732" spans="8:20" x14ac:dyDescent="0.35">
      <c r="H34732" s="711"/>
      <c r="I34732" s="711"/>
      <c r="J34732" s="711"/>
      <c r="K34732" s="711"/>
      <c r="L34732" s="711"/>
      <c r="Q34732" s="11"/>
      <c r="R34732" s="11"/>
      <c r="S34732" s="11"/>
      <c r="T34732" s="11"/>
    </row>
    <row r="34733" spans="8:20" x14ac:dyDescent="0.35">
      <c r="H34733" s="711"/>
      <c r="I34733" s="711"/>
      <c r="J34733" s="711"/>
      <c r="K34733" s="711"/>
      <c r="L34733" s="711"/>
      <c r="Q34733" s="11"/>
      <c r="R34733" s="11"/>
      <c r="S34733" s="11"/>
      <c r="T34733" s="11"/>
    </row>
    <row r="34734" spans="8:20" x14ac:dyDescent="0.35">
      <c r="H34734" s="711"/>
      <c r="I34734" s="711"/>
      <c r="J34734" s="711"/>
      <c r="K34734" s="711"/>
      <c r="L34734" s="711"/>
      <c r="Q34734" s="11"/>
      <c r="R34734" s="11"/>
      <c r="S34734" s="11"/>
      <c r="T34734" s="11"/>
    </row>
    <row r="34735" spans="8:20" x14ac:dyDescent="0.35">
      <c r="H34735" s="711"/>
      <c r="I34735" s="711"/>
      <c r="J34735" s="711"/>
      <c r="K34735" s="711"/>
      <c r="L34735" s="711"/>
      <c r="Q34735" s="11"/>
      <c r="R34735" s="11"/>
      <c r="S34735" s="11"/>
      <c r="T34735" s="11"/>
    </row>
    <row r="34736" spans="8:20" x14ac:dyDescent="0.35">
      <c r="H34736" s="711"/>
      <c r="I34736" s="711"/>
      <c r="J34736" s="711"/>
      <c r="K34736" s="711"/>
      <c r="L34736" s="711"/>
      <c r="Q34736" s="11"/>
      <c r="R34736" s="11"/>
      <c r="S34736" s="11"/>
      <c r="T34736" s="11"/>
    </row>
    <row r="34737" spans="8:20" x14ac:dyDescent="0.35">
      <c r="H34737" s="711"/>
      <c r="I34737" s="711"/>
      <c r="J34737" s="711"/>
      <c r="K34737" s="711"/>
      <c r="L34737" s="711"/>
      <c r="Q34737" s="11"/>
      <c r="R34737" s="11"/>
      <c r="S34737" s="11"/>
      <c r="T34737" s="11"/>
    </row>
    <row r="34738" spans="8:20" x14ac:dyDescent="0.35">
      <c r="H34738" s="711"/>
      <c r="I34738" s="711"/>
      <c r="J34738" s="711"/>
      <c r="K34738" s="711"/>
      <c r="L34738" s="711"/>
      <c r="Q34738" s="11"/>
      <c r="R34738" s="11"/>
      <c r="S34738" s="11"/>
      <c r="T34738" s="11"/>
    </row>
    <row r="34739" spans="8:20" x14ac:dyDescent="0.35">
      <c r="H34739" s="711"/>
      <c r="I34739" s="711"/>
      <c r="J34739" s="711"/>
      <c r="K34739" s="711"/>
      <c r="L34739" s="711"/>
      <c r="Q34739" s="11"/>
      <c r="R34739" s="11"/>
      <c r="S34739" s="11"/>
      <c r="T34739" s="11"/>
    </row>
    <row r="34740" spans="8:20" x14ac:dyDescent="0.35">
      <c r="H34740" s="711"/>
      <c r="I34740" s="711"/>
      <c r="J34740" s="711"/>
      <c r="K34740" s="711"/>
      <c r="L34740" s="711"/>
      <c r="Q34740" s="11"/>
      <c r="R34740" s="11"/>
      <c r="S34740" s="11"/>
      <c r="T34740" s="11"/>
    </row>
    <row r="34741" spans="8:20" x14ac:dyDescent="0.35">
      <c r="H34741" s="711"/>
      <c r="I34741" s="711"/>
      <c r="J34741" s="711"/>
      <c r="K34741" s="711"/>
      <c r="L34741" s="711"/>
      <c r="Q34741" s="11"/>
      <c r="R34741" s="11"/>
      <c r="S34741" s="11"/>
      <c r="T34741" s="11"/>
    </row>
    <row r="34742" spans="8:20" x14ac:dyDescent="0.35">
      <c r="H34742" s="711"/>
      <c r="I34742" s="711"/>
      <c r="J34742" s="711"/>
      <c r="K34742" s="711"/>
      <c r="L34742" s="711"/>
      <c r="Q34742" s="11"/>
      <c r="R34742" s="11"/>
      <c r="S34742" s="11"/>
      <c r="T34742" s="11"/>
    </row>
    <row r="34743" spans="8:20" x14ac:dyDescent="0.35">
      <c r="H34743" s="711"/>
      <c r="I34743" s="711"/>
      <c r="J34743" s="711"/>
      <c r="K34743" s="711"/>
      <c r="L34743" s="711"/>
      <c r="Q34743" s="11"/>
      <c r="R34743" s="11"/>
      <c r="S34743" s="11"/>
      <c r="T34743" s="11"/>
    </row>
    <row r="34744" spans="8:20" x14ac:dyDescent="0.35">
      <c r="H34744" s="711"/>
      <c r="I34744" s="711"/>
      <c r="J34744" s="711"/>
      <c r="K34744" s="711"/>
      <c r="L34744" s="711"/>
      <c r="Q34744" s="11"/>
      <c r="R34744" s="11"/>
      <c r="S34744" s="11"/>
      <c r="T34744" s="11"/>
    </row>
    <row r="34745" spans="8:20" x14ac:dyDescent="0.35">
      <c r="H34745" s="711"/>
      <c r="I34745" s="711"/>
      <c r="J34745" s="711"/>
      <c r="K34745" s="711"/>
      <c r="L34745" s="711"/>
      <c r="Q34745" s="11"/>
      <c r="R34745" s="11"/>
      <c r="S34745" s="11"/>
      <c r="T34745" s="11"/>
    </row>
    <row r="34746" spans="8:20" x14ac:dyDescent="0.35">
      <c r="H34746" s="711"/>
      <c r="I34746" s="711"/>
      <c r="J34746" s="711"/>
      <c r="K34746" s="711"/>
      <c r="L34746" s="711"/>
      <c r="Q34746" s="11"/>
      <c r="R34746" s="11"/>
      <c r="S34746" s="11"/>
      <c r="T34746" s="11"/>
    </row>
    <row r="34747" spans="8:20" x14ac:dyDescent="0.35">
      <c r="H34747" s="711"/>
      <c r="I34747" s="711"/>
      <c r="J34747" s="711"/>
      <c r="K34747" s="711"/>
      <c r="L34747" s="711"/>
      <c r="Q34747" s="11"/>
      <c r="R34747" s="11"/>
      <c r="S34747" s="11"/>
      <c r="T34747" s="11"/>
    </row>
    <row r="34748" spans="8:20" x14ac:dyDescent="0.35">
      <c r="H34748" s="711"/>
      <c r="I34748" s="711"/>
      <c r="J34748" s="711"/>
      <c r="K34748" s="711"/>
      <c r="L34748" s="711"/>
      <c r="Q34748" s="11"/>
      <c r="R34748" s="11"/>
      <c r="S34748" s="11"/>
      <c r="T34748" s="11"/>
    </row>
    <row r="34749" spans="8:20" x14ac:dyDescent="0.35">
      <c r="H34749" s="711"/>
      <c r="I34749" s="711"/>
      <c r="J34749" s="711"/>
      <c r="K34749" s="711"/>
      <c r="L34749" s="711"/>
      <c r="Q34749" s="11"/>
      <c r="R34749" s="11"/>
      <c r="S34749" s="11"/>
      <c r="T34749" s="11"/>
    </row>
    <row r="34750" spans="8:20" x14ac:dyDescent="0.35">
      <c r="H34750" s="711"/>
      <c r="I34750" s="711"/>
      <c r="J34750" s="711"/>
      <c r="K34750" s="711"/>
      <c r="L34750" s="711"/>
      <c r="Q34750" s="11"/>
      <c r="R34750" s="11"/>
      <c r="S34750" s="11"/>
      <c r="T34750" s="11"/>
    </row>
    <row r="34751" spans="8:20" x14ac:dyDescent="0.35">
      <c r="H34751" s="711"/>
      <c r="I34751" s="711"/>
      <c r="J34751" s="711"/>
      <c r="K34751" s="711"/>
      <c r="L34751" s="711"/>
      <c r="Q34751" s="11"/>
      <c r="R34751" s="11"/>
      <c r="S34751" s="11"/>
      <c r="T34751" s="11"/>
    </row>
    <row r="34752" spans="8:20" x14ac:dyDescent="0.35">
      <c r="H34752" s="711"/>
      <c r="I34752" s="711"/>
      <c r="J34752" s="711"/>
      <c r="K34752" s="711"/>
      <c r="L34752" s="711"/>
      <c r="Q34752" s="11"/>
      <c r="R34752" s="11"/>
      <c r="S34752" s="11"/>
      <c r="T34752" s="11"/>
    </row>
    <row r="34753" spans="8:20" x14ac:dyDescent="0.35">
      <c r="H34753" s="711"/>
      <c r="I34753" s="711"/>
      <c r="J34753" s="711"/>
      <c r="K34753" s="711"/>
      <c r="L34753" s="711"/>
      <c r="Q34753" s="11"/>
      <c r="R34753" s="11"/>
      <c r="S34753" s="11"/>
      <c r="T34753" s="11"/>
    </row>
    <row r="34754" spans="8:20" x14ac:dyDescent="0.35">
      <c r="H34754" s="711"/>
      <c r="I34754" s="711"/>
      <c r="J34754" s="711"/>
      <c r="K34754" s="711"/>
      <c r="L34754" s="711"/>
      <c r="Q34754" s="11"/>
      <c r="R34754" s="11"/>
      <c r="S34754" s="11"/>
      <c r="T34754" s="11"/>
    </row>
    <row r="34755" spans="8:20" x14ac:dyDescent="0.35">
      <c r="H34755" s="711"/>
      <c r="I34755" s="711"/>
      <c r="J34755" s="711"/>
      <c r="K34755" s="711"/>
      <c r="L34755" s="711"/>
      <c r="Q34755" s="11"/>
      <c r="R34755" s="11"/>
      <c r="S34755" s="11"/>
      <c r="T34755" s="11"/>
    </row>
    <row r="34756" spans="8:20" x14ac:dyDescent="0.35">
      <c r="H34756" s="711"/>
      <c r="I34756" s="711"/>
      <c r="J34756" s="711"/>
      <c r="K34756" s="711"/>
      <c r="L34756" s="711"/>
      <c r="Q34756" s="11"/>
      <c r="R34756" s="11"/>
      <c r="S34756" s="11"/>
      <c r="T34756" s="11"/>
    </row>
    <row r="34757" spans="8:20" x14ac:dyDescent="0.35">
      <c r="H34757" s="711"/>
      <c r="I34757" s="711"/>
      <c r="J34757" s="711"/>
      <c r="K34757" s="711"/>
      <c r="L34757" s="711"/>
      <c r="Q34757" s="11"/>
      <c r="R34757" s="11"/>
      <c r="S34757" s="11"/>
      <c r="T34757" s="11"/>
    </row>
    <row r="34758" spans="8:20" x14ac:dyDescent="0.35">
      <c r="H34758" s="711"/>
      <c r="I34758" s="711"/>
      <c r="J34758" s="711"/>
      <c r="K34758" s="711"/>
      <c r="L34758" s="711"/>
      <c r="Q34758" s="11"/>
      <c r="R34758" s="11"/>
      <c r="S34758" s="11"/>
      <c r="T34758" s="11"/>
    </row>
    <row r="34759" spans="8:20" x14ac:dyDescent="0.35">
      <c r="H34759" s="711"/>
      <c r="I34759" s="711"/>
      <c r="J34759" s="711"/>
      <c r="K34759" s="711"/>
      <c r="L34759" s="711"/>
      <c r="Q34759" s="11"/>
      <c r="R34759" s="11"/>
      <c r="S34759" s="11"/>
      <c r="T34759" s="11"/>
    </row>
    <row r="34760" spans="8:20" x14ac:dyDescent="0.35">
      <c r="H34760" s="711"/>
      <c r="I34760" s="711"/>
      <c r="J34760" s="711"/>
      <c r="K34760" s="711"/>
      <c r="L34760" s="711"/>
      <c r="Q34760" s="11"/>
      <c r="R34760" s="11"/>
      <c r="S34760" s="11"/>
      <c r="T34760" s="11"/>
    </row>
    <row r="34761" spans="8:20" x14ac:dyDescent="0.35">
      <c r="H34761" s="711"/>
      <c r="I34761" s="711"/>
      <c r="J34761" s="711"/>
      <c r="K34761" s="711"/>
      <c r="L34761" s="711"/>
      <c r="Q34761" s="11"/>
      <c r="R34761" s="11"/>
      <c r="S34761" s="11"/>
      <c r="T34761" s="11"/>
    </row>
    <row r="34762" spans="8:20" x14ac:dyDescent="0.35">
      <c r="H34762" s="711"/>
      <c r="I34762" s="711"/>
      <c r="J34762" s="711"/>
      <c r="K34762" s="711"/>
      <c r="L34762" s="711"/>
      <c r="Q34762" s="11"/>
      <c r="R34762" s="11"/>
      <c r="S34762" s="11"/>
      <c r="T34762" s="11"/>
    </row>
    <row r="34763" spans="8:20" x14ac:dyDescent="0.35">
      <c r="H34763" s="711"/>
      <c r="I34763" s="711"/>
      <c r="J34763" s="711"/>
      <c r="K34763" s="711"/>
      <c r="L34763" s="711"/>
      <c r="Q34763" s="11"/>
      <c r="R34763" s="11"/>
      <c r="S34763" s="11"/>
      <c r="T34763" s="11"/>
    </row>
    <row r="34764" spans="8:20" x14ac:dyDescent="0.35">
      <c r="H34764" s="711"/>
      <c r="I34764" s="711"/>
      <c r="J34764" s="711"/>
      <c r="K34764" s="711"/>
      <c r="L34764" s="711"/>
      <c r="Q34764" s="11"/>
      <c r="R34764" s="11"/>
      <c r="S34764" s="11"/>
      <c r="T34764" s="11"/>
    </row>
    <row r="34765" spans="8:20" x14ac:dyDescent="0.35">
      <c r="H34765" s="711"/>
      <c r="I34765" s="711"/>
      <c r="J34765" s="711"/>
      <c r="K34765" s="711"/>
      <c r="L34765" s="711"/>
      <c r="Q34765" s="11"/>
      <c r="R34765" s="11"/>
      <c r="S34765" s="11"/>
      <c r="T34765" s="11"/>
    </row>
    <row r="34766" spans="8:20" x14ac:dyDescent="0.35">
      <c r="H34766" s="711"/>
      <c r="I34766" s="711"/>
      <c r="J34766" s="711"/>
      <c r="K34766" s="711"/>
      <c r="L34766" s="711"/>
      <c r="Q34766" s="11"/>
      <c r="R34766" s="11"/>
      <c r="S34766" s="11"/>
      <c r="T34766" s="11"/>
    </row>
    <row r="34767" spans="8:20" x14ac:dyDescent="0.35">
      <c r="H34767" s="711"/>
      <c r="I34767" s="711"/>
      <c r="J34767" s="711"/>
      <c r="K34767" s="711"/>
      <c r="L34767" s="711"/>
      <c r="Q34767" s="11"/>
      <c r="R34767" s="11"/>
      <c r="S34767" s="11"/>
      <c r="T34767" s="11"/>
    </row>
    <row r="34768" spans="8:20" x14ac:dyDescent="0.35">
      <c r="H34768" s="711"/>
      <c r="I34768" s="711"/>
      <c r="J34768" s="711"/>
      <c r="K34768" s="711"/>
      <c r="L34768" s="711"/>
      <c r="Q34768" s="11"/>
      <c r="R34768" s="11"/>
      <c r="S34768" s="11"/>
      <c r="T34768" s="11"/>
    </row>
    <row r="34769" spans="8:20" x14ac:dyDescent="0.35">
      <c r="H34769" s="711"/>
      <c r="I34769" s="711"/>
      <c r="J34769" s="711"/>
      <c r="K34769" s="711"/>
      <c r="L34769" s="711"/>
      <c r="Q34769" s="11"/>
      <c r="R34769" s="11"/>
      <c r="S34769" s="11"/>
      <c r="T34769" s="11"/>
    </row>
    <row r="34770" spans="8:20" x14ac:dyDescent="0.35">
      <c r="H34770" s="711"/>
      <c r="I34770" s="711"/>
      <c r="J34770" s="711"/>
      <c r="K34770" s="711"/>
      <c r="L34770" s="711"/>
      <c r="Q34770" s="11"/>
      <c r="R34770" s="11"/>
      <c r="S34770" s="11"/>
      <c r="T34770" s="11"/>
    </row>
    <row r="34771" spans="8:20" x14ac:dyDescent="0.35">
      <c r="H34771" s="711"/>
      <c r="I34771" s="711"/>
      <c r="J34771" s="711"/>
      <c r="K34771" s="711"/>
      <c r="L34771" s="711"/>
      <c r="Q34771" s="11"/>
      <c r="R34771" s="11"/>
      <c r="S34771" s="11"/>
      <c r="T34771" s="11"/>
    </row>
    <row r="34772" spans="8:20" x14ac:dyDescent="0.35">
      <c r="H34772" s="711"/>
      <c r="I34772" s="711"/>
      <c r="J34772" s="711"/>
      <c r="K34772" s="711"/>
      <c r="L34772" s="711"/>
      <c r="Q34772" s="11"/>
      <c r="R34772" s="11"/>
      <c r="S34772" s="11"/>
      <c r="T34772" s="11"/>
    </row>
    <row r="34773" spans="8:20" x14ac:dyDescent="0.35">
      <c r="H34773" s="711"/>
      <c r="I34773" s="711"/>
      <c r="J34773" s="711"/>
      <c r="K34773" s="711"/>
      <c r="L34773" s="711"/>
      <c r="Q34773" s="11"/>
      <c r="R34773" s="11"/>
      <c r="S34773" s="11"/>
      <c r="T34773" s="11"/>
    </row>
    <row r="34774" spans="8:20" x14ac:dyDescent="0.35">
      <c r="H34774" s="711"/>
      <c r="I34774" s="711"/>
      <c r="J34774" s="711"/>
      <c r="K34774" s="711"/>
      <c r="L34774" s="711"/>
      <c r="Q34774" s="11"/>
      <c r="R34774" s="11"/>
      <c r="S34774" s="11"/>
      <c r="T34774" s="11"/>
    </row>
    <row r="34775" spans="8:20" x14ac:dyDescent="0.35">
      <c r="H34775" s="711"/>
      <c r="I34775" s="711"/>
      <c r="J34775" s="711"/>
      <c r="K34775" s="711"/>
      <c r="L34775" s="711"/>
      <c r="Q34775" s="11"/>
      <c r="R34775" s="11"/>
      <c r="S34775" s="11"/>
      <c r="T34775" s="11"/>
    </row>
    <row r="34776" spans="8:20" x14ac:dyDescent="0.35">
      <c r="H34776" s="711"/>
      <c r="I34776" s="711"/>
      <c r="J34776" s="711"/>
      <c r="K34776" s="711"/>
      <c r="L34776" s="711"/>
      <c r="Q34776" s="11"/>
      <c r="R34776" s="11"/>
      <c r="S34776" s="11"/>
      <c r="T34776" s="11"/>
    </row>
    <row r="34777" spans="8:20" x14ac:dyDescent="0.35">
      <c r="H34777" s="711"/>
      <c r="I34777" s="711"/>
      <c r="J34777" s="711"/>
      <c r="K34777" s="711"/>
      <c r="L34777" s="711"/>
      <c r="Q34777" s="11"/>
      <c r="R34777" s="11"/>
      <c r="S34777" s="11"/>
      <c r="T34777" s="11"/>
    </row>
    <row r="34778" spans="8:20" x14ac:dyDescent="0.35">
      <c r="H34778" s="711"/>
      <c r="I34778" s="711"/>
      <c r="J34778" s="711"/>
      <c r="K34778" s="711"/>
      <c r="L34778" s="711"/>
      <c r="Q34778" s="11"/>
      <c r="R34778" s="11"/>
      <c r="S34778" s="11"/>
      <c r="T34778" s="11"/>
    </row>
    <row r="34779" spans="8:20" x14ac:dyDescent="0.35">
      <c r="H34779" s="711"/>
      <c r="I34779" s="711"/>
      <c r="J34779" s="711"/>
      <c r="K34779" s="711"/>
      <c r="L34779" s="711"/>
      <c r="Q34779" s="11"/>
      <c r="R34779" s="11"/>
      <c r="S34779" s="11"/>
      <c r="T34779" s="11"/>
    </row>
    <row r="34780" spans="8:20" x14ac:dyDescent="0.35">
      <c r="H34780" s="711"/>
      <c r="I34780" s="711"/>
      <c r="J34780" s="711"/>
      <c r="K34780" s="711"/>
      <c r="L34780" s="711"/>
      <c r="Q34780" s="11"/>
      <c r="R34780" s="11"/>
      <c r="S34780" s="11"/>
      <c r="T34780" s="11"/>
    </row>
    <row r="34781" spans="8:20" x14ac:dyDescent="0.35">
      <c r="H34781" s="711"/>
      <c r="I34781" s="711"/>
      <c r="J34781" s="711"/>
      <c r="K34781" s="711"/>
      <c r="L34781" s="711"/>
      <c r="Q34781" s="11"/>
      <c r="R34781" s="11"/>
      <c r="S34781" s="11"/>
      <c r="T34781" s="11"/>
    </row>
    <row r="34782" spans="8:20" x14ac:dyDescent="0.35">
      <c r="H34782" s="711"/>
      <c r="I34782" s="711"/>
      <c r="J34782" s="711"/>
      <c r="K34782" s="711"/>
      <c r="L34782" s="711"/>
      <c r="Q34782" s="11"/>
      <c r="R34782" s="11"/>
      <c r="S34782" s="11"/>
      <c r="T34782" s="11"/>
    </row>
    <row r="34783" spans="8:20" x14ac:dyDescent="0.35">
      <c r="H34783" s="711"/>
      <c r="I34783" s="711"/>
      <c r="J34783" s="711"/>
      <c r="K34783" s="711"/>
      <c r="L34783" s="711"/>
      <c r="Q34783" s="11"/>
      <c r="R34783" s="11"/>
      <c r="S34783" s="11"/>
      <c r="T34783" s="11"/>
    </row>
    <row r="34784" spans="8:20" x14ac:dyDescent="0.35">
      <c r="H34784" s="711"/>
      <c r="I34784" s="711"/>
      <c r="J34784" s="711"/>
      <c r="K34784" s="711"/>
      <c r="L34784" s="711"/>
      <c r="Q34784" s="11"/>
      <c r="R34784" s="11"/>
      <c r="S34784" s="11"/>
      <c r="T34784" s="11"/>
    </row>
    <row r="34785" spans="8:20" x14ac:dyDescent="0.35">
      <c r="H34785" s="711"/>
      <c r="I34785" s="711"/>
      <c r="J34785" s="711"/>
      <c r="K34785" s="711"/>
      <c r="L34785" s="711"/>
      <c r="Q34785" s="11"/>
      <c r="R34785" s="11"/>
      <c r="S34785" s="11"/>
      <c r="T34785" s="11"/>
    </row>
    <row r="34786" spans="8:20" x14ac:dyDescent="0.35">
      <c r="H34786" s="711"/>
      <c r="I34786" s="711"/>
      <c r="J34786" s="711"/>
      <c r="K34786" s="711"/>
      <c r="L34786" s="711"/>
      <c r="Q34786" s="11"/>
      <c r="R34786" s="11"/>
      <c r="S34786" s="11"/>
      <c r="T34786" s="11"/>
    </row>
    <row r="34787" spans="8:20" x14ac:dyDescent="0.35">
      <c r="H34787" s="711"/>
      <c r="I34787" s="711"/>
      <c r="J34787" s="711"/>
      <c r="K34787" s="711"/>
      <c r="L34787" s="711"/>
      <c r="Q34787" s="11"/>
      <c r="R34787" s="11"/>
      <c r="S34787" s="11"/>
      <c r="T34787" s="11"/>
    </row>
    <row r="34788" spans="8:20" x14ac:dyDescent="0.35">
      <c r="H34788" s="711"/>
      <c r="I34788" s="711"/>
      <c r="J34788" s="711"/>
      <c r="K34788" s="711"/>
      <c r="L34788" s="711"/>
      <c r="Q34788" s="11"/>
      <c r="R34788" s="11"/>
      <c r="S34788" s="11"/>
      <c r="T34788" s="11"/>
    </row>
    <row r="34789" spans="8:20" x14ac:dyDescent="0.35">
      <c r="H34789" s="711"/>
      <c r="I34789" s="711"/>
      <c r="J34789" s="711"/>
      <c r="K34789" s="711"/>
      <c r="L34789" s="711"/>
      <c r="Q34789" s="11"/>
      <c r="R34789" s="11"/>
      <c r="S34789" s="11"/>
      <c r="T34789" s="11"/>
    </row>
    <row r="34790" spans="8:20" x14ac:dyDescent="0.35">
      <c r="H34790" s="711"/>
      <c r="I34790" s="711"/>
      <c r="J34790" s="711"/>
      <c r="K34790" s="711"/>
      <c r="L34790" s="711"/>
      <c r="Q34790" s="11"/>
      <c r="R34790" s="11"/>
      <c r="S34790" s="11"/>
      <c r="T34790" s="11"/>
    </row>
    <row r="34791" spans="8:20" x14ac:dyDescent="0.35">
      <c r="H34791" s="711"/>
      <c r="I34791" s="711"/>
      <c r="J34791" s="711"/>
      <c r="K34791" s="711"/>
      <c r="L34791" s="711"/>
      <c r="Q34791" s="11"/>
      <c r="R34791" s="11"/>
      <c r="S34791" s="11"/>
      <c r="T34791" s="11"/>
    </row>
    <row r="34792" spans="8:20" x14ac:dyDescent="0.35">
      <c r="H34792" s="711"/>
      <c r="I34792" s="711"/>
      <c r="J34792" s="711"/>
      <c r="K34792" s="711"/>
      <c r="L34792" s="711"/>
      <c r="Q34792" s="11"/>
      <c r="R34792" s="11"/>
      <c r="S34792" s="11"/>
      <c r="T34792" s="11"/>
    </row>
    <row r="34793" spans="8:20" x14ac:dyDescent="0.35">
      <c r="H34793" s="711"/>
      <c r="I34793" s="711"/>
      <c r="J34793" s="711"/>
      <c r="K34793" s="711"/>
      <c r="L34793" s="711"/>
      <c r="Q34793" s="11"/>
      <c r="R34793" s="11"/>
      <c r="S34793" s="11"/>
      <c r="T34793" s="11"/>
    </row>
    <row r="34794" spans="8:20" x14ac:dyDescent="0.35">
      <c r="H34794" s="711"/>
      <c r="I34794" s="711"/>
      <c r="J34794" s="711"/>
      <c r="K34794" s="711"/>
      <c r="L34794" s="711"/>
      <c r="Q34794" s="11"/>
      <c r="R34794" s="11"/>
      <c r="S34794" s="11"/>
      <c r="T34794" s="11"/>
    </row>
    <row r="34795" spans="8:20" x14ac:dyDescent="0.35">
      <c r="H34795" s="711"/>
      <c r="I34795" s="711"/>
      <c r="J34795" s="711"/>
      <c r="K34795" s="711"/>
      <c r="L34795" s="711"/>
      <c r="Q34795" s="11"/>
      <c r="R34795" s="11"/>
      <c r="S34795" s="11"/>
      <c r="T34795" s="11"/>
    </row>
    <row r="34796" spans="8:20" x14ac:dyDescent="0.35">
      <c r="H34796" s="711"/>
      <c r="I34796" s="711"/>
      <c r="J34796" s="711"/>
      <c r="K34796" s="711"/>
      <c r="L34796" s="711"/>
      <c r="Q34796" s="11"/>
      <c r="R34796" s="11"/>
      <c r="S34796" s="11"/>
      <c r="T34796" s="11"/>
    </row>
    <row r="34797" spans="8:20" x14ac:dyDescent="0.35">
      <c r="H34797" s="711"/>
      <c r="I34797" s="711"/>
      <c r="J34797" s="711"/>
      <c r="K34797" s="711"/>
      <c r="L34797" s="711"/>
      <c r="Q34797" s="11"/>
      <c r="R34797" s="11"/>
      <c r="S34797" s="11"/>
      <c r="T34797" s="11"/>
    </row>
    <row r="34798" spans="8:20" x14ac:dyDescent="0.35">
      <c r="H34798" s="711"/>
      <c r="I34798" s="711"/>
      <c r="J34798" s="711"/>
      <c r="K34798" s="711"/>
      <c r="L34798" s="711"/>
      <c r="Q34798" s="11"/>
      <c r="R34798" s="11"/>
      <c r="S34798" s="11"/>
      <c r="T34798" s="11"/>
    </row>
    <row r="34799" spans="8:20" x14ac:dyDescent="0.35">
      <c r="H34799" s="711"/>
      <c r="I34799" s="711"/>
      <c r="J34799" s="711"/>
      <c r="K34799" s="711"/>
      <c r="L34799" s="711"/>
      <c r="Q34799" s="11"/>
      <c r="R34799" s="11"/>
      <c r="S34799" s="11"/>
      <c r="T34799" s="11"/>
    </row>
    <row r="34800" spans="8:20" x14ac:dyDescent="0.35">
      <c r="H34800" s="711"/>
      <c r="I34800" s="711"/>
      <c r="J34800" s="711"/>
      <c r="K34800" s="711"/>
      <c r="L34800" s="711"/>
      <c r="Q34800" s="11"/>
      <c r="R34800" s="11"/>
      <c r="S34800" s="11"/>
      <c r="T34800" s="11"/>
    </row>
    <row r="34801" spans="8:20" x14ac:dyDescent="0.35">
      <c r="H34801" s="711"/>
      <c r="I34801" s="711"/>
      <c r="J34801" s="711"/>
      <c r="K34801" s="711"/>
      <c r="L34801" s="711"/>
      <c r="Q34801" s="11"/>
      <c r="R34801" s="11"/>
      <c r="S34801" s="11"/>
      <c r="T34801" s="11"/>
    </row>
    <row r="34802" spans="8:20" x14ac:dyDescent="0.35">
      <c r="H34802" s="711"/>
      <c r="I34802" s="711"/>
      <c r="J34802" s="711"/>
      <c r="K34802" s="711"/>
      <c r="L34802" s="711"/>
      <c r="Q34802" s="11"/>
      <c r="R34802" s="11"/>
      <c r="S34802" s="11"/>
      <c r="T34802" s="11"/>
    </row>
    <row r="34803" spans="8:20" x14ac:dyDescent="0.35">
      <c r="H34803" s="711"/>
      <c r="I34803" s="711"/>
      <c r="J34803" s="711"/>
      <c r="K34803" s="711"/>
      <c r="L34803" s="711"/>
      <c r="Q34803" s="11"/>
      <c r="R34803" s="11"/>
      <c r="S34803" s="11"/>
      <c r="T34803" s="11"/>
    </row>
    <row r="34804" spans="8:20" x14ac:dyDescent="0.35">
      <c r="H34804" s="711"/>
      <c r="I34804" s="711"/>
      <c r="J34804" s="711"/>
      <c r="K34804" s="711"/>
      <c r="L34804" s="711"/>
      <c r="Q34804" s="11"/>
      <c r="R34804" s="11"/>
      <c r="S34804" s="11"/>
      <c r="T34804" s="11"/>
    </row>
    <row r="34805" spans="8:20" x14ac:dyDescent="0.35">
      <c r="H34805" s="711"/>
      <c r="I34805" s="711"/>
      <c r="J34805" s="711"/>
      <c r="K34805" s="711"/>
      <c r="L34805" s="711"/>
      <c r="Q34805" s="11"/>
      <c r="R34805" s="11"/>
      <c r="S34805" s="11"/>
      <c r="T34805" s="11"/>
    </row>
    <row r="34806" spans="8:20" x14ac:dyDescent="0.35">
      <c r="H34806" s="711"/>
      <c r="I34806" s="711"/>
      <c r="J34806" s="711"/>
      <c r="K34806" s="711"/>
      <c r="L34806" s="711"/>
      <c r="Q34806" s="11"/>
      <c r="R34806" s="11"/>
      <c r="S34806" s="11"/>
      <c r="T34806" s="11"/>
    </row>
    <row r="34807" spans="8:20" x14ac:dyDescent="0.35">
      <c r="H34807" s="711"/>
      <c r="I34807" s="711"/>
      <c r="J34807" s="711"/>
      <c r="K34807" s="711"/>
      <c r="L34807" s="711"/>
      <c r="Q34807" s="11"/>
      <c r="R34807" s="11"/>
      <c r="S34807" s="11"/>
      <c r="T34807" s="11"/>
    </row>
    <row r="34808" spans="8:20" x14ac:dyDescent="0.35">
      <c r="H34808" s="711"/>
      <c r="I34808" s="711"/>
      <c r="J34808" s="711"/>
      <c r="K34808" s="711"/>
      <c r="L34808" s="711"/>
      <c r="Q34808" s="11"/>
      <c r="R34808" s="11"/>
      <c r="S34808" s="11"/>
      <c r="T34808" s="11"/>
    </row>
    <row r="34809" spans="8:20" x14ac:dyDescent="0.35">
      <c r="H34809" s="711"/>
      <c r="I34809" s="711"/>
      <c r="J34809" s="711"/>
      <c r="K34809" s="711"/>
      <c r="L34809" s="711"/>
      <c r="Q34809" s="11"/>
      <c r="R34809" s="11"/>
      <c r="S34809" s="11"/>
      <c r="T34809" s="11"/>
    </row>
    <row r="34810" spans="8:20" x14ac:dyDescent="0.35">
      <c r="H34810" s="711"/>
      <c r="I34810" s="711"/>
      <c r="J34810" s="711"/>
      <c r="K34810" s="711"/>
      <c r="L34810" s="711"/>
      <c r="Q34810" s="11"/>
      <c r="R34810" s="11"/>
      <c r="S34810" s="11"/>
      <c r="T34810" s="11"/>
    </row>
    <row r="34811" spans="8:20" x14ac:dyDescent="0.35">
      <c r="H34811" s="711"/>
      <c r="I34811" s="711"/>
      <c r="J34811" s="711"/>
      <c r="K34811" s="711"/>
      <c r="L34811" s="711"/>
      <c r="Q34811" s="11"/>
      <c r="R34811" s="11"/>
      <c r="S34811" s="11"/>
      <c r="T34811" s="11"/>
    </row>
    <row r="34812" spans="8:20" x14ac:dyDescent="0.35">
      <c r="H34812" s="711"/>
      <c r="I34812" s="711"/>
      <c r="J34812" s="711"/>
      <c r="K34812" s="711"/>
      <c r="L34812" s="711"/>
      <c r="Q34812" s="11"/>
      <c r="R34812" s="11"/>
      <c r="S34812" s="11"/>
      <c r="T34812" s="11"/>
    </row>
    <row r="34813" spans="8:20" x14ac:dyDescent="0.35">
      <c r="H34813" s="711"/>
      <c r="I34813" s="711"/>
      <c r="J34813" s="711"/>
      <c r="K34813" s="711"/>
      <c r="L34813" s="711"/>
      <c r="Q34813" s="11"/>
      <c r="R34813" s="11"/>
      <c r="S34813" s="11"/>
      <c r="T34813" s="11"/>
    </row>
    <row r="34814" spans="8:20" x14ac:dyDescent="0.35">
      <c r="H34814" s="711"/>
      <c r="I34814" s="711"/>
      <c r="J34814" s="711"/>
      <c r="K34814" s="711"/>
      <c r="L34814" s="711"/>
      <c r="Q34814" s="11"/>
      <c r="R34814" s="11"/>
      <c r="S34814" s="11"/>
      <c r="T34814" s="11"/>
    </row>
    <row r="34815" spans="8:20" x14ac:dyDescent="0.35">
      <c r="H34815" s="711"/>
      <c r="I34815" s="711"/>
      <c r="J34815" s="711"/>
      <c r="K34815" s="711"/>
      <c r="L34815" s="711"/>
      <c r="Q34815" s="11"/>
      <c r="R34815" s="11"/>
      <c r="S34815" s="11"/>
      <c r="T34815" s="11"/>
    </row>
    <row r="34816" spans="8:20" x14ac:dyDescent="0.35">
      <c r="H34816" s="711"/>
      <c r="I34816" s="711"/>
      <c r="J34816" s="711"/>
      <c r="K34816" s="711"/>
      <c r="L34816" s="711"/>
      <c r="Q34816" s="11"/>
      <c r="R34816" s="11"/>
      <c r="S34816" s="11"/>
      <c r="T34816" s="11"/>
    </row>
    <row r="34817" spans="8:20" x14ac:dyDescent="0.35">
      <c r="H34817" s="711"/>
      <c r="I34817" s="711"/>
      <c r="J34817" s="711"/>
      <c r="K34817" s="711"/>
      <c r="L34817" s="711"/>
      <c r="Q34817" s="11"/>
      <c r="R34817" s="11"/>
      <c r="S34817" s="11"/>
      <c r="T34817" s="11"/>
    </row>
    <row r="34818" spans="8:20" x14ac:dyDescent="0.35">
      <c r="H34818" s="711"/>
      <c r="I34818" s="711"/>
      <c r="J34818" s="711"/>
      <c r="K34818" s="711"/>
      <c r="L34818" s="711"/>
      <c r="Q34818" s="11"/>
      <c r="R34818" s="11"/>
      <c r="S34818" s="11"/>
      <c r="T34818" s="11"/>
    </row>
    <row r="34819" spans="8:20" x14ac:dyDescent="0.35">
      <c r="H34819" s="711"/>
      <c r="I34819" s="711"/>
      <c r="J34819" s="711"/>
      <c r="K34819" s="711"/>
      <c r="L34819" s="711"/>
      <c r="Q34819" s="11"/>
      <c r="R34819" s="11"/>
      <c r="S34819" s="11"/>
      <c r="T34819" s="11"/>
    </row>
    <row r="34820" spans="8:20" x14ac:dyDescent="0.35">
      <c r="H34820" s="711"/>
      <c r="I34820" s="711"/>
      <c r="J34820" s="711"/>
      <c r="K34820" s="711"/>
      <c r="L34820" s="711"/>
      <c r="Q34820" s="11"/>
      <c r="R34820" s="11"/>
      <c r="S34820" s="11"/>
      <c r="T34820" s="11"/>
    </row>
    <row r="34821" spans="8:20" x14ac:dyDescent="0.35">
      <c r="H34821" s="711"/>
      <c r="I34821" s="711"/>
      <c r="J34821" s="711"/>
      <c r="K34821" s="711"/>
      <c r="L34821" s="711"/>
      <c r="Q34821" s="11"/>
      <c r="R34821" s="11"/>
      <c r="S34821" s="11"/>
      <c r="T34821" s="11"/>
    </row>
    <row r="34822" spans="8:20" x14ac:dyDescent="0.35">
      <c r="H34822" s="711"/>
      <c r="I34822" s="711"/>
      <c r="J34822" s="711"/>
      <c r="K34822" s="711"/>
      <c r="L34822" s="711"/>
      <c r="Q34822" s="11"/>
      <c r="R34822" s="11"/>
      <c r="S34822" s="11"/>
      <c r="T34822" s="11"/>
    </row>
    <row r="34823" spans="8:20" x14ac:dyDescent="0.35">
      <c r="H34823" s="711"/>
      <c r="I34823" s="711"/>
      <c r="J34823" s="711"/>
      <c r="K34823" s="711"/>
      <c r="L34823" s="711"/>
      <c r="Q34823" s="11"/>
      <c r="R34823" s="11"/>
      <c r="S34823" s="11"/>
      <c r="T34823" s="11"/>
    </row>
    <row r="34824" spans="8:20" x14ac:dyDescent="0.35">
      <c r="H34824" s="711"/>
      <c r="I34824" s="711"/>
      <c r="J34824" s="711"/>
      <c r="K34824" s="711"/>
      <c r="L34824" s="711"/>
      <c r="Q34824" s="11"/>
      <c r="R34824" s="11"/>
      <c r="S34824" s="11"/>
      <c r="T34824" s="11"/>
    </row>
    <row r="34825" spans="8:20" x14ac:dyDescent="0.35">
      <c r="H34825" s="711"/>
      <c r="I34825" s="711"/>
      <c r="J34825" s="711"/>
      <c r="K34825" s="711"/>
      <c r="L34825" s="711"/>
      <c r="Q34825" s="11"/>
      <c r="R34825" s="11"/>
      <c r="S34825" s="11"/>
      <c r="T34825" s="11"/>
    </row>
    <row r="34826" spans="8:20" x14ac:dyDescent="0.35">
      <c r="H34826" s="711"/>
      <c r="I34826" s="711"/>
      <c r="J34826" s="711"/>
      <c r="K34826" s="711"/>
      <c r="L34826" s="711"/>
      <c r="Q34826" s="11"/>
      <c r="R34826" s="11"/>
      <c r="S34826" s="11"/>
      <c r="T34826" s="11"/>
    </row>
    <row r="34827" spans="8:20" x14ac:dyDescent="0.35">
      <c r="H34827" s="711"/>
      <c r="I34827" s="711"/>
      <c r="J34827" s="711"/>
      <c r="K34827" s="711"/>
      <c r="L34827" s="711"/>
      <c r="Q34827" s="11"/>
      <c r="R34827" s="11"/>
      <c r="S34827" s="11"/>
      <c r="T34827" s="11"/>
    </row>
    <row r="34828" spans="8:20" x14ac:dyDescent="0.35">
      <c r="H34828" s="711"/>
      <c r="I34828" s="711"/>
      <c r="J34828" s="711"/>
      <c r="K34828" s="711"/>
      <c r="L34828" s="711"/>
      <c r="Q34828" s="11"/>
      <c r="R34828" s="11"/>
      <c r="S34828" s="11"/>
      <c r="T34828" s="11"/>
    </row>
    <row r="34829" spans="8:20" x14ac:dyDescent="0.35">
      <c r="H34829" s="711"/>
      <c r="I34829" s="711"/>
      <c r="J34829" s="711"/>
      <c r="K34829" s="711"/>
      <c r="L34829" s="711"/>
      <c r="Q34829" s="11"/>
      <c r="R34829" s="11"/>
      <c r="S34829" s="11"/>
      <c r="T34829" s="11"/>
    </row>
    <row r="34830" spans="8:20" x14ac:dyDescent="0.35">
      <c r="H34830" s="711"/>
      <c r="I34830" s="711"/>
      <c r="J34830" s="711"/>
      <c r="K34830" s="711"/>
      <c r="L34830" s="711"/>
      <c r="Q34830" s="11"/>
      <c r="R34830" s="11"/>
      <c r="S34830" s="11"/>
      <c r="T34830" s="11"/>
    </row>
    <row r="34831" spans="8:20" x14ac:dyDescent="0.35">
      <c r="H34831" s="711"/>
      <c r="I34831" s="711"/>
      <c r="J34831" s="711"/>
      <c r="K34831" s="711"/>
      <c r="L34831" s="711"/>
      <c r="Q34831" s="11"/>
      <c r="R34831" s="11"/>
      <c r="S34831" s="11"/>
      <c r="T34831" s="11"/>
    </row>
    <row r="34832" spans="8:20" x14ac:dyDescent="0.35">
      <c r="H34832" s="711"/>
      <c r="I34832" s="711"/>
      <c r="J34832" s="711"/>
      <c r="K34832" s="711"/>
      <c r="L34832" s="711"/>
      <c r="Q34832" s="11"/>
      <c r="R34832" s="11"/>
      <c r="S34832" s="11"/>
      <c r="T34832" s="11"/>
    </row>
    <row r="34833" spans="8:20" x14ac:dyDescent="0.35">
      <c r="H34833" s="711"/>
      <c r="I34833" s="711"/>
      <c r="J34833" s="711"/>
      <c r="K34833" s="711"/>
      <c r="L34833" s="711"/>
      <c r="Q34833" s="11"/>
      <c r="R34833" s="11"/>
      <c r="S34833" s="11"/>
      <c r="T34833" s="11"/>
    </row>
    <row r="34834" spans="8:20" x14ac:dyDescent="0.35">
      <c r="H34834" s="711"/>
      <c r="I34834" s="711"/>
      <c r="J34834" s="711"/>
      <c r="K34834" s="711"/>
      <c r="L34834" s="711"/>
      <c r="Q34834" s="11"/>
      <c r="R34834" s="11"/>
      <c r="S34834" s="11"/>
      <c r="T34834" s="11"/>
    </row>
    <row r="34835" spans="8:20" x14ac:dyDescent="0.35">
      <c r="H34835" s="711"/>
      <c r="I34835" s="711"/>
      <c r="J34835" s="711"/>
      <c r="K34835" s="711"/>
      <c r="L34835" s="711"/>
      <c r="Q34835" s="11"/>
      <c r="R34835" s="11"/>
      <c r="S34835" s="11"/>
      <c r="T34835" s="11"/>
    </row>
    <row r="34836" spans="8:20" x14ac:dyDescent="0.35">
      <c r="H34836" s="711"/>
      <c r="I34836" s="711"/>
      <c r="J34836" s="711"/>
      <c r="K34836" s="711"/>
      <c r="L34836" s="711"/>
      <c r="Q34836" s="11"/>
      <c r="R34836" s="11"/>
      <c r="S34836" s="11"/>
      <c r="T34836" s="11"/>
    </row>
    <row r="34837" spans="8:20" x14ac:dyDescent="0.35">
      <c r="H34837" s="711"/>
      <c r="I34837" s="711"/>
      <c r="J34837" s="711"/>
      <c r="K34837" s="711"/>
      <c r="L34837" s="711"/>
      <c r="Q34837" s="11"/>
      <c r="R34837" s="11"/>
      <c r="S34837" s="11"/>
      <c r="T34837" s="11"/>
    </row>
    <row r="34838" spans="8:20" x14ac:dyDescent="0.35">
      <c r="H34838" s="711"/>
      <c r="I34838" s="711"/>
      <c r="J34838" s="711"/>
      <c r="K34838" s="711"/>
      <c r="L34838" s="711"/>
      <c r="Q34838" s="11"/>
      <c r="R34838" s="11"/>
      <c r="S34838" s="11"/>
      <c r="T34838" s="11"/>
    </row>
    <row r="34839" spans="8:20" x14ac:dyDescent="0.35">
      <c r="H34839" s="711"/>
      <c r="I34839" s="711"/>
      <c r="J34839" s="711"/>
      <c r="K34839" s="711"/>
      <c r="L34839" s="711"/>
      <c r="Q34839" s="11"/>
      <c r="R34839" s="11"/>
      <c r="S34839" s="11"/>
      <c r="T34839" s="11"/>
    </row>
    <row r="34840" spans="8:20" x14ac:dyDescent="0.35">
      <c r="H34840" s="711"/>
      <c r="I34840" s="711"/>
      <c r="J34840" s="711"/>
      <c r="K34840" s="711"/>
      <c r="L34840" s="711"/>
      <c r="Q34840" s="11"/>
      <c r="R34840" s="11"/>
      <c r="S34840" s="11"/>
      <c r="T34840" s="11"/>
    </row>
    <row r="34841" spans="8:20" x14ac:dyDescent="0.35">
      <c r="H34841" s="711"/>
      <c r="I34841" s="711"/>
      <c r="J34841" s="711"/>
      <c r="K34841" s="711"/>
      <c r="L34841" s="711"/>
      <c r="Q34841" s="11"/>
      <c r="R34841" s="11"/>
      <c r="S34841" s="11"/>
      <c r="T34841" s="11"/>
    </row>
    <row r="34842" spans="8:20" x14ac:dyDescent="0.35">
      <c r="H34842" s="711"/>
      <c r="I34842" s="711"/>
      <c r="J34842" s="711"/>
      <c r="K34842" s="711"/>
      <c r="L34842" s="711"/>
      <c r="Q34842" s="11"/>
      <c r="R34842" s="11"/>
      <c r="S34842" s="11"/>
      <c r="T34842" s="11"/>
    </row>
    <row r="34843" spans="8:20" x14ac:dyDescent="0.35">
      <c r="H34843" s="711"/>
      <c r="I34843" s="711"/>
      <c r="J34843" s="711"/>
      <c r="K34843" s="711"/>
      <c r="L34843" s="711"/>
      <c r="Q34843" s="11"/>
      <c r="R34843" s="11"/>
      <c r="S34843" s="11"/>
      <c r="T34843" s="11"/>
    </row>
    <row r="34844" spans="8:20" x14ac:dyDescent="0.35">
      <c r="H34844" s="711"/>
      <c r="I34844" s="711"/>
      <c r="J34844" s="711"/>
      <c r="K34844" s="711"/>
      <c r="L34844" s="711"/>
      <c r="Q34844" s="11"/>
      <c r="R34844" s="11"/>
      <c r="S34844" s="11"/>
      <c r="T34844" s="11"/>
    </row>
    <row r="34845" spans="8:20" x14ac:dyDescent="0.35">
      <c r="H34845" s="711"/>
      <c r="I34845" s="711"/>
      <c r="J34845" s="711"/>
      <c r="K34845" s="711"/>
      <c r="L34845" s="711"/>
      <c r="Q34845" s="11"/>
      <c r="R34845" s="11"/>
      <c r="S34845" s="11"/>
      <c r="T34845" s="11"/>
    </row>
    <row r="34846" spans="8:20" x14ac:dyDescent="0.35">
      <c r="H34846" s="711"/>
      <c r="I34846" s="711"/>
      <c r="J34846" s="711"/>
      <c r="K34846" s="711"/>
      <c r="L34846" s="711"/>
      <c r="Q34846" s="11"/>
      <c r="R34846" s="11"/>
      <c r="S34846" s="11"/>
      <c r="T34846" s="11"/>
    </row>
    <row r="34847" spans="8:20" x14ac:dyDescent="0.35">
      <c r="H34847" s="711"/>
      <c r="I34847" s="711"/>
      <c r="J34847" s="711"/>
      <c r="K34847" s="711"/>
      <c r="L34847" s="711"/>
      <c r="Q34847" s="11"/>
      <c r="R34847" s="11"/>
      <c r="S34847" s="11"/>
      <c r="T34847" s="11"/>
    </row>
    <row r="34848" spans="8:20" x14ac:dyDescent="0.35">
      <c r="H34848" s="711"/>
      <c r="I34848" s="711"/>
      <c r="J34848" s="711"/>
      <c r="K34848" s="711"/>
      <c r="L34848" s="711"/>
      <c r="Q34848" s="11"/>
      <c r="R34848" s="11"/>
      <c r="S34848" s="11"/>
      <c r="T34848" s="11"/>
    </row>
    <row r="34849" spans="8:20" x14ac:dyDescent="0.35">
      <c r="H34849" s="711"/>
      <c r="I34849" s="711"/>
      <c r="J34849" s="711"/>
      <c r="K34849" s="711"/>
      <c r="L34849" s="711"/>
      <c r="Q34849" s="11"/>
      <c r="R34849" s="11"/>
      <c r="S34849" s="11"/>
      <c r="T34849" s="11"/>
    </row>
    <row r="34850" spans="8:20" x14ac:dyDescent="0.35">
      <c r="H34850" s="711"/>
      <c r="I34850" s="711"/>
      <c r="J34850" s="711"/>
      <c r="K34850" s="711"/>
      <c r="L34850" s="711"/>
      <c r="Q34850" s="11"/>
      <c r="R34850" s="11"/>
      <c r="S34850" s="11"/>
      <c r="T34850" s="11"/>
    </row>
    <row r="34851" spans="8:20" x14ac:dyDescent="0.35">
      <c r="H34851" s="711"/>
      <c r="I34851" s="711"/>
      <c r="J34851" s="711"/>
      <c r="K34851" s="711"/>
      <c r="L34851" s="711"/>
      <c r="Q34851" s="11"/>
      <c r="R34851" s="11"/>
      <c r="S34851" s="11"/>
      <c r="T34851" s="11"/>
    </row>
    <row r="34852" spans="8:20" x14ac:dyDescent="0.35">
      <c r="H34852" s="711"/>
      <c r="I34852" s="711"/>
      <c r="J34852" s="711"/>
      <c r="K34852" s="711"/>
      <c r="L34852" s="711"/>
      <c r="Q34852" s="11"/>
      <c r="R34852" s="11"/>
      <c r="S34852" s="11"/>
      <c r="T34852" s="11"/>
    </row>
    <row r="34853" spans="8:20" x14ac:dyDescent="0.35">
      <c r="H34853" s="711"/>
      <c r="I34853" s="711"/>
      <c r="J34853" s="711"/>
      <c r="K34853" s="711"/>
      <c r="L34853" s="711"/>
      <c r="Q34853" s="11"/>
      <c r="R34853" s="11"/>
      <c r="S34853" s="11"/>
      <c r="T34853" s="11"/>
    </row>
    <row r="34854" spans="8:20" x14ac:dyDescent="0.35">
      <c r="H34854" s="711"/>
      <c r="I34854" s="711"/>
      <c r="J34854" s="711"/>
      <c r="K34854" s="711"/>
      <c r="L34854" s="711"/>
      <c r="Q34854" s="11"/>
      <c r="R34854" s="11"/>
      <c r="S34854" s="11"/>
      <c r="T34854" s="11"/>
    </row>
    <row r="34855" spans="8:20" x14ac:dyDescent="0.35">
      <c r="H34855" s="711"/>
      <c r="I34855" s="711"/>
      <c r="J34855" s="711"/>
      <c r="K34855" s="711"/>
      <c r="L34855" s="711"/>
      <c r="Q34855" s="11"/>
      <c r="R34855" s="11"/>
      <c r="S34855" s="11"/>
      <c r="T34855" s="11"/>
    </row>
    <row r="34856" spans="8:20" x14ac:dyDescent="0.35">
      <c r="H34856" s="711"/>
      <c r="I34856" s="711"/>
      <c r="J34856" s="711"/>
      <c r="K34856" s="711"/>
      <c r="L34856" s="711"/>
      <c r="Q34856" s="11"/>
      <c r="R34856" s="11"/>
      <c r="S34856" s="11"/>
      <c r="T34856" s="11"/>
    </row>
    <row r="34857" spans="8:20" x14ac:dyDescent="0.35">
      <c r="H34857" s="711"/>
      <c r="I34857" s="711"/>
      <c r="J34857" s="711"/>
      <c r="K34857" s="711"/>
      <c r="L34857" s="711"/>
      <c r="Q34857" s="11"/>
      <c r="R34857" s="11"/>
      <c r="S34857" s="11"/>
      <c r="T34857" s="11"/>
    </row>
    <row r="34858" spans="8:20" x14ac:dyDescent="0.35">
      <c r="H34858" s="711"/>
      <c r="I34858" s="711"/>
      <c r="J34858" s="711"/>
      <c r="K34858" s="711"/>
      <c r="L34858" s="711"/>
      <c r="Q34858" s="11"/>
      <c r="R34858" s="11"/>
      <c r="S34858" s="11"/>
      <c r="T34858" s="11"/>
    </row>
    <row r="34859" spans="8:20" x14ac:dyDescent="0.35">
      <c r="H34859" s="711"/>
      <c r="I34859" s="711"/>
      <c r="J34859" s="711"/>
      <c r="K34859" s="711"/>
      <c r="L34859" s="711"/>
      <c r="Q34859" s="11"/>
      <c r="R34859" s="11"/>
      <c r="S34859" s="11"/>
      <c r="T34859" s="11"/>
    </row>
    <row r="34860" spans="8:20" x14ac:dyDescent="0.35">
      <c r="H34860" s="711"/>
      <c r="I34860" s="711"/>
      <c r="J34860" s="711"/>
      <c r="K34860" s="711"/>
      <c r="L34860" s="711"/>
      <c r="Q34860" s="11"/>
      <c r="R34860" s="11"/>
      <c r="S34860" s="11"/>
      <c r="T34860" s="11"/>
    </row>
    <row r="34861" spans="8:20" x14ac:dyDescent="0.35">
      <c r="H34861" s="711"/>
      <c r="I34861" s="711"/>
      <c r="J34861" s="711"/>
      <c r="K34861" s="711"/>
      <c r="L34861" s="711"/>
      <c r="Q34861" s="11"/>
      <c r="R34861" s="11"/>
      <c r="S34861" s="11"/>
      <c r="T34861" s="11"/>
    </row>
    <row r="34862" spans="8:20" x14ac:dyDescent="0.35">
      <c r="H34862" s="711"/>
      <c r="I34862" s="711"/>
      <c r="J34862" s="711"/>
      <c r="K34862" s="711"/>
      <c r="L34862" s="711"/>
      <c r="Q34862" s="11"/>
      <c r="R34862" s="11"/>
      <c r="S34862" s="11"/>
      <c r="T34862" s="11"/>
    </row>
    <row r="34863" spans="8:20" x14ac:dyDescent="0.35">
      <c r="H34863" s="711"/>
      <c r="I34863" s="711"/>
      <c r="J34863" s="711"/>
      <c r="K34863" s="711"/>
      <c r="L34863" s="711"/>
      <c r="Q34863" s="11"/>
      <c r="R34863" s="11"/>
      <c r="S34863" s="11"/>
      <c r="T34863" s="11"/>
    </row>
    <row r="34864" spans="8:20" x14ac:dyDescent="0.35">
      <c r="H34864" s="711"/>
      <c r="I34864" s="711"/>
      <c r="J34864" s="711"/>
      <c r="K34864" s="711"/>
      <c r="L34864" s="711"/>
      <c r="Q34864" s="11"/>
      <c r="R34864" s="11"/>
      <c r="S34864" s="11"/>
      <c r="T34864" s="11"/>
    </row>
    <row r="34865" spans="8:20" x14ac:dyDescent="0.35">
      <c r="H34865" s="711"/>
      <c r="I34865" s="711"/>
      <c r="J34865" s="711"/>
      <c r="K34865" s="711"/>
      <c r="L34865" s="711"/>
      <c r="Q34865" s="11"/>
      <c r="R34865" s="11"/>
      <c r="S34865" s="11"/>
      <c r="T34865" s="11"/>
    </row>
    <row r="34866" spans="8:20" x14ac:dyDescent="0.35">
      <c r="H34866" s="711"/>
      <c r="I34866" s="711"/>
      <c r="J34866" s="711"/>
      <c r="K34866" s="711"/>
      <c r="L34866" s="711"/>
      <c r="Q34866" s="11"/>
      <c r="R34866" s="11"/>
      <c r="S34866" s="11"/>
      <c r="T34866" s="11"/>
    </row>
    <row r="34867" spans="8:20" x14ac:dyDescent="0.35">
      <c r="H34867" s="711"/>
      <c r="I34867" s="711"/>
      <c r="J34867" s="711"/>
      <c r="K34867" s="711"/>
      <c r="L34867" s="711"/>
      <c r="Q34867" s="11"/>
      <c r="R34867" s="11"/>
      <c r="S34867" s="11"/>
      <c r="T34867" s="11"/>
    </row>
    <row r="34868" spans="8:20" x14ac:dyDescent="0.35">
      <c r="H34868" s="711"/>
      <c r="I34868" s="711"/>
      <c r="J34868" s="711"/>
      <c r="K34868" s="711"/>
      <c r="L34868" s="711"/>
      <c r="Q34868" s="11"/>
      <c r="R34868" s="11"/>
      <c r="S34868" s="11"/>
      <c r="T34868" s="11"/>
    </row>
    <row r="34869" spans="8:20" x14ac:dyDescent="0.35">
      <c r="H34869" s="711"/>
      <c r="I34869" s="711"/>
      <c r="J34869" s="711"/>
      <c r="K34869" s="711"/>
      <c r="L34869" s="711"/>
      <c r="Q34869" s="11"/>
      <c r="R34869" s="11"/>
      <c r="S34869" s="11"/>
      <c r="T34869" s="11"/>
    </row>
    <row r="34870" spans="8:20" x14ac:dyDescent="0.35">
      <c r="H34870" s="711"/>
      <c r="I34870" s="711"/>
      <c r="J34870" s="711"/>
      <c r="K34870" s="711"/>
      <c r="L34870" s="711"/>
      <c r="Q34870" s="11"/>
      <c r="R34870" s="11"/>
      <c r="S34870" s="11"/>
      <c r="T34870" s="11"/>
    </row>
    <row r="34871" spans="8:20" x14ac:dyDescent="0.35">
      <c r="H34871" s="711"/>
      <c r="I34871" s="711"/>
      <c r="J34871" s="711"/>
      <c r="K34871" s="711"/>
      <c r="L34871" s="711"/>
      <c r="Q34871" s="11"/>
      <c r="R34871" s="11"/>
      <c r="S34871" s="11"/>
      <c r="T34871" s="11"/>
    </row>
    <row r="34872" spans="8:20" x14ac:dyDescent="0.35">
      <c r="H34872" s="711"/>
      <c r="I34872" s="711"/>
      <c r="J34872" s="711"/>
      <c r="K34872" s="711"/>
      <c r="L34872" s="711"/>
      <c r="Q34872" s="11"/>
      <c r="R34872" s="11"/>
      <c r="S34872" s="11"/>
      <c r="T34872" s="11"/>
    </row>
    <row r="34873" spans="8:20" x14ac:dyDescent="0.35">
      <c r="H34873" s="711"/>
      <c r="I34873" s="711"/>
      <c r="J34873" s="711"/>
      <c r="K34873" s="711"/>
      <c r="L34873" s="711"/>
      <c r="Q34873" s="11"/>
      <c r="R34873" s="11"/>
      <c r="S34873" s="11"/>
      <c r="T34873" s="11"/>
    </row>
    <row r="34874" spans="8:20" x14ac:dyDescent="0.35">
      <c r="H34874" s="711"/>
      <c r="I34874" s="711"/>
      <c r="J34874" s="711"/>
      <c r="K34874" s="711"/>
      <c r="L34874" s="711"/>
      <c r="Q34874" s="11"/>
      <c r="R34874" s="11"/>
      <c r="S34874" s="11"/>
      <c r="T34874" s="11"/>
    </row>
    <row r="34875" spans="8:20" x14ac:dyDescent="0.35">
      <c r="H34875" s="711"/>
      <c r="I34875" s="711"/>
      <c r="J34875" s="711"/>
      <c r="K34875" s="711"/>
      <c r="L34875" s="711"/>
      <c r="Q34875" s="11"/>
      <c r="R34875" s="11"/>
      <c r="S34875" s="11"/>
      <c r="T34875" s="11"/>
    </row>
    <row r="34876" spans="8:20" x14ac:dyDescent="0.35">
      <c r="H34876" s="711"/>
      <c r="I34876" s="711"/>
      <c r="J34876" s="711"/>
      <c r="K34876" s="711"/>
      <c r="L34876" s="711"/>
      <c r="Q34876" s="11"/>
      <c r="R34876" s="11"/>
      <c r="S34876" s="11"/>
      <c r="T34876" s="11"/>
    </row>
    <row r="34877" spans="8:20" x14ac:dyDescent="0.35">
      <c r="H34877" s="711"/>
      <c r="I34877" s="711"/>
      <c r="J34877" s="711"/>
      <c r="K34877" s="711"/>
      <c r="L34877" s="711"/>
      <c r="Q34877" s="11"/>
      <c r="R34877" s="11"/>
      <c r="S34877" s="11"/>
      <c r="T34877" s="11"/>
    </row>
    <row r="34878" spans="8:20" x14ac:dyDescent="0.35">
      <c r="H34878" s="711"/>
      <c r="I34878" s="711"/>
      <c r="J34878" s="711"/>
      <c r="K34878" s="711"/>
      <c r="L34878" s="711"/>
      <c r="Q34878" s="11"/>
      <c r="R34878" s="11"/>
      <c r="S34878" s="11"/>
      <c r="T34878" s="11"/>
    </row>
    <row r="34879" spans="8:20" x14ac:dyDescent="0.35">
      <c r="H34879" s="711"/>
      <c r="I34879" s="711"/>
      <c r="J34879" s="711"/>
      <c r="K34879" s="711"/>
      <c r="L34879" s="711"/>
      <c r="Q34879" s="11"/>
      <c r="R34879" s="11"/>
      <c r="S34879" s="11"/>
      <c r="T34879" s="11"/>
    </row>
    <row r="34880" spans="8:20" x14ac:dyDescent="0.35">
      <c r="H34880" s="711"/>
      <c r="I34880" s="711"/>
      <c r="J34880" s="711"/>
      <c r="K34880" s="711"/>
      <c r="L34880" s="711"/>
      <c r="Q34880" s="11"/>
      <c r="R34880" s="11"/>
      <c r="S34880" s="11"/>
      <c r="T34880" s="11"/>
    </row>
    <row r="34881" spans="8:20" x14ac:dyDescent="0.35">
      <c r="H34881" s="711"/>
      <c r="I34881" s="711"/>
      <c r="J34881" s="711"/>
      <c r="K34881" s="711"/>
      <c r="L34881" s="711"/>
      <c r="Q34881" s="11"/>
      <c r="R34881" s="11"/>
      <c r="S34881" s="11"/>
      <c r="T34881" s="11"/>
    </row>
    <row r="34882" spans="8:20" x14ac:dyDescent="0.35">
      <c r="H34882" s="711"/>
      <c r="I34882" s="711"/>
      <c r="J34882" s="711"/>
      <c r="K34882" s="711"/>
      <c r="L34882" s="711"/>
      <c r="Q34882" s="11"/>
      <c r="R34882" s="11"/>
      <c r="S34882" s="11"/>
      <c r="T34882" s="11"/>
    </row>
    <row r="34883" spans="8:20" x14ac:dyDescent="0.35">
      <c r="H34883" s="711"/>
      <c r="I34883" s="711"/>
      <c r="J34883" s="711"/>
      <c r="K34883" s="711"/>
      <c r="L34883" s="711"/>
      <c r="Q34883" s="11"/>
      <c r="R34883" s="11"/>
      <c r="S34883" s="11"/>
      <c r="T34883" s="11"/>
    </row>
    <row r="34884" spans="8:20" x14ac:dyDescent="0.35">
      <c r="H34884" s="711"/>
      <c r="I34884" s="711"/>
      <c r="J34884" s="711"/>
      <c r="K34884" s="711"/>
      <c r="L34884" s="711"/>
      <c r="Q34884" s="11"/>
      <c r="R34884" s="11"/>
      <c r="S34884" s="11"/>
      <c r="T34884" s="11"/>
    </row>
    <row r="34885" spans="8:20" x14ac:dyDescent="0.35">
      <c r="H34885" s="711"/>
      <c r="I34885" s="711"/>
      <c r="J34885" s="711"/>
      <c r="K34885" s="711"/>
      <c r="L34885" s="711"/>
      <c r="Q34885" s="11"/>
      <c r="R34885" s="11"/>
      <c r="S34885" s="11"/>
      <c r="T34885" s="11"/>
    </row>
    <row r="34886" spans="8:20" x14ac:dyDescent="0.35">
      <c r="H34886" s="711"/>
      <c r="I34886" s="711"/>
      <c r="J34886" s="711"/>
      <c r="K34886" s="711"/>
      <c r="L34886" s="711"/>
      <c r="Q34886" s="11"/>
      <c r="R34886" s="11"/>
      <c r="S34886" s="11"/>
      <c r="T34886" s="11"/>
    </row>
    <row r="34887" spans="8:20" x14ac:dyDescent="0.35">
      <c r="H34887" s="711"/>
      <c r="I34887" s="711"/>
      <c r="J34887" s="711"/>
      <c r="K34887" s="711"/>
      <c r="L34887" s="711"/>
      <c r="Q34887" s="11"/>
      <c r="R34887" s="11"/>
      <c r="S34887" s="11"/>
      <c r="T34887" s="11"/>
    </row>
    <row r="34888" spans="8:20" x14ac:dyDescent="0.35">
      <c r="H34888" s="711"/>
      <c r="I34888" s="711"/>
      <c r="J34888" s="711"/>
      <c r="K34888" s="711"/>
      <c r="L34888" s="711"/>
      <c r="Q34888" s="11"/>
      <c r="R34888" s="11"/>
      <c r="S34888" s="11"/>
      <c r="T34888" s="11"/>
    </row>
    <row r="34889" spans="8:20" x14ac:dyDescent="0.35">
      <c r="H34889" s="711"/>
      <c r="I34889" s="711"/>
      <c r="J34889" s="711"/>
      <c r="K34889" s="711"/>
      <c r="L34889" s="711"/>
      <c r="Q34889" s="11"/>
      <c r="R34889" s="11"/>
      <c r="S34889" s="11"/>
      <c r="T34889" s="11"/>
    </row>
    <row r="34890" spans="8:20" x14ac:dyDescent="0.35">
      <c r="H34890" s="711"/>
      <c r="I34890" s="711"/>
      <c r="J34890" s="711"/>
      <c r="K34890" s="711"/>
      <c r="L34890" s="711"/>
      <c r="Q34890" s="11"/>
      <c r="R34890" s="11"/>
      <c r="S34890" s="11"/>
      <c r="T34890" s="11"/>
    </row>
    <row r="34891" spans="8:20" x14ac:dyDescent="0.35">
      <c r="H34891" s="711"/>
      <c r="I34891" s="711"/>
      <c r="J34891" s="711"/>
      <c r="K34891" s="711"/>
      <c r="L34891" s="711"/>
      <c r="Q34891" s="11"/>
      <c r="R34891" s="11"/>
      <c r="S34891" s="11"/>
      <c r="T34891" s="11"/>
    </row>
    <row r="34892" spans="8:20" x14ac:dyDescent="0.35">
      <c r="H34892" s="711"/>
      <c r="I34892" s="711"/>
      <c r="J34892" s="711"/>
      <c r="K34892" s="711"/>
      <c r="L34892" s="711"/>
      <c r="Q34892" s="11"/>
      <c r="R34892" s="11"/>
      <c r="S34892" s="11"/>
      <c r="T34892" s="11"/>
    </row>
    <row r="34893" spans="8:20" x14ac:dyDescent="0.35">
      <c r="H34893" s="711"/>
      <c r="I34893" s="711"/>
      <c r="J34893" s="711"/>
      <c r="K34893" s="711"/>
      <c r="L34893" s="711"/>
      <c r="Q34893" s="11"/>
      <c r="R34893" s="11"/>
      <c r="S34893" s="11"/>
      <c r="T34893" s="11"/>
    </row>
    <row r="34894" spans="8:20" x14ac:dyDescent="0.35">
      <c r="H34894" s="711"/>
      <c r="I34894" s="711"/>
      <c r="J34894" s="711"/>
      <c r="K34894" s="711"/>
      <c r="L34894" s="711"/>
      <c r="Q34894" s="11"/>
      <c r="R34894" s="11"/>
      <c r="S34894" s="11"/>
      <c r="T34894" s="11"/>
    </row>
    <row r="34895" spans="8:20" x14ac:dyDescent="0.35">
      <c r="H34895" s="711"/>
      <c r="I34895" s="711"/>
      <c r="J34895" s="711"/>
      <c r="K34895" s="711"/>
      <c r="L34895" s="711"/>
      <c r="Q34895" s="11"/>
      <c r="R34895" s="11"/>
      <c r="S34895" s="11"/>
      <c r="T34895" s="11"/>
    </row>
    <row r="34896" spans="8:20" x14ac:dyDescent="0.35">
      <c r="H34896" s="711"/>
      <c r="I34896" s="711"/>
      <c r="J34896" s="711"/>
      <c r="K34896" s="711"/>
      <c r="L34896" s="711"/>
      <c r="Q34896" s="11"/>
      <c r="R34896" s="11"/>
      <c r="S34896" s="11"/>
      <c r="T34896" s="11"/>
    </row>
    <row r="34897" spans="8:20" x14ac:dyDescent="0.35">
      <c r="H34897" s="711"/>
      <c r="I34897" s="711"/>
      <c r="J34897" s="711"/>
      <c r="K34897" s="711"/>
      <c r="L34897" s="711"/>
      <c r="Q34897" s="11"/>
      <c r="R34897" s="11"/>
      <c r="S34897" s="11"/>
      <c r="T34897" s="11"/>
    </row>
    <row r="34898" spans="8:20" x14ac:dyDescent="0.35">
      <c r="H34898" s="711"/>
      <c r="I34898" s="711"/>
      <c r="J34898" s="711"/>
      <c r="K34898" s="711"/>
      <c r="L34898" s="711"/>
      <c r="Q34898" s="11"/>
      <c r="R34898" s="11"/>
      <c r="S34898" s="11"/>
      <c r="T34898" s="11"/>
    </row>
    <row r="34899" spans="8:20" x14ac:dyDescent="0.35">
      <c r="H34899" s="711"/>
      <c r="I34899" s="711"/>
      <c r="J34899" s="711"/>
      <c r="K34899" s="711"/>
      <c r="L34899" s="711"/>
      <c r="Q34899" s="11"/>
      <c r="R34899" s="11"/>
      <c r="S34899" s="11"/>
      <c r="T34899" s="11"/>
    </row>
    <row r="34900" spans="8:20" x14ac:dyDescent="0.35">
      <c r="H34900" s="711"/>
      <c r="I34900" s="711"/>
      <c r="J34900" s="711"/>
      <c r="K34900" s="711"/>
      <c r="L34900" s="711"/>
      <c r="Q34900" s="11"/>
      <c r="R34900" s="11"/>
      <c r="S34900" s="11"/>
      <c r="T34900" s="11"/>
    </row>
    <row r="34901" spans="8:20" x14ac:dyDescent="0.35">
      <c r="H34901" s="711"/>
      <c r="I34901" s="711"/>
      <c r="J34901" s="711"/>
      <c r="K34901" s="711"/>
      <c r="L34901" s="711"/>
      <c r="Q34901" s="11"/>
      <c r="R34901" s="11"/>
      <c r="S34901" s="11"/>
      <c r="T34901" s="11"/>
    </row>
    <row r="34902" spans="8:20" x14ac:dyDescent="0.35">
      <c r="H34902" s="711"/>
      <c r="I34902" s="711"/>
      <c r="J34902" s="711"/>
      <c r="K34902" s="711"/>
      <c r="L34902" s="711"/>
      <c r="Q34902" s="11"/>
      <c r="R34902" s="11"/>
      <c r="S34902" s="11"/>
      <c r="T34902" s="11"/>
    </row>
    <row r="34903" spans="8:20" x14ac:dyDescent="0.35">
      <c r="H34903" s="711"/>
      <c r="I34903" s="711"/>
      <c r="J34903" s="711"/>
      <c r="K34903" s="711"/>
      <c r="L34903" s="711"/>
      <c r="Q34903" s="11"/>
      <c r="R34903" s="11"/>
      <c r="S34903" s="11"/>
      <c r="T34903" s="11"/>
    </row>
    <row r="34904" spans="8:20" x14ac:dyDescent="0.35">
      <c r="H34904" s="711"/>
      <c r="I34904" s="711"/>
      <c r="J34904" s="711"/>
      <c r="K34904" s="711"/>
      <c r="L34904" s="711"/>
      <c r="Q34904" s="11"/>
      <c r="R34904" s="11"/>
      <c r="S34904" s="11"/>
      <c r="T34904" s="11"/>
    </row>
    <row r="34905" spans="8:20" x14ac:dyDescent="0.35">
      <c r="H34905" s="711"/>
      <c r="I34905" s="711"/>
      <c r="J34905" s="711"/>
      <c r="K34905" s="711"/>
      <c r="L34905" s="711"/>
      <c r="Q34905" s="11"/>
      <c r="R34905" s="11"/>
      <c r="S34905" s="11"/>
      <c r="T34905" s="11"/>
    </row>
    <row r="34906" spans="8:20" x14ac:dyDescent="0.35">
      <c r="H34906" s="711"/>
      <c r="I34906" s="711"/>
      <c r="J34906" s="711"/>
      <c r="K34906" s="711"/>
      <c r="L34906" s="711"/>
      <c r="Q34906" s="11"/>
      <c r="R34906" s="11"/>
      <c r="S34906" s="11"/>
      <c r="T34906" s="11"/>
    </row>
    <row r="34907" spans="8:20" x14ac:dyDescent="0.35">
      <c r="H34907" s="711"/>
      <c r="I34907" s="711"/>
      <c r="J34907" s="711"/>
      <c r="K34907" s="711"/>
      <c r="L34907" s="711"/>
      <c r="Q34907" s="11"/>
      <c r="R34907" s="11"/>
      <c r="S34907" s="11"/>
      <c r="T34907" s="11"/>
    </row>
    <row r="34908" spans="8:20" x14ac:dyDescent="0.35">
      <c r="H34908" s="711"/>
      <c r="I34908" s="711"/>
      <c r="J34908" s="711"/>
      <c r="K34908" s="711"/>
      <c r="L34908" s="711"/>
      <c r="Q34908" s="11"/>
      <c r="R34908" s="11"/>
      <c r="S34908" s="11"/>
      <c r="T34908" s="11"/>
    </row>
    <row r="34909" spans="8:20" x14ac:dyDescent="0.35">
      <c r="H34909" s="711"/>
      <c r="I34909" s="711"/>
      <c r="J34909" s="711"/>
      <c r="K34909" s="711"/>
      <c r="L34909" s="711"/>
      <c r="Q34909" s="11"/>
      <c r="R34909" s="11"/>
      <c r="S34909" s="11"/>
      <c r="T34909" s="11"/>
    </row>
    <row r="34910" spans="8:20" x14ac:dyDescent="0.35">
      <c r="H34910" s="711"/>
      <c r="I34910" s="711"/>
      <c r="J34910" s="711"/>
      <c r="K34910" s="711"/>
      <c r="L34910" s="711"/>
      <c r="Q34910" s="11"/>
      <c r="R34910" s="11"/>
      <c r="S34910" s="11"/>
      <c r="T34910" s="11"/>
    </row>
    <row r="34911" spans="8:20" x14ac:dyDescent="0.35">
      <c r="H34911" s="711"/>
      <c r="I34911" s="711"/>
      <c r="J34911" s="711"/>
      <c r="K34911" s="711"/>
      <c r="L34911" s="711"/>
      <c r="Q34911" s="11"/>
      <c r="R34911" s="11"/>
      <c r="S34911" s="11"/>
      <c r="T34911" s="11"/>
    </row>
    <row r="34912" spans="8:20" x14ac:dyDescent="0.35">
      <c r="H34912" s="711"/>
      <c r="I34912" s="711"/>
      <c r="J34912" s="711"/>
      <c r="K34912" s="711"/>
      <c r="L34912" s="711"/>
      <c r="Q34912" s="11"/>
      <c r="R34912" s="11"/>
      <c r="S34912" s="11"/>
      <c r="T34912" s="11"/>
    </row>
    <row r="34913" spans="8:20" x14ac:dyDescent="0.35">
      <c r="H34913" s="711"/>
      <c r="I34913" s="711"/>
      <c r="J34913" s="711"/>
      <c r="K34913" s="711"/>
      <c r="L34913" s="711"/>
      <c r="Q34913" s="11"/>
      <c r="R34913" s="11"/>
      <c r="S34913" s="11"/>
      <c r="T34913" s="11"/>
    </row>
    <row r="34914" spans="8:20" x14ac:dyDescent="0.35">
      <c r="H34914" s="711"/>
      <c r="I34914" s="711"/>
      <c r="J34914" s="711"/>
      <c r="K34914" s="711"/>
      <c r="L34914" s="711"/>
      <c r="Q34914" s="11"/>
      <c r="R34914" s="11"/>
      <c r="S34914" s="11"/>
      <c r="T34914" s="11"/>
    </row>
    <row r="34915" spans="8:20" x14ac:dyDescent="0.35">
      <c r="H34915" s="711"/>
      <c r="I34915" s="711"/>
      <c r="J34915" s="711"/>
      <c r="K34915" s="711"/>
      <c r="L34915" s="711"/>
      <c r="Q34915" s="11"/>
      <c r="R34915" s="11"/>
      <c r="S34915" s="11"/>
      <c r="T34915" s="11"/>
    </row>
    <row r="34916" spans="8:20" x14ac:dyDescent="0.35">
      <c r="H34916" s="711"/>
      <c r="I34916" s="711"/>
      <c r="J34916" s="711"/>
      <c r="K34916" s="711"/>
      <c r="L34916" s="711"/>
      <c r="Q34916" s="11"/>
      <c r="R34916" s="11"/>
      <c r="S34916" s="11"/>
      <c r="T34916" s="11"/>
    </row>
    <row r="34917" spans="8:20" x14ac:dyDescent="0.35">
      <c r="H34917" s="711"/>
      <c r="I34917" s="711"/>
      <c r="J34917" s="711"/>
      <c r="K34917" s="711"/>
      <c r="L34917" s="711"/>
      <c r="Q34917" s="11"/>
      <c r="R34917" s="11"/>
      <c r="S34917" s="11"/>
      <c r="T34917" s="11"/>
    </row>
    <row r="34918" spans="8:20" x14ac:dyDescent="0.35">
      <c r="H34918" s="711"/>
      <c r="I34918" s="711"/>
      <c r="J34918" s="711"/>
      <c r="K34918" s="711"/>
      <c r="L34918" s="711"/>
      <c r="Q34918" s="11"/>
      <c r="R34918" s="11"/>
      <c r="S34918" s="11"/>
      <c r="T34918" s="11"/>
    </row>
    <row r="34919" spans="8:20" x14ac:dyDescent="0.35">
      <c r="H34919" s="711"/>
      <c r="I34919" s="711"/>
      <c r="J34919" s="711"/>
      <c r="K34919" s="711"/>
      <c r="L34919" s="711"/>
      <c r="Q34919" s="11"/>
      <c r="R34919" s="11"/>
      <c r="S34919" s="11"/>
      <c r="T34919" s="11"/>
    </row>
    <row r="34920" spans="8:20" x14ac:dyDescent="0.35">
      <c r="H34920" s="711"/>
      <c r="I34920" s="711"/>
      <c r="J34920" s="711"/>
      <c r="K34920" s="711"/>
      <c r="L34920" s="711"/>
      <c r="Q34920" s="11"/>
      <c r="R34920" s="11"/>
      <c r="S34920" s="11"/>
      <c r="T34920" s="11"/>
    </row>
    <row r="34921" spans="8:20" x14ac:dyDescent="0.35">
      <c r="H34921" s="711"/>
      <c r="I34921" s="711"/>
      <c r="J34921" s="711"/>
      <c r="K34921" s="711"/>
      <c r="L34921" s="711"/>
      <c r="Q34921" s="11"/>
      <c r="R34921" s="11"/>
      <c r="S34921" s="11"/>
      <c r="T34921" s="11"/>
    </row>
    <row r="34922" spans="8:20" x14ac:dyDescent="0.35">
      <c r="H34922" s="711"/>
      <c r="I34922" s="711"/>
      <c r="J34922" s="711"/>
      <c r="K34922" s="711"/>
      <c r="L34922" s="711"/>
      <c r="Q34922" s="11"/>
      <c r="R34922" s="11"/>
      <c r="S34922" s="11"/>
      <c r="T34922" s="11"/>
    </row>
    <row r="34923" spans="8:20" x14ac:dyDescent="0.35">
      <c r="H34923" s="711"/>
      <c r="I34923" s="711"/>
      <c r="J34923" s="711"/>
      <c r="K34923" s="711"/>
      <c r="L34923" s="711"/>
      <c r="Q34923" s="11"/>
      <c r="R34923" s="11"/>
      <c r="S34923" s="11"/>
      <c r="T34923" s="11"/>
    </row>
    <row r="34924" spans="8:20" x14ac:dyDescent="0.35">
      <c r="H34924" s="711"/>
      <c r="I34924" s="711"/>
      <c r="J34924" s="711"/>
      <c r="K34924" s="711"/>
      <c r="L34924" s="711"/>
      <c r="Q34924" s="11"/>
      <c r="R34924" s="11"/>
      <c r="S34924" s="11"/>
      <c r="T34924" s="11"/>
    </row>
    <row r="34925" spans="8:20" x14ac:dyDescent="0.35">
      <c r="H34925" s="711"/>
      <c r="I34925" s="711"/>
      <c r="J34925" s="711"/>
      <c r="K34925" s="711"/>
      <c r="L34925" s="711"/>
      <c r="Q34925" s="11"/>
      <c r="R34925" s="11"/>
      <c r="S34925" s="11"/>
      <c r="T34925" s="11"/>
    </row>
    <row r="34926" spans="8:20" x14ac:dyDescent="0.35">
      <c r="H34926" s="711"/>
      <c r="I34926" s="711"/>
      <c r="J34926" s="711"/>
      <c r="K34926" s="711"/>
      <c r="L34926" s="711"/>
      <c r="Q34926" s="11"/>
      <c r="R34926" s="11"/>
      <c r="S34926" s="11"/>
      <c r="T34926" s="11"/>
    </row>
    <row r="34927" spans="8:20" x14ac:dyDescent="0.35">
      <c r="H34927" s="711"/>
      <c r="I34927" s="711"/>
      <c r="J34927" s="711"/>
      <c r="K34927" s="711"/>
      <c r="L34927" s="711"/>
      <c r="Q34927" s="11"/>
      <c r="R34927" s="11"/>
      <c r="S34927" s="11"/>
      <c r="T34927" s="11"/>
    </row>
    <row r="34928" spans="8:20" x14ac:dyDescent="0.35">
      <c r="H34928" s="711"/>
      <c r="I34928" s="711"/>
      <c r="J34928" s="711"/>
      <c r="K34928" s="711"/>
      <c r="L34928" s="711"/>
      <c r="Q34928" s="11"/>
      <c r="R34928" s="11"/>
      <c r="S34928" s="11"/>
      <c r="T34928" s="11"/>
    </row>
    <row r="34929" spans="8:20" x14ac:dyDescent="0.35">
      <c r="H34929" s="711"/>
      <c r="I34929" s="711"/>
      <c r="J34929" s="711"/>
      <c r="K34929" s="711"/>
      <c r="L34929" s="711"/>
      <c r="Q34929" s="11"/>
      <c r="R34929" s="11"/>
      <c r="S34929" s="11"/>
      <c r="T34929" s="11"/>
    </row>
    <row r="34930" spans="8:20" x14ac:dyDescent="0.35">
      <c r="H34930" s="711"/>
      <c r="I34930" s="711"/>
      <c r="J34930" s="711"/>
      <c r="K34930" s="711"/>
      <c r="L34930" s="711"/>
      <c r="Q34930" s="11"/>
      <c r="R34930" s="11"/>
      <c r="S34930" s="11"/>
      <c r="T34930" s="11"/>
    </row>
    <row r="34931" spans="8:20" x14ac:dyDescent="0.35">
      <c r="H34931" s="711"/>
      <c r="I34931" s="711"/>
      <c r="J34931" s="711"/>
      <c r="K34931" s="711"/>
      <c r="L34931" s="711"/>
      <c r="Q34931" s="11"/>
      <c r="R34931" s="11"/>
      <c r="S34931" s="11"/>
      <c r="T34931" s="11"/>
    </row>
    <row r="34932" spans="8:20" x14ac:dyDescent="0.35">
      <c r="H34932" s="711"/>
      <c r="I34932" s="711"/>
      <c r="J34932" s="711"/>
      <c r="K34932" s="711"/>
      <c r="L34932" s="711"/>
      <c r="Q34932" s="11"/>
      <c r="R34932" s="11"/>
      <c r="S34932" s="11"/>
      <c r="T34932" s="11"/>
    </row>
    <row r="34933" spans="8:20" x14ac:dyDescent="0.35">
      <c r="H34933" s="711"/>
      <c r="I34933" s="711"/>
      <c r="J34933" s="711"/>
      <c r="K34933" s="711"/>
      <c r="L34933" s="711"/>
      <c r="Q34933" s="11"/>
      <c r="R34933" s="11"/>
      <c r="S34933" s="11"/>
      <c r="T34933" s="11"/>
    </row>
    <row r="34934" spans="8:20" x14ac:dyDescent="0.35">
      <c r="H34934" s="711"/>
      <c r="I34934" s="711"/>
      <c r="J34934" s="711"/>
      <c r="K34934" s="711"/>
      <c r="L34934" s="711"/>
      <c r="Q34934" s="11"/>
      <c r="R34934" s="11"/>
      <c r="S34934" s="11"/>
      <c r="T34934" s="11"/>
    </row>
    <row r="34935" spans="8:20" x14ac:dyDescent="0.35">
      <c r="H34935" s="711"/>
      <c r="I34935" s="711"/>
      <c r="J34935" s="711"/>
      <c r="K34935" s="711"/>
      <c r="L34935" s="711"/>
      <c r="Q34935" s="11"/>
      <c r="R34935" s="11"/>
      <c r="S34935" s="11"/>
      <c r="T34935" s="11"/>
    </row>
    <row r="34936" spans="8:20" x14ac:dyDescent="0.35">
      <c r="H34936" s="711"/>
      <c r="I34936" s="711"/>
      <c r="J34936" s="711"/>
      <c r="K34936" s="711"/>
      <c r="L34936" s="711"/>
      <c r="Q34936" s="11"/>
      <c r="R34936" s="11"/>
      <c r="S34936" s="11"/>
      <c r="T34936" s="11"/>
    </row>
    <row r="34937" spans="8:20" x14ac:dyDescent="0.35">
      <c r="H34937" s="711"/>
      <c r="I34937" s="711"/>
      <c r="J34937" s="711"/>
      <c r="K34937" s="711"/>
      <c r="L34937" s="711"/>
      <c r="Q34937" s="11"/>
      <c r="R34937" s="11"/>
      <c r="S34937" s="11"/>
      <c r="T34937" s="11"/>
    </row>
    <row r="34938" spans="8:20" x14ac:dyDescent="0.35">
      <c r="H34938" s="711"/>
      <c r="I34938" s="711"/>
      <c r="J34938" s="711"/>
      <c r="K34938" s="711"/>
      <c r="L34938" s="711"/>
      <c r="Q34938" s="11"/>
      <c r="R34938" s="11"/>
      <c r="S34938" s="11"/>
      <c r="T34938" s="11"/>
    </row>
    <row r="34939" spans="8:20" x14ac:dyDescent="0.35">
      <c r="H34939" s="711"/>
      <c r="I34939" s="711"/>
      <c r="J34939" s="711"/>
      <c r="K34939" s="711"/>
      <c r="L34939" s="711"/>
      <c r="Q34939" s="11"/>
      <c r="R34939" s="11"/>
      <c r="S34939" s="11"/>
      <c r="T34939" s="11"/>
    </row>
    <row r="34940" spans="8:20" x14ac:dyDescent="0.35">
      <c r="H34940" s="711"/>
      <c r="I34940" s="711"/>
      <c r="J34940" s="711"/>
      <c r="K34940" s="711"/>
      <c r="L34940" s="711"/>
      <c r="Q34940" s="11"/>
      <c r="R34940" s="11"/>
      <c r="S34940" s="11"/>
      <c r="T34940" s="11"/>
    </row>
    <row r="34941" spans="8:20" x14ac:dyDescent="0.35">
      <c r="H34941" s="711"/>
      <c r="I34941" s="711"/>
      <c r="J34941" s="711"/>
      <c r="K34941" s="711"/>
      <c r="L34941" s="711"/>
      <c r="Q34941" s="11"/>
      <c r="R34941" s="11"/>
      <c r="S34941" s="11"/>
      <c r="T34941" s="11"/>
    </row>
    <row r="34942" spans="8:20" x14ac:dyDescent="0.35">
      <c r="H34942" s="711"/>
      <c r="I34942" s="711"/>
      <c r="J34942" s="711"/>
      <c r="K34942" s="711"/>
      <c r="L34942" s="711"/>
      <c r="Q34942" s="11"/>
      <c r="R34942" s="11"/>
      <c r="S34942" s="11"/>
      <c r="T34942" s="11"/>
    </row>
    <row r="34943" spans="8:20" x14ac:dyDescent="0.35">
      <c r="H34943" s="711"/>
      <c r="I34943" s="711"/>
      <c r="J34943" s="711"/>
      <c r="K34943" s="711"/>
      <c r="L34943" s="711"/>
      <c r="Q34943" s="11"/>
      <c r="R34943" s="11"/>
      <c r="S34943" s="11"/>
      <c r="T34943" s="11"/>
    </row>
    <row r="34944" spans="8:20" x14ac:dyDescent="0.35">
      <c r="H34944" s="711"/>
      <c r="I34944" s="711"/>
      <c r="J34944" s="711"/>
      <c r="K34944" s="711"/>
      <c r="L34944" s="711"/>
      <c r="Q34944" s="11"/>
      <c r="R34944" s="11"/>
      <c r="S34944" s="11"/>
      <c r="T34944" s="11"/>
    </row>
    <row r="34945" spans="8:20" x14ac:dyDescent="0.35">
      <c r="H34945" s="711"/>
      <c r="I34945" s="711"/>
      <c r="J34945" s="711"/>
      <c r="K34945" s="711"/>
      <c r="L34945" s="711"/>
      <c r="Q34945" s="11"/>
      <c r="R34945" s="11"/>
      <c r="S34945" s="11"/>
      <c r="T34945" s="11"/>
    </row>
    <row r="34946" spans="8:20" x14ac:dyDescent="0.35">
      <c r="H34946" s="711"/>
      <c r="I34946" s="711"/>
      <c r="J34946" s="711"/>
      <c r="K34946" s="711"/>
      <c r="L34946" s="711"/>
      <c r="Q34946" s="11"/>
      <c r="R34946" s="11"/>
      <c r="S34946" s="11"/>
      <c r="T34946" s="11"/>
    </row>
    <row r="34947" spans="8:20" x14ac:dyDescent="0.35">
      <c r="H34947" s="711"/>
      <c r="I34947" s="711"/>
      <c r="J34947" s="711"/>
      <c r="K34947" s="711"/>
      <c r="L34947" s="711"/>
      <c r="Q34947" s="11"/>
      <c r="R34947" s="11"/>
      <c r="S34947" s="11"/>
      <c r="T34947" s="11"/>
    </row>
    <row r="34948" spans="8:20" x14ac:dyDescent="0.35">
      <c r="H34948" s="711"/>
      <c r="I34948" s="711"/>
      <c r="J34948" s="711"/>
      <c r="K34948" s="711"/>
      <c r="L34948" s="711"/>
      <c r="Q34948" s="11"/>
      <c r="R34948" s="11"/>
      <c r="S34948" s="11"/>
      <c r="T34948" s="11"/>
    </row>
    <row r="34949" spans="8:20" x14ac:dyDescent="0.35">
      <c r="H34949" s="711"/>
      <c r="I34949" s="711"/>
      <c r="J34949" s="711"/>
      <c r="K34949" s="711"/>
      <c r="L34949" s="711"/>
      <c r="Q34949" s="11"/>
      <c r="R34949" s="11"/>
      <c r="S34949" s="11"/>
      <c r="T34949" s="11"/>
    </row>
    <row r="34950" spans="8:20" x14ac:dyDescent="0.35">
      <c r="H34950" s="711"/>
      <c r="I34950" s="711"/>
      <c r="J34950" s="711"/>
      <c r="K34950" s="711"/>
      <c r="L34950" s="711"/>
      <c r="Q34950" s="11"/>
      <c r="R34950" s="11"/>
      <c r="S34950" s="11"/>
      <c r="T34950" s="11"/>
    </row>
    <row r="34951" spans="8:20" x14ac:dyDescent="0.35">
      <c r="H34951" s="711"/>
      <c r="I34951" s="711"/>
      <c r="J34951" s="711"/>
      <c r="K34951" s="711"/>
      <c r="L34951" s="711"/>
      <c r="Q34951" s="11"/>
      <c r="R34951" s="11"/>
      <c r="S34951" s="11"/>
      <c r="T34951" s="11"/>
    </row>
    <row r="34952" spans="8:20" x14ac:dyDescent="0.35">
      <c r="H34952" s="711"/>
      <c r="I34952" s="711"/>
      <c r="J34952" s="711"/>
      <c r="K34952" s="711"/>
      <c r="L34952" s="711"/>
      <c r="Q34952" s="11"/>
      <c r="R34952" s="11"/>
      <c r="S34952" s="11"/>
      <c r="T34952" s="11"/>
    </row>
    <row r="34953" spans="8:20" x14ac:dyDescent="0.35">
      <c r="H34953" s="711"/>
      <c r="I34953" s="711"/>
      <c r="J34953" s="711"/>
      <c r="K34953" s="711"/>
      <c r="L34953" s="711"/>
      <c r="Q34953" s="11"/>
      <c r="R34953" s="11"/>
      <c r="S34953" s="11"/>
      <c r="T34953" s="11"/>
    </row>
    <row r="34954" spans="8:20" x14ac:dyDescent="0.35">
      <c r="H34954" s="711"/>
      <c r="I34954" s="711"/>
      <c r="J34954" s="711"/>
      <c r="K34954" s="711"/>
      <c r="L34954" s="711"/>
      <c r="Q34954" s="11"/>
      <c r="R34954" s="11"/>
      <c r="S34954" s="11"/>
      <c r="T34954" s="11"/>
    </row>
    <row r="34955" spans="8:20" x14ac:dyDescent="0.35">
      <c r="H34955" s="711"/>
      <c r="I34955" s="711"/>
      <c r="J34955" s="711"/>
      <c r="K34955" s="711"/>
      <c r="L34955" s="711"/>
      <c r="Q34955" s="11"/>
      <c r="R34955" s="11"/>
      <c r="S34955" s="11"/>
      <c r="T34955" s="11"/>
    </row>
    <row r="34956" spans="8:20" x14ac:dyDescent="0.35">
      <c r="H34956" s="711"/>
      <c r="I34956" s="711"/>
      <c r="J34956" s="711"/>
      <c r="K34956" s="711"/>
      <c r="L34956" s="711"/>
      <c r="Q34956" s="11"/>
      <c r="R34956" s="11"/>
      <c r="S34956" s="11"/>
      <c r="T34956" s="11"/>
    </row>
    <row r="34957" spans="8:20" x14ac:dyDescent="0.35">
      <c r="H34957" s="711"/>
      <c r="I34957" s="711"/>
      <c r="J34957" s="711"/>
      <c r="K34957" s="711"/>
      <c r="L34957" s="711"/>
      <c r="Q34957" s="11"/>
      <c r="R34957" s="11"/>
      <c r="S34957" s="11"/>
      <c r="T34957" s="11"/>
    </row>
    <row r="34958" spans="8:20" x14ac:dyDescent="0.35">
      <c r="H34958" s="711"/>
      <c r="I34958" s="711"/>
      <c r="J34958" s="711"/>
      <c r="K34958" s="711"/>
      <c r="L34958" s="711"/>
      <c r="Q34958" s="11"/>
      <c r="R34958" s="11"/>
      <c r="S34958" s="11"/>
      <c r="T34958" s="11"/>
    </row>
    <row r="34959" spans="8:20" x14ac:dyDescent="0.35">
      <c r="H34959" s="711"/>
      <c r="I34959" s="711"/>
      <c r="J34959" s="711"/>
      <c r="K34959" s="711"/>
      <c r="L34959" s="711"/>
      <c r="Q34959" s="11"/>
      <c r="R34959" s="11"/>
      <c r="S34959" s="11"/>
      <c r="T34959" s="11"/>
    </row>
    <row r="34960" spans="8:20" x14ac:dyDescent="0.35">
      <c r="H34960" s="711"/>
      <c r="I34960" s="711"/>
      <c r="J34960" s="711"/>
      <c r="K34960" s="711"/>
      <c r="L34960" s="711"/>
      <c r="Q34960" s="11"/>
      <c r="R34960" s="11"/>
      <c r="S34960" s="11"/>
      <c r="T34960" s="11"/>
    </row>
    <row r="34961" spans="8:20" x14ac:dyDescent="0.35">
      <c r="H34961" s="711"/>
      <c r="I34961" s="711"/>
      <c r="J34961" s="711"/>
      <c r="K34961" s="711"/>
      <c r="L34961" s="711"/>
      <c r="Q34961" s="11"/>
      <c r="R34961" s="11"/>
      <c r="S34961" s="11"/>
      <c r="T34961" s="11"/>
    </row>
    <row r="34962" spans="8:20" x14ac:dyDescent="0.35">
      <c r="H34962" s="711"/>
      <c r="I34962" s="711"/>
      <c r="J34962" s="711"/>
      <c r="K34962" s="711"/>
      <c r="L34962" s="711"/>
      <c r="Q34962" s="11"/>
      <c r="R34962" s="11"/>
      <c r="S34962" s="11"/>
      <c r="T34962" s="11"/>
    </row>
    <row r="34963" spans="8:20" x14ac:dyDescent="0.35">
      <c r="H34963" s="711"/>
      <c r="I34963" s="711"/>
      <c r="J34963" s="711"/>
      <c r="K34963" s="711"/>
      <c r="L34963" s="711"/>
      <c r="Q34963" s="11"/>
      <c r="R34963" s="11"/>
      <c r="S34963" s="11"/>
      <c r="T34963" s="11"/>
    </row>
    <row r="34964" spans="8:20" x14ac:dyDescent="0.35">
      <c r="H34964" s="711"/>
      <c r="I34964" s="711"/>
      <c r="J34964" s="711"/>
      <c r="K34964" s="711"/>
      <c r="L34964" s="711"/>
      <c r="Q34964" s="11"/>
      <c r="R34964" s="11"/>
      <c r="S34964" s="11"/>
      <c r="T34964" s="11"/>
    </row>
    <row r="34965" spans="8:20" x14ac:dyDescent="0.35">
      <c r="H34965" s="711"/>
      <c r="I34965" s="711"/>
      <c r="J34965" s="711"/>
      <c r="K34965" s="711"/>
      <c r="L34965" s="711"/>
      <c r="Q34965" s="11"/>
      <c r="R34965" s="11"/>
      <c r="S34965" s="11"/>
      <c r="T34965" s="11"/>
    </row>
    <row r="34966" spans="8:20" x14ac:dyDescent="0.35">
      <c r="H34966" s="711"/>
      <c r="I34966" s="711"/>
      <c r="J34966" s="711"/>
      <c r="K34966" s="711"/>
      <c r="L34966" s="711"/>
      <c r="Q34966" s="11"/>
      <c r="R34966" s="11"/>
      <c r="S34966" s="11"/>
      <c r="T34966" s="11"/>
    </row>
    <row r="34967" spans="8:20" x14ac:dyDescent="0.35">
      <c r="H34967" s="711"/>
      <c r="I34967" s="711"/>
      <c r="J34967" s="711"/>
      <c r="K34967" s="711"/>
      <c r="L34967" s="711"/>
      <c r="Q34967" s="11"/>
      <c r="R34967" s="11"/>
      <c r="S34967" s="11"/>
      <c r="T34967" s="11"/>
    </row>
    <row r="34968" spans="8:20" x14ac:dyDescent="0.35">
      <c r="H34968" s="711"/>
      <c r="I34968" s="711"/>
      <c r="J34968" s="711"/>
      <c r="K34968" s="711"/>
      <c r="L34968" s="711"/>
      <c r="Q34968" s="11"/>
      <c r="R34968" s="11"/>
      <c r="S34968" s="11"/>
      <c r="T34968" s="11"/>
    </row>
    <row r="34969" spans="8:20" x14ac:dyDescent="0.35">
      <c r="H34969" s="711"/>
      <c r="I34969" s="711"/>
      <c r="J34969" s="711"/>
      <c r="K34969" s="711"/>
      <c r="L34969" s="711"/>
      <c r="Q34969" s="11"/>
      <c r="R34969" s="11"/>
      <c r="S34969" s="11"/>
      <c r="T34969" s="11"/>
    </row>
    <row r="34970" spans="8:20" x14ac:dyDescent="0.35">
      <c r="H34970" s="711"/>
      <c r="I34970" s="711"/>
      <c r="J34970" s="711"/>
      <c r="K34970" s="711"/>
      <c r="L34970" s="711"/>
      <c r="Q34970" s="11"/>
      <c r="R34970" s="11"/>
      <c r="S34970" s="11"/>
      <c r="T34970" s="11"/>
    </row>
    <row r="34971" spans="8:20" x14ac:dyDescent="0.35">
      <c r="H34971" s="711"/>
      <c r="I34971" s="711"/>
      <c r="J34971" s="711"/>
      <c r="K34971" s="711"/>
      <c r="L34971" s="711"/>
      <c r="Q34971" s="11"/>
      <c r="R34971" s="11"/>
      <c r="S34971" s="11"/>
      <c r="T34971" s="11"/>
    </row>
    <row r="34972" spans="8:20" x14ac:dyDescent="0.35">
      <c r="H34972" s="711"/>
      <c r="I34972" s="711"/>
      <c r="J34972" s="711"/>
      <c r="K34972" s="711"/>
      <c r="L34972" s="711"/>
      <c r="Q34972" s="11"/>
      <c r="R34972" s="11"/>
      <c r="S34972" s="11"/>
      <c r="T34972" s="11"/>
    </row>
    <row r="34973" spans="8:20" x14ac:dyDescent="0.35">
      <c r="H34973" s="711"/>
      <c r="I34973" s="711"/>
      <c r="J34973" s="711"/>
      <c r="K34973" s="711"/>
      <c r="L34973" s="711"/>
      <c r="Q34973" s="11"/>
      <c r="R34973" s="11"/>
      <c r="S34973" s="11"/>
      <c r="T34973" s="11"/>
    </row>
    <row r="34974" spans="8:20" x14ac:dyDescent="0.35">
      <c r="H34974" s="711"/>
      <c r="I34974" s="711"/>
      <c r="J34974" s="711"/>
      <c r="K34974" s="711"/>
      <c r="L34974" s="711"/>
      <c r="Q34974" s="11"/>
      <c r="R34974" s="11"/>
      <c r="S34974" s="11"/>
      <c r="T34974" s="11"/>
    </row>
    <row r="34975" spans="8:20" x14ac:dyDescent="0.35">
      <c r="H34975" s="711"/>
      <c r="I34975" s="711"/>
      <c r="J34975" s="711"/>
      <c r="K34975" s="711"/>
      <c r="L34975" s="711"/>
      <c r="Q34975" s="11"/>
      <c r="R34975" s="11"/>
      <c r="S34975" s="11"/>
      <c r="T34975" s="11"/>
    </row>
    <row r="34976" spans="8:20" x14ac:dyDescent="0.35">
      <c r="H34976" s="711"/>
      <c r="I34976" s="711"/>
      <c r="J34976" s="711"/>
      <c r="K34976" s="711"/>
      <c r="L34976" s="711"/>
      <c r="Q34976" s="11"/>
      <c r="R34976" s="11"/>
      <c r="S34976" s="11"/>
      <c r="T34976" s="11"/>
    </row>
    <row r="34977" spans="8:20" x14ac:dyDescent="0.35">
      <c r="H34977" s="711"/>
      <c r="I34977" s="711"/>
      <c r="J34977" s="711"/>
      <c r="K34977" s="711"/>
      <c r="L34977" s="711"/>
      <c r="Q34977" s="11"/>
      <c r="R34977" s="11"/>
      <c r="S34977" s="11"/>
      <c r="T34977" s="11"/>
    </row>
    <row r="34978" spans="8:20" x14ac:dyDescent="0.35">
      <c r="H34978" s="711"/>
      <c r="I34978" s="711"/>
      <c r="J34978" s="711"/>
      <c r="K34978" s="711"/>
      <c r="L34978" s="711"/>
      <c r="Q34978" s="11"/>
      <c r="R34978" s="11"/>
      <c r="S34978" s="11"/>
      <c r="T34978" s="11"/>
    </row>
    <row r="34979" spans="8:20" x14ac:dyDescent="0.35">
      <c r="H34979" s="711"/>
      <c r="I34979" s="711"/>
      <c r="J34979" s="711"/>
      <c r="K34979" s="711"/>
      <c r="L34979" s="711"/>
      <c r="Q34979" s="11"/>
      <c r="R34979" s="11"/>
      <c r="S34979" s="11"/>
      <c r="T34979" s="11"/>
    </row>
    <row r="34980" spans="8:20" x14ac:dyDescent="0.35">
      <c r="H34980" s="711"/>
      <c r="I34980" s="711"/>
      <c r="J34980" s="711"/>
      <c r="K34980" s="711"/>
      <c r="L34980" s="711"/>
      <c r="Q34980" s="11"/>
      <c r="R34980" s="11"/>
      <c r="S34980" s="11"/>
      <c r="T34980" s="11"/>
    </row>
    <row r="34981" spans="8:20" x14ac:dyDescent="0.35">
      <c r="H34981" s="711"/>
      <c r="I34981" s="711"/>
      <c r="J34981" s="711"/>
      <c r="K34981" s="711"/>
      <c r="L34981" s="711"/>
      <c r="Q34981" s="11"/>
      <c r="R34981" s="11"/>
      <c r="S34981" s="11"/>
      <c r="T34981" s="11"/>
    </row>
    <row r="34982" spans="8:20" x14ac:dyDescent="0.35">
      <c r="H34982" s="711"/>
      <c r="I34982" s="711"/>
      <c r="J34982" s="711"/>
      <c r="K34982" s="711"/>
      <c r="L34982" s="711"/>
      <c r="Q34982" s="11"/>
      <c r="R34982" s="11"/>
      <c r="S34982" s="11"/>
      <c r="T34982" s="11"/>
    </row>
    <row r="34983" spans="8:20" x14ac:dyDescent="0.35">
      <c r="H34983" s="711"/>
      <c r="I34983" s="711"/>
      <c r="J34983" s="711"/>
      <c r="K34983" s="711"/>
      <c r="L34983" s="711"/>
      <c r="Q34983" s="11"/>
      <c r="R34983" s="11"/>
      <c r="S34983" s="11"/>
      <c r="T34983" s="11"/>
    </row>
    <row r="34984" spans="8:20" x14ac:dyDescent="0.35">
      <c r="H34984" s="711"/>
      <c r="I34984" s="711"/>
      <c r="J34984" s="711"/>
      <c r="K34984" s="711"/>
      <c r="L34984" s="711"/>
      <c r="Q34984" s="11"/>
      <c r="R34984" s="11"/>
      <c r="S34984" s="11"/>
      <c r="T34984" s="11"/>
    </row>
    <row r="34985" spans="8:20" x14ac:dyDescent="0.35">
      <c r="H34985" s="711"/>
      <c r="I34985" s="711"/>
      <c r="J34985" s="711"/>
      <c r="K34985" s="711"/>
      <c r="L34985" s="711"/>
      <c r="Q34985" s="11"/>
      <c r="R34985" s="11"/>
      <c r="S34985" s="11"/>
      <c r="T34985" s="11"/>
    </row>
    <row r="34986" spans="8:20" x14ac:dyDescent="0.35">
      <c r="H34986" s="711"/>
      <c r="I34986" s="711"/>
      <c r="J34986" s="711"/>
      <c r="K34986" s="711"/>
      <c r="L34986" s="711"/>
      <c r="Q34986" s="11"/>
      <c r="R34986" s="11"/>
      <c r="S34986" s="11"/>
      <c r="T34986" s="11"/>
    </row>
    <row r="34987" spans="8:20" x14ac:dyDescent="0.35">
      <c r="H34987" s="711"/>
      <c r="I34987" s="711"/>
      <c r="J34987" s="711"/>
      <c r="K34987" s="711"/>
      <c r="L34987" s="711"/>
      <c r="Q34987" s="11"/>
      <c r="R34987" s="11"/>
      <c r="S34987" s="11"/>
      <c r="T34987" s="11"/>
    </row>
    <row r="34988" spans="8:20" x14ac:dyDescent="0.35">
      <c r="H34988" s="711"/>
      <c r="I34988" s="711"/>
      <c r="J34988" s="711"/>
      <c r="K34988" s="711"/>
      <c r="L34988" s="711"/>
      <c r="Q34988" s="11"/>
      <c r="R34988" s="11"/>
      <c r="S34988" s="11"/>
      <c r="T34988" s="11"/>
    </row>
    <row r="34989" spans="8:20" x14ac:dyDescent="0.35">
      <c r="H34989" s="711"/>
      <c r="I34989" s="711"/>
      <c r="J34989" s="711"/>
      <c r="K34989" s="711"/>
      <c r="L34989" s="711"/>
      <c r="Q34989" s="11"/>
      <c r="R34989" s="11"/>
      <c r="S34989" s="11"/>
      <c r="T34989" s="11"/>
    </row>
    <row r="34990" spans="8:20" x14ac:dyDescent="0.35">
      <c r="H34990" s="711"/>
      <c r="I34990" s="711"/>
      <c r="J34990" s="711"/>
      <c r="K34990" s="711"/>
      <c r="L34990" s="711"/>
      <c r="Q34990" s="11"/>
      <c r="R34990" s="11"/>
      <c r="S34990" s="11"/>
      <c r="T34990" s="11"/>
    </row>
    <row r="34991" spans="8:20" x14ac:dyDescent="0.35">
      <c r="H34991" s="711"/>
      <c r="I34991" s="711"/>
      <c r="J34991" s="711"/>
      <c r="K34991" s="711"/>
      <c r="L34991" s="711"/>
      <c r="Q34991" s="11"/>
      <c r="R34991" s="11"/>
      <c r="S34991" s="11"/>
      <c r="T34991" s="11"/>
    </row>
    <row r="34992" spans="8:20" x14ac:dyDescent="0.35">
      <c r="H34992" s="711"/>
      <c r="I34992" s="711"/>
      <c r="J34992" s="711"/>
      <c r="K34992" s="711"/>
      <c r="L34992" s="711"/>
      <c r="Q34992" s="11"/>
      <c r="R34992" s="11"/>
      <c r="S34992" s="11"/>
      <c r="T34992" s="11"/>
    </row>
    <row r="34993" spans="8:20" x14ac:dyDescent="0.35">
      <c r="H34993" s="711"/>
      <c r="I34993" s="711"/>
      <c r="J34993" s="711"/>
      <c r="K34993" s="711"/>
      <c r="L34993" s="711"/>
      <c r="Q34993" s="11"/>
      <c r="R34993" s="11"/>
      <c r="S34993" s="11"/>
      <c r="T34993" s="11"/>
    </row>
    <row r="34994" spans="8:20" x14ac:dyDescent="0.35">
      <c r="H34994" s="711"/>
      <c r="I34994" s="711"/>
      <c r="J34994" s="711"/>
      <c r="K34994" s="711"/>
      <c r="L34994" s="711"/>
      <c r="Q34994" s="11"/>
      <c r="R34994" s="11"/>
      <c r="S34994" s="11"/>
      <c r="T34994" s="11"/>
    </row>
    <row r="34995" spans="8:20" x14ac:dyDescent="0.35">
      <c r="H34995" s="711"/>
      <c r="I34995" s="711"/>
      <c r="J34995" s="711"/>
      <c r="K34995" s="711"/>
      <c r="L34995" s="711"/>
      <c r="Q34995" s="11"/>
      <c r="R34995" s="11"/>
      <c r="S34995" s="11"/>
      <c r="T34995" s="11"/>
    </row>
    <row r="34996" spans="8:20" x14ac:dyDescent="0.35">
      <c r="H34996" s="711"/>
      <c r="I34996" s="711"/>
      <c r="J34996" s="711"/>
      <c r="K34996" s="711"/>
      <c r="L34996" s="711"/>
      <c r="Q34996" s="11"/>
      <c r="R34996" s="11"/>
      <c r="S34996" s="11"/>
      <c r="T34996" s="11"/>
    </row>
    <row r="34997" spans="8:20" x14ac:dyDescent="0.35">
      <c r="H34997" s="711"/>
      <c r="I34997" s="711"/>
      <c r="J34997" s="711"/>
      <c r="K34997" s="711"/>
      <c r="L34997" s="711"/>
      <c r="Q34997" s="11"/>
      <c r="R34997" s="11"/>
      <c r="S34997" s="11"/>
      <c r="T34997" s="11"/>
    </row>
    <row r="34998" spans="8:20" x14ac:dyDescent="0.35">
      <c r="H34998" s="711"/>
      <c r="I34998" s="711"/>
      <c r="J34998" s="711"/>
      <c r="K34998" s="711"/>
      <c r="L34998" s="711"/>
      <c r="Q34998" s="11"/>
      <c r="R34998" s="11"/>
      <c r="S34998" s="11"/>
      <c r="T34998" s="11"/>
    </row>
    <row r="34999" spans="8:20" x14ac:dyDescent="0.35">
      <c r="H34999" s="711"/>
      <c r="I34999" s="711"/>
      <c r="J34999" s="711"/>
      <c r="K34999" s="711"/>
      <c r="L34999" s="711"/>
      <c r="Q34999" s="11"/>
      <c r="R34999" s="11"/>
      <c r="S34999" s="11"/>
      <c r="T34999" s="11"/>
    </row>
    <row r="35000" spans="8:20" x14ac:dyDescent="0.35">
      <c r="H35000" s="711"/>
      <c r="I35000" s="711"/>
      <c r="J35000" s="711"/>
      <c r="K35000" s="711"/>
      <c r="L35000" s="711"/>
      <c r="Q35000" s="11"/>
      <c r="R35000" s="11"/>
      <c r="S35000" s="11"/>
      <c r="T35000" s="11"/>
    </row>
    <row r="35001" spans="8:20" x14ac:dyDescent="0.35">
      <c r="H35001" s="711"/>
      <c r="I35001" s="711"/>
      <c r="J35001" s="711"/>
      <c r="K35001" s="711"/>
      <c r="L35001" s="711"/>
      <c r="Q35001" s="11"/>
      <c r="R35001" s="11"/>
      <c r="S35001" s="11"/>
      <c r="T35001" s="11"/>
    </row>
    <row r="35002" spans="8:20" x14ac:dyDescent="0.35">
      <c r="H35002" s="711"/>
      <c r="I35002" s="711"/>
      <c r="J35002" s="711"/>
      <c r="K35002" s="711"/>
      <c r="L35002" s="711"/>
      <c r="Q35002" s="11"/>
      <c r="R35002" s="11"/>
      <c r="S35002" s="11"/>
      <c r="T35002" s="11"/>
    </row>
    <row r="35003" spans="8:20" x14ac:dyDescent="0.35">
      <c r="H35003" s="711"/>
      <c r="I35003" s="711"/>
      <c r="J35003" s="711"/>
      <c r="K35003" s="711"/>
      <c r="L35003" s="711"/>
      <c r="Q35003" s="11"/>
      <c r="R35003" s="11"/>
      <c r="S35003" s="11"/>
      <c r="T35003" s="11"/>
    </row>
    <row r="35004" spans="8:20" x14ac:dyDescent="0.35">
      <c r="H35004" s="711"/>
      <c r="I35004" s="711"/>
      <c r="J35004" s="711"/>
      <c r="K35004" s="711"/>
      <c r="L35004" s="711"/>
      <c r="Q35004" s="11"/>
      <c r="R35004" s="11"/>
      <c r="S35004" s="11"/>
      <c r="T35004" s="11"/>
    </row>
    <row r="35005" spans="8:20" x14ac:dyDescent="0.35">
      <c r="H35005" s="711"/>
      <c r="I35005" s="711"/>
      <c r="J35005" s="711"/>
      <c r="K35005" s="711"/>
      <c r="L35005" s="711"/>
      <c r="Q35005" s="11"/>
      <c r="R35005" s="11"/>
      <c r="S35005" s="11"/>
      <c r="T35005" s="11"/>
    </row>
    <row r="35006" spans="8:20" x14ac:dyDescent="0.35">
      <c r="H35006" s="711"/>
      <c r="I35006" s="711"/>
      <c r="J35006" s="711"/>
      <c r="K35006" s="711"/>
      <c r="L35006" s="711"/>
      <c r="Q35006" s="11"/>
      <c r="R35006" s="11"/>
      <c r="S35006" s="11"/>
      <c r="T35006" s="11"/>
    </row>
    <row r="35007" spans="8:20" x14ac:dyDescent="0.35">
      <c r="H35007" s="711"/>
      <c r="I35007" s="711"/>
      <c r="J35007" s="711"/>
      <c r="K35007" s="711"/>
      <c r="L35007" s="711"/>
      <c r="Q35007" s="11"/>
      <c r="R35007" s="11"/>
      <c r="S35007" s="11"/>
      <c r="T35007" s="11"/>
    </row>
    <row r="35008" spans="8:20" x14ac:dyDescent="0.35">
      <c r="H35008" s="711"/>
      <c r="I35008" s="711"/>
      <c r="J35008" s="711"/>
      <c r="K35008" s="711"/>
      <c r="L35008" s="711"/>
      <c r="Q35008" s="11"/>
      <c r="R35008" s="11"/>
      <c r="S35008" s="11"/>
      <c r="T35008" s="11"/>
    </row>
    <row r="35009" spans="8:20" x14ac:dyDescent="0.35">
      <c r="H35009" s="711"/>
      <c r="I35009" s="711"/>
      <c r="J35009" s="711"/>
      <c r="K35009" s="711"/>
      <c r="L35009" s="711"/>
      <c r="Q35009" s="11"/>
      <c r="R35009" s="11"/>
      <c r="S35009" s="11"/>
      <c r="T35009" s="11"/>
    </row>
    <row r="35010" spans="8:20" x14ac:dyDescent="0.35">
      <c r="H35010" s="711"/>
      <c r="I35010" s="711"/>
      <c r="J35010" s="711"/>
      <c r="K35010" s="711"/>
      <c r="L35010" s="711"/>
      <c r="Q35010" s="11"/>
      <c r="R35010" s="11"/>
      <c r="S35010" s="11"/>
      <c r="T35010" s="11"/>
    </row>
    <row r="35011" spans="8:20" x14ac:dyDescent="0.35">
      <c r="H35011" s="711"/>
      <c r="I35011" s="711"/>
      <c r="J35011" s="711"/>
      <c r="K35011" s="711"/>
      <c r="L35011" s="711"/>
      <c r="Q35011" s="11"/>
      <c r="R35011" s="11"/>
      <c r="S35011" s="11"/>
      <c r="T35011" s="11"/>
    </row>
    <row r="35012" spans="8:20" x14ac:dyDescent="0.35">
      <c r="H35012" s="711"/>
      <c r="I35012" s="711"/>
      <c r="J35012" s="711"/>
      <c r="K35012" s="711"/>
      <c r="L35012" s="711"/>
      <c r="Q35012" s="11"/>
      <c r="R35012" s="11"/>
      <c r="S35012" s="11"/>
      <c r="T35012" s="11"/>
    </row>
    <row r="35013" spans="8:20" x14ac:dyDescent="0.35">
      <c r="H35013" s="711"/>
      <c r="I35013" s="711"/>
      <c r="J35013" s="711"/>
      <c r="K35013" s="711"/>
      <c r="L35013" s="711"/>
      <c r="Q35013" s="11"/>
      <c r="R35013" s="11"/>
      <c r="S35013" s="11"/>
      <c r="T35013" s="11"/>
    </row>
    <row r="35014" spans="8:20" x14ac:dyDescent="0.35">
      <c r="H35014" s="711"/>
      <c r="I35014" s="711"/>
      <c r="J35014" s="711"/>
      <c r="K35014" s="711"/>
      <c r="L35014" s="711"/>
      <c r="Q35014" s="11"/>
      <c r="R35014" s="11"/>
      <c r="S35014" s="11"/>
      <c r="T35014" s="11"/>
    </row>
    <row r="35015" spans="8:20" x14ac:dyDescent="0.35">
      <c r="H35015" s="711"/>
      <c r="I35015" s="711"/>
      <c r="J35015" s="711"/>
      <c r="K35015" s="711"/>
      <c r="L35015" s="711"/>
      <c r="Q35015" s="11"/>
      <c r="R35015" s="11"/>
      <c r="S35015" s="11"/>
      <c r="T35015" s="11"/>
    </row>
    <row r="35016" spans="8:20" x14ac:dyDescent="0.35">
      <c r="H35016" s="711"/>
      <c r="I35016" s="711"/>
      <c r="J35016" s="711"/>
      <c r="K35016" s="711"/>
      <c r="L35016" s="711"/>
      <c r="Q35016" s="11"/>
      <c r="R35016" s="11"/>
      <c r="S35016" s="11"/>
      <c r="T35016" s="11"/>
    </row>
    <row r="35017" spans="8:20" x14ac:dyDescent="0.35">
      <c r="H35017" s="711"/>
      <c r="I35017" s="711"/>
      <c r="J35017" s="711"/>
      <c r="K35017" s="711"/>
      <c r="L35017" s="711"/>
      <c r="Q35017" s="11"/>
      <c r="R35017" s="11"/>
      <c r="S35017" s="11"/>
      <c r="T35017" s="11"/>
    </row>
    <row r="35018" spans="8:20" x14ac:dyDescent="0.35">
      <c r="H35018" s="711"/>
      <c r="I35018" s="711"/>
      <c r="J35018" s="711"/>
      <c r="K35018" s="711"/>
      <c r="L35018" s="711"/>
      <c r="Q35018" s="11"/>
      <c r="R35018" s="11"/>
      <c r="S35018" s="11"/>
      <c r="T35018" s="11"/>
    </row>
    <row r="35019" spans="8:20" x14ac:dyDescent="0.35">
      <c r="H35019" s="711"/>
      <c r="I35019" s="711"/>
      <c r="J35019" s="711"/>
      <c r="K35019" s="711"/>
      <c r="L35019" s="711"/>
      <c r="Q35019" s="11"/>
      <c r="R35019" s="11"/>
      <c r="S35019" s="11"/>
      <c r="T35019" s="11"/>
    </row>
    <row r="35020" spans="8:20" x14ac:dyDescent="0.35">
      <c r="H35020" s="711"/>
      <c r="I35020" s="711"/>
      <c r="J35020" s="711"/>
      <c r="K35020" s="711"/>
      <c r="L35020" s="711"/>
      <c r="Q35020" s="11"/>
      <c r="R35020" s="11"/>
      <c r="S35020" s="11"/>
      <c r="T35020" s="11"/>
    </row>
    <row r="35021" spans="8:20" x14ac:dyDescent="0.35">
      <c r="H35021" s="711"/>
      <c r="I35021" s="711"/>
      <c r="J35021" s="711"/>
      <c r="K35021" s="711"/>
      <c r="L35021" s="711"/>
      <c r="Q35021" s="11"/>
      <c r="R35021" s="11"/>
      <c r="S35021" s="11"/>
      <c r="T35021" s="11"/>
    </row>
    <row r="35022" spans="8:20" x14ac:dyDescent="0.35">
      <c r="H35022" s="711"/>
      <c r="I35022" s="711"/>
      <c r="J35022" s="711"/>
      <c r="K35022" s="711"/>
      <c r="L35022" s="711"/>
      <c r="Q35022" s="11"/>
      <c r="R35022" s="11"/>
      <c r="S35022" s="11"/>
      <c r="T35022" s="11"/>
    </row>
    <row r="35023" spans="8:20" x14ac:dyDescent="0.35">
      <c r="H35023" s="711"/>
      <c r="I35023" s="711"/>
      <c r="J35023" s="711"/>
      <c r="K35023" s="711"/>
      <c r="L35023" s="711"/>
      <c r="Q35023" s="11"/>
      <c r="R35023" s="11"/>
      <c r="S35023" s="11"/>
      <c r="T35023" s="11"/>
    </row>
    <row r="35024" spans="8:20" x14ac:dyDescent="0.35">
      <c r="H35024" s="711"/>
      <c r="I35024" s="711"/>
      <c r="J35024" s="711"/>
      <c r="K35024" s="711"/>
      <c r="L35024" s="711"/>
      <c r="Q35024" s="11"/>
      <c r="R35024" s="11"/>
      <c r="S35024" s="11"/>
      <c r="T35024" s="11"/>
    </row>
    <row r="35025" spans="8:20" x14ac:dyDescent="0.35">
      <c r="H35025" s="711"/>
      <c r="I35025" s="711"/>
      <c r="J35025" s="711"/>
      <c r="K35025" s="711"/>
      <c r="L35025" s="711"/>
      <c r="Q35025" s="11"/>
      <c r="R35025" s="11"/>
      <c r="S35025" s="11"/>
      <c r="T35025" s="11"/>
    </row>
    <row r="35026" spans="8:20" x14ac:dyDescent="0.35">
      <c r="H35026" s="711"/>
      <c r="I35026" s="711"/>
      <c r="J35026" s="711"/>
      <c r="K35026" s="711"/>
      <c r="L35026" s="711"/>
      <c r="Q35026" s="11"/>
      <c r="R35026" s="11"/>
      <c r="S35026" s="11"/>
      <c r="T35026" s="11"/>
    </row>
    <row r="35027" spans="8:20" x14ac:dyDescent="0.35">
      <c r="H35027" s="711"/>
      <c r="I35027" s="711"/>
      <c r="J35027" s="711"/>
      <c r="K35027" s="711"/>
      <c r="L35027" s="711"/>
      <c r="Q35027" s="11"/>
      <c r="R35027" s="11"/>
      <c r="S35027" s="11"/>
      <c r="T35027" s="11"/>
    </row>
    <row r="35028" spans="8:20" x14ac:dyDescent="0.35">
      <c r="H35028" s="711"/>
      <c r="I35028" s="711"/>
      <c r="J35028" s="711"/>
      <c r="K35028" s="711"/>
      <c r="L35028" s="711"/>
      <c r="Q35028" s="11"/>
      <c r="R35028" s="11"/>
      <c r="S35028" s="11"/>
      <c r="T35028" s="11"/>
    </row>
    <row r="35029" spans="8:20" x14ac:dyDescent="0.35">
      <c r="H35029" s="711"/>
      <c r="I35029" s="711"/>
      <c r="J35029" s="711"/>
      <c r="K35029" s="711"/>
      <c r="L35029" s="711"/>
      <c r="Q35029" s="11"/>
      <c r="R35029" s="11"/>
      <c r="S35029" s="11"/>
      <c r="T35029" s="11"/>
    </row>
    <row r="35030" spans="8:20" x14ac:dyDescent="0.35">
      <c r="H35030" s="711"/>
      <c r="I35030" s="711"/>
      <c r="J35030" s="711"/>
      <c r="K35030" s="711"/>
      <c r="L35030" s="711"/>
      <c r="Q35030" s="11"/>
      <c r="R35030" s="11"/>
      <c r="S35030" s="11"/>
      <c r="T35030" s="11"/>
    </row>
    <row r="35031" spans="8:20" x14ac:dyDescent="0.35">
      <c r="H35031" s="711"/>
      <c r="I35031" s="711"/>
      <c r="J35031" s="711"/>
      <c r="K35031" s="711"/>
      <c r="L35031" s="711"/>
      <c r="Q35031" s="11"/>
      <c r="R35031" s="11"/>
      <c r="S35031" s="11"/>
      <c r="T35031" s="11"/>
    </row>
    <row r="35032" spans="8:20" x14ac:dyDescent="0.35">
      <c r="H35032" s="711"/>
      <c r="I35032" s="711"/>
      <c r="J35032" s="711"/>
      <c r="K35032" s="711"/>
      <c r="L35032" s="711"/>
      <c r="Q35032" s="11"/>
      <c r="R35032" s="11"/>
      <c r="S35032" s="11"/>
      <c r="T35032" s="11"/>
    </row>
    <row r="35033" spans="8:20" x14ac:dyDescent="0.35">
      <c r="H35033" s="711"/>
      <c r="I35033" s="711"/>
      <c r="J35033" s="711"/>
      <c r="K35033" s="711"/>
      <c r="L35033" s="711"/>
      <c r="Q35033" s="11"/>
      <c r="R35033" s="11"/>
      <c r="S35033" s="11"/>
      <c r="T35033" s="11"/>
    </row>
    <row r="35034" spans="8:20" x14ac:dyDescent="0.35">
      <c r="H35034" s="711"/>
      <c r="I35034" s="711"/>
      <c r="J35034" s="711"/>
      <c r="K35034" s="711"/>
      <c r="L35034" s="711"/>
      <c r="Q35034" s="11"/>
      <c r="R35034" s="11"/>
      <c r="S35034" s="11"/>
      <c r="T35034" s="11"/>
    </row>
    <row r="35035" spans="8:20" x14ac:dyDescent="0.35">
      <c r="H35035" s="711"/>
      <c r="I35035" s="711"/>
      <c r="J35035" s="711"/>
      <c r="K35035" s="711"/>
      <c r="L35035" s="711"/>
      <c r="Q35035" s="11"/>
      <c r="R35035" s="11"/>
      <c r="S35035" s="11"/>
      <c r="T35035" s="11"/>
    </row>
    <row r="35036" spans="8:20" x14ac:dyDescent="0.35">
      <c r="H35036" s="711"/>
      <c r="I35036" s="711"/>
      <c r="J35036" s="711"/>
      <c r="K35036" s="711"/>
      <c r="L35036" s="711"/>
      <c r="Q35036" s="11"/>
      <c r="R35036" s="11"/>
      <c r="S35036" s="11"/>
      <c r="T35036" s="11"/>
    </row>
    <row r="35037" spans="8:20" x14ac:dyDescent="0.35">
      <c r="H35037" s="711"/>
      <c r="I35037" s="711"/>
      <c r="J35037" s="711"/>
      <c r="K35037" s="711"/>
      <c r="L35037" s="711"/>
      <c r="Q35037" s="11"/>
      <c r="R35037" s="11"/>
      <c r="S35037" s="11"/>
      <c r="T35037" s="11"/>
    </row>
    <row r="35038" spans="8:20" x14ac:dyDescent="0.35">
      <c r="H35038" s="711"/>
      <c r="I35038" s="711"/>
      <c r="J35038" s="711"/>
      <c r="K35038" s="711"/>
      <c r="L35038" s="711"/>
      <c r="Q35038" s="11"/>
      <c r="R35038" s="11"/>
      <c r="S35038" s="11"/>
      <c r="T35038" s="11"/>
    </row>
    <row r="35039" spans="8:20" x14ac:dyDescent="0.35">
      <c r="H35039" s="711"/>
      <c r="I35039" s="711"/>
      <c r="J35039" s="711"/>
      <c r="K35039" s="711"/>
      <c r="L35039" s="711"/>
      <c r="Q35039" s="11"/>
      <c r="R35039" s="11"/>
      <c r="S35039" s="11"/>
      <c r="T35039" s="11"/>
    </row>
    <row r="35040" spans="8:20" x14ac:dyDescent="0.35">
      <c r="H35040" s="711"/>
      <c r="I35040" s="711"/>
      <c r="J35040" s="711"/>
      <c r="K35040" s="711"/>
      <c r="L35040" s="711"/>
      <c r="Q35040" s="11"/>
      <c r="R35040" s="11"/>
      <c r="S35040" s="11"/>
      <c r="T35040" s="11"/>
    </row>
    <row r="35041" spans="8:20" x14ac:dyDescent="0.35">
      <c r="H35041" s="711"/>
      <c r="I35041" s="711"/>
      <c r="J35041" s="711"/>
      <c r="K35041" s="711"/>
      <c r="L35041" s="711"/>
      <c r="Q35041" s="11"/>
      <c r="R35041" s="11"/>
      <c r="S35041" s="11"/>
      <c r="T35041" s="11"/>
    </row>
    <row r="35042" spans="8:20" x14ac:dyDescent="0.35">
      <c r="H35042" s="711"/>
      <c r="I35042" s="711"/>
      <c r="J35042" s="711"/>
      <c r="K35042" s="711"/>
      <c r="L35042" s="711"/>
      <c r="Q35042" s="11"/>
      <c r="R35042" s="11"/>
      <c r="S35042" s="11"/>
      <c r="T35042" s="11"/>
    </row>
    <row r="35043" spans="8:20" x14ac:dyDescent="0.35">
      <c r="H35043" s="711"/>
      <c r="I35043" s="711"/>
      <c r="J35043" s="711"/>
      <c r="K35043" s="711"/>
      <c r="L35043" s="711"/>
      <c r="Q35043" s="11"/>
      <c r="R35043" s="11"/>
      <c r="S35043" s="11"/>
      <c r="T35043" s="11"/>
    </row>
    <row r="35044" spans="8:20" x14ac:dyDescent="0.35">
      <c r="H35044" s="711"/>
      <c r="I35044" s="711"/>
      <c r="J35044" s="711"/>
      <c r="K35044" s="711"/>
      <c r="L35044" s="711"/>
      <c r="Q35044" s="11"/>
      <c r="R35044" s="11"/>
      <c r="S35044" s="11"/>
      <c r="T35044" s="11"/>
    </row>
    <row r="35045" spans="8:20" x14ac:dyDescent="0.35">
      <c r="H35045" s="711"/>
      <c r="I35045" s="711"/>
      <c r="J35045" s="711"/>
      <c r="K35045" s="711"/>
      <c r="L35045" s="711"/>
      <c r="Q35045" s="11"/>
      <c r="R35045" s="11"/>
      <c r="S35045" s="11"/>
      <c r="T35045" s="11"/>
    </row>
    <row r="35046" spans="8:20" x14ac:dyDescent="0.35">
      <c r="H35046" s="711"/>
      <c r="I35046" s="711"/>
      <c r="J35046" s="711"/>
      <c r="K35046" s="711"/>
      <c r="L35046" s="711"/>
      <c r="Q35046" s="11"/>
      <c r="R35046" s="11"/>
      <c r="S35046" s="11"/>
      <c r="T35046" s="11"/>
    </row>
    <row r="35047" spans="8:20" x14ac:dyDescent="0.35">
      <c r="H35047" s="711"/>
      <c r="I35047" s="711"/>
      <c r="J35047" s="711"/>
      <c r="K35047" s="711"/>
      <c r="L35047" s="711"/>
      <c r="Q35047" s="11"/>
      <c r="R35047" s="11"/>
      <c r="S35047" s="11"/>
      <c r="T35047" s="11"/>
    </row>
    <row r="35048" spans="8:20" x14ac:dyDescent="0.35">
      <c r="H35048" s="711"/>
      <c r="I35048" s="711"/>
      <c r="J35048" s="711"/>
      <c r="K35048" s="711"/>
      <c r="L35048" s="711"/>
      <c r="Q35048" s="11"/>
      <c r="R35048" s="11"/>
      <c r="S35048" s="11"/>
      <c r="T35048" s="11"/>
    </row>
    <row r="35049" spans="8:20" x14ac:dyDescent="0.35">
      <c r="H35049" s="711"/>
      <c r="I35049" s="711"/>
      <c r="J35049" s="711"/>
      <c r="K35049" s="711"/>
      <c r="L35049" s="711"/>
      <c r="Q35049" s="11"/>
      <c r="R35049" s="11"/>
      <c r="S35049" s="11"/>
      <c r="T35049" s="11"/>
    </row>
    <row r="35050" spans="8:20" x14ac:dyDescent="0.35">
      <c r="H35050" s="711"/>
      <c r="I35050" s="711"/>
      <c r="J35050" s="711"/>
      <c r="K35050" s="711"/>
      <c r="L35050" s="711"/>
      <c r="Q35050" s="11"/>
      <c r="R35050" s="11"/>
      <c r="S35050" s="11"/>
      <c r="T35050" s="11"/>
    </row>
    <row r="35051" spans="8:20" x14ac:dyDescent="0.35">
      <c r="H35051" s="711"/>
      <c r="I35051" s="711"/>
      <c r="J35051" s="711"/>
      <c r="K35051" s="711"/>
      <c r="L35051" s="711"/>
      <c r="Q35051" s="11"/>
      <c r="R35051" s="11"/>
      <c r="S35051" s="11"/>
      <c r="T35051" s="11"/>
    </row>
    <row r="35052" spans="8:20" x14ac:dyDescent="0.35">
      <c r="H35052" s="711"/>
      <c r="I35052" s="711"/>
      <c r="J35052" s="711"/>
      <c r="K35052" s="711"/>
      <c r="L35052" s="711"/>
      <c r="Q35052" s="11"/>
      <c r="R35052" s="11"/>
      <c r="S35052" s="11"/>
      <c r="T35052" s="11"/>
    </row>
    <row r="35053" spans="8:20" x14ac:dyDescent="0.35">
      <c r="H35053" s="711"/>
      <c r="I35053" s="711"/>
      <c r="J35053" s="711"/>
      <c r="K35053" s="711"/>
      <c r="L35053" s="711"/>
      <c r="Q35053" s="11"/>
      <c r="R35053" s="11"/>
      <c r="S35053" s="11"/>
      <c r="T35053" s="11"/>
    </row>
    <row r="35054" spans="8:20" x14ac:dyDescent="0.35">
      <c r="H35054" s="711"/>
      <c r="I35054" s="711"/>
      <c r="J35054" s="711"/>
      <c r="K35054" s="711"/>
      <c r="L35054" s="711"/>
      <c r="Q35054" s="11"/>
      <c r="R35054" s="11"/>
      <c r="S35054" s="11"/>
      <c r="T35054" s="11"/>
    </row>
    <row r="35055" spans="8:20" x14ac:dyDescent="0.35">
      <c r="H35055" s="711"/>
      <c r="I35055" s="711"/>
      <c r="J35055" s="711"/>
      <c r="K35055" s="711"/>
      <c r="L35055" s="711"/>
      <c r="Q35055" s="11"/>
      <c r="R35055" s="11"/>
      <c r="S35055" s="11"/>
      <c r="T35055" s="11"/>
    </row>
    <row r="35056" spans="8:20" x14ac:dyDescent="0.35">
      <c r="H35056" s="711"/>
      <c r="I35056" s="711"/>
      <c r="J35056" s="711"/>
      <c r="K35056" s="711"/>
      <c r="L35056" s="711"/>
      <c r="Q35056" s="11"/>
      <c r="R35056" s="11"/>
      <c r="S35056" s="11"/>
      <c r="T35056" s="11"/>
    </row>
    <row r="35057" spans="8:20" x14ac:dyDescent="0.35">
      <c r="H35057" s="711"/>
      <c r="I35057" s="711"/>
      <c r="J35057" s="711"/>
      <c r="K35057" s="711"/>
      <c r="L35057" s="711"/>
      <c r="Q35057" s="11"/>
      <c r="R35057" s="11"/>
      <c r="S35057" s="11"/>
      <c r="T35057" s="11"/>
    </row>
    <row r="35058" spans="8:20" x14ac:dyDescent="0.35">
      <c r="H35058" s="711"/>
      <c r="I35058" s="711"/>
      <c r="J35058" s="711"/>
      <c r="K35058" s="711"/>
      <c r="L35058" s="711"/>
      <c r="Q35058" s="11"/>
      <c r="R35058" s="11"/>
      <c r="S35058" s="11"/>
      <c r="T35058" s="11"/>
    </row>
    <row r="35059" spans="8:20" x14ac:dyDescent="0.35">
      <c r="H35059" s="711"/>
      <c r="I35059" s="711"/>
      <c r="J35059" s="711"/>
      <c r="K35059" s="711"/>
      <c r="L35059" s="711"/>
      <c r="Q35059" s="11"/>
      <c r="R35059" s="11"/>
      <c r="S35059" s="11"/>
      <c r="T35059" s="11"/>
    </row>
    <row r="35060" spans="8:20" x14ac:dyDescent="0.35">
      <c r="H35060" s="711"/>
      <c r="I35060" s="711"/>
      <c r="J35060" s="711"/>
      <c r="K35060" s="711"/>
      <c r="L35060" s="711"/>
      <c r="Q35060" s="11"/>
      <c r="R35060" s="11"/>
      <c r="S35060" s="11"/>
      <c r="T35060" s="11"/>
    </row>
    <row r="35061" spans="8:20" x14ac:dyDescent="0.35">
      <c r="H35061" s="711"/>
      <c r="I35061" s="711"/>
      <c r="J35061" s="711"/>
      <c r="K35061" s="711"/>
      <c r="L35061" s="711"/>
      <c r="Q35061" s="11"/>
      <c r="R35061" s="11"/>
      <c r="S35061" s="11"/>
      <c r="T35061" s="11"/>
    </row>
    <row r="35062" spans="8:20" x14ac:dyDescent="0.35">
      <c r="H35062" s="711"/>
      <c r="I35062" s="711"/>
      <c r="J35062" s="711"/>
      <c r="K35062" s="711"/>
      <c r="L35062" s="711"/>
      <c r="Q35062" s="11"/>
      <c r="R35062" s="11"/>
      <c r="S35062" s="11"/>
      <c r="T35062" s="11"/>
    </row>
    <row r="35063" spans="8:20" x14ac:dyDescent="0.35">
      <c r="H35063" s="711"/>
      <c r="I35063" s="711"/>
      <c r="J35063" s="711"/>
      <c r="K35063" s="711"/>
      <c r="L35063" s="711"/>
      <c r="Q35063" s="11"/>
      <c r="R35063" s="11"/>
      <c r="S35063" s="11"/>
      <c r="T35063" s="11"/>
    </row>
    <row r="35064" spans="8:20" x14ac:dyDescent="0.35">
      <c r="H35064" s="711"/>
      <c r="I35064" s="711"/>
      <c r="J35064" s="711"/>
      <c r="K35064" s="711"/>
      <c r="L35064" s="711"/>
      <c r="Q35064" s="11"/>
      <c r="R35064" s="11"/>
      <c r="S35064" s="11"/>
      <c r="T35064" s="11"/>
    </row>
    <row r="35065" spans="8:20" x14ac:dyDescent="0.35">
      <c r="H35065" s="711"/>
      <c r="I35065" s="711"/>
      <c r="J35065" s="711"/>
      <c r="K35065" s="711"/>
      <c r="L35065" s="711"/>
      <c r="Q35065" s="11"/>
      <c r="R35065" s="11"/>
      <c r="S35065" s="11"/>
      <c r="T35065" s="11"/>
    </row>
    <row r="35066" spans="8:20" x14ac:dyDescent="0.35">
      <c r="H35066" s="711"/>
      <c r="I35066" s="711"/>
      <c r="J35066" s="711"/>
      <c r="K35066" s="711"/>
      <c r="L35066" s="711"/>
      <c r="Q35066" s="11"/>
      <c r="R35066" s="11"/>
      <c r="S35066" s="11"/>
      <c r="T35066" s="11"/>
    </row>
    <row r="35067" spans="8:20" x14ac:dyDescent="0.35">
      <c r="H35067" s="711"/>
      <c r="I35067" s="711"/>
      <c r="J35067" s="711"/>
      <c r="K35067" s="711"/>
      <c r="L35067" s="711"/>
      <c r="Q35067" s="11"/>
      <c r="R35067" s="11"/>
      <c r="S35067" s="11"/>
      <c r="T35067" s="11"/>
    </row>
    <row r="35068" spans="8:20" x14ac:dyDescent="0.35">
      <c r="H35068" s="711"/>
      <c r="I35068" s="711"/>
      <c r="J35068" s="711"/>
      <c r="K35068" s="711"/>
      <c r="L35068" s="711"/>
      <c r="Q35068" s="11"/>
      <c r="R35068" s="11"/>
      <c r="S35068" s="11"/>
      <c r="T35068" s="11"/>
    </row>
    <row r="35069" spans="8:20" x14ac:dyDescent="0.35">
      <c r="H35069" s="711"/>
      <c r="I35069" s="711"/>
      <c r="J35069" s="711"/>
      <c r="K35069" s="711"/>
      <c r="L35069" s="711"/>
      <c r="Q35069" s="11"/>
      <c r="R35069" s="11"/>
      <c r="S35069" s="11"/>
      <c r="T35069" s="11"/>
    </row>
    <row r="35070" spans="8:20" x14ac:dyDescent="0.35">
      <c r="H35070" s="711"/>
      <c r="I35070" s="711"/>
      <c r="J35070" s="711"/>
      <c r="K35070" s="711"/>
      <c r="L35070" s="711"/>
      <c r="Q35070" s="11"/>
      <c r="R35070" s="11"/>
      <c r="S35070" s="11"/>
      <c r="T35070" s="11"/>
    </row>
    <row r="35071" spans="8:20" x14ac:dyDescent="0.35">
      <c r="H35071" s="711"/>
      <c r="I35071" s="711"/>
      <c r="J35071" s="711"/>
      <c r="K35071" s="711"/>
      <c r="L35071" s="711"/>
      <c r="Q35071" s="11"/>
      <c r="R35071" s="11"/>
      <c r="S35071" s="11"/>
      <c r="T35071" s="11"/>
    </row>
    <row r="35072" spans="8:20" x14ac:dyDescent="0.35">
      <c r="H35072" s="711"/>
      <c r="I35072" s="711"/>
      <c r="J35072" s="711"/>
      <c r="K35072" s="711"/>
      <c r="L35072" s="711"/>
      <c r="Q35072" s="11"/>
      <c r="R35072" s="11"/>
      <c r="S35072" s="11"/>
      <c r="T35072" s="11"/>
    </row>
    <row r="35073" spans="8:20" x14ac:dyDescent="0.35">
      <c r="H35073" s="711"/>
      <c r="I35073" s="711"/>
      <c r="J35073" s="711"/>
      <c r="K35073" s="711"/>
      <c r="L35073" s="711"/>
      <c r="Q35073" s="11"/>
      <c r="R35073" s="11"/>
      <c r="S35073" s="11"/>
      <c r="T35073" s="11"/>
    </row>
    <row r="35074" spans="8:20" x14ac:dyDescent="0.35">
      <c r="H35074" s="711"/>
      <c r="I35074" s="711"/>
      <c r="J35074" s="711"/>
      <c r="K35074" s="711"/>
      <c r="L35074" s="711"/>
      <c r="Q35074" s="11"/>
      <c r="R35074" s="11"/>
      <c r="S35074" s="11"/>
      <c r="T35074" s="11"/>
    </row>
    <row r="35075" spans="8:20" x14ac:dyDescent="0.35">
      <c r="H35075" s="711"/>
      <c r="I35075" s="711"/>
      <c r="J35075" s="711"/>
      <c r="K35075" s="711"/>
      <c r="L35075" s="711"/>
      <c r="Q35075" s="11"/>
      <c r="R35075" s="11"/>
      <c r="S35075" s="11"/>
      <c r="T35075" s="11"/>
    </row>
    <row r="35076" spans="8:20" x14ac:dyDescent="0.35">
      <c r="H35076" s="711"/>
      <c r="I35076" s="711"/>
      <c r="J35076" s="711"/>
      <c r="K35076" s="711"/>
      <c r="L35076" s="711"/>
      <c r="Q35076" s="11"/>
      <c r="R35076" s="11"/>
      <c r="S35076" s="11"/>
      <c r="T35076" s="11"/>
    </row>
    <row r="35077" spans="8:20" x14ac:dyDescent="0.35">
      <c r="H35077" s="711"/>
      <c r="I35077" s="711"/>
      <c r="J35077" s="711"/>
      <c r="K35077" s="711"/>
      <c r="L35077" s="711"/>
      <c r="Q35077" s="11"/>
      <c r="R35077" s="11"/>
      <c r="S35077" s="11"/>
      <c r="T35077" s="11"/>
    </row>
    <row r="35078" spans="8:20" x14ac:dyDescent="0.35">
      <c r="H35078" s="711"/>
      <c r="I35078" s="711"/>
      <c r="J35078" s="711"/>
      <c r="K35078" s="711"/>
      <c r="L35078" s="711"/>
      <c r="Q35078" s="11"/>
      <c r="R35078" s="11"/>
      <c r="S35078" s="11"/>
      <c r="T35078" s="11"/>
    </row>
    <row r="35079" spans="8:20" x14ac:dyDescent="0.35">
      <c r="H35079" s="711"/>
      <c r="I35079" s="711"/>
      <c r="J35079" s="711"/>
      <c r="K35079" s="711"/>
      <c r="L35079" s="711"/>
      <c r="Q35079" s="11"/>
      <c r="R35079" s="11"/>
      <c r="S35079" s="11"/>
      <c r="T35079" s="11"/>
    </row>
    <row r="35080" spans="8:20" x14ac:dyDescent="0.35">
      <c r="H35080" s="711"/>
      <c r="I35080" s="711"/>
      <c r="J35080" s="711"/>
      <c r="K35080" s="711"/>
      <c r="L35080" s="711"/>
      <c r="Q35080" s="11"/>
      <c r="R35080" s="11"/>
      <c r="S35080" s="11"/>
      <c r="T35080" s="11"/>
    </row>
    <row r="35081" spans="8:20" x14ac:dyDescent="0.35">
      <c r="H35081" s="711"/>
      <c r="I35081" s="711"/>
      <c r="J35081" s="711"/>
      <c r="K35081" s="711"/>
      <c r="L35081" s="711"/>
      <c r="Q35081" s="11"/>
      <c r="R35081" s="11"/>
      <c r="S35081" s="11"/>
      <c r="T35081" s="11"/>
    </row>
    <row r="35082" spans="8:20" x14ac:dyDescent="0.35">
      <c r="H35082" s="711"/>
      <c r="I35082" s="711"/>
      <c r="J35082" s="711"/>
      <c r="K35082" s="711"/>
      <c r="L35082" s="711"/>
      <c r="Q35082" s="11"/>
      <c r="R35082" s="11"/>
      <c r="S35082" s="11"/>
      <c r="T35082" s="11"/>
    </row>
    <row r="35083" spans="8:20" x14ac:dyDescent="0.35">
      <c r="H35083" s="711"/>
      <c r="I35083" s="711"/>
      <c r="J35083" s="711"/>
      <c r="K35083" s="711"/>
      <c r="L35083" s="711"/>
      <c r="Q35083" s="11"/>
      <c r="R35083" s="11"/>
      <c r="S35083" s="11"/>
      <c r="T35083" s="11"/>
    </row>
    <row r="35084" spans="8:20" x14ac:dyDescent="0.35">
      <c r="H35084" s="711"/>
      <c r="I35084" s="711"/>
      <c r="J35084" s="711"/>
      <c r="K35084" s="711"/>
      <c r="L35084" s="711"/>
      <c r="Q35084" s="11"/>
      <c r="R35084" s="11"/>
      <c r="S35084" s="11"/>
      <c r="T35084" s="11"/>
    </row>
    <row r="35085" spans="8:20" x14ac:dyDescent="0.35">
      <c r="H35085" s="711"/>
      <c r="I35085" s="711"/>
      <c r="J35085" s="711"/>
      <c r="K35085" s="711"/>
      <c r="L35085" s="711"/>
      <c r="Q35085" s="11"/>
      <c r="R35085" s="11"/>
      <c r="S35085" s="11"/>
      <c r="T35085" s="11"/>
    </row>
    <row r="35086" spans="8:20" x14ac:dyDescent="0.35">
      <c r="H35086" s="711"/>
      <c r="I35086" s="711"/>
      <c r="J35086" s="711"/>
      <c r="K35086" s="711"/>
      <c r="L35086" s="711"/>
      <c r="Q35086" s="11"/>
      <c r="R35086" s="11"/>
      <c r="S35086" s="11"/>
      <c r="T35086" s="11"/>
    </row>
    <row r="35087" spans="8:20" x14ac:dyDescent="0.35">
      <c r="H35087" s="711"/>
      <c r="I35087" s="711"/>
      <c r="J35087" s="711"/>
      <c r="K35087" s="711"/>
      <c r="L35087" s="711"/>
      <c r="Q35087" s="11"/>
      <c r="R35087" s="11"/>
      <c r="S35087" s="11"/>
      <c r="T35087" s="11"/>
    </row>
    <row r="35088" spans="8:20" x14ac:dyDescent="0.35">
      <c r="H35088" s="711"/>
      <c r="I35088" s="711"/>
      <c r="J35088" s="711"/>
      <c r="K35088" s="711"/>
      <c r="L35088" s="711"/>
      <c r="Q35088" s="11"/>
      <c r="R35088" s="11"/>
      <c r="S35088" s="11"/>
      <c r="T35088" s="11"/>
    </row>
    <row r="35089" spans="8:20" x14ac:dyDescent="0.35">
      <c r="H35089" s="711"/>
      <c r="I35089" s="711"/>
      <c r="J35089" s="711"/>
      <c r="K35089" s="711"/>
      <c r="L35089" s="711"/>
      <c r="Q35089" s="11"/>
      <c r="R35089" s="11"/>
      <c r="S35089" s="11"/>
      <c r="T35089" s="11"/>
    </row>
    <row r="35090" spans="8:20" x14ac:dyDescent="0.35">
      <c r="H35090" s="711"/>
      <c r="I35090" s="711"/>
      <c r="J35090" s="711"/>
      <c r="K35090" s="711"/>
      <c r="L35090" s="711"/>
      <c r="Q35090" s="11"/>
      <c r="R35090" s="11"/>
      <c r="S35090" s="11"/>
      <c r="T35090" s="11"/>
    </row>
    <row r="35091" spans="8:20" x14ac:dyDescent="0.35">
      <c r="H35091" s="711"/>
      <c r="I35091" s="711"/>
      <c r="J35091" s="711"/>
      <c r="K35091" s="711"/>
      <c r="L35091" s="711"/>
      <c r="Q35091" s="11"/>
      <c r="R35091" s="11"/>
      <c r="S35091" s="11"/>
      <c r="T35091" s="11"/>
    </row>
    <row r="35092" spans="8:20" x14ac:dyDescent="0.35">
      <c r="H35092" s="711"/>
      <c r="I35092" s="711"/>
      <c r="J35092" s="711"/>
      <c r="K35092" s="711"/>
      <c r="L35092" s="711"/>
      <c r="Q35092" s="11"/>
      <c r="R35092" s="11"/>
      <c r="S35092" s="11"/>
      <c r="T35092" s="11"/>
    </row>
    <row r="35093" spans="8:20" x14ac:dyDescent="0.35">
      <c r="H35093" s="711"/>
      <c r="I35093" s="711"/>
      <c r="J35093" s="711"/>
      <c r="K35093" s="711"/>
      <c r="L35093" s="711"/>
      <c r="Q35093" s="11"/>
      <c r="R35093" s="11"/>
      <c r="S35093" s="11"/>
      <c r="T35093" s="11"/>
    </row>
    <row r="35094" spans="8:20" x14ac:dyDescent="0.35">
      <c r="H35094" s="711"/>
      <c r="I35094" s="711"/>
      <c r="J35094" s="711"/>
      <c r="K35094" s="711"/>
      <c r="L35094" s="711"/>
      <c r="Q35094" s="11"/>
      <c r="R35094" s="11"/>
      <c r="S35094" s="11"/>
      <c r="T35094" s="11"/>
    </row>
    <row r="35095" spans="8:20" x14ac:dyDescent="0.35">
      <c r="H35095" s="711"/>
      <c r="I35095" s="711"/>
      <c r="J35095" s="711"/>
      <c r="K35095" s="711"/>
      <c r="L35095" s="711"/>
      <c r="Q35095" s="11"/>
      <c r="R35095" s="11"/>
      <c r="S35095" s="11"/>
      <c r="T35095" s="11"/>
    </row>
    <row r="35096" spans="8:20" x14ac:dyDescent="0.35">
      <c r="H35096" s="711"/>
      <c r="I35096" s="711"/>
      <c r="J35096" s="711"/>
      <c r="K35096" s="711"/>
      <c r="L35096" s="711"/>
      <c r="Q35096" s="11"/>
      <c r="R35096" s="11"/>
      <c r="S35096" s="11"/>
      <c r="T35096" s="11"/>
    </row>
    <row r="35097" spans="8:20" x14ac:dyDescent="0.35">
      <c r="H35097" s="711"/>
      <c r="I35097" s="711"/>
      <c r="J35097" s="711"/>
      <c r="K35097" s="711"/>
      <c r="L35097" s="711"/>
      <c r="Q35097" s="11"/>
      <c r="R35097" s="11"/>
      <c r="S35097" s="11"/>
      <c r="T35097" s="11"/>
    </row>
    <row r="35098" spans="8:20" x14ac:dyDescent="0.35">
      <c r="H35098" s="711"/>
      <c r="I35098" s="711"/>
      <c r="J35098" s="711"/>
      <c r="K35098" s="711"/>
      <c r="L35098" s="711"/>
      <c r="Q35098" s="11"/>
      <c r="R35098" s="11"/>
      <c r="S35098" s="11"/>
      <c r="T35098" s="11"/>
    </row>
    <row r="35099" spans="8:20" x14ac:dyDescent="0.35">
      <c r="H35099" s="711"/>
      <c r="I35099" s="711"/>
      <c r="J35099" s="711"/>
      <c r="K35099" s="711"/>
      <c r="L35099" s="711"/>
      <c r="Q35099" s="11"/>
      <c r="R35099" s="11"/>
      <c r="S35099" s="11"/>
      <c r="T35099" s="11"/>
    </row>
    <row r="35100" spans="8:20" x14ac:dyDescent="0.35">
      <c r="H35100" s="711"/>
      <c r="I35100" s="711"/>
      <c r="J35100" s="711"/>
      <c r="K35100" s="711"/>
      <c r="L35100" s="711"/>
      <c r="Q35100" s="11"/>
      <c r="R35100" s="11"/>
      <c r="S35100" s="11"/>
      <c r="T35100" s="11"/>
    </row>
    <row r="35101" spans="8:20" x14ac:dyDescent="0.35">
      <c r="H35101" s="711"/>
      <c r="I35101" s="711"/>
      <c r="J35101" s="711"/>
      <c r="K35101" s="711"/>
      <c r="L35101" s="711"/>
      <c r="Q35101" s="11"/>
      <c r="R35101" s="11"/>
      <c r="S35101" s="11"/>
      <c r="T35101" s="11"/>
    </row>
    <row r="35102" spans="8:20" x14ac:dyDescent="0.35">
      <c r="H35102" s="711"/>
      <c r="I35102" s="711"/>
      <c r="J35102" s="711"/>
      <c r="K35102" s="711"/>
      <c r="L35102" s="711"/>
      <c r="Q35102" s="11"/>
      <c r="R35102" s="11"/>
      <c r="S35102" s="11"/>
      <c r="T35102" s="11"/>
    </row>
    <row r="35103" spans="8:20" x14ac:dyDescent="0.35">
      <c r="H35103" s="711"/>
      <c r="I35103" s="711"/>
      <c r="J35103" s="711"/>
      <c r="K35103" s="711"/>
      <c r="L35103" s="711"/>
      <c r="Q35103" s="11"/>
      <c r="R35103" s="11"/>
      <c r="S35103" s="11"/>
      <c r="T35103" s="11"/>
    </row>
    <row r="35104" spans="8:20" x14ac:dyDescent="0.35">
      <c r="H35104" s="711"/>
      <c r="I35104" s="711"/>
      <c r="J35104" s="711"/>
      <c r="K35104" s="711"/>
      <c r="L35104" s="711"/>
      <c r="Q35104" s="11"/>
      <c r="R35104" s="11"/>
      <c r="S35104" s="11"/>
      <c r="T35104" s="11"/>
    </row>
    <row r="35105" spans="8:20" x14ac:dyDescent="0.35">
      <c r="H35105" s="711"/>
      <c r="I35105" s="711"/>
      <c r="J35105" s="711"/>
      <c r="K35105" s="711"/>
      <c r="L35105" s="711"/>
      <c r="Q35105" s="11"/>
      <c r="R35105" s="11"/>
      <c r="S35105" s="11"/>
      <c r="T35105" s="11"/>
    </row>
    <row r="35106" spans="8:20" x14ac:dyDescent="0.35">
      <c r="H35106" s="711"/>
      <c r="I35106" s="711"/>
      <c r="J35106" s="711"/>
      <c r="K35106" s="711"/>
      <c r="L35106" s="711"/>
      <c r="Q35106" s="11"/>
      <c r="R35106" s="11"/>
      <c r="S35106" s="11"/>
      <c r="T35106" s="11"/>
    </row>
    <row r="35107" spans="8:20" x14ac:dyDescent="0.35">
      <c r="H35107" s="711"/>
      <c r="I35107" s="711"/>
      <c r="J35107" s="711"/>
      <c r="K35107" s="711"/>
      <c r="L35107" s="711"/>
      <c r="Q35107" s="11"/>
      <c r="R35107" s="11"/>
      <c r="S35107" s="11"/>
      <c r="T35107" s="11"/>
    </row>
    <row r="35108" spans="8:20" x14ac:dyDescent="0.35">
      <c r="H35108" s="711"/>
      <c r="I35108" s="711"/>
      <c r="J35108" s="711"/>
      <c r="K35108" s="711"/>
      <c r="L35108" s="711"/>
      <c r="Q35108" s="11"/>
      <c r="R35108" s="11"/>
      <c r="S35108" s="11"/>
      <c r="T35108" s="11"/>
    </row>
    <row r="35109" spans="8:20" x14ac:dyDescent="0.35">
      <c r="H35109" s="711"/>
      <c r="I35109" s="711"/>
      <c r="J35109" s="711"/>
      <c r="K35109" s="711"/>
      <c r="L35109" s="711"/>
      <c r="Q35109" s="11"/>
      <c r="R35109" s="11"/>
      <c r="S35109" s="11"/>
      <c r="T35109" s="11"/>
    </row>
    <row r="35110" spans="8:20" x14ac:dyDescent="0.35">
      <c r="H35110" s="711"/>
      <c r="I35110" s="711"/>
      <c r="J35110" s="711"/>
      <c r="K35110" s="711"/>
      <c r="L35110" s="711"/>
      <c r="Q35110" s="11"/>
      <c r="R35110" s="11"/>
      <c r="S35110" s="11"/>
      <c r="T35110" s="11"/>
    </row>
    <row r="35111" spans="8:20" x14ac:dyDescent="0.35">
      <c r="H35111" s="711"/>
      <c r="I35111" s="711"/>
      <c r="J35111" s="711"/>
      <c r="K35111" s="711"/>
      <c r="L35111" s="711"/>
      <c r="Q35111" s="11"/>
      <c r="R35111" s="11"/>
      <c r="S35111" s="11"/>
      <c r="T35111" s="11"/>
    </row>
    <row r="35112" spans="8:20" x14ac:dyDescent="0.35">
      <c r="H35112" s="711"/>
      <c r="I35112" s="711"/>
      <c r="J35112" s="711"/>
      <c r="K35112" s="711"/>
      <c r="L35112" s="711"/>
      <c r="Q35112" s="11"/>
      <c r="R35112" s="11"/>
      <c r="S35112" s="11"/>
      <c r="T35112" s="11"/>
    </row>
    <row r="35113" spans="8:20" x14ac:dyDescent="0.35">
      <c r="H35113" s="711"/>
      <c r="I35113" s="711"/>
      <c r="J35113" s="711"/>
      <c r="K35113" s="711"/>
      <c r="L35113" s="711"/>
      <c r="Q35113" s="11"/>
      <c r="R35113" s="11"/>
      <c r="S35113" s="11"/>
      <c r="T35113" s="11"/>
    </row>
    <row r="35114" spans="8:20" x14ac:dyDescent="0.35">
      <c r="H35114" s="711"/>
      <c r="I35114" s="711"/>
      <c r="J35114" s="711"/>
      <c r="K35114" s="711"/>
      <c r="L35114" s="711"/>
      <c r="Q35114" s="11"/>
      <c r="R35114" s="11"/>
      <c r="S35114" s="11"/>
      <c r="T35114" s="11"/>
    </row>
    <row r="35115" spans="8:20" x14ac:dyDescent="0.35">
      <c r="H35115" s="711"/>
      <c r="I35115" s="711"/>
      <c r="J35115" s="711"/>
      <c r="K35115" s="711"/>
      <c r="L35115" s="711"/>
      <c r="Q35115" s="11"/>
      <c r="R35115" s="11"/>
      <c r="S35115" s="11"/>
      <c r="T35115" s="11"/>
    </row>
    <row r="35116" spans="8:20" x14ac:dyDescent="0.35">
      <c r="H35116" s="711"/>
      <c r="I35116" s="711"/>
      <c r="J35116" s="711"/>
      <c r="K35116" s="711"/>
      <c r="L35116" s="711"/>
      <c r="Q35116" s="11"/>
      <c r="R35116" s="11"/>
      <c r="S35116" s="11"/>
      <c r="T35116" s="11"/>
    </row>
    <row r="35117" spans="8:20" x14ac:dyDescent="0.35">
      <c r="H35117" s="711"/>
      <c r="I35117" s="711"/>
      <c r="J35117" s="711"/>
      <c r="K35117" s="711"/>
      <c r="L35117" s="711"/>
      <c r="Q35117" s="11"/>
      <c r="R35117" s="11"/>
      <c r="S35117" s="11"/>
      <c r="T35117" s="11"/>
    </row>
    <row r="35118" spans="8:20" x14ac:dyDescent="0.35">
      <c r="H35118" s="711"/>
      <c r="I35118" s="711"/>
      <c r="J35118" s="711"/>
      <c r="K35118" s="711"/>
      <c r="L35118" s="711"/>
      <c r="Q35118" s="11"/>
      <c r="R35118" s="11"/>
      <c r="S35118" s="11"/>
      <c r="T35118" s="11"/>
    </row>
    <row r="35119" spans="8:20" x14ac:dyDescent="0.35">
      <c r="H35119" s="711"/>
      <c r="I35119" s="711"/>
      <c r="J35119" s="711"/>
      <c r="K35119" s="711"/>
      <c r="L35119" s="711"/>
      <c r="Q35119" s="11"/>
      <c r="R35119" s="11"/>
      <c r="S35119" s="11"/>
      <c r="T35119" s="11"/>
    </row>
    <row r="35120" spans="8:20" x14ac:dyDescent="0.35">
      <c r="H35120" s="711"/>
      <c r="I35120" s="711"/>
      <c r="J35120" s="711"/>
      <c r="K35120" s="711"/>
      <c r="L35120" s="711"/>
      <c r="Q35120" s="11"/>
      <c r="R35120" s="11"/>
      <c r="S35120" s="11"/>
      <c r="T35120" s="11"/>
    </row>
    <row r="35121" spans="8:20" x14ac:dyDescent="0.35">
      <c r="H35121" s="711"/>
      <c r="I35121" s="711"/>
      <c r="J35121" s="711"/>
      <c r="K35121" s="711"/>
      <c r="L35121" s="711"/>
      <c r="Q35121" s="11"/>
      <c r="R35121" s="11"/>
      <c r="S35121" s="11"/>
      <c r="T35121" s="11"/>
    </row>
    <row r="35122" spans="8:20" x14ac:dyDescent="0.35">
      <c r="H35122" s="711"/>
      <c r="I35122" s="711"/>
      <c r="J35122" s="711"/>
      <c r="K35122" s="711"/>
      <c r="L35122" s="711"/>
      <c r="Q35122" s="11"/>
      <c r="R35122" s="11"/>
      <c r="S35122" s="11"/>
      <c r="T35122" s="11"/>
    </row>
    <row r="35123" spans="8:20" x14ac:dyDescent="0.35">
      <c r="H35123" s="711"/>
      <c r="I35123" s="711"/>
      <c r="J35123" s="711"/>
      <c r="K35123" s="711"/>
      <c r="L35123" s="711"/>
      <c r="Q35123" s="11"/>
      <c r="R35123" s="11"/>
      <c r="S35123" s="11"/>
      <c r="T35123" s="11"/>
    </row>
    <row r="35124" spans="8:20" x14ac:dyDescent="0.35">
      <c r="H35124" s="711"/>
      <c r="I35124" s="711"/>
      <c r="J35124" s="711"/>
      <c r="K35124" s="711"/>
      <c r="L35124" s="711"/>
      <c r="Q35124" s="11"/>
      <c r="R35124" s="11"/>
      <c r="S35124" s="11"/>
      <c r="T35124" s="11"/>
    </row>
    <row r="35125" spans="8:20" x14ac:dyDescent="0.35">
      <c r="H35125" s="711"/>
      <c r="I35125" s="711"/>
      <c r="J35125" s="711"/>
      <c r="K35125" s="711"/>
      <c r="L35125" s="711"/>
      <c r="Q35125" s="11"/>
      <c r="R35125" s="11"/>
      <c r="S35125" s="11"/>
      <c r="T35125" s="11"/>
    </row>
    <row r="35126" spans="8:20" x14ac:dyDescent="0.35">
      <c r="H35126" s="711"/>
      <c r="I35126" s="711"/>
      <c r="J35126" s="711"/>
      <c r="K35126" s="711"/>
      <c r="L35126" s="711"/>
      <c r="Q35126" s="11"/>
      <c r="R35126" s="11"/>
      <c r="S35126" s="11"/>
      <c r="T35126" s="11"/>
    </row>
    <row r="35127" spans="8:20" x14ac:dyDescent="0.35">
      <c r="H35127" s="711"/>
      <c r="I35127" s="711"/>
      <c r="J35127" s="711"/>
      <c r="K35127" s="711"/>
      <c r="L35127" s="711"/>
      <c r="Q35127" s="11"/>
      <c r="R35127" s="11"/>
      <c r="S35127" s="11"/>
      <c r="T35127" s="11"/>
    </row>
    <row r="35128" spans="8:20" x14ac:dyDescent="0.35">
      <c r="H35128" s="711"/>
      <c r="I35128" s="711"/>
      <c r="J35128" s="711"/>
      <c r="K35128" s="711"/>
      <c r="L35128" s="711"/>
      <c r="Q35128" s="11"/>
      <c r="R35128" s="11"/>
      <c r="S35128" s="11"/>
      <c r="T35128" s="11"/>
    </row>
    <row r="35129" spans="8:20" x14ac:dyDescent="0.35">
      <c r="H35129" s="711"/>
      <c r="I35129" s="711"/>
      <c r="J35129" s="711"/>
      <c r="K35129" s="711"/>
      <c r="L35129" s="711"/>
      <c r="Q35129" s="11"/>
      <c r="R35129" s="11"/>
      <c r="S35129" s="11"/>
      <c r="T35129" s="11"/>
    </row>
    <row r="35130" spans="8:20" x14ac:dyDescent="0.35">
      <c r="H35130" s="711"/>
      <c r="I35130" s="711"/>
      <c r="J35130" s="711"/>
      <c r="K35130" s="711"/>
      <c r="L35130" s="711"/>
      <c r="Q35130" s="11"/>
      <c r="R35130" s="11"/>
      <c r="S35130" s="11"/>
      <c r="T35130" s="11"/>
    </row>
    <row r="35131" spans="8:20" x14ac:dyDescent="0.35">
      <c r="H35131" s="711"/>
      <c r="I35131" s="711"/>
      <c r="J35131" s="711"/>
      <c r="K35131" s="711"/>
      <c r="L35131" s="711"/>
      <c r="Q35131" s="11"/>
      <c r="R35131" s="11"/>
      <c r="S35131" s="11"/>
      <c r="T35131" s="11"/>
    </row>
    <row r="35132" spans="8:20" x14ac:dyDescent="0.35">
      <c r="H35132" s="711"/>
      <c r="I35132" s="711"/>
      <c r="J35132" s="711"/>
      <c r="K35132" s="711"/>
      <c r="L35132" s="711"/>
      <c r="Q35132" s="11"/>
      <c r="R35132" s="11"/>
      <c r="S35132" s="11"/>
      <c r="T35132" s="11"/>
    </row>
    <row r="35133" spans="8:20" x14ac:dyDescent="0.35">
      <c r="H35133" s="711"/>
      <c r="I35133" s="711"/>
      <c r="J35133" s="711"/>
      <c r="K35133" s="711"/>
      <c r="L35133" s="711"/>
      <c r="Q35133" s="11"/>
      <c r="R35133" s="11"/>
      <c r="S35133" s="11"/>
      <c r="T35133" s="11"/>
    </row>
    <row r="35134" spans="8:20" x14ac:dyDescent="0.35">
      <c r="H35134" s="711"/>
      <c r="I35134" s="711"/>
      <c r="J35134" s="711"/>
      <c r="K35134" s="711"/>
      <c r="L35134" s="711"/>
      <c r="Q35134" s="11"/>
      <c r="R35134" s="11"/>
      <c r="S35134" s="11"/>
      <c r="T35134" s="11"/>
    </row>
    <row r="35135" spans="8:20" x14ac:dyDescent="0.35">
      <c r="H35135" s="711"/>
      <c r="I35135" s="711"/>
      <c r="J35135" s="711"/>
      <c r="K35135" s="711"/>
      <c r="L35135" s="711"/>
      <c r="Q35135" s="11"/>
      <c r="R35135" s="11"/>
      <c r="S35135" s="11"/>
      <c r="T35135" s="11"/>
    </row>
    <row r="35136" spans="8:20" x14ac:dyDescent="0.35">
      <c r="H35136" s="711"/>
      <c r="I35136" s="711"/>
      <c r="J35136" s="711"/>
      <c r="K35136" s="711"/>
      <c r="L35136" s="711"/>
      <c r="Q35136" s="11"/>
      <c r="R35136" s="11"/>
      <c r="S35136" s="11"/>
      <c r="T35136" s="11"/>
    </row>
    <row r="35137" spans="8:20" x14ac:dyDescent="0.35">
      <c r="H35137" s="711"/>
      <c r="I35137" s="711"/>
      <c r="J35137" s="711"/>
      <c r="K35137" s="711"/>
      <c r="L35137" s="711"/>
      <c r="Q35137" s="11"/>
      <c r="R35137" s="11"/>
      <c r="S35137" s="11"/>
      <c r="T35137" s="11"/>
    </row>
    <row r="35138" spans="8:20" x14ac:dyDescent="0.35">
      <c r="H35138" s="711"/>
      <c r="I35138" s="711"/>
      <c r="J35138" s="711"/>
      <c r="K35138" s="711"/>
      <c r="L35138" s="711"/>
      <c r="Q35138" s="11"/>
      <c r="R35138" s="11"/>
      <c r="S35138" s="11"/>
      <c r="T35138" s="11"/>
    </row>
    <row r="35139" spans="8:20" x14ac:dyDescent="0.35">
      <c r="H35139" s="711"/>
      <c r="I35139" s="711"/>
      <c r="J35139" s="711"/>
      <c r="K35139" s="711"/>
      <c r="L35139" s="711"/>
      <c r="Q35139" s="11"/>
      <c r="R35139" s="11"/>
      <c r="S35139" s="11"/>
      <c r="T35139" s="11"/>
    </row>
    <row r="35140" spans="8:20" x14ac:dyDescent="0.35">
      <c r="H35140" s="711"/>
      <c r="I35140" s="711"/>
      <c r="J35140" s="711"/>
      <c r="K35140" s="711"/>
      <c r="L35140" s="711"/>
      <c r="Q35140" s="11"/>
      <c r="R35140" s="11"/>
      <c r="S35140" s="11"/>
      <c r="T35140" s="11"/>
    </row>
    <row r="35141" spans="8:20" x14ac:dyDescent="0.35">
      <c r="H35141" s="711"/>
      <c r="I35141" s="711"/>
      <c r="J35141" s="711"/>
      <c r="K35141" s="711"/>
      <c r="L35141" s="711"/>
      <c r="Q35141" s="11"/>
      <c r="R35141" s="11"/>
      <c r="S35141" s="11"/>
      <c r="T35141" s="11"/>
    </row>
    <row r="35142" spans="8:20" x14ac:dyDescent="0.35">
      <c r="H35142" s="711"/>
      <c r="I35142" s="711"/>
      <c r="J35142" s="711"/>
      <c r="K35142" s="711"/>
      <c r="L35142" s="711"/>
      <c r="Q35142" s="11"/>
      <c r="R35142" s="11"/>
      <c r="S35142" s="11"/>
      <c r="T35142" s="11"/>
    </row>
    <row r="35143" spans="8:20" x14ac:dyDescent="0.35">
      <c r="H35143" s="711"/>
      <c r="I35143" s="711"/>
      <c r="J35143" s="711"/>
      <c r="K35143" s="711"/>
      <c r="L35143" s="711"/>
      <c r="Q35143" s="11"/>
      <c r="R35143" s="11"/>
      <c r="S35143" s="11"/>
      <c r="T35143" s="11"/>
    </row>
    <row r="35144" spans="8:20" x14ac:dyDescent="0.35">
      <c r="H35144" s="711"/>
      <c r="I35144" s="711"/>
      <c r="J35144" s="711"/>
      <c r="K35144" s="711"/>
      <c r="L35144" s="711"/>
      <c r="Q35144" s="11"/>
      <c r="R35144" s="11"/>
      <c r="S35144" s="11"/>
      <c r="T35144" s="11"/>
    </row>
    <row r="35145" spans="8:20" x14ac:dyDescent="0.35">
      <c r="H35145" s="711"/>
      <c r="I35145" s="711"/>
      <c r="J35145" s="711"/>
      <c r="K35145" s="711"/>
      <c r="L35145" s="711"/>
      <c r="Q35145" s="11"/>
      <c r="R35145" s="11"/>
      <c r="S35145" s="11"/>
      <c r="T35145" s="11"/>
    </row>
    <row r="35146" spans="8:20" x14ac:dyDescent="0.35">
      <c r="H35146" s="711"/>
      <c r="I35146" s="711"/>
      <c r="J35146" s="711"/>
      <c r="K35146" s="711"/>
      <c r="L35146" s="711"/>
      <c r="Q35146" s="11"/>
      <c r="R35146" s="11"/>
      <c r="S35146" s="11"/>
      <c r="T35146" s="11"/>
    </row>
    <row r="35147" spans="8:20" x14ac:dyDescent="0.35">
      <c r="H35147" s="711"/>
      <c r="I35147" s="711"/>
      <c r="J35147" s="711"/>
      <c r="K35147" s="711"/>
      <c r="L35147" s="711"/>
      <c r="Q35147" s="11"/>
      <c r="R35147" s="11"/>
      <c r="S35147" s="11"/>
      <c r="T35147" s="11"/>
    </row>
    <row r="35148" spans="8:20" x14ac:dyDescent="0.35">
      <c r="H35148" s="711"/>
      <c r="I35148" s="711"/>
      <c r="J35148" s="711"/>
      <c r="K35148" s="711"/>
      <c r="L35148" s="711"/>
      <c r="Q35148" s="11"/>
      <c r="R35148" s="11"/>
      <c r="S35148" s="11"/>
      <c r="T35148" s="11"/>
    </row>
    <row r="35149" spans="8:20" x14ac:dyDescent="0.35">
      <c r="H35149" s="711"/>
      <c r="I35149" s="711"/>
      <c r="J35149" s="711"/>
      <c r="K35149" s="711"/>
      <c r="L35149" s="711"/>
      <c r="Q35149" s="11"/>
      <c r="R35149" s="11"/>
      <c r="S35149" s="11"/>
      <c r="T35149" s="11"/>
    </row>
    <row r="35150" spans="8:20" x14ac:dyDescent="0.35">
      <c r="H35150" s="711"/>
      <c r="I35150" s="711"/>
      <c r="J35150" s="711"/>
      <c r="K35150" s="711"/>
      <c r="L35150" s="711"/>
      <c r="Q35150" s="11"/>
      <c r="R35150" s="11"/>
      <c r="S35150" s="11"/>
      <c r="T35150" s="11"/>
    </row>
    <row r="35151" spans="8:20" x14ac:dyDescent="0.35">
      <c r="H35151" s="711"/>
      <c r="I35151" s="711"/>
      <c r="J35151" s="711"/>
      <c r="K35151" s="711"/>
      <c r="L35151" s="711"/>
      <c r="Q35151" s="11"/>
      <c r="R35151" s="11"/>
      <c r="S35151" s="11"/>
      <c r="T35151" s="11"/>
    </row>
    <row r="35152" spans="8:20" x14ac:dyDescent="0.35">
      <c r="H35152" s="711"/>
      <c r="I35152" s="711"/>
      <c r="J35152" s="711"/>
      <c r="K35152" s="711"/>
      <c r="L35152" s="711"/>
      <c r="Q35152" s="11"/>
      <c r="R35152" s="11"/>
      <c r="S35152" s="11"/>
      <c r="T35152" s="11"/>
    </row>
    <row r="35153" spans="8:20" x14ac:dyDescent="0.35">
      <c r="H35153" s="711"/>
      <c r="I35153" s="711"/>
      <c r="J35153" s="711"/>
      <c r="K35153" s="711"/>
      <c r="L35153" s="711"/>
      <c r="Q35153" s="11"/>
      <c r="R35153" s="11"/>
      <c r="S35153" s="11"/>
      <c r="T35153" s="11"/>
    </row>
    <row r="35154" spans="8:20" x14ac:dyDescent="0.35">
      <c r="H35154" s="711"/>
      <c r="I35154" s="711"/>
      <c r="J35154" s="711"/>
      <c r="K35154" s="711"/>
      <c r="L35154" s="711"/>
      <c r="Q35154" s="11"/>
      <c r="R35154" s="11"/>
      <c r="S35154" s="11"/>
      <c r="T35154" s="11"/>
    </row>
    <row r="35155" spans="8:20" x14ac:dyDescent="0.35">
      <c r="H35155" s="711"/>
      <c r="I35155" s="711"/>
      <c r="J35155" s="711"/>
      <c r="K35155" s="711"/>
      <c r="L35155" s="711"/>
      <c r="Q35155" s="11"/>
      <c r="R35155" s="11"/>
      <c r="S35155" s="11"/>
      <c r="T35155" s="11"/>
    </row>
    <row r="35156" spans="8:20" x14ac:dyDescent="0.35">
      <c r="H35156" s="711"/>
      <c r="I35156" s="711"/>
      <c r="J35156" s="711"/>
      <c r="K35156" s="711"/>
      <c r="L35156" s="711"/>
      <c r="Q35156" s="11"/>
      <c r="R35156" s="11"/>
      <c r="S35156" s="11"/>
      <c r="T35156" s="11"/>
    </row>
    <row r="35157" spans="8:20" x14ac:dyDescent="0.35">
      <c r="H35157" s="711"/>
      <c r="I35157" s="711"/>
      <c r="J35157" s="711"/>
      <c r="K35157" s="711"/>
      <c r="L35157" s="711"/>
      <c r="Q35157" s="11"/>
      <c r="R35157" s="11"/>
      <c r="S35157" s="11"/>
      <c r="T35157" s="11"/>
    </row>
    <row r="35158" spans="8:20" x14ac:dyDescent="0.35">
      <c r="H35158" s="711"/>
      <c r="I35158" s="711"/>
      <c r="J35158" s="711"/>
      <c r="K35158" s="711"/>
      <c r="L35158" s="711"/>
      <c r="Q35158" s="11"/>
      <c r="R35158" s="11"/>
      <c r="S35158" s="11"/>
      <c r="T35158" s="11"/>
    </row>
    <row r="35159" spans="8:20" x14ac:dyDescent="0.35">
      <c r="H35159" s="711"/>
      <c r="I35159" s="711"/>
      <c r="J35159" s="711"/>
      <c r="K35159" s="711"/>
      <c r="L35159" s="711"/>
      <c r="Q35159" s="11"/>
      <c r="R35159" s="11"/>
      <c r="S35159" s="11"/>
      <c r="T35159" s="11"/>
    </row>
    <row r="35160" spans="8:20" x14ac:dyDescent="0.35">
      <c r="H35160" s="711"/>
      <c r="I35160" s="711"/>
      <c r="J35160" s="711"/>
      <c r="K35160" s="711"/>
      <c r="L35160" s="711"/>
      <c r="Q35160" s="11"/>
      <c r="R35160" s="11"/>
      <c r="S35160" s="11"/>
      <c r="T35160" s="11"/>
    </row>
    <row r="35161" spans="8:20" x14ac:dyDescent="0.35">
      <c r="H35161" s="711"/>
      <c r="I35161" s="711"/>
      <c r="J35161" s="711"/>
      <c r="K35161" s="711"/>
      <c r="L35161" s="711"/>
      <c r="Q35161" s="11"/>
      <c r="R35161" s="11"/>
      <c r="S35161" s="11"/>
      <c r="T35161" s="11"/>
    </row>
    <row r="35162" spans="8:20" x14ac:dyDescent="0.35">
      <c r="H35162" s="711"/>
      <c r="I35162" s="711"/>
      <c r="J35162" s="711"/>
      <c r="K35162" s="711"/>
      <c r="L35162" s="711"/>
      <c r="Q35162" s="11"/>
      <c r="R35162" s="11"/>
      <c r="S35162" s="11"/>
      <c r="T35162" s="11"/>
    </row>
    <row r="35163" spans="8:20" x14ac:dyDescent="0.35">
      <c r="H35163" s="711"/>
      <c r="I35163" s="711"/>
      <c r="J35163" s="711"/>
      <c r="K35163" s="711"/>
      <c r="L35163" s="711"/>
      <c r="Q35163" s="11"/>
      <c r="R35163" s="11"/>
      <c r="S35163" s="11"/>
      <c r="T35163" s="11"/>
    </row>
    <row r="35164" spans="8:20" x14ac:dyDescent="0.35">
      <c r="H35164" s="711"/>
      <c r="I35164" s="711"/>
      <c r="J35164" s="711"/>
      <c r="K35164" s="711"/>
      <c r="L35164" s="711"/>
      <c r="Q35164" s="11"/>
      <c r="R35164" s="11"/>
      <c r="S35164" s="11"/>
      <c r="T35164" s="11"/>
    </row>
    <row r="35165" spans="8:20" x14ac:dyDescent="0.35">
      <c r="H35165" s="711"/>
      <c r="I35165" s="711"/>
      <c r="J35165" s="711"/>
      <c r="K35165" s="711"/>
      <c r="L35165" s="711"/>
      <c r="Q35165" s="11"/>
      <c r="R35165" s="11"/>
      <c r="S35165" s="11"/>
      <c r="T35165" s="11"/>
    </row>
    <row r="35166" spans="8:20" x14ac:dyDescent="0.35">
      <c r="H35166" s="711"/>
      <c r="I35166" s="711"/>
      <c r="J35166" s="711"/>
      <c r="K35166" s="711"/>
      <c r="L35166" s="711"/>
      <c r="Q35166" s="11"/>
      <c r="R35166" s="11"/>
      <c r="S35166" s="11"/>
      <c r="T35166" s="11"/>
    </row>
    <row r="35167" spans="8:20" x14ac:dyDescent="0.35">
      <c r="H35167" s="711"/>
      <c r="I35167" s="711"/>
      <c r="J35167" s="711"/>
      <c r="K35167" s="711"/>
      <c r="L35167" s="711"/>
      <c r="Q35167" s="11"/>
      <c r="R35167" s="11"/>
      <c r="S35167" s="11"/>
      <c r="T35167" s="11"/>
    </row>
    <row r="35168" spans="8:20" x14ac:dyDescent="0.35">
      <c r="H35168" s="711"/>
      <c r="I35168" s="711"/>
      <c r="J35168" s="711"/>
      <c r="K35168" s="711"/>
      <c r="L35168" s="711"/>
      <c r="Q35168" s="11"/>
      <c r="R35168" s="11"/>
      <c r="S35168" s="11"/>
      <c r="T35168" s="11"/>
    </row>
    <row r="35169" spans="8:20" x14ac:dyDescent="0.35">
      <c r="H35169" s="711"/>
      <c r="I35169" s="711"/>
      <c r="J35169" s="711"/>
      <c r="K35169" s="711"/>
      <c r="L35169" s="711"/>
      <c r="Q35169" s="11"/>
      <c r="R35169" s="11"/>
      <c r="S35169" s="11"/>
      <c r="T35169" s="11"/>
    </row>
    <row r="35170" spans="8:20" x14ac:dyDescent="0.35">
      <c r="H35170" s="711"/>
      <c r="I35170" s="711"/>
      <c r="J35170" s="711"/>
      <c r="K35170" s="711"/>
      <c r="L35170" s="711"/>
      <c r="Q35170" s="11"/>
      <c r="R35170" s="11"/>
      <c r="S35170" s="11"/>
      <c r="T35170" s="11"/>
    </row>
    <row r="35171" spans="8:20" x14ac:dyDescent="0.35">
      <c r="H35171" s="711"/>
      <c r="I35171" s="711"/>
      <c r="J35171" s="711"/>
      <c r="K35171" s="711"/>
      <c r="L35171" s="711"/>
      <c r="Q35171" s="11"/>
      <c r="R35171" s="11"/>
      <c r="S35171" s="11"/>
      <c r="T35171" s="11"/>
    </row>
    <row r="35172" spans="8:20" x14ac:dyDescent="0.35">
      <c r="H35172" s="711"/>
      <c r="I35172" s="711"/>
      <c r="J35172" s="711"/>
      <c r="K35172" s="711"/>
      <c r="L35172" s="711"/>
      <c r="Q35172" s="11"/>
      <c r="R35172" s="11"/>
      <c r="S35172" s="11"/>
      <c r="T35172" s="11"/>
    </row>
    <row r="35173" spans="8:20" x14ac:dyDescent="0.35">
      <c r="H35173" s="711"/>
      <c r="I35173" s="711"/>
      <c r="J35173" s="711"/>
      <c r="K35173" s="711"/>
      <c r="L35173" s="711"/>
      <c r="Q35173" s="11"/>
      <c r="R35173" s="11"/>
      <c r="S35173" s="11"/>
      <c r="T35173" s="11"/>
    </row>
    <row r="35174" spans="8:20" x14ac:dyDescent="0.35">
      <c r="H35174" s="711"/>
      <c r="I35174" s="711"/>
      <c r="J35174" s="711"/>
      <c r="K35174" s="711"/>
      <c r="L35174" s="711"/>
      <c r="Q35174" s="11"/>
      <c r="R35174" s="11"/>
      <c r="S35174" s="11"/>
      <c r="T35174" s="11"/>
    </row>
    <row r="35175" spans="8:20" x14ac:dyDescent="0.35">
      <c r="H35175" s="711"/>
      <c r="I35175" s="711"/>
      <c r="J35175" s="711"/>
      <c r="K35175" s="711"/>
      <c r="L35175" s="711"/>
      <c r="Q35175" s="11"/>
      <c r="R35175" s="11"/>
      <c r="S35175" s="11"/>
      <c r="T35175" s="11"/>
    </row>
    <row r="35176" spans="8:20" x14ac:dyDescent="0.35">
      <c r="H35176" s="711"/>
      <c r="I35176" s="711"/>
      <c r="J35176" s="711"/>
      <c r="K35176" s="711"/>
      <c r="L35176" s="711"/>
      <c r="Q35176" s="11"/>
      <c r="R35176" s="11"/>
      <c r="S35176" s="11"/>
      <c r="T35176" s="11"/>
    </row>
    <row r="35177" spans="8:20" x14ac:dyDescent="0.35">
      <c r="H35177" s="711"/>
      <c r="I35177" s="711"/>
      <c r="J35177" s="711"/>
      <c r="K35177" s="711"/>
      <c r="L35177" s="711"/>
      <c r="Q35177" s="11"/>
      <c r="R35177" s="11"/>
      <c r="S35177" s="11"/>
      <c r="T35177" s="11"/>
    </row>
    <row r="35178" spans="8:20" x14ac:dyDescent="0.35">
      <c r="H35178" s="711"/>
      <c r="I35178" s="711"/>
      <c r="J35178" s="711"/>
      <c r="K35178" s="711"/>
      <c r="L35178" s="711"/>
      <c r="Q35178" s="11"/>
      <c r="R35178" s="11"/>
      <c r="S35178" s="11"/>
      <c r="T35178" s="11"/>
    </row>
    <row r="35179" spans="8:20" x14ac:dyDescent="0.35">
      <c r="H35179" s="711"/>
      <c r="I35179" s="711"/>
      <c r="J35179" s="711"/>
      <c r="K35179" s="711"/>
      <c r="L35179" s="711"/>
      <c r="Q35179" s="11"/>
      <c r="R35179" s="11"/>
      <c r="S35179" s="11"/>
      <c r="T35179" s="11"/>
    </row>
    <row r="35180" spans="8:20" x14ac:dyDescent="0.35">
      <c r="H35180" s="711"/>
      <c r="I35180" s="711"/>
      <c r="J35180" s="711"/>
      <c r="K35180" s="711"/>
      <c r="L35180" s="711"/>
      <c r="Q35180" s="11"/>
      <c r="R35180" s="11"/>
      <c r="S35180" s="11"/>
      <c r="T35180" s="11"/>
    </row>
    <row r="35181" spans="8:20" x14ac:dyDescent="0.35">
      <c r="H35181" s="711"/>
      <c r="I35181" s="711"/>
      <c r="J35181" s="711"/>
      <c r="K35181" s="711"/>
      <c r="L35181" s="711"/>
      <c r="Q35181" s="11"/>
      <c r="R35181" s="11"/>
      <c r="S35181" s="11"/>
      <c r="T35181" s="11"/>
    </row>
    <row r="35182" spans="8:20" x14ac:dyDescent="0.35">
      <c r="H35182" s="711"/>
      <c r="I35182" s="711"/>
      <c r="J35182" s="711"/>
      <c r="K35182" s="711"/>
      <c r="L35182" s="711"/>
      <c r="Q35182" s="11"/>
      <c r="R35182" s="11"/>
      <c r="S35182" s="11"/>
      <c r="T35182" s="11"/>
    </row>
    <row r="35183" spans="8:20" x14ac:dyDescent="0.35">
      <c r="H35183" s="711"/>
      <c r="I35183" s="711"/>
      <c r="J35183" s="711"/>
      <c r="K35183" s="711"/>
      <c r="L35183" s="711"/>
      <c r="Q35183" s="11"/>
      <c r="R35183" s="11"/>
      <c r="S35183" s="11"/>
      <c r="T35183" s="11"/>
    </row>
    <row r="35184" spans="8:20" x14ac:dyDescent="0.35">
      <c r="H35184" s="711"/>
      <c r="I35184" s="711"/>
      <c r="J35184" s="711"/>
      <c r="K35184" s="711"/>
      <c r="L35184" s="711"/>
      <c r="Q35184" s="11"/>
      <c r="R35184" s="11"/>
      <c r="S35184" s="11"/>
      <c r="T35184" s="11"/>
    </row>
    <row r="35185" spans="8:20" x14ac:dyDescent="0.35">
      <c r="H35185" s="711"/>
      <c r="I35185" s="711"/>
      <c r="J35185" s="711"/>
      <c r="K35185" s="711"/>
      <c r="L35185" s="711"/>
      <c r="Q35185" s="11"/>
      <c r="R35185" s="11"/>
      <c r="S35185" s="11"/>
      <c r="T35185" s="11"/>
    </row>
    <row r="35186" spans="8:20" x14ac:dyDescent="0.35">
      <c r="H35186" s="711"/>
      <c r="I35186" s="711"/>
      <c r="J35186" s="711"/>
      <c r="K35186" s="711"/>
      <c r="L35186" s="711"/>
      <c r="Q35186" s="11"/>
      <c r="R35186" s="11"/>
      <c r="S35186" s="11"/>
      <c r="T35186" s="11"/>
    </row>
    <row r="35187" spans="8:20" x14ac:dyDescent="0.35">
      <c r="H35187" s="711"/>
      <c r="I35187" s="711"/>
      <c r="J35187" s="711"/>
      <c r="K35187" s="711"/>
      <c r="L35187" s="711"/>
      <c r="Q35187" s="11"/>
      <c r="R35187" s="11"/>
      <c r="S35187" s="11"/>
      <c r="T35187" s="11"/>
    </row>
    <row r="35188" spans="8:20" x14ac:dyDescent="0.35">
      <c r="H35188" s="711"/>
      <c r="I35188" s="711"/>
      <c r="J35188" s="711"/>
      <c r="K35188" s="711"/>
      <c r="L35188" s="711"/>
      <c r="Q35188" s="11"/>
      <c r="R35188" s="11"/>
      <c r="S35188" s="11"/>
      <c r="T35188" s="11"/>
    </row>
    <row r="35189" spans="8:20" x14ac:dyDescent="0.35">
      <c r="H35189" s="711"/>
      <c r="I35189" s="711"/>
      <c r="J35189" s="711"/>
      <c r="K35189" s="711"/>
      <c r="L35189" s="711"/>
      <c r="Q35189" s="11"/>
      <c r="R35189" s="11"/>
      <c r="S35189" s="11"/>
      <c r="T35189" s="11"/>
    </row>
    <row r="35190" spans="8:20" x14ac:dyDescent="0.35">
      <c r="H35190" s="711"/>
      <c r="I35190" s="711"/>
      <c r="J35190" s="711"/>
      <c r="K35190" s="711"/>
      <c r="L35190" s="711"/>
      <c r="Q35190" s="11"/>
      <c r="R35190" s="11"/>
      <c r="S35190" s="11"/>
      <c r="T35190" s="11"/>
    </row>
    <row r="35191" spans="8:20" x14ac:dyDescent="0.35">
      <c r="H35191" s="711"/>
      <c r="I35191" s="711"/>
      <c r="J35191" s="711"/>
      <c r="K35191" s="711"/>
      <c r="L35191" s="711"/>
      <c r="Q35191" s="11"/>
      <c r="R35191" s="11"/>
      <c r="S35191" s="11"/>
      <c r="T35191" s="11"/>
    </row>
    <row r="35192" spans="8:20" x14ac:dyDescent="0.35">
      <c r="H35192" s="711"/>
      <c r="I35192" s="711"/>
      <c r="J35192" s="711"/>
      <c r="K35192" s="711"/>
      <c r="L35192" s="711"/>
      <c r="Q35192" s="11"/>
      <c r="R35192" s="11"/>
      <c r="S35192" s="11"/>
      <c r="T35192" s="11"/>
    </row>
    <row r="35193" spans="8:20" x14ac:dyDescent="0.35">
      <c r="H35193" s="711"/>
      <c r="I35193" s="711"/>
      <c r="J35193" s="711"/>
      <c r="K35193" s="711"/>
      <c r="L35193" s="711"/>
      <c r="Q35193" s="11"/>
      <c r="R35193" s="11"/>
      <c r="S35193" s="11"/>
      <c r="T35193" s="11"/>
    </row>
    <row r="35194" spans="8:20" x14ac:dyDescent="0.35">
      <c r="H35194" s="711"/>
      <c r="I35194" s="711"/>
      <c r="J35194" s="711"/>
      <c r="K35194" s="711"/>
      <c r="L35194" s="711"/>
      <c r="Q35194" s="11"/>
      <c r="R35194" s="11"/>
      <c r="S35194" s="11"/>
      <c r="T35194" s="11"/>
    </row>
    <row r="35195" spans="8:20" x14ac:dyDescent="0.35">
      <c r="H35195" s="711"/>
      <c r="I35195" s="711"/>
      <c r="J35195" s="711"/>
      <c r="K35195" s="711"/>
      <c r="L35195" s="711"/>
      <c r="Q35195" s="11"/>
      <c r="R35195" s="11"/>
      <c r="S35195" s="11"/>
      <c r="T35195" s="11"/>
    </row>
    <row r="35196" spans="8:20" x14ac:dyDescent="0.35">
      <c r="H35196" s="711"/>
      <c r="I35196" s="711"/>
      <c r="J35196" s="711"/>
      <c r="K35196" s="711"/>
      <c r="L35196" s="711"/>
      <c r="Q35196" s="11"/>
      <c r="R35196" s="11"/>
      <c r="S35196" s="11"/>
      <c r="T35196" s="11"/>
    </row>
    <row r="35197" spans="8:20" x14ac:dyDescent="0.35">
      <c r="H35197" s="711"/>
      <c r="I35197" s="711"/>
      <c r="J35197" s="711"/>
      <c r="K35197" s="711"/>
      <c r="L35197" s="711"/>
      <c r="Q35197" s="11"/>
      <c r="R35197" s="11"/>
      <c r="S35197" s="11"/>
      <c r="T35197" s="11"/>
    </row>
    <row r="35198" spans="8:20" x14ac:dyDescent="0.35">
      <c r="H35198" s="711"/>
      <c r="I35198" s="711"/>
      <c r="J35198" s="711"/>
      <c r="K35198" s="711"/>
      <c r="L35198" s="711"/>
      <c r="Q35198" s="11"/>
      <c r="R35198" s="11"/>
      <c r="S35198" s="11"/>
      <c r="T35198" s="11"/>
    </row>
    <row r="35199" spans="8:20" x14ac:dyDescent="0.35">
      <c r="H35199" s="711"/>
      <c r="I35199" s="711"/>
      <c r="J35199" s="711"/>
      <c r="K35199" s="711"/>
      <c r="L35199" s="711"/>
      <c r="Q35199" s="11"/>
      <c r="R35199" s="11"/>
      <c r="S35199" s="11"/>
      <c r="T35199" s="11"/>
    </row>
    <row r="35200" spans="8:20" x14ac:dyDescent="0.35">
      <c r="H35200" s="711"/>
      <c r="I35200" s="711"/>
      <c r="J35200" s="711"/>
      <c r="K35200" s="711"/>
      <c r="L35200" s="711"/>
      <c r="Q35200" s="11"/>
      <c r="R35200" s="11"/>
      <c r="S35200" s="11"/>
      <c r="T35200" s="11"/>
    </row>
    <row r="35201" spans="8:20" x14ac:dyDescent="0.35">
      <c r="H35201" s="711"/>
      <c r="I35201" s="711"/>
      <c r="J35201" s="711"/>
      <c r="K35201" s="711"/>
      <c r="L35201" s="711"/>
      <c r="Q35201" s="11"/>
      <c r="R35201" s="11"/>
      <c r="S35201" s="11"/>
      <c r="T35201" s="11"/>
    </row>
    <row r="35202" spans="8:20" x14ac:dyDescent="0.35">
      <c r="H35202" s="711"/>
      <c r="I35202" s="711"/>
      <c r="J35202" s="711"/>
      <c r="K35202" s="711"/>
      <c r="L35202" s="711"/>
      <c r="Q35202" s="11"/>
      <c r="R35202" s="11"/>
      <c r="S35202" s="11"/>
      <c r="T35202" s="11"/>
    </row>
    <row r="35203" spans="8:20" x14ac:dyDescent="0.35">
      <c r="H35203" s="711"/>
      <c r="I35203" s="711"/>
      <c r="J35203" s="711"/>
      <c r="K35203" s="711"/>
      <c r="L35203" s="711"/>
      <c r="Q35203" s="11"/>
      <c r="R35203" s="11"/>
      <c r="S35203" s="11"/>
      <c r="T35203" s="11"/>
    </row>
    <row r="35204" spans="8:20" x14ac:dyDescent="0.35">
      <c r="H35204" s="711"/>
      <c r="I35204" s="711"/>
      <c r="J35204" s="711"/>
      <c r="K35204" s="711"/>
      <c r="L35204" s="711"/>
      <c r="Q35204" s="11"/>
      <c r="R35204" s="11"/>
      <c r="S35204" s="11"/>
      <c r="T35204" s="11"/>
    </row>
    <row r="35205" spans="8:20" x14ac:dyDescent="0.35">
      <c r="H35205" s="711"/>
      <c r="I35205" s="711"/>
      <c r="J35205" s="711"/>
      <c r="K35205" s="711"/>
      <c r="L35205" s="711"/>
      <c r="Q35205" s="11"/>
      <c r="R35205" s="11"/>
      <c r="S35205" s="11"/>
      <c r="T35205" s="11"/>
    </row>
    <row r="35206" spans="8:20" x14ac:dyDescent="0.35">
      <c r="H35206" s="711"/>
      <c r="I35206" s="711"/>
      <c r="J35206" s="711"/>
      <c r="K35206" s="711"/>
      <c r="L35206" s="711"/>
      <c r="Q35206" s="11"/>
      <c r="R35206" s="11"/>
      <c r="S35206" s="11"/>
      <c r="T35206" s="11"/>
    </row>
    <row r="35207" spans="8:20" x14ac:dyDescent="0.35">
      <c r="H35207" s="711"/>
      <c r="I35207" s="711"/>
      <c r="J35207" s="711"/>
      <c r="K35207" s="711"/>
      <c r="L35207" s="711"/>
      <c r="Q35207" s="11"/>
      <c r="R35207" s="11"/>
      <c r="S35207" s="11"/>
      <c r="T35207" s="11"/>
    </row>
    <row r="35208" spans="8:20" x14ac:dyDescent="0.35">
      <c r="H35208" s="711"/>
      <c r="I35208" s="711"/>
      <c r="J35208" s="711"/>
      <c r="K35208" s="711"/>
      <c r="L35208" s="711"/>
      <c r="Q35208" s="11"/>
      <c r="R35208" s="11"/>
      <c r="S35208" s="11"/>
      <c r="T35208" s="11"/>
    </row>
    <row r="35209" spans="8:20" x14ac:dyDescent="0.35">
      <c r="H35209" s="711"/>
      <c r="I35209" s="711"/>
      <c r="J35209" s="711"/>
      <c r="K35209" s="711"/>
      <c r="L35209" s="711"/>
      <c r="Q35209" s="11"/>
      <c r="R35209" s="11"/>
      <c r="S35209" s="11"/>
      <c r="T35209" s="11"/>
    </row>
    <row r="35210" spans="8:20" x14ac:dyDescent="0.35">
      <c r="H35210" s="711"/>
      <c r="I35210" s="711"/>
      <c r="J35210" s="711"/>
      <c r="K35210" s="711"/>
      <c r="L35210" s="711"/>
      <c r="Q35210" s="11"/>
      <c r="R35210" s="11"/>
      <c r="S35210" s="11"/>
      <c r="T35210" s="11"/>
    </row>
    <row r="35211" spans="8:20" x14ac:dyDescent="0.35">
      <c r="H35211" s="711"/>
      <c r="I35211" s="711"/>
      <c r="J35211" s="711"/>
      <c r="K35211" s="711"/>
      <c r="L35211" s="711"/>
      <c r="Q35211" s="11"/>
      <c r="R35211" s="11"/>
      <c r="S35211" s="11"/>
      <c r="T35211" s="11"/>
    </row>
    <row r="35212" spans="8:20" x14ac:dyDescent="0.35">
      <c r="H35212" s="711"/>
      <c r="I35212" s="711"/>
      <c r="J35212" s="711"/>
      <c r="K35212" s="711"/>
      <c r="L35212" s="711"/>
      <c r="Q35212" s="11"/>
      <c r="R35212" s="11"/>
      <c r="S35212" s="11"/>
      <c r="T35212" s="11"/>
    </row>
    <row r="35213" spans="8:20" x14ac:dyDescent="0.35">
      <c r="H35213" s="711"/>
      <c r="I35213" s="711"/>
      <c r="J35213" s="711"/>
      <c r="K35213" s="711"/>
      <c r="L35213" s="711"/>
      <c r="Q35213" s="11"/>
      <c r="R35213" s="11"/>
      <c r="S35213" s="11"/>
      <c r="T35213" s="11"/>
    </row>
    <row r="35214" spans="8:20" x14ac:dyDescent="0.35">
      <c r="H35214" s="711"/>
      <c r="I35214" s="711"/>
      <c r="J35214" s="711"/>
      <c r="K35214" s="711"/>
      <c r="L35214" s="711"/>
      <c r="Q35214" s="11"/>
      <c r="R35214" s="11"/>
      <c r="S35214" s="11"/>
      <c r="T35214" s="11"/>
    </row>
    <row r="35215" spans="8:20" x14ac:dyDescent="0.35">
      <c r="H35215" s="711"/>
      <c r="I35215" s="711"/>
      <c r="J35215" s="711"/>
      <c r="K35215" s="711"/>
      <c r="L35215" s="711"/>
      <c r="Q35215" s="11"/>
      <c r="R35215" s="11"/>
      <c r="S35215" s="11"/>
      <c r="T35215" s="11"/>
    </row>
    <row r="35216" spans="8:20" x14ac:dyDescent="0.35">
      <c r="H35216" s="711"/>
      <c r="I35216" s="711"/>
      <c r="J35216" s="711"/>
      <c r="K35216" s="711"/>
      <c r="L35216" s="711"/>
      <c r="Q35216" s="11"/>
      <c r="R35216" s="11"/>
      <c r="S35216" s="11"/>
      <c r="T35216" s="11"/>
    </row>
    <row r="35217" spans="8:20" x14ac:dyDescent="0.35">
      <c r="H35217" s="711"/>
      <c r="I35217" s="711"/>
      <c r="J35217" s="711"/>
      <c r="K35217" s="711"/>
      <c r="L35217" s="711"/>
      <c r="Q35217" s="11"/>
      <c r="R35217" s="11"/>
      <c r="S35217" s="11"/>
      <c r="T35217" s="11"/>
    </row>
    <row r="35218" spans="8:20" x14ac:dyDescent="0.35">
      <c r="H35218" s="711"/>
      <c r="I35218" s="711"/>
      <c r="J35218" s="711"/>
      <c r="K35218" s="711"/>
      <c r="L35218" s="711"/>
      <c r="Q35218" s="11"/>
      <c r="R35218" s="11"/>
      <c r="S35218" s="11"/>
      <c r="T35218" s="11"/>
    </row>
    <row r="35219" spans="8:20" x14ac:dyDescent="0.35">
      <c r="H35219" s="711"/>
      <c r="I35219" s="711"/>
      <c r="J35219" s="711"/>
      <c r="K35219" s="711"/>
      <c r="L35219" s="711"/>
      <c r="Q35219" s="11"/>
      <c r="R35219" s="11"/>
      <c r="S35219" s="11"/>
      <c r="T35219" s="11"/>
    </row>
    <row r="35220" spans="8:20" x14ac:dyDescent="0.35">
      <c r="H35220" s="711"/>
      <c r="I35220" s="711"/>
      <c r="J35220" s="711"/>
      <c r="K35220" s="711"/>
      <c r="L35220" s="711"/>
      <c r="Q35220" s="11"/>
      <c r="R35220" s="11"/>
      <c r="S35220" s="11"/>
      <c r="T35220" s="11"/>
    </row>
    <row r="35221" spans="8:20" x14ac:dyDescent="0.35">
      <c r="H35221" s="711"/>
      <c r="I35221" s="711"/>
      <c r="J35221" s="711"/>
      <c r="K35221" s="711"/>
      <c r="L35221" s="711"/>
      <c r="Q35221" s="11"/>
      <c r="R35221" s="11"/>
      <c r="S35221" s="11"/>
      <c r="T35221" s="11"/>
    </row>
    <row r="35222" spans="8:20" x14ac:dyDescent="0.35">
      <c r="H35222" s="711"/>
      <c r="I35222" s="711"/>
      <c r="J35222" s="711"/>
      <c r="K35222" s="711"/>
      <c r="L35222" s="711"/>
      <c r="Q35222" s="11"/>
      <c r="R35222" s="11"/>
      <c r="S35222" s="11"/>
      <c r="T35222" s="11"/>
    </row>
    <row r="35223" spans="8:20" x14ac:dyDescent="0.35">
      <c r="H35223" s="711"/>
      <c r="I35223" s="711"/>
      <c r="J35223" s="711"/>
      <c r="K35223" s="711"/>
      <c r="L35223" s="711"/>
      <c r="Q35223" s="11"/>
      <c r="R35223" s="11"/>
      <c r="S35223" s="11"/>
      <c r="T35223" s="11"/>
    </row>
    <row r="35224" spans="8:20" x14ac:dyDescent="0.35">
      <c r="H35224" s="711"/>
      <c r="I35224" s="711"/>
      <c r="J35224" s="711"/>
      <c r="K35224" s="711"/>
      <c r="L35224" s="711"/>
      <c r="Q35224" s="11"/>
      <c r="R35224" s="11"/>
      <c r="S35224" s="11"/>
      <c r="T35224" s="11"/>
    </row>
    <row r="35225" spans="8:20" x14ac:dyDescent="0.35">
      <c r="H35225" s="711"/>
      <c r="I35225" s="711"/>
      <c r="J35225" s="711"/>
      <c r="K35225" s="711"/>
      <c r="L35225" s="711"/>
      <c r="Q35225" s="11"/>
      <c r="R35225" s="11"/>
      <c r="S35225" s="11"/>
      <c r="T35225" s="11"/>
    </row>
    <row r="35226" spans="8:20" x14ac:dyDescent="0.35">
      <c r="H35226" s="711"/>
      <c r="I35226" s="711"/>
      <c r="J35226" s="711"/>
      <c r="K35226" s="711"/>
      <c r="L35226" s="711"/>
      <c r="Q35226" s="11"/>
      <c r="R35226" s="11"/>
      <c r="S35226" s="11"/>
      <c r="T35226" s="11"/>
    </row>
    <row r="35227" spans="8:20" x14ac:dyDescent="0.35">
      <c r="H35227" s="711"/>
      <c r="I35227" s="711"/>
      <c r="J35227" s="711"/>
      <c r="K35227" s="711"/>
      <c r="L35227" s="711"/>
      <c r="Q35227" s="11"/>
      <c r="R35227" s="11"/>
      <c r="S35227" s="11"/>
      <c r="T35227" s="11"/>
    </row>
    <row r="35228" spans="8:20" x14ac:dyDescent="0.35">
      <c r="H35228" s="711"/>
      <c r="I35228" s="711"/>
      <c r="J35228" s="711"/>
      <c r="K35228" s="711"/>
      <c r="L35228" s="711"/>
      <c r="Q35228" s="11"/>
      <c r="R35228" s="11"/>
      <c r="S35228" s="11"/>
      <c r="T35228" s="11"/>
    </row>
    <row r="35229" spans="8:20" x14ac:dyDescent="0.35">
      <c r="H35229" s="711"/>
      <c r="I35229" s="711"/>
      <c r="J35229" s="711"/>
      <c r="K35229" s="711"/>
      <c r="L35229" s="711"/>
      <c r="Q35229" s="11"/>
      <c r="R35229" s="11"/>
      <c r="S35229" s="11"/>
      <c r="T35229" s="11"/>
    </row>
    <row r="35230" spans="8:20" x14ac:dyDescent="0.35">
      <c r="H35230" s="711"/>
      <c r="I35230" s="711"/>
      <c r="J35230" s="711"/>
      <c r="K35230" s="711"/>
      <c r="L35230" s="711"/>
      <c r="Q35230" s="11"/>
      <c r="R35230" s="11"/>
      <c r="S35230" s="11"/>
      <c r="T35230" s="11"/>
    </row>
    <row r="35231" spans="8:20" x14ac:dyDescent="0.35">
      <c r="H35231" s="711"/>
      <c r="I35231" s="711"/>
      <c r="J35231" s="711"/>
      <c r="K35231" s="711"/>
      <c r="L35231" s="711"/>
      <c r="Q35231" s="11"/>
      <c r="R35231" s="11"/>
      <c r="S35231" s="11"/>
      <c r="T35231" s="11"/>
    </row>
    <row r="35232" spans="8:20" x14ac:dyDescent="0.35">
      <c r="H35232" s="711"/>
      <c r="I35232" s="711"/>
      <c r="J35232" s="711"/>
      <c r="K35232" s="711"/>
      <c r="L35232" s="711"/>
      <c r="Q35232" s="11"/>
      <c r="R35232" s="11"/>
      <c r="S35232" s="11"/>
      <c r="T35232" s="11"/>
    </row>
    <row r="35233" spans="8:20" x14ac:dyDescent="0.35">
      <c r="H35233" s="711"/>
      <c r="I35233" s="711"/>
      <c r="J35233" s="711"/>
      <c r="K35233" s="711"/>
      <c r="L35233" s="711"/>
      <c r="Q35233" s="11"/>
      <c r="R35233" s="11"/>
      <c r="S35233" s="11"/>
      <c r="T35233" s="11"/>
    </row>
    <row r="35234" spans="8:20" x14ac:dyDescent="0.35">
      <c r="H35234" s="711"/>
      <c r="I35234" s="711"/>
      <c r="J35234" s="711"/>
      <c r="K35234" s="711"/>
      <c r="L35234" s="711"/>
      <c r="Q35234" s="11"/>
      <c r="R35234" s="11"/>
      <c r="S35234" s="11"/>
      <c r="T35234" s="11"/>
    </row>
    <row r="35235" spans="8:20" x14ac:dyDescent="0.35">
      <c r="H35235" s="711"/>
      <c r="I35235" s="711"/>
      <c r="J35235" s="711"/>
      <c r="K35235" s="711"/>
      <c r="L35235" s="711"/>
      <c r="Q35235" s="11"/>
      <c r="R35235" s="11"/>
      <c r="S35235" s="11"/>
      <c r="T35235" s="11"/>
    </row>
    <row r="35236" spans="8:20" x14ac:dyDescent="0.35">
      <c r="H35236" s="711"/>
      <c r="I35236" s="711"/>
      <c r="J35236" s="711"/>
      <c r="K35236" s="711"/>
      <c r="L35236" s="711"/>
      <c r="Q35236" s="11"/>
      <c r="R35236" s="11"/>
      <c r="S35236" s="11"/>
      <c r="T35236" s="11"/>
    </row>
    <row r="35237" spans="8:20" x14ac:dyDescent="0.35">
      <c r="H35237" s="711"/>
      <c r="I35237" s="711"/>
      <c r="J35237" s="711"/>
      <c r="K35237" s="711"/>
      <c r="L35237" s="711"/>
      <c r="Q35237" s="11"/>
      <c r="R35237" s="11"/>
      <c r="S35237" s="11"/>
      <c r="T35237" s="11"/>
    </row>
    <row r="35238" spans="8:20" x14ac:dyDescent="0.35">
      <c r="H35238" s="711"/>
      <c r="I35238" s="711"/>
      <c r="J35238" s="711"/>
      <c r="K35238" s="711"/>
      <c r="L35238" s="711"/>
      <c r="Q35238" s="11"/>
      <c r="R35238" s="11"/>
      <c r="S35238" s="11"/>
      <c r="T35238" s="11"/>
    </row>
    <row r="35239" spans="8:20" x14ac:dyDescent="0.35">
      <c r="H35239" s="711"/>
      <c r="I35239" s="711"/>
      <c r="J35239" s="711"/>
      <c r="K35239" s="711"/>
      <c r="L35239" s="711"/>
      <c r="Q35239" s="11"/>
      <c r="R35239" s="11"/>
      <c r="S35239" s="11"/>
      <c r="T35239" s="11"/>
    </row>
    <row r="35240" spans="8:20" x14ac:dyDescent="0.35">
      <c r="H35240" s="711"/>
      <c r="I35240" s="711"/>
      <c r="J35240" s="711"/>
      <c r="K35240" s="711"/>
      <c r="L35240" s="711"/>
      <c r="Q35240" s="11"/>
      <c r="R35240" s="11"/>
      <c r="S35240" s="11"/>
      <c r="T35240" s="11"/>
    </row>
    <row r="35241" spans="8:20" x14ac:dyDescent="0.35">
      <c r="H35241" s="711"/>
      <c r="I35241" s="711"/>
      <c r="J35241" s="711"/>
      <c r="K35241" s="711"/>
      <c r="L35241" s="711"/>
      <c r="Q35241" s="11"/>
      <c r="R35241" s="11"/>
      <c r="S35241" s="11"/>
      <c r="T35241" s="11"/>
    </row>
    <row r="35242" spans="8:20" x14ac:dyDescent="0.35">
      <c r="H35242" s="711"/>
      <c r="I35242" s="711"/>
      <c r="J35242" s="711"/>
      <c r="K35242" s="711"/>
      <c r="L35242" s="711"/>
      <c r="Q35242" s="11"/>
      <c r="R35242" s="11"/>
      <c r="S35242" s="11"/>
      <c r="T35242" s="11"/>
    </row>
    <row r="35243" spans="8:20" x14ac:dyDescent="0.35">
      <c r="H35243" s="711"/>
      <c r="I35243" s="711"/>
      <c r="J35243" s="711"/>
      <c r="K35243" s="711"/>
      <c r="L35243" s="711"/>
      <c r="Q35243" s="11"/>
      <c r="R35243" s="11"/>
      <c r="S35243" s="11"/>
      <c r="T35243" s="11"/>
    </row>
    <row r="35244" spans="8:20" x14ac:dyDescent="0.35">
      <c r="H35244" s="711"/>
      <c r="I35244" s="711"/>
      <c r="J35244" s="711"/>
      <c r="K35244" s="711"/>
      <c r="L35244" s="711"/>
      <c r="Q35244" s="11"/>
      <c r="R35244" s="11"/>
      <c r="S35244" s="11"/>
      <c r="T35244" s="11"/>
    </row>
    <row r="35245" spans="8:20" x14ac:dyDescent="0.35">
      <c r="H35245" s="711"/>
      <c r="I35245" s="711"/>
      <c r="J35245" s="711"/>
      <c r="K35245" s="711"/>
      <c r="L35245" s="711"/>
      <c r="Q35245" s="11"/>
      <c r="R35245" s="11"/>
      <c r="S35245" s="11"/>
      <c r="T35245" s="11"/>
    </row>
    <row r="35246" spans="8:20" x14ac:dyDescent="0.35">
      <c r="H35246" s="711"/>
      <c r="I35246" s="711"/>
      <c r="J35246" s="711"/>
      <c r="K35246" s="711"/>
      <c r="L35246" s="711"/>
      <c r="Q35246" s="11"/>
      <c r="R35246" s="11"/>
      <c r="S35246" s="11"/>
      <c r="T35246" s="11"/>
    </row>
    <row r="35247" spans="8:20" x14ac:dyDescent="0.35">
      <c r="H35247" s="711"/>
      <c r="I35247" s="711"/>
      <c r="J35247" s="711"/>
      <c r="K35247" s="711"/>
      <c r="L35247" s="711"/>
      <c r="Q35247" s="11"/>
      <c r="R35247" s="11"/>
      <c r="S35247" s="11"/>
      <c r="T35247" s="11"/>
    </row>
    <row r="35248" spans="8:20" x14ac:dyDescent="0.35">
      <c r="H35248" s="711"/>
      <c r="I35248" s="711"/>
      <c r="J35248" s="711"/>
      <c r="K35248" s="711"/>
      <c r="L35248" s="711"/>
      <c r="Q35248" s="11"/>
      <c r="R35248" s="11"/>
      <c r="S35248" s="11"/>
      <c r="T35248" s="11"/>
    </row>
    <row r="35249" spans="8:20" x14ac:dyDescent="0.35">
      <c r="H35249" s="711"/>
      <c r="I35249" s="711"/>
      <c r="J35249" s="711"/>
      <c r="K35249" s="711"/>
      <c r="L35249" s="711"/>
      <c r="Q35249" s="11"/>
      <c r="R35249" s="11"/>
      <c r="S35249" s="11"/>
      <c r="T35249" s="11"/>
    </row>
    <row r="35250" spans="8:20" x14ac:dyDescent="0.35">
      <c r="H35250" s="711"/>
      <c r="I35250" s="711"/>
      <c r="J35250" s="711"/>
      <c r="K35250" s="711"/>
      <c r="L35250" s="711"/>
      <c r="Q35250" s="11"/>
      <c r="R35250" s="11"/>
      <c r="S35250" s="11"/>
      <c r="T35250" s="11"/>
    </row>
    <row r="35251" spans="8:20" x14ac:dyDescent="0.35">
      <c r="H35251" s="711"/>
      <c r="I35251" s="711"/>
      <c r="J35251" s="711"/>
      <c r="K35251" s="711"/>
      <c r="L35251" s="711"/>
      <c r="Q35251" s="11"/>
      <c r="R35251" s="11"/>
      <c r="S35251" s="11"/>
      <c r="T35251" s="11"/>
    </row>
    <row r="35252" spans="8:20" x14ac:dyDescent="0.35">
      <c r="H35252" s="711"/>
      <c r="I35252" s="711"/>
      <c r="J35252" s="711"/>
      <c r="K35252" s="711"/>
      <c r="L35252" s="711"/>
      <c r="Q35252" s="11"/>
      <c r="R35252" s="11"/>
      <c r="S35252" s="11"/>
      <c r="T35252" s="11"/>
    </row>
    <row r="35253" spans="8:20" x14ac:dyDescent="0.35">
      <c r="H35253" s="711"/>
      <c r="I35253" s="711"/>
      <c r="J35253" s="711"/>
      <c r="K35253" s="711"/>
      <c r="L35253" s="711"/>
      <c r="Q35253" s="11"/>
      <c r="R35253" s="11"/>
      <c r="S35253" s="11"/>
      <c r="T35253" s="11"/>
    </row>
    <row r="35254" spans="8:20" x14ac:dyDescent="0.35">
      <c r="H35254" s="711"/>
      <c r="I35254" s="711"/>
      <c r="J35254" s="711"/>
      <c r="K35254" s="711"/>
      <c r="L35254" s="711"/>
      <c r="Q35254" s="11"/>
      <c r="R35254" s="11"/>
      <c r="S35254" s="11"/>
      <c r="T35254" s="11"/>
    </row>
    <row r="35255" spans="8:20" x14ac:dyDescent="0.35">
      <c r="H35255" s="711"/>
      <c r="I35255" s="711"/>
      <c r="J35255" s="711"/>
      <c r="K35255" s="711"/>
      <c r="L35255" s="711"/>
      <c r="Q35255" s="11"/>
      <c r="R35255" s="11"/>
      <c r="S35255" s="11"/>
      <c r="T35255" s="11"/>
    </row>
    <row r="35256" spans="8:20" x14ac:dyDescent="0.35">
      <c r="H35256" s="711"/>
      <c r="I35256" s="711"/>
      <c r="J35256" s="711"/>
      <c r="K35256" s="711"/>
      <c r="L35256" s="711"/>
      <c r="Q35256" s="11"/>
      <c r="R35256" s="11"/>
      <c r="S35256" s="11"/>
      <c r="T35256" s="11"/>
    </row>
    <row r="35257" spans="8:20" x14ac:dyDescent="0.35">
      <c r="H35257" s="711"/>
      <c r="I35257" s="711"/>
      <c r="J35257" s="711"/>
      <c r="K35257" s="711"/>
      <c r="L35257" s="711"/>
      <c r="Q35257" s="11"/>
      <c r="R35257" s="11"/>
      <c r="S35257" s="11"/>
      <c r="T35257" s="11"/>
    </row>
    <row r="35258" spans="8:20" x14ac:dyDescent="0.35">
      <c r="H35258" s="711"/>
      <c r="I35258" s="711"/>
      <c r="J35258" s="711"/>
      <c r="K35258" s="711"/>
      <c r="L35258" s="711"/>
      <c r="Q35258" s="11"/>
      <c r="R35258" s="11"/>
      <c r="S35258" s="11"/>
      <c r="T35258" s="11"/>
    </row>
    <row r="35259" spans="8:20" x14ac:dyDescent="0.35">
      <c r="H35259" s="711"/>
      <c r="I35259" s="711"/>
      <c r="J35259" s="711"/>
      <c r="K35259" s="711"/>
      <c r="L35259" s="711"/>
      <c r="Q35259" s="11"/>
      <c r="R35259" s="11"/>
      <c r="S35259" s="11"/>
      <c r="T35259" s="11"/>
    </row>
    <row r="35260" spans="8:20" x14ac:dyDescent="0.35">
      <c r="H35260" s="711"/>
      <c r="I35260" s="711"/>
      <c r="J35260" s="711"/>
      <c r="K35260" s="711"/>
      <c r="L35260" s="711"/>
      <c r="Q35260" s="11"/>
      <c r="R35260" s="11"/>
      <c r="S35260" s="11"/>
      <c r="T35260" s="11"/>
    </row>
    <row r="35261" spans="8:20" x14ac:dyDescent="0.35">
      <c r="H35261" s="711"/>
      <c r="I35261" s="711"/>
      <c r="J35261" s="711"/>
      <c r="K35261" s="711"/>
      <c r="L35261" s="711"/>
      <c r="Q35261" s="11"/>
      <c r="R35261" s="11"/>
      <c r="S35261" s="11"/>
      <c r="T35261" s="11"/>
    </row>
    <row r="35262" spans="8:20" x14ac:dyDescent="0.35">
      <c r="H35262" s="711"/>
      <c r="I35262" s="711"/>
      <c r="J35262" s="711"/>
      <c r="K35262" s="711"/>
      <c r="L35262" s="711"/>
      <c r="Q35262" s="11"/>
      <c r="R35262" s="11"/>
      <c r="S35262" s="11"/>
      <c r="T35262" s="11"/>
    </row>
    <row r="35263" spans="8:20" x14ac:dyDescent="0.35">
      <c r="H35263" s="711"/>
      <c r="I35263" s="711"/>
      <c r="J35263" s="711"/>
      <c r="K35263" s="711"/>
      <c r="L35263" s="711"/>
      <c r="Q35263" s="11"/>
      <c r="R35263" s="11"/>
      <c r="S35263" s="11"/>
      <c r="T35263" s="11"/>
    </row>
    <row r="35264" spans="8:20" x14ac:dyDescent="0.35">
      <c r="H35264" s="711"/>
      <c r="I35264" s="711"/>
      <c r="J35264" s="711"/>
      <c r="K35264" s="711"/>
      <c r="L35264" s="711"/>
      <c r="Q35264" s="11"/>
      <c r="R35264" s="11"/>
      <c r="S35264" s="11"/>
      <c r="T35264" s="11"/>
    </row>
    <row r="35265" spans="8:20" x14ac:dyDescent="0.35">
      <c r="H35265" s="711"/>
      <c r="I35265" s="711"/>
      <c r="J35265" s="711"/>
      <c r="K35265" s="711"/>
      <c r="L35265" s="711"/>
      <c r="Q35265" s="11"/>
      <c r="R35265" s="11"/>
      <c r="S35265" s="11"/>
      <c r="T35265" s="11"/>
    </row>
    <row r="35266" spans="8:20" x14ac:dyDescent="0.35">
      <c r="H35266" s="711"/>
      <c r="I35266" s="711"/>
      <c r="J35266" s="711"/>
      <c r="K35266" s="711"/>
      <c r="L35266" s="711"/>
      <c r="Q35266" s="11"/>
      <c r="R35266" s="11"/>
      <c r="S35266" s="11"/>
      <c r="T35266" s="11"/>
    </row>
    <row r="35267" spans="8:20" x14ac:dyDescent="0.35">
      <c r="H35267" s="711"/>
      <c r="I35267" s="711"/>
      <c r="J35267" s="711"/>
      <c r="K35267" s="711"/>
      <c r="L35267" s="711"/>
      <c r="Q35267" s="11"/>
      <c r="R35267" s="11"/>
      <c r="S35267" s="11"/>
      <c r="T35267" s="11"/>
    </row>
    <row r="35268" spans="8:20" x14ac:dyDescent="0.35">
      <c r="H35268" s="711"/>
      <c r="I35268" s="711"/>
      <c r="J35268" s="711"/>
      <c r="K35268" s="711"/>
      <c r="L35268" s="711"/>
      <c r="Q35268" s="11"/>
      <c r="R35268" s="11"/>
      <c r="S35268" s="11"/>
      <c r="T35268" s="11"/>
    </row>
    <row r="35269" spans="8:20" x14ac:dyDescent="0.35">
      <c r="H35269" s="711"/>
      <c r="I35269" s="711"/>
      <c r="J35269" s="711"/>
      <c r="K35269" s="711"/>
      <c r="L35269" s="711"/>
      <c r="Q35269" s="11"/>
      <c r="R35269" s="11"/>
      <c r="S35269" s="11"/>
      <c r="T35269" s="11"/>
    </row>
    <row r="35270" spans="8:20" x14ac:dyDescent="0.35">
      <c r="H35270" s="711"/>
      <c r="I35270" s="711"/>
      <c r="J35270" s="711"/>
      <c r="K35270" s="711"/>
      <c r="L35270" s="711"/>
      <c r="Q35270" s="11"/>
      <c r="R35270" s="11"/>
      <c r="S35270" s="11"/>
      <c r="T35270" s="11"/>
    </row>
    <row r="35271" spans="8:20" x14ac:dyDescent="0.35">
      <c r="H35271" s="711"/>
      <c r="I35271" s="711"/>
      <c r="J35271" s="711"/>
      <c r="K35271" s="711"/>
      <c r="L35271" s="711"/>
      <c r="Q35271" s="11"/>
      <c r="R35271" s="11"/>
      <c r="S35271" s="11"/>
      <c r="T35271" s="11"/>
    </row>
    <row r="35272" spans="8:20" x14ac:dyDescent="0.35">
      <c r="H35272" s="711"/>
      <c r="I35272" s="711"/>
      <c r="J35272" s="711"/>
      <c r="K35272" s="711"/>
      <c r="L35272" s="711"/>
      <c r="Q35272" s="11"/>
      <c r="R35272" s="11"/>
      <c r="S35272" s="11"/>
      <c r="T35272" s="11"/>
    </row>
    <row r="35273" spans="8:20" x14ac:dyDescent="0.35">
      <c r="H35273" s="711"/>
      <c r="I35273" s="711"/>
      <c r="J35273" s="711"/>
      <c r="K35273" s="711"/>
      <c r="L35273" s="711"/>
      <c r="Q35273" s="11"/>
      <c r="R35273" s="11"/>
      <c r="S35273" s="11"/>
      <c r="T35273" s="11"/>
    </row>
    <row r="35274" spans="8:20" x14ac:dyDescent="0.35">
      <c r="H35274" s="711"/>
      <c r="I35274" s="711"/>
      <c r="J35274" s="711"/>
      <c r="K35274" s="711"/>
      <c r="L35274" s="711"/>
      <c r="Q35274" s="11"/>
      <c r="R35274" s="11"/>
      <c r="S35274" s="11"/>
      <c r="T35274" s="11"/>
    </row>
    <row r="35275" spans="8:20" x14ac:dyDescent="0.35">
      <c r="H35275" s="711"/>
      <c r="I35275" s="711"/>
      <c r="J35275" s="711"/>
      <c r="K35275" s="711"/>
      <c r="L35275" s="711"/>
      <c r="Q35275" s="11"/>
      <c r="R35275" s="11"/>
      <c r="S35275" s="11"/>
      <c r="T35275" s="11"/>
    </row>
    <row r="35276" spans="8:20" x14ac:dyDescent="0.35">
      <c r="H35276" s="711"/>
      <c r="I35276" s="711"/>
      <c r="J35276" s="711"/>
      <c r="K35276" s="711"/>
      <c r="L35276" s="711"/>
      <c r="Q35276" s="11"/>
      <c r="R35276" s="11"/>
      <c r="S35276" s="11"/>
      <c r="T35276" s="11"/>
    </row>
    <row r="35277" spans="8:20" x14ac:dyDescent="0.35">
      <c r="H35277" s="711"/>
      <c r="I35277" s="711"/>
      <c r="J35277" s="711"/>
      <c r="K35277" s="711"/>
      <c r="L35277" s="711"/>
      <c r="Q35277" s="11"/>
      <c r="R35277" s="11"/>
      <c r="S35277" s="11"/>
      <c r="T35277" s="11"/>
    </row>
    <row r="35278" spans="8:20" x14ac:dyDescent="0.35">
      <c r="H35278" s="711"/>
      <c r="I35278" s="711"/>
      <c r="J35278" s="711"/>
      <c r="K35278" s="711"/>
      <c r="L35278" s="711"/>
      <c r="Q35278" s="11"/>
      <c r="R35278" s="11"/>
      <c r="S35278" s="11"/>
      <c r="T35278" s="11"/>
    </row>
    <row r="35279" spans="8:20" x14ac:dyDescent="0.35">
      <c r="H35279" s="711"/>
      <c r="I35279" s="711"/>
      <c r="J35279" s="711"/>
      <c r="K35279" s="711"/>
      <c r="L35279" s="711"/>
      <c r="Q35279" s="11"/>
      <c r="R35279" s="11"/>
      <c r="S35279" s="11"/>
      <c r="T35279" s="11"/>
    </row>
    <row r="35280" spans="8:20" x14ac:dyDescent="0.35">
      <c r="H35280" s="711"/>
      <c r="I35280" s="711"/>
      <c r="J35280" s="711"/>
      <c r="K35280" s="711"/>
      <c r="L35280" s="711"/>
      <c r="Q35280" s="11"/>
      <c r="R35280" s="11"/>
      <c r="S35280" s="11"/>
      <c r="T35280" s="11"/>
    </row>
    <row r="35281" spans="8:20" x14ac:dyDescent="0.35">
      <c r="H35281" s="711"/>
      <c r="I35281" s="711"/>
      <c r="J35281" s="711"/>
      <c r="K35281" s="711"/>
      <c r="L35281" s="711"/>
      <c r="Q35281" s="11"/>
      <c r="R35281" s="11"/>
      <c r="S35281" s="11"/>
      <c r="T35281" s="11"/>
    </row>
    <row r="35282" spans="8:20" x14ac:dyDescent="0.35">
      <c r="H35282" s="711"/>
      <c r="I35282" s="711"/>
      <c r="J35282" s="711"/>
      <c r="K35282" s="711"/>
      <c r="L35282" s="711"/>
      <c r="Q35282" s="11"/>
      <c r="R35282" s="11"/>
      <c r="S35282" s="11"/>
      <c r="T35282" s="11"/>
    </row>
    <row r="35283" spans="8:20" x14ac:dyDescent="0.35">
      <c r="H35283" s="711"/>
      <c r="I35283" s="711"/>
      <c r="J35283" s="711"/>
      <c r="K35283" s="711"/>
      <c r="L35283" s="711"/>
      <c r="Q35283" s="11"/>
      <c r="R35283" s="11"/>
      <c r="S35283" s="11"/>
      <c r="T35283" s="11"/>
    </row>
    <row r="35284" spans="8:20" x14ac:dyDescent="0.35">
      <c r="H35284" s="711"/>
      <c r="I35284" s="711"/>
      <c r="J35284" s="711"/>
      <c r="K35284" s="711"/>
      <c r="L35284" s="711"/>
      <c r="Q35284" s="11"/>
      <c r="R35284" s="11"/>
      <c r="S35284" s="11"/>
      <c r="T35284" s="11"/>
    </row>
    <row r="35285" spans="8:20" x14ac:dyDescent="0.35">
      <c r="H35285" s="711"/>
      <c r="I35285" s="711"/>
      <c r="J35285" s="711"/>
      <c r="K35285" s="711"/>
      <c r="L35285" s="711"/>
      <c r="Q35285" s="11"/>
      <c r="R35285" s="11"/>
      <c r="S35285" s="11"/>
      <c r="T35285" s="11"/>
    </row>
    <row r="35286" spans="8:20" x14ac:dyDescent="0.35">
      <c r="H35286" s="711"/>
      <c r="I35286" s="711"/>
      <c r="J35286" s="711"/>
      <c r="K35286" s="711"/>
      <c r="L35286" s="711"/>
      <c r="Q35286" s="11"/>
      <c r="R35286" s="11"/>
      <c r="S35286" s="11"/>
      <c r="T35286" s="11"/>
    </row>
    <row r="35287" spans="8:20" x14ac:dyDescent="0.35">
      <c r="H35287" s="711"/>
      <c r="I35287" s="711"/>
      <c r="J35287" s="711"/>
      <c r="K35287" s="711"/>
      <c r="L35287" s="711"/>
      <c r="Q35287" s="11"/>
      <c r="R35287" s="11"/>
      <c r="S35287" s="11"/>
      <c r="T35287" s="11"/>
    </row>
    <row r="35288" spans="8:20" x14ac:dyDescent="0.35">
      <c r="H35288" s="711"/>
      <c r="I35288" s="711"/>
      <c r="J35288" s="711"/>
      <c r="K35288" s="711"/>
      <c r="L35288" s="711"/>
      <c r="Q35288" s="11"/>
      <c r="R35288" s="11"/>
      <c r="S35288" s="11"/>
      <c r="T35288" s="11"/>
    </row>
    <row r="35289" spans="8:20" x14ac:dyDescent="0.35">
      <c r="H35289" s="711"/>
      <c r="I35289" s="711"/>
      <c r="J35289" s="711"/>
      <c r="K35289" s="711"/>
      <c r="L35289" s="711"/>
      <c r="Q35289" s="11"/>
      <c r="R35289" s="11"/>
      <c r="S35289" s="11"/>
      <c r="T35289" s="11"/>
    </row>
    <row r="35290" spans="8:20" x14ac:dyDescent="0.35">
      <c r="H35290" s="711"/>
      <c r="I35290" s="711"/>
      <c r="J35290" s="711"/>
      <c r="K35290" s="711"/>
      <c r="L35290" s="711"/>
      <c r="Q35290" s="11"/>
      <c r="R35290" s="11"/>
      <c r="S35290" s="11"/>
      <c r="T35290" s="11"/>
    </row>
    <row r="35291" spans="8:20" x14ac:dyDescent="0.35">
      <c r="H35291" s="711"/>
      <c r="I35291" s="711"/>
      <c r="J35291" s="711"/>
      <c r="K35291" s="711"/>
      <c r="L35291" s="711"/>
      <c r="Q35291" s="11"/>
      <c r="R35291" s="11"/>
      <c r="S35291" s="11"/>
      <c r="T35291" s="11"/>
    </row>
    <row r="35292" spans="8:20" x14ac:dyDescent="0.35">
      <c r="H35292" s="711"/>
      <c r="I35292" s="711"/>
      <c r="J35292" s="711"/>
      <c r="K35292" s="711"/>
      <c r="L35292" s="711"/>
      <c r="Q35292" s="11"/>
      <c r="R35292" s="11"/>
      <c r="S35292" s="11"/>
      <c r="T35292" s="11"/>
    </row>
    <row r="35293" spans="8:20" x14ac:dyDescent="0.35">
      <c r="H35293" s="711"/>
      <c r="I35293" s="711"/>
      <c r="J35293" s="711"/>
      <c r="K35293" s="711"/>
      <c r="L35293" s="711"/>
      <c r="Q35293" s="11"/>
      <c r="R35293" s="11"/>
      <c r="S35293" s="11"/>
      <c r="T35293" s="11"/>
    </row>
    <row r="35294" spans="8:20" x14ac:dyDescent="0.35">
      <c r="H35294" s="711"/>
      <c r="I35294" s="711"/>
      <c r="J35294" s="711"/>
      <c r="K35294" s="711"/>
      <c r="L35294" s="711"/>
      <c r="Q35294" s="11"/>
      <c r="R35294" s="11"/>
      <c r="S35294" s="11"/>
      <c r="T35294" s="11"/>
    </row>
    <row r="35295" spans="8:20" x14ac:dyDescent="0.35">
      <c r="H35295" s="711"/>
      <c r="I35295" s="711"/>
      <c r="J35295" s="711"/>
      <c r="K35295" s="711"/>
      <c r="L35295" s="711"/>
      <c r="Q35295" s="11"/>
      <c r="R35295" s="11"/>
      <c r="S35295" s="11"/>
      <c r="T35295" s="11"/>
    </row>
    <row r="35296" spans="8:20" x14ac:dyDescent="0.35">
      <c r="H35296" s="711"/>
      <c r="I35296" s="711"/>
      <c r="J35296" s="711"/>
      <c r="K35296" s="711"/>
      <c r="L35296" s="711"/>
      <c r="Q35296" s="11"/>
      <c r="R35296" s="11"/>
      <c r="S35296" s="11"/>
      <c r="T35296" s="11"/>
    </row>
    <row r="35297" spans="8:20" x14ac:dyDescent="0.35">
      <c r="H35297" s="711"/>
      <c r="I35297" s="711"/>
      <c r="J35297" s="711"/>
      <c r="K35297" s="711"/>
      <c r="L35297" s="711"/>
      <c r="Q35297" s="11"/>
      <c r="R35297" s="11"/>
      <c r="S35297" s="11"/>
      <c r="T35297" s="11"/>
    </row>
    <row r="35298" spans="8:20" x14ac:dyDescent="0.35">
      <c r="H35298" s="711"/>
      <c r="I35298" s="711"/>
      <c r="J35298" s="711"/>
      <c r="K35298" s="711"/>
      <c r="L35298" s="711"/>
      <c r="Q35298" s="11"/>
      <c r="R35298" s="11"/>
      <c r="S35298" s="11"/>
      <c r="T35298" s="11"/>
    </row>
    <row r="35299" spans="8:20" x14ac:dyDescent="0.35">
      <c r="H35299" s="711"/>
      <c r="I35299" s="711"/>
      <c r="J35299" s="711"/>
      <c r="K35299" s="711"/>
      <c r="L35299" s="711"/>
      <c r="Q35299" s="11"/>
      <c r="R35299" s="11"/>
      <c r="S35299" s="11"/>
      <c r="T35299" s="11"/>
    </row>
    <row r="35300" spans="8:20" x14ac:dyDescent="0.35">
      <c r="H35300" s="711"/>
      <c r="I35300" s="711"/>
      <c r="J35300" s="711"/>
      <c r="K35300" s="711"/>
      <c r="L35300" s="711"/>
      <c r="Q35300" s="11"/>
      <c r="R35300" s="11"/>
      <c r="S35300" s="11"/>
      <c r="T35300" s="11"/>
    </row>
    <row r="35301" spans="8:20" x14ac:dyDescent="0.35">
      <c r="H35301" s="711"/>
      <c r="I35301" s="711"/>
      <c r="J35301" s="711"/>
      <c r="K35301" s="711"/>
      <c r="L35301" s="711"/>
      <c r="Q35301" s="11"/>
      <c r="R35301" s="11"/>
      <c r="S35301" s="11"/>
      <c r="T35301" s="11"/>
    </row>
    <row r="35302" spans="8:20" x14ac:dyDescent="0.35">
      <c r="H35302" s="711"/>
      <c r="I35302" s="711"/>
      <c r="J35302" s="711"/>
      <c r="K35302" s="711"/>
      <c r="L35302" s="711"/>
      <c r="Q35302" s="11"/>
      <c r="R35302" s="11"/>
      <c r="S35302" s="11"/>
      <c r="T35302" s="11"/>
    </row>
    <row r="35303" spans="8:20" x14ac:dyDescent="0.35">
      <c r="H35303" s="711"/>
      <c r="I35303" s="711"/>
      <c r="J35303" s="711"/>
      <c r="K35303" s="711"/>
      <c r="L35303" s="711"/>
      <c r="Q35303" s="11"/>
      <c r="R35303" s="11"/>
      <c r="S35303" s="11"/>
      <c r="T35303" s="11"/>
    </row>
    <row r="35304" spans="8:20" x14ac:dyDescent="0.35">
      <c r="H35304" s="711"/>
      <c r="I35304" s="711"/>
      <c r="J35304" s="711"/>
      <c r="K35304" s="711"/>
      <c r="L35304" s="711"/>
      <c r="Q35304" s="11"/>
      <c r="R35304" s="11"/>
      <c r="S35304" s="11"/>
      <c r="T35304" s="11"/>
    </row>
    <row r="35305" spans="8:20" x14ac:dyDescent="0.35">
      <c r="H35305" s="711"/>
      <c r="I35305" s="711"/>
      <c r="J35305" s="711"/>
      <c r="K35305" s="711"/>
      <c r="L35305" s="711"/>
      <c r="Q35305" s="11"/>
      <c r="R35305" s="11"/>
      <c r="S35305" s="11"/>
      <c r="T35305" s="11"/>
    </row>
    <row r="35306" spans="8:20" x14ac:dyDescent="0.35">
      <c r="H35306" s="711"/>
      <c r="I35306" s="711"/>
      <c r="J35306" s="711"/>
      <c r="K35306" s="711"/>
      <c r="L35306" s="711"/>
      <c r="Q35306" s="11"/>
      <c r="R35306" s="11"/>
      <c r="S35306" s="11"/>
      <c r="T35306" s="11"/>
    </row>
    <row r="35307" spans="8:20" x14ac:dyDescent="0.35">
      <c r="H35307" s="711"/>
      <c r="I35307" s="711"/>
      <c r="J35307" s="711"/>
      <c r="K35307" s="711"/>
      <c r="L35307" s="711"/>
      <c r="Q35307" s="11"/>
      <c r="R35307" s="11"/>
      <c r="S35307" s="11"/>
      <c r="T35307" s="11"/>
    </row>
    <row r="35308" spans="8:20" x14ac:dyDescent="0.35">
      <c r="H35308" s="711"/>
      <c r="I35308" s="711"/>
      <c r="J35308" s="711"/>
      <c r="K35308" s="711"/>
      <c r="L35308" s="711"/>
      <c r="Q35308" s="11"/>
      <c r="R35308" s="11"/>
      <c r="S35308" s="11"/>
      <c r="T35308" s="11"/>
    </row>
    <row r="35309" spans="8:20" x14ac:dyDescent="0.35">
      <c r="H35309" s="711"/>
      <c r="I35309" s="711"/>
      <c r="J35309" s="711"/>
      <c r="K35309" s="711"/>
      <c r="L35309" s="711"/>
      <c r="Q35309" s="11"/>
      <c r="R35309" s="11"/>
      <c r="S35309" s="11"/>
      <c r="T35309" s="11"/>
    </row>
    <row r="35310" spans="8:20" x14ac:dyDescent="0.35">
      <c r="H35310" s="711"/>
      <c r="I35310" s="711"/>
      <c r="J35310" s="711"/>
      <c r="K35310" s="711"/>
      <c r="L35310" s="711"/>
      <c r="Q35310" s="11"/>
      <c r="R35310" s="11"/>
      <c r="S35310" s="11"/>
      <c r="T35310" s="11"/>
    </row>
    <row r="35311" spans="8:20" x14ac:dyDescent="0.35">
      <c r="H35311" s="711"/>
      <c r="I35311" s="711"/>
      <c r="J35311" s="711"/>
      <c r="K35311" s="711"/>
      <c r="L35311" s="711"/>
      <c r="Q35311" s="11"/>
      <c r="R35311" s="11"/>
      <c r="S35311" s="11"/>
      <c r="T35311" s="11"/>
    </row>
    <row r="35312" spans="8:20" x14ac:dyDescent="0.35">
      <c r="H35312" s="711"/>
      <c r="I35312" s="711"/>
      <c r="J35312" s="711"/>
      <c r="K35312" s="711"/>
      <c r="L35312" s="711"/>
      <c r="Q35312" s="11"/>
      <c r="R35312" s="11"/>
      <c r="S35312" s="11"/>
      <c r="T35312" s="11"/>
    </row>
    <row r="35313" spans="8:20" x14ac:dyDescent="0.35">
      <c r="H35313" s="711"/>
      <c r="I35313" s="711"/>
      <c r="J35313" s="711"/>
      <c r="K35313" s="711"/>
      <c r="L35313" s="711"/>
      <c r="Q35313" s="11"/>
      <c r="R35313" s="11"/>
      <c r="S35313" s="11"/>
      <c r="T35313" s="11"/>
    </row>
    <row r="35314" spans="8:20" x14ac:dyDescent="0.35">
      <c r="H35314" s="711"/>
      <c r="I35314" s="711"/>
      <c r="J35314" s="711"/>
      <c r="K35314" s="711"/>
      <c r="L35314" s="711"/>
      <c r="Q35314" s="11"/>
      <c r="R35314" s="11"/>
      <c r="S35314" s="11"/>
      <c r="T35314" s="11"/>
    </row>
    <row r="35315" spans="8:20" x14ac:dyDescent="0.35">
      <c r="H35315" s="711"/>
      <c r="I35315" s="711"/>
      <c r="J35315" s="711"/>
      <c r="K35315" s="711"/>
      <c r="L35315" s="711"/>
      <c r="Q35315" s="11"/>
      <c r="R35315" s="11"/>
      <c r="S35315" s="11"/>
      <c r="T35315" s="11"/>
    </row>
    <row r="35316" spans="8:20" x14ac:dyDescent="0.35">
      <c r="H35316" s="711"/>
      <c r="I35316" s="711"/>
      <c r="J35316" s="711"/>
      <c r="K35316" s="711"/>
      <c r="L35316" s="711"/>
      <c r="Q35316" s="11"/>
      <c r="R35316" s="11"/>
      <c r="S35316" s="11"/>
      <c r="T35316" s="11"/>
    </row>
    <row r="35317" spans="8:20" x14ac:dyDescent="0.35">
      <c r="H35317" s="711"/>
      <c r="I35317" s="711"/>
      <c r="J35317" s="711"/>
      <c r="K35317" s="711"/>
      <c r="L35317" s="711"/>
      <c r="Q35317" s="11"/>
      <c r="R35317" s="11"/>
      <c r="S35317" s="11"/>
      <c r="T35317" s="11"/>
    </row>
    <row r="35318" spans="8:20" x14ac:dyDescent="0.35">
      <c r="H35318" s="711"/>
      <c r="I35318" s="711"/>
      <c r="J35318" s="711"/>
      <c r="K35318" s="711"/>
      <c r="L35318" s="711"/>
      <c r="Q35318" s="11"/>
      <c r="R35318" s="11"/>
      <c r="S35318" s="11"/>
      <c r="T35318" s="11"/>
    </row>
    <row r="35319" spans="8:20" x14ac:dyDescent="0.35">
      <c r="H35319" s="711"/>
      <c r="I35319" s="711"/>
      <c r="J35319" s="711"/>
      <c r="K35319" s="711"/>
      <c r="L35319" s="711"/>
      <c r="Q35319" s="11"/>
      <c r="R35319" s="11"/>
      <c r="S35319" s="11"/>
      <c r="T35319" s="11"/>
    </row>
    <row r="35320" spans="8:20" x14ac:dyDescent="0.35">
      <c r="H35320" s="711"/>
      <c r="I35320" s="711"/>
      <c r="J35320" s="711"/>
      <c r="K35320" s="711"/>
      <c r="L35320" s="711"/>
      <c r="Q35320" s="11"/>
      <c r="R35320" s="11"/>
      <c r="S35320" s="11"/>
      <c r="T35320" s="11"/>
    </row>
    <row r="35321" spans="8:20" x14ac:dyDescent="0.35">
      <c r="H35321" s="711"/>
      <c r="I35321" s="711"/>
      <c r="J35321" s="711"/>
      <c r="K35321" s="711"/>
      <c r="L35321" s="711"/>
      <c r="Q35321" s="11"/>
      <c r="R35321" s="11"/>
      <c r="S35321" s="11"/>
      <c r="T35321" s="11"/>
    </row>
    <row r="35322" spans="8:20" x14ac:dyDescent="0.35">
      <c r="H35322" s="711"/>
      <c r="I35322" s="711"/>
      <c r="J35322" s="711"/>
      <c r="K35322" s="711"/>
      <c r="L35322" s="711"/>
      <c r="Q35322" s="11"/>
      <c r="R35322" s="11"/>
      <c r="S35322" s="11"/>
      <c r="T35322" s="11"/>
    </row>
    <row r="35323" spans="8:20" x14ac:dyDescent="0.35">
      <c r="H35323" s="711"/>
      <c r="I35323" s="711"/>
      <c r="J35323" s="711"/>
      <c r="K35323" s="711"/>
      <c r="L35323" s="711"/>
      <c r="Q35323" s="11"/>
      <c r="R35323" s="11"/>
      <c r="S35323" s="11"/>
      <c r="T35323" s="11"/>
    </row>
    <row r="35324" spans="8:20" x14ac:dyDescent="0.35">
      <c r="H35324" s="711"/>
      <c r="I35324" s="711"/>
      <c r="J35324" s="711"/>
      <c r="K35324" s="711"/>
      <c r="L35324" s="711"/>
      <c r="Q35324" s="11"/>
      <c r="R35324" s="11"/>
      <c r="S35324" s="11"/>
      <c r="T35324" s="11"/>
    </row>
    <row r="35325" spans="8:20" x14ac:dyDescent="0.35">
      <c r="H35325" s="711"/>
      <c r="I35325" s="711"/>
      <c r="J35325" s="711"/>
      <c r="K35325" s="711"/>
      <c r="L35325" s="711"/>
      <c r="Q35325" s="11"/>
      <c r="R35325" s="11"/>
      <c r="S35325" s="11"/>
      <c r="T35325" s="11"/>
    </row>
    <row r="35326" spans="8:20" x14ac:dyDescent="0.35">
      <c r="H35326" s="711"/>
      <c r="I35326" s="711"/>
      <c r="J35326" s="711"/>
      <c r="K35326" s="711"/>
      <c r="L35326" s="711"/>
      <c r="Q35326" s="11"/>
      <c r="R35326" s="11"/>
      <c r="S35326" s="11"/>
      <c r="T35326" s="11"/>
    </row>
    <row r="35327" spans="8:20" x14ac:dyDescent="0.35">
      <c r="H35327" s="711"/>
      <c r="I35327" s="711"/>
      <c r="J35327" s="711"/>
      <c r="K35327" s="711"/>
      <c r="L35327" s="711"/>
      <c r="Q35327" s="11"/>
      <c r="R35327" s="11"/>
      <c r="S35327" s="11"/>
      <c r="T35327" s="11"/>
    </row>
    <row r="35328" spans="8:20" x14ac:dyDescent="0.35">
      <c r="H35328" s="711"/>
      <c r="I35328" s="711"/>
      <c r="J35328" s="711"/>
      <c r="K35328" s="711"/>
      <c r="L35328" s="711"/>
      <c r="Q35328" s="11"/>
      <c r="R35328" s="11"/>
      <c r="S35328" s="11"/>
      <c r="T35328" s="11"/>
    </row>
    <row r="35329" spans="8:20" x14ac:dyDescent="0.35">
      <c r="H35329" s="711"/>
      <c r="I35329" s="711"/>
      <c r="J35329" s="711"/>
      <c r="K35329" s="711"/>
      <c r="L35329" s="711"/>
      <c r="Q35329" s="11"/>
      <c r="R35329" s="11"/>
      <c r="S35329" s="11"/>
      <c r="T35329" s="11"/>
    </row>
    <row r="35330" spans="8:20" x14ac:dyDescent="0.35">
      <c r="H35330" s="711"/>
      <c r="I35330" s="711"/>
      <c r="J35330" s="711"/>
      <c r="K35330" s="711"/>
      <c r="L35330" s="711"/>
      <c r="Q35330" s="11"/>
      <c r="R35330" s="11"/>
      <c r="S35330" s="11"/>
      <c r="T35330" s="11"/>
    </row>
    <row r="35331" spans="8:20" x14ac:dyDescent="0.35">
      <c r="H35331" s="711"/>
      <c r="I35331" s="711"/>
      <c r="J35331" s="711"/>
      <c r="K35331" s="711"/>
      <c r="L35331" s="711"/>
      <c r="Q35331" s="11"/>
      <c r="R35331" s="11"/>
      <c r="S35331" s="11"/>
      <c r="T35331" s="11"/>
    </row>
    <row r="35332" spans="8:20" x14ac:dyDescent="0.35">
      <c r="H35332" s="711"/>
      <c r="I35332" s="711"/>
      <c r="J35332" s="711"/>
      <c r="K35332" s="711"/>
      <c r="L35332" s="711"/>
      <c r="Q35332" s="11"/>
      <c r="R35332" s="11"/>
      <c r="S35332" s="11"/>
      <c r="T35332" s="11"/>
    </row>
    <row r="35333" spans="8:20" x14ac:dyDescent="0.35">
      <c r="H35333" s="711"/>
      <c r="I35333" s="711"/>
      <c r="J35333" s="711"/>
      <c r="K35333" s="711"/>
      <c r="L35333" s="711"/>
      <c r="Q35333" s="11"/>
      <c r="R35333" s="11"/>
      <c r="S35333" s="11"/>
      <c r="T35333" s="11"/>
    </row>
    <row r="35334" spans="8:20" x14ac:dyDescent="0.35">
      <c r="H35334" s="711"/>
      <c r="I35334" s="711"/>
      <c r="J35334" s="711"/>
      <c r="K35334" s="711"/>
      <c r="L35334" s="711"/>
      <c r="Q35334" s="11"/>
      <c r="R35334" s="11"/>
      <c r="S35334" s="11"/>
      <c r="T35334" s="11"/>
    </row>
    <row r="35335" spans="8:20" x14ac:dyDescent="0.35">
      <c r="H35335" s="711"/>
      <c r="I35335" s="711"/>
      <c r="J35335" s="711"/>
      <c r="K35335" s="711"/>
      <c r="L35335" s="711"/>
      <c r="Q35335" s="11"/>
      <c r="R35335" s="11"/>
      <c r="S35335" s="11"/>
      <c r="T35335" s="11"/>
    </row>
    <row r="35336" spans="8:20" x14ac:dyDescent="0.35">
      <c r="H35336" s="711"/>
      <c r="I35336" s="711"/>
      <c r="J35336" s="711"/>
      <c r="K35336" s="711"/>
      <c r="L35336" s="711"/>
      <c r="Q35336" s="11"/>
      <c r="R35336" s="11"/>
      <c r="S35336" s="11"/>
      <c r="T35336" s="11"/>
    </row>
    <row r="35337" spans="8:20" x14ac:dyDescent="0.35">
      <c r="H35337" s="711"/>
      <c r="I35337" s="711"/>
      <c r="J35337" s="711"/>
      <c r="K35337" s="711"/>
      <c r="L35337" s="711"/>
      <c r="Q35337" s="11"/>
      <c r="R35337" s="11"/>
      <c r="S35337" s="11"/>
      <c r="T35337" s="11"/>
    </row>
    <row r="35338" spans="8:20" x14ac:dyDescent="0.35">
      <c r="H35338" s="711"/>
      <c r="I35338" s="711"/>
      <c r="J35338" s="711"/>
      <c r="K35338" s="711"/>
      <c r="L35338" s="711"/>
      <c r="Q35338" s="11"/>
      <c r="R35338" s="11"/>
      <c r="S35338" s="11"/>
      <c r="T35338" s="11"/>
    </row>
    <row r="35339" spans="8:20" x14ac:dyDescent="0.35">
      <c r="H35339" s="711"/>
      <c r="I35339" s="711"/>
      <c r="J35339" s="711"/>
      <c r="K35339" s="711"/>
      <c r="L35339" s="711"/>
      <c r="Q35339" s="11"/>
      <c r="R35339" s="11"/>
      <c r="S35339" s="11"/>
      <c r="T35339" s="11"/>
    </row>
    <row r="35340" spans="8:20" x14ac:dyDescent="0.35">
      <c r="H35340" s="711"/>
      <c r="I35340" s="711"/>
      <c r="J35340" s="711"/>
      <c r="K35340" s="711"/>
      <c r="L35340" s="711"/>
      <c r="Q35340" s="11"/>
      <c r="R35340" s="11"/>
      <c r="S35340" s="11"/>
      <c r="T35340" s="11"/>
    </row>
    <row r="35341" spans="8:20" x14ac:dyDescent="0.35">
      <c r="H35341" s="711"/>
      <c r="I35341" s="711"/>
      <c r="J35341" s="711"/>
      <c r="K35341" s="711"/>
      <c r="L35341" s="711"/>
      <c r="Q35341" s="11"/>
      <c r="R35341" s="11"/>
      <c r="S35341" s="11"/>
      <c r="T35341" s="11"/>
    </row>
    <row r="35342" spans="8:20" x14ac:dyDescent="0.35">
      <c r="H35342" s="711"/>
      <c r="I35342" s="711"/>
      <c r="J35342" s="711"/>
      <c r="K35342" s="711"/>
      <c r="L35342" s="711"/>
      <c r="Q35342" s="11"/>
      <c r="R35342" s="11"/>
      <c r="S35342" s="11"/>
      <c r="T35342" s="11"/>
    </row>
    <row r="35343" spans="8:20" x14ac:dyDescent="0.35">
      <c r="H35343" s="711"/>
      <c r="I35343" s="711"/>
      <c r="J35343" s="711"/>
      <c r="K35343" s="711"/>
      <c r="L35343" s="711"/>
      <c r="Q35343" s="11"/>
      <c r="R35343" s="11"/>
      <c r="S35343" s="11"/>
      <c r="T35343" s="11"/>
    </row>
    <row r="35344" spans="8:20" x14ac:dyDescent="0.35">
      <c r="H35344" s="711"/>
      <c r="I35344" s="711"/>
      <c r="J35344" s="711"/>
      <c r="K35344" s="711"/>
      <c r="L35344" s="711"/>
      <c r="Q35344" s="11"/>
      <c r="R35344" s="11"/>
      <c r="S35344" s="11"/>
      <c r="T35344" s="11"/>
    </row>
    <row r="35345" spans="8:20" x14ac:dyDescent="0.35">
      <c r="H35345" s="711"/>
      <c r="I35345" s="711"/>
      <c r="J35345" s="711"/>
      <c r="K35345" s="711"/>
      <c r="L35345" s="711"/>
      <c r="Q35345" s="11"/>
      <c r="R35345" s="11"/>
      <c r="S35345" s="11"/>
      <c r="T35345" s="11"/>
    </row>
    <row r="35346" spans="8:20" x14ac:dyDescent="0.35">
      <c r="H35346" s="711"/>
      <c r="I35346" s="711"/>
      <c r="J35346" s="711"/>
      <c r="K35346" s="711"/>
      <c r="L35346" s="711"/>
      <c r="Q35346" s="11"/>
      <c r="R35346" s="11"/>
      <c r="S35346" s="11"/>
      <c r="T35346" s="11"/>
    </row>
    <row r="35347" spans="8:20" x14ac:dyDescent="0.35">
      <c r="H35347" s="711"/>
      <c r="I35347" s="711"/>
      <c r="J35347" s="711"/>
      <c r="K35347" s="711"/>
      <c r="L35347" s="711"/>
      <c r="Q35347" s="11"/>
      <c r="R35347" s="11"/>
      <c r="S35347" s="11"/>
      <c r="T35347" s="11"/>
    </row>
    <row r="35348" spans="8:20" x14ac:dyDescent="0.35">
      <c r="H35348" s="711"/>
      <c r="I35348" s="711"/>
      <c r="J35348" s="711"/>
      <c r="K35348" s="711"/>
      <c r="L35348" s="711"/>
      <c r="Q35348" s="11"/>
      <c r="R35348" s="11"/>
      <c r="S35348" s="11"/>
      <c r="T35348" s="11"/>
    </row>
    <row r="35349" spans="8:20" x14ac:dyDescent="0.35">
      <c r="H35349" s="711"/>
      <c r="I35349" s="711"/>
      <c r="J35349" s="711"/>
      <c r="K35349" s="711"/>
      <c r="L35349" s="711"/>
      <c r="Q35349" s="11"/>
      <c r="R35349" s="11"/>
      <c r="S35349" s="11"/>
      <c r="T35349" s="11"/>
    </row>
    <row r="35350" spans="8:20" x14ac:dyDescent="0.35">
      <c r="H35350" s="711"/>
      <c r="I35350" s="711"/>
      <c r="J35350" s="711"/>
      <c r="K35350" s="711"/>
      <c r="L35350" s="711"/>
      <c r="Q35350" s="11"/>
      <c r="R35350" s="11"/>
      <c r="S35350" s="11"/>
      <c r="T35350" s="11"/>
    </row>
    <row r="35351" spans="8:20" x14ac:dyDescent="0.35">
      <c r="H35351" s="711"/>
      <c r="I35351" s="711"/>
      <c r="J35351" s="711"/>
      <c r="K35351" s="711"/>
      <c r="L35351" s="711"/>
      <c r="Q35351" s="11"/>
      <c r="R35351" s="11"/>
      <c r="S35351" s="11"/>
      <c r="T35351" s="11"/>
    </row>
    <row r="35352" spans="8:20" x14ac:dyDescent="0.35">
      <c r="H35352" s="711"/>
      <c r="I35352" s="711"/>
      <c r="J35352" s="711"/>
      <c r="K35352" s="711"/>
      <c r="L35352" s="711"/>
      <c r="Q35352" s="11"/>
      <c r="R35352" s="11"/>
      <c r="S35352" s="11"/>
      <c r="T35352" s="11"/>
    </row>
    <row r="35353" spans="8:20" x14ac:dyDescent="0.35">
      <c r="H35353" s="711"/>
      <c r="I35353" s="711"/>
      <c r="J35353" s="711"/>
      <c r="K35353" s="711"/>
      <c r="L35353" s="711"/>
      <c r="Q35353" s="11"/>
      <c r="R35353" s="11"/>
      <c r="S35353" s="11"/>
      <c r="T35353" s="11"/>
    </row>
    <row r="35354" spans="8:20" x14ac:dyDescent="0.35">
      <c r="H35354" s="711"/>
      <c r="I35354" s="711"/>
      <c r="J35354" s="711"/>
      <c r="K35354" s="711"/>
      <c r="L35354" s="711"/>
      <c r="Q35354" s="11"/>
      <c r="R35354" s="11"/>
      <c r="S35354" s="11"/>
      <c r="T35354" s="11"/>
    </row>
    <row r="35355" spans="8:20" x14ac:dyDescent="0.35">
      <c r="H35355" s="711"/>
      <c r="I35355" s="711"/>
      <c r="J35355" s="711"/>
      <c r="K35355" s="711"/>
      <c r="L35355" s="711"/>
      <c r="Q35355" s="11"/>
      <c r="R35355" s="11"/>
      <c r="S35355" s="11"/>
      <c r="T35355" s="11"/>
    </row>
    <row r="35356" spans="8:20" x14ac:dyDescent="0.35">
      <c r="H35356" s="711"/>
      <c r="I35356" s="711"/>
      <c r="J35356" s="711"/>
      <c r="K35356" s="711"/>
      <c r="L35356" s="711"/>
      <c r="Q35356" s="11"/>
      <c r="R35356" s="11"/>
      <c r="S35356" s="11"/>
      <c r="T35356" s="11"/>
    </row>
    <row r="35357" spans="8:20" x14ac:dyDescent="0.35">
      <c r="H35357" s="711"/>
      <c r="I35357" s="711"/>
      <c r="J35357" s="711"/>
      <c r="K35357" s="711"/>
      <c r="L35357" s="711"/>
      <c r="Q35357" s="11"/>
      <c r="R35357" s="11"/>
      <c r="S35357" s="11"/>
      <c r="T35357" s="11"/>
    </row>
    <row r="35358" spans="8:20" x14ac:dyDescent="0.35">
      <c r="H35358" s="711"/>
      <c r="I35358" s="711"/>
      <c r="J35358" s="711"/>
      <c r="K35358" s="711"/>
      <c r="L35358" s="711"/>
      <c r="Q35358" s="11"/>
      <c r="R35358" s="11"/>
      <c r="S35358" s="11"/>
      <c r="T35358" s="11"/>
    </row>
    <row r="35359" spans="8:20" x14ac:dyDescent="0.35">
      <c r="H35359" s="711"/>
      <c r="I35359" s="711"/>
      <c r="J35359" s="711"/>
      <c r="K35359" s="711"/>
      <c r="L35359" s="711"/>
      <c r="Q35359" s="11"/>
      <c r="R35359" s="11"/>
      <c r="S35359" s="11"/>
      <c r="T35359" s="11"/>
    </row>
    <row r="35360" spans="8:20" x14ac:dyDescent="0.35">
      <c r="H35360" s="711"/>
      <c r="I35360" s="711"/>
      <c r="J35360" s="711"/>
      <c r="K35360" s="711"/>
      <c r="L35360" s="711"/>
      <c r="Q35360" s="11"/>
      <c r="R35360" s="11"/>
      <c r="S35360" s="11"/>
      <c r="T35360" s="11"/>
    </row>
    <row r="35361" spans="8:20" x14ac:dyDescent="0.35">
      <c r="H35361" s="711"/>
      <c r="I35361" s="711"/>
      <c r="J35361" s="711"/>
      <c r="K35361" s="711"/>
      <c r="L35361" s="711"/>
      <c r="Q35361" s="11"/>
      <c r="R35361" s="11"/>
      <c r="S35361" s="11"/>
      <c r="T35361" s="11"/>
    </row>
    <row r="35362" spans="8:20" x14ac:dyDescent="0.35">
      <c r="H35362" s="711"/>
      <c r="I35362" s="711"/>
      <c r="J35362" s="711"/>
      <c r="K35362" s="711"/>
      <c r="L35362" s="711"/>
      <c r="Q35362" s="11"/>
      <c r="R35362" s="11"/>
      <c r="S35362" s="11"/>
      <c r="T35362" s="11"/>
    </row>
    <row r="35363" spans="8:20" x14ac:dyDescent="0.35">
      <c r="H35363" s="711"/>
      <c r="I35363" s="711"/>
      <c r="J35363" s="711"/>
      <c r="K35363" s="711"/>
      <c r="L35363" s="711"/>
      <c r="Q35363" s="11"/>
      <c r="R35363" s="11"/>
      <c r="S35363" s="11"/>
      <c r="T35363" s="11"/>
    </row>
    <row r="35364" spans="8:20" x14ac:dyDescent="0.35">
      <c r="H35364" s="711"/>
      <c r="I35364" s="711"/>
      <c r="J35364" s="711"/>
      <c r="K35364" s="711"/>
      <c r="L35364" s="711"/>
      <c r="Q35364" s="11"/>
      <c r="R35364" s="11"/>
      <c r="S35364" s="11"/>
      <c r="T35364" s="11"/>
    </row>
    <row r="35365" spans="8:20" x14ac:dyDescent="0.35">
      <c r="H35365" s="711"/>
      <c r="I35365" s="711"/>
      <c r="J35365" s="711"/>
      <c r="K35365" s="711"/>
      <c r="L35365" s="711"/>
      <c r="Q35365" s="11"/>
      <c r="R35365" s="11"/>
      <c r="S35365" s="11"/>
      <c r="T35365" s="11"/>
    </row>
    <row r="35366" spans="8:20" x14ac:dyDescent="0.35">
      <c r="H35366" s="711"/>
      <c r="I35366" s="711"/>
      <c r="J35366" s="711"/>
      <c r="K35366" s="711"/>
      <c r="L35366" s="711"/>
      <c r="Q35366" s="11"/>
      <c r="R35366" s="11"/>
      <c r="S35366" s="11"/>
      <c r="T35366" s="11"/>
    </row>
    <row r="35367" spans="8:20" x14ac:dyDescent="0.35">
      <c r="H35367" s="711"/>
      <c r="I35367" s="711"/>
      <c r="J35367" s="711"/>
      <c r="K35367" s="711"/>
      <c r="L35367" s="711"/>
      <c r="Q35367" s="11"/>
      <c r="R35367" s="11"/>
      <c r="S35367" s="11"/>
      <c r="T35367" s="11"/>
    </row>
    <row r="35368" spans="8:20" x14ac:dyDescent="0.35">
      <c r="H35368" s="711"/>
      <c r="I35368" s="711"/>
      <c r="J35368" s="711"/>
      <c r="K35368" s="711"/>
      <c r="L35368" s="711"/>
      <c r="Q35368" s="11"/>
      <c r="R35368" s="11"/>
      <c r="S35368" s="11"/>
      <c r="T35368" s="11"/>
    </row>
    <row r="35369" spans="8:20" x14ac:dyDescent="0.35">
      <c r="H35369" s="711"/>
      <c r="I35369" s="711"/>
      <c r="J35369" s="711"/>
      <c r="K35369" s="711"/>
      <c r="L35369" s="711"/>
      <c r="Q35369" s="11"/>
      <c r="R35369" s="11"/>
      <c r="S35369" s="11"/>
      <c r="T35369" s="11"/>
    </row>
    <row r="35370" spans="8:20" x14ac:dyDescent="0.35">
      <c r="H35370" s="711"/>
      <c r="I35370" s="711"/>
      <c r="J35370" s="711"/>
      <c r="K35370" s="711"/>
      <c r="L35370" s="711"/>
      <c r="Q35370" s="11"/>
      <c r="R35370" s="11"/>
      <c r="S35370" s="11"/>
      <c r="T35370" s="11"/>
    </row>
    <row r="35371" spans="8:20" x14ac:dyDescent="0.35">
      <c r="H35371" s="711"/>
      <c r="I35371" s="711"/>
      <c r="J35371" s="711"/>
      <c r="K35371" s="711"/>
      <c r="L35371" s="711"/>
      <c r="Q35371" s="11"/>
      <c r="R35371" s="11"/>
      <c r="S35371" s="11"/>
      <c r="T35371" s="11"/>
    </row>
    <row r="35372" spans="8:20" x14ac:dyDescent="0.35">
      <c r="H35372" s="711"/>
      <c r="I35372" s="711"/>
      <c r="J35372" s="711"/>
      <c r="K35372" s="711"/>
      <c r="L35372" s="711"/>
      <c r="Q35372" s="11"/>
      <c r="R35372" s="11"/>
      <c r="S35372" s="11"/>
      <c r="T35372" s="11"/>
    </row>
    <row r="35373" spans="8:20" x14ac:dyDescent="0.35">
      <c r="H35373" s="711"/>
      <c r="I35373" s="711"/>
      <c r="J35373" s="711"/>
      <c r="K35373" s="711"/>
      <c r="L35373" s="711"/>
      <c r="Q35373" s="11"/>
      <c r="R35373" s="11"/>
      <c r="S35373" s="11"/>
      <c r="T35373" s="11"/>
    </row>
    <row r="35374" spans="8:20" x14ac:dyDescent="0.35">
      <c r="H35374" s="711"/>
      <c r="I35374" s="711"/>
      <c r="J35374" s="711"/>
      <c r="K35374" s="711"/>
      <c r="L35374" s="711"/>
      <c r="Q35374" s="11"/>
      <c r="R35374" s="11"/>
      <c r="S35374" s="11"/>
      <c r="T35374" s="11"/>
    </row>
    <row r="35375" spans="8:20" x14ac:dyDescent="0.35">
      <c r="H35375" s="711"/>
      <c r="I35375" s="711"/>
      <c r="J35375" s="711"/>
      <c r="K35375" s="711"/>
      <c r="L35375" s="711"/>
      <c r="Q35375" s="11"/>
      <c r="R35375" s="11"/>
      <c r="S35375" s="11"/>
      <c r="T35375" s="11"/>
    </row>
    <row r="35376" spans="8:20" x14ac:dyDescent="0.35">
      <c r="H35376" s="711"/>
      <c r="I35376" s="711"/>
      <c r="J35376" s="711"/>
      <c r="K35376" s="711"/>
      <c r="L35376" s="711"/>
      <c r="Q35376" s="11"/>
      <c r="R35376" s="11"/>
      <c r="S35376" s="11"/>
      <c r="T35376" s="11"/>
    </row>
    <row r="35377" spans="8:20" x14ac:dyDescent="0.35">
      <c r="H35377" s="711"/>
      <c r="I35377" s="711"/>
      <c r="J35377" s="711"/>
      <c r="K35377" s="711"/>
      <c r="L35377" s="711"/>
      <c r="Q35377" s="11"/>
      <c r="R35377" s="11"/>
      <c r="S35377" s="11"/>
      <c r="T35377" s="11"/>
    </row>
    <row r="35378" spans="8:20" x14ac:dyDescent="0.35">
      <c r="H35378" s="711"/>
      <c r="I35378" s="711"/>
      <c r="J35378" s="711"/>
      <c r="K35378" s="711"/>
      <c r="L35378" s="711"/>
      <c r="Q35378" s="11"/>
      <c r="R35378" s="11"/>
      <c r="S35378" s="11"/>
      <c r="T35378" s="11"/>
    </row>
    <row r="35379" spans="8:20" x14ac:dyDescent="0.35">
      <c r="H35379" s="711"/>
      <c r="I35379" s="711"/>
      <c r="J35379" s="711"/>
      <c r="K35379" s="711"/>
      <c r="L35379" s="711"/>
      <c r="Q35379" s="11"/>
      <c r="R35379" s="11"/>
      <c r="S35379" s="11"/>
      <c r="T35379" s="11"/>
    </row>
    <row r="35380" spans="8:20" x14ac:dyDescent="0.35">
      <c r="H35380" s="711"/>
      <c r="I35380" s="711"/>
      <c r="J35380" s="711"/>
      <c r="K35380" s="711"/>
      <c r="L35380" s="711"/>
      <c r="Q35380" s="11"/>
      <c r="R35380" s="11"/>
      <c r="S35380" s="11"/>
      <c r="T35380" s="11"/>
    </row>
    <row r="35381" spans="8:20" x14ac:dyDescent="0.35">
      <c r="H35381" s="711"/>
      <c r="I35381" s="711"/>
      <c r="J35381" s="711"/>
      <c r="K35381" s="711"/>
      <c r="L35381" s="711"/>
      <c r="Q35381" s="11"/>
      <c r="R35381" s="11"/>
      <c r="S35381" s="11"/>
      <c r="T35381" s="11"/>
    </row>
    <row r="35382" spans="8:20" x14ac:dyDescent="0.35">
      <c r="H35382" s="711"/>
      <c r="I35382" s="711"/>
      <c r="J35382" s="711"/>
      <c r="K35382" s="711"/>
      <c r="L35382" s="711"/>
      <c r="Q35382" s="11"/>
      <c r="R35382" s="11"/>
      <c r="S35382" s="11"/>
      <c r="T35382" s="11"/>
    </row>
    <row r="35383" spans="8:20" x14ac:dyDescent="0.35">
      <c r="H35383" s="711"/>
      <c r="I35383" s="711"/>
      <c r="J35383" s="711"/>
      <c r="K35383" s="711"/>
      <c r="L35383" s="711"/>
      <c r="Q35383" s="11"/>
      <c r="R35383" s="11"/>
      <c r="S35383" s="11"/>
      <c r="T35383" s="11"/>
    </row>
    <row r="35384" spans="8:20" x14ac:dyDescent="0.35">
      <c r="H35384" s="711"/>
      <c r="I35384" s="711"/>
      <c r="J35384" s="711"/>
      <c r="K35384" s="711"/>
      <c r="L35384" s="711"/>
      <c r="Q35384" s="11"/>
      <c r="R35384" s="11"/>
      <c r="S35384" s="11"/>
      <c r="T35384" s="11"/>
    </row>
    <row r="35385" spans="8:20" x14ac:dyDescent="0.35">
      <c r="H35385" s="711"/>
      <c r="I35385" s="711"/>
      <c r="J35385" s="711"/>
      <c r="K35385" s="711"/>
      <c r="L35385" s="711"/>
      <c r="Q35385" s="11"/>
      <c r="R35385" s="11"/>
      <c r="S35385" s="11"/>
      <c r="T35385" s="11"/>
    </row>
    <row r="35386" spans="8:20" x14ac:dyDescent="0.35">
      <c r="H35386" s="711"/>
      <c r="I35386" s="711"/>
      <c r="J35386" s="711"/>
      <c r="K35386" s="711"/>
      <c r="L35386" s="711"/>
      <c r="Q35386" s="11"/>
      <c r="R35386" s="11"/>
      <c r="S35386" s="11"/>
      <c r="T35386" s="11"/>
    </row>
    <row r="35387" spans="8:20" x14ac:dyDescent="0.35">
      <c r="H35387" s="711"/>
      <c r="I35387" s="711"/>
      <c r="J35387" s="711"/>
      <c r="K35387" s="711"/>
      <c r="L35387" s="711"/>
      <c r="Q35387" s="11"/>
      <c r="R35387" s="11"/>
      <c r="S35387" s="11"/>
      <c r="T35387" s="11"/>
    </row>
    <row r="35388" spans="8:20" x14ac:dyDescent="0.35">
      <c r="H35388" s="711"/>
      <c r="I35388" s="711"/>
      <c r="J35388" s="711"/>
      <c r="K35388" s="711"/>
      <c r="L35388" s="711"/>
      <c r="Q35388" s="11"/>
      <c r="R35388" s="11"/>
      <c r="S35388" s="11"/>
      <c r="T35388" s="11"/>
    </row>
    <row r="35389" spans="8:20" x14ac:dyDescent="0.35">
      <c r="H35389" s="711"/>
      <c r="I35389" s="711"/>
      <c r="J35389" s="711"/>
      <c r="K35389" s="711"/>
      <c r="L35389" s="711"/>
      <c r="Q35389" s="11"/>
      <c r="R35389" s="11"/>
      <c r="S35389" s="11"/>
      <c r="T35389" s="11"/>
    </row>
    <row r="35390" spans="8:20" x14ac:dyDescent="0.35">
      <c r="H35390" s="711"/>
      <c r="I35390" s="711"/>
      <c r="J35390" s="711"/>
      <c r="K35390" s="711"/>
      <c r="L35390" s="711"/>
      <c r="Q35390" s="11"/>
      <c r="R35390" s="11"/>
      <c r="S35390" s="11"/>
      <c r="T35390" s="11"/>
    </row>
    <row r="35391" spans="8:20" x14ac:dyDescent="0.35">
      <c r="H35391" s="711"/>
      <c r="I35391" s="711"/>
      <c r="J35391" s="711"/>
      <c r="K35391" s="711"/>
      <c r="L35391" s="711"/>
      <c r="Q35391" s="11"/>
      <c r="R35391" s="11"/>
      <c r="S35391" s="11"/>
      <c r="T35391" s="11"/>
    </row>
    <row r="35392" spans="8:20" x14ac:dyDescent="0.35">
      <c r="H35392" s="711"/>
      <c r="I35392" s="711"/>
      <c r="J35392" s="711"/>
      <c r="K35392" s="711"/>
      <c r="L35392" s="711"/>
      <c r="Q35392" s="11"/>
      <c r="R35392" s="11"/>
      <c r="S35392" s="11"/>
      <c r="T35392" s="11"/>
    </row>
    <row r="35393" spans="8:20" x14ac:dyDescent="0.35">
      <c r="H35393" s="711"/>
      <c r="I35393" s="711"/>
      <c r="J35393" s="711"/>
      <c r="K35393" s="711"/>
      <c r="L35393" s="711"/>
      <c r="Q35393" s="11"/>
      <c r="R35393" s="11"/>
      <c r="S35393" s="11"/>
      <c r="T35393" s="11"/>
    </row>
    <row r="35394" spans="8:20" x14ac:dyDescent="0.35">
      <c r="H35394" s="711"/>
      <c r="I35394" s="711"/>
      <c r="J35394" s="711"/>
      <c r="K35394" s="711"/>
      <c r="L35394" s="711"/>
      <c r="Q35394" s="11"/>
      <c r="R35394" s="11"/>
      <c r="S35394" s="11"/>
      <c r="T35394" s="11"/>
    </row>
    <row r="35395" spans="8:20" x14ac:dyDescent="0.35">
      <c r="H35395" s="711"/>
      <c r="I35395" s="711"/>
      <c r="J35395" s="711"/>
      <c r="K35395" s="711"/>
      <c r="L35395" s="711"/>
      <c r="Q35395" s="11"/>
      <c r="R35395" s="11"/>
      <c r="S35395" s="11"/>
      <c r="T35395" s="11"/>
    </row>
    <row r="35396" spans="8:20" x14ac:dyDescent="0.35">
      <c r="H35396" s="711"/>
      <c r="I35396" s="711"/>
      <c r="J35396" s="711"/>
      <c r="K35396" s="711"/>
      <c r="L35396" s="711"/>
      <c r="Q35396" s="11"/>
      <c r="R35396" s="11"/>
      <c r="S35396" s="11"/>
      <c r="T35396" s="11"/>
    </row>
    <row r="35397" spans="8:20" x14ac:dyDescent="0.35">
      <c r="H35397" s="711"/>
      <c r="I35397" s="711"/>
      <c r="J35397" s="711"/>
      <c r="K35397" s="711"/>
      <c r="L35397" s="711"/>
      <c r="Q35397" s="11"/>
      <c r="R35397" s="11"/>
      <c r="S35397" s="11"/>
      <c r="T35397" s="11"/>
    </row>
    <row r="35398" spans="8:20" x14ac:dyDescent="0.35">
      <c r="H35398" s="711"/>
      <c r="I35398" s="711"/>
      <c r="J35398" s="711"/>
      <c r="K35398" s="711"/>
      <c r="L35398" s="711"/>
      <c r="Q35398" s="11"/>
      <c r="R35398" s="11"/>
      <c r="S35398" s="11"/>
      <c r="T35398" s="11"/>
    </row>
    <row r="35399" spans="8:20" x14ac:dyDescent="0.35">
      <c r="H35399" s="711"/>
      <c r="I35399" s="711"/>
      <c r="J35399" s="711"/>
      <c r="K35399" s="711"/>
      <c r="L35399" s="711"/>
      <c r="Q35399" s="11"/>
      <c r="R35399" s="11"/>
      <c r="S35399" s="11"/>
      <c r="T35399" s="11"/>
    </row>
    <row r="35400" spans="8:20" x14ac:dyDescent="0.35">
      <c r="H35400" s="711"/>
      <c r="I35400" s="711"/>
      <c r="J35400" s="711"/>
      <c r="K35400" s="711"/>
      <c r="L35400" s="711"/>
      <c r="Q35400" s="11"/>
      <c r="R35400" s="11"/>
      <c r="S35400" s="11"/>
      <c r="T35400" s="11"/>
    </row>
    <row r="35401" spans="8:20" x14ac:dyDescent="0.35">
      <c r="H35401" s="711"/>
      <c r="I35401" s="711"/>
      <c r="J35401" s="711"/>
      <c r="K35401" s="711"/>
      <c r="L35401" s="711"/>
      <c r="Q35401" s="11"/>
      <c r="R35401" s="11"/>
      <c r="S35401" s="11"/>
      <c r="T35401" s="11"/>
    </row>
    <row r="35402" spans="8:20" x14ac:dyDescent="0.35">
      <c r="H35402" s="711"/>
      <c r="I35402" s="711"/>
      <c r="J35402" s="711"/>
      <c r="K35402" s="711"/>
      <c r="L35402" s="711"/>
      <c r="Q35402" s="11"/>
      <c r="R35402" s="11"/>
      <c r="S35402" s="11"/>
      <c r="T35402" s="11"/>
    </row>
    <row r="35403" spans="8:20" x14ac:dyDescent="0.35">
      <c r="H35403" s="711"/>
      <c r="I35403" s="711"/>
      <c r="J35403" s="711"/>
      <c r="K35403" s="711"/>
      <c r="L35403" s="711"/>
      <c r="Q35403" s="11"/>
      <c r="R35403" s="11"/>
      <c r="S35403" s="11"/>
      <c r="T35403" s="11"/>
    </row>
    <row r="35404" spans="8:20" x14ac:dyDescent="0.35">
      <c r="H35404" s="711"/>
      <c r="I35404" s="711"/>
      <c r="J35404" s="711"/>
      <c r="K35404" s="711"/>
      <c r="L35404" s="711"/>
      <c r="Q35404" s="11"/>
      <c r="R35404" s="11"/>
      <c r="S35404" s="11"/>
      <c r="T35404" s="11"/>
    </row>
    <row r="35405" spans="8:20" x14ac:dyDescent="0.35">
      <c r="H35405" s="711"/>
      <c r="I35405" s="711"/>
      <c r="J35405" s="711"/>
      <c r="K35405" s="711"/>
      <c r="L35405" s="711"/>
      <c r="Q35405" s="11"/>
      <c r="R35405" s="11"/>
      <c r="S35405" s="11"/>
      <c r="T35405" s="11"/>
    </row>
    <row r="35406" spans="8:20" x14ac:dyDescent="0.35">
      <c r="H35406" s="711"/>
      <c r="I35406" s="711"/>
      <c r="J35406" s="711"/>
      <c r="K35406" s="711"/>
      <c r="L35406" s="711"/>
      <c r="Q35406" s="11"/>
      <c r="R35406" s="11"/>
      <c r="S35406" s="11"/>
      <c r="T35406" s="11"/>
    </row>
    <row r="35407" spans="8:20" x14ac:dyDescent="0.35">
      <c r="H35407" s="711"/>
      <c r="I35407" s="711"/>
      <c r="J35407" s="711"/>
      <c r="K35407" s="711"/>
      <c r="L35407" s="711"/>
      <c r="Q35407" s="11"/>
      <c r="R35407" s="11"/>
      <c r="S35407" s="11"/>
      <c r="T35407" s="11"/>
    </row>
    <row r="35408" spans="8:20" x14ac:dyDescent="0.35">
      <c r="H35408" s="711"/>
      <c r="I35408" s="711"/>
      <c r="J35408" s="711"/>
      <c r="K35408" s="711"/>
      <c r="L35408" s="711"/>
      <c r="Q35408" s="11"/>
      <c r="R35408" s="11"/>
      <c r="S35408" s="11"/>
      <c r="T35408" s="11"/>
    </row>
    <row r="35409" spans="8:20" x14ac:dyDescent="0.35">
      <c r="H35409" s="711"/>
      <c r="I35409" s="711"/>
      <c r="J35409" s="711"/>
      <c r="K35409" s="711"/>
      <c r="L35409" s="711"/>
      <c r="Q35409" s="11"/>
      <c r="R35409" s="11"/>
      <c r="S35409" s="11"/>
      <c r="T35409" s="11"/>
    </row>
    <row r="35410" spans="8:20" x14ac:dyDescent="0.35">
      <c r="H35410" s="711"/>
      <c r="I35410" s="711"/>
      <c r="J35410" s="711"/>
      <c r="K35410" s="711"/>
      <c r="L35410" s="711"/>
      <c r="Q35410" s="11"/>
      <c r="R35410" s="11"/>
      <c r="S35410" s="11"/>
      <c r="T35410" s="11"/>
    </row>
    <row r="35411" spans="8:20" x14ac:dyDescent="0.35">
      <c r="H35411" s="711"/>
      <c r="I35411" s="711"/>
      <c r="J35411" s="711"/>
      <c r="K35411" s="711"/>
      <c r="L35411" s="711"/>
      <c r="Q35411" s="11"/>
      <c r="R35411" s="11"/>
      <c r="S35411" s="11"/>
      <c r="T35411" s="11"/>
    </row>
    <row r="35412" spans="8:20" x14ac:dyDescent="0.35">
      <c r="H35412" s="711"/>
      <c r="I35412" s="711"/>
      <c r="J35412" s="711"/>
      <c r="K35412" s="711"/>
      <c r="L35412" s="711"/>
      <c r="Q35412" s="11"/>
      <c r="R35412" s="11"/>
      <c r="S35412" s="11"/>
      <c r="T35412" s="11"/>
    </row>
    <row r="35413" spans="8:20" x14ac:dyDescent="0.35">
      <c r="H35413" s="711"/>
      <c r="I35413" s="711"/>
      <c r="J35413" s="711"/>
      <c r="K35413" s="711"/>
      <c r="L35413" s="711"/>
      <c r="Q35413" s="11"/>
      <c r="R35413" s="11"/>
      <c r="S35413" s="11"/>
      <c r="T35413" s="11"/>
    </row>
    <row r="35414" spans="8:20" x14ac:dyDescent="0.35">
      <c r="H35414" s="711"/>
      <c r="I35414" s="711"/>
      <c r="J35414" s="711"/>
      <c r="K35414" s="711"/>
      <c r="L35414" s="711"/>
      <c r="Q35414" s="11"/>
      <c r="R35414" s="11"/>
      <c r="S35414" s="11"/>
      <c r="T35414" s="11"/>
    </row>
    <row r="35415" spans="8:20" x14ac:dyDescent="0.35">
      <c r="H35415" s="711"/>
      <c r="I35415" s="711"/>
      <c r="J35415" s="711"/>
      <c r="K35415" s="711"/>
      <c r="L35415" s="711"/>
      <c r="Q35415" s="11"/>
      <c r="R35415" s="11"/>
      <c r="S35415" s="11"/>
      <c r="T35415" s="11"/>
    </row>
    <row r="35416" spans="8:20" x14ac:dyDescent="0.35">
      <c r="H35416" s="711"/>
      <c r="I35416" s="711"/>
      <c r="J35416" s="711"/>
      <c r="K35416" s="711"/>
      <c r="L35416" s="711"/>
      <c r="Q35416" s="11"/>
      <c r="R35416" s="11"/>
      <c r="S35416" s="11"/>
      <c r="T35416" s="11"/>
    </row>
    <row r="35417" spans="8:20" x14ac:dyDescent="0.35">
      <c r="H35417" s="711"/>
      <c r="I35417" s="711"/>
      <c r="J35417" s="711"/>
      <c r="K35417" s="711"/>
      <c r="L35417" s="711"/>
      <c r="Q35417" s="11"/>
      <c r="R35417" s="11"/>
      <c r="S35417" s="11"/>
      <c r="T35417" s="11"/>
    </row>
    <row r="35418" spans="8:20" x14ac:dyDescent="0.35">
      <c r="H35418" s="711"/>
      <c r="I35418" s="711"/>
      <c r="J35418" s="711"/>
      <c r="K35418" s="711"/>
      <c r="L35418" s="711"/>
      <c r="Q35418" s="11"/>
      <c r="R35418" s="11"/>
      <c r="S35418" s="11"/>
      <c r="T35418" s="11"/>
    </row>
    <row r="35419" spans="8:20" x14ac:dyDescent="0.35">
      <c r="H35419" s="711"/>
      <c r="I35419" s="711"/>
      <c r="J35419" s="711"/>
      <c r="K35419" s="711"/>
      <c r="L35419" s="711"/>
      <c r="Q35419" s="11"/>
      <c r="R35419" s="11"/>
      <c r="S35419" s="11"/>
      <c r="T35419" s="11"/>
    </row>
    <row r="35420" spans="8:20" x14ac:dyDescent="0.35">
      <c r="H35420" s="711"/>
      <c r="I35420" s="711"/>
      <c r="J35420" s="711"/>
      <c r="K35420" s="711"/>
      <c r="L35420" s="711"/>
      <c r="Q35420" s="11"/>
      <c r="R35420" s="11"/>
      <c r="S35420" s="11"/>
      <c r="T35420" s="11"/>
    </row>
    <row r="35421" spans="8:20" x14ac:dyDescent="0.35">
      <c r="H35421" s="711"/>
      <c r="I35421" s="711"/>
      <c r="J35421" s="711"/>
      <c r="K35421" s="711"/>
      <c r="L35421" s="711"/>
      <c r="Q35421" s="11"/>
      <c r="R35421" s="11"/>
      <c r="S35421" s="11"/>
      <c r="T35421" s="11"/>
    </row>
    <row r="35422" spans="8:20" x14ac:dyDescent="0.35">
      <c r="H35422" s="711"/>
      <c r="I35422" s="711"/>
      <c r="J35422" s="711"/>
      <c r="K35422" s="711"/>
      <c r="L35422" s="711"/>
      <c r="Q35422" s="11"/>
      <c r="R35422" s="11"/>
      <c r="S35422" s="11"/>
      <c r="T35422" s="11"/>
    </row>
    <row r="35423" spans="8:20" x14ac:dyDescent="0.35">
      <c r="H35423" s="711"/>
      <c r="I35423" s="711"/>
      <c r="J35423" s="711"/>
      <c r="K35423" s="711"/>
      <c r="L35423" s="711"/>
      <c r="Q35423" s="11"/>
      <c r="R35423" s="11"/>
      <c r="S35423" s="11"/>
      <c r="T35423" s="11"/>
    </row>
    <row r="35424" spans="8:20" x14ac:dyDescent="0.35">
      <c r="H35424" s="711"/>
      <c r="I35424" s="711"/>
      <c r="J35424" s="711"/>
      <c r="K35424" s="711"/>
      <c r="L35424" s="711"/>
      <c r="Q35424" s="11"/>
      <c r="R35424" s="11"/>
      <c r="S35424" s="11"/>
      <c r="T35424" s="11"/>
    </row>
    <row r="35425" spans="8:20" x14ac:dyDescent="0.35">
      <c r="H35425" s="711"/>
      <c r="I35425" s="711"/>
      <c r="J35425" s="711"/>
      <c r="K35425" s="711"/>
      <c r="L35425" s="711"/>
      <c r="Q35425" s="11"/>
      <c r="R35425" s="11"/>
      <c r="S35425" s="11"/>
      <c r="T35425" s="11"/>
    </row>
    <row r="35426" spans="8:20" x14ac:dyDescent="0.35">
      <c r="H35426" s="711"/>
      <c r="I35426" s="711"/>
      <c r="J35426" s="711"/>
      <c r="K35426" s="711"/>
      <c r="L35426" s="711"/>
      <c r="Q35426" s="11"/>
      <c r="R35426" s="11"/>
      <c r="S35426" s="11"/>
      <c r="T35426" s="11"/>
    </row>
    <row r="35427" spans="8:20" x14ac:dyDescent="0.35">
      <c r="H35427" s="711"/>
      <c r="I35427" s="711"/>
      <c r="J35427" s="711"/>
      <c r="K35427" s="711"/>
      <c r="L35427" s="711"/>
      <c r="Q35427" s="11"/>
      <c r="R35427" s="11"/>
      <c r="S35427" s="11"/>
      <c r="T35427" s="11"/>
    </row>
    <row r="35428" spans="8:20" x14ac:dyDescent="0.35">
      <c r="H35428" s="711"/>
      <c r="I35428" s="711"/>
      <c r="J35428" s="711"/>
      <c r="K35428" s="711"/>
      <c r="L35428" s="711"/>
      <c r="Q35428" s="11"/>
      <c r="R35428" s="11"/>
      <c r="S35428" s="11"/>
      <c r="T35428" s="11"/>
    </row>
    <row r="35429" spans="8:20" x14ac:dyDescent="0.35">
      <c r="H35429" s="711"/>
      <c r="I35429" s="711"/>
      <c r="J35429" s="711"/>
      <c r="K35429" s="711"/>
      <c r="L35429" s="711"/>
      <c r="Q35429" s="11"/>
      <c r="R35429" s="11"/>
      <c r="S35429" s="11"/>
      <c r="T35429" s="11"/>
    </row>
    <row r="35430" spans="8:20" x14ac:dyDescent="0.35">
      <c r="H35430" s="711"/>
      <c r="I35430" s="711"/>
      <c r="J35430" s="711"/>
      <c r="K35430" s="711"/>
      <c r="L35430" s="711"/>
      <c r="Q35430" s="11"/>
      <c r="R35430" s="11"/>
      <c r="S35430" s="11"/>
      <c r="T35430" s="11"/>
    </row>
    <row r="35431" spans="8:20" x14ac:dyDescent="0.35">
      <c r="H35431" s="711"/>
      <c r="I35431" s="711"/>
      <c r="J35431" s="711"/>
      <c r="K35431" s="711"/>
      <c r="L35431" s="711"/>
      <c r="Q35431" s="11"/>
      <c r="R35431" s="11"/>
      <c r="S35431" s="11"/>
      <c r="T35431" s="11"/>
    </row>
    <row r="35432" spans="8:20" x14ac:dyDescent="0.35">
      <c r="H35432" s="711"/>
      <c r="I35432" s="711"/>
      <c r="J35432" s="711"/>
      <c r="K35432" s="711"/>
      <c r="L35432" s="711"/>
      <c r="Q35432" s="11"/>
      <c r="R35432" s="11"/>
      <c r="S35432" s="11"/>
      <c r="T35432" s="11"/>
    </row>
    <row r="35433" spans="8:20" x14ac:dyDescent="0.35">
      <c r="H35433" s="711"/>
      <c r="I35433" s="711"/>
      <c r="J35433" s="711"/>
      <c r="K35433" s="711"/>
      <c r="L35433" s="711"/>
      <c r="Q35433" s="11"/>
      <c r="R35433" s="11"/>
      <c r="S35433" s="11"/>
      <c r="T35433" s="11"/>
    </row>
    <row r="35434" spans="8:20" x14ac:dyDescent="0.35">
      <c r="H35434" s="711"/>
      <c r="I35434" s="711"/>
      <c r="J35434" s="711"/>
      <c r="K35434" s="711"/>
      <c r="L35434" s="711"/>
      <c r="Q35434" s="11"/>
      <c r="R35434" s="11"/>
      <c r="S35434" s="11"/>
      <c r="T35434" s="11"/>
    </row>
    <row r="35435" spans="8:20" x14ac:dyDescent="0.35">
      <c r="H35435" s="711"/>
      <c r="I35435" s="711"/>
      <c r="J35435" s="711"/>
      <c r="K35435" s="711"/>
      <c r="L35435" s="711"/>
      <c r="Q35435" s="11"/>
      <c r="R35435" s="11"/>
      <c r="S35435" s="11"/>
      <c r="T35435" s="11"/>
    </row>
    <row r="35436" spans="8:20" x14ac:dyDescent="0.35">
      <c r="H35436" s="711"/>
      <c r="I35436" s="711"/>
      <c r="J35436" s="711"/>
      <c r="K35436" s="711"/>
      <c r="L35436" s="711"/>
      <c r="Q35436" s="11"/>
      <c r="R35436" s="11"/>
      <c r="S35436" s="11"/>
      <c r="T35436" s="11"/>
    </row>
    <row r="35437" spans="8:20" x14ac:dyDescent="0.35">
      <c r="H35437" s="711"/>
      <c r="I35437" s="711"/>
      <c r="J35437" s="711"/>
      <c r="K35437" s="711"/>
      <c r="L35437" s="711"/>
      <c r="Q35437" s="11"/>
      <c r="R35437" s="11"/>
      <c r="S35437" s="11"/>
      <c r="T35437" s="11"/>
    </row>
    <row r="35438" spans="8:20" x14ac:dyDescent="0.35">
      <c r="H35438" s="711"/>
      <c r="I35438" s="711"/>
      <c r="J35438" s="711"/>
      <c r="K35438" s="711"/>
      <c r="L35438" s="711"/>
      <c r="Q35438" s="11"/>
      <c r="R35438" s="11"/>
      <c r="S35438" s="11"/>
      <c r="T35438" s="11"/>
    </row>
    <row r="35439" spans="8:20" x14ac:dyDescent="0.35">
      <c r="H35439" s="711"/>
      <c r="I35439" s="711"/>
      <c r="J35439" s="711"/>
      <c r="K35439" s="711"/>
      <c r="L35439" s="711"/>
      <c r="Q35439" s="11"/>
      <c r="R35439" s="11"/>
      <c r="S35439" s="11"/>
      <c r="T35439" s="11"/>
    </row>
    <row r="35440" spans="8:20" x14ac:dyDescent="0.35">
      <c r="H35440" s="711"/>
      <c r="I35440" s="711"/>
      <c r="J35440" s="711"/>
      <c r="K35440" s="711"/>
      <c r="L35440" s="711"/>
      <c r="Q35440" s="11"/>
      <c r="R35440" s="11"/>
      <c r="S35440" s="11"/>
      <c r="T35440" s="11"/>
    </row>
    <row r="35441" spans="8:20" x14ac:dyDescent="0.35">
      <c r="H35441" s="711"/>
      <c r="I35441" s="711"/>
      <c r="J35441" s="711"/>
      <c r="K35441" s="711"/>
      <c r="L35441" s="711"/>
      <c r="Q35441" s="11"/>
      <c r="R35441" s="11"/>
      <c r="S35441" s="11"/>
      <c r="T35441" s="11"/>
    </row>
    <row r="35442" spans="8:20" x14ac:dyDescent="0.35">
      <c r="H35442" s="711"/>
      <c r="I35442" s="711"/>
      <c r="J35442" s="711"/>
      <c r="K35442" s="711"/>
      <c r="L35442" s="711"/>
      <c r="Q35442" s="11"/>
      <c r="R35442" s="11"/>
      <c r="S35442" s="11"/>
      <c r="T35442" s="11"/>
    </row>
    <row r="35443" spans="8:20" x14ac:dyDescent="0.35">
      <c r="H35443" s="711"/>
      <c r="I35443" s="711"/>
      <c r="J35443" s="711"/>
      <c r="K35443" s="711"/>
      <c r="L35443" s="711"/>
      <c r="Q35443" s="11"/>
      <c r="R35443" s="11"/>
      <c r="S35443" s="11"/>
      <c r="T35443" s="11"/>
    </row>
    <row r="35444" spans="8:20" x14ac:dyDescent="0.35">
      <c r="H35444" s="711"/>
      <c r="I35444" s="711"/>
      <c r="J35444" s="711"/>
      <c r="K35444" s="711"/>
      <c r="L35444" s="711"/>
      <c r="Q35444" s="11"/>
      <c r="R35444" s="11"/>
      <c r="S35444" s="11"/>
      <c r="T35444" s="11"/>
    </row>
    <row r="35445" spans="8:20" x14ac:dyDescent="0.35">
      <c r="H35445" s="711"/>
      <c r="I35445" s="711"/>
      <c r="J35445" s="711"/>
      <c r="K35445" s="711"/>
      <c r="L35445" s="711"/>
      <c r="Q35445" s="11"/>
      <c r="R35445" s="11"/>
      <c r="S35445" s="11"/>
      <c r="T35445" s="11"/>
    </row>
    <row r="35446" spans="8:20" x14ac:dyDescent="0.35">
      <c r="H35446" s="711"/>
      <c r="I35446" s="711"/>
      <c r="J35446" s="711"/>
      <c r="K35446" s="711"/>
      <c r="L35446" s="711"/>
      <c r="Q35446" s="11"/>
      <c r="R35446" s="11"/>
      <c r="S35446" s="11"/>
      <c r="T35446" s="11"/>
    </row>
    <row r="35447" spans="8:20" x14ac:dyDescent="0.35">
      <c r="H35447" s="711"/>
      <c r="I35447" s="711"/>
      <c r="J35447" s="711"/>
      <c r="K35447" s="711"/>
      <c r="L35447" s="711"/>
      <c r="Q35447" s="11"/>
      <c r="R35447" s="11"/>
      <c r="S35447" s="11"/>
      <c r="T35447" s="11"/>
    </row>
    <row r="35448" spans="8:20" x14ac:dyDescent="0.35">
      <c r="H35448" s="711"/>
      <c r="I35448" s="711"/>
      <c r="J35448" s="711"/>
      <c r="K35448" s="711"/>
      <c r="L35448" s="711"/>
      <c r="Q35448" s="11"/>
      <c r="R35448" s="11"/>
      <c r="S35448" s="11"/>
      <c r="T35448" s="11"/>
    </row>
    <row r="35449" spans="8:20" x14ac:dyDescent="0.35">
      <c r="H35449" s="711"/>
      <c r="I35449" s="711"/>
      <c r="J35449" s="711"/>
      <c r="K35449" s="711"/>
      <c r="L35449" s="711"/>
      <c r="Q35449" s="11"/>
      <c r="R35449" s="11"/>
      <c r="S35449" s="11"/>
      <c r="T35449" s="11"/>
    </row>
    <row r="35450" spans="8:20" x14ac:dyDescent="0.35">
      <c r="H35450" s="711"/>
      <c r="I35450" s="711"/>
      <c r="J35450" s="711"/>
      <c r="K35450" s="711"/>
      <c r="L35450" s="711"/>
      <c r="Q35450" s="11"/>
      <c r="R35450" s="11"/>
      <c r="S35450" s="11"/>
      <c r="T35450" s="11"/>
    </row>
    <row r="35451" spans="8:20" x14ac:dyDescent="0.35">
      <c r="H35451" s="711"/>
      <c r="I35451" s="711"/>
      <c r="J35451" s="711"/>
      <c r="K35451" s="711"/>
      <c r="L35451" s="711"/>
      <c r="Q35451" s="11"/>
      <c r="R35451" s="11"/>
      <c r="S35451" s="11"/>
      <c r="T35451" s="11"/>
    </row>
    <row r="35452" spans="8:20" x14ac:dyDescent="0.35">
      <c r="H35452" s="711"/>
      <c r="I35452" s="711"/>
      <c r="J35452" s="711"/>
      <c r="K35452" s="711"/>
      <c r="L35452" s="711"/>
      <c r="Q35452" s="11"/>
      <c r="R35452" s="11"/>
      <c r="S35452" s="11"/>
      <c r="T35452" s="11"/>
    </row>
    <row r="35453" spans="8:20" x14ac:dyDescent="0.35">
      <c r="H35453" s="711"/>
      <c r="I35453" s="711"/>
      <c r="J35453" s="711"/>
      <c r="K35453" s="711"/>
      <c r="L35453" s="711"/>
      <c r="Q35453" s="11"/>
      <c r="R35453" s="11"/>
      <c r="S35453" s="11"/>
      <c r="T35453" s="11"/>
    </row>
    <row r="35454" spans="8:20" x14ac:dyDescent="0.35">
      <c r="H35454" s="711"/>
      <c r="I35454" s="711"/>
      <c r="J35454" s="711"/>
      <c r="K35454" s="711"/>
      <c r="L35454" s="711"/>
      <c r="Q35454" s="11"/>
      <c r="R35454" s="11"/>
      <c r="S35454" s="11"/>
      <c r="T35454" s="11"/>
    </row>
    <row r="35455" spans="8:20" x14ac:dyDescent="0.35">
      <c r="H35455" s="711"/>
      <c r="I35455" s="711"/>
      <c r="J35455" s="711"/>
      <c r="K35455" s="711"/>
      <c r="L35455" s="711"/>
      <c r="Q35455" s="11"/>
      <c r="R35455" s="11"/>
      <c r="S35455" s="11"/>
      <c r="T35455" s="11"/>
    </row>
    <row r="35456" spans="8:20" x14ac:dyDescent="0.35">
      <c r="H35456" s="711"/>
      <c r="I35456" s="711"/>
      <c r="J35456" s="711"/>
      <c r="K35456" s="711"/>
      <c r="L35456" s="711"/>
      <c r="Q35456" s="11"/>
      <c r="R35456" s="11"/>
      <c r="S35456" s="11"/>
      <c r="T35456" s="11"/>
    </row>
    <row r="35457" spans="8:20" x14ac:dyDescent="0.35">
      <c r="H35457" s="711"/>
      <c r="I35457" s="711"/>
      <c r="J35457" s="711"/>
      <c r="K35457" s="711"/>
      <c r="L35457" s="711"/>
      <c r="Q35457" s="11"/>
      <c r="R35457" s="11"/>
      <c r="S35457" s="11"/>
      <c r="T35457" s="11"/>
    </row>
    <row r="35458" spans="8:20" x14ac:dyDescent="0.35">
      <c r="H35458" s="711"/>
      <c r="I35458" s="711"/>
      <c r="J35458" s="711"/>
      <c r="K35458" s="711"/>
      <c r="L35458" s="711"/>
      <c r="Q35458" s="11"/>
      <c r="R35458" s="11"/>
      <c r="S35458" s="11"/>
      <c r="T35458" s="11"/>
    </row>
    <row r="35459" spans="8:20" x14ac:dyDescent="0.35">
      <c r="H35459" s="711"/>
      <c r="I35459" s="711"/>
      <c r="J35459" s="711"/>
      <c r="K35459" s="711"/>
      <c r="L35459" s="711"/>
      <c r="Q35459" s="11"/>
      <c r="R35459" s="11"/>
      <c r="S35459" s="11"/>
      <c r="T35459" s="11"/>
    </row>
    <row r="35460" spans="8:20" x14ac:dyDescent="0.35">
      <c r="H35460" s="711"/>
      <c r="I35460" s="711"/>
      <c r="J35460" s="711"/>
      <c r="K35460" s="711"/>
      <c r="L35460" s="711"/>
      <c r="Q35460" s="11"/>
      <c r="R35460" s="11"/>
      <c r="S35460" s="11"/>
      <c r="T35460" s="11"/>
    </row>
    <row r="35461" spans="8:20" x14ac:dyDescent="0.35">
      <c r="H35461" s="711"/>
      <c r="I35461" s="711"/>
      <c r="J35461" s="711"/>
      <c r="K35461" s="711"/>
      <c r="L35461" s="711"/>
      <c r="Q35461" s="11"/>
      <c r="R35461" s="11"/>
      <c r="S35461" s="11"/>
      <c r="T35461" s="11"/>
    </row>
    <row r="35462" spans="8:20" x14ac:dyDescent="0.35">
      <c r="H35462" s="711"/>
      <c r="I35462" s="711"/>
      <c r="J35462" s="711"/>
      <c r="K35462" s="711"/>
      <c r="L35462" s="711"/>
      <c r="Q35462" s="11"/>
      <c r="R35462" s="11"/>
      <c r="S35462" s="11"/>
      <c r="T35462" s="11"/>
    </row>
    <row r="35463" spans="8:20" x14ac:dyDescent="0.35">
      <c r="H35463" s="711"/>
      <c r="I35463" s="711"/>
      <c r="J35463" s="711"/>
      <c r="K35463" s="711"/>
      <c r="L35463" s="711"/>
      <c r="Q35463" s="11"/>
      <c r="R35463" s="11"/>
      <c r="S35463" s="11"/>
      <c r="T35463" s="11"/>
    </row>
    <row r="35464" spans="8:20" x14ac:dyDescent="0.35">
      <c r="H35464" s="711"/>
      <c r="I35464" s="711"/>
      <c r="J35464" s="711"/>
      <c r="K35464" s="711"/>
      <c r="L35464" s="711"/>
      <c r="Q35464" s="11"/>
      <c r="R35464" s="11"/>
      <c r="S35464" s="11"/>
      <c r="T35464" s="11"/>
    </row>
    <row r="35465" spans="8:20" x14ac:dyDescent="0.35">
      <c r="H35465" s="711"/>
      <c r="I35465" s="711"/>
      <c r="J35465" s="711"/>
      <c r="K35465" s="711"/>
      <c r="L35465" s="711"/>
      <c r="Q35465" s="11"/>
      <c r="R35465" s="11"/>
      <c r="S35465" s="11"/>
      <c r="T35465" s="11"/>
    </row>
    <row r="35466" spans="8:20" x14ac:dyDescent="0.35">
      <c r="H35466" s="711"/>
      <c r="I35466" s="711"/>
      <c r="J35466" s="711"/>
      <c r="K35466" s="711"/>
      <c r="L35466" s="711"/>
      <c r="Q35466" s="11"/>
      <c r="R35466" s="11"/>
      <c r="S35466" s="11"/>
      <c r="T35466" s="11"/>
    </row>
    <row r="35467" spans="8:20" x14ac:dyDescent="0.35">
      <c r="H35467" s="711"/>
      <c r="I35467" s="711"/>
      <c r="J35467" s="711"/>
      <c r="K35467" s="711"/>
      <c r="L35467" s="711"/>
      <c r="Q35467" s="11"/>
      <c r="R35467" s="11"/>
      <c r="S35467" s="11"/>
      <c r="T35467" s="11"/>
    </row>
    <row r="35468" spans="8:20" x14ac:dyDescent="0.35">
      <c r="H35468" s="711"/>
      <c r="I35468" s="711"/>
      <c r="J35468" s="711"/>
      <c r="K35468" s="711"/>
      <c r="L35468" s="711"/>
      <c r="Q35468" s="11"/>
      <c r="R35468" s="11"/>
      <c r="S35468" s="11"/>
      <c r="T35468" s="11"/>
    </row>
    <row r="35469" spans="8:20" x14ac:dyDescent="0.35">
      <c r="H35469" s="711"/>
      <c r="I35469" s="711"/>
      <c r="J35469" s="711"/>
      <c r="K35469" s="711"/>
      <c r="L35469" s="711"/>
      <c r="Q35469" s="11"/>
      <c r="R35469" s="11"/>
      <c r="S35469" s="11"/>
      <c r="T35469" s="11"/>
    </row>
    <row r="35470" spans="8:20" x14ac:dyDescent="0.35">
      <c r="H35470" s="711"/>
      <c r="I35470" s="711"/>
      <c r="J35470" s="711"/>
      <c r="K35470" s="711"/>
      <c r="L35470" s="711"/>
      <c r="Q35470" s="11"/>
      <c r="R35470" s="11"/>
      <c r="S35470" s="11"/>
      <c r="T35470" s="11"/>
    </row>
    <row r="35471" spans="8:20" x14ac:dyDescent="0.35">
      <c r="H35471" s="711"/>
      <c r="I35471" s="711"/>
      <c r="J35471" s="711"/>
      <c r="K35471" s="711"/>
      <c r="L35471" s="711"/>
      <c r="Q35471" s="11"/>
      <c r="R35471" s="11"/>
      <c r="S35471" s="11"/>
      <c r="T35471" s="11"/>
    </row>
    <row r="35472" spans="8:20" x14ac:dyDescent="0.35">
      <c r="H35472" s="711"/>
      <c r="I35472" s="711"/>
      <c r="J35472" s="711"/>
      <c r="K35472" s="711"/>
      <c r="L35472" s="711"/>
      <c r="Q35472" s="11"/>
      <c r="R35472" s="11"/>
      <c r="S35472" s="11"/>
      <c r="T35472" s="11"/>
    </row>
    <row r="35473" spans="8:20" x14ac:dyDescent="0.35">
      <c r="H35473" s="711"/>
      <c r="I35473" s="711"/>
      <c r="J35473" s="711"/>
      <c r="K35473" s="711"/>
      <c r="L35473" s="711"/>
      <c r="Q35473" s="11"/>
      <c r="R35473" s="11"/>
      <c r="S35473" s="11"/>
      <c r="T35473" s="11"/>
    </row>
    <row r="35474" spans="8:20" x14ac:dyDescent="0.35">
      <c r="H35474" s="711"/>
      <c r="I35474" s="711"/>
      <c r="J35474" s="711"/>
      <c r="K35474" s="711"/>
      <c r="L35474" s="711"/>
      <c r="Q35474" s="11"/>
      <c r="R35474" s="11"/>
      <c r="S35474" s="11"/>
      <c r="T35474" s="11"/>
    </row>
    <row r="35475" spans="8:20" x14ac:dyDescent="0.35">
      <c r="H35475" s="711"/>
      <c r="I35475" s="711"/>
      <c r="J35475" s="711"/>
      <c r="K35475" s="711"/>
      <c r="L35475" s="711"/>
      <c r="Q35475" s="11"/>
      <c r="R35475" s="11"/>
      <c r="S35475" s="11"/>
      <c r="T35475" s="11"/>
    </row>
    <row r="35476" spans="8:20" x14ac:dyDescent="0.35">
      <c r="H35476" s="711"/>
      <c r="I35476" s="711"/>
      <c r="J35476" s="711"/>
      <c r="K35476" s="711"/>
      <c r="L35476" s="711"/>
      <c r="Q35476" s="11"/>
      <c r="R35476" s="11"/>
      <c r="S35476" s="11"/>
      <c r="T35476" s="11"/>
    </row>
    <row r="35477" spans="8:20" x14ac:dyDescent="0.35">
      <c r="H35477" s="711"/>
      <c r="I35477" s="711"/>
      <c r="J35477" s="711"/>
      <c r="K35477" s="711"/>
      <c r="L35477" s="711"/>
      <c r="Q35477" s="11"/>
      <c r="R35477" s="11"/>
      <c r="S35477" s="11"/>
      <c r="T35477" s="11"/>
    </row>
    <row r="35478" spans="8:20" x14ac:dyDescent="0.35">
      <c r="H35478" s="711"/>
      <c r="I35478" s="711"/>
      <c r="J35478" s="711"/>
      <c r="K35478" s="711"/>
      <c r="L35478" s="711"/>
      <c r="Q35478" s="11"/>
      <c r="R35478" s="11"/>
      <c r="S35478" s="11"/>
      <c r="T35478" s="11"/>
    </row>
    <row r="35479" spans="8:20" x14ac:dyDescent="0.35">
      <c r="H35479" s="711"/>
      <c r="I35479" s="711"/>
      <c r="J35479" s="711"/>
      <c r="K35479" s="711"/>
      <c r="L35479" s="711"/>
      <c r="Q35479" s="11"/>
      <c r="R35479" s="11"/>
      <c r="S35479" s="11"/>
      <c r="T35479" s="11"/>
    </row>
    <row r="35480" spans="8:20" x14ac:dyDescent="0.35">
      <c r="H35480" s="711"/>
      <c r="I35480" s="711"/>
      <c r="J35480" s="711"/>
      <c r="K35480" s="711"/>
      <c r="L35480" s="711"/>
      <c r="Q35480" s="11"/>
      <c r="R35480" s="11"/>
      <c r="S35480" s="11"/>
      <c r="T35480" s="11"/>
    </row>
    <row r="35481" spans="8:20" x14ac:dyDescent="0.35">
      <c r="H35481" s="711"/>
      <c r="I35481" s="711"/>
      <c r="J35481" s="711"/>
      <c r="K35481" s="711"/>
      <c r="L35481" s="711"/>
      <c r="Q35481" s="11"/>
      <c r="R35481" s="11"/>
      <c r="S35481" s="11"/>
      <c r="T35481" s="11"/>
    </row>
    <row r="35482" spans="8:20" x14ac:dyDescent="0.35">
      <c r="H35482" s="711"/>
      <c r="I35482" s="711"/>
      <c r="J35482" s="711"/>
      <c r="K35482" s="711"/>
      <c r="L35482" s="711"/>
      <c r="Q35482" s="11"/>
      <c r="R35482" s="11"/>
      <c r="S35482" s="11"/>
      <c r="T35482" s="11"/>
    </row>
    <row r="35483" spans="8:20" x14ac:dyDescent="0.35">
      <c r="H35483" s="711"/>
      <c r="I35483" s="711"/>
      <c r="J35483" s="711"/>
      <c r="K35483" s="711"/>
      <c r="L35483" s="711"/>
      <c r="Q35483" s="11"/>
      <c r="R35483" s="11"/>
      <c r="S35483" s="11"/>
      <c r="T35483" s="11"/>
    </row>
    <row r="35484" spans="8:20" x14ac:dyDescent="0.35">
      <c r="H35484" s="711"/>
      <c r="I35484" s="711"/>
      <c r="J35484" s="711"/>
      <c r="K35484" s="711"/>
      <c r="L35484" s="711"/>
      <c r="Q35484" s="11"/>
      <c r="R35484" s="11"/>
      <c r="S35484" s="11"/>
      <c r="T35484" s="11"/>
    </row>
    <row r="35485" spans="8:20" x14ac:dyDescent="0.35">
      <c r="H35485" s="711"/>
      <c r="I35485" s="711"/>
      <c r="J35485" s="711"/>
      <c r="K35485" s="711"/>
      <c r="L35485" s="711"/>
      <c r="Q35485" s="11"/>
      <c r="R35485" s="11"/>
      <c r="S35485" s="11"/>
      <c r="T35485" s="11"/>
    </row>
    <row r="35486" spans="8:20" x14ac:dyDescent="0.35">
      <c r="H35486" s="711"/>
      <c r="I35486" s="711"/>
      <c r="J35486" s="711"/>
      <c r="K35486" s="711"/>
      <c r="L35486" s="711"/>
      <c r="Q35486" s="11"/>
      <c r="R35486" s="11"/>
      <c r="S35486" s="11"/>
      <c r="T35486" s="11"/>
    </row>
    <row r="35487" spans="8:20" x14ac:dyDescent="0.35">
      <c r="H35487" s="711"/>
      <c r="I35487" s="711"/>
      <c r="J35487" s="711"/>
      <c r="K35487" s="711"/>
      <c r="L35487" s="711"/>
      <c r="Q35487" s="11"/>
      <c r="R35487" s="11"/>
      <c r="S35487" s="11"/>
      <c r="T35487" s="11"/>
    </row>
    <row r="35488" spans="8:20" x14ac:dyDescent="0.35">
      <c r="H35488" s="711"/>
      <c r="I35488" s="711"/>
      <c r="J35488" s="711"/>
      <c r="K35488" s="711"/>
      <c r="L35488" s="711"/>
      <c r="Q35488" s="11"/>
      <c r="R35488" s="11"/>
      <c r="S35488" s="11"/>
      <c r="T35488" s="11"/>
    </row>
    <row r="35489" spans="8:20" x14ac:dyDescent="0.35">
      <c r="H35489" s="711"/>
      <c r="I35489" s="711"/>
      <c r="J35489" s="711"/>
      <c r="K35489" s="711"/>
      <c r="L35489" s="711"/>
      <c r="Q35489" s="11"/>
      <c r="R35489" s="11"/>
      <c r="S35489" s="11"/>
      <c r="T35489" s="11"/>
    </row>
    <row r="35490" spans="8:20" x14ac:dyDescent="0.35">
      <c r="H35490" s="711"/>
      <c r="I35490" s="711"/>
      <c r="J35490" s="711"/>
      <c r="K35490" s="711"/>
      <c r="L35490" s="711"/>
      <c r="Q35490" s="11"/>
      <c r="R35490" s="11"/>
      <c r="S35490" s="11"/>
      <c r="T35490" s="11"/>
    </row>
    <row r="35491" spans="8:20" x14ac:dyDescent="0.35">
      <c r="H35491" s="711"/>
      <c r="I35491" s="711"/>
      <c r="J35491" s="711"/>
      <c r="K35491" s="711"/>
      <c r="L35491" s="711"/>
      <c r="Q35491" s="11"/>
      <c r="R35491" s="11"/>
      <c r="S35491" s="11"/>
      <c r="T35491" s="11"/>
    </row>
    <row r="35492" spans="8:20" x14ac:dyDescent="0.35">
      <c r="H35492" s="711"/>
      <c r="I35492" s="711"/>
      <c r="J35492" s="711"/>
      <c r="K35492" s="711"/>
      <c r="L35492" s="711"/>
      <c r="Q35492" s="11"/>
      <c r="R35492" s="11"/>
      <c r="S35492" s="11"/>
      <c r="T35492" s="11"/>
    </row>
    <row r="35493" spans="8:20" x14ac:dyDescent="0.35">
      <c r="H35493" s="711"/>
      <c r="I35493" s="711"/>
      <c r="J35493" s="711"/>
      <c r="K35493" s="711"/>
      <c r="L35493" s="711"/>
      <c r="Q35493" s="11"/>
      <c r="R35493" s="11"/>
      <c r="S35493" s="11"/>
      <c r="T35493" s="11"/>
    </row>
    <row r="35494" spans="8:20" x14ac:dyDescent="0.35">
      <c r="H35494" s="711"/>
      <c r="I35494" s="711"/>
      <c r="J35494" s="711"/>
      <c r="K35494" s="711"/>
      <c r="L35494" s="711"/>
      <c r="Q35494" s="11"/>
      <c r="R35494" s="11"/>
      <c r="S35494" s="11"/>
      <c r="T35494" s="11"/>
    </row>
    <row r="35495" spans="8:20" x14ac:dyDescent="0.35">
      <c r="H35495" s="711"/>
      <c r="I35495" s="711"/>
      <c r="J35495" s="711"/>
      <c r="K35495" s="711"/>
      <c r="L35495" s="711"/>
      <c r="Q35495" s="11"/>
      <c r="R35495" s="11"/>
      <c r="S35495" s="11"/>
      <c r="T35495" s="11"/>
    </row>
    <row r="35496" spans="8:20" x14ac:dyDescent="0.35">
      <c r="H35496" s="711"/>
      <c r="I35496" s="711"/>
      <c r="J35496" s="711"/>
      <c r="K35496" s="711"/>
      <c r="L35496" s="711"/>
      <c r="Q35496" s="11"/>
      <c r="R35496" s="11"/>
      <c r="S35496" s="11"/>
      <c r="T35496" s="11"/>
    </row>
    <row r="35497" spans="8:20" x14ac:dyDescent="0.35">
      <c r="H35497" s="711"/>
      <c r="I35497" s="711"/>
      <c r="J35497" s="711"/>
      <c r="K35497" s="711"/>
      <c r="L35497" s="711"/>
      <c r="Q35497" s="11"/>
      <c r="R35497" s="11"/>
      <c r="S35497" s="11"/>
      <c r="T35497" s="11"/>
    </row>
    <row r="35498" spans="8:20" x14ac:dyDescent="0.35">
      <c r="H35498" s="711"/>
      <c r="I35498" s="711"/>
      <c r="J35498" s="711"/>
      <c r="K35498" s="711"/>
      <c r="L35498" s="711"/>
      <c r="Q35498" s="11"/>
      <c r="R35498" s="11"/>
      <c r="S35498" s="11"/>
      <c r="T35498" s="11"/>
    </row>
    <row r="35499" spans="8:20" x14ac:dyDescent="0.35">
      <c r="H35499" s="711"/>
      <c r="I35499" s="711"/>
      <c r="J35499" s="711"/>
      <c r="K35499" s="711"/>
      <c r="L35499" s="711"/>
      <c r="Q35499" s="11"/>
      <c r="R35499" s="11"/>
      <c r="S35499" s="11"/>
      <c r="T35499" s="11"/>
    </row>
    <row r="35500" spans="8:20" x14ac:dyDescent="0.35">
      <c r="H35500" s="711"/>
      <c r="I35500" s="711"/>
      <c r="J35500" s="711"/>
      <c r="K35500" s="711"/>
      <c r="L35500" s="711"/>
      <c r="Q35500" s="11"/>
      <c r="R35500" s="11"/>
      <c r="S35500" s="11"/>
      <c r="T35500" s="11"/>
    </row>
    <row r="35501" spans="8:20" x14ac:dyDescent="0.35">
      <c r="H35501" s="711"/>
      <c r="I35501" s="711"/>
      <c r="J35501" s="711"/>
      <c r="K35501" s="711"/>
      <c r="L35501" s="711"/>
      <c r="Q35501" s="11"/>
      <c r="R35501" s="11"/>
      <c r="S35501" s="11"/>
      <c r="T35501" s="11"/>
    </row>
    <row r="35502" spans="8:20" x14ac:dyDescent="0.35">
      <c r="H35502" s="711"/>
      <c r="I35502" s="711"/>
      <c r="J35502" s="711"/>
      <c r="K35502" s="711"/>
      <c r="L35502" s="711"/>
      <c r="Q35502" s="11"/>
      <c r="R35502" s="11"/>
      <c r="S35502" s="11"/>
      <c r="T35502" s="11"/>
    </row>
    <row r="35503" spans="8:20" x14ac:dyDescent="0.35">
      <c r="H35503" s="711"/>
      <c r="I35503" s="711"/>
      <c r="J35503" s="711"/>
      <c r="K35503" s="711"/>
      <c r="L35503" s="711"/>
      <c r="Q35503" s="11"/>
      <c r="R35503" s="11"/>
      <c r="S35503" s="11"/>
      <c r="T35503" s="11"/>
    </row>
    <row r="35504" spans="8:20" x14ac:dyDescent="0.35">
      <c r="H35504" s="711"/>
      <c r="I35504" s="711"/>
      <c r="J35504" s="711"/>
      <c r="K35504" s="711"/>
      <c r="L35504" s="711"/>
      <c r="Q35504" s="11"/>
      <c r="R35504" s="11"/>
      <c r="S35504" s="11"/>
      <c r="T35504" s="11"/>
    </row>
    <row r="35505" spans="8:20" x14ac:dyDescent="0.35">
      <c r="H35505" s="711"/>
      <c r="I35505" s="711"/>
      <c r="J35505" s="711"/>
      <c r="K35505" s="711"/>
      <c r="L35505" s="711"/>
      <c r="Q35505" s="11"/>
      <c r="R35505" s="11"/>
      <c r="S35505" s="11"/>
      <c r="T35505" s="11"/>
    </row>
    <row r="35506" spans="8:20" x14ac:dyDescent="0.35">
      <c r="H35506" s="711"/>
      <c r="I35506" s="711"/>
      <c r="J35506" s="711"/>
      <c r="K35506" s="711"/>
      <c r="L35506" s="711"/>
      <c r="Q35506" s="11"/>
      <c r="R35506" s="11"/>
      <c r="S35506" s="11"/>
      <c r="T35506" s="11"/>
    </row>
    <row r="35507" spans="8:20" x14ac:dyDescent="0.35">
      <c r="H35507" s="711"/>
      <c r="I35507" s="711"/>
      <c r="J35507" s="711"/>
      <c r="K35507" s="711"/>
      <c r="L35507" s="711"/>
      <c r="Q35507" s="11"/>
      <c r="R35507" s="11"/>
      <c r="S35507" s="11"/>
      <c r="T35507" s="11"/>
    </row>
    <row r="35508" spans="8:20" x14ac:dyDescent="0.35">
      <c r="H35508" s="711"/>
      <c r="I35508" s="711"/>
      <c r="J35508" s="711"/>
      <c r="K35508" s="711"/>
      <c r="L35508" s="711"/>
      <c r="Q35508" s="11"/>
      <c r="R35508" s="11"/>
      <c r="S35508" s="11"/>
      <c r="T35508" s="11"/>
    </row>
    <row r="35509" spans="8:20" x14ac:dyDescent="0.35">
      <c r="H35509" s="711"/>
      <c r="I35509" s="711"/>
      <c r="J35509" s="711"/>
      <c r="K35509" s="711"/>
      <c r="L35509" s="711"/>
      <c r="Q35509" s="11"/>
      <c r="R35509" s="11"/>
      <c r="S35509" s="11"/>
      <c r="T35509" s="11"/>
    </row>
    <row r="35510" spans="8:20" x14ac:dyDescent="0.35">
      <c r="H35510" s="711"/>
      <c r="I35510" s="711"/>
      <c r="J35510" s="711"/>
      <c r="K35510" s="711"/>
      <c r="L35510" s="711"/>
      <c r="Q35510" s="11"/>
      <c r="R35510" s="11"/>
      <c r="S35510" s="11"/>
      <c r="T35510" s="11"/>
    </row>
    <row r="35511" spans="8:20" x14ac:dyDescent="0.35">
      <c r="H35511" s="711"/>
      <c r="I35511" s="711"/>
      <c r="J35511" s="711"/>
      <c r="K35511" s="711"/>
      <c r="L35511" s="711"/>
      <c r="Q35511" s="11"/>
      <c r="R35511" s="11"/>
      <c r="S35511" s="11"/>
      <c r="T35511" s="11"/>
    </row>
    <row r="35512" spans="8:20" x14ac:dyDescent="0.35">
      <c r="H35512" s="711"/>
      <c r="I35512" s="711"/>
      <c r="J35512" s="711"/>
      <c r="K35512" s="711"/>
      <c r="L35512" s="711"/>
      <c r="Q35512" s="11"/>
      <c r="R35512" s="11"/>
      <c r="S35512" s="11"/>
      <c r="T35512" s="11"/>
    </row>
    <row r="35513" spans="8:20" x14ac:dyDescent="0.35">
      <c r="H35513" s="711"/>
      <c r="I35513" s="711"/>
      <c r="J35513" s="711"/>
      <c r="K35513" s="711"/>
      <c r="L35513" s="711"/>
      <c r="Q35513" s="11"/>
      <c r="R35513" s="11"/>
      <c r="S35513" s="11"/>
      <c r="T35513" s="11"/>
    </row>
    <row r="35514" spans="8:20" x14ac:dyDescent="0.35">
      <c r="H35514" s="711"/>
      <c r="I35514" s="711"/>
      <c r="J35514" s="711"/>
      <c r="K35514" s="711"/>
      <c r="L35514" s="711"/>
      <c r="Q35514" s="11"/>
      <c r="R35514" s="11"/>
      <c r="S35514" s="11"/>
      <c r="T35514" s="11"/>
    </row>
    <row r="35515" spans="8:20" x14ac:dyDescent="0.35">
      <c r="H35515" s="711"/>
      <c r="I35515" s="711"/>
      <c r="J35515" s="711"/>
      <c r="K35515" s="711"/>
      <c r="L35515" s="711"/>
      <c r="Q35515" s="11"/>
      <c r="R35515" s="11"/>
      <c r="S35515" s="11"/>
      <c r="T35515" s="11"/>
    </row>
    <row r="35516" spans="8:20" x14ac:dyDescent="0.35">
      <c r="H35516" s="711"/>
      <c r="I35516" s="711"/>
      <c r="J35516" s="711"/>
      <c r="K35516" s="711"/>
      <c r="L35516" s="711"/>
      <c r="Q35516" s="11"/>
      <c r="R35516" s="11"/>
      <c r="S35516" s="11"/>
      <c r="T35516" s="11"/>
    </row>
    <row r="35517" spans="8:20" x14ac:dyDescent="0.35">
      <c r="H35517" s="711"/>
      <c r="I35517" s="711"/>
      <c r="J35517" s="711"/>
      <c r="K35517" s="711"/>
      <c r="L35517" s="711"/>
      <c r="Q35517" s="11"/>
      <c r="R35517" s="11"/>
      <c r="S35517" s="11"/>
      <c r="T35517" s="11"/>
    </row>
    <row r="35518" spans="8:20" x14ac:dyDescent="0.35">
      <c r="H35518" s="711"/>
      <c r="I35518" s="711"/>
      <c r="J35518" s="711"/>
      <c r="K35518" s="711"/>
      <c r="L35518" s="711"/>
      <c r="Q35518" s="11"/>
      <c r="R35518" s="11"/>
      <c r="S35518" s="11"/>
      <c r="T35518" s="11"/>
    </row>
    <row r="35519" spans="8:20" x14ac:dyDescent="0.35">
      <c r="H35519" s="711"/>
      <c r="I35519" s="711"/>
      <c r="J35519" s="711"/>
      <c r="K35519" s="711"/>
      <c r="L35519" s="711"/>
      <c r="Q35519" s="11"/>
      <c r="R35519" s="11"/>
      <c r="S35519" s="11"/>
      <c r="T35519" s="11"/>
    </row>
    <row r="35520" spans="8:20" x14ac:dyDescent="0.35">
      <c r="H35520" s="711"/>
      <c r="I35520" s="711"/>
      <c r="J35520" s="711"/>
      <c r="K35520" s="711"/>
      <c r="L35520" s="711"/>
      <c r="Q35520" s="11"/>
      <c r="R35520" s="11"/>
      <c r="S35520" s="11"/>
      <c r="T35520" s="11"/>
    </row>
    <row r="35521" spans="8:20" x14ac:dyDescent="0.35">
      <c r="H35521" s="711"/>
      <c r="I35521" s="711"/>
      <c r="J35521" s="711"/>
      <c r="K35521" s="711"/>
      <c r="L35521" s="711"/>
      <c r="Q35521" s="11"/>
      <c r="R35521" s="11"/>
      <c r="S35521" s="11"/>
      <c r="T35521" s="11"/>
    </row>
    <row r="35522" spans="8:20" x14ac:dyDescent="0.35">
      <c r="H35522" s="711"/>
      <c r="I35522" s="711"/>
      <c r="J35522" s="711"/>
      <c r="K35522" s="711"/>
      <c r="L35522" s="711"/>
      <c r="Q35522" s="11"/>
      <c r="R35522" s="11"/>
      <c r="S35522" s="11"/>
      <c r="T35522" s="11"/>
    </row>
    <row r="35523" spans="8:20" x14ac:dyDescent="0.35">
      <c r="H35523" s="711"/>
      <c r="I35523" s="711"/>
      <c r="J35523" s="711"/>
      <c r="K35523" s="711"/>
      <c r="L35523" s="711"/>
      <c r="Q35523" s="11"/>
      <c r="R35523" s="11"/>
      <c r="S35523" s="11"/>
      <c r="T35523" s="11"/>
    </row>
    <row r="35524" spans="8:20" x14ac:dyDescent="0.35">
      <c r="H35524" s="711"/>
      <c r="I35524" s="711"/>
      <c r="J35524" s="711"/>
      <c r="K35524" s="711"/>
      <c r="L35524" s="711"/>
      <c r="Q35524" s="11"/>
      <c r="R35524" s="11"/>
      <c r="S35524" s="11"/>
      <c r="T35524" s="11"/>
    </row>
    <row r="35525" spans="8:20" x14ac:dyDescent="0.35">
      <c r="H35525" s="711"/>
      <c r="I35525" s="711"/>
      <c r="J35525" s="711"/>
      <c r="K35525" s="711"/>
      <c r="L35525" s="711"/>
      <c r="Q35525" s="11"/>
      <c r="R35525" s="11"/>
      <c r="S35525" s="11"/>
      <c r="T35525" s="11"/>
    </row>
    <row r="35526" spans="8:20" x14ac:dyDescent="0.35">
      <c r="H35526" s="711"/>
      <c r="I35526" s="711"/>
      <c r="J35526" s="711"/>
      <c r="K35526" s="711"/>
      <c r="L35526" s="711"/>
      <c r="Q35526" s="11"/>
      <c r="R35526" s="11"/>
      <c r="S35526" s="11"/>
      <c r="T35526" s="11"/>
    </row>
    <row r="35527" spans="8:20" x14ac:dyDescent="0.35">
      <c r="H35527" s="711"/>
      <c r="I35527" s="711"/>
      <c r="J35527" s="711"/>
      <c r="K35527" s="711"/>
      <c r="L35527" s="711"/>
      <c r="Q35527" s="11"/>
      <c r="R35527" s="11"/>
      <c r="S35527" s="11"/>
      <c r="T35527" s="11"/>
    </row>
    <row r="35528" spans="8:20" x14ac:dyDescent="0.35">
      <c r="H35528" s="711"/>
      <c r="I35528" s="711"/>
      <c r="J35528" s="711"/>
      <c r="K35528" s="711"/>
      <c r="L35528" s="711"/>
      <c r="Q35528" s="11"/>
      <c r="R35528" s="11"/>
      <c r="S35528" s="11"/>
      <c r="T35528" s="11"/>
    </row>
    <row r="35529" spans="8:20" x14ac:dyDescent="0.35">
      <c r="H35529" s="711"/>
      <c r="I35529" s="711"/>
      <c r="J35529" s="711"/>
      <c r="K35529" s="711"/>
      <c r="L35529" s="711"/>
      <c r="Q35529" s="11"/>
      <c r="R35529" s="11"/>
      <c r="S35529" s="11"/>
      <c r="T35529" s="11"/>
    </row>
    <row r="35530" spans="8:20" x14ac:dyDescent="0.35">
      <c r="H35530" s="711"/>
      <c r="I35530" s="711"/>
      <c r="J35530" s="711"/>
      <c r="K35530" s="711"/>
      <c r="L35530" s="711"/>
      <c r="Q35530" s="11"/>
      <c r="R35530" s="11"/>
      <c r="S35530" s="11"/>
      <c r="T35530" s="11"/>
    </row>
    <row r="35531" spans="8:20" x14ac:dyDescent="0.35">
      <c r="H35531" s="711"/>
      <c r="I35531" s="711"/>
      <c r="J35531" s="711"/>
      <c r="K35531" s="711"/>
      <c r="L35531" s="711"/>
      <c r="Q35531" s="11"/>
      <c r="R35531" s="11"/>
      <c r="S35531" s="11"/>
      <c r="T35531" s="11"/>
    </row>
    <row r="35532" spans="8:20" x14ac:dyDescent="0.35">
      <c r="H35532" s="711"/>
      <c r="I35532" s="711"/>
      <c r="J35532" s="711"/>
      <c r="K35532" s="711"/>
      <c r="L35532" s="711"/>
      <c r="Q35532" s="11"/>
      <c r="R35532" s="11"/>
      <c r="S35532" s="11"/>
      <c r="T35532" s="11"/>
    </row>
    <row r="35533" spans="8:20" x14ac:dyDescent="0.35">
      <c r="H35533" s="711"/>
      <c r="I35533" s="711"/>
      <c r="J35533" s="711"/>
      <c r="K35533" s="711"/>
      <c r="L35533" s="711"/>
      <c r="Q35533" s="11"/>
      <c r="R35533" s="11"/>
      <c r="S35533" s="11"/>
      <c r="T35533" s="11"/>
    </row>
    <row r="35534" spans="8:20" x14ac:dyDescent="0.35">
      <c r="H35534" s="711"/>
      <c r="I35534" s="711"/>
      <c r="J35534" s="711"/>
      <c r="K35534" s="711"/>
      <c r="L35534" s="711"/>
      <c r="Q35534" s="11"/>
      <c r="R35534" s="11"/>
      <c r="S35534" s="11"/>
      <c r="T35534" s="11"/>
    </row>
    <row r="35535" spans="8:20" x14ac:dyDescent="0.35">
      <c r="H35535" s="711"/>
      <c r="I35535" s="711"/>
      <c r="J35535" s="711"/>
      <c r="K35535" s="711"/>
      <c r="L35535" s="711"/>
      <c r="Q35535" s="11"/>
      <c r="R35535" s="11"/>
      <c r="S35535" s="11"/>
      <c r="T35535" s="11"/>
    </row>
    <row r="35536" spans="8:20" x14ac:dyDescent="0.35">
      <c r="H35536" s="711"/>
      <c r="I35536" s="711"/>
      <c r="J35536" s="711"/>
      <c r="K35536" s="711"/>
      <c r="L35536" s="711"/>
      <c r="Q35536" s="11"/>
      <c r="R35536" s="11"/>
      <c r="S35536" s="11"/>
      <c r="T35536" s="11"/>
    </row>
    <row r="35537" spans="8:20" x14ac:dyDescent="0.35">
      <c r="H35537" s="711"/>
      <c r="I35537" s="711"/>
      <c r="J35537" s="711"/>
      <c r="K35537" s="711"/>
      <c r="L35537" s="711"/>
      <c r="Q35537" s="11"/>
      <c r="R35537" s="11"/>
      <c r="S35537" s="11"/>
      <c r="T35537" s="11"/>
    </row>
    <row r="35538" spans="8:20" x14ac:dyDescent="0.35">
      <c r="H35538" s="711"/>
      <c r="I35538" s="711"/>
      <c r="J35538" s="711"/>
      <c r="K35538" s="711"/>
      <c r="L35538" s="711"/>
      <c r="Q35538" s="11"/>
      <c r="R35538" s="11"/>
      <c r="S35538" s="11"/>
      <c r="T35538" s="11"/>
    </row>
    <row r="35539" spans="8:20" x14ac:dyDescent="0.35">
      <c r="H35539" s="711"/>
      <c r="I35539" s="711"/>
      <c r="J35539" s="711"/>
      <c r="K35539" s="711"/>
      <c r="L35539" s="711"/>
      <c r="Q35539" s="11"/>
      <c r="R35539" s="11"/>
      <c r="S35539" s="11"/>
      <c r="T35539" s="11"/>
    </row>
    <row r="35540" spans="8:20" x14ac:dyDescent="0.35">
      <c r="H35540" s="711"/>
      <c r="I35540" s="711"/>
      <c r="J35540" s="711"/>
      <c r="K35540" s="711"/>
      <c r="L35540" s="711"/>
      <c r="Q35540" s="11"/>
      <c r="R35540" s="11"/>
      <c r="S35540" s="11"/>
      <c r="T35540" s="11"/>
    </row>
    <row r="35541" spans="8:20" x14ac:dyDescent="0.35">
      <c r="H35541" s="711"/>
      <c r="I35541" s="711"/>
      <c r="J35541" s="711"/>
      <c r="K35541" s="711"/>
      <c r="L35541" s="711"/>
      <c r="Q35541" s="11"/>
      <c r="R35541" s="11"/>
      <c r="S35541" s="11"/>
      <c r="T35541" s="11"/>
    </row>
    <row r="35542" spans="8:20" x14ac:dyDescent="0.35">
      <c r="H35542" s="711"/>
      <c r="I35542" s="711"/>
      <c r="J35542" s="711"/>
      <c r="K35542" s="711"/>
      <c r="L35542" s="711"/>
      <c r="Q35542" s="11"/>
      <c r="R35542" s="11"/>
      <c r="S35542" s="11"/>
      <c r="T35542" s="11"/>
    </row>
    <row r="35543" spans="8:20" x14ac:dyDescent="0.35">
      <c r="H35543" s="711"/>
      <c r="I35543" s="711"/>
      <c r="J35543" s="711"/>
      <c r="K35543" s="711"/>
      <c r="L35543" s="711"/>
      <c r="Q35543" s="11"/>
      <c r="R35543" s="11"/>
      <c r="S35543" s="11"/>
      <c r="T35543" s="11"/>
    </row>
    <row r="35544" spans="8:20" x14ac:dyDescent="0.35">
      <c r="H35544" s="711"/>
      <c r="I35544" s="711"/>
      <c r="J35544" s="711"/>
      <c r="K35544" s="711"/>
      <c r="L35544" s="711"/>
      <c r="Q35544" s="11"/>
      <c r="R35544" s="11"/>
      <c r="S35544" s="11"/>
      <c r="T35544" s="11"/>
    </row>
    <row r="35545" spans="8:20" x14ac:dyDescent="0.35">
      <c r="H35545" s="711"/>
      <c r="I35545" s="711"/>
      <c r="J35545" s="711"/>
      <c r="K35545" s="711"/>
      <c r="L35545" s="711"/>
      <c r="Q35545" s="11"/>
      <c r="R35545" s="11"/>
      <c r="S35545" s="11"/>
      <c r="T35545" s="11"/>
    </row>
    <row r="35546" spans="8:20" x14ac:dyDescent="0.35">
      <c r="H35546" s="711"/>
      <c r="I35546" s="711"/>
      <c r="J35546" s="711"/>
      <c r="K35546" s="711"/>
      <c r="L35546" s="711"/>
      <c r="Q35546" s="11"/>
      <c r="R35546" s="11"/>
      <c r="S35546" s="11"/>
      <c r="T35546" s="11"/>
    </row>
    <row r="35547" spans="8:20" x14ac:dyDescent="0.35">
      <c r="H35547" s="711"/>
      <c r="I35547" s="711"/>
      <c r="J35547" s="711"/>
      <c r="K35547" s="711"/>
      <c r="L35547" s="711"/>
      <c r="Q35547" s="11"/>
      <c r="R35547" s="11"/>
      <c r="S35547" s="11"/>
      <c r="T35547" s="11"/>
    </row>
    <row r="35548" spans="8:20" x14ac:dyDescent="0.35">
      <c r="H35548" s="711"/>
      <c r="I35548" s="711"/>
      <c r="J35548" s="711"/>
      <c r="K35548" s="711"/>
      <c r="L35548" s="711"/>
      <c r="Q35548" s="11"/>
      <c r="R35548" s="11"/>
      <c r="S35548" s="11"/>
      <c r="T35548" s="11"/>
    </row>
    <row r="35549" spans="8:20" x14ac:dyDescent="0.35">
      <c r="H35549" s="711"/>
      <c r="I35549" s="711"/>
      <c r="J35549" s="711"/>
      <c r="K35549" s="711"/>
      <c r="L35549" s="711"/>
      <c r="Q35549" s="11"/>
      <c r="R35549" s="11"/>
      <c r="S35549" s="11"/>
      <c r="T35549" s="11"/>
    </row>
    <row r="35550" spans="8:20" x14ac:dyDescent="0.35">
      <c r="H35550" s="711"/>
      <c r="I35550" s="711"/>
      <c r="J35550" s="711"/>
      <c r="K35550" s="711"/>
      <c r="L35550" s="711"/>
      <c r="Q35550" s="11"/>
      <c r="R35550" s="11"/>
      <c r="S35550" s="11"/>
      <c r="T35550" s="11"/>
    </row>
    <row r="35551" spans="8:20" x14ac:dyDescent="0.35">
      <c r="H35551" s="711"/>
      <c r="I35551" s="711"/>
      <c r="J35551" s="711"/>
      <c r="K35551" s="711"/>
      <c r="L35551" s="711"/>
      <c r="Q35551" s="11"/>
      <c r="R35551" s="11"/>
      <c r="S35551" s="11"/>
      <c r="T35551" s="11"/>
    </row>
    <row r="35552" spans="8:20" x14ac:dyDescent="0.35">
      <c r="H35552" s="711"/>
      <c r="I35552" s="711"/>
      <c r="J35552" s="711"/>
      <c r="K35552" s="711"/>
      <c r="L35552" s="711"/>
      <c r="Q35552" s="11"/>
      <c r="R35552" s="11"/>
      <c r="S35552" s="11"/>
      <c r="T35552" s="11"/>
    </row>
    <row r="35553" spans="8:20" x14ac:dyDescent="0.35">
      <c r="H35553" s="711"/>
      <c r="I35553" s="711"/>
      <c r="J35553" s="711"/>
      <c r="K35553" s="711"/>
      <c r="L35553" s="711"/>
      <c r="Q35553" s="11"/>
      <c r="R35553" s="11"/>
      <c r="S35553" s="11"/>
      <c r="T35553" s="11"/>
    </row>
    <row r="35554" spans="8:20" x14ac:dyDescent="0.35">
      <c r="H35554" s="711"/>
      <c r="I35554" s="711"/>
      <c r="J35554" s="711"/>
      <c r="K35554" s="711"/>
      <c r="L35554" s="711"/>
      <c r="Q35554" s="11"/>
      <c r="R35554" s="11"/>
      <c r="S35554" s="11"/>
      <c r="T35554" s="11"/>
    </row>
    <row r="35555" spans="8:20" x14ac:dyDescent="0.35">
      <c r="H35555" s="711"/>
      <c r="I35555" s="711"/>
      <c r="J35555" s="711"/>
      <c r="K35555" s="711"/>
      <c r="L35555" s="711"/>
      <c r="Q35555" s="11"/>
      <c r="R35555" s="11"/>
      <c r="S35555" s="11"/>
      <c r="T35555" s="11"/>
    </row>
    <row r="35556" spans="8:20" x14ac:dyDescent="0.35">
      <c r="H35556" s="711"/>
      <c r="I35556" s="711"/>
      <c r="J35556" s="711"/>
      <c r="K35556" s="711"/>
      <c r="L35556" s="711"/>
      <c r="Q35556" s="11"/>
      <c r="R35556" s="11"/>
      <c r="S35556" s="11"/>
      <c r="T35556" s="11"/>
    </row>
    <row r="35557" spans="8:20" x14ac:dyDescent="0.35">
      <c r="H35557" s="711"/>
      <c r="I35557" s="711"/>
      <c r="J35557" s="711"/>
      <c r="K35557" s="711"/>
      <c r="L35557" s="711"/>
      <c r="Q35557" s="11"/>
      <c r="R35557" s="11"/>
      <c r="S35557" s="11"/>
      <c r="T35557" s="11"/>
    </row>
    <row r="35558" spans="8:20" x14ac:dyDescent="0.35">
      <c r="H35558" s="711"/>
      <c r="I35558" s="711"/>
      <c r="J35558" s="711"/>
      <c r="K35558" s="711"/>
      <c r="L35558" s="711"/>
      <c r="Q35558" s="11"/>
      <c r="R35558" s="11"/>
      <c r="S35558" s="11"/>
      <c r="T35558" s="11"/>
    </row>
    <row r="35559" spans="8:20" x14ac:dyDescent="0.35">
      <c r="H35559" s="711"/>
      <c r="I35559" s="711"/>
      <c r="J35559" s="711"/>
      <c r="K35559" s="711"/>
      <c r="L35559" s="711"/>
      <c r="Q35559" s="11"/>
      <c r="R35559" s="11"/>
      <c r="S35559" s="11"/>
      <c r="T35559" s="11"/>
    </row>
    <row r="35560" spans="8:20" x14ac:dyDescent="0.35">
      <c r="H35560" s="711"/>
      <c r="I35560" s="711"/>
      <c r="J35560" s="711"/>
      <c r="K35560" s="711"/>
      <c r="L35560" s="711"/>
      <c r="Q35560" s="11"/>
      <c r="R35560" s="11"/>
      <c r="S35560" s="11"/>
      <c r="T35560" s="11"/>
    </row>
    <row r="35561" spans="8:20" x14ac:dyDescent="0.35">
      <c r="H35561" s="711"/>
      <c r="I35561" s="711"/>
      <c r="J35561" s="711"/>
      <c r="K35561" s="711"/>
      <c r="L35561" s="711"/>
      <c r="Q35561" s="11"/>
      <c r="R35561" s="11"/>
      <c r="S35561" s="11"/>
      <c r="T35561" s="11"/>
    </row>
    <row r="35562" spans="8:20" x14ac:dyDescent="0.35">
      <c r="H35562" s="711"/>
      <c r="I35562" s="711"/>
      <c r="J35562" s="711"/>
      <c r="K35562" s="711"/>
      <c r="L35562" s="711"/>
      <c r="Q35562" s="11"/>
      <c r="R35562" s="11"/>
      <c r="S35562" s="11"/>
      <c r="T35562" s="11"/>
    </row>
    <row r="35563" spans="8:20" x14ac:dyDescent="0.35">
      <c r="H35563" s="711"/>
      <c r="I35563" s="711"/>
      <c r="J35563" s="711"/>
      <c r="K35563" s="711"/>
      <c r="L35563" s="711"/>
      <c r="Q35563" s="11"/>
      <c r="R35563" s="11"/>
      <c r="S35563" s="11"/>
      <c r="T35563" s="11"/>
    </row>
    <row r="35564" spans="8:20" x14ac:dyDescent="0.35">
      <c r="H35564" s="711"/>
      <c r="I35564" s="711"/>
      <c r="J35564" s="711"/>
      <c r="K35564" s="711"/>
      <c r="L35564" s="711"/>
      <c r="Q35564" s="11"/>
      <c r="R35564" s="11"/>
      <c r="S35564" s="11"/>
      <c r="T35564" s="11"/>
    </row>
    <row r="35565" spans="8:20" x14ac:dyDescent="0.35">
      <c r="H35565" s="711"/>
      <c r="I35565" s="711"/>
      <c r="J35565" s="711"/>
      <c r="K35565" s="711"/>
      <c r="L35565" s="711"/>
      <c r="Q35565" s="11"/>
      <c r="R35565" s="11"/>
      <c r="S35565" s="11"/>
      <c r="T35565" s="11"/>
    </row>
    <row r="35566" spans="8:20" x14ac:dyDescent="0.35">
      <c r="H35566" s="711"/>
      <c r="I35566" s="711"/>
      <c r="J35566" s="711"/>
      <c r="K35566" s="711"/>
      <c r="L35566" s="711"/>
      <c r="Q35566" s="11"/>
      <c r="R35566" s="11"/>
      <c r="S35566" s="11"/>
      <c r="T35566" s="11"/>
    </row>
    <row r="35567" spans="8:20" x14ac:dyDescent="0.35">
      <c r="H35567" s="711"/>
      <c r="I35567" s="711"/>
      <c r="J35567" s="711"/>
      <c r="K35567" s="711"/>
      <c r="L35567" s="711"/>
      <c r="Q35567" s="11"/>
      <c r="R35567" s="11"/>
      <c r="S35567" s="11"/>
      <c r="T35567" s="11"/>
    </row>
    <row r="35568" spans="8:20" x14ac:dyDescent="0.35">
      <c r="H35568" s="711"/>
      <c r="I35568" s="711"/>
      <c r="J35568" s="711"/>
      <c r="K35568" s="711"/>
      <c r="L35568" s="711"/>
      <c r="Q35568" s="11"/>
      <c r="R35568" s="11"/>
      <c r="S35568" s="11"/>
      <c r="T35568" s="11"/>
    </row>
    <row r="35569" spans="8:20" x14ac:dyDescent="0.35">
      <c r="H35569" s="711"/>
      <c r="I35569" s="711"/>
      <c r="J35569" s="711"/>
      <c r="K35569" s="711"/>
      <c r="L35569" s="711"/>
      <c r="Q35569" s="11"/>
      <c r="R35569" s="11"/>
      <c r="S35569" s="11"/>
      <c r="T35569" s="11"/>
    </row>
    <row r="35570" spans="8:20" x14ac:dyDescent="0.35">
      <c r="H35570" s="711"/>
      <c r="I35570" s="711"/>
      <c r="J35570" s="711"/>
      <c r="K35570" s="711"/>
      <c r="L35570" s="711"/>
      <c r="Q35570" s="11"/>
      <c r="R35570" s="11"/>
      <c r="S35570" s="11"/>
      <c r="T35570" s="11"/>
    </row>
    <row r="35571" spans="8:20" x14ac:dyDescent="0.35">
      <c r="H35571" s="711"/>
      <c r="I35571" s="711"/>
      <c r="J35571" s="711"/>
      <c r="K35571" s="711"/>
      <c r="L35571" s="711"/>
      <c r="Q35571" s="11"/>
      <c r="R35571" s="11"/>
      <c r="S35571" s="11"/>
      <c r="T35571" s="11"/>
    </row>
    <row r="35572" spans="8:20" x14ac:dyDescent="0.35">
      <c r="H35572" s="711"/>
      <c r="I35572" s="711"/>
      <c r="J35572" s="711"/>
      <c r="K35572" s="711"/>
      <c r="L35572" s="711"/>
      <c r="Q35572" s="11"/>
      <c r="R35572" s="11"/>
      <c r="S35572" s="11"/>
      <c r="T35572" s="11"/>
    </row>
    <row r="35573" spans="8:20" x14ac:dyDescent="0.35">
      <c r="H35573" s="711"/>
      <c r="I35573" s="711"/>
      <c r="J35573" s="711"/>
      <c r="K35573" s="711"/>
      <c r="L35573" s="711"/>
      <c r="Q35573" s="11"/>
      <c r="R35573" s="11"/>
      <c r="S35573" s="11"/>
      <c r="T35573" s="11"/>
    </row>
    <row r="35574" spans="8:20" x14ac:dyDescent="0.35">
      <c r="H35574" s="711"/>
      <c r="I35574" s="711"/>
      <c r="J35574" s="711"/>
      <c r="K35574" s="711"/>
      <c r="L35574" s="711"/>
      <c r="Q35574" s="11"/>
      <c r="R35574" s="11"/>
      <c r="S35574" s="11"/>
      <c r="T35574" s="11"/>
    </row>
    <row r="35575" spans="8:20" x14ac:dyDescent="0.35">
      <c r="H35575" s="711"/>
      <c r="I35575" s="711"/>
      <c r="J35575" s="711"/>
      <c r="K35575" s="711"/>
      <c r="L35575" s="711"/>
      <c r="Q35575" s="11"/>
      <c r="R35575" s="11"/>
      <c r="S35575" s="11"/>
      <c r="T35575" s="11"/>
    </row>
    <row r="35576" spans="8:20" x14ac:dyDescent="0.35">
      <c r="H35576" s="711"/>
      <c r="I35576" s="711"/>
      <c r="J35576" s="711"/>
      <c r="K35576" s="711"/>
      <c r="L35576" s="711"/>
      <c r="Q35576" s="11"/>
      <c r="R35576" s="11"/>
      <c r="S35576" s="11"/>
      <c r="T35576" s="11"/>
    </row>
    <row r="35577" spans="8:20" x14ac:dyDescent="0.35">
      <c r="H35577" s="711"/>
      <c r="I35577" s="711"/>
      <c r="J35577" s="711"/>
      <c r="K35577" s="711"/>
      <c r="L35577" s="711"/>
      <c r="Q35577" s="11"/>
      <c r="R35577" s="11"/>
      <c r="S35577" s="11"/>
      <c r="T35577" s="11"/>
    </row>
    <row r="35578" spans="8:20" x14ac:dyDescent="0.35">
      <c r="H35578" s="711"/>
      <c r="I35578" s="711"/>
      <c r="J35578" s="711"/>
      <c r="K35578" s="711"/>
      <c r="L35578" s="711"/>
      <c r="Q35578" s="11"/>
      <c r="R35578" s="11"/>
      <c r="S35578" s="11"/>
      <c r="T35578" s="11"/>
    </row>
    <row r="35579" spans="8:20" x14ac:dyDescent="0.35">
      <c r="H35579" s="711"/>
      <c r="I35579" s="711"/>
      <c r="J35579" s="711"/>
      <c r="K35579" s="711"/>
      <c r="L35579" s="711"/>
      <c r="Q35579" s="11"/>
      <c r="R35579" s="11"/>
      <c r="S35579" s="11"/>
      <c r="T35579" s="11"/>
    </row>
    <row r="35580" spans="8:20" x14ac:dyDescent="0.35">
      <c r="H35580" s="711"/>
      <c r="I35580" s="711"/>
      <c r="J35580" s="711"/>
      <c r="K35580" s="711"/>
      <c r="L35580" s="711"/>
      <c r="Q35580" s="11"/>
      <c r="R35580" s="11"/>
      <c r="S35580" s="11"/>
      <c r="T35580" s="11"/>
    </row>
    <row r="35581" spans="8:20" x14ac:dyDescent="0.35">
      <c r="H35581" s="711"/>
      <c r="I35581" s="711"/>
      <c r="J35581" s="711"/>
      <c r="K35581" s="711"/>
      <c r="L35581" s="711"/>
      <c r="Q35581" s="11"/>
      <c r="R35581" s="11"/>
      <c r="S35581" s="11"/>
      <c r="T35581" s="11"/>
    </row>
    <row r="35582" spans="8:20" x14ac:dyDescent="0.35">
      <c r="H35582" s="711"/>
      <c r="I35582" s="711"/>
      <c r="J35582" s="711"/>
      <c r="K35582" s="711"/>
      <c r="L35582" s="711"/>
      <c r="Q35582" s="11"/>
      <c r="R35582" s="11"/>
      <c r="S35582" s="11"/>
      <c r="T35582" s="11"/>
    </row>
    <row r="35583" spans="8:20" x14ac:dyDescent="0.35">
      <c r="H35583" s="711"/>
      <c r="I35583" s="711"/>
      <c r="J35583" s="711"/>
      <c r="K35583" s="711"/>
      <c r="L35583" s="711"/>
      <c r="Q35583" s="11"/>
      <c r="R35583" s="11"/>
      <c r="S35583" s="11"/>
      <c r="T35583" s="11"/>
    </row>
    <row r="35584" spans="8:20" x14ac:dyDescent="0.35">
      <c r="H35584" s="711"/>
      <c r="I35584" s="711"/>
      <c r="J35584" s="711"/>
      <c r="K35584" s="711"/>
      <c r="L35584" s="711"/>
      <c r="Q35584" s="11"/>
      <c r="R35584" s="11"/>
      <c r="S35584" s="11"/>
      <c r="T35584" s="11"/>
    </row>
    <row r="35585" spans="8:20" x14ac:dyDescent="0.35">
      <c r="H35585" s="711"/>
      <c r="I35585" s="711"/>
      <c r="J35585" s="711"/>
      <c r="K35585" s="711"/>
      <c r="L35585" s="711"/>
      <c r="Q35585" s="11"/>
      <c r="R35585" s="11"/>
      <c r="S35585" s="11"/>
      <c r="T35585" s="11"/>
    </row>
    <row r="35586" spans="8:20" x14ac:dyDescent="0.35">
      <c r="H35586" s="711"/>
      <c r="I35586" s="711"/>
      <c r="J35586" s="711"/>
      <c r="K35586" s="711"/>
      <c r="L35586" s="711"/>
      <c r="Q35586" s="11"/>
      <c r="R35586" s="11"/>
      <c r="S35586" s="11"/>
      <c r="T35586" s="11"/>
    </row>
    <row r="35587" spans="8:20" x14ac:dyDescent="0.35">
      <c r="H35587" s="711"/>
      <c r="I35587" s="711"/>
      <c r="J35587" s="711"/>
      <c r="K35587" s="711"/>
      <c r="L35587" s="711"/>
      <c r="Q35587" s="11"/>
      <c r="R35587" s="11"/>
      <c r="S35587" s="11"/>
      <c r="T35587" s="11"/>
    </row>
    <row r="35588" spans="8:20" x14ac:dyDescent="0.35">
      <c r="H35588" s="711"/>
      <c r="I35588" s="711"/>
      <c r="J35588" s="711"/>
      <c r="K35588" s="711"/>
      <c r="L35588" s="711"/>
      <c r="Q35588" s="11"/>
      <c r="R35588" s="11"/>
      <c r="S35588" s="11"/>
      <c r="T35588" s="11"/>
    </row>
    <row r="35589" spans="8:20" x14ac:dyDescent="0.35">
      <c r="H35589" s="711"/>
      <c r="I35589" s="711"/>
      <c r="J35589" s="711"/>
      <c r="K35589" s="711"/>
      <c r="L35589" s="711"/>
      <c r="Q35589" s="11"/>
      <c r="R35589" s="11"/>
      <c r="S35589" s="11"/>
      <c r="T35589" s="11"/>
    </row>
    <row r="35590" spans="8:20" x14ac:dyDescent="0.35">
      <c r="H35590" s="711"/>
      <c r="I35590" s="711"/>
      <c r="J35590" s="711"/>
      <c r="K35590" s="711"/>
      <c r="L35590" s="711"/>
      <c r="Q35590" s="11"/>
      <c r="R35590" s="11"/>
      <c r="S35590" s="11"/>
      <c r="T35590" s="11"/>
    </row>
    <row r="35591" spans="8:20" x14ac:dyDescent="0.35">
      <c r="H35591" s="711"/>
      <c r="I35591" s="711"/>
      <c r="J35591" s="711"/>
      <c r="K35591" s="711"/>
      <c r="L35591" s="711"/>
      <c r="Q35591" s="11"/>
      <c r="R35591" s="11"/>
      <c r="S35591" s="11"/>
      <c r="T35591" s="11"/>
    </row>
    <row r="35592" spans="8:20" x14ac:dyDescent="0.35">
      <c r="H35592" s="711"/>
      <c r="I35592" s="711"/>
      <c r="J35592" s="711"/>
      <c r="K35592" s="711"/>
      <c r="L35592" s="711"/>
      <c r="Q35592" s="11"/>
      <c r="R35592" s="11"/>
      <c r="S35592" s="11"/>
      <c r="T35592" s="11"/>
    </row>
    <row r="35593" spans="8:20" x14ac:dyDescent="0.35">
      <c r="H35593" s="711"/>
      <c r="I35593" s="711"/>
      <c r="J35593" s="711"/>
      <c r="K35593" s="711"/>
      <c r="L35593" s="711"/>
      <c r="Q35593" s="11"/>
      <c r="R35593" s="11"/>
      <c r="S35593" s="11"/>
      <c r="T35593" s="11"/>
    </row>
    <row r="35594" spans="8:20" x14ac:dyDescent="0.35">
      <c r="H35594" s="711"/>
      <c r="I35594" s="711"/>
      <c r="J35594" s="711"/>
      <c r="K35594" s="711"/>
      <c r="L35594" s="711"/>
      <c r="Q35594" s="11"/>
      <c r="R35594" s="11"/>
      <c r="S35594" s="11"/>
      <c r="T35594" s="11"/>
    </row>
    <row r="35595" spans="8:20" x14ac:dyDescent="0.35">
      <c r="H35595" s="711"/>
      <c r="I35595" s="711"/>
      <c r="J35595" s="711"/>
      <c r="K35595" s="711"/>
      <c r="L35595" s="711"/>
      <c r="Q35595" s="11"/>
      <c r="R35595" s="11"/>
      <c r="S35595" s="11"/>
      <c r="T35595" s="11"/>
    </row>
    <row r="35596" spans="8:20" x14ac:dyDescent="0.35">
      <c r="H35596" s="711"/>
      <c r="I35596" s="711"/>
      <c r="J35596" s="711"/>
      <c r="K35596" s="711"/>
      <c r="L35596" s="711"/>
      <c r="Q35596" s="11"/>
      <c r="R35596" s="11"/>
      <c r="S35596" s="11"/>
      <c r="T35596" s="11"/>
    </row>
    <row r="35597" spans="8:20" x14ac:dyDescent="0.35">
      <c r="H35597" s="711"/>
      <c r="I35597" s="711"/>
      <c r="J35597" s="711"/>
      <c r="K35597" s="711"/>
      <c r="L35597" s="711"/>
      <c r="Q35597" s="11"/>
      <c r="R35597" s="11"/>
      <c r="S35597" s="11"/>
      <c r="T35597" s="11"/>
    </row>
    <row r="35598" spans="8:20" x14ac:dyDescent="0.35">
      <c r="H35598" s="711"/>
      <c r="I35598" s="711"/>
      <c r="J35598" s="711"/>
      <c r="K35598" s="711"/>
      <c r="L35598" s="711"/>
      <c r="Q35598" s="11"/>
      <c r="R35598" s="11"/>
      <c r="S35598" s="11"/>
      <c r="T35598" s="11"/>
    </row>
    <row r="35599" spans="8:20" x14ac:dyDescent="0.35">
      <c r="H35599" s="711"/>
      <c r="I35599" s="711"/>
      <c r="J35599" s="711"/>
      <c r="K35599" s="711"/>
      <c r="L35599" s="711"/>
      <c r="Q35599" s="11"/>
      <c r="R35599" s="11"/>
      <c r="S35599" s="11"/>
      <c r="T35599" s="11"/>
    </row>
    <row r="35600" spans="8:20" x14ac:dyDescent="0.35">
      <c r="H35600" s="711"/>
      <c r="I35600" s="711"/>
      <c r="J35600" s="711"/>
      <c r="K35600" s="711"/>
      <c r="L35600" s="711"/>
      <c r="Q35600" s="11"/>
      <c r="R35600" s="11"/>
      <c r="S35600" s="11"/>
      <c r="T35600" s="11"/>
    </row>
    <row r="35601" spans="8:20" x14ac:dyDescent="0.35">
      <c r="H35601" s="711"/>
      <c r="I35601" s="711"/>
      <c r="J35601" s="711"/>
      <c r="K35601" s="711"/>
      <c r="L35601" s="711"/>
      <c r="Q35601" s="11"/>
      <c r="R35601" s="11"/>
      <c r="S35601" s="11"/>
      <c r="T35601" s="11"/>
    </row>
    <row r="35602" spans="8:20" x14ac:dyDescent="0.35">
      <c r="H35602" s="711"/>
      <c r="I35602" s="711"/>
      <c r="J35602" s="711"/>
      <c r="K35602" s="711"/>
      <c r="L35602" s="711"/>
      <c r="Q35602" s="11"/>
      <c r="R35602" s="11"/>
      <c r="S35602" s="11"/>
      <c r="T35602" s="11"/>
    </row>
    <row r="35603" spans="8:20" x14ac:dyDescent="0.35">
      <c r="H35603" s="711"/>
      <c r="I35603" s="711"/>
      <c r="J35603" s="711"/>
      <c r="K35603" s="711"/>
      <c r="L35603" s="711"/>
      <c r="Q35603" s="11"/>
      <c r="R35603" s="11"/>
      <c r="S35603" s="11"/>
      <c r="T35603" s="11"/>
    </row>
    <row r="35604" spans="8:20" x14ac:dyDescent="0.35">
      <c r="H35604" s="711"/>
      <c r="I35604" s="711"/>
      <c r="J35604" s="711"/>
      <c r="K35604" s="711"/>
      <c r="L35604" s="711"/>
      <c r="Q35604" s="11"/>
      <c r="R35604" s="11"/>
      <c r="S35604" s="11"/>
      <c r="T35604" s="11"/>
    </row>
    <row r="35605" spans="8:20" x14ac:dyDescent="0.35">
      <c r="H35605" s="711"/>
      <c r="I35605" s="711"/>
      <c r="J35605" s="711"/>
      <c r="K35605" s="711"/>
      <c r="L35605" s="711"/>
      <c r="Q35605" s="11"/>
      <c r="R35605" s="11"/>
      <c r="S35605" s="11"/>
      <c r="T35605" s="11"/>
    </row>
    <row r="35606" spans="8:20" x14ac:dyDescent="0.35">
      <c r="H35606" s="711"/>
      <c r="I35606" s="711"/>
      <c r="J35606" s="711"/>
      <c r="K35606" s="711"/>
      <c r="L35606" s="711"/>
      <c r="Q35606" s="11"/>
      <c r="R35606" s="11"/>
      <c r="S35606" s="11"/>
      <c r="T35606" s="11"/>
    </row>
    <row r="35607" spans="8:20" x14ac:dyDescent="0.35">
      <c r="H35607" s="711"/>
      <c r="I35607" s="711"/>
      <c r="J35607" s="711"/>
      <c r="K35607" s="711"/>
      <c r="L35607" s="711"/>
      <c r="Q35607" s="11"/>
      <c r="R35607" s="11"/>
      <c r="S35607" s="11"/>
      <c r="T35607" s="11"/>
    </row>
    <row r="35608" spans="8:20" x14ac:dyDescent="0.35">
      <c r="H35608" s="711"/>
      <c r="I35608" s="711"/>
      <c r="J35608" s="711"/>
      <c r="K35608" s="711"/>
      <c r="L35608" s="711"/>
      <c r="Q35608" s="11"/>
      <c r="R35608" s="11"/>
      <c r="S35608" s="11"/>
      <c r="T35608" s="11"/>
    </row>
    <row r="35609" spans="8:20" x14ac:dyDescent="0.35">
      <c r="H35609" s="711"/>
      <c r="I35609" s="711"/>
      <c r="J35609" s="711"/>
      <c r="K35609" s="711"/>
      <c r="L35609" s="711"/>
      <c r="Q35609" s="11"/>
      <c r="R35609" s="11"/>
      <c r="S35609" s="11"/>
      <c r="T35609" s="11"/>
    </row>
    <row r="35610" spans="8:20" x14ac:dyDescent="0.35">
      <c r="H35610" s="711"/>
      <c r="I35610" s="711"/>
      <c r="J35610" s="711"/>
      <c r="K35610" s="711"/>
      <c r="L35610" s="711"/>
      <c r="Q35610" s="11"/>
      <c r="R35610" s="11"/>
      <c r="S35610" s="11"/>
      <c r="T35610" s="11"/>
    </row>
    <row r="35611" spans="8:20" x14ac:dyDescent="0.35">
      <c r="H35611" s="711"/>
      <c r="I35611" s="711"/>
      <c r="J35611" s="711"/>
      <c r="K35611" s="711"/>
      <c r="L35611" s="711"/>
      <c r="Q35611" s="11"/>
      <c r="R35611" s="11"/>
      <c r="S35611" s="11"/>
      <c r="T35611" s="11"/>
    </row>
    <row r="35612" spans="8:20" x14ac:dyDescent="0.35">
      <c r="H35612" s="711"/>
      <c r="I35612" s="711"/>
      <c r="J35612" s="711"/>
      <c r="K35612" s="711"/>
      <c r="L35612" s="711"/>
      <c r="Q35612" s="11"/>
      <c r="R35612" s="11"/>
      <c r="S35612" s="11"/>
      <c r="T35612" s="11"/>
    </row>
    <row r="35613" spans="8:20" x14ac:dyDescent="0.35">
      <c r="H35613" s="711"/>
      <c r="I35613" s="711"/>
      <c r="J35613" s="711"/>
      <c r="K35613" s="711"/>
      <c r="L35613" s="711"/>
      <c r="Q35613" s="11"/>
      <c r="R35613" s="11"/>
      <c r="S35613" s="11"/>
      <c r="T35613" s="11"/>
    </row>
    <row r="35614" spans="8:20" x14ac:dyDescent="0.35">
      <c r="H35614" s="711"/>
      <c r="I35614" s="711"/>
      <c r="J35614" s="711"/>
      <c r="K35614" s="711"/>
      <c r="L35614" s="711"/>
      <c r="Q35614" s="11"/>
      <c r="R35614" s="11"/>
      <c r="S35614" s="11"/>
      <c r="T35614" s="11"/>
    </row>
    <row r="35615" spans="8:20" x14ac:dyDescent="0.35">
      <c r="H35615" s="711"/>
      <c r="I35615" s="711"/>
      <c r="J35615" s="711"/>
      <c r="K35615" s="711"/>
      <c r="L35615" s="711"/>
      <c r="Q35615" s="11"/>
      <c r="R35615" s="11"/>
      <c r="S35615" s="11"/>
      <c r="T35615" s="11"/>
    </row>
    <row r="35616" spans="8:20" x14ac:dyDescent="0.35">
      <c r="H35616" s="711"/>
      <c r="I35616" s="711"/>
      <c r="J35616" s="711"/>
      <c r="K35616" s="711"/>
      <c r="L35616" s="711"/>
      <c r="Q35616" s="11"/>
      <c r="R35616" s="11"/>
      <c r="S35616" s="11"/>
      <c r="T35616" s="11"/>
    </row>
    <row r="35617" spans="8:20" x14ac:dyDescent="0.35">
      <c r="H35617" s="711"/>
      <c r="I35617" s="711"/>
      <c r="J35617" s="711"/>
      <c r="K35617" s="711"/>
      <c r="L35617" s="711"/>
      <c r="Q35617" s="11"/>
      <c r="R35617" s="11"/>
      <c r="S35617" s="11"/>
      <c r="T35617" s="11"/>
    </row>
    <row r="35618" spans="8:20" x14ac:dyDescent="0.35">
      <c r="H35618" s="711"/>
      <c r="I35618" s="711"/>
      <c r="J35618" s="711"/>
      <c r="K35618" s="711"/>
      <c r="L35618" s="711"/>
      <c r="Q35618" s="11"/>
      <c r="R35618" s="11"/>
      <c r="S35618" s="11"/>
      <c r="T35618" s="11"/>
    </row>
    <row r="35619" spans="8:20" x14ac:dyDescent="0.35">
      <c r="H35619" s="711"/>
      <c r="I35619" s="711"/>
      <c r="J35619" s="711"/>
      <c r="K35619" s="711"/>
      <c r="L35619" s="711"/>
      <c r="Q35619" s="11"/>
      <c r="R35619" s="11"/>
      <c r="S35619" s="11"/>
      <c r="T35619" s="11"/>
    </row>
    <row r="35620" spans="8:20" x14ac:dyDescent="0.35">
      <c r="H35620" s="711"/>
      <c r="I35620" s="711"/>
      <c r="J35620" s="711"/>
      <c r="K35620" s="711"/>
      <c r="L35620" s="711"/>
      <c r="Q35620" s="11"/>
      <c r="R35620" s="11"/>
      <c r="S35620" s="11"/>
      <c r="T35620" s="11"/>
    </row>
    <row r="35621" spans="8:20" x14ac:dyDescent="0.35">
      <c r="H35621" s="711"/>
      <c r="I35621" s="711"/>
      <c r="J35621" s="711"/>
      <c r="K35621" s="711"/>
      <c r="L35621" s="711"/>
      <c r="Q35621" s="11"/>
      <c r="R35621" s="11"/>
      <c r="S35621" s="11"/>
      <c r="T35621" s="11"/>
    </row>
    <row r="35622" spans="8:20" x14ac:dyDescent="0.35">
      <c r="H35622" s="711"/>
      <c r="I35622" s="711"/>
      <c r="J35622" s="711"/>
      <c r="K35622" s="711"/>
      <c r="L35622" s="711"/>
      <c r="Q35622" s="11"/>
      <c r="R35622" s="11"/>
      <c r="S35622" s="11"/>
      <c r="T35622" s="11"/>
    </row>
    <row r="35623" spans="8:20" x14ac:dyDescent="0.35">
      <c r="H35623" s="711"/>
      <c r="I35623" s="711"/>
      <c r="J35623" s="711"/>
      <c r="K35623" s="711"/>
      <c r="L35623" s="711"/>
      <c r="Q35623" s="11"/>
      <c r="R35623" s="11"/>
      <c r="S35623" s="11"/>
      <c r="T35623" s="11"/>
    </row>
    <row r="35624" spans="8:20" x14ac:dyDescent="0.35">
      <c r="H35624" s="711"/>
      <c r="I35624" s="711"/>
      <c r="J35624" s="711"/>
      <c r="K35624" s="711"/>
      <c r="L35624" s="711"/>
      <c r="Q35624" s="11"/>
      <c r="R35624" s="11"/>
      <c r="S35624" s="11"/>
      <c r="T35624" s="11"/>
    </row>
    <row r="35625" spans="8:20" x14ac:dyDescent="0.35">
      <c r="H35625" s="711"/>
      <c r="I35625" s="711"/>
      <c r="J35625" s="711"/>
      <c r="K35625" s="711"/>
      <c r="L35625" s="711"/>
      <c r="Q35625" s="11"/>
      <c r="R35625" s="11"/>
      <c r="S35625" s="11"/>
      <c r="T35625" s="11"/>
    </row>
    <row r="35626" spans="8:20" x14ac:dyDescent="0.35">
      <c r="H35626" s="711"/>
      <c r="I35626" s="711"/>
      <c r="J35626" s="711"/>
      <c r="K35626" s="711"/>
      <c r="L35626" s="711"/>
      <c r="Q35626" s="11"/>
      <c r="R35626" s="11"/>
      <c r="S35626" s="11"/>
      <c r="T35626" s="11"/>
    </row>
    <row r="35627" spans="8:20" x14ac:dyDescent="0.35">
      <c r="H35627" s="711"/>
      <c r="I35627" s="711"/>
      <c r="J35627" s="711"/>
      <c r="K35627" s="711"/>
      <c r="L35627" s="711"/>
      <c r="Q35627" s="11"/>
      <c r="R35627" s="11"/>
      <c r="S35627" s="11"/>
      <c r="T35627" s="11"/>
    </row>
    <row r="35628" spans="8:20" x14ac:dyDescent="0.35">
      <c r="H35628" s="711"/>
      <c r="I35628" s="711"/>
      <c r="J35628" s="711"/>
      <c r="K35628" s="711"/>
      <c r="L35628" s="711"/>
      <c r="Q35628" s="11"/>
      <c r="R35628" s="11"/>
      <c r="S35628" s="11"/>
      <c r="T35628" s="11"/>
    </row>
    <row r="35629" spans="8:20" x14ac:dyDescent="0.35">
      <c r="H35629" s="711"/>
      <c r="I35629" s="711"/>
      <c r="J35629" s="711"/>
      <c r="K35629" s="711"/>
      <c r="L35629" s="711"/>
      <c r="Q35629" s="11"/>
      <c r="R35629" s="11"/>
      <c r="S35629" s="11"/>
      <c r="T35629" s="11"/>
    </row>
    <row r="35630" spans="8:20" x14ac:dyDescent="0.35">
      <c r="H35630" s="711"/>
      <c r="I35630" s="711"/>
      <c r="J35630" s="711"/>
      <c r="K35630" s="711"/>
      <c r="L35630" s="711"/>
      <c r="Q35630" s="11"/>
      <c r="R35630" s="11"/>
      <c r="S35630" s="11"/>
      <c r="T35630" s="11"/>
    </row>
    <row r="35631" spans="8:20" x14ac:dyDescent="0.35">
      <c r="H35631" s="711"/>
      <c r="I35631" s="711"/>
      <c r="J35631" s="711"/>
      <c r="K35631" s="711"/>
      <c r="L35631" s="711"/>
      <c r="Q35631" s="11"/>
      <c r="R35631" s="11"/>
      <c r="S35631" s="11"/>
      <c r="T35631" s="11"/>
    </row>
    <row r="35632" spans="8:20" x14ac:dyDescent="0.35">
      <c r="H35632" s="711"/>
      <c r="I35632" s="711"/>
      <c r="J35632" s="711"/>
      <c r="K35632" s="711"/>
      <c r="L35632" s="711"/>
      <c r="Q35632" s="11"/>
      <c r="R35632" s="11"/>
      <c r="S35632" s="11"/>
      <c r="T35632" s="11"/>
    </row>
    <row r="35633" spans="8:20" x14ac:dyDescent="0.35">
      <c r="H35633" s="711"/>
      <c r="I35633" s="711"/>
      <c r="J35633" s="711"/>
      <c r="K35633" s="711"/>
      <c r="L35633" s="711"/>
      <c r="Q35633" s="11"/>
      <c r="R35633" s="11"/>
      <c r="S35633" s="11"/>
      <c r="T35633" s="11"/>
    </row>
    <row r="35634" spans="8:20" x14ac:dyDescent="0.35">
      <c r="H35634" s="711"/>
      <c r="I35634" s="711"/>
      <c r="J35634" s="711"/>
      <c r="K35634" s="711"/>
      <c r="L35634" s="711"/>
      <c r="Q35634" s="11"/>
      <c r="R35634" s="11"/>
      <c r="S35634" s="11"/>
      <c r="T35634" s="11"/>
    </row>
    <row r="35635" spans="8:20" x14ac:dyDescent="0.35">
      <c r="H35635" s="711"/>
      <c r="I35635" s="711"/>
      <c r="J35635" s="711"/>
      <c r="K35635" s="711"/>
      <c r="L35635" s="711"/>
      <c r="Q35635" s="11"/>
      <c r="R35635" s="11"/>
      <c r="S35635" s="11"/>
      <c r="T35635" s="11"/>
    </row>
    <row r="35636" spans="8:20" x14ac:dyDescent="0.35">
      <c r="H35636" s="711"/>
      <c r="I35636" s="711"/>
      <c r="J35636" s="711"/>
      <c r="K35636" s="711"/>
      <c r="L35636" s="711"/>
      <c r="Q35636" s="11"/>
      <c r="R35636" s="11"/>
      <c r="S35636" s="11"/>
      <c r="T35636" s="11"/>
    </row>
    <row r="35637" spans="8:20" x14ac:dyDescent="0.35">
      <c r="H35637" s="711"/>
      <c r="I35637" s="711"/>
      <c r="J35637" s="711"/>
      <c r="K35637" s="711"/>
      <c r="L35637" s="711"/>
      <c r="Q35637" s="11"/>
      <c r="R35637" s="11"/>
      <c r="S35637" s="11"/>
      <c r="T35637" s="11"/>
    </row>
    <row r="35638" spans="8:20" x14ac:dyDescent="0.35">
      <c r="H35638" s="711"/>
      <c r="I35638" s="711"/>
      <c r="J35638" s="711"/>
      <c r="K35638" s="711"/>
      <c r="L35638" s="711"/>
      <c r="Q35638" s="11"/>
      <c r="R35638" s="11"/>
      <c r="S35638" s="11"/>
      <c r="T35638" s="11"/>
    </row>
    <row r="35639" spans="8:20" x14ac:dyDescent="0.35">
      <c r="H35639" s="711"/>
      <c r="I35639" s="711"/>
      <c r="J35639" s="711"/>
      <c r="K35639" s="711"/>
      <c r="L35639" s="711"/>
      <c r="Q35639" s="11"/>
      <c r="R35639" s="11"/>
      <c r="S35639" s="11"/>
      <c r="T35639" s="11"/>
    </row>
    <row r="35640" spans="8:20" x14ac:dyDescent="0.35">
      <c r="H35640" s="711"/>
      <c r="I35640" s="711"/>
      <c r="J35640" s="711"/>
      <c r="K35640" s="711"/>
      <c r="L35640" s="711"/>
      <c r="Q35640" s="11"/>
      <c r="R35640" s="11"/>
      <c r="S35640" s="11"/>
      <c r="T35640" s="11"/>
    </row>
    <row r="35641" spans="8:20" x14ac:dyDescent="0.35">
      <c r="H35641" s="711"/>
      <c r="I35641" s="711"/>
      <c r="J35641" s="711"/>
      <c r="K35641" s="711"/>
      <c r="L35641" s="711"/>
      <c r="Q35641" s="11"/>
      <c r="R35641" s="11"/>
      <c r="S35641" s="11"/>
      <c r="T35641" s="11"/>
    </row>
    <row r="35642" spans="8:20" x14ac:dyDescent="0.35">
      <c r="H35642" s="711"/>
      <c r="I35642" s="711"/>
      <c r="J35642" s="711"/>
      <c r="K35642" s="711"/>
      <c r="L35642" s="711"/>
      <c r="Q35642" s="11"/>
      <c r="R35642" s="11"/>
      <c r="S35642" s="11"/>
      <c r="T35642" s="11"/>
    </row>
    <row r="35643" spans="8:20" x14ac:dyDescent="0.35">
      <c r="H35643" s="711"/>
      <c r="I35643" s="711"/>
      <c r="J35643" s="711"/>
      <c r="K35643" s="711"/>
      <c r="L35643" s="711"/>
      <c r="Q35643" s="11"/>
      <c r="R35643" s="11"/>
      <c r="S35643" s="11"/>
      <c r="T35643" s="11"/>
    </row>
    <row r="35644" spans="8:20" x14ac:dyDescent="0.35">
      <c r="H35644" s="711"/>
      <c r="I35644" s="711"/>
      <c r="J35644" s="711"/>
      <c r="K35644" s="711"/>
      <c r="L35644" s="711"/>
      <c r="Q35644" s="11"/>
      <c r="R35644" s="11"/>
      <c r="S35644" s="11"/>
      <c r="T35644" s="11"/>
    </row>
    <row r="35645" spans="8:20" x14ac:dyDescent="0.35">
      <c r="H35645" s="711"/>
      <c r="I35645" s="711"/>
      <c r="J35645" s="711"/>
      <c r="K35645" s="711"/>
      <c r="L35645" s="711"/>
      <c r="Q35645" s="11"/>
      <c r="R35645" s="11"/>
      <c r="S35645" s="11"/>
      <c r="T35645" s="11"/>
    </row>
    <row r="35646" spans="8:20" x14ac:dyDescent="0.35">
      <c r="H35646" s="711"/>
      <c r="I35646" s="711"/>
      <c r="J35646" s="711"/>
      <c r="K35646" s="711"/>
      <c r="L35646" s="711"/>
      <c r="Q35646" s="11"/>
      <c r="R35646" s="11"/>
      <c r="S35646" s="11"/>
      <c r="T35646" s="11"/>
    </row>
    <row r="35647" spans="8:20" x14ac:dyDescent="0.35">
      <c r="H35647" s="711"/>
      <c r="I35647" s="711"/>
      <c r="J35647" s="711"/>
      <c r="K35647" s="711"/>
      <c r="L35647" s="711"/>
      <c r="Q35647" s="11"/>
      <c r="R35647" s="11"/>
      <c r="S35647" s="11"/>
      <c r="T35647" s="11"/>
    </row>
    <row r="35648" spans="8:20" x14ac:dyDescent="0.35">
      <c r="H35648" s="711"/>
      <c r="I35648" s="711"/>
      <c r="J35648" s="711"/>
      <c r="K35648" s="711"/>
      <c r="L35648" s="711"/>
      <c r="Q35648" s="11"/>
      <c r="R35648" s="11"/>
      <c r="S35648" s="11"/>
      <c r="T35648" s="11"/>
    </row>
    <row r="35649" spans="8:20" x14ac:dyDescent="0.35">
      <c r="H35649" s="711"/>
      <c r="I35649" s="711"/>
      <c r="J35649" s="711"/>
      <c r="K35649" s="711"/>
      <c r="L35649" s="711"/>
      <c r="Q35649" s="11"/>
      <c r="R35649" s="11"/>
      <c r="S35649" s="11"/>
      <c r="T35649" s="11"/>
    </row>
    <row r="35650" spans="8:20" x14ac:dyDescent="0.35">
      <c r="H35650" s="711"/>
      <c r="I35650" s="711"/>
      <c r="J35650" s="711"/>
      <c r="K35650" s="711"/>
      <c r="L35650" s="711"/>
      <c r="Q35650" s="11"/>
      <c r="R35650" s="11"/>
      <c r="S35650" s="11"/>
      <c r="T35650" s="11"/>
    </row>
    <row r="35651" spans="8:20" x14ac:dyDescent="0.35">
      <c r="H35651" s="711"/>
      <c r="I35651" s="711"/>
      <c r="J35651" s="711"/>
      <c r="K35651" s="711"/>
      <c r="L35651" s="711"/>
      <c r="Q35651" s="11"/>
      <c r="R35651" s="11"/>
      <c r="S35651" s="11"/>
      <c r="T35651" s="11"/>
    </row>
    <row r="35652" spans="8:20" x14ac:dyDescent="0.35">
      <c r="H35652" s="711"/>
      <c r="I35652" s="711"/>
      <c r="J35652" s="711"/>
      <c r="K35652" s="711"/>
      <c r="L35652" s="711"/>
      <c r="Q35652" s="11"/>
      <c r="R35652" s="11"/>
      <c r="S35652" s="11"/>
      <c r="T35652" s="11"/>
    </row>
    <row r="35653" spans="8:20" x14ac:dyDescent="0.35">
      <c r="H35653" s="711"/>
      <c r="I35653" s="711"/>
      <c r="J35653" s="711"/>
      <c r="K35653" s="711"/>
      <c r="L35653" s="711"/>
      <c r="Q35653" s="11"/>
      <c r="R35653" s="11"/>
      <c r="S35653" s="11"/>
      <c r="T35653" s="11"/>
    </row>
    <row r="35654" spans="8:20" x14ac:dyDescent="0.35">
      <c r="H35654" s="711"/>
      <c r="I35654" s="711"/>
      <c r="J35654" s="711"/>
      <c r="K35654" s="711"/>
      <c r="L35654" s="711"/>
      <c r="Q35654" s="11"/>
      <c r="R35654" s="11"/>
      <c r="S35654" s="11"/>
      <c r="T35654" s="11"/>
    </row>
    <row r="35655" spans="8:20" x14ac:dyDescent="0.35">
      <c r="H35655" s="711"/>
      <c r="I35655" s="711"/>
      <c r="J35655" s="711"/>
      <c r="K35655" s="711"/>
      <c r="L35655" s="711"/>
      <c r="Q35655" s="11"/>
      <c r="R35655" s="11"/>
      <c r="S35655" s="11"/>
      <c r="T35655" s="11"/>
    </row>
    <row r="35656" spans="8:20" x14ac:dyDescent="0.35">
      <c r="H35656" s="711"/>
      <c r="I35656" s="711"/>
      <c r="J35656" s="711"/>
      <c r="K35656" s="711"/>
      <c r="L35656" s="711"/>
      <c r="Q35656" s="11"/>
      <c r="R35656" s="11"/>
      <c r="S35656" s="11"/>
      <c r="T35656" s="11"/>
    </row>
    <row r="35657" spans="8:20" x14ac:dyDescent="0.35">
      <c r="H35657" s="711"/>
      <c r="I35657" s="711"/>
      <c r="J35657" s="711"/>
      <c r="K35657" s="711"/>
      <c r="L35657" s="711"/>
      <c r="Q35657" s="11"/>
      <c r="R35657" s="11"/>
      <c r="S35657" s="11"/>
      <c r="T35657" s="11"/>
    </row>
    <row r="35658" spans="8:20" x14ac:dyDescent="0.35">
      <c r="H35658" s="711"/>
      <c r="I35658" s="711"/>
      <c r="J35658" s="711"/>
      <c r="K35658" s="711"/>
      <c r="L35658" s="711"/>
      <c r="Q35658" s="11"/>
      <c r="R35658" s="11"/>
      <c r="S35658" s="11"/>
      <c r="T35658" s="11"/>
    </row>
    <row r="35659" spans="8:20" x14ac:dyDescent="0.35">
      <c r="H35659" s="711"/>
      <c r="I35659" s="711"/>
      <c r="J35659" s="711"/>
      <c r="K35659" s="711"/>
      <c r="L35659" s="711"/>
      <c r="Q35659" s="11"/>
      <c r="R35659" s="11"/>
      <c r="S35659" s="11"/>
      <c r="T35659" s="11"/>
    </row>
    <row r="35660" spans="8:20" x14ac:dyDescent="0.35">
      <c r="H35660" s="711"/>
      <c r="I35660" s="711"/>
      <c r="J35660" s="711"/>
      <c r="K35660" s="711"/>
      <c r="L35660" s="711"/>
      <c r="Q35660" s="11"/>
      <c r="R35660" s="11"/>
      <c r="S35660" s="11"/>
      <c r="T35660" s="11"/>
    </row>
    <row r="35661" spans="8:20" x14ac:dyDescent="0.35">
      <c r="H35661" s="711"/>
      <c r="I35661" s="711"/>
      <c r="J35661" s="711"/>
      <c r="K35661" s="711"/>
      <c r="L35661" s="711"/>
      <c r="Q35661" s="11"/>
      <c r="R35661" s="11"/>
      <c r="S35661" s="11"/>
      <c r="T35661" s="11"/>
    </row>
    <row r="35662" spans="8:20" x14ac:dyDescent="0.35">
      <c r="H35662" s="711"/>
      <c r="I35662" s="711"/>
      <c r="J35662" s="711"/>
      <c r="K35662" s="711"/>
      <c r="L35662" s="711"/>
      <c r="Q35662" s="11"/>
      <c r="R35662" s="11"/>
      <c r="S35662" s="11"/>
      <c r="T35662" s="11"/>
    </row>
    <row r="35663" spans="8:20" x14ac:dyDescent="0.35">
      <c r="H35663" s="711"/>
      <c r="I35663" s="711"/>
      <c r="J35663" s="711"/>
      <c r="K35663" s="711"/>
      <c r="L35663" s="711"/>
      <c r="Q35663" s="11"/>
      <c r="R35663" s="11"/>
      <c r="S35663" s="11"/>
      <c r="T35663" s="11"/>
    </row>
    <row r="35664" spans="8:20" x14ac:dyDescent="0.35">
      <c r="H35664" s="711"/>
      <c r="I35664" s="711"/>
      <c r="J35664" s="711"/>
      <c r="K35664" s="711"/>
      <c r="L35664" s="711"/>
      <c r="Q35664" s="11"/>
      <c r="R35664" s="11"/>
      <c r="S35664" s="11"/>
      <c r="T35664" s="11"/>
    </row>
    <row r="35665" spans="8:20" x14ac:dyDescent="0.35">
      <c r="H35665" s="711"/>
      <c r="I35665" s="711"/>
      <c r="J35665" s="711"/>
      <c r="K35665" s="711"/>
      <c r="L35665" s="711"/>
      <c r="Q35665" s="11"/>
      <c r="R35665" s="11"/>
      <c r="S35665" s="11"/>
      <c r="T35665" s="11"/>
    </row>
    <row r="35666" spans="8:20" x14ac:dyDescent="0.35">
      <c r="H35666" s="711"/>
      <c r="I35666" s="711"/>
      <c r="J35666" s="711"/>
      <c r="K35666" s="711"/>
      <c r="L35666" s="711"/>
      <c r="Q35666" s="11"/>
      <c r="R35666" s="11"/>
      <c r="S35666" s="11"/>
      <c r="T35666" s="11"/>
    </row>
    <row r="35667" spans="8:20" x14ac:dyDescent="0.35">
      <c r="H35667" s="711"/>
      <c r="I35667" s="711"/>
      <c r="J35667" s="711"/>
      <c r="K35667" s="711"/>
      <c r="L35667" s="711"/>
      <c r="Q35667" s="11"/>
      <c r="R35667" s="11"/>
      <c r="S35667" s="11"/>
      <c r="T35667" s="11"/>
    </row>
    <row r="35668" spans="8:20" x14ac:dyDescent="0.35">
      <c r="H35668" s="711"/>
      <c r="I35668" s="711"/>
      <c r="J35668" s="711"/>
      <c r="K35668" s="711"/>
      <c r="L35668" s="711"/>
      <c r="Q35668" s="11"/>
      <c r="R35668" s="11"/>
      <c r="S35668" s="11"/>
      <c r="T35668" s="11"/>
    </row>
    <row r="35669" spans="8:20" x14ac:dyDescent="0.35">
      <c r="H35669" s="711"/>
      <c r="I35669" s="711"/>
      <c r="J35669" s="711"/>
      <c r="K35669" s="711"/>
      <c r="L35669" s="711"/>
      <c r="Q35669" s="11"/>
      <c r="R35669" s="11"/>
      <c r="S35669" s="11"/>
      <c r="T35669" s="11"/>
    </row>
    <row r="35670" spans="8:20" x14ac:dyDescent="0.35">
      <c r="H35670" s="711"/>
      <c r="I35670" s="711"/>
      <c r="J35670" s="711"/>
      <c r="K35670" s="711"/>
      <c r="L35670" s="711"/>
      <c r="Q35670" s="11"/>
      <c r="R35670" s="11"/>
      <c r="S35670" s="11"/>
      <c r="T35670" s="11"/>
    </row>
    <row r="35671" spans="8:20" x14ac:dyDescent="0.35">
      <c r="H35671" s="711"/>
      <c r="I35671" s="711"/>
      <c r="J35671" s="711"/>
      <c r="K35671" s="711"/>
      <c r="L35671" s="711"/>
      <c r="Q35671" s="11"/>
      <c r="R35671" s="11"/>
      <c r="S35671" s="11"/>
      <c r="T35671" s="11"/>
    </row>
    <row r="35672" spans="8:20" x14ac:dyDescent="0.35">
      <c r="H35672" s="711"/>
      <c r="I35672" s="711"/>
      <c r="J35672" s="711"/>
      <c r="K35672" s="711"/>
      <c r="L35672" s="711"/>
      <c r="Q35672" s="11"/>
      <c r="R35672" s="11"/>
      <c r="S35672" s="11"/>
      <c r="T35672" s="11"/>
    </row>
    <row r="35673" spans="8:20" x14ac:dyDescent="0.35">
      <c r="H35673" s="711"/>
      <c r="I35673" s="711"/>
      <c r="J35673" s="711"/>
      <c r="K35673" s="711"/>
      <c r="L35673" s="711"/>
      <c r="Q35673" s="11"/>
      <c r="R35673" s="11"/>
      <c r="S35673" s="11"/>
      <c r="T35673" s="11"/>
    </row>
    <row r="35674" spans="8:20" x14ac:dyDescent="0.35">
      <c r="H35674" s="711"/>
      <c r="I35674" s="711"/>
      <c r="J35674" s="711"/>
      <c r="K35674" s="711"/>
      <c r="L35674" s="711"/>
      <c r="Q35674" s="11"/>
      <c r="R35674" s="11"/>
      <c r="S35674" s="11"/>
      <c r="T35674" s="11"/>
    </row>
    <row r="35675" spans="8:20" x14ac:dyDescent="0.35">
      <c r="H35675" s="711"/>
      <c r="I35675" s="711"/>
      <c r="J35675" s="711"/>
      <c r="K35675" s="711"/>
      <c r="L35675" s="711"/>
      <c r="Q35675" s="11"/>
      <c r="R35675" s="11"/>
      <c r="S35675" s="11"/>
      <c r="T35675" s="11"/>
    </row>
    <row r="35676" spans="8:20" x14ac:dyDescent="0.35">
      <c r="H35676" s="711"/>
      <c r="I35676" s="711"/>
      <c r="J35676" s="711"/>
      <c r="K35676" s="711"/>
      <c r="L35676" s="711"/>
      <c r="Q35676" s="11"/>
      <c r="R35676" s="11"/>
      <c r="S35676" s="11"/>
      <c r="T35676" s="11"/>
    </row>
    <row r="35677" spans="8:20" x14ac:dyDescent="0.35">
      <c r="H35677" s="711"/>
      <c r="I35677" s="711"/>
      <c r="J35677" s="711"/>
      <c r="K35677" s="711"/>
      <c r="L35677" s="711"/>
      <c r="Q35677" s="11"/>
      <c r="R35677" s="11"/>
      <c r="S35677" s="11"/>
      <c r="T35677" s="11"/>
    </row>
    <row r="35678" spans="8:20" x14ac:dyDescent="0.35">
      <c r="H35678" s="711"/>
      <c r="I35678" s="711"/>
      <c r="J35678" s="711"/>
      <c r="K35678" s="711"/>
      <c r="L35678" s="711"/>
      <c r="Q35678" s="11"/>
      <c r="R35678" s="11"/>
      <c r="S35678" s="11"/>
      <c r="T35678" s="11"/>
    </row>
    <row r="35679" spans="8:20" x14ac:dyDescent="0.35">
      <c r="H35679" s="711"/>
      <c r="I35679" s="711"/>
      <c r="J35679" s="711"/>
      <c r="K35679" s="711"/>
      <c r="L35679" s="711"/>
      <c r="Q35679" s="11"/>
      <c r="R35679" s="11"/>
      <c r="S35679" s="11"/>
      <c r="T35679" s="11"/>
    </row>
    <row r="35680" spans="8:20" x14ac:dyDescent="0.35">
      <c r="H35680" s="711"/>
      <c r="I35680" s="711"/>
      <c r="J35680" s="711"/>
      <c r="K35680" s="711"/>
      <c r="L35680" s="711"/>
      <c r="Q35680" s="11"/>
      <c r="R35680" s="11"/>
      <c r="S35680" s="11"/>
      <c r="T35680" s="11"/>
    </row>
    <row r="35681" spans="8:20" x14ac:dyDescent="0.35">
      <c r="H35681" s="711"/>
      <c r="I35681" s="711"/>
      <c r="J35681" s="711"/>
      <c r="K35681" s="711"/>
      <c r="L35681" s="711"/>
      <c r="Q35681" s="11"/>
      <c r="R35681" s="11"/>
      <c r="S35681" s="11"/>
      <c r="T35681" s="11"/>
    </row>
    <row r="35682" spans="8:20" x14ac:dyDescent="0.35">
      <c r="H35682" s="711"/>
      <c r="I35682" s="711"/>
      <c r="J35682" s="711"/>
      <c r="K35682" s="711"/>
      <c r="L35682" s="711"/>
      <c r="Q35682" s="11"/>
      <c r="R35682" s="11"/>
      <c r="S35682" s="11"/>
      <c r="T35682" s="11"/>
    </row>
    <row r="35683" spans="8:20" x14ac:dyDescent="0.35">
      <c r="H35683" s="711"/>
      <c r="I35683" s="711"/>
      <c r="J35683" s="711"/>
      <c r="K35683" s="711"/>
      <c r="L35683" s="711"/>
      <c r="Q35683" s="11"/>
      <c r="R35683" s="11"/>
      <c r="S35683" s="11"/>
      <c r="T35683" s="11"/>
    </row>
    <row r="35684" spans="8:20" x14ac:dyDescent="0.35">
      <c r="H35684" s="711"/>
      <c r="I35684" s="711"/>
      <c r="J35684" s="711"/>
      <c r="K35684" s="711"/>
      <c r="L35684" s="711"/>
      <c r="Q35684" s="11"/>
      <c r="R35684" s="11"/>
      <c r="S35684" s="11"/>
      <c r="T35684" s="11"/>
    </row>
    <row r="35685" spans="8:20" x14ac:dyDescent="0.35">
      <c r="H35685" s="711"/>
      <c r="I35685" s="711"/>
      <c r="J35685" s="711"/>
      <c r="K35685" s="711"/>
      <c r="L35685" s="711"/>
      <c r="Q35685" s="11"/>
      <c r="R35685" s="11"/>
      <c r="S35685" s="11"/>
      <c r="T35685" s="11"/>
    </row>
    <row r="35686" spans="8:20" x14ac:dyDescent="0.35">
      <c r="H35686" s="711"/>
      <c r="I35686" s="711"/>
      <c r="J35686" s="711"/>
      <c r="K35686" s="711"/>
      <c r="L35686" s="711"/>
      <c r="Q35686" s="11"/>
      <c r="R35686" s="11"/>
      <c r="S35686" s="11"/>
      <c r="T35686" s="11"/>
    </row>
    <row r="35687" spans="8:20" x14ac:dyDescent="0.35">
      <c r="H35687" s="711"/>
      <c r="I35687" s="711"/>
      <c r="J35687" s="711"/>
      <c r="K35687" s="711"/>
      <c r="L35687" s="711"/>
      <c r="Q35687" s="11"/>
      <c r="R35687" s="11"/>
      <c r="S35687" s="11"/>
      <c r="T35687" s="11"/>
    </row>
    <row r="35688" spans="8:20" x14ac:dyDescent="0.35">
      <c r="H35688" s="711"/>
      <c r="I35688" s="711"/>
      <c r="J35688" s="711"/>
      <c r="K35688" s="711"/>
      <c r="L35688" s="711"/>
      <c r="Q35688" s="11"/>
      <c r="R35688" s="11"/>
      <c r="S35688" s="11"/>
      <c r="T35688" s="11"/>
    </row>
    <row r="35689" spans="8:20" x14ac:dyDescent="0.35">
      <c r="H35689" s="711"/>
      <c r="I35689" s="711"/>
      <c r="J35689" s="711"/>
      <c r="K35689" s="711"/>
      <c r="L35689" s="711"/>
      <c r="Q35689" s="11"/>
      <c r="R35689" s="11"/>
      <c r="S35689" s="11"/>
      <c r="T35689" s="11"/>
    </row>
    <row r="35690" spans="8:20" x14ac:dyDescent="0.35">
      <c r="H35690" s="711"/>
      <c r="I35690" s="711"/>
      <c r="J35690" s="711"/>
      <c r="K35690" s="711"/>
      <c r="L35690" s="711"/>
      <c r="Q35690" s="11"/>
      <c r="R35690" s="11"/>
      <c r="S35690" s="11"/>
      <c r="T35690" s="11"/>
    </row>
    <row r="35691" spans="8:20" x14ac:dyDescent="0.35">
      <c r="H35691" s="711"/>
      <c r="I35691" s="711"/>
      <c r="J35691" s="711"/>
      <c r="K35691" s="711"/>
      <c r="L35691" s="711"/>
      <c r="Q35691" s="11"/>
      <c r="R35691" s="11"/>
      <c r="S35691" s="11"/>
      <c r="T35691" s="11"/>
    </row>
    <row r="35692" spans="8:20" x14ac:dyDescent="0.35">
      <c r="H35692" s="711"/>
      <c r="I35692" s="711"/>
      <c r="J35692" s="711"/>
      <c r="K35692" s="711"/>
      <c r="L35692" s="711"/>
      <c r="Q35692" s="11"/>
      <c r="R35692" s="11"/>
      <c r="S35692" s="11"/>
      <c r="T35692" s="11"/>
    </row>
    <row r="35693" spans="8:20" x14ac:dyDescent="0.35">
      <c r="H35693" s="711"/>
      <c r="I35693" s="711"/>
      <c r="J35693" s="711"/>
      <c r="K35693" s="711"/>
      <c r="L35693" s="711"/>
      <c r="Q35693" s="11"/>
      <c r="R35693" s="11"/>
      <c r="S35693" s="11"/>
      <c r="T35693" s="11"/>
    </row>
    <row r="35694" spans="8:20" x14ac:dyDescent="0.35">
      <c r="H35694" s="711"/>
      <c r="I35694" s="711"/>
      <c r="J35694" s="711"/>
      <c r="K35694" s="711"/>
      <c r="L35694" s="711"/>
      <c r="Q35694" s="11"/>
      <c r="R35694" s="11"/>
      <c r="S35694" s="11"/>
      <c r="T35694" s="11"/>
    </row>
    <row r="35695" spans="8:20" x14ac:dyDescent="0.35">
      <c r="H35695" s="711"/>
      <c r="I35695" s="711"/>
      <c r="J35695" s="711"/>
      <c r="K35695" s="711"/>
      <c r="L35695" s="711"/>
      <c r="Q35695" s="11"/>
      <c r="R35695" s="11"/>
      <c r="S35695" s="11"/>
      <c r="T35695" s="11"/>
    </row>
    <row r="35696" spans="8:20" x14ac:dyDescent="0.35">
      <c r="H35696" s="711"/>
      <c r="I35696" s="711"/>
      <c r="J35696" s="711"/>
      <c r="K35696" s="711"/>
      <c r="L35696" s="711"/>
      <c r="Q35696" s="11"/>
      <c r="R35696" s="11"/>
      <c r="S35696" s="11"/>
      <c r="T35696" s="11"/>
    </row>
    <row r="35697" spans="8:20" x14ac:dyDescent="0.35">
      <c r="H35697" s="711"/>
      <c r="I35697" s="711"/>
      <c r="J35697" s="711"/>
      <c r="K35697" s="711"/>
      <c r="L35697" s="711"/>
      <c r="Q35697" s="11"/>
      <c r="R35697" s="11"/>
      <c r="S35697" s="11"/>
      <c r="T35697" s="11"/>
    </row>
    <row r="35698" spans="8:20" x14ac:dyDescent="0.35">
      <c r="H35698" s="711"/>
      <c r="I35698" s="711"/>
      <c r="J35698" s="711"/>
      <c r="K35698" s="711"/>
      <c r="L35698" s="711"/>
      <c r="Q35698" s="11"/>
      <c r="R35698" s="11"/>
      <c r="S35698" s="11"/>
      <c r="T35698" s="11"/>
    </row>
    <row r="35699" spans="8:20" x14ac:dyDescent="0.35">
      <c r="H35699" s="711"/>
      <c r="I35699" s="711"/>
      <c r="J35699" s="711"/>
      <c r="K35699" s="711"/>
      <c r="L35699" s="711"/>
      <c r="Q35699" s="11"/>
      <c r="R35699" s="11"/>
      <c r="S35699" s="11"/>
      <c r="T35699" s="11"/>
    </row>
    <row r="35700" spans="8:20" x14ac:dyDescent="0.35">
      <c r="H35700" s="711"/>
      <c r="I35700" s="711"/>
      <c r="J35700" s="711"/>
      <c r="K35700" s="711"/>
      <c r="L35700" s="711"/>
      <c r="Q35700" s="11"/>
      <c r="R35700" s="11"/>
      <c r="S35700" s="11"/>
      <c r="T35700" s="11"/>
    </row>
    <row r="35701" spans="8:20" x14ac:dyDescent="0.35">
      <c r="H35701" s="711"/>
      <c r="I35701" s="711"/>
      <c r="J35701" s="711"/>
      <c r="K35701" s="711"/>
      <c r="L35701" s="711"/>
      <c r="Q35701" s="11"/>
      <c r="R35701" s="11"/>
      <c r="S35701" s="11"/>
      <c r="T35701" s="11"/>
    </row>
    <row r="35702" spans="8:20" x14ac:dyDescent="0.35">
      <c r="H35702" s="711"/>
      <c r="I35702" s="711"/>
      <c r="J35702" s="711"/>
      <c r="K35702" s="711"/>
      <c r="L35702" s="711"/>
      <c r="Q35702" s="11"/>
      <c r="R35702" s="11"/>
      <c r="S35702" s="11"/>
      <c r="T35702" s="11"/>
    </row>
    <row r="35703" spans="8:20" x14ac:dyDescent="0.35">
      <c r="H35703" s="711"/>
      <c r="I35703" s="711"/>
      <c r="J35703" s="711"/>
      <c r="K35703" s="711"/>
      <c r="L35703" s="711"/>
      <c r="Q35703" s="11"/>
      <c r="R35703" s="11"/>
      <c r="S35703" s="11"/>
      <c r="T35703" s="11"/>
    </row>
    <row r="35704" spans="8:20" x14ac:dyDescent="0.35">
      <c r="H35704" s="711"/>
      <c r="I35704" s="711"/>
      <c r="J35704" s="711"/>
      <c r="K35704" s="711"/>
      <c r="L35704" s="711"/>
      <c r="Q35704" s="11"/>
      <c r="R35704" s="11"/>
      <c r="S35704" s="11"/>
      <c r="T35704" s="11"/>
    </row>
    <row r="35705" spans="8:20" x14ac:dyDescent="0.35">
      <c r="H35705" s="711"/>
      <c r="I35705" s="711"/>
      <c r="J35705" s="711"/>
      <c r="K35705" s="711"/>
      <c r="L35705" s="711"/>
      <c r="Q35705" s="11"/>
      <c r="R35705" s="11"/>
      <c r="S35705" s="11"/>
      <c r="T35705" s="11"/>
    </row>
    <row r="35706" spans="8:20" x14ac:dyDescent="0.35">
      <c r="H35706" s="711"/>
      <c r="I35706" s="711"/>
      <c r="J35706" s="711"/>
      <c r="K35706" s="711"/>
      <c r="L35706" s="711"/>
      <c r="Q35706" s="11"/>
      <c r="R35706" s="11"/>
      <c r="S35706" s="11"/>
      <c r="T35706" s="11"/>
    </row>
    <row r="35707" spans="8:20" x14ac:dyDescent="0.35">
      <c r="H35707" s="711"/>
      <c r="I35707" s="711"/>
      <c r="J35707" s="711"/>
      <c r="K35707" s="711"/>
      <c r="L35707" s="711"/>
      <c r="Q35707" s="11"/>
      <c r="R35707" s="11"/>
      <c r="S35707" s="11"/>
      <c r="T35707" s="11"/>
    </row>
    <row r="35708" spans="8:20" x14ac:dyDescent="0.35">
      <c r="H35708" s="711"/>
      <c r="I35708" s="711"/>
      <c r="J35708" s="711"/>
      <c r="K35708" s="711"/>
      <c r="L35708" s="711"/>
      <c r="Q35708" s="11"/>
      <c r="R35708" s="11"/>
      <c r="S35708" s="11"/>
      <c r="T35708" s="11"/>
    </row>
    <row r="35709" spans="8:20" x14ac:dyDescent="0.35">
      <c r="H35709" s="711"/>
      <c r="I35709" s="711"/>
      <c r="J35709" s="711"/>
      <c r="K35709" s="711"/>
      <c r="L35709" s="711"/>
      <c r="Q35709" s="11"/>
      <c r="R35709" s="11"/>
      <c r="S35709" s="11"/>
      <c r="T35709" s="11"/>
    </row>
    <row r="35710" spans="8:20" x14ac:dyDescent="0.35">
      <c r="H35710" s="711"/>
      <c r="I35710" s="711"/>
      <c r="J35710" s="711"/>
      <c r="K35710" s="711"/>
      <c r="L35710" s="711"/>
      <c r="Q35710" s="11"/>
      <c r="R35710" s="11"/>
      <c r="S35710" s="11"/>
      <c r="T35710" s="11"/>
    </row>
    <row r="35711" spans="8:20" x14ac:dyDescent="0.35">
      <c r="H35711" s="711"/>
      <c r="I35711" s="711"/>
      <c r="J35711" s="711"/>
      <c r="K35711" s="711"/>
      <c r="L35711" s="711"/>
      <c r="Q35711" s="11"/>
      <c r="R35711" s="11"/>
      <c r="S35711" s="11"/>
      <c r="T35711" s="11"/>
    </row>
    <row r="35712" spans="8:20" x14ac:dyDescent="0.35">
      <c r="H35712" s="711"/>
      <c r="I35712" s="711"/>
      <c r="J35712" s="711"/>
      <c r="K35712" s="711"/>
      <c r="L35712" s="711"/>
      <c r="Q35712" s="11"/>
      <c r="R35712" s="11"/>
      <c r="S35712" s="11"/>
      <c r="T35712" s="11"/>
    </row>
    <row r="35713" spans="8:20" x14ac:dyDescent="0.35">
      <c r="H35713" s="711"/>
      <c r="I35713" s="711"/>
      <c r="J35713" s="711"/>
      <c r="K35713" s="711"/>
      <c r="L35713" s="711"/>
      <c r="Q35713" s="11"/>
      <c r="R35713" s="11"/>
      <c r="S35713" s="11"/>
      <c r="T35713" s="11"/>
    </row>
    <row r="35714" spans="8:20" x14ac:dyDescent="0.35">
      <c r="H35714" s="711"/>
      <c r="I35714" s="711"/>
      <c r="J35714" s="711"/>
      <c r="K35714" s="711"/>
      <c r="L35714" s="711"/>
      <c r="Q35714" s="11"/>
      <c r="R35714" s="11"/>
      <c r="S35714" s="11"/>
      <c r="T35714" s="11"/>
    </row>
    <row r="35715" spans="8:20" x14ac:dyDescent="0.35">
      <c r="H35715" s="711"/>
      <c r="I35715" s="711"/>
      <c r="J35715" s="711"/>
      <c r="K35715" s="711"/>
      <c r="L35715" s="711"/>
      <c r="Q35715" s="11"/>
      <c r="R35715" s="11"/>
      <c r="S35715" s="11"/>
      <c r="T35715" s="11"/>
    </row>
    <row r="35716" spans="8:20" x14ac:dyDescent="0.35">
      <c r="H35716" s="711"/>
      <c r="I35716" s="711"/>
      <c r="J35716" s="711"/>
      <c r="K35716" s="711"/>
      <c r="L35716" s="711"/>
      <c r="Q35716" s="11"/>
      <c r="R35716" s="11"/>
      <c r="S35716" s="11"/>
      <c r="T35716" s="11"/>
    </row>
    <row r="35717" spans="8:20" x14ac:dyDescent="0.35">
      <c r="H35717" s="711"/>
      <c r="I35717" s="711"/>
      <c r="J35717" s="711"/>
      <c r="K35717" s="711"/>
      <c r="L35717" s="711"/>
      <c r="Q35717" s="11"/>
      <c r="R35717" s="11"/>
      <c r="S35717" s="11"/>
      <c r="T35717" s="11"/>
    </row>
    <row r="35718" spans="8:20" x14ac:dyDescent="0.35">
      <c r="H35718" s="711"/>
      <c r="I35718" s="711"/>
      <c r="J35718" s="711"/>
      <c r="K35718" s="711"/>
      <c r="L35718" s="711"/>
      <c r="Q35718" s="11"/>
      <c r="R35718" s="11"/>
      <c r="S35718" s="11"/>
      <c r="T35718" s="11"/>
    </row>
    <row r="35719" spans="8:20" x14ac:dyDescent="0.35">
      <c r="H35719" s="711"/>
      <c r="I35719" s="711"/>
      <c r="J35719" s="711"/>
      <c r="K35719" s="711"/>
      <c r="L35719" s="711"/>
      <c r="Q35719" s="11"/>
      <c r="R35719" s="11"/>
      <c r="S35719" s="11"/>
      <c r="T35719" s="11"/>
    </row>
    <row r="35720" spans="8:20" x14ac:dyDescent="0.35">
      <c r="H35720" s="711"/>
      <c r="I35720" s="711"/>
      <c r="J35720" s="711"/>
      <c r="K35720" s="711"/>
      <c r="L35720" s="711"/>
      <c r="Q35720" s="11"/>
      <c r="R35720" s="11"/>
      <c r="S35720" s="11"/>
      <c r="T35720" s="11"/>
    </row>
    <row r="35721" spans="8:20" x14ac:dyDescent="0.35">
      <c r="H35721" s="711"/>
      <c r="I35721" s="711"/>
      <c r="J35721" s="711"/>
      <c r="K35721" s="711"/>
      <c r="L35721" s="711"/>
      <c r="Q35721" s="11"/>
      <c r="R35721" s="11"/>
      <c r="S35721" s="11"/>
      <c r="T35721" s="11"/>
    </row>
    <row r="35722" spans="8:20" x14ac:dyDescent="0.35">
      <c r="H35722" s="711"/>
      <c r="I35722" s="711"/>
      <c r="J35722" s="711"/>
      <c r="K35722" s="711"/>
      <c r="L35722" s="711"/>
      <c r="Q35722" s="11"/>
      <c r="R35722" s="11"/>
      <c r="S35722" s="11"/>
      <c r="T35722" s="11"/>
    </row>
    <row r="35723" spans="8:20" x14ac:dyDescent="0.35">
      <c r="H35723" s="711"/>
      <c r="I35723" s="711"/>
      <c r="J35723" s="711"/>
      <c r="K35723" s="711"/>
      <c r="L35723" s="711"/>
      <c r="Q35723" s="11"/>
      <c r="R35723" s="11"/>
      <c r="S35723" s="11"/>
      <c r="T35723" s="11"/>
    </row>
    <row r="35724" spans="8:20" x14ac:dyDescent="0.35">
      <c r="H35724" s="711"/>
      <c r="I35724" s="711"/>
      <c r="J35724" s="711"/>
      <c r="K35724" s="711"/>
      <c r="L35724" s="711"/>
      <c r="Q35724" s="11"/>
      <c r="R35724" s="11"/>
      <c r="S35724" s="11"/>
      <c r="T35724" s="11"/>
    </row>
    <row r="35725" spans="8:20" x14ac:dyDescent="0.35">
      <c r="H35725" s="711"/>
      <c r="I35725" s="711"/>
      <c r="J35725" s="711"/>
      <c r="K35725" s="711"/>
      <c r="L35725" s="711"/>
      <c r="Q35725" s="11"/>
      <c r="R35725" s="11"/>
      <c r="S35725" s="11"/>
      <c r="T35725" s="11"/>
    </row>
    <row r="35726" spans="8:20" x14ac:dyDescent="0.35">
      <c r="H35726" s="711"/>
      <c r="I35726" s="711"/>
      <c r="J35726" s="711"/>
      <c r="K35726" s="711"/>
      <c r="L35726" s="711"/>
      <c r="Q35726" s="11"/>
      <c r="R35726" s="11"/>
      <c r="S35726" s="11"/>
      <c r="T35726" s="11"/>
    </row>
    <row r="35727" spans="8:20" x14ac:dyDescent="0.35">
      <c r="H35727" s="711"/>
      <c r="I35727" s="711"/>
      <c r="J35727" s="711"/>
      <c r="K35727" s="711"/>
      <c r="L35727" s="711"/>
      <c r="Q35727" s="11"/>
      <c r="R35727" s="11"/>
      <c r="S35727" s="11"/>
      <c r="T35727" s="11"/>
    </row>
    <row r="35728" spans="8:20" x14ac:dyDescent="0.35">
      <c r="H35728" s="711"/>
      <c r="I35728" s="711"/>
      <c r="J35728" s="711"/>
      <c r="K35728" s="711"/>
      <c r="L35728" s="711"/>
      <c r="Q35728" s="11"/>
      <c r="R35728" s="11"/>
      <c r="S35728" s="11"/>
      <c r="T35728" s="11"/>
    </row>
    <row r="35729" spans="8:20" x14ac:dyDescent="0.35">
      <c r="H35729" s="711"/>
      <c r="I35729" s="711"/>
      <c r="J35729" s="711"/>
      <c r="K35729" s="711"/>
      <c r="L35729" s="711"/>
      <c r="Q35729" s="11"/>
      <c r="R35729" s="11"/>
      <c r="S35729" s="11"/>
      <c r="T35729" s="11"/>
    </row>
    <row r="35730" spans="8:20" x14ac:dyDescent="0.35">
      <c r="H35730" s="711"/>
      <c r="I35730" s="711"/>
      <c r="J35730" s="711"/>
      <c r="K35730" s="711"/>
      <c r="L35730" s="711"/>
      <c r="Q35730" s="11"/>
      <c r="R35730" s="11"/>
      <c r="S35730" s="11"/>
      <c r="T35730" s="11"/>
    </row>
    <row r="35731" spans="8:20" x14ac:dyDescent="0.35">
      <c r="H35731" s="711"/>
      <c r="I35731" s="711"/>
      <c r="J35731" s="711"/>
      <c r="K35731" s="711"/>
      <c r="L35731" s="711"/>
      <c r="Q35731" s="11"/>
      <c r="R35731" s="11"/>
      <c r="S35731" s="11"/>
      <c r="T35731" s="11"/>
    </row>
    <row r="35732" spans="8:20" x14ac:dyDescent="0.35">
      <c r="H35732" s="711"/>
      <c r="I35732" s="711"/>
      <c r="J35732" s="711"/>
      <c r="K35732" s="711"/>
      <c r="L35732" s="711"/>
      <c r="Q35732" s="11"/>
      <c r="R35732" s="11"/>
      <c r="S35732" s="11"/>
      <c r="T35732" s="11"/>
    </row>
    <row r="35733" spans="8:20" x14ac:dyDescent="0.35">
      <c r="H35733" s="711"/>
      <c r="I35733" s="711"/>
      <c r="J35733" s="711"/>
      <c r="K35733" s="711"/>
      <c r="L35733" s="711"/>
      <c r="Q35733" s="11"/>
      <c r="R35733" s="11"/>
      <c r="S35733" s="11"/>
      <c r="T35733" s="11"/>
    </row>
    <row r="35734" spans="8:20" x14ac:dyDescent="0.35">
      <c r="H35734" s="711"/>
      <c r="I35734" s="711"/>
      <c r="J35734" s="711"/>
      <c r="K35734" s="711"/>
      <c r="L35734" s="711"/>
      <c r="Q35734" s="11"/>
      <c r="R35734" s="11"/>
      <c r="S35734" s="11"/>
      <c r="T35734" s="11"/>
    </row>
    <row r="35735" spans="8:20" x14ac:dyDescent="0.35">
      <c r="H35735" s="711"/>
      <c r="I35735" s="711"/>
      <c r="J35735" s="711"/>
      <c r="K35735" s="711"/>
      <c r="L35735" s="711"/>
      <c r="Q35735" s="11"/>
      <c r="R35735" s="11"/>
      <c r="S35735" s="11"/>
      <c r="T35735" s="11"/>
    </row>
    <row r="35736" spans="8:20" x14ac:dyDescent="0.35">
      <c r="H35736" s="711"/>
      <c r="I35736" s="711"/>
      <c r="J35736" s="711"/>
      <c r="K35736" s="711"/>
      <c r="L35736" s="711"/>
      <c r="Q35736" s="11"/>
      <c r="R35736" s="11"/>
      <c r="S35736" s="11"/>
      <c r="T35736" s="11"/>
    </row>
    <row r="35737" spans="8:20" x14ac:dyDescent="0.35">
      <c r="H35737" s="711"/>
      <c r="I35737" s="711"/>
      <c r="J35737" s="711"/>
      <c r="K35737" s="711"/>
      <c r="L35737" s="711"/>
      <c r="Q35737" s="11"/>
      <c r="R35737" s="11"/>
      <c r="S35737" s="11"/>
      <c r="T35737" s="11"/>
    </row>
    <row r="35738" spans="8:20" x14ac:dyDescent="0.35">
      <c r="H35738" s="711"/>
      <c r="I35738" s="711"/>
      <c r="J35738" s="711"/>
      <c r="K35738" s="711"/>
      <c r="L35738" s="711"/>
      <c r="Q35738" s="11"/>
      <c r="R35738" s="11"/>
      <c r="S35738" s="11"/>
      <c r="T35738" s="11"/>
    </row>
    <row r="35739" spans="8:20" x14ac:dyDescent="0.35">
      <c r="H35739" s="711"/>
      <c r="I35739" s="711"/>
      <c r="J35739" s="711"/>
      <c r="K35739" s="711"/>
      <c r="L35739" s="711"/>
      <c r="Q35739" s="11"/>
      <c r="R35739" s="11"/>
      <c r="S35739" s="11"/>
      <c r="T35739" s="11"/>
    </row>
    <row r="35740" spans="8:20" x14ac:dyDescent="0.35">
      <c r="H35740" s="711"/>
      <c r="I35740" s="711"/>
      <c r="J35740" s="711"/>
      <c r="K35740" s="711"/>
      <c r="L35740" s="711"/>
      <c r="Q35740" s="11"/>
      <c r="R35740" s="11"/>
      <c r="S35740" s="11"/>
      <c r="T35740" s="11"/>
    </row>
    <row r="35741" spans="8:20" x14ac:dyDescent="0.35">
      <c r="H35741" s="711"/>
      <c r="I35741" s="711"/>
      <c r="J35741" s="711"/>
      <c r="K35741" s="711"/>
      <c r="L35741" s="711"/>
      <c r="Q35741" s="11"/>
      <c r="R35741" s="11"/>
      <c r="S35741" s="11"/>
      <c r="T35741" s="11"/>
    </row>
    <row r="35742" spans="8:20" x14ac:dyDescent="0.35">
      <c r="H35742" s="711"/>
      <c r="I35742" s="711"/>
      <c r="J35742" s="711"/>
      <c r="K35742" s="711"/>
      <c r="L35742" s="711"/>
      <c r="Q35742" s="11"/>
      <c r="R35742" s="11"/>
      <c r="S35742" s="11"/>
      <c r="T35742" s="11"/>
    </row>
    <row r="35743" spans="8:20" x14ac:dyDescent="0.35">
      <c r="H35743" s="711"/>
      <c r="I35743" s="711"/>
      <c r="J35743" s="711"/>
      <c r="K35743" s="711"/>
      <c r="L35743" s="711"/>
      <c r="Q35743" s="11"/>
      <c r="R35743" s="11"/>
      <c r="S35743" s="11"/>
      <c r="T35743" s="11"/>
    </row>
    <row r="35744" spans="8:20" x14ac:dyDescent="0.35">
      <c r="H35744" s="711"/>
      <c r="I35744" s="711"/>
      <c r="J35744" s="711"/>
      <c r="K35744" s="711"/>
      <c r="L35744" s="711"/>
      <c r="Q35744" s="11"/>
      <c r="R35744" s="11"/>
      <c r="S35744" s="11"/>
      <c r="T35744" s="11"/>
    </row>
    <row r="35745" spans="8:20" x14ac:dyDescent="0.35">
      <c r="H35745" s="711"/>
      <c r="I35745" s="711"/>
      <c r="J35745" s="711"/>
      <c r="K35745" s="711"/>
      <c r="L35745" s="711"/>
      <c r="Q35745" s="11"/>
      <c r="R35745" s="11"/>
      <c r="S35745" s="11"/>
      <c r="T35745" s="11"/>
    </row>
    <row r="35746" spans="8:20" x14ac:dyDescent="0.35">
      <c r="H35746" s="711"/>
      <c r="I35746" s="711"/>
      <c r="J35746" s="711"/>
      <c r="K35746" s="711"/>
      <c r="L35746" s="711"/>
      <c r="Q35746" s="11"/>
      <c r="R35746" s="11"/>
      <c r="S35746" s="11"/>
      <c r="T35746" s="11"/>
    </row>
    <row r="35747" spans="8:20" x14ac:dyDescent="0.35">
      <c r="H35747" s="711"/>
      <c r="I35747" s="711"/>
      <c r="J35747" s="711"/>
      <c r="K35747" s="711"/>
      <c r="L35747" s="711"/>
      <c r="Q35747" s="11"/>
      <c r="R35747" s="11"/>
      <c r="S35747" s="11"/>
      <c r="T35747" s="11"/>
    </row>
    <row r="35748" spans="8:20" x14ac:dyDescent="0.35">
      <c r="H35748" s="711"/>
      <c r="I35748" s="711"/>
      <c r="J35748" s="711"/>
      <c r="K35748" s="711"/>
      <c r="L35748" s="711"/>
      <c r="Q35748" s="11"/>
      <c r="R35748" s="11"/>
      <c r="S35748" s="11"/>
      <c r="T35748" s="11"/>
    </row>
    <row r="35749" spans="8:20" x14ac:dyDescent="0.35">
      <c r="H35749" s="711"/>
      <c r="I35749" s="711"/>
      <c r="J35749" s="711"/>
      <c r="K35749" s="711"/>
      <c r="L35749" s="711"/>
      <c r="Q35749" s="11"/>
      <c r="R35749" s="11"/>
      <c r="S35749" s="11"/>
      <c r="T35749" s="11"/>
    </row>
    <row r="35750" spans="8:20" x14ac:dyDescent="0.35">
      <c r="H35750" s="711"/>
      <c r="I35750" s="711"/>
      <c r="J35750" s="711"/>
      <c r="K35750" s="711"/>
      <c r="L35750" s="711"/>
      <c r="Q35750" s="11"/>
      <c r="R35750" s="11"/>
      <c r="S35750" s="11"/>
      <c r="T35750" s="11"/>
    </row>
    <row r="35751" spans="8:20" x14ac:dyDescent="0.35">
      <c r="H35751" s="711"/>
      <c r="I35751" s="711"/>
      <c r="J35751" s="711"/>
      <c r="K35751" s="711"/>
      <c r="L35751" s="711"/>
      <c r="Q35751" s="11"/>
      <c r="R35751" s="11"/>
      <c r="S35751" s="11"/>
      <c r="T35751" s="11"/>
    </row>
    <row r="35752" spans="8:20" x14ac:dyDescent="0.35">
      <c r="H35752" s="711"/>
      <c r="I35752" s="711"/>
      <c r="J35752" s="711"/>
      <c r="K35752" s="711"/>
      <c r="L35752" s="711"/>
      <c r="Q35752" s="11"/>
      <c r="R35752" s="11"/>
      <c r="S35752" s="11"/>
      <c r="T35752" s="11"/>
    </row>
    <row r="35753" spans="8:20" x14ac:dyDescent="0.35">
      <c r="H35753" s="711"/>
      <c r="I35753" s="711"/>
      <c r="J35753" s="711"/>
      <c r="K35753" s="711"/>
      <c r="L35753" s="711"/>
      <c r="Q35753" s="11"/>
      <c r="R35753" s="11"/>
      <c r="S35753" s="11"/>
      <c r="T35753" s="11"/>
    </row>
    <row r="35754" spans="8:20" x14ac:dyDescent="0.35">
      <c r="H35754" s="711"/>
      <c r="I35754" s="711"/>
      <c r="J35754" s="711"/>
      <c r="K35754" s="711"/>
      <c r="L35754" s="711"/>
      <c r="Q35754" s="11"/>
      <c r="R35754" s="11"/>
      <c r="S35754" s="11"/>
      <c r="T35754" s="11"/>
    </row>
    <row r="35755" spans="8:20" x14ac:dyDescent="0.35">
      <c r="H35755" s="711"/>
      <c r="I35755" s="711"/>
      <c r="J35755" s="711"/>
      <c r="K35755" s="711"/>
      <c r="L35755" s="711"/>
      <c r="Q35755" s="11"/>
      <c r="R35755" s="11"/>
      <c r="S35755" s="11"/>
      <c r="T35755" s="11"/>
    </row>
    <row r="35756" spans="8:20" x14ac:dyDescent="0.35">
      <c r="H35756" s="711"/>
      <c r="I35756" s="711"/>
      <c r="J35756" s="711"/>
      <c r="K35756" s="711"/>
      <c r="L35756" s="711"/>
      <c r="Q35756" s="11"/>
      <c r="R35756" s="11"/>
      <c r="S35756" s="11"/>
      <c r="T35756" s="11"/>
    </row>
    <row r="35757" spans="8:20" x14ac:dyDescent="0.35">
      <c r="H35757" s="711"/>
      <c r="I35757" s="711"/>
      <c r="J35757" s="711"/>
      <c r="K35757" s="711"/>
      <c r="L35757" s="711"/>
      <c r="Q35757" s="11"/>
      <c r="R35757" s="11"/>
      <c r="S35757" s="11"/>
      <c r="T35757" s="11"/>
    </row>
    <row r="35758" spans="8:20" x14ac:dyDescent="0.35">
      <c r="H35758" s="711"/>
      <c r="I35758" s="711"/>
      <c r="J35758" s="711"/>
      <c r="K35758" s="711"/>
      <c r="L35758" s="711"/>
      <c r="Q35758" s="11"/>
      <c r="R35758" s="11"/>
      <c r="S35758" s="11"/>
      <c r="T35758" s="11"/>
    </row>
    <row r="35759" spans="8:20" x14ac:dyDescent="0.35">
      <c r="H35759" s="711"/>
      <c r="I35759" s="711"/>
      <c r="J35759" s="711"/>
      <c r="K35759" s="711"/>
      <c r="L35759" s="711"/>
      <c r="Q35759" s="11"/>
      <c r="R35759" s="11"/>
      <c r="S35759" s="11"/>
      <c r="T35759" s="11"/>
    </row>
    <row r="35760" spans="8:20" x14ac:dyDescent="0.35">
      <c r="H35760" s="711"/>
      <c r="I35760" s="711"/>
      <c r="J35760" s="711"/>
      <c r="K35760" s="711"/>
      <c r="L35760" s="711"/>
      <c r="Q35760" s="11"/>
      <c r="R35760" s="11"/>
      <c r="S35760" s="11"/>
      <c r="T35760" s="11"/>
    </row>
    <row r="35761" spans="8:20" x14ac:dyDescent="0.35">
      <c r="H35761" s="711"/>
      <c r="I35761" s="711"/>
      <c r="J35761" s="711"/>
      <c r="K35761" s="711"/>
      <c r="L35761" s="711"/>
      <c r="Q35761" s="11"/>
      <c r="R35761" s="11"/>
      <c r="S35761" s="11"/>
      <c r="T35761" s="11"/>
    </row>
    <row r="35762" spans="8:20" x14ac:dyDescent="0.35">
      <c r="H35762" s="711"/>
      <c r="I35762" s="711"/>
      <c r="J35762" s="711"/>
      <c r="K35762" s="711"/>
      <c r="L35762" s="711"/>
      <c r="Q35762" s="11"/>
      <c r="R35762" s="11"/>
      <c r="S35762" s="11"/>
      <c r="T35762" s="11"/>
    </row>
    <row r="35763" spans="8:20" x14ac:dyDescent="0.35">
      <c r="H35763" s="711"/>
      <c r="I35763" s="711"/>
      <c r="J35763" s="711"/>
      <c r="K35763" s="711"/>
      <c r="L35763" s="711"/>
      <c r="Q35763" s="11"/>
      <c r="R35763" s="11"/>
      <c r="S35763" s="11"/>
      <c r="T35763" s="11"/>
    </row>
    <row r="35764" spans="8:20" x14ac:dyDescent="0.35">
      <c r="H35764" s="711"/>
      <c r="I35764" s="711"/>
      <c r="J35764" s="711"/>
      <c r="K35764" s="711"/>
      <c r="L35764" s="711"/>
      <c r="Q35764" s="11"/>
      <c r="R35764" s="11"/>
      <c r="S35764" s="11"/>
      <c r="T35764" s="11"/>
    </row>
    <row r="35765" spans="8:20" x14ac:dyDescent="0.35">
      <c r="H35765" s="711"/>
      <c r="I35765" s="711"/>
      <c r="J35765" s="711"/>
      <c r="K35765" s="711"/>
      <c r="L35765" s="711"/>
      <c r="Q35765" s="11"/>
      <c r="R35765" s="11"/>
      <c r="S35765" s="11"/>
      <c r="T35765" s="11"/>
    </row>
    <row r="35766" spans="8:20" x14ac:dyDescent="0.35">
      <c r="H35766" s="711"/>
      <c r="I35766" s="711"/>
      <c r="J35766" s="711"/>
      <c r="K35766" s="711"/>
      <c r="L35766" s="711"/>
      <c r="Q35766" s="11"/>
      <c r="R35766" s="11"/>
      <c r="S35766" s="11"/>
      <c r="T35766" s="11"/>
    </row>
    <row r="35767" spans="8:20" x14ac:dyDescent="0.35">
      <c r="H35767" s="711"/>
      <c r="I35767" s="711"/>
      <c r="J35767" s="711"/>
      <c r="K35767" s="711"/>
      <c r="L35767" s="711"/>
      <c r="Q35767" s="11"/>
      <c r="R35767" s="11"/>
      <c r="S35767" s="11"/>
      <c r="T35767" s="11"/>
    </row>
    <row r="35768" spans="8:20" x14ac:dyDescent="0.35">
      <c r="H35768" s="711"/>
      <c r="I35768" s="711"/>
      <c r="J35768" s="711"/>
      <c r="K35768" s="711"/>
      <c r="L35768" s="711"/>
      <c r="Q35768" s="11"/>
      <c r="R35768" s="11"/>
      <c r="S35768" s="11"/>
      <c r="T35768" s="11"/>
    </row>
    <row r="35769" spans="8:20" x14ac:dyDescent="0.35">
      <c r="H35769" s="711"/>
      <c r="I35769" s="711"/>
      <c r="J35769" s="711"/>
      <c r="K35769" s="711"/>
      <c r="L35769" s="711"/>
      <c r="Q35769" s="11"/>
      <c r="R35769" s="11"/>
      <c r="S35769" s="11"/>
      <c r="T35769" s="11"/>
    </row>
    <row r="35770" spans="8:20" x14ac:dyDescent="0.35">
      <c r="H35770" s="711"/>
      <c r="I35770" s="711"/>
      <c r="J35770" s="711"/>
      <c r="K35770" s="711"/>
      <c r="L35770" s="711"/>
      <c r="Q35770" s="11"/>
      <c r="R35770" s="11"/>
      <c r="S35770" s="11"/>
      <c r="T35770" s="11"/>
    </row>
    <row r="35771" spans="8:20" x14ac:dyDescent="0.35">
      <c r="H35771" s="711"/>
      <c r="I35771" s="711"/>
      <c r="J35771" s="711"/>
      <c r="K35771" s="711"/>
      <c r="L35771" s="711"/>
      <c r="Q35771" s="11"/>
      <c r="R35771" s="11"/>
      <c r="S35771" s="11"/>
      <c r="T35771" s="11"/>
    </row>
    <row r="35772" spans="8:20" x14ac:dyDescent="0.35">
      <c r="H35772" s="711"/>
      <c r="I35772" s="711"/>
      <c r="J35772" s="711"/>
      <c r="K35772" s="711"/>
      <c r="L35772" s="711"/>
      <c r="Q35772" s="11"/>
      <c r="R35772" s="11"/>
      <c r="S35772" s="11"/>
      <c r="T35772" s="11"/>
    </row>
    <row r="35773" spans="8:20" x14ac:dyDescent="0.35">
      <c r="H35773" s="711"/>
      <c r="I35773" s="711"/>
      <c r="J35773" s="711"/>
      <c r="K35773" s="711"/>
      <c r="L35773" s="711"/>
      <c r="Q35773" s="11"/>
      <c r="R35773" s="11"/>
      <c r="S35773" s="11"/>
      <c r="T35773" s="11"/>
    </row>
    <row r="35774" spans="8:20" x14ac:dyDescent="0.35">
      <c r="H35774" s="711"/>
      <c r="I35774" s="711"/>
      <c r="J35774" s="711"/>
      <c r="K35774" s="711"/>
      <c r="L35774" s="711"/>
      <c r="Q35774" s="11"/>
      <c r="R35774" s="11"/>
      <c r="S35774" s="11"/>
      <c r="T35774" s="11"/>
    </row>
    <row r="35775" spans="8:20" x14ac:dyDescent="0.35">
      <c r="H35775" s="711"/>
      <c r="I35775" s="711"/>
      <c r="J35775" s="711"/>
      <c r="K35775" s="711"/>
      <c r="L35775" s="711"/>
      <c r="Q35775" s="11"/>
      <c r="R35775" s="11"/>
      <c r="S35775" s="11"/>
      <c r="T35775" s="11"/>
    </row>
    <row r="35776" spans="8:20" x14ac:dyDescent="0.35">
      <c r="H35776" s="711"/>
      <c r="I35776" s="711"/>
      <c r="J35776" s="711"/>
      <c r="K35776" s="711"/>
      <c r="L35776" s="711"/>
      <c r="Q35776" s="11"/>
      <c r="R35776" s="11"/>
      <c r="S35776" s="11"/>
      <c r="T35776" s="11"/>
    </row>
    <row r="35777" spans="8:20" x14ac:dyDescent="0.35">
      <c r="H35777" s="711"/>
      <c r="I35777" s="711"/>
      <c r="J35777" s="711"/>
      <c r="K35777" s="711"/>
      <c r="L35777" s="711"/>
      <c r="Q35777" s="11"/>
      <c r="R35777" s="11"/>
      <c r="S35777" s="11"/>
      <c r="T35777" s="11"/>
    </row>
    <row r="35778" spans="8:20" x14ac:dyDescent="0.35">
      <c r="H35778" s="711"/>
      <c r="I35778" s="711"/>
      <c r="J35778" s="711"/>
      <c r="K35778" s="711"/>
      <c r="L35778" s="711"/>
      <c r="Q35778" s="11"/>
      <c r="R35778" s="11"/>
      <c r="S35778" s="11"/>
      <c r="T35778" s="11"/>
    </row>
    <row r="35779" spans="8:20" x14ac:dyDescent="0.35">
      <c r="H35779" s="711"/>
      <c r="I35779" s="711"/>
      <c r="J35779" s="711"/>
      <c r="K35779" s="711"/>
      <c r="L35779" s="711"/>
      <c r="Q35779" s="11"/>
      <c r="R35779" s="11"/>
      <c r="S35779" s="11"/>
      <c r="T35779" s="11"/>
    </row>
    <row r="35780" spans="8:20" x14ac:dyDescent="0.35">
      <c r="H35780" s="711"/>
      <c r="I35780" s="711"/>
      <c r="J35780" s="711"/>
      <c r="K35780" s="711"/>
      <c r="L35780" s="711"/>
      <c r="Q35780" s="11"/>
      <c r="R35780" s="11"/>
      <c r="S35780" s="11"/>
      <c r="T35780" s="11"/>
    </row>
    <row r="35781" spans="8:20" x14ac:dyDescent="0.35">
      <c r="H35781" s="711"/>
      <c r="I35781" s="711"/>
      <c r="J35781" s="711"/>
      <c r="K35781" s="711"/>
      <c r="L35781" s="711"/>
      <c r="Q35781" s="11"/>
      <c r="R35781" s="11"/>
      <c r="S35781" s="11"/>
      <c r="T35781" s="11"/>
    </row>
    <row r="35782" spans="8:20" x14ac:dyDescent="0.35">
      <c r="H35782" s="711"/>
      <c r="I35782" s="711"/>
      <c r="J35782" s="711"/>
      <c r="K35782" s="711"/>
      <c r="L35782" s="711"/>
      <c r="Q35782" s="11"/>
      <c r="R35782" s="11"/>
      <c r="S35782" s="11"/>
      <c r="T35782" s="11"/>
    </row>
    <row r="35783" spans="8:20" x14ac:dyDescent="0.35">
      <c r="H35783" s="711"/>
      <c r="I35783" s="711"/>
      <c r="J35783" s="711"/>
      <c r="K35783" s="711"/>
      <c r="L35783" s="711"/>
      <c r="Q35783" s="11"/>
      <c r="R35783" s="11"/>
      <c r="S35783" s="11"/>
      <c r="T35783" s="11"/>
    </row>
    <row r="35784" spans="8:20" x14ac:dyDescent="0.35">
      <c r="H35784" s="711"/>
      <c r="I35784" s="711"/>
      <c r="J35784" s="711"/>
      <c r="K35784" s="711"/>
      <c r="L35784" s="711"/>
      <c r="Q35784" s="11"/>
      <c r="R35784" s="11"/>
      <c r="S35784" s="11"/>
      <c r="T35784" s="11"/>
    </row>
    <row r="35785" spans="8:20" x14ac:dyDescent="0.35">
      <c r="H35785" s="711"/>
      <c r="I35785" s="711"/>
      <c r="J35785" s="711"/>
      <c r="K35785" s="711"/>
      <c r="L35785" s="711"/>
      <c r="Q35785" s="11"/>
      <c r="R35785" s="11"/>
      <c r="S35785" s="11"/>
      <c r="T35785" s="11"/>
    </row>
    <row r="35786" spans="8:20" x14ac:dyDescent="0.35">
      <c r="H35786" s="711"/>
      <c r="I35786" s="711"/>
      <c r="J35786" s="711"/>
      <c r="K35786" s="711"/>
      <c r="L35786" s="711"/>
      <c r="Q35786" s="11"/>
      <c r="R35786" s="11"/>
      <c r="S35786" s="11"/>
      <c r="T35786" s="11"/>
    </row>
    <row r="35787" spans="8:20" x14ac:dyDescent="0.35">
      <c r="H35787" s="711"/>
      <c r="I35787" s="711"/>
      <c r="J35787" s="711"/>
      <c r="K35787" s="711"/>
      <c r="L35787" s="711"/>
      <c r="Q35787" s="11"/>
      <c r="R35787" s="11"/>
      <c r="S35787" s="11"/>
      <c r="T35787" s="11"/>
    </row>
    <row r="35788" spans="8:20" x14ac:dyDescent="0.35">
      <c r="H35788" s="711"/>
      <c r="I35788" s="711"/>
      <c r="J35788" s="711"/>
      <c r="K35788" s="711"/>
      <c r="L35788" s="711"/>
      <c r="Q35788" s="11"/>
      <c r="R35788" s="11"/>
      <c r="S35788" s="11"/>
      <c r="T35788" s="11"/>
    </row>
    <row r="35789" spans="8:20" x14ac:dyDescent="0.35">
      <c r="H35789" s="711"/>
      <c r="I35789" s="711"/>
      <c r="J35789" s="711"/>
      <c r="K35789" s="711"/>
      <c r="L35789" s="711"/>
      <c r="Q35789" s="11"/>
      <c r="R35789" s="11"/>
      <c r="S35789" s="11"/>
      <c r="T35789" s="11"/>
    </row>
    <row r="35790" spans="8:20" x14ac:dyDescent="0.35">
      <c r="H35790" s="711"/>
      <c r="I35790" s="711"/>
      <c r="J35790" s="711"/>
      <c r="K35790" s="711"/>
      <c r="L35790" s="711"/>
      <c r="Q35790" s="11"/>
      <c r="R35790" s="11"/>
      <c r="S35790" s="11"/>
      <c r="T35790" s="11"/>
    </row>
    <row r="35791" spans="8:20" x14ac:dyDescent="0.35">
      <c r="H35791" s="711"/>
      <c r="I35791" s="711"/>
      <c r="J35791" s="711"/>
      <c r="K35791" s="711"/>
      <c r="L35791" s="711"/>
      <c r="Q35791" s="11"/>
      <c r="R35791" s="11"/>
      <c r="S35791" s="11"/>
      <c r="T35791" s="11"/>
    </row>
    <row r="35792" spans="8:20" x14ac:dyDescent="0.35">
      <c r="H35792" s="711"/>
      <c r="I35792" s="711"/>
      <c r="J35792" s="711"/>
      <c r="K35792" s="711"/>
      <c r="L35792" s="711"/>
      <c r="Q35792" s="11"/>
      <c r="R35792" s="11"/>
      <c r="S35792" s="11"/>
      <c r="T35792" s="11"/>
    </row>
    <row r="35793" spans="8:20" x14ac:dyDescent="0.35">
      <c r="H35793" s="711"/>
      <c r="I35793" s="711"/>
      <c r="J35793" s="711"/>
      <c r="K35793" s="711"/>
      <c r="L35793" s="711"/>
      <c r="Q35793" s="11"/>
      <c r="R35793" s="11"/>
      <c r="S35793" s="11"/>
      <c r="T35793" s="11"/>
    </row>
    <row r="35794" spans="8:20" x14ac:dyDescent="0.35">
      <c r="H35794" s="711"/>
      <c r="I35794" s="711"/>
      <c r="J35794" s="711"/>
      <c r="K35794" s="711"/>
      <c r="L35794" s="711"/>
      <c r="Q35794" s="11"/>
      <c r="R35794" s="11"/>
      <c r="S35794" s="11"/>
      <c r="T35794" s="11"/>
    </row>
    <row r="35795" spans="8:20" x14ac:dyDescent="0.35">
      <c r="H35795" s="711"/>
      <c r="I35795" s="711"/>
      <c r="J35795" s="711"/>
      <c r="K35795" s="711"/>
      <c r="L35795" s="711"/>
      <c r="Q35795" s="11"/>
      <c r="R35795" s="11"/>
      <c r="S35795" s="11"/>
      <c r="T35795" s="11"/>
    </row>
    <row r="35796" spans="8:20" x14ac:dyDescent="0.35">
      <c r="H35796" s="711"/>
      <c r="I35796" s="711"/>
      <c r="J35796" s="711"/>
      <c r="K35796" s="711"/>
      <c r="L35796" s="711"/>
      <c r="Q35796" s="11"/>
      <c r="R35796" s="11"/>
      <c r="S35796" s="11"/>
      <c r="T35796" s="11"/>
    </row>
    <row r="35797" spans="8:20" x14ac:dyDescent="0.35">
      <c r="H35797" s="711"/>
      <c r="I35797" s="711"/>
      <c r="J35797" s="711"/>
      <c r="K35797" s="711"/>
      <c r="L35797" s="711"/>
      <c r="Q35797" s="11"/>
      <c r="R35797" s="11"/>
      <c r="S35797" s="11"/>
      <c r="T35797" s="11"/>
    </row>
    <row r="35798" spans="8:20" x14ac:dyDescent="0.35">
      <c r="H35798" s="711"/>
      <c r="I35798" s="711"/>
      <c r="J35798" s="711"/>
      <c r="K35798" s="711"/>
      <c r="L35798" s="711"/>
      <c r="Q35798" s="11"/>
      <c r="R35798" s="11"/>
      <c r="S35798" s="11"/>
      <c r="T35798" s="11"/>
    </row>
    <row r="35799" spans="8:20" x14ac:dyDescent="0.35">
      <c r="H35799" s="711"/>
      <c r="I35799" s="711"/>
      <c r="J35799" s="711"/>
      <c r="K35799" s="711"/>
      <c r="L35799" s="711"/>
      <c r="Q35799" s="11"/>
      <c r="R35799" s="11"/>
      <c r="S35799" s="11"/>
      <c r="T35799" s="11"/>
    </row>
    <row r="35800" spans="8:20" x14ac:dyDescent="0.35">
      <c r="H35800" s="711"/>
      <c r="I35800" s="711"/>
      <c r="J35800" s="711"/>
      <c r="K35800" s="711"/>
      <c r="L35800" s="711"/>
      <c r="Q35800" s="11"/>
      <c r="R35800" s="11"/>
      <c r="S35800" s="11"/>
      <c r="T35800" s="11"/>
    </row>
    <row r="35801" spans="8:20" x14ac:dyDescent="0.35">
      <c r="H35801" s="711"/>
      <c r="I35801" s="711"/>
      <c r="J35801" s="711"/>
      <c r="K35801" s="711"/>
      <c r="L35801" s="711"/>
      <c r="Q35801" s="11"/>
      <c r="R35801" s="11"/>
      <c r="S35801" s="11"/>
      <c r="T35801" s="11"/>
    </row>
    <row r="35802" spans="8:20" x14ac:dyDescent="0.35">
      <c r="H35802" s="711"/>
      <c r="I35802" s="711"/>
      <c r="J35802" s="711"/>
      <c r="K35802" s="711"/>
      <c r="L35802" s="711"/>
      <c r="Q35802" s="11"/>
      <c r="R35802" s="11"/>
      <c r="S35802" s="11"/>
      <c r="T35802" s="11"/>
    </row>
    <row r="35803" spans="8:20" x14ac:dyDescent="0.35">
      <c r="H35803" s="711"/>
      <c r="I35803" s="711"/>
      <c r="J35803" s="711"/>
      <c r="K35803" s="711"/>
      <c r="L35803" s="711"/>
      <c r="Q35803" s="11"/>
      <c r="R35803" s="11"/>
      <c r="S35803" s="11"/>
      <c r="T35803" s="11"/>
    </row>
    <row r="35804" spans="8:20" x14ac:dyDescent="0.35">
      <c r="H35804" s="711"/>
      <c r="I35804" s="711"/>
      <c r="J35804" s="711"/>
      <c r="K35804" s="711"/>
      <c r="L35804" s="711"/>
      <c r="Q35804" s="11"/>
      <c r="R35804" s="11"/>
      <c r="S35804" s="11"/>
      <c r="T35804" s="11"/>
    </row>
    <row r="35805" spans="8:20" x14ac:dyDescent="0.35">
      <c r="H35805" s="711"/>
      <c r="I35805" s="711"/>
      <c r="J35805" s="711"/>
      <c r="K35805" s="711"/>
      <c r="L35805" s="711"/>
      <c r="Q35805" s="11"/>
      <c r="R35805" s="11"/>
      <c r="S35805" s="11"/>
      <c r="T35805" s="11"/>
    </row>
    <row r="35806" spans="8:20" x14ac:dyDescent="0.35">
      <c r="H35806" s="711"/>
      <c r="I35806" s="711"/>
      <c r="J35806" s="711"/>
      <c r="K35806" s="711"/>
      <c r="L35806" s="711"/>
      <c r="Q35806" s="11"/>
      <c r="R35806" s="11"/>
      <c r="S35806" s="11"/>
      <c r="T35806" s="11"/>
    </row>
    <row r="35807" spans="8:20" x14ac:dyDescent="0.35">
      <c r="H35807" s="711"/>
      <c r="I35807" s="711"/>
      <c r="J35807" s="711"/>
      <c r="K35807" s="711"/>
      <c r="L35807" s="711"/>
      <c r="Q35807" s="11"/>
      <c r="R35807" s="11"/>
      <c r="S35807" s="11"/>
      <c r="T35807" s="11"/>
    </row>
    <row r="35808" spans="8:20" x14ac:dyDescent="0.35">
      <c r="H35808" s="711"/>
      <c r="I35808" s="711"/>
      <c r="J35808" s="711"/>
      <c r="K35808" s="711"/>
      <c r="L35808" s="711"/>
      <c r="Q35808" s="11"/>
      <c r="R35808" s="11"/>
      <c r="S35808" s="11"/>
      <c r="T35808" s="11"/>
    </row>
    <row r="35809" spans="8:20" x14ac:dyDescent="0.35">
      <c r="H35809" s="711"/>
      <c r="I35809" s="711"/>
      <c r="J35809" s="711"/>
      <c r="K35809" s="711"/>
      <c r="L35809" s="711"/>
      <c r="Q35809" s="11"/>
      <c r="R35809" s="11"/>
      <c r="S35809" s="11"/>
      <c r="T35809" s="11"/>
    </row>
    <row r="35810" spans="8:20" x14ac:dyDescent="0.35">
      <c r="H35810" s="711"/>
      <c r="I35810" s="711"/>
      <c r="J35810" s="711"/>
      <c r="K35810" s="711"/>
      <c r="L35810" s="711"/>
      <c r="Q35810" s="11"/>
      <c r="R35810" s="11"/>
      <c r="S35810" s="11"/>
      <c r="T35810" s="11"/>
    </row>
    <row r="35811" spans="8:20" x14ac:dyDescent="0.35">
      <c r="H35811" s="711"/>
      <c r="I35811" s="711"/>
      <c r="J35811" s="711"/>
      <c r="K35811" s="711"/>
      <c r="L35811" s="711"/>
      <c r="Q35811" s="11"/>
      <c r="R35811" s="11"/>
      <c r="S35811" s="11"/>
      <c r="T35811" s="11"/>
    </row>
    <row r="35812" spans="8:20" x14ac:dyDescent="0.35">
      <c r="H35812" s="711"/>
      <c r="I35812" s="711"/>
      <c r="J35812" s="711"/>
      <c r="K35812" s="711"/>
      <c r="L35812" s="711"/>
      <c r="Q35812" s="11"/>
      <c r="R35812" s="11"/>
      <c r="S35812" s="11"/>
      <c r="T35812" s="11"/>
    </row>
    <row r="35813" spans="8:20" x14ac:dyDescent="0.35">
      <c r="H35813" s="711"/>
      <c r="I35813" s="711"/>
      <c r="J35813" s="711"/>
      <c r="K35813" s="711"/>
      <c r="L35813" s="711"/>
      <c r="Q35813" s="11"/>
      <c r="R35813" s="11"/>
      <c r="S35813" s="11"/>
      <c r="T35813" s="11"/>
    </row>
    <row r="35814" spans="8:20" x14ac:dyDescent="0.35">
      <c r="H35814" s="711"/>
      <c r="I35814" s="711"/>
      <c r="J35814" s="711"/>
      <c r="K35814" s="711"/>
      <c r="L35814" s="711"/>
      <c r="Q35814" s="11"/>
      <c r="R35814" s="11"/>
      <c r="S35814" s="11"/>
      <c r="T35814" s="11"/>
    </row>
    <row r="35815" spans="8:20" x14ac:dyDescent="0.35">
      <c r="H35815" s="711"/>
      <c r="I35815" s="711"/>
      <c r="J35815" s="711"/>
      <c r="K35815" s="711"/>
      <c r="L35815" s="711"/>
      <c r="Q35815" s="11"/>
      <c r="R35815" s="11"/>
      <c r="S35815" s="11"/>
      <c r="T35815" s="11"/>
    </row>
    <row r="35816" spans="8:20" x14ac:dyDescent="0.35">
      <c r="H35816" s="711"/>
      <c r="I35816" s="711"/>
      <c r="J35816" s="711"/>
      <c r="K35816" s="711"/>
      <c r="L35816" s="711"/>
      <c r="Q35816" s="11"/>
      <c r="R35816" s="11"/>
      <c r="S35816" s="11"/>
      <c r="T35816" s="11"/>
    </row>
    <row r="35817" spans="8:20" x14ac:dyDescent="0.35">
      <c r="H35817" s="711"/>
      <c r="I35817" s="711"/>
      <c r="J35817" s="711"/>
      <c r="K35817" s="711"/>
      <c r="L35817" s="711"/>
      <c r="Q35817" s="11"/>
      <c r="R35817" s="11"/>
      <c r="S35817" s="11"/>
      <c r="T35817" s="11"/>
    </row>
    <row r="35818" spans="8:20" x14ac:dyDescent="0.35">
      <c r="H35818" s="711"/>
      <c r="I35818" s="711"/>
      <c r="J35818" s="711"/>
      <c r="K35818" s="711"/>
      <c r="L35818" s="711"/>
      <c r="Q35818" s="11"/>
      <c r="R35818" s="11"/>
      <c r="S35818" s="11"/>
      <c r="T35818" s="11"/>
    </row>
    <row r="35819" spans="8:20" x14ac:dyDescent="0.35">
      <c r="H35819" s="711"/>
      <c r="I35819" s="711"/>
      <c r="J35819" s="711"/>
      <c r="K35819" s="711"/>
      <c r="L35819" s="711"/>
      <c r="Q35819" s="11"/>
      <c r="R35819" s="11"/>
      <c r="S35819" s="11"/>
      <c r="T35819" s="11"/>
    </row>
    <row r="35820" spans="8:20" x14ac:dyDescent="0.35">
      <c r="H35820" s="711"/>
      <c r="I35820" s="711"/>
      <c r="J35820" s="711"/>
      <c r="K35820" s="711"/>
      <c r="L35820" s="711"/>
      <c r="Q35820" s="11"/>
      <c r="R35820" s="11"/>
      <c r="S35820" s="11"/>
      <c r="T35820" s="11"/>
    </row>
    <row r="35821" spans="8:20" x14ac:dyDescent="0.35">
      <c r="H35821" s="711"/>
      <c r="I35821" s="711"/>
      <c r="J35821" s="711"/>
      <c r="K35821" s="711"/>
      <c r="L35821" s="711"/>
      <c r="Q35821" s="11"/>
      <c r="R35821" s="11"/>
      <c r="S35821" s="11"/>
      <c r="T35821" s="11"/>
    </row>
    <row r="35822" spans="8:20" x14ac:dyDescent="0.35">
      <c r="H35822" s="711"/>
      <c r="I35822" s="711"/>
      <c r="J35822" s="711"/>
      <c r="K35822" s="711"/>
      <c r="L35822" s="711"/>
      <c r="Q35822" s="11"/>
      <c r="R35822" s="11"/>
      <c r="S35822" s="11"/>
      <c r="T35822" s="11"/>
    </row>
    <row r="35823" spans="8:20" x14ac:dyDescent="0.35">
      <c r="H35823" s="711"/>
      <c r="I35823" s="711"/>
      <c r="J35823" s="711"/>
      <c r="K35823" s="711"/>
      <c r="L35823" s="711"/>
      <c r="Q35823" s="11"/>
      <c r="R35823" s="11"/>
      <c r="S35823" s="11"/>
      <c r="T35823" s="11"/>
    </row>
    <row r="35824" spans="8:20" x14ac:dyDescent="0.35">
      <c r="H35824" s="711"/>
      <c r="I35824" s="711"/>
      <c r="J35824" s="711"/>
      <c r="K35824" s="711"/>
      <c r="L35824" s="711"/>
      <c r="Q35824" s="11"/>
      <c r="R35824" s="11"/>
      <c r="S35824" s="11"/>
      <c r="T35824" s="11"/>
    </row>
    <row r="35825" spans="8:20" x14ac:dyDescent="0.35">
      <c r="H35825" s="711"/>
      <c r="I35825" s="711"/>
      <c r="J35825" s="711"/>
      <c r="K35825" s="711"/>
      <c r="L35825" s="711"/>
      <c r="Q35825" s="11"/>
      <c r="R35825" s="11"/>
      <c r="S35825" s="11"/>
      <c r="T35825" s="11"/>
    </row>
    <row r="35826" spans="8:20" x14ac:dyDescent="0.35">
      <c r="H35826" s="711"/>
      <c r="I35826" s="711"/>
      <c r="J35826" s="711"/>
      <c r="K35826" s="711"/>
      <c r="L35826" s="711"/>
      <c r="Q35826" s="11"/>
      <c r="R35826" s="11"/>
      <c r="S35826" s="11"/>
      <c r="T35826" s="11"/>
    </row>
    <row r="35827" spans="8:20" x14ac:dyDescent="0.35">
      <c r="H35827" s="711"/>
      <c r="I35827" s="711"/>
      <c r="J35827" s="711"/>
      <c r="K35827" s="711"/>
      <c r="L35827" s="711"/>
      <c r="Q35827" s="11"/>
      <c r="R35827" s="11"/>
      <c r="S35827" s="11"/>
      <c r="T35827" s="11"/>
    </row>
    <row r="35828" spans="8:20" x14ac:dyDescent="0.35">
      <c r="H35828" s="711"/>
      <c r="I35828" s="711"/>
      <c r="J35828" s="711"/>
      <c r="K35828" s="711"/>
      <c r="L35828" s="711"/>
      <c r="Q35828" s="11"/>
      <c r="R35828" s="11"/>
      <c r="S35828" s="11"/>
      <c r="T35828" s="11"/>
    </row>
    <row r="35829" spans="8:20" x14ac:dyDescent="0.35">
      <c r="H35829" s="711"/>
      <c r="I35829" s="711"/>
      <c r="J35829" s="711"/>
      <c r="K35829" s="711"/>
      <c r="L35829" s="711"/>
      <c r="Q35829" s="11"/>
      <c r="R35829" s="11"/>
      <c r="S35829" s="11"/>
      <c r="T35829" s="11"/>
    </row>
    <row r="35830" spans="8:20" x14ac:dyDescent="0.35">
      <c r="H35830" s="711"/>
      <c r="I35830" s="711"/>
      <c r="J35830" s="711"/>
      <c r="K35830" s="711"/>
      <c r="L35830" s="711"/>
      <c r="Q35830" s="11"/>
      <c r="R35830" s="11"/>
      <c r="S35830" s="11"/>
      <c r="T35830" s="11"/>
    </row>
    <row r="35831" spans="8:20" x14ac:dyDescent="0.35">
      <c r="H35831" s="711"/>
      <c r="I35831" s="711"/>
      <c r="J35831" s="711"/>
      <c r="K35831" s="711"/>
      <c r="L35831" s="711"/>
      <c r="Q35831" s="11"/>
      <c r="R35831" s="11"/>
      <c r="S35831" s="11"/>
      <c r="T35831" s="11"/>
    </row>
    <row r="35832" spans="8:20" x14ac:dyDescent="0.35">
      <c r="H35832" s="711"/>
      <c r="I35832" s="711"/>
      <c r="J35832" s="711"/>
      <c r="K35832" s="711"/>
      <c r="L35832" s="711"/>
      <c r="Q35832" s="11"/>
      <c r="R35832" s="11"/>
      <c r="S35832" s="11"/>
      <c r="T35832" s="11"/>
    </row>
    <row r="35833" spans="8:20" x14ac:dyDescent="0.35">
      <c r="H35833" s="711"/>
      <c r="I35833" s="711"/>
      <c r="J35833" s="711"/>
      <c r="K35833" s="711"/>
      <c r="L35833" s="711"/>
      <c r="Q35833" s="11"/>
      <c r="R35833" s="11"/>
      <c r="S35833" s="11"/>
      <c r="T35833" s="11"/>
    </row>
    <row r="35834" spans="8:20" x14ac:dyDescent="0.35">
      <c r="H35834" s="711"/>
      <c r="I35834" s="711"/>
      <c r="J35834" s="711"/>
      <c r="K35834" s="711"/>
      <c r="L35834" s="711"/>
      <c r="Q35834" s="11"/>
      <c r="R35834" s="11"/>
      <c r="S35834" s="11"/>
      <c r="T35834" s="11"/>
    </row>
    <row r="35835" spans="8:20" x14ac:dyDescent="0.35">
      <c r="H35835" s="711"/>
      <c r="I35835" s="711"/>
      <c r="J35835" s="711"/>
      <c r="K35835" s="711"/>
      <c r="L35835" s="711"/>
      <c r="Q35835" s="11"/>
      <c r="R35835" s="11"/>
      <c r="S35835" s="11"/>
      <c r="T35835" s="11"/>
    </row>
    <row r="35836" spans="8:20" x14ac:dyDescent="0.35">
      <c r="H35836" s="711"/>
      <c r="I35836" s="711"/>
      <c r="J35836" s="711"/>
      <c r="K35836" s="711"/>
      <c r="L35836" s="711"/>
      <c r="Q35836" s="11"/>
      <c r="R35836" s="11"/>
      <c r="S35836" s="11"/>
      <c r="T35836" s="11"/>
    </row>
    <row r="35837" spans="8:20" x14ac:dyDescent="0.35">
      <c r="H35837" s="711"/>
      <c r="I35837" s="711"/>
      <c r="J35837" s="711"/>
      <c r="K35837" s="711"/>
      <c r="L35837" s="711"/>
      <c r="Q35837" s="11"/>
      <c r="R35837" s="11"/>
      <c r="S35837" s="11"/>
      <c r="T35837" s="11"/>
    </row>
    <row r="35838" spans="8:20" x14ac:dyDescent="0.35">
      <c r="H35838" s="711"/>
      <c r="I35838" s="711"/>
      <c r="J35838" s="711"/>
      <c r="K35838" s="711"/>
      <c r="L35838" s="711"/>
      <c r="Q35838" s="11"/>
      <c r="R35838" s="11"/>
      <c r="S35838" s="11"/>
      <c r="T35838" s="11"/>
    </row>
    <row r="35839" spans="8:20" x14ac:dyDescent="0.35">
      <c r="H35839" s="711"/>
      <c r="I35839" s="711"/>
      <c r="J35839" s="711"/>
      <c r="K35839" s="711"/>
      <c r="L35839" s="711"/>
      <c r="Q35839" s="11"/>
      <c r="R35839" s="11"/>
      <c r="S35839" s="11"/>
      <c r="T35839" s="11"/>
    </row>
    <row r="35840" spans="8:20" x14ac:dyDescent="0.35">
      <c r="H35840" s="711"/>
      <c r="I35840" s="711"/>
      <c r="J35840" s="711"/>
      <c r="K35840" s="711"/>
      <c r="L35840" s="711"/>
      <c r="Q35840" s="11"/>
      <c r="R35840" s="11"/>
      <c r="S35840" s="11"/>
      <c r="T35840" s="11"/>
    </row>
    <row r="35841" spans="8:20" x14ac:dyDescent="0.35">
      <c r="H35841" s="711"/>
      <c r="I35841" s="711"/>
      <c r="J35841" s="711"/>
      <c r="K35841" s="711"/>
      <c r="L35841" s="711"/>
      <c r="Q35841" s="11"/>
      <c r="R35841" s="11"/>
      <c r="S35841" s="11"/>
      <c r="T35841" s="11"/>
    </row>
    <row r="35842" spans="8:20" x14ac:dyDescent="0.35">
      <c r="H35842" s="711"/>
      <c r="I35842" s="711"/>
      <c r="J35842" s="711"/>
      <c r="K35842" s="711"/>
      <c r="L35842" s="711"/>
      <c r="Q35842" s="11"/>
      <c r="R35842" s="11"/>
      <c r="S35842" s="11"/>
      <c r="T35842" s="11"/>
    </row>
    <row r="35843" spans="8:20" x14ac:dyDescent="0.35">
      <c r="H35843" s="711"/>
      <c r="I35843" s="711"/>
      <c r="J35843" s="711"/>
      <c r="K35843" s="711"/>
      <c r="L35843" s="711"/>
      <c r="Q35843" s="11"/>
      <c r="R35843" s="11"/>
      <c r="S35843" s="11"/>
      <c r="T35843" s="11"/>
    </row>
    <row r="35844" spans="8:20" x14ac:dyDescent="0.35">
      <c r="H35844" s="711"/>
      <c r="I35844" s="711"/>
      <c r="J35844" s="711"/>
      <c r="K35844" s="711"/>
      <c r="L35844" s="711"/>
      <c r="Q35844" s="11"/>
      <c r="R35844" s="11"/>
      <c r="S35844" s="11"/>
      <c r="T35844" s="11"/>
    </row>
    <row r="35845" spans="8:20" x14ac:dyDescent="0.35">
      <c r="H35845" s="711"/>
      <c r="I35845" s="711"/>
      <c r="J35845" s="711"/>
      <c r="K35845" s="711"/>
      <c r="L35845" s="711"/>
      <c r="Q35845" s="11"/>
      <c r="R35845" s="11"/>
      <c r="S35845" s="11"/>
      <c r="T35845" s="11"/>
    </row>
    <row r="35846" spans="8:20" x14ac:dyDescent="0.35">
      <c r="H35846" s="711"/>
      <c r="I35846" s="711"/>
      <c r="J35846" s="711"/>
      <c r="K35846" s="711"/>
      <c r="L35846" s="711"/>
      <c r="Q35846" s="11"/>
      <c r="R35846" s="11"/>
      <c r="S35846" s="11"/>
      <c r="T35846" s="11"/>
    </row>
    <row r="35847" spans="8:20" x14ac:dyDescent="0.35">
      <c r="H35847" s="711"/>
      <c r="I35847" s="711"/>
      <c r="J35847" s="711"/>
      <c r="K35847" s="711"/>
      <c r="L35847" s="711"/>
      <c r="Q35847" s="11"/>
      <c r="R35847" s="11"/>
      <c r="S35847" s="11"/>
      <c r="T35847" s="11"/>
    </row>
    <row r="35848" spans="8:20" x14ac:dyDescent="0.35">
      <c r="H35848" s="711"/>
      <c r="I35848" s="711"/>
      <c r="J35848" s="711"/>
      <c r="K35848" s="711"/>
      <c r="L35848" s="711"/>
      <c r="Q35848" s="11"/>
      <c r="R35848" s="11"/>
      <c r="S35848" s="11"/>
      <c r="T35848" s="11"/>
    </row>
    <row r="35849" spans="8:20" x14ac:dyDescent="0.35">
      <c r="H35849" s="711"/>
      <c r="I35849" s="711"/>
      <c r="J35849" s="711"/>
      <c r="K35849" s="711"/>
      <c r="L35849" s="711"/>
      <c r="Q35849" s="11"/>
      <c r="R35849" s="11"/>
      <c r="S35849" s="11"/>
      <c r="T35849" s="11"/>
    </row>
    <row r="35850" spans="8:20" x14ac:dyDescent="0.35">
      <c r="H35850" s="711"/>
      <c r="I35850" s="711"/>
      <c r="J35850" s="711"/>
      <c r="K35850" s="711"/>
      <c r="L35850" s="711"/>
      <c r="Q35850" s="11"/>
      <c r="R35850" s="11"/>
      <c r="S35850" s="11"/>
      <c r="T35850" s="11"/>
    </row>
    <row r="35851" spans="8:20" x14ac:dyDescent="0.35">
      <c r="H35851" s="711"/>
      <c r="I35851" s="711"/>
      <c r="J35851" s="711"/>
      <c r="K35851" s="711"/>
      <c r="L35851" s="711"/>
      <c r="Q35851" s="11"/>
      <c r="R35851" s="11"/>
      <c r="S35851" s="11"/>
      <c r="T35851" s="11"/>
    </row>
    <row r="35852" spans="8:20" x14ac:dyDescent="0.35">
      <c r="H35852" s="711"/>
      <c r="I35852" s="711"/>
      <c r="J35852" s="711"/>
      <c r="K35852" s="711"/>
      <c r="L35852" s="711"/>
      <c r="Q35852" s="11"/>
      <c r="R35852" s="11"/>
      <c r="S35852" s="11"/>
      <c r="T35852" s="11"/>
    </row>
    <row r="35853" spans="8:20" x14ac:dyDescent="0.35">
      <c r="H35853" s="711"/>
      <c r="I35853" s="711"/>
      <c r="J35853" s="711"/>
      <c r="K35853" s="711"/>
      <c r="L35853" s="711"/>
      <c r="Q35853" s="11"/>
      <c r="R35853" s="11"/>
      <c r="S35853" s="11"/>
      <c r="T35853" s="11"/>
    </row>
    <row r="35854" spans="8:20" x14ac:dyDescent="0.35">
      <c r="H35854" s="711"/>
      <c r="I35854" s="711"/>
      <c r="J35854" s="711"/>
      <c r="K35854" s="711"/>
      <c r="L35854" s="711"/>
      <c r="Q35854" s="11"/>
      <c r="R35854" s="11"/>
      <c r="S35854" s="11"/>
      <c r="T35854" s="11"/>
    </row>
    <row r="35855" spans="8:20" x14ac:dyDescent="0.35">
      <c r="H35855" s="711"/>
      <c r="I35855" s="711"/>
      <c r="J35855" s="711"/>
      <c r="K35855" s="711"/>
      <c r="L35855" s="711"/>
      <c r="Q35855" s="11"/>
      <c r="R35855" s="11"/>
      <c r="S35855" s="11"/>
      <c r="T35855" s="11"/>
    </row>
    <row r="35856" spans="8:20" x14ac:dyDescent="0.35">
      <c r="H35856" s="711"/>
      <c r="I35856" s="711"/>
      <c r="J35856" s="711"/>
      <c r="K35856" s="711"/>
      <c r="L35856" s="711"/>
      <c r="Q35856" s="11"/>
      <c r="R35856" s="11"/>
      <c r="S35856" s="11"/>
      <c r="T35856" s="11"/>
    </row>
    <row r="35857" spans="8:20" x14ac:dyDescent="0.35">
      <c r="H35857" s="711"/>
      <c r="I35857" s="711"/>
      <c r="J35857" s="711"/>
      <c r="K35857" s="711"/>
      <c r="L35857" s="711"/>
      <c r="Q35857" s="11"/>
      <c r="R35857" s="11"/>
      <c r="S35857" s="11"/>
      <c r="T35857" s="11"/>
    </row>
    <row r="35858" spans="8:20" x14ac:dyDescent="0.35">
      <c r="H35858" s="711"/>
      <c r="I35858" s="711"/>
      <c r="J35858" s="711"/>
      <c r="K35858" s="711"/>
      <c r="L35858" s="711"/>
      <c r="Q35858" s="11"/>
      <c r="R35858" s="11"/>
      <c r="S35858" s="11"/>
      <c r="T35858" s="11"/>
    </row>
    <row r="35859" spans="8:20" x14ac:dyDescent="0.35">
      <c r="H35859" s="711"/>
      <c r="I35859" s="711"/>
      <c r="J35859" s="711"/>
      <c r="K35859" s="711"/>
      <c r="L35859" s="711"/>
      <c r="Q35859" s="11"/>
      <c r="R35859" s="11"/>
      <c r="S35859" s="11"/>
      <c r="T35859" s="11"/>
    </row>
    <row r="35860" spans="8:20" x14ac:dyDescent="0.35">
      <c r="H35860" s="711"/>
      <c r="I35860" s="711"/>
      <c r="J35860" s="711"/>
      <c r="K35860" s="711"/>
      <c r="L35860" s="711"/>
      <c r="Q35860" s="11"/>
      <c r="R35860" s="11"/>
      <c r="S35860" s="11"/>
      <c r="T35860" s="11"/>
    </row>
    <row r="35861" spans="8:20" x14ac:dyDescent="0.35">
      <c r="H35861" s="711"/>
      <c r="I35861" s="711"/>
      <c r="J35861" s="711"/>
      <c r="K35861" s="711"/>
      <c r="L35861" s="711"/>
      <c r="Q35861" s="11"/>
      <c r="R35861" s="11"/>
      <c r="S35861" s="11"/>
      <c r="T35861" s="11"/>
    </row>
    <row r="35862" spans="8:20" x14ac:dyDescent="0.35">
      <c r="H35862" s="711"/>
      <c r="I35862" s="711"/>
      <c r="J35862" s="711"/>
      <c r="K35862" s="711"/>
      <c r="L35862" s="711"/>
      <c r="Q35862" s="11"/>
      <c r="R35862" s="11"/>
      <c r="S35862" s="11"/>
      <c r="T35862" s="11"/>
    </row>
    <row r="35863" spans="8:20" x14ac:dyDescent="0.35">
      <c r="H35863" s="711"/>
      <c r="I35863" s="711"/>
      <c r="J35863" s="711"/>
      <c r="K35863" s="711"/>
      <c r="L35863" s="711"/>
      <c r="Q35863" s="11"/>
      <c r="R35863" s="11"/>
      <c r="S35863" s="11"/>
      <c r="T35863" s="11"/>
    </row>
    <row r="35864" spans="8:20" x14ac:dyDescent="0.35">
      <c r="H35864" s="711"/>
      <c r="I35864" s="711"/>
      <c r="J35864" s="711"/>
      <c r="K35864" s="711"/>
      <c r="L35864" s="711"/>
      <c r="Q35864" s="11"/>
      <c r="R35864" s="11"/>
      <c r="S35864" s="11"/>
      <c r="T35864" s="11"/>
    </row>
    <row r="35865" spans="8:20" x14ac:dyDescent="0.35">
      <c r="H35865" s="711"/>
      <c r="I35865" s="711"/>
      <c r="J35865" s="711"/>
      <c r="K35865" s="711"/>
      <c r="L35865" s="711"/>
      <c r="Q35865" s="11"/>
      <c r="R35865" s="11"/>
      <c r="S35865" s="11"/>
      <c r="T35865" s="11"/>
    </row>
    <row r="35866" spans="8:20" x14ac:dyDescent="0.35">
      <c r="H35866" s="711"/>
      <c r="I35866" s="711"/>
      <c r="J35866" s="711"/>
      <c r="K35866" s="711"/>
      <c r="L35866" s="711"/>
      <c r="Q35866" s="11"/>
      <c r="R35866" s="11"/>
      <c r="S35866" s="11"/>
      <c r="T35866" s="11"/>
    </row>
    <row r="35867" spans="8:20" x14ac:dyDescent="0.35">
      <c r="H35867" s="711"/>
      <c r="I35867" s="711"/>
      <c r="J35867" s="711"/>
      <c r="K35867" s="711"/>
      <c r="L35867" s="711"/>
      <c r="Q35867" s="11"/>
      <c r="R35867" s="11"/>
      <c r="S35867" s="11"/>
      <c r="T35867" s="11"/>
    </row>
    <row r="35868" spans="8:20" x14ac:dyDescent="0.35">
      <c r="H35868" s="711"/>
      <c r="I35868" s="711"/>
      <c r="J35868" s="711"/>
      <c r="K35868" s="711"/>
      <c r="L35868" s="711"/>
      <c r="Q35868" s="11"/>
      <c r="R35868" s="11"/>
      <c r="S35868" s="11"/>
      <c r="T35868" s="11"/>
    </row>
    <row r="35869" spans="8:20" x14ac:dyDescent="0.35">
      <c r="H35869" s="711"/>
      <c r="I35869" s="711"/>
      <c r="J35869" s="711"/>
      <c r="K35869" s="711"/>
      <c r="L35869" s="711"/>
      <c r="Q35869" s="11"/>
      <c r="R35869" s="11"/>
      <c r="S35869" s="11"/>
      <c r="T35869" s="11"/>
    </row>
    <row r="35870" spans="8:20" x14ac:dyDescent="0.35">
      <c r="H35870" s="711"/>
      <c r="I35870" s="711"/>
      <c r="J35870" s="711"/>
      <c r="K35870" s="711"/>
      <c r="L35870" s="711"/>
      <c r="Q35870" s="11"/>
      <c r="R35870" s="11"/>
      <c r="S35870" s="11"/>
      <c r="T35870" s="11"/>
    </row>
    <row r="35871" spans="8:20" x14ac:dyDescent="0.35">
      <c r="H35871" s="711"/>
      <c r="I35871" s="711"/>
      <c r="J35871" s="711"/>
      <c r="K35871" s="711"/>
      <c r="L35871" s="711"/>
      <c r="Q35871" s="11"/>
      <c r="R35871" s="11"/>
      <c r="S35871" s="11"/>
      <c r="T35871" s="11"/>
    </row>
    <row r="35872" spans="8:20" x14ac:dyDescent="0.35">
      <c r="H35872" s="711"/>
      <c r="I35872" s="711"/>
      <c r="J35872" s="711"/>
      <c r="K35872" s="711"/>
      <c r="L35872" s="711"/>
      <c r="Q35872" s="11"/>
      <c r="R35872" s="11"/>
      <c r="S35872" s="11"/>
      <c r="T35872" s="11"/>
    </row>
    <row r="35873" spans="8:20" x14ac:dyDescent="0.35">
      <c r="H35873" s="711"/>
      <c r="I35873" s="711"/>
      <c r="J35873" s="711"/>
      <c r="K35873" s="711"/>
      <c r="L35873" s="711"/>
      <c r="Q35873" s="11"/>
      <c r="R35873" s="11"/>
      <c r="S35873" s="11"/>
      <c r="T35873" s="11"/>
    </row>
    <row r="35874" spans="8:20" x14ac:dyDescent="0.35">
      <c r="H35874" s="711"/>
      <c r="I35874" s="711"/>
      <c r="J35874" s="711"/>
      <c r="K35874" s="711"/>
      <c r="L35874" s="711"/>
      <c r="Q35874" s="11"/>
      <c r="R35874" s="11"/>
      <c r="S35874" s="11"/>
      <c r="T35874" s="11"/>
    </row>
    <row r="35875" spans="8:20" x14ac:dyDescent="0.35">
      <c r="H35875" s="711"/>
      <c r="I35875" s="711"/>
      <c r="J35875" s="711"/>
      <c r="K35875" s="711"/>
      <c r="L35875" s="711"/>
      <c r="Q35875" s="11"/>
      <c r="R35875" s="11"/>
      <c r="S35875" s="11"/>
      <c r="T35875" s="11"/>
    </row>
    <row r="35876" spans="8:20" x14ac:dyDescent="0.35">
      <c r="H35876" s="711"/>
      <c r="I35876" s="711"/>
      <c r="J35876" s="711"/>
      <c r="K35876" s="711"/>
      <c r="L35876" s="711"/>
      <c r="Q35876" s="11"/>
      <c r="R35876" s="11"/>
      <c r="S35876" s="11"/>
      <c r="T35876" s="11"/>
    </row>
    <row r="35877" spans="8:20" x14ac:dyDescent="0.35">
      <c r="H35877" s="711"/>
      <c r="I35877" s="711"/>
      <c r="J35877" s="711"/>
      <c r="K35877" s="711"/>
      <c r="L35877" s="711"/>
      <c r="Q35877" s="11"/>
      <c r="R35877" s="11"/>
      <c r="S35877" s="11"/>
      <c r="T35877" s="11"/>
    </row>
    <row r="35878" spans="8:20" x14ac:dyDescent="0.35">
      <c r="H35878" s="711"/>
      <c r="I35878" s="711"/>
      <c r="J35878" s="711"/>
      <c r="K35878" s="711"/>
      <c r="L35878" s="711"/>
      <c r="Q35878" s="11"/>
      <c r="R35878" s="11"/>
      <c r="S35878" s="11"/>
      <c r="T35878" s="11"/>
    </row>
    <row r="35879" spans="8:20" x14ac:dyDescent="0.35">
      <c r="H35879" s="711"/>
      <c r="I35879" s="711"/>
      <c r="J35879" s="711"/>
      <c r="K35879" s="711"/>
      <c r="L35879" s="711"/>
      <c r="Q35879" s="11"/>
      <c r="R35879" s="11"/>
      <c r="S35879" s="11"/>
      <c r="T35879" s="11"/>
    </row>
    <row r="35880" spans="8:20" x14ac:dyDescent="0.35">
      <c r="H35880" s="711"/>
      <c r="I35880" s="711"/>
      <c r="J35880" s="711"/>
      <c r="K35880" s="711"/>
      <c r="L35880" s="711"/>
      <c r="Q35880" s="11"/>
      <c r="R35880" s="11"/>
      <c r="S35880" s="11"/>
      <c r="T35880" s="11"/>
    </row>
    <row r="35881" spans="8:20" x14ac:dyDescent="0.35">
      <c r="H35881" s="711"/>
      <c r="I35881" s="711"/>
      <c r="J35881" s="711"/>
      <c r="K35881" s="711"/>
      <c r="L35881" s="711"/>
      <c r="Q35881" s="11"/>
      <c r="R35881" s="11"/>
      <c r="S35881" s="11"/>
      <c r="T35881" s="11"/>
    </row>
    <row r="35882" spans="8:20" x14ac:dyDescent="0.35">
      <c r="H35882" s="711"/>
      <c r="I35882" s="711"/>
      <c r="J35882" s="711"/>
      <c r="K35882" s="711"/>
      <c r="L35882" s="711"/>
      <c r="Q35882" s="11"/>
      <c r="R35882" s="11"/>
      <c r="S35882" s="11"/>
      <c r="T35882" s="11"/>
    </row>
    <row r="35883" spans="8:20" x14ac:dyDescent="0.35">
      <c r="H35883" s="711"/>
      <c r="I35883" s="711"/>
      <c r="J35883" s="711"/>
      <c r="K35883" s="711"/>
      <c r="L35883" s="711"/>
      <c r="Q35883" s="11"/>
      <c r="R35883" s="11"/>
      <c r="S35883" s="11"/>
      <c r="T35883" s="11"/>
    </row>
    <row r="35884" spans="8:20" x14ac:dyDescent="0.35">
      <c r="H35884" s="711"/>
      <c r="I35884" s="711"/>
      <c r="J35884" s="711"/>
      <c r="K35884" s="711"/>
      <c r="L35884" s="711"/>
      <c r="Q35884" s="11"/>
      <c r="R35884" s="11"/>
      <c r="S35884" s="11"/>
      <c r="T35884" s="11"/>
    </row>
    <row r="35885" spans="8:20" x14ac:dyDescent="0.35">
      <c r="H35885" s="711"/>
      <c r="I35885" s="711"/>
      <c r="J35885" s="711"/>
      <c r="K35885" s="711"/>
      <c r="L35885" s="711"/>
      <c r="Q35885" s="11"/>
      <c r="R35885" s="11"/>
      <c r="S35885" s="11"/>
      <c r="T35885" s="11"/>
    </row>
    <row r="35886" spans="8:20" x14ac:dyDescent="0.35">
      <c r="H35886" s="711"/>
      <c r="I35886" s="711"/>
      <c r="J35886" s="711"/>
      <c r="K35886" s="711"/>
      <c r="L35886" s="711"/>
      <c r="Q35886" s="11"/>
      <c r="R35886" s="11"/>
      <c r="S35886" s="11"/>
      <c r="T35886" s="11"/>
    </row>
    <row r="35887" spans="8:20" x14ac:dyDescent="0.35">
      <c r="H35887" s="711"/>
      <c r="I35887" s="711"/>
      <c r="J35887" s="711"/>
      <c r="K35887" s="711"/>
      <c r="L35887" s="711"/>
      <c r="Q35887" s="11"/>
      <c r="R35887" s="11"/>
      <c r="S35887" s="11"/>
      <c r="T35887" s="11"/>
    </row>
    <row r="35888" spans="8:20" x14ac:dyDescent="0.35">
      <c r="H35888" s="711"/>
      <c r="I35888" s="711"/>
      <c r="J35888" s="711"/>
      <c r="K35888" s="711"/>
      <c r="L35888" s="711"/>
      <c r="Q35888" s="11"/>
      <c r="R35888" s="11"/>
      <c r="S35888" s="11"/>
      <c r="T35888" s="11"/>
    </row>
    <row r="35889" spans="8:20" x14ac:dyDescent="0.35">
      <c r="H35889" s="711"/>
      <c r="I35889" s="711"/>
      <c r="J35889" s="711"/>
      <c r="K35889" s="711"/>
      <c r="L35889" s="711"/>
      <c r="Q35889" s="11"/>
      <c r="R35889" s="11"/>
      <c r="S35889" s="11"/>
      <c r="T35889" s="11"/>
    </row>
    <row r="35890" spans="8:20" x14ac:dyDescent="0.35">
      <c r="H35890" s="711"/>
      <c r="I35890" s="711"/>
      <c r="J35890" s="711"/>
      <c r="K35890" s="711"/>
      <c r="L35890" s="711"/>
      <c r="Q35890" s="11"/>
      <c r="R35890" s="11"/>
      <c r="S35890" s="11"/>
      <c r="T35890" s="11"/>
    </row>
    <row r="35891" spans="8:20" x14ac:dyDescent="0.35">
      <c r="H35891" s="711"/>
      <c r="I35891" s="711"/>
      <c r="J35891" s="711"/>
      <c r="K35891" s="711"/>
      <c r="L35891" s="711"/>
      <c r="Q35891" s="11"/>
      <c r="R35891" s="11"/>
      <c r="S35891" s="11"/>
      <c r="T35891" s="11"/>
    </row>
    <row r="35892" spans="8:20" x14ac:dyDescent="0.35">
      <c r="H35892" s="711"/>
      <c r="I35892" s="711"/>
      <c r="J35892" s="711"/>
      <c r="K35892" s="711"/>
      <c r="L35892" s="711"/>
      <c r="Q35892" s="11"/>
      <c r="R35892" s="11"/>
      <c r="S35892" s="11"/>
      <c r="T35892" s="11"/>
    </row>
    <row r="35893" spans="8:20" x14ac:dyDescent="0.35">
      <c r="H35893" s="711"/>
      <c r="I35893" s="711"/>
      <c r="J35893" s="711"/>
      <c r="K35893" s="711"/>
      <c r="L35893" s="711"/>
      <c r="Q35893" s="11"/>
      <c r="R35893" s="11"/>
      <c r="S35893" s="11"/>
      <c r="T35893" s="11"/>
    </row>
    <row r="35894" spans="8:20" x14ac:dyDescent="0.35">
      <c r="H35894" s="711"/>
      <c r="I35894" s="711"/>
      <c r="J35894" s="711"/>
      <c r="K35894" s="711"/>
      <c r="L35894" s="711"/>
      <c r="Q35894" s="11"/>
      <c r="R35894" s="11"/>
      <c r="S35894" s="11"/>
      <c r="T35894" s="11"/>
    </row>
    <row r="35895" spans="8:20" x14ac:dyDescent="0.35">
      <c r="H35895" s="711"/>
      <c r="I35895" s="711"/>
      <c r="J35895" s="711"/>
      <c r="K35895" s="711"/>
      <c r="L35895" s="711"/>
      <c r="Q35895" s="11"/>
      <c r="R35895" s="11"/>
      <c r="S35895" s="11"/>
      <c r="T35895" s="11"/>
    </row>
    <row r="35896" spans="8:20" x14ac:dyDescent="0.35">
      <c r="H35896" s="711"/>
      <c r="I35896" s="711"/>
      <c r="J35896" s="711"/>
      <c r="K35896" s="711"/>
      <c r="L35896" s="711"/>
      <c r="Q35896" s="11"/>
      <c r="R35896" s="11"/>
      <c r="S35896" s="11"/>
      <c r="T35896" s="11"/>
    </row>
    <row r="35897" spans="8:20" x14ac:dyDescent="0.35">
      <c r="H35897" s="711"/>
      <c r="I35897" s="711"/>
      <c r="J35897" s="711"/>
      <c r="K35897" s="711"/>
      <c r="L35897" s="711"/>
      <c r="Q35897" s="11"/>
      <c r="R35897" s="11"/>
      <c r="S35897" s="11"/>
      <c r="T35897" s="11"/>
    </row>
    <row r="35898" spans="8:20" x14ac:dyDescent="0.35">
      <c r="H35898" s="711"/>
      <c r="I35898" s="711"/>
      <c r="J35898" s="711"/>
      <c r="K35898" s="711"/>
      <c r="L35898" s="711"/>
      <c r="Q35898" s="11"/>
      <c r="R35898" s="11"/>
      <c r="S35898" s="11"/>
      <c r="T35898" s="11"/>
    </row>
    <row r="35899" spans="8:20" x14ac:dyDescent="0.35">
      <c r="H35899" s="711"/>
      <c r="I35899" s="711"/>
      <c r="J35899" s="711"/>
      <c r="K35899" s="711"/>
      <c r="L35899" s="711"/>
      <c r="Q35899" s="11"/>
      <c r="R35899" s="11"/>
      <c r="S35899" s="11"/>
      <c r="T35899" s="11"/>
    </row>
    <row r="35900" spans="8:20" x14ac:dyDescent="0.35">
      <c r="H35900" s="711"/>
      <c r="I35900" s="711"/>
      <c r="J35900" s="711"/>
      <c r="K35900" s="711"/>
      <c r="L35900" s="711"/>
      <c r="Q35900" s="11"/>
      <c r="R35900" s="11"/>
      <c r="S35900" s="11"/>
      <c r="T35900" s="11"/>
    </row>
    <row r="35901" spans="8:20" x14ac:dyDescent="0.35">
      <c r="H35901" s="711"/>
      <c r="I35901" s="711"/>
      <c r="J35901" s="711"/>
      <c r="K35901" s="711"/>
      <c r="L35901" s="711"/>
      <c r="Q35901" s="11"/>
      <c r="R35901" s="11"/>
      <c r="S35901" s="11"/>
      <c r="T35901" s="11"/>
    </row>
    <row r="35902" spans="8:20" x14ac:dyDescent="0.35">
      <c r="H35902" s="711"/>
      <c r="I35902" s="711"/>
      <c r="J35902" s="711"/>
      <c r="K35902" s="711"/>
      <c r="L35902" s="711"/>
      <c r="Q35902" s="11"/>
      <c r="R35902" s="11"/>
      <c r="S35902" s="11"/>
      <c r="T35902" s="11"/>
    </row>
    <row r="35903" spans="8:20" x14ac:dyDescent="0.35">
      <c r="H35903" s="711"/>
      <c r="I35903" s="711"/>
      <c r="J35903" s="711"/>
      <c r="K35903" s="711"/>
      <c r="L35903" s="711"/>
      <c r="Q35903" s="11"/>
      <c r="R35903" s="11"/>
      <c r="S35903" s="11"/>
      <c r="T35903" s="11"/>
    </row>
    <row r="35904" spans="8:20" x14ac:dyDescent="0.35">
      <c r="H35904" s="711"/>
      <c r="I35904" s="711"/>
      <c r="J35904" s="711"/>
      <c r="K35904" s="711"/>
      <c r="L35904" s="711"/>
      <c r="Q35904" s="11"/>
      <c r="R35904" s="11"/>
      <c r="S35904" s="11"/>
      <c r="T35904" s="11"/>
    </row>
    <row r="35905" spans="8:20" x14ac:dyDescent="0.35">
      <c r="H35905" s="711"/>
      <c r="I35905" s="711"/>
      <c r="J35905" s="711"/>
      <c r="K35905" s="711"/>
      <c r="L35905" s="711"/>
      <c r="Q35905" s="11"/>
      <c r="R35905" s="11"/>
      <c r="S35905" s="11"/>
      <c r="T35905" s="11"/>
    </row>
    <row r="35906" spans="8:20" x14ac:dyDescent="0.35">
      <c r="H35906" s="711"/>
      <c r="I35906" s="711"/>
      <c r="J35906" s="711"/>
      <c r="K35906" s="711"/>
      <c r="L35906" s="711"/>
      <c r="Q35906" s="11"/>
      <c r="R35906" s="11"/>
      <c r="S35906" s="11"/>
      <c r="T35906" s="11"/>
    </row>
    <row r="35907" spans="8:20" x14ac:dyDescent="0.35">
      <c r="H35907" s="711"/>
      <c r="I35907" s="711"/>
      <c r="J35907" s="711"/>
      <c r="K35907" s="711"/>
      <c r="L35907" s="711"/>
      <c r="Q35907" s="11"/>
      <c r="R35907" s="11"/>
      <c r="S35907" s="11"/>
      <c r="T35907" s="11"/>
    </row>
    <row r="35908" spans="8:20" x14ac:dyDescent="0.35">
      <c r="H35908" s="711"/>
      <c r="I35908" s="711"/>
      <c r="J35908" s="711"/>
      <c r="K35908" s="711"/>
      <c r="L35908" s="711"/>
      <c r="Q35908" s="11"/>
      <c r="R35908" s="11"/>
      <c r="S35908" s="11"/>
      <c r="T35908" s="11"/>
    </row>
    <row r="35909" spans="8:20" x14ac:dyDescent="0.35">
      <c r="H35909" s="711"/>
      <c r="I35909" s="711"/>
      <c r="J35909" s="711"/>
      <c r="K35909" s="711"/>
      <c r="L35909" s="711"/>
      <c r="Q35909" s="11"/>
      <c r="R35909" s="11"/>
      <c r="S35909" s="11"/>
      <c r="T35909" s="11"/>
    </row>
    <row r="35910" spans="8:20" x14ac:dyDescent="0.35">
      <c r="H35910" s="711"/>
      <c r="I35910" s="711"/>
      <c r="J35910" s="711"/>
      <c r="K35910" s="711"/>
      <c r="L35910" s="711"/>
      <c r="Q35910" s="11"/>
      <c r="R35910" s="11"/>
      <c r="S35910" s="11"/>
      <c r="T35910" s="11"/>
    </row>
    <row r="35911" spans="8:20" x14ac:dyDescent="0.35">
      <c r="H35911" s="711"/>
      <c r="I35911" s="711"/>
      <c r="J35911" s="711"/>
      <c r="K35911" s="711"/>
      <c r="L35911" s="711"/>
      <c r="Q35911" s="11"/>
      <c r="R35911" s="11"/>
      <c r="S35911" s="11"/>
      <c r="T35911" s="11"/>
    </row>
    <row r="35912" spans="8:20" x14ac:dyDescent="0.35">
      <c r="H35912" s="711"/>
      <c r="I35912" s="711"/>
      <c r="J35912" s="711"/>
      <c r="K35912" s="711"/>
      <c r="L35912" s="711"/>
      <c r="Q35912" s="11"/>
      <c r="R35912" s="11"/>
      <c r="S35912" s="11"/>
      <c r="T35912" s="11"/>
    </row>
    <row r="35913" spans="8:20" x14ac:dyDescent="0.35">
      <c r="H35913" s="711"/>
      <c r="I35913" s="711"/>
      <c r="J35913" s="711"/>
      <c r="K35913" s="711"/>
      <c r="L35913" s="711"/>
      <c r="Q35913" s="11"/>
      <c r="R35913" s="11"/>
      <c r="S35913" s="11"/>
      <c r="T35913" s="11"/>
    </row>
    <row r="35914" spans="8:20" x14ac:dyDescent="0.35">
      <c r="H35914" s="711"/>
      <c r="I35914" s="711"/>
      <c r="J35914" s="711"/>
      <c r="K35914" s="711"/>
      <c r="L35914" s="711"/>
      <c r="Q35914" s="11"/>
      <c r="R35914" s="11"/>
      <c r="S35914" s="11"/>
      <c r="T35914" s="11"/>
    </row>
    <row r="35915" spans="8:20" x14ac:dyDescent="0.35">
      <c r="H35915" s="711"/>
      <c r="I35915" s="711"/>
      <c r="J35915" s="711"/>
      <c r="K35915" s="711"/>
      <c r="L35915" s="711"/>
      <c r="Q35915" s="11"/>
      <c r="R35915" s="11"/>
      <c r="S35915" s="11"/>
      <c r="T35915" s="11"/>
    </row>
    <row r="35916" spans="8:20" x14ac:dyDescent="0.35">
      <c r="H35916" s="711"/>
      <c r="I35916" s="711"/>
      <c r="J35916" s="711"/>
      <c r="K35916" s="711"/>
      <c r="L35916" s="711"/>
      <c r="Q35916" s="11"/>
      <c r="R35916" s="11"/>
      <c r="S35916" s="11"/>
      <c r="T35916" s="11"/>
    </row>
    <row r="35917" spans="8:20" x14ac:dyDescent="0.35">
      <c r="H35917" s="711"/>
      <c r="I35917" s="711"/>
      <c r="J35917" s="711"/>
      <c r="K35917" s="711"/>
      <c r="L35917" s="711"/>
      <c r="Q35917" s="11"/>
      <c r="R35917" s="11"/>
      <c r="S35917" s="11"/>
      <c r="T35917" s="11"/>
    </row>
    <row r="35918" spans="8:20" x14ac:dyDescent="0.35">
      <c r="H35918" s="711"/>
      <c r="I35918" s="711"/>
      <c r="J35918" s="711"/>
      <c r="K35918" s="711"/>
      <c r="L35918" s="711"/>
      <c r="Q35918" s="11"/>
      <c r="R35918" s="11"/>
      <c r="S35918" s="11"/>
      <c r="T35918" s="11"/>
    </row>
    <row r="35919" spans="8:20" x14ac:dyDescent="0.35">
      <c r="H35919" s="711"/>
      <c r="I35919" s="711"/>
      <c r="J35919" s="711"/>
      <c r="K35919" s="711"/>
      <c r="L35919" s="711"/>
      <c r="Q35919" s="11"/>
      <c r="R35919" s="11"/>
      <c r="S35919" s="11"/>
      <c r="T35919" s="11"/>
    </row>
    <row r="35920" spans="8:20" x14ac:dyDescent="0.35">
      <c r="H35920" s="711"/>
      <c r="I35920" s="711"/>
      <c r="J35920" s="711"/>
      <c r="K35920" s="711"/>
      <c r="L35920" s="711"/>
      <c r="Q35920" s="11"/>
      <c r="R35920" s="11"/>
      <c r="S35920" s="11"/>
      <c r="T35920" s="11"/>
    </row>
    <row r="35921" spans="8:20" x14ac:dyDescent="0.35">
      <c r="H35921" s="711"/>
      <c r="I35921" s="711"/>
      <c r="J35921" s="711"/>
      <c r="K35921" s="711"/>
      <c r="L35921" s="711"/>
      <c r="Q35921" s="11"/>
      <c r="R35921" s="11"/>
      <c r="S35921" s="11"/>
      <c r="T35921" s="11"/>
    </row>
    <row r="35922" spans="8:20" x14ac:dyDescent="0.35">
      <c r="H35922" s="711"/>
      <c r="I35922" s="711"/>
      <c r="J35922" s="711"/>
      <c r="K35922" s="711"/>
      <c r="L35922" s="711"/>
      <c r="Q35922" s="11"/>
      <c r="R35922" s="11"/>
      <c r="S35922" s="11"/>
      <c r="T35922" s="11"/>
    </row>
    <row r="35923" spans="8:20" x14ac:dyDescent="0.35">
      <c r="H35923" s="711"/>
      <c r="I35923" s="711"/>
      <c r="J35923" s="711"/>
      <c r="K35923" s="711"/>
      <c r="L35923" s="711"/>
      <c r="Q35923" s="11"/>
      <c r="R35923" s="11"/>
      <c r="S35923" s="11"/>
      <c r="T35923" s="11"/>
    </row>
    <row r="35924" spans="8:20" x14ac:dyDescent="0.35">
      <c r="H35924" s="711"/>
      <c r="I35924" s="711"/>
      <c r="J35924" s="711"/>
      <c r="K35924" s="711"/>
      <c r="L35924" s="711"/>
      <c r="Q35924" s="11"/>
      <c r="R35924" s="11"/>
      <c r="S35924" s="11"/>
      <c r="T35924" s="11"/>
    </row>
    <row r="35925" spans="8:20" x14ac:dyDescent="0.35">
      <c r="H35925" s="711"/>
      <c r="I35925" s="711"/>
      <c r="J35925" s="711"/>
      <c r="K35925" s="711"/>
      <c r="L35925" s="711"/>
      <c r="Q35925" s="11"/>
      <c r="R35925" s="11"/>
      <c r="S35925" s="11"/>
      <c r="T35925" s="11"/>
    </row>
    <row r="35926" spans="8:20" x14ac:dyDescent="0.35">
      <c r="H35926" s="711"/>
      <c r="I35926" s="711"/>
      <c r="J35926" s="711"/>
      <c r="K35926" s="711"/>
      <c r="L35926" s="711"/>
      <c r="Q35926" s="11"/>
      <c r="R35926" s="11"/>
      <c r="S35926" s="11"/>
      <c r="T35926" s="11"/>
    </row>
    <row r="35927" spans="8:20" x14ac:dyDescent="0.35">
      <c r="H35927" s="711"/>
      <c r="I35927" s="711"/>
      <c r="J35927" s="711"/>
      <c r="K35927" s="711"/>
      <c r="L35927" s="711"/>
      <c r="Q35927" s="11"/>
      <c r="R35927" s="11"/>
      <c r="S35927" s="11"/>
      <c r="T35927" s="11"/>
    </row>
    <row r="35928" spans="8:20" x14ac:dyDescent="0.35">
      <c r="H35928" s="711"/>
      <c r="I35928" s="711"/>
      <c r="J35928" s="711"/>
      <c r="K35928" s="711"/>
      <c r="L35928" s="711"/>
      <c r="Q35928" s="11"/>
      <c r="R35928" s="11"/>
      <c r="S35928" s="11"/>
      <c r="T35928" s="11"/>
    </row>
    <row r="35929" spans="8:20" x14ac:dyDescent="0.35">
      <c r="H35929" s="711"/>
      <c r="I35929" s="711"/>
      <c r="J35929" s="711"/>
      <c r="K35929" s="711"/>
      <c r="L35929" s="711"/>
      <c r="Q35929" s="11"/>
      <c r="R35929" s="11"/>
      <c r="S35929" s="11"/>
      <c r="T35929" s="11"/>
    </row>
    <row r="35930" spans="8:20" x14ac:dyDescent="0.35">
      <c r="H35930" s="711"/>
      <c r="I35930" s="711"/>
      <c r="J35930" s="711"/>
      <c r="K35930" s="711"/>
      <c r="L35930" s="711"/>
      <c r="Q35930" s="11"/>
      <c r="R35930" s="11"/>
      <c r="S35930" s="11"/>
      <c r="T35930" s="11"/>
    </row>
    <row r="35931" spans="8:20" x14ac:dyDescent="0.35">
      <c r="H35931" s="711"/>
      <c r="I35931" s="711"/>
      <c r="J35931" s="711"/>
      <c r="K35931" s="711"/>
      <c r="L35931" s="711"/>
      <c r="Q35931" s="11"/>
      <c r="R35931" s="11"/>
      <c r="S35931" s="11"/>
      <c r="T35931" s="11"/>
    </row>
    <row r="35932" spans="8:20" x14ac:dyDescent="0.35">
      <c r="H35932" s="711"/>
      <c r="I35932" s="711"/>
      <c r="J35932" s="711"/>
      <c r="K35932" s="711"/>
      <c r="L35932" s="711"/>
      <c r="Q35932" s="11"/>
      <c r="R35932" s="11"/>
      <c r="S35932" s="11"/>
      <c r="T35932" s="11"/>
    </row>
    <row r="35933" spans="8:20" x14ac:dyDescent="0.35">
      <c r="H35933" s="711"/>
      <c r="I35933" s="711"/>
      <c r="J35933" s="711"/>
      <c r="K35933" s="711"/>
      <c r="L35933" s="711"/>
      <c r="Q35933" s="11"/>
      <c r="R35933" s="11"/>
      <c r="S35933" s="11"/>
      <c r="T35933" s="11"/>
    </row>
    <row r="35934" spans="8:20" x14ac:dyDescent="0.35">
      <c r="H35934" s="711"/>
      <c r="I35934" s="711"/>
      <c r="J35934" s="711"/>
      <c r="K35934" s="711"/>
      <c r="L35934" s="711"/>
      <c r="Q35934" s="11"/>
      <c r="R35934" s="11"/>
      <c r="S35934" s="11"/>
      <c r="T35934" s="11"/>
    </row>
    <row r="35935" spans="8:20" x14ac:dyDescent="0.35">
      <c r="H35935" s="711"/>
      <c r="I35935" s="711"/>
      <c r="J35935" s="711"/>
      <c r="K35935" s="711"/>
      <c r="L35935" s="711"/>
      <c r="Q35935" s="11"/>
      <c r="R35935" s="11"/>
      <c r="S35935" s="11"/>
      <c r="T35935" s="11"/>
    </row>
    <row r="35936" spans="8:20" x14ac:dyDescent="0.35">
      <c r="H35936" s="711"/>
      <c r="I35936" s="711"/>
      <c r="J35936" s="711"/>
      <c r="K35936" s="711"/>
      <c r="L35936" s="711"/>
      <c r="Q35936" s="11"/>
      <c r="R35936" s="11"/>
      <c r="S35936" s="11"/>
      <c r="T35936" s="11"/>
    </row>
    <row r="35937" spans="8:20" x14ac:dyDescent="0.35">
      <c r="H35937" s="711"/>
      <c r="I35937" s="711"/>
      <c r="J35937" s="711"/>
      <c r="K35937" s="711"/>
      <c r="L35937" s="711"/>
      <c r="Q35937" s="11"/>
      <c r="R35937" s="11"/>
      <c r="S35937" s="11"/>
      <c r="T35937" s="11"/>
    </row>
    <row r="35938" spans="8:20" x14ac:dyDescent="0.35">
      <c r="H35938" s="711"/>
      <c r="I35938" s="711"/>
      <c r="J35938" s="711"/>
      <c r="K35938" s="711"/>
      <c r="L35938" s="711"/>
      <c r="Q35938" s="11"/>
      <c r="R35938" s="11"/>
      <c r="S35938" s="11"/>
      <c r="T35938" s="11"/>
    </row>
    <row r="35939" spans="8:20" x14ac:dyDescent="0.35">
      <c r="H35939" s="711"/>
      <c r="I35939" s="711"/>
      <c r="J35939" s="711"/>
      <c r="K35939" s="711"/>
      <c r="L35939" s="711"/>
      <c r="Q35939" s="11"/>
      <c r="R35939" s="11"/>
      <c r="S35939" s="11"/>
      <c r="T35939" s="11"/>
    </row>
    <row r="35940" spans="8:20" x14ac:dyDescent="0.35">
      <c r="H35940" s="711"/>
      <c r="I35940" s="711"/>
      <c r="J35940" s="711"/>
      <c r="K35940" s="711"/>
      <c r="L35940" s="711"/>
      <c r="Q35940" s="11"/>
      <c r="R35940" s="11"/>
      <c r="S35940" s="11"/>
      <c r="T35940" s="11"/>
    </row>
    <row r="35941" spans="8:20" x14ac:dyDescent="0.35">
      <c r="H35941" s="711"/>
      <c r="I35941" s="711"/>
      <c r="J35941" s="711"/>
      <c r="K35941" s="711"/>
      <c r="L35941" s="711"/>
      <c r="Q35941" s="11"/>
      <c r="R35941" s="11"/>
      <c r="S35941" s="11"/>
      <c r="T35941" s="11"/>
    </row>
    <row r="35942" spans="8:20" x14ac:dyDescent="0.35">
      <c r="H35942" s="711"/>
      <c r="I35942" s="711"/>
      <c r="J35942" s="711"/>
      <c r="K35942" s="711"/>
      <c r="L35942" s="711"/>
      <c r="Q35942" s="11"/>
      <c r="R35942" s="11"/>
      <c r="S35942" s="11"/>
      <c r="T35942" s="11"/>
    </row>
    <row r="35943" spans="8:20" x14ac:dyDescent="0.35">
      <c r="H35943" s="711"/>
      <c r="I35943" s="711"/>
      <c r="J35943" s="711"/>
      <c r="K35943" s="711"/>
      <c r="L35943" s="711"/>
      <c r="Q35943" s="11"/>
      <c r="R35943" s="11"/>
      <c r="S35943" s="11"/>
      <c r="T35943" s="11"/>
    </row>
    <row r="35944" spans="8:20" x14ac:dyDescent="0.35">
      <c r="H35944" s="711"/>
      <c r="I35944" s="711"/>
      <c r="J35944" s="711"/>
      <c r="K35944" s="711"/>
      <c r="L35944" s="711"/>
      <c r="Q35944" s="11"/>
      <c r="R35944" s="11"/>
      <c r="S35944" s="11"/>
      <c r="T35944" s="11"/>
    </row>
    <row r="35945" spans="8:20" x14ac:dyDescent="0.35">
      <c r="H35945" s="711"/>
      <c r="I35945" s="711"/>
      <c r="J35945" s="711"/>
      <c r="K35945" s="711"/>
      <c r="L35945" s="711"/>
      <c r="Q35945" s="11"/>
      <c r="R35945" s="11"/>
      <c r="S35945" s="11"/>
      <c r="T35945" s="11"/>
    </row>
    <row r="35946" spans="8:20" x14ac:dyDescent="0.35">
      <c r="H35946" s="711"/>
      <c r="I35946" s="711"/>
      <c r="J35946" s="711"/>
      <c r="K35946" s="711"/>
      <c r="L35946" s="711"/>
      <c r="Q35946" s="11"/>
      <c r="R35946" s="11"/>
      <c r="S35946" s="11"/>
      <c r="T35946" s="11"/>
    </row>
    <row r="35947" spans="8:20" x14ac:dyDescent="0.35">
      <c r="H35947" s="711"/>
      <c r="I35947" s="711"/>
      <c r="J35947" s="711"/>
      <c r="K35947" s="711"/>
      <c r="L35947" s="711"/>
      <c r="Q35947" s="11"/>
      <c r="R35947" s="11"/>
      <c r="S35947" s="11"/>
      <c r="T35947" s="11"/>
    </row>
    <row r="35948" spans="8:20" x14ac:dyDescent="0.35">
      <c r="H35948" s="711"/>
      <c r="I35948" s="711"/>
      <c r="J35948" s="711"/>
      <c r="K35948" s="711"/>
      <c r="L35948" s="711"/>
      <c r="Q35948" s="11"/>
      <c r="R35948" s="11"/>
      <c r="S35948" s="11"/>
      <c r="T35948" s="11"/>
    </row>
    <row r="35949" spans="8:20" x14ac:dyDescent="0.35">
      <c r="H35949" s="711"/>
      <c r="I35949" s="711"/>
      <c r="J35949" s="711"/>
      <c r="K35949" s="711"/>
      <c r="L35949" s="711"/>
      <c r="Q35949" s="11"/>
      <c r="R35949" s="11"/>
      <c r="S35949" s="11"/>
      <c r="T35949" s="11"/>
    </row>
    <row r="35950" spans="8:20" x14ac:dyDescent="0.35">
      <c r="H35950" s="711"/>
      <c r="I35950" s="711"/>
      <c r="J35950" s="711"/>
      <c r="K35950" s="711"/>
      <c r="L35950" s="711"/>
      <c r="Q35950" s="11"/>
      <c r="R35950" s="11"/>
      <c r="S35950" s="11"/>
      <c r="T35950" s="11"/>
    </row>
    <row r="35951" spans="8:20" x14ac:dyDescent="0.35">
      <c r="H35951" s="711"/>
      <c r="I35951" s="711"/>
      <c r="J35951" s="711"/>
      <c r="K35951" s="711"/>
      <c r="L35951" s="711"/>
      <c r="Q35951" s="11"/>
      <c r="R35951" s="11"/>
      <c r="S35951" s="11"/>
      <c r="T35951" s="11"/>
    </row>
    <row r="35952" spans="8:20" x14ac:dyDescent="0.35">
      <c r="H35952" s="711"/>
      <c r="I35952" s="711"/>
      <c r="J35952" s="711"/>
      <c r="K35952" s="711"/>
      <c r="L35952" s="711"/>
      <c r="Q35952" s="11"/>
      <c r="R35952" s="11"/>
      <c r="S35952" s="11"/>
      <c r="T35952" s="11"/>
    </row>
    <row r="35953" spans="8:20" x14ac:dyDescent="0.35">
      <c r="H35953" s="711"/>
      <c r="I35953" s="711"/>
      <c r="J35953" s="711"/>
      <c r="K35953" s="711"/>
      <c r="L35953" s="711"/>
      <c r="Q35953" s="11"/>
      <c r="R35953" s="11"/>
      <c r="S35953" s="11"/>
      <c r="T35953" s="11"/>
    </row>
    <row r="35954" spans="8:20" x14ac:dyDescent="0.35">
      <c r="H35954" s="711"/>
      <c r="I35954" s="711"/>
      <c r="J35954" s="711"/>
      <c r="K35954" s="711"/>
      <c r="L35954" s="711"/>
      <c r="Q35954" s="11"/>
      <c r="R35954" s="11"/>
      <c r="S35954" s="11"/>
      <c r="T35954" s="11"/>
    </row>
    <row r="35955" spans="8:20" x14ac:dyDescent="0.35">
      <c r="H35955" s="711"/>
      <c r="I35955" s="711"/>
      <c r="J35955" s="711"/>
      <c r="K35955" s="711"/>
      <c r="L35955" s="711"/>
      <c r="Q35955" s="11"/>
      <c r="R35955" s="11"/>
      <c r="S35955" s="11"/>
      <c r="T35955" s="11"/>
    </row>
    <row r="35956" spans="8:20" x14ac:dyDescent="0.35">
      <c r="H35956" s="711"/>
      <c r="I35956" s="711"/>
      <c r="J35956" s="711"/>
      <c r="K35956" s="711"/>
      <c r="L35956" s="711"/>
      <c r="Q35956" s="11"/>
      <c r="R35956" s="11"/>
      <c r="S35956" s="11"/>
      <c r="T35956" s="11"/>
    </row>
    <row r="35957" spans="8:20" x14ac:dyDescent="0.35">
      <c r="H35957" s="711"/>
      <c r="I35957" s="711"/>
      <c r="J35957" s="711"/>
      <c r="K35957" s="711"/>
      <c r="L35957" s="711"/>
      <c r="Q35957" s="11"/>
      <c r="R35957" s="11"/>
      <c r="S35957" s="11"/>
      <c r="T35957" s="11"/>
    </row>
    <row r="35958" spans="8:20" x14ac:dyDescent="0.35">
      <c r="H35958" s="711"/>
      <c r="I35958" s="711"/>
      <c r="J35958" s="711"/>
      <c r="K35958" s="711"/>
      <c r="L35958" s="711"/>
      <c r="Q35958" s="11"/>
      <c r="R35958" s="11"/>
      <c r="S35958" s="11"/>
      <c r="T35958" s="11"/>
    </row>
    <row r="35959" spans="8:20" x14ac:dyDescent="0.35">
      <c r="H35959" s="711"/>
      <c r="I35959" s="711"/>
      <c r="J35959" s="711"/>
      <c r="K35959" s="711"/>
      <c r="L35959" s="711"/>
      <c r="Q35959" s="11"/>
      <c r="R35959" s="11"/>
      <c r="S35959" s="11"/>
      <c r="T35959" s="11"/>
    </row>
    <row r="35960" spans="8:20" x14ac:dyDescent="0.35">
      <c r="H35960" s="711"/>
      <c r="I35960" s="711"/>
      <c r="J35960" s="711"/>
      <c r="K35960" s="711"/>
      <c r="L35960" s="711"/>
      <c r="Q35960" s="11"/>
      <c r="R35960" s="11"/>
      <c r="S35960" s="11"/>
      <c r="T35960" s="11"/>
    </row>
    <row r="35961" spans="8:20" x14ac:dyDescent="0.35">
      <c r="H35961" s="711"/>
      <c r="I35961" s="711"/>
      <c r="J35961" s="711"/>
      <c r="K35961" s="711"/>
      <c r="L35961" s="711"/>
      <c r="Q35961" s="11"/>
      <c r="R35961" s="11"/>
      <c r="S35961" s="11"/>
      <c r="T35961" s="11"/>
    </row>
    <row r="35962" spans="8:20" x14ac:dyDescent="0.35">
      <c r="H35962" s="711"/>
      <c r="I35962" s="711"/>
      <c r="J35962" s="711"/>
      <c r="K35962" s="711"/>
      <c r="L35962" s="711"/>
      <c r="Q35962" s="11"/>
      <c r="R35962" s="11"/>
      <c r="S35962" s="11"/>
      <c r="T35962" s="11"/>
    </row>
    <row r="35963" spans="8:20" x14ac:dyDescent="0.35">
      <c r="H35963" s="711"/>
      <c r="I35963" s="711"/>
      <c r="J35963" s="711"/>
      <c r="K35963" s="711"/>
      <c r="L35963" s="711"/>
      <c r="Q35963" s="11"/>
      <c r="R35963" s="11"/>
      <c r="S35963" s="11"/>
      <c r="T35963" s="11"/>
    </row>
    <row r="35964" spans="8:20" x14ac:dyDescent="0.35">
      <c r="H35964" s="711"/>
      <c r="I35964" s="711"/>
      <c r="J35964" s="711"/>
      <c r="K35964" s="711"/>
      <c r="L35964" s="711"/>
      <c r="Q35964" s="11"/>
      <c r="R35964" s="11"/>
      <c r="S35964" s="11"/>
      <c r="T35964" s="11"/>
    </row>
    <row r="35965" spans="8:20" x14ac:dyDescent="0.35">
      <c r="H35965" s="711"/>
      <c r="I35965" s="711"/>
      <c r="J35965" s="711"/>
      <c r="K35965" s="711"/>
      <c r="L35965" s="711"/>
      <c r="Q35965" s="11"/>
      <c r="R35965" s="11"/>
      <c r="S35965" s="11"/>
      <c r="T35965" s="11"/>
    </row>
    <row r="35966" spans="8:20" x14ac:dyDescent="0.35">
      <c r="H35966" s="711"/>
      <c r="I35966" s="711"/>
      <c r="J35966" s="711"/>
      <c r="K35966" s="711"/>
      <c r="L35966" s="711"/>
      <c r="Q35966" s="11"/>
      <c r="R35966" s="11"/>
      <c r="S35966" s="11"/>
      <c r="T35966" s="11"/>
    </row>
    <row r="35967" spans="8:20" x14ac:dyDescent="0.35">
      <c r="H35967" s="711"/>
      <c r="I35967" s="711"/>
      <c r="J35967" s="711"/>
      <c r="K35967" s="711"/>
      <c r="L35967" s="711"/>
      <c r="Q35967" s="11"/>
      <c r="R35967" s="11"/>
      <c r="S35967" s="11"/>
      <c r="T35967" s="11"/>
    </row>
    <row r="35968" spans="8:20" x14ac:dyDescent="0.35">
      <c r="H35968" s="711"/>
      <c r="I35968" s="711"/>
      <c r="J35968" s="711"/>
      <c r="K35968" s="711"/>
      <c r="L35968" s="711"/>
      <c r="Q35968" s="11"/>
      <c r="R35968" s="11"/>
      <c r="S35968" s="11"/>
      <c r="T35968" s="11"/>
    </row>
    <row r="35969" spans="8:20" x14ac:dyDescent="0.35">
      <c r="H35969" s="711"/>
      <c r="I35969" s="711"/>
      <c r="J35969" s="711"/>
      <c r="K35969" s="711"/>
      <c r="L35969" s="711"/>
      <c r="Q35969" s="11"/>
      <c r="R35969" s="11"/>
      <c r="S35969" s="11"/>
      <c r="T35969" s="11"/>
    </row>
    <row r="35970" spans="8:20" x14ac:dyDescent="0.35">
      <c r="H35970" s="711"/>
      <c r="I35970" s="711"/>
      <c r="J35970" s="711"/>
      <c r="K35970" s="711"/>
      <c r="L35970" s="711"/>
      <c r="Q35970" s="11"/>
      <c r="R35970" s="11"/>
      <c r="S35970" s="11"/>
      <c r="T35970" s="11"/>
    </row>
    <row r="35971" spans="8:20" x14ac:dyDescent="0.35">
      <c r="H35971" s="711"/>
      <c r="I35971" s="711"/>
      <c r="J35971" s="711"/>
      <c r="K35971" s="711"/>
      <c r="L35971" s="711"/>
      <c r="Q35971" s="11"/>
      <c r="R35971" s="11"/>
      <c r="S35971" s="11"/>
      <c r="T35971" s="11"/>
    </row>
    <row r="35972" spans="8:20" x14ac:dyDescent="0.35">
      <c r="H35972" s="711"/>
      <c r="I35972" s="711"/>
      <c r="J35972" s="711"/>
      <c r="K35972" s="711"/>
      <c r="L35972" s="711"/>
      <c r="Q35972" s="11"/>
      <c r="R35972" s="11"/>
      <c r="S35972" s="11"/>
      <c r="T35972" s="11"/>
    </row>
    <row r="35973" spans="8:20" x14ac:dyDescent="0.35">
      <c r="H35973" s="711"/>
      <c r="I35973" s="711"/>
      <c r="J35973" s="711"/>
      <c r="K35973" s="711"/>
      <c r="L35973" s="711"/>
      <c r="Q35973" s="11"/>
      <c r="R35973" s="11"/>
      <c r="S35973" s="11"/>
      <c r="T35973" s="11"/>
    </row>
    <row r="35974" spans="8:20" x14ac:dyDescent="0.35">
      <c r="H35974" s="711"/>
      <c r="I35974" s="711"/>
      <c r="J35974" s="711"/>
      <c r="K35974" s="711"/>
      <c r="L35974" s="711"/>
      <c r="Q35974" s="11"/>
      <c r="R35974" s="11"/>
      <c r="S35974" s="11"/>
      <c r="T35974" s="11"/>
    </row>
    <row r="35975" spans="8:20" x14ac:dyDescent="0.35">
      <c r="H35975" s="711"/>
      <c r="I35975" s="711"/>
      <c r="J35975" s="711"/>
      <c r="K35975" s="711"/>
      <c r="L35975" s="711"/>
      <c r="Q35975" s="11"/>
      <c r="R35975" s="11"/>
      <c r="S35975" s="11"/>
      <c r="T35975" s="11"/>
    </row>
    <row r="35976" spans="8:20" x14ac:dyDescent="0.35">
      <c r="H35976" s="711"/>
      <c r="I35976" s="711"/>
      <c r="J35976" s="711"/>
      <c r="K35976" s="711"/>
      <c r="L35976" s="711"/>
      <c r="Q35976" s="11"/>
      <c r="R35976" s="11"/>
      <c r="S35976" s="11"/>
      <c r="T35976" s="11"/>
    </row>
    <row r="35977" spans="8:20" x14ac:dyDescent="0.35">
      <c r="H35977" s="711"/>
      <c r="I35977" s="711"/>
      <c r="J35977" s="711"/>
      <c r="K35977" s="711"/>
      <c r="L35977" s="711"/>
      <c r="Q35977" s="11"/>
      <c r="R35977" s="11"/>
      <c r="S35977" s="11"/>
      <c r="T35977" s="11"/>
    </row>
    <row r="35978" spans="8:20" x14ac:dyDescent="0.35">
      <c r="H35978" s="711"/>
      <c r="I35978" s="711"/>
      <c r="J35978" s="711"/>
      <c r="K35978" s="711"/>
      <c r="L35978" s="711"/>
      <c r="Q35978" s="11"/>
      <c r="R35978" s="11"/>
      <c r="S35978" s="11"/>
      <c r="T35978" s="11"/>
    </row>
    <row r="35979" spans="8:20" x14ac:dyDescent="0.35">
      <c r="H35979" s="711"/>
      <c r="I35979" s="711"/>
      <c r="J35979" s="711"/>
      <c r="K35979" s="711"/>
      <c r="L35979" s="711"/>
      <c r="Q35979" s="11"/>
      <c r="R35979" s="11"/>
      <c r="S35979" s="11"/>
      <c r="T35979" s="11"/>
    </row>
    <row r="35980" spans="8:20" x14ac:dyDescent="0.35">
      <c r="H35980" s="711"/>
      <c r="I35980" s="711"/>
      <c r="J35980" s="711"/>
      <c r="K35980" s="711"/>
      <c r="L35980" s="711"/>
      <c r="Q35980" s="11"/>
      <c r="R35980" s="11"/>
      <c r="S35980" s="11"/>
      <c r="T35980" s="11"/>
    </row>
    <row r="35981" spans="8:20" x14ac:dyDescent="0.35">
      <c r="H35981" s="711"/>
      <c r="I35981" s="711"/>
      <c r="J35981" s="711"/>
      <c r="K35981" s="711"/>
      <c r="L35981" s="711"/>
      <c r="Q35981" s="11"/>
      <c r="R35981" s="11"/>
      <c r="S35981" s="11"/>
      <c r="T35981" s="11"/>
    </row>
    <row r="35982" spans="8:20" x14ac:dyDescent="0.35">
      <c r="H35982" s="711"/>
      <c r="I35982" s="711"/>
      <c r="J35982" s="711"/>
      <c r="K35982" s="711"/>
      <c r="L35982" s="711"/>
      <c r="Q35982" s="11"/>
      <c r="R35982" s="11"/>
      <c r="S35982" s="11"/>
      <c r="T35982" s="11"/>
    </row>
    <row r="35983" spans="8:20" x14ac:dyDescent="0.35">
      <c r="H35983" s="711"/>
      <c r="I35983" s="711"/>
      <c r="J35983" s="711"/>
      <c r="K35983" s="711"/>
      <c r="L35983" s="711"/>
      <c r="Q35983" s="11"/>
      <c r="R35983" s="11"/>
      <c r="S35983" s="11"/>
      <c r="T35983" s="11"/>
    </row>
    <row r="35984" spans="8:20" x14ac:dyDescent="0.35">
      <c r="H35984" s="711"/>
      <c r="I35984" s="711"/>
      <c r="J35984" s="711"/>
      <c r="K35984" s="711"/>
      <c r="L35984" s="711"/>
      <c r="Q35984" s="11"/>
      <c r="R35984" s="11"/>
      <c r="S35984" s="11"/>
      <c r="T35984" s="11"/>
    </row>
    <row r="35985" spans="8:20" x14ac:dyDescent="0.35">
      <c r="H35985" s="711"/>
      <c r="I35985" s="711"/>
      <c r="J35985" s="711"/>
      <c r="K35985" s="711"/>
      <c r="L35985" s="711"/>
      <c r="Q35985" s="11"/>
      <c r="R35985" s="11"/>
      <c r="S35985" s="11"/>
      <c r="T35985" s="11"/>
    </row>
    <row r="35986" spans="8:20" x14ac:dyDescent="0.35">
      <c r="H35986" s="711"/>
      <c r="I35986" s="711"/>
      <c r="J35986" s="711"/>
      <c r="K35986" s="711"/>
      <c r="L35986" s="711"/>
      <c r="Q35986" s="11"/>
      <c r="R35986" s="11"/>
      <c r="S35986" s="11"/>
      <c r="T35986" s="11"/>
    </row>
    <row r="35987" spans="8:20" x14ac:dyDescent="0.35">
      <c r="H35987" s="711"/>
      <c r="I35987" s="711"/>
      <c r="J35987" s="711"/>
      <c r="K35987" s="711"/>
      <c r="L35987" s="711"/>
      <c r="Q35987" s="11"/>
      <c r="R35987" s="11"/>
      <c r="S35987" s="11"/>
      <c r="T35987" s="11"/>
    </row>
    <row r="35988" spans="8:20" x14ac:dyDescent="0.35">
      <c r="H35988" s="711"/>
      <c r="I35988" s="711"/>
      <c r="J35988" s="711"/>
      <c r="K35988" s="711"/>
      <c r="L35988" s="711"/>
      <c r="Q35988" s="11"/>
      <c r="R35988" s="11"/>
      <c r="S35988" s="11"/>
      <c r="T35988" s="11"/>
    </row>
    <row r="35989" spans="8:20" x14ac:dyDescent="0.35">
      <c r="H35989" s="711"/>
      <c r="I35989" s="711"/>
      <c r="J35989" s="711"/>
      <c r="K35989" s="711"/>
      <c r="L35989" s="711"/>
      <c r="Q35989" s="11"/>
      <c r="R35989" s="11"/>
      <c r="S35989" s="11"/>
      <c r="T35989" s="11"/>
    </row>
    <row r="35990" spans="8:20" x14ac:dyDescent="0.35">
      <c r="H35990" s="711"/>
      <c r="I35990" s="711"/>
      <c r="J35990" s="711"/>
      <c r="K35990" s="711"/>
      <c r="L35990" s="711"/>
      <c r="Q35990" s="11"/>
      <c r="R35990" s="11"/>
      <c r="S35990" s="11"/>
      <c r="T35990" s="11"/>
    </row>
    <row r="35991" spans="8:20" x14ac:dyDescent="0.35">
      <c r="H35991" s="711"/>
      <c r="I35991" s="711"/>
      <c r="J35991" s="711"/>
      <c r="K35991" s="711"/>
      <c r="L35991" s="711"/>
      <c r="Q35991" s="11"/>
      <c r="R35991" s="11"/>
      <c r="S35991" s="11"/>
      <c r="T35991" s="11"/>
    </row>
    <row r="35992" spans="8:20" x14ac:dyDescent="0.35">
      <c r="H35992" s="711"/>
      <c r="I35992" s="711"/>
      <c r="J35992" s="711"/>
      <c r="K35992" s="711"/>
      <c r="L35992" s="711"/>
      <c r="Q35992" s="11"/>
      <c r="R35992" s="11"/>
      <c r="S35992" s="11"/>
      <c r="T35992" s="11"/>
    </row>
    <row r="35993" spans="8:20" x14ac:dyDescent="0.35">
      <c r="H35993" s="711"/>
      <c r="I35993" s="711"/>
      <c r="J35993" s="711"/>
      <c r="K35993" s="711"/>
      <c r="L35993" s="711"/>
      <c r="Q35993" s="11"/>
      <c r="R35993" s="11"/>
      <c r="S35993" s="11"/>
      <c r="T35993" s="11"/>
    </row>
    <row r="35994" spans="8:20" x14ac:dyDescent="0.35">
      <c r="H35994" s="711"/>
      <c r="I35994" s="711"/>
      <c r="J35994" s="711"/>
      <c r="K35994" s="711"/>
      <c r="L35994" s="711"/>
      <c r="Q35994" s="11"/>
      <c r="R35994" s="11"/>
      <c r="S35994" s="11"/>
      <c r="T35994" s="11"/>
    </row>
    <row r="35995" spans="8:20" x14ac:dyDescent="0.35">
      <c r="H35995" s="711"/>
      <c r="I35995" s="711"/>
      <c r="J35995" s="711"/>
      <c r="K35995" s="711"/>
      <c r="L35995" s="711"/>
      <c r="Q35995" s="11"/>
      <c r="R35995" s="11"/>
      <c r="S35995" s="11"/>
      <c r="T35995" s="11"/>
    </row>
    <row r="35996" spans="8:20" x14ac:dyDescent="0.35">
      <c r="H35996" s="711"/>
      <c r="I35996" s="711"/>
      <c r="J35996" s="711"/>
      <c r="K35996" s="711"/>
      <c r="L35996" s="711"/>
      <c r="Q35996" s="11"/>
      <c r="R35996" s="11"/>
      <c r="S35996" s="11"/>
      <c r="T35996" s="11"/>
    </row>
    <row r="35997" spans="8:20" x14ac:dyDescent="0.35">
      <c r="H35997" s="711"/>
      <c r="I35997" s="711"/>
      <c r="J35997" s="711"/>
      <c r="K35997" s="711"/>
      <c r="L35997" s="711"/>
      <c r="Q35997" s="11"/>
      <c r="R35997" s="11"/>
      <c r="S35997" s="11"/>
      <c r="T35997" s="11"/>
    </row>
    <row r="35998" spans="8:20" x14ac:dyDescent="0.35">
      <c r="H35998" s="711"/>
      <c r="I35998" s="711"/>
      <c r="J35998" s="711"/>
      <c r="K35998" s="711"/>
      <c r="L35998" s="711"/>
      <c r="Q35998" s="11"/>
      <c r="R35998" s="11"/>
      <c r="S35998" s="11"/>
      <c r="T35998" s="11"/>
    </row>
    <row r="35999" spans="8:20" x14ac:dyDescent="0.35">
      <c r="H35999" s="711"/>
      <c r="I35999" s="711"/>
      <c r="J35999" s="711"/>
      <c r="K35999" s="711"/>
      <c r="L35999" s="711"/>
      <c r="Q35999" s="11"/>
      <c r="R35999" s="11"/>
      <c r="S35999" s="11"/>
      <c r="T35999" s="11"/>
    </row>
    <row r="36000" spans="8:20" x14ac:dyDescent="0.35">
      <c r="H36000" s="711"/>
      <c r="I36000" s="711"/>
      <c r="J36000" s="711"/>
      <c r="K36000" s="711"/>
      <c r="L36000" s="711"/>
      <c r="Q36000" s="11"/>
      <c r="R36000" s="11"/>
      <c r="S36000" s="11"/>
      <c r="T36000" s="11"/>
    </row>
    <row r="36001" spans="8:20" x14ac:dyDescent="0.35">
      <c r="H36001" s="711"/>
      <c r="I36001" s="711"/>
      <c r="J36001" s="711"/>
      <c r="K36001" s="711"/>
      <c r="L36001" s="711"/>
      <c r="Q36001" s="11"/>
      <c r="R36001" s="11"/>
      <c r="S36001" s="11"/>
      <c r="T36001" s="11"/>
    </row>
    <row r="36002" spans="8:20" x14ac:dyDescent="0.35">
      <c r="H36002" s="711"/>
      <c r="I36002" s="711"/>
      <c r="J36002" s="711"/>
      <c r="K36002" s="711"/>
      <c r="L36002" s="711"/>
      <c r="Q36002" s="11"/>
      <c r="R36002" s="11"/>
      <c r="S36002" s="11"/>
      <c r="T36002" s="11"/>
    </row>
    <row r="36003" spans="8:20" x14ac:dyDescent="0.35">
      <c r="H36003" s="711"/>
      <c r="I36003" s="711"/>
      <c r="J36003" s="711"/>
      <c r="K36003" s="711"/>
      <c r="L36003" s="711"/>
      <c r="Q36003" s="11"/>
      <c r="R36003" s="11"/>
      <c r="S36003" s="11"/>
      <c r="T36003" s="11"/>
    </row>
    <row r="36004" spans="8:20" x14ac:dyDescent="0.35">
      <c r="H36004" s="711"/>
      <c r="I36004" s="711"/>
      <c r="J36004" s="711"/>
      <c r="K36004" s="711"/>
      <c r="L36004" s="711"/>
      <c r="Q36004" s="11"/>
      <c r="R36004" s="11"/>
      <c r="S36004" s="11"/>
      <c r="T36004" s="11"/>
    </row>
    <row r="36005" spans="8:20" x14ac:dyDescent="0.35">
      <c r="H36005" s="711"/>
      <c r="I36005" s="711"/>
      <c r="J36005" s="711"/>
      <c r="K36005" s="711"/>
      <c r="L36005" s="711"/>
      <c r="Q36005" s="11"/>
      <c r="R36005" s="11"/>
      <c r="S36005" s="11"/>
      <c r="T36005" s="11"/>
    </row>
    <row r="36006" spans="8:20" x14ac:dyDescent="0.35">
      <c r="H36006" s="711"/>
      <c r="I36006" s="711"/>
      <c r="J36006" s="711"/>
      <c r="K36006" s="711"/>
      <c r="L36006" s="711"/>
      <c r="Q36006" s="11"/>
      <c r="R36006" s="11"/>
      <c r="S36006" s="11"/>
      <c r="T36006" s="11"/>
    </row>
    <row r="36007" spans="8:20" x14ac:dyDescent="0.35">
      <c r="H36007" s="711"/>
      <c r="I36007" s="711"/>
      <c r="J36007" s="711"/>
      <c r="K36007" s="711"/>
      <c r="L36007" s="711"/>
      <c r="Q36007" s="11"/>
      <c r="R36007" s="11"/>
      <c r="S36007" s="11"/>
      <c r="T36007" s="11"/>
    </row>
    <row r="36008" spans="8:20" x14ac:dyDescent="0.35">
      <c r="H36008" s="711"/>
      <c r="I36008" s="711"/>
      <c r="J36008" s="711"/>
      <c r="K36008" s="711"/>
      <c r="L36008" s="711"/>
      <c r="Q36008" s="11"/>
      <c r="R36008" s="11"/>
      <c r="S36008" s="11"/>
      <c r="T36008" s="11"/>
    </row>
    <row r="36009" spans="8:20" x14ac:dyDescent="0.35">
      <c r="H36009" s="711"/>
      <c r="I36009" s="711"/>
      <c r="J36009" s="711"/>
      <c r="K36009" s="711"/>
      <c r="L36009" s="711"/>
      <c r="Q36009" s="11"/>
      <c r="R36009" s="11"/>
      <c r="S36009" s="11"/>
      <c r="T36009" s="11"/>
    </row>
    <row r="36010" spans="8:20" x14ac:dyDescent="0.35">
      <c r="H36010" s="711"/>
      <c r="I36010" s="711"/>
      <c r="J36010" s="711"/>
      <c r="K36010" s="711"/>
      <c r="L36010" s="711"/>
      <c r="Q36010" s="11"/>
      <c r="R36010" s="11"/>
      <c r="S36010" s="11"/>
      <c r="T36010" s="11"/>
    </row>
    <row r="36011" spans="8:20" x14ac:dyDescent="0.35">
      <c r="H36011" s="711"/>
      <c r="I36011" s="711"/>
      <c r="J36011" s="711"/>
      <c r="K36011" s="711"/>
      <c r="L36011" s="711"/>
      <c r="Q36011" s="11"/>
      <c r="R36011" s="11"/>
      <c r="S36011" s="11"/>
      <c r="T36011" s="11"/>
    </row>
    <row r="36012" spans="8:20" x14ac:dyDescent="0.35">
      <c r="H36012" s="711"/>
      <c r="I36012" s="711"/>
      <c r="J36012" s="711"/>
      <c r="K36012" s="711"/>
      <c r="L36012" s="711"/>
      <c r="Q36012" s="11"/>
      <c r="R36012" s="11"/>
      <c r="S36012" s="11"/>
      <c r="T36012" s="11"/>
    </row>
    <row r="36013" spans="8:20" x14ac:dyDescent="0.35">
      <c r="H36013" s="711"/>
      <c r="I36013" s="711"/>
      <c r="J36013" s="711"/>
      <c r="K36013" s="711"/>
      <c r="L36013" s="711"/>
      <c r="Q36013" s="11"/>
      <c r="R36013" s="11"/>
      <c r="S36013" s="11"/>
      <c r="T36013" s="11"/>
    </row>
    <row r="36014" spans="8:20" x14ac:dyDescent="0.35">
      <c r="H36014" s="711"/>
      <c r="I36014" s="711"/>
      <c r="J36014" s="711"/>
      <c r="K36014" s="711"/>
      <c r="L36014" s="711"/>
      <c r="Q36014" s="11"/>
      <c r="R36014" s="11"/>
      <c r="S36014" s="11"/>
      <c r="T36014" s="11"/>
    </row>
    <row r="36015" spans="8:20" x14ac:dyDescent="0.35">
      <c r="H36015" s="711"/>
      <c r="I36015" s="711"/>
      <c r="J36015" s="711"/>
      <c r="K36015" s="711"/>
      <c r="L36015" s="711"/>
      <c r="Q36015" s="11"/>
      <c r="R36015" s="11"/>
      <c r="S36015" s="11"/>
      <c r="T36015" s="11"/>
    </row>
    <row r="36016" spans="8:20" x14ac:dyDescent="0.35">
      <c r="H36016" s="711"/>
      <c r="I36016" s="711"/>
      <c r="J36016" s="711"/>
      <c r="K36016" s="711"/>
      <c r="L36016" s="711"/>
      <c r="Q36016" s="11"/>
      <c r="R36016" s="11"/>
      <c r="S36016" s="11"/>
      <c r="T36016" s="11"/>
    </row>
    <row r="36017" spans="8:20" x14ac:dyDescent="0.35">
      <c r="H36017" s="711"/>
      <c r="I36017" s="711"/>
      <c r="J36017" s="711"/>
      <c r="K36017" s="711"/>
      <c r="L36017" s="711"/>
      <c r="Q36017" s="11"/>
      <c r="R36017" s="11"/>
      <c r="S36017" s="11"/>
      <c r="T36017" s="11"/>
    </row>
    <row r="36018" spans="8:20" x14ac:dyDescent="0.35">
      <c r="H36018" s="711"/>
      <c r="I36018" s="711"/>
      <c r="J36018" s="711"/>
      <c r="K36018" s="711"/>
      <c r="L36018" s="711"/>
      <c r="Q36018" s="11"/>
      <c r="R36018" s="11"/>
      <c r="S36018" s="11"/>
      <c r="T36018" s="11"/>
    </row>
    <row r="36019" spans="8:20" x14ac:dyDescent="0.35">
      <c r="H36019" s="711"/>
      <c r="I36019" s="711"/>
      <c r="J36019" s="711"/>
      <c r="K36019" s="711"/>
      <c r="L36019" s="711"/>
      <c r="Q36019" s="11"/>
      <c r="R36019" s="11"/>
      <c r="S36019" s="11"/>
      <c r="T36019" s="11"/>
    </row>
    <row r="36020" spans="8:20" x14ac:dyDescent="0.35">
      <c r="H36020" s="711"/>
      <c r="I36020" s="711"/>
      <c r="J36020" s="711"/>
      <c r="K36020" s="711"/>
      <c r="L36020" s="711"/>
      <c r="Q36020" s="11"/>
      <c r="R36020" s="11"/>
      <c r="S36020" s="11"/>
      <c r="T36020" s="11"/>
    </row>
    <row r="36021" spans="8:20" x14ac:dyDescent="0.35">
      <c r="H36021" s="711"/>
      <c r="I36021" s="711"/>
      <c r="J36021" s="711"/>
      <c r="K36021" s="711"/>
      <c r="L36021" s="711"/>
      <c r="Q36021" s="11"/>
      <c r="R36021" s="11"/>
      <c r="S36021" s="11"/>
      <c r="T36021" s="11"/>
    </row>
    <row r="36022" spans="8:20" x14ac:dyDescent="0.35">
      <c r="H36022" s="711"/>
      <c r="I36022" s="711"/>
      <c r="J36022" s="711"/>
      <c r="K36022" s="711"/>
      <c r="L36022" s="711"/>
      <c r="Q36022" s="11"/>
      <c r="R36022" s="11"/>
      <c r="S36022" s="11"/>
      <c r="T36022" s="11"/>
    </row>
    <row r="36023" spans="8:20" x14ac:dyDescent="0.35">
      <c r="H36023" s="711"/>
      <c r="I36023" s="711"/>
      <c r="J36023" s="711"/>
      <c r="K36023" s="711"/>
      <c r="L36023" s="711"/>
      <c r="Q36023" s="11"/>
      <c r="R36023" s="11"/>
      <c r="S36023" s="11"/>
      <c r="T36023" s="11"/>
    </row>
    <row r="36024" spans="8:20" x14ac:dyDescent="0.35">
      <c r="H36024" s="711"/>
      <c r="I36024" s="711"/>
      <c r="J36024" s="711"/>
      <c r="K36024" s="711"/>
      <c r="L36024" s="711"/>
      <c r="Q36024" s="11"/>
      <c r="R36024" s="11"/>
      <c r="S36024" s="11"/>
      <c r="T36024" s="11"/>
    </row>
    <row r="36025" spans="8:20" x14ac:dyDescent="0.35">
      <c r="H36025" s="711"/>
      <c r="I36025" s="711"/>
      <c r="J36025" s="711"/>
      <c r="K36025" s="711"/>
      <c r="L36025" s="711"/>
      <c r="Q36025" s="11"/>
      <c r="R36025" s="11"/>
      <c r="S36025" s="11"/>
      <c r="T36025" s="11"/>
    </row>
    <row r="36026" spans="8:20" x14ac:dyDescent="0.35">
      <c r="H36026" s="711"/>
      <c r="I36026" s="711"/>
      <c r="J36026" s="711"/>
      <c r="K36026" s="711"/>
      <c r="L36026" s="711"/>
      <c r="Q36026" s="11"/>
      <c r="R36026" s="11"/>
      <c r="S36026" s="11"/>
      <c r="T36026" s="11"/>
    </row>
    <row r="36027" spans="8:20" x14ac:dyDescent="0.35">
      <c r="H36027" s="711"/>
      <c r="I36027" s="711"/>
      <c r="J36027" s="711"/>
      <c r="K36027" s="711"/>
      <c r="L36027" s="711"/>
      <c r="Q36027" s="11"/>
      <c r="R36027" s="11"/>
      <c r="S36027" s="11"/>
      <c r="T36027" s="11"/>
    </row>
    <row r="36028" spans="8:20" x14ac:dyDescent="0.35">
      <c r="H36028" s="711"/>
      <c r="I36028" s="711"/>
      <c r="J36028" s="711"/>
      <c r="K36028" s="711"/>
      <c r="L36028" s="711"/>
      <c r="Q36028" s="11"/>
      <c r="R36028" s="11"/>
      <c r="S36028" s="11"/>
      <c r="T36028" s="11"/>
    </row>
    <row r="36029" spans="8:20" x14ac:dyDescent="0.35">
      <c r="H36029" s="711"/>
      <c r="I36029" s="711"/>
      <c r="J36029" s="711"/>
      <c r="K36029" s="711"/>
      <c r="L36029" s="711"/>
      <c r="Q36029" s="11"/>
      <c r="R36029" s="11"/>
      <c r="S36029" s="11"/>
      <c r="T36029" s="11"/>
    </row>
    <row r="36030" spans="8:20" x14ac:dyDescent="0.35">
      <c r="H36030" s="711"/>
      <c r="I36030" s="711"/>
      <c r="J36030" s="711"/>
      <c r="K36030" s="711"/>
      <c r="L36030" s="711"/>
      <c r="Q36030" s="11"/>
      <c r="R36030" s="11"/>
      <c r="S36030" s="11"/>
      <c r="T36030" s="11"/>
    </row>
    <row r="36031" spans="8:20" x14ac:dyDescent="0.35">
      <c r="H36031" s="711"/>
      <c r="I36031" s="711"/>
      <c r="J36031" s="711"/>
      <c r="K36031" s="711"/>
      <c r="L36031" s="711"/>
      <c r="Q36031" s="11"/>
      <c r="R36031" s="11"/>
      <c r="S36031" s="11"/>
      <c r="T36031" s="11"/>
    </row>
    <row r="36032" spans="8:20" x14ac:dyDescent="0.35">
      <c r="H36032" s="711"/>
      <c r="I36032" s="711"/>
      <c r="J36032" s="711"/>
      <c r="K36032" s="711"/>
      <c r="L36032" s="711"/>
      <c r="Q36032" s="11"/>
      <c r="R36032" s="11"/>
      <c r="S36032" s="11"/>
      <c r="T36032" s="11"/>
    </row>
    <row r="36033" spans="8:20" x14ac:dyDescent="0.35">
      <c r="H36033" s="711"/>
      <c r="I36033" s="711"/>
      <c r="J36033" s="711"/>
      <c r="K36033" s="711"/>
      <c r="L36033" s="711"/>
      <c r="Q36033" s="11"/>
      <c r="R36033" s="11"/>
      <c r="S36033" s="11"/>
      <c r="T36033" s="11"/>
    </row>
    <row r="36034" spans="8:20" x14ac:dyDescent="0.35">
      <c r="H36034" s="711"/>
      <c r="I36034" s="711"/>
      <c r="J36034" s="711"/>
      <c r="K36034" s="711"/>
      <c r="L36034" s="711"/>
      <c r="Q36034" s="11"/>
      <c r="R36034" s="11"/>
      <c r="S36034" s="11"/>
      <c r="T36034" s="11"/>
    </row>
    <row r="36035" spans="8:20" x14ac:dyDescent="0.35">
      <c r="H36035" s="711"/>
      <c r="I36035" s="711"/>
      <c r="J36035" s="711"/>
      <c r="K36035" s="711"/>
      <c r="L36035" s="711"/>
      <c r="Q36035" s="11"/>
      <c r="R36035" s="11"/>
      <c r="S36035" s="11"/>
      <c r="T36035" s="11"/>
    </row>
    <row r="36036" spans="8:20" x14ac:dyDescent="0.35">
      <c r="H36036" s="711"/>
      <c r="I36036" s="711"/>
      <c r="J36036" s="711"/>
      <c r="K36036" s="711"/>
      <c r="L36036" s="711"/>
      <c r="Q36036" s="11"/>
      <c r="R36036" s="11"/>
      <c r="S36036" s="11"/>
      <c r="T36036" s="11"/>
    </row>
    <row r="36037" spans="8:20" x14ac:dyDescent="0.35">
      <c r="H36037" s="711"/>
      <c r="I36037" s="711"/>
      <c r="J36037" s="711"/>
      <c r="K36037" s="711"/>
      <c r="L36037" s="711"/>
      <c r="Q36037" s="11"/>
      <c r="R36037" s="11"/>
      <c r="S36037" s="11"/>
      <c r="T36037" s="11"/>
    </row>
    <row r="36038" spans="8:20" x14ac:dyDescent="0.35">
      <c r="H36038" s="711"/>
      <c r="I36038" s="711"/>
      <c r="J36038" s="711"/>
      <c r="K36038" s="711"/>
      <c r="L36038" s="711"/>
      <c r="Q36038" s="11"/>
      <c r="R36038" s="11"/>
      <c r="S36038" s="11"/>
      <c r="T36038" s="11"/>
    </row>
    <row r="36039" spans="8:20" x14ac:dyDescent="0.35">
      <c r="H36039" s="711"/>
      <c r="I36039" s="711"/>
      <c r="J36039" s="711"/>
      <c r="K36039" s="711"/>
      <c r="L36039" s="711"/>
      <c r="Q36039" s="11"/>
      <c r="R36039" s="11"/>
      <c r="S36039" s="11"/>
      <c r="T36039" s="11"/>
    </row>
    <row r="36040" spans="8:20" x14ac:dyDescent="0.35">
      <c r="H36040" s="711"/>
      <c r="I36040" s="711"/>
      <c r="J36040" s="711"/>
      <c r="K36040" s="711"/>
      <c r="L36040" s="711"/>
      <c r="Q36040" s="11"/>
      <c r="R36040" s="11"/>
      <c r="S36040" s="11"/>
      <c r="T36040" s="11"/>
    </row>
    <row r="36041" spans="8:20" x14ac:dyDescent="0.35">
      <c r="H36041" s="711"/>
      <c r="I36041" s="711"/>
      <c r="J36041" s="711"/>
      <c r="K36041" s="711"/>
      <c r="L36041" s="711"/>
      <c r="Q36041" s="11"/>
      <c r="R36041" s="11"/>
      <c r="S36041" s="11"/>
      <c r="T36041" s="11"/>
    </row>
    <row r="36042" spans="8:20" x14ac:dyDescent="0.35">
      <c r="H36042" s="711"/>
      <c r="I36042" s="711"/>
      <c r="J36042" s="711"/>
      <c r="K36042" s="711"/>
      <c r="L36042" s="711"/>
      <c r="Q36042" s="11"/>
      <c r="R36042" s="11"/>
      <c r="S36042" s="11"/>
      <c r="T36042" s="11"/>
    </row>
    <row r="36043" spans="8:20" x14ac:dyDescent="0.35">
      <c r="H36043" s="711"/>
      <c r="I36043" s="711"/>
      <c r="J36043" s="711"/>
      <c r="K36043" s="711"/>
      <c r="L36043" s="711"/>
      <c r="Q36043" s="11"/>
      <c r="R36043" s="11"/>
      <c r="S36043" s="11"/>
      <c r="T36043" s="11"/>
    </row>
    <row r="36044" spans="8:20" x14ac:dyDescent="0.35">
      <c r="H36044" s="711"/>
      <c r="I36044" s="711"/>
      <c r="J36044" s="711"/>
      <c r="K36044" s="711"/>
      <c r="L36044" s="711"/>
      <c r="Q36044" s="11"/>
      <c r="R36044" s="11"/>
      <c r="S36044" s="11"/>
      <c r="T36044" s="11"/>
    </row>
    <row r="36045" spans="8:20" x14ac:dyDescent="0.35">
      <c r="H36045" s="711"/>
      <c r="I36045" s="711"/>
      <c r="J36045" s="711"/>
      <c r="K36045" s="711"/>
      <c r="L36045" s="711"/>
      <c r="Q36045" s="11"/>
      <c r="R36045" s="11"/>
      <c r="S36045" s="11"/>
      <c r="T36045" s="11"/>
    </row>
    <row r="36046" spans="8:20" x14ac:dyDescent="0.35">
      <c r="H36046" s="711"/>
      <c r="I36046" s="711"/>
      <c r="J36046" s="711"/>
      <c r="K36046" s="711"/>
      <c r="L36046" s="711"/>
      <c r="Q36046" s="11"/>
      <c r="R36046" s="11"/>
      <c r="S36046" s="11"/>
      <c r="T36046" s="11"/>
    </row>
    <row r="36047" spans="8:20" x14ac:dyDescent="0.35">
      <c r="H36047" s="711"/>
      <c r="I36047" s="711"/>
      <c r="J36047" s="711"/>
      <c r="K36047" s="711"/>
      <c r="L36047" s="711"/>
      <c r="Q36047" s="11"/>
      <c r="R36047" s="11"/>
      <c r="S36047" s="11"/>
      <c r="T36047" s="11"/>
    </row>
    <row r="36048" spans="8:20" x14ac:dyDescent="0.35">
      <c r="H36048" s="711"/>
      <c r="I36048" s="711"/>
      <c r="J36048" s="711"/>
      <c r="K36048" s="711"/>
      <c r="L36048" s="711"/>
      <c r="Q36048" s="11"/>
      <c r="R36048" s="11"/>
      <c r="S36048" s="11"/>
      <c r="T36048" s="11"/>
    </row>
    <row r="36049" spans="8:20" x14ac:dyDescent="0.35">
      <c r="H36049" s="711"/>
      <c r="I36049" s="711"/>
      <c r="J36049" s="711"/>
      <c r="K36049" s="711"/>
      <c r="L36049" s="711"/>
      <c r="Q36049" s="11"/>
      <c r="R36049" s="11"/>
      <c r="S36049" s="11"/>
      <c r="T36049" s="11"/>
    </row>
    <row r="36050" spans="8:20" x14ac:dyDescent="0.35">
      <c r="H36050" s="711"/>
      <c r="I36050" s="711"/>
      <c r="J36050" s="711"/>
      <c r="K36050" s="711"/>
      <c r="L36050" s="711"/>
      <c r="Q36050" s="11"/>
      <c r="R36050" s="11"/>
      <c r="S36050" s="11"/>
      <c r="T36050" s="11"/>
    </row>
    <row r="36051" spans="8:20" x14ac:dyDescent="0.35">
      <c r="H36051" s="711"/>
      <c r="I36051" s="711"/>
      <c r="J36051" s="711"/>
      <c r="K36051" s="711"/>
      <c r="L36051" s="711"/>
      <c r="Q36051" s="11"/>
      <c r="R36051" s="11"/>
      <c r="S36051" s="11"/>
      <c r="T36051" s="11"/>
    </row>
    <row r="36052" spans="8:20" x14ac:dyDescent="0.35">
      <c r="H36052" s="711"/>
      <c r="I36052" s="711"/>
      <c r="J36052" s="711"/>
      <c r="K36052" s="711"/>
      <c r="L36052" s="711"/>
      <c r="Q36052" s="11"/>
      <c r="R36052" s="11"/>
      <c r="S36052" s="11"/>
      <c r="T36052" s="11"/>
    </row>
    <row r="36053" spans="8:20" x14ac:dyDescent="0.35">
      <c r="H36053" s="711"/>
      <c r="I36053" s="711"/>
      <c r="J36053" s="711"/>
      <c r="K36053" s="711"/>
      <c r="L36053" s="711"/>
      <c r="Q36053" s="11"/>
      <c r="R36053" s="11"/>
      <c r="S36053" s="11"/>
      <c r="T36053" s="11"/>
    </row>
    <row r="36054" spans="8:20" x14ac:dyDescent="0.35">
      <c r="H36054" s="711"/>
      <c r="I36054" s="711"/>
      <c r="J36054" s="711"/>
      <c r="K36054" s="711"/>
      <c r="L36054" s="711"/>
      <c r="Q36054" s="11"/>
      <c r="R36054" s="11"/>
      <c r="S36054" s="11"/>
      <c r="T36054" s="11"/>
    </row>
    <row r="36055" spans="8:20" x14ac:dyDescent="0.35">
      <c r="H36055" s="711"/>
      <c r="I36055" s="711"/>
      <c r="J36055" s="711"/>
      <c r="K36055" s="711"/>
      <c r="L36055" s="711"/>
      <c r="Q36055" s="11"/>
      <c r="R36055" s="11"/>
      <c r="S36055" s="11"/>
      <c r="T36055" s="11"/>
    </row>
    <row r="36056" spans="8:20" x14ac:dyDescent="0.35">
      <c r="H36056" s="711"/>
      <c r="I36056" s="711"/>
      <c r="J36056" s="711"/>
      <c r="K36056" s="711"/>
      <c r="L36056" s="711"/>
      <c r="Q36056" s="11"/>
      <c r="R36056" s="11"/>
      <c r="S36056" s="11"/>
      <c r="T36056" s="11"/>
    </row>
    <row r="36057" spans="8:20" x14ac:dyDescent="0.35">
      <c r="H36057" s="711"/>
      <c r="I36057" s="711"/>
      <c r="J36057" s="711"/>
      <c r="K36057" s="711"/>
      <c r="L36057" s="711"/>
      <c r="Q36057" s="11"/>
      <c r="R36057" s="11"/>
      <c r="S36057" s="11"/>
      <c r="T36057" s="11"/>
    </row>
    <row r="36058" spans="8:20" x14ac:dyDescent="0.35">
      <c r="H36058" s="711"/>
      <c r="I36058" s="711"/>
      <c r="J36058" s="711"/>
      <c r="K36058" s="711"/>
      <c r="L36058" s="711"/>
      <c r="Q36058" s="11"/>
      <c r="R36058" s="11"/>
      <c r="S36058" s="11"/>
      <c r="T36058" s="11"/>
    </row>
    <row r="36059" spans="8:20" x14ac:dyDescent="0.35">
      <c r="H36059" s="711"/>
      <c r="I36059" s="711"/>
      <c r="J36059" s="711"/>
      <c r="K36059" s="711"/>
      <c r="L36059" s="711"/>
      <c r="Q36059" s="11"/>
      <c r="R36059" s="11"/>
      <c r="S36059" s="11"/>
      <c r="T36059" s="11"/>
    </row>
    <row r="36060" spans="8:20" x14ac:dyDescent="0.35">
      <c r="H36060" s="711"/>
      <c r="I36060" s="711"/>
      <c r="J36060" s="711"/>
      <c r="K36060" s="711"/>
      <c r="L36060" s="711"/>
      <c r="Q36060" s="11"/>
      <c r="R36060" s="11"/>
      <c r="S36060" s="11"/>
      <c r="T36060" s="11"/>
    </row>
    <row r="36061" spans="8:20" x14ac:dyDescent="0.35">
      <c r="H36061" s="711"/>
      <c r="I36061" s="711"/>
      <c r="J36061" s="711"/>
      <c r="K36061" s="711"/>
      <c r="L36061" s="711"/>
      <c r="Q36061" s="11"/>
      <c r="R36061" s="11"/>
      <c r="S36061" s="11"/>
      <c r="T36061" s="11"/>
    </row>
    <row r="36062" spans="8:20" x14ac:dyDescent="0.35">
      <c r="H36062" s="711"/>
      <c r="I36062" s="711"/>
      <c r="J36062" s="711"/>
      <c r="K36062" s="711"/>
      <c r="L36062" s="711"/>
      <c r="Q36062" s="11"/>
      <c r="R36062" s="11"/>
      <c r="S36062" s="11"/>
      <c r="T36062" s="11"/>
    </row>
    <row r="36063" spans="8:20" x14ac:dyDescent="0.35">
      <c r="H36063" s="711"/>
      <c r="I36063" s="711"/>
      <c r="J36063" s="711"/>
      <c r="K36063" s="711"/>
      <c r="L36063" s="711"/>
      <c r="Q36063" s="11"/>
      <c r="R36063" s="11"/>
      <c r="S36063" s="11"/>
      <c r="T36063" s="11"/>
    </row>
    <row r="36064" spans="8:20" x14ac:dyDescent="0.35">
      <c r="H36064" s="711"/>
      <c r="I36064" s="711"/>
      <c r="J36064" s="711"/>
      <c r="K36064" s="711"/>
      <c r="L36064" s="711"/>
      <c r="Q36064" s="11"/>
      <c r="R36064" s="11"/>
      <c r="S36064" s="11"/>
      <c r="T36064" s="11"/>
    </row>
    <row r="36065" spans="8:20" x14ac:dyDescent="0.35">
      <c r="H36065" s="711"/>
      <c r="I36065" s="711"/>
      <c r="J36065" s="711"/>
      <c r="K36065" s="711"/>
      <c r="L36065" s="711"/>
      <c r="Q36065" s="11"/>
      <c r="R36065" s="11"/>
      <c r="S36065" s="11"/>
      <c r="T36065" s="11"/>
    </row>
    <row r="36066" spans="8:20" x14ac:dyDescent="0.35">
      <c r="H36066" s="711"/>
      <c r="I36066" s="711"/>
      <c r="J36066" s="711"/>
      <c r="K36066" s="711"/>
      <c r="L36066" s="711"/>
      <c r="Q36066" s="11"/>
      <c r="R36066" s="11"/>
      <c r="S36066" s="11"/>
      <c r="T36066" s="11"/>
    </row>
    <row r="36067" spans="8:20" x14ac:dyDescent="0.35">
      <c r="H36067" s="711"/>
      <c r="I36067" s="711"/>
      <c r="J36067" s="711"/>
      <c r="K36067" s="711"/>
      <c r="L36067" s="711"/>
      <c r="Q36067" s="11"/>
      <c r="R36067" s="11"/>
      <c r="S36067" s="11"/>
      <c r="T36067" s="11"/>
    </row>
    <row r="36068" spans="8:20" x14ac:dyDescent="0.35">
      <c r="H36068" s="711"/>
      <c r="I36068" s="711"/>
      <c r="J36068" s="711"/>
      <c r="K36068" s="711"/>
      <c r="L36068" s="711"/>
      <c r="Q36068" s="11"/>
      <c r="R36068" s="11"/>
      <c r="S36068" s="11"/>
      <c r="T36068" s="11"/>
    </row>
    <row r="36069" spans="8:20" x14ac:dyDescent="0.35">
      <c r="H36069" s="711"/>
      <c r="I36069" s="711"/>
      <c r="J36069" s="711"/>
      <c r="K36069" s="711"/>
      <c r="L36069" s="711"/>
      <c r="Q36069" s="11"/>
      <c r="R36069" s="11"/>
      <c r="S36069" s="11"/>
      <c r="T36069" s="11"/>
    </row>
    <row r="36070" spans="8:20" x14ac:dyDescent="0.35">
      <c r="H36070" s="711"/>
      <c r="I36070" s="711"/>
      <c r="J36070" s="711"/>
      <c r="K36070" s="711"/>
      <c r="L36070" s="711"/>
      <c r="Q36070" s="11"/>
      <c r="R36070" s="11"/>
      <c r="S36070" s="11"/>
      <c r="T36070" s="11"/>
    </row>
    <row r="36071" spans="8:20" x14ac:dyDescent="0.35">
      <c r="H36071" s="711"/>
      <c r="I36071" s="711"/>
      <c r="J36071" s="711"/>
      <c r="K36071" s="711"/>
      <c r="L36071" s="711"/>
      <c r="Q36071" s="11"/>
      <c r="R36071" s="11"/>
      <c r="S36071" s="11"/>
      <c r="T36071" s="11"/>
    </row>
    <row r="36072" spans="8:20" x14ac:dyDescent="0.35">
      <c r="H36072" s="711"/>
      <c r="I36072" s="711"/>
      <c r="J36072" s="711"/>
      <c r="K36072" s="711"/>
      <c r="L36072" s="711"/>
      <c r="Q36072" s="11"/>
      <c r="R36072" s="11"/>
      <c r="S36072" s="11"/>
      <c r="T36072" s="11"/>
    </row>
    <row r="36073" spans="8:20" x14ac:dyDescent="0.35">
      <c r="H36073" s="711"/>
      <c r="I36073" s="711"/>
      <c r="J36073" s="711"/>
      <c r="K36073" s="711"/>
      <c r="L36073" s="711"/>
      <c r="Q36073" s="11"/>
      <c r="R36073" s="11"/>
      <c r="S36073" s="11"/>
      <c r="T36073" s="11"/>
    </row>
    <row r="36074" spans="8:20" x14ac:dyDescent="0.35">
      <c r="H36074" s="711"/>
      <c r="I36074" s="711"/>
      <c r="J36074" s="711"/>
      <c r="K36074" s="711"/>
      <c r="L36074" s="711"/>
      <c r="Q36074" s="11"/>
      <c r="R36074" s="11"/>
      <c r="S36074" s="11"/>
      <c r="T36074" s="11"/>
    </row>
    <row r="36075" spans="8:20" x14ac:dyDescent="0.35">
      <c r="H36075" s="711"/>
      <c r="I36075" s="711"/>
      <c r="J36075" s="711"/>
      <c r="K36075" s="711"/>
      <c r="L36075" s="711"/>
      <c r="Q36075" s="11"/>
      <c r="R36075" s="11"/>
      <c r="S36075" s="11"/>
      <c r="T36075" s="11"/>
    </row>
    <row r="36076" spans="8:20" x14ac:dyDescent="0.35">
      <c r="H36076" s="711"/>
      <c r="I36076" s="711"/>
      <c r="J36076" s="711"/>
      <c r="K36076" s="711"/>
      <c r="L36076" s="711"/>
      <c r="Q36076" s="11"/>
      <c r="R36076" s="11"/>
      <c r="S36076" s="11"/>
      <c r="T36076" s="11"/>
    </row>
    <row r="36077" spans="8:20" x14ac:dyDescent="0.35">
      <c r="H36077" s="711"/>
      <c r="I36077" s="711"/>
      <c r="J36077" s="711"/>
      <c r="K36077" s="711"/>
      <c r="L36077" s="711"/>
      <c r="Q36077" s="11"/>
      <c r="R36077" s="11"/>
      <c r="S36077" s="11"/>
      <c r="T36077" s="11"/>
    </row>
    <row r="36078" spans="8:20" x14ac:dyDescent="0.35">
      <c r="H36078" s="711"/>
      <c r="I36078" s="711"/>
      <c r="J36078" s="711"/>
      <c r="K36078" s="711"/>
      <c r="L36078" s="711"/>
      <c r="Q36078" s="11"/>
      <c r="R36078" s="11"/>
      <c r="S36078" s="11"/>
      <c r="T36078" s="11"/>
    </row>
    <row r="36079" spans="8:20" x14ac:dyDescent="0.35">
      <c r="H36079" s="711"/>
      <c r="I36079" s="711"/>
      <c r="J36079" s="711"/>
      <c r="K36079" s="711"/>
      <c r="L36079" s="711"/>
      <c r="Q36079" s="11"/>
      <c r="R36079" s="11"/>
      <c r="S36079" s="11"/>
      <c r="T36079" s="11"/>
    </row>
    <row r="36080" spans="8:20" x14ac:dyDescent="0.35">
      <c r="H36080" s="711"/>
      <c r="I36080" s="711"/>
      <c r="J36080" s="711"/>
      <c r="K36080" s="711"/>
      <c r="L36080" s="711"/>
      <c r="Q36080" s="11"/>
      <c r="R36080" s="11"/>
      <c r="S36080" s="11"/>
      <c r="T36080" s="11"/>
    </row>
    <row r="36081" spans="8:20" x14ac:dyDescent="0.35">
      <c r="H36081" s="711"/>
      <c r="I36081" s="711"/>
      <c r="J36081" s="711"/>
      <c r="K36081" s="711"/>
      <c r="L36081" s="711"/>
      <c r="Q36081" s="11"/>
      <c r="R36081" s="11"/>
      <c r="S36081" s="11"/>
      <c r="T36081" s="11"/>
    </row>
    <row r="36082" spans="8:20" x14ac:dyDescent="0.35">
      <c r="H36082" s="711"/>
      <c r="I36082" s="711"/>
      <c r="J36082" s="711"/>
      <c r="K36082" s="711"/>
      <c r="L36082" s="711"/>
      <c r="Q36082" s="11"/>
      <c r="R36082" s="11"/>
      <c r="S36082" s="11"/>
      <c r="T36082" s="11"/>
    </row>
    <row r="36083" spans="8:20" x14ac:dyDescent="0.35">
      <c r="H36083" s="711"/>
      <c r="I36083" s="711"/>
      <c r="J36083" s="711"/>
      <c r="K36083" s="711"/>
      <c r="L36083" s="711"/>
      <c r="Q36083" s="11"/>
      <c r="R36083" s="11"/>
      <c r="S36083" s="11"/>
      <c r="T36083" s="11"/>
    </row>
    <row r="36084" spans="8:20" x14ac:dyDescent="0.35">
      <c r="H36084" s="711"/>
      <c r="I36084" s="711"/>
      <c r="J36084" s="711"/>
      <c r="K36084" s="711"/>
      <c r="L36084" s="711"/>
      <c r="Q36084" s="11"/>
      <c r="R36084" s="11"/>
      <c r="S36084" s="11"/>
      <c r="T36084" s="11"/>
    </row>
    <row r="36085" spans="8:20" x14ac:dyDescent="0.35">
      <c r="H36085" s="711"/>
      <c r="I36085" s="711"/>
      <c r="J36085" s="711"/>
      <c r="K36085" s="711"/>
      <c r="L36085" s="711"/>
      <c r="Q36085" s="11"/>
      <c r="R36085" s="11"/>
      <c r="S36085" s="11"/>
      <c r="T36085" s="11"/>
    </row>
    <row r="36086" spans="8:20" x14ac:dyDescent="0.35">
      <c r="H36086" s="711"/>
      <c r="I36086" s="711"/>
      <c r="J36086" s="711"/>
      <c r="K36086" s="711"/>
      <c r="L36086" s="711"/>
      <c r="Q36086" s="11"/>
      <c r="R36086" s="11"/>
      <c r="S36086" s="11"/>
      <c r="T36086" s="11"/>
    </row>
    <row r="36087" spans="8:20" x14ac:dyDescent="0.35">
      <c r="H36087" s="711"/>
      <c r="I36087" s="711"/>
      <c r="J36087" s="711"/>
      <c r="K36087" s="711"/>
      <c r="L36087" s="711"/>
      <c r="Q36087" s="11"/>
      <c r="R36087" s="11"/>
      <c r="S36087" s="11"/>
      <c r="T36087" s="11"/>
    </row>
    <row r="36088" spans="8:20" x14ac:dyDescent="0.35">
      <c r="H36088" s="711"/>
      <c r="I36088" s="711"/>
      <c r="J36088" s="711"/>
      <c r="K36088" s="711"/>
      <c r="L36088" s="711"/>
      <c r="Q36088" s="11"/>
      <c r="R36088" s="11"/>
      <c r="S36088" s="11"/>
      <c r="T36088" s="11"/>
    </row>
    <row r="36089" spans="8:20" x14ac:dyDescent="0.35">
      <c r="H36089" s="711"/>
      <c r="I36089" s="711"/>
      <c r="J36089" s="711"/>
      <c r="K36089" s="711"/>
      <c r="L36089" s="711"/>
      <c r="Q36089" s="11"/>
      <c r="R36089" s="11"/>
      <c r="S36089" s="11"/>
      <c r="T36089" s="11"/>
    </row>
    <row r="36090" spans="8:20" x14ac:dyDescent="0.35">
      <c r="H36090" s="711"/>
      <c r="I36090" s="711"/>
      <c r="J36090" s="711"/>
      <c r="K36090" s="711"/>
      <c r="L36090" s="711"/>
      <c r="Q36090" s="11"/>
      <c r="R36090" s="11"/>
      <c r="S36090" s="11"/>
      <c r="T36090" s="11"/>
    </row>
    <row r="36091" spans="8:20" x14ac:dyDescent="0.35">
      <c r="H36091" s="711"/>
      <c r="I36091" s="711"/>
      <c r="J36091" s="711"/>
      <c r="K36091" s="711"/>
      <c r="L36091" s="711"/>
      <c r="Q36091" s="11"/>
      <c r="R36091" s="11"/>
      <c r="S36091" s="11"/>
      <c r="T36091" s="11"/>
    </row>
    <row r="36092" spans="8:20" x14ac:dyDescent="0.35">
      <c r="H36092" s="711"/>
      <c r="I36092" s="711"/>
      <c r="J36092" s="711"/>
      <c r="K36092" s="711"/>
      <c r="L36092" s="711"/>
      <c r="Q36092" s="11"/>
      <c r="R36092" s="11"/>
      <c r="S36092" s="11"/>
      <c r="T36092" s="11"/>
    </row>
    <row r="36093" spans="8:20" x14ac:dyDescent="0.35">
      <c r="H36093" s="711"/>
      <c r="I36093" s="711"/>
      <c r="J36093" s="711"/>
      <c r="K36093" s="711"/>
      <c r="L36093" s="711"/>
      <c r="Q36093" s="11"/>
      <c r="R36093" s="11"/>
      <c r="S36093" s="11"/>
      <c r="T36093" s="11"/>
    </row>
    <row r="36094" spans="8:20" x14ac:dyDescent="0.35">
      <c r="H36094" s="711"/>
      <c r="I36094" s="711"/>
      <c r="J36094" s="711"/>
      <c r="K36094" s="711"/>
      <c r="L36094" s="711"/>
      <c r="Q36094" s="11"/>
      <c r="R36094" s="11"/>
      <c r="S36094" s="11"/>
      <c r="T36094" s="11"/>
    </row>
    <row r="36095" spans="8:20" x14ac:dyDescent="0.35">
      <c r="H36095" s="711"/>
      <c r="I36095" s="711"/>
      <c r="J36095" s="711"/>
      <c r="K36095" s="711"/>
      <c r="L36095" s="711"/>
      <c r="Q36095" s="11"/>
      <c r="R36095" s="11"/>
      <c r="S36095" s="11"/>
      <c r="T36095" s="11"/>
    </row>
    <row r="36096" spans="8:20" x14ac:dyDescent="0.35">
      <c r="H36096" s="711"/>
      <c r="I36096" s="711"/>
      <c r="J36096" s="711"/>
      <c r="K36096" s="711"/>
      <c r="L36096" s="711"/>
      <c r="Q36096" s="11"/>
      <c r="R36096" s="11"/>
      <c r="S36096" s="11"/>
      <c r="T36096" s="11"/>
    </row>
    <row r="36097" spans="8:20" x14ac:dyDescent="0.35">
      <c r="H36097" s="711"/>
      <c r="I36097" s="711"/>
      <c r="J36097" s="711"/>
      <c r="K36097" s="711"/>
      <c r="L36097" s="711"/>
      <c r="Q36097" s="11"/>
      <c r="R36097" s="11"/>
      <c r="S36097" s="11"/>
      <c r="T36097" s="11"/>
    </row>
    <row r="36098" spans="8:20" x14ac:dyDescent="0.35">
      <c r="H36098" s="711"/>
      <c r="I36098" s="711"/>
      <c r="J36098" s="711"/>
      <c r="K36098" s="711"/>
      <c r="L36098" s="711"/>
      <c r="Q36098" s="11"/>
      <c r="R36098" s="11"/>
      <c r="S36098" s="11"/>
      <c r="T36098" s="11"/>
    </row>
    <row r="36099" spans="8:20" x14ac:dyDescent="0.35">
      <c r="H36099" s="711"/>
      <c r="I36099" s="711"/>
      <c r="J36099" s="711"/>
      <c r="K36099" s="711"/>
      <c r="L36099" s="711"/>
      <c r="Q36099" s="11"/>
      <c r="R36099" s="11"/>
      <c r="S36099" s="11"/>
      <c r="T36099" s="11"/>
    </row>
    <row r="36100" spans="8:20" x14ac:dyDescent="0.35">
      <c r="H36100" s="711"/>
      <c r="I36100" s="711"/>
      <c r="J36100" s="711"/>
      <c r="K36100" s="711"/>
      <c r="L36100" s="711"/>
      <c r="Q36100" s="11"/>
      <c r="R36100" s="11"/>
      <c r="S36100" s="11"/>
      <c r="T36100" s="11"/>
    </row>
    <row r="36101" spans="8:20" x14ac:dyDescent="0.35">
      <c r="H36101" s="711"/>
      <c r="I36101" s="711"/>
      <c r="J36101" s="711"/>
      <c r="K36101" s="711"/>
      <c r="L36101" s="711"/>
      <c r="Q36101" s="11"/>
      <c r="R36101" s="11"/>
      <c r="S36101" s="11"/>
      <c r="T36101" s="11"/>
    </row>
    <row r="36102" spans="8:20" x14ac:dyDescent="0.35">
      <c r="H36102" s="711"/>
      <c r="I36102" s="711"/>
      <c r="J36102" s="711"/>
      <c r="K36102" s="711"/>
      <c r="L36102" s="711"/>
      <c r="Q36102" s="11"/>
      <c r="R36102" s="11"/>
      <c r="S36102" s="11"/>
      <c r="T36102" s="11"/>
    </row>
    <row r="36103" spans="8:20" x14ac:dyDescent="0.35">
      <c r="H36103" s="711"/>
      <c r="I36103" s="711"/>
      <c r="J36103" s="711"/>
      <c r="K36103" s="711"/>
      <c r="L36103" s="711"/>
      <c r="Q36103" s="11"/>
      <c r="R36103" s="11"/>
      <c r="S36103" s="11"/>
      <c r="T36103" s="11"/>
    </row>
    <row r="36104" spans="8:20" x14ac:dyDescent="0.35">
      <c r="H36104" s="711"/>
      <c r="I36104" s="711"/>
      <c r="J36104" s="711"/>
      <c r="K36104" s="711"/>
      <c r="L36104" s="711"/>
      <c r="Q36104" s="11"/>
      <c r="R36104" s="11"/>
      <c r="S36104" s="11"/>
      <c r="T36104" s="11"/>
    </row>
    <row r="36105" spans="8:20" x14ac:dyDescent="0.35">
      <c r="H36105" s="711"/>
      <c r="I36105" s="711"/>
      <c r="J36105" s="711"/>
      <c r="K36105" s="711"/>
      <c r="L36105" s="711"/>
      <c r="Q36105" s="11"/>
      <c r="R36105" s="11"/>
      <c r="S36105" s="11"/>
      <c r="T36105" s="11"/>
    </row>
    <row r="36106" spans="8:20" x14ac:dyDescent="0.35">
      <c r="H36106" s="711"/>
      <c r="I36106" s="711"/>
      <c r="J36106" s="711"/>
      <c r="K36106" s="711"/>
      <c r="L36106" s="711"/>
      <c r="Q36106" s="11"/>
      <c r="R36106" s="11"/>
      <c r="S36106" s="11"/>
      <c r="T36106" s="11"/>
    </row>
    <row r="36107" spans="8:20" x14ac:dyDescent="0.35">
      <c r="H36107" s="711"/>
      <c r="I36107" s="711"/>
      <c r="J36107" s="711"/>
      <c r="K36107" s="711"/>
      <c r="L36107" s="711"/>
      <c r="Q36107" s="11"/>
      <c r="R36107" s="11"/>
      <c r="S36107" s="11"/>
      <c r="T36107" s="11"/>
    </row>
    <row r="36108" spans="8:20" x14ac:dyDescent="0.35">
      <c r="H36108" s="711"/>
      <c r="I36108" s="711"/>
      <c r="J36108" s="711"/>
      <c r="K36108" s="711"/>
      <c r="L36108" s="711"/>
      <c r="Q36108" s="11"/>
      <c r="R36108" s="11"/>
      <c r="S36108" s="11"/>
      <c r="T36108" s="11"/>
    </row>
    <row r="36109" spans="8:20" x14ac:dyDescent="0.35">
      <c r="H36109" s="711"/>
      <c r="I36109" s="711"/>
      <c r="J36109" s="711"/>
      <c r="K36109" s="711"/>
      <c r="L36109" s="711"/>
      <c r="Q36109" s="11"/>
      <c r="R36109" s="11"/>
      <c r="S36109" s="11"/>
      <c r="T36109" s="11"/>
    </row>
    <row r="36110" spans="8:20" x14ac:dyDescent="0.35">
      <c r="H36110" s="711"/>
      <c r="I36110" s="711"/>
      <c r="J36110" s="711"/>
      <c r="K36110" s="711"/>
      <c r="L36110" s="711"/>
      <c r="Q36110" s="11"/>
      <c r="R36110" s="11"/>
      <c r="S36110" s="11"/>
      <c r="T36110" s="11"/>
    </row>
    <row r="36111" spans="8:20" x14ac:dyDescent="0.35">
      <c r="H36111" s="711"/>
      <c r="I36111" s="711"/>
      <c r="J36111" s="711"/>
      <c r="K36111" s="711"/>
      <c r="L36111" s="711"/>
      <c r="Q36111" s="11"/>
      <c r="R36111" s="11"/>
      <c r="S36111" s="11"/>
      <c r="T36111" s="11"/>
    </row>
    <row r="36112" spans="8:20" x14ac:dyDescent="0.35">
      <c r="H36112" s="711"/>
      <c r="I36112" s="711"/>
      <c r="J36112" s="711"/>
      <c r="K36112" s="711"/>
      <c r="L36112" s="711"/>
      <c r="Q36112" s="11"/>
      <c r="R36112" s="11"/>
      <c r="S36112" s="11"/>
      <c r="T36112" s="11"/>
    </row>
    <row r="36113" spans="8:20" x14ac:dyDescent="0.35">
      <c r="H36113" s="711"/>
      <c r="I36113" s="711"/>
      <c r="J36113" s="711"/>
      <c r="K36113" s="711"/>
      <c r="L36113" s="711"/>
      <c r="Q36113" s="11"/>
      <c r="R36113" s="11"/>
      <c r="S36113" s="11"/>
      <c r="T36113" s="11"/>
    </row>
    <row r="36114" spans="8:20" x14ac:dyDescent="0.35">
      <c r="H36114" s="711"/>
      <c r="I36114" s="711"/>
      <c r="J36114" s="711"/>
      <c r="K36114" s="711"/>
      <c r="L36114" s="711"/>
      <c r="Q36114" s="11"/>
      <c r="R36114" s="11"/>
      <c r="S36114" s="11"/>
      <c r="T36114" s="11"/>
    </row>
    <row r="36115" spans="8:20" x14ac:dyDescent="0.35">
      <c r="H36115" s="711"/>
      <c r="I36115" s="711"/>
      <c r="J36115" s="711"/>
      <c r="K36115" s="711"/>
      <c r="L36115" s="711"/>
      <c r="Q36115" s="11"/>
      <c r="R36115" s="11"/>
      <c r="S36115" s="11"/>
      <c r="T36115" s="11"/>
    </row>
    <row r="36116" spans="8:20" x14ac:dyDescent="0.35">
      <c r="H36116" s="711"/>
      <c r="I36116" s="711"/>
      <c r="J36116" s="711"/>
      <c r="K36116" s="711"/>
      <c r="L36116" s="711"/>
      <c r="Q36116" s="11"/>
      <c r="R36116" s="11"/>
      <c r="S36116" s="11"/>
      <c r="T36116" s="11"/>
    </row>
    <row r="36117" spans="8:20" x14ac:dyDescent="0.35">
      <c r="H36117" s="711"/>
      <c r="I36117" s="711"/>
      <c r="J36117" s="711"/>
      <c r="K36117" s="711"/>
      <c r="L36117" s="711"/>
      <c r="Q36117" s="11"/>
      <c r="R36117" s="11"/>
      <c r="S36117" s="11"/>
      <c r="T36117" s="11"/>
    </row>
    <row r="36118" spans="8:20" x14ac:dyDescent="0.35">
      <c r="H36118" s="711"/>
      <c r="I36118" s="711"/>
      <c r="J36118" s="711"/>
      <c r="K36118" s="711"/>
      <c r="L36118" s="711"/>
      <c r="Q36118" s="11"/>
      <c r="R36118" s="11"/>
      <c r="S36118" s="11"/>
      <c r="T36118" s="11"/>
    </row>
    <row r="36119" spans="8:20" x14ac:dyDescent="0.35">
      <c r="H36119" s="711"/>
      <c r="I36119" s="711"/>
      <c r="J36119" s="711"/>
      <c r="K36119" s="711"/>
      <c r="L36119" s="711"/>
      <c r="Q36119" s="11"/>
      <c r="R36119" s="11"/>
      <c r="S36119" s="11"/>
      <c r="T36119" s="11"/>
    </row>
    <row r="36120" spans="8:20" x14ac:dyDescent="0.35">
      <c r="H36120" s="711"/>
      <c r="I36120" s="711"/>
      <c r="J36120" s="711"/>
      <c r="K36120" s="711"/>
      <c r="L36120" s="711"/>
      <c r="Q36120" s="11"/>
      <c r="R36120" s="11"/>
      <c r="S36120" s="11"/>
      <c r="T36120" s="11"/>
    </row>
    <row r="36121" spans="8:20" x14ac:dyDescent="0.35">
      <c r="H36121" s="711"/>
      <c r="I36121" s="711"/>
      <c r="J36121" s="711"/>
      <c r="K36121" s="711"/>
      <c r="L36121" s="711"/>
      <c r="Q36121" s="11"/>
      <c r="R36121" s="11"/>
      <c r="S36121" s="11"/>
      <c r="T36121" s="11"/>
    </row>
    <row r="36122" spans="8:20" x14ac:dyDescent="0.35">
      <c r="H36122" s="711"/>
      <c r="I36122" s="711"/>
      <c r="J36122" s="711"/>
      <c r="K36122" s="711"/>
      <c r="L36122" s="711"/>
      <c r="Q36122" s="11"/>
      <c r="R36122" s="11"/>
      <c r="S36122" s="11"/>
      <c r="T36122" s="11"/>
    </row>
    <row r="36123" spans="8:20" x14ac:dyDescent="0.35">
      <c r="H36123" s="711"/>
      <c r="I36123" s="711"/>
      <c r="J36123" s="711"/>
      <c r="K36123" s="711"/>
      <c r="L36123" s="711"/>
      <c r="Q36123" s="11"/>
      <c r="R36123" s="11"/>
      <c r="S36123" s="11"/>
      <c r="T36123" s="11"/>
    </row>
    <row r="36124" spans="8:20" x14ac:dyDescent="0.35">
      <c r="H36124" s="711"/>
      <c r="I36124" s="711"/>
      <c r="J36124" s="711"/>
      <c r="K36124" s="711"/>
      <c r="L36124" s="711"/>
      <c r="Q36124" s="11"/>
      <c r="R36124" s="11"/>
      <c r="S36124" s="11"/>
      <c r="T36124" s="11"/>
    </row>
    <row r="36125" spans="8:20" x14ac:dyDescent="0.35">
      <c r="H36125" s="711"/>
      <c r="I36125" s="711"/>
      <c r="J36125" s="711"/>
      <c r="K36125" s="711"/>
      <c r="L36125" s="711"/>
      <c r="Q36125" s="11"/>
      <c r="R36125" s="11"/>
      <c r="S36125" s="11"/>
      <c r="T36125" s="11"/>
    </row>
    <row r="36126" spans="8:20" x14ac:dyDescent="0.35">
      <c r="H36126" s="711"/>
      <c r="I36126" s="711"/>
      <c r="J36126" s="711"/>
      <c r="K36126" s="711"/>
      <c r="L36126" s="711"/>
      <c r="Q36126" s="11"/>
      <c r="R36126" s="11"/>
      <c r="S36126" s="11"/>
      <c r="T36126" s="11"/>
    </row>
    <row r="36127" spans="8:20" x14ac:dyDescent="0.35">
      <c r="H36127" s="711"/>
      <c r="I36127" s="711"/>
      <c r="J36127" s="711"/>
      <c r="K36127" s="711"/>
      <c r="L36127" s="711"/>
      <c r="Q36127" s="11"/>
      <c r="R36127" s="11"/>
      <c r="S36127" s="11"/>
      <c r="T36127" s="11"/>
    </row>
    <row r="36128" spans="8:20" x14ac:dyDescent="0.35">
      <c r="H36128" s="711"/>
      <c r="I36128" s="711"/>
      <c r="J36128" s="711"/>
      <c r="K36128" s="711"/>
      <c r="L36128" s="711"/>
      <c r="Q36128" s="11"/>
      <c r="R36128" s="11"/>
      <c r="S36128" s="11"/>
      <c r="T36128" s="11"/>
    </row>
    <row r="36129" spans="8:20" x14ac:dyDescent="0.35">
      <c r="H36129" s="711"/>
      <c r="I36129" s="711"/>
      <c r="J36129" s="711"/>
      <c r="K36129" s="711"/>
      <c r="L36129" s="711"/>
      <c r="Q36129" s="11"/>
      <c r="R36129" s="11"/>
      <c r="S36129" s="11"/>
      <c r="T36129" s="11"/>
    </row>
    <row r="36130" spans="8:20" x14ac:dyDescent="0.35">
      <c r="H36130" s="711"/>
      <c r="I36130" s="711"/>
      <c r="J36130" s="711"/>
      <c r="K36130" s="711"/>
      <c r="L36130" s="711"/>
      <c r="Q36130" s="11"/>
      <c r="R36130" s="11"/>
      <c r="S36130" s="11"/>
      <c r="T36130" s="11"/>
    </row>
    <row r="36131" spans="8:20" x14ac:dyDescent="0.35">
      <c r="H36131" s="711"/>
      <c r="I36131" s="711"/>
      <c r="J36131" s="711"/>
      <c r="K36131" s="711"/>
      <c r="L36131" s="711"/>
      <c r="Q36131" s="11"/>
      <c r="R36131" s="11"/>
      <c r="S36131" s="11"/>
      <c r="T36131" s="11"/>
    </row>
    <row r="36132" spans="8:20" x14ac:dyDescent="0.35">
      <c r="H36132" s="711"/>
      <c r="I36132" s="711"/>
      <c r="J36132" s="711"/>
      <c r="K36132" s="711"/>
      <c r="L36132" s="711"/>
      <c r="Q36132" s="11"/>
      <c r="R36132" s="11"/>
      <c r="S36132" s="11"/>
      <c r="T36132" s="11"/>
    </row>
    <row r="36133" spans="8:20" x14ac:dyDescent="0.35">
      <c r="H36133" s="711"/>
      <c r="I36133" s="711"/>
      <c r="J36133" s="711"/>
      <c r="K36133" s="711"/>
      <c r="L36133" s="711"/>
      <c r="Q36133" s="11"/>
      <c r="R36133" s="11"/>
      <c r="S36133" s="11"/>
      <c r="T36133" s="11"/>
    </row>
    <row r="36134" spans="8:20" x14ac:dyDescent="0.35">
      <c r="H36134" s="711"/>
      <c r="I36134" s="711"/>
      <c r="J36134" s="711"/>
      <c r="K36134" s="711"/>
      <c r="L36134" s="711"/>
      <c r="Q36134" s="11"/>
      <c r="R36134" s="11"/>
      <c r="S36134" s="11"/>
      <c r="T36134" s="11"/>
    </row>
    <row r="36135" spans="8:20" x14ac:dyDescent="0.35">
      <c r="H36135" s="711"/>
      <c r="I36135" s="711"/>
      <c r="J36135" s="711"/>
      <c r="K36135" s="711"/>
      <c r="L36135" s="711"/>
      <c r="Q36135" s="11"/>
      <c r="R36135" s="11"/>
      <c r="S36135" s="11"/>
      <c r="T36135" s="11"/>
    </row>
    <row r="36136" spans="8:20" x14ac:dyDescent="0.35">
      <c r="H36136" s="711"/>
      <c r="I36136" s="711"/>
      <c r="J36136" s="711"/>
      <c r="K36136" s="711"/>
      <c r="L36136" s="711"/>
      <c r="Q36136" s="11"/>
      <c r="R36136" s="11"/>
      <c r="S36136" s="11"/>
      <c r="T36136" s="11"/>
    </row>
    <row r="36137" spans="8:20" x14ac:dyDescent="0.35">
      <c r="H36137" s="711"/>
      <c r="I36137" s="711"/>
      <c r="J36137" s="711"/>
      <c r="K36137" s="711"/>
      <c r="L36137" s="711"/>
      <c r="Q36137" s="11"/>
      <c r="R36137" s="11"/>
      <c r="S36137" s="11"/>
      <c r="T36137" s="11"/>
    </row>
    <row r="36138" spans="8:20" x14ac:dyDescent="0.35">
      <c r="H36138" s="711"/>
      <c r="I36138" s="711"/>
      <c r="J36138" s="711"/>
      <c r="K36138" s="711"/>
      <c r="L36138" s="711"/>
      <c r="Q36138" s="11"/>
      <c r="R36138" s="11"/>
      <c r="S36138" s="11"/>
      <c r="T36138" s="11"/>
    </row>
    <row r="36139" spans="8:20" x14ac:dyDescent="0.35">
      <c r="H36139" s="711"/>
      <c r="I36139" s="711"/>
      <c r="J36139" s="711"/>
      <c r="K36139" s="711"/>
      <c r="L36139" s="711"/>
      <c r="Q36139" s="11"/>
      <c r="R36139" s="11"/>
      <c r="S36139" s="11"/>
      <c r="T36139" s="11"/>
    </row>
    <row r="36140" spans="8:20" x14ac:dyDescent="0.35">
      <c r="H36140" s="711"/>
      <c r="I36140" s="711"/>
      <c r="J36140" s="711"/>
      <c r="K36140" s="711"/>
      <c r="L36140" s="711"/>
      <c r="Q36140" s="11"/>
      <c r="R36140" s="11"/>
      <c r="S36140" s="11"/>
      <c r="T36140" s="11"/>
    </row>
    <row r="36141" spans="8:20" x14ac:dyDescent="0.35">
      <c r="H36141" s="711"/>
      <c r="I36141" s="711"/>
      <c r="J36141" s="711"/>
      <c r="K36141" s="711"/>
      <c r="L36141" s="711"/>
      <c r="Q36141" s="11"/>
      <c r="R36141" s="11"/>
      <c r="S36141" s="11"/>
      <c r="T36141" s="11"/>
    </row>
    <row r="36142" spans="8:20" x14ac:dyDescent="0.35">
      <c r="H36142" s="711"/>
      <c r="I36142" s="711"/>
      <c r="J36142" s="711"/>
      <c r="K36142" s="711"/>
      <c r="L36142" s="711"/>
      <c r="Q36142" s="11"/>
      <c r="R36142" s="11"/>
      <c r="S36142" s="11"/>
      <c r="T36142" s="11"/>
    </row>
    <row r="36143" spans="8:20" x14ac:dyDescent="0.35">
      <c r="H36143" s="711"/>
      <c r="I36143" s="711"/>
      <c r="J36143" s="711"/>
      <c r="K36143" s="711"/>
      <c r="L36143" s="711"/>
      <c r="Q36143" s="11"/>
      <c r="R36143" s="11"/>
      <c r="S36143" s="11"/>
      <c r="T36143" s="11"/>
    </row>
    <row r="36144" spans="8:20" x14ac:dyDescent="0.35">
      <c r="H36144" s="711"/>
      <c r="I36144" s="711"/>
      <c r="J36144" s="711"/>
      <c r="K36144" s="711"/>
      <c r="L36144" s="711"/>
      <c r="Q36144" s="11"/>
      <c r="R36144" s="11"/>
      <c r="S36144" s="11"/>
      <c r="T36144" s="11"/>
    </row>
    <row r="36145" spans="8:20" x14ac:dyDescent="0.35">
      <c r="H36145" s="711"/>
      <c r="I36145" s="711"/>
      <c r="J36145" s="711"/>
      <c r="K36145" s="711"/>
      <c r="L36145" s="711"/>
      <c r="Q36145" s="11"/>
      <c r="R36145" s="11"/>
      <c r="S36145" s="11"/>
      <c r="T36145" s="11"/>
    </row>
    <row r="36146" spans="8:20" x14ac:dyDescent="0.35">
      <c r="H36146" s="711"/>
      <c r="I36146" s="711"/>
      <c r="J36146" s="711"/>
      <c r="K36146" s="711"/>
      <c r="L36146" s="711"/>
      <c r="Q36146" s="11"/>
      <c r="R36146" s="11"/>
      <c r="S36146" s="11"/>
      <c r="T36146" s="11"/>
    </row>
    <row r="36147" spans="8:20" x14ac:dyDescent="0.35">
      <c r="H36147" s="711"/>
      <c r="I36147" s="711"/>
      <c r="J36147" s="711"/>
      <c r="K36147" s="711"/>
      <c r="L36147" s="711"/>
      <c r="Q36147" s="11"/>
      <c r="R36147" s="11"/>
      <c r="S36147" s="11"/>
      <c r="T36147" s="11"/>
    </row>
    <row r="36148" spans="8:20" x14ac:dyDescent="0.35">
      <c r="H36148" s="711"/>
      <c r="I36148" s="711"/>
      <c r="J36148" s="711"/>
      <c r="K36148" s="711"/>
      <c r="L36148" s="711"/>
      <c r="Q36148" s="11"/>
      <c r="R36148" s="11"/>
      <c r="S36148" s="11"/>
      <c r="T36148" s="11"/>
    </row>
    <row r="36149" spans="8:20" x14ac:dyDescent="0.35">
      <c r="H36149" s="711"/>
      <c r="I36149" s="711"/>
      <c r="J36149" s="711"/>
      <c r="K36149" s="711"/>
      <c r="L36149" s="711"/>
      <c r="Q36149" s="11"/>
      <c r="R36149" s="11"/>
      <c r="S36149" s="11"/>
      <c r="T36149" s="11"/>
    </row>
    <row r="36150" spans="8:20" x14ac:dyDescent="0.35">
      <c r="H36150" s="711"/>
      <c r="I36150" s="711"/>
      <c r="J36150" s="711"/>
      <c r="K36150" s="711"/>
      <c r="L36150" s="711"/>
      <c r="Q36150" s="11"/>
      <c r="R36150" s="11"/>
      <c r="S36150" s="11"/>
      <c r="T36150" s="11"/>
    </row>
    <row r="36151" spans="8:20" x14ac:dyDescent="0.35">
      <c r="H36151" s="711"/>
      <c r="I36151" s="711"/>
      <c r="J36151" s="711"/>
      <c r="K36151" s="711"/>
      <c r="L36151" s="711"/>
      <c r="Q36151" s="11"/>
      <c r="R36151" s="11"/>
      <c r="S36151" s="11"/>
      <c r="T36151" s="11"/>
    </row>
    <row r="36152" spans="8:20" x14ac:dyDescent="0.35">
      <c r="H36152" s="711"/>
      <c r="I36152" s="711"/>
      <c r="J36152" s="711"/>
      <c r="K36152" s="711"/>
      <c r="L36152" s="711"/>
      <c r="Q36152" s="11"/>
      <c r="R36152" s="11"/>
      <c r="S36152" s="11"/>
      <c r="T36152" s="11"/>
    </row>
    <row r="36153" spans="8:20" x14ac:dyDescent="0.35">
      <c r="H36153" s="711"/>
      <c r="I36153" s="711"/>
      <c r="J36153" s="711"/>
      <c r="K36153" s="711"/>
      <c r="L36153" s="711"/>
      <c r="Q36153" s="11"/>
      <c r="R36153" s="11"/>
      <c r="S36153" s="11"/>
      <c r="T36153" s="11"/>
    </row>
    <row r="36154" spans="8:20" x14ac:dyDescent="0.35">
      <c r="H36154" s="711"/>
      <c r="I36154" s="711"/>
      <c r="J36154" s="711"/>
      <c r="K36154" s="711"/>
      <c r="L36154" s="711"/>
      <c r="Q36154" s="11"/>
      <c r="R36154" s="11"/>
      <c r="S36154" s="11"/>
      <c r="T36154" s="11"/>
    </row>
    <row r="36155" spans="8:20" x14ac:dyDescent="0.35">
      <c r="H36155" s="711"/>
      <c r="I36155" s="711"/>
      <c r="J36155" s="711"/>
      <c r="K36155" s="711"/>
      <c r="L36155" s="711"/>
      <c r="Q36155" s="11"/>
      <c r="R36155" s="11"/>
      <c r="S36155" s="11"/>
      <c r="T36155" s="11"/>
    </row>
    <row r="36156" spans="8:20" x14ac:dyDescent="0.35">
      <c r="H36156" s="711"/>
      <c r="I36156" s="711"/>
      <c r="J36156" s="711"/>
      <c r="K36156" s="711"/>
      <c r="L36156" s="711"/>
      <c r="Q36156" s="11"/>
      <c r="R36156" s="11"/>
      <c r="S36156" s="11"/>
      <c r="T36156" s="11"/>
    </row>
    <row r="36157" spans="8:20" x14ac:dyDescent="0.35">
      <c r="H36157" s="711"/>
      <c r="I36157" s="711"/>
      <c r="J36157" s="711"/>
      <c r="K36157" s="711"/>
      <c r="L36157" s="711"/>
      <c r="Q36157" s="11"/>
      <c r="R36157" s="11"/>
      <c r="S36157" s="11"/>
      <c r="T36157" s="11"/>
    </row>
    <row r="36158" spans="8:20" x14ac:dyDescent="0.35">
      <c r="H36158" s="711"/>
      <c r="I36158" s="711"/>
      <c r="J36158" s="711"/>
      <c r="K36158" s="711"/>
      <c r="L36158" s="711"/>
      <c r="Q36158" s="11"/>
      <c r="R36158" s="11"/>
      <c r="S36158" s="11"/>
      <c r="T36158" s="11"/>
    </row>
    <row r="36159" spans="8:20" x14ac:dyDescent="0.35">
      <c r="H36159" s="711"/>
      <c r="I36159" s="711"/>
      <c r="J36159" s="711"/>
      <c r="K36159" s="711"/>
      <c r="L36159" s="711"/>
      <c r="Q36159" s="11"/>
      <c r="R36159" s="11"/>
      <c r="S36159" s="11"/>
      <c r="T36159" s="11"/>
    </row>
    <row r="36160" spans="8:20" x14ac:dyDescent="0.35">
      <c r="H36160" s="711"/>
      <c r="I36160" s="711"/>
      <c r="J36160" s="711"/>
      <c r="K36160" s="711"/>
      <c r="L36160" s="711"/>
      <c r="Q36160" s="11"/>
      <c r="R36160" s="11"/>
      <c r="S36160" s="11"/>
      <c r="T36160" s="11"/>
    </row>
    <row r="36161" spans="8:20" x14ac:dyDescent="0.35">
      <c r="H36161" s="711"/>
      <c r="I36161" s="711"/>
      <c r="J36161" s="711"/>
      <c r="K36161" s="711"/>
      <c r="L36161" s="711"/>
      <c r="Q36161" s="11"/>
      <c r="R36161" s="11"/>
      <c r="S36161" s="11"/>
      <c r="T36161" s="11"/>
    </row>
    <row r="36162" spans="8:20" x14ac:dyDescent="0.35">
      <c r="H36162" s="711"/>
      <c r="I36162" s="711"/>
      <c r="J36162" s="711"/>
      <c r="K36162" s="711"/>
      <c r="L36162" s="711"/>
      <c r="Q36162" s="11"/>
      <c r="R36162" s="11"/>
      <c r="S36162" s="11"/>
      <c r="T36162" s="11"/>
    </row>
    <row r="36163" spans="8:20" x14ac:dyDescent="0.35">
      <c r="H36163" s="711"/>
      <c r="I36163" s="711"/>
      <c r="J36163" s="711"/>
      <c r="K36163" s="711"/>
      <c r="L36163" s="711"/>
      <c r="Q36163" s="11"/>
      <c r="R36163" s="11"/>
      <c r="S36163" s="11"/>
      <c r="T36163" s="11"/>
    </row>
    <row r="36164" spans="8:20" x14ac:dyDescent="0.35">
      <c r="H36164" s="711"/>
      <c r="I36164" s="711"/>
      <c r="J36164" s="711"/>
      <c r="K36164" s="711"/>
      <c r="L36164" s="711"/>
      <c r="Q36164" s="11"/>
      <c r="R36164" s="11"/>
      <c r="S36164" s="11"/>
      <c r="T36164" s="11"/>
    </row>
    <row r="36165" spans="8:20" x14ac:dyDescent="0.35">
      <c r="H36165" s="711"/>
      <c r="I36165" s="711"/>
      <c r="J36165" s="711"/>
      <c r="K36165" s="711"/>
      <c r="L36165" s="711"/>
      <c r="Q36165" s="11"/>
      <c r="R36165" s="11"/>
      <c r="S36165" s="11"/>
      <c r="T36165" s="11"/>
    </row>
    <row r="36166" spans="8:20" x14ac:dyDescent="0.35">
      <c r="H36166" s="711"/>
      <c r="I36166" s="711"/>
      <c r="J36166" s="711"/>
      <c r="K36166" s="711"/>
      <c r="L36166" s="711"/>
      <c r="Q36166" s="11"/>
      <c r="R36166" s="11"/>
      <c r="S36166" s="11"/>
      <c r="T36166" s="11"/>
    </row>
    <row r="36167" spans="8:20" x14ac:dyDescent="0.35">
      <c r="H36167" s="711"/>
      <c r="I36167" s="711"/>
      <c r="J36167" s="711"/>
      <c r="K36167" s="711"/>
      <c r="L36167" s="711"/>
      <c r="Q36167" s="11"/>
      <c r="R36167" s="11"/>
      <c r="S36167" s="11"/>
      <c r="T36167" s="11"/>
    </row>
    <row r="36168" spans="8:20" x14ac:dyDescent="0.35">
      <c r="H36168" s="711"/>
      <c r="I36168" s="711"/>
      <c r="J36168" s="711"/>
      <c r="K36168" s="711"/>
      <c r="L36168" s="711"/>
      <c r="Q36168" s="11"/>
      <c r="R36168" s="11"/>
      <c r="S36168" s="11"/>
      <c r="T36168" s="11"/>
    </row>
    <row r="36169" spans="8:20" x14ac:dyDescent="0.35">
      <c r="H36169" s="711"/>
      <c r="I36169" s="711"/>
      <c r="J36169" s="711"/>
      <c r="K36169" s="711"/>
      <c r="L36169" s="711"/>
      <c r="Q36169" s="11"/>
      <c r="R36169" s="11"/>
      <c r="S36169" s="11"/>
      <c r="T36169" s="11"/>
    </row>
    <row r="36170" spans="8:20" x14ac:dyDescent="0.35">
      <c r="H36170" s="711"/>
      <c r="I36170" s="711"/>
      <c r="J36170" s="711"/>
      <c r="K36170" s="711"/>
      <c r="L36170" s="711"/>
      <c r="Q36170" s="11"/>
      <c r="R36170" s="11"/>
      <c r="S36170" s="11"/>
      <c r="T36170" s="11"/>
    </row>
    <row r="36171" spans="8:20" x14ac:dyDescent="0.35">
      <c r="H36171" s="711"/>
      <c r="I36171" s="711"/>
      <c r="J36171" s="711"/>
      <c r="K36171" s="711"/>
      <c r="L36171" s="711"/>
      <c r="Q36171" s="11"/>
      <c r="R36171" s="11"/>
      <c r="S36171" s="11"/>
      <c r="T36171" s="11"/>
    </row>
    <row r="36172" spans="8:20" x14ac:dyDescent="0.35">
      <c r="H36172" s="711"/>
      <c r="I36172" s="711"/>
      <c r="J36172" s="711"/>
      <c r="K36172" s="711"/>
      <c r="L36172" s="711"/>
      <c r="Q36172" s="11"/>
      <c r="R36172" s="11"/>
      <c r="S36172" s="11"/>
      <c r="T36172" s="11"/>
    </row>
    <row r="36173" spans="8:20" x14ac:dyDescent="0.35">
      <c r="H36173" s="711"/>
      <c r="I36173" s="711"/>
      <c r="J36173" s="711"/>
      <c r="K36173" s="711"/>
      <c r="L36173" s="711"/>
      <c r="Q36173" s="11"/>
      <c r="R36173" s="11"/>
      <c r="S36173" s="11"/>
      <c r="T36173" s="11"/>
    </row>
    <row r="36174" spans="8:20" x14ac:dyDescent="0.35">
      <c r="H36174" s="711"/>
      <c r="I36174" s="711"/>
      <c r="J36174" s="711"/>
      <c r="K36174" s="711"/>
      <c r="L36174" s="711"/>
      <c r="Q36174" s="11"/>
      <c r="R36174" s="11"/>
      <c r="S36174" s="11"/>
      <c r="T36174" s="11"/>
    </row>
    <row r="36175" spans="8:20" x14ac:dyDescent="0.35">
      <c r="H36175" s="711"/>
      <c r="I36175" s="711"/>
      <c r="J36175" s="711"/>
      <c r="K36175" s="711"/>
      <c r="L36175" s="711"/>
      <c r="Q36175" s="11"/>
      <c r="R36175" s="11"/>
      <c r="S36175" s="11"/>
      <c r="T36175" s="11"/>
    </row>
    <row r="36176" spans="8:20" x14ac:dyDescent="0.35">
      <c r="H36176" s="711"/>
      <c r="I36176" s="711"/>
      <c r="J36176" s="711"/>
      <c r="K36176" s="711"/>
      <c r="L36176" s="711"/>
      <c r="Q36176" s="11"/>
      <c r="R36176" s="11"/>
      <c r="S36176" s="11"/>
      <c r="T36176" s="11"/>
    </row>
    <row r="36177" spans="8:20" x14ac:dyDescent="0.35">
      <c r="H36177" s="711"/>
      <c r="I36177" s="711"/>
      <c r="J36177" s="711"/>
      <c r="K36177" s="711"/>
      <c r="L36177" s="711"/>
      <c r="Q36177" s="11"/>
      <c r="R36177" s="11"/>
      <c r="S36177" s="11"/>
      <c r="T36177" s="11"/>
    </row>
    <row r="36178" spans="8:20" x14ac:dyDescent="0.35">
      <c r="H36178" s="711"/>
      <c r="I36178" s="711"/>
      <c r="J36178" s="711"/>
      <c r="K36178" s="711"/>
      <c r="L36178" s="711"/>
      <c r="Q36178" s="11"/>
      <c r="R36178" s="11"/>
      <c r="S36178" s="11"/>
      <c r="T36178" s="11"/>
    </row>
    <row r="36179" spans="8:20" x14ac:dyDescent="0.35">
      <c r="H36179" s="711"/>
      <c r="I36179" s="711"/>
      <c r="J36179" s="711"/>
      <c r="K36179" s="711"/>
      <c r="L36179" s="711"/>
      <c r="Q36179" s="11"/>
      <c r="R36179" s="11"/>
      <c r="S36179" s="11"/>
      <c r="T36179" s="11"/>
    </row>
    <row r="36180" spans="8:20" x14ac:dyDescent="0.35">
      <c r="H36180" s="711"/>
      <c r="I36180" s="711"/>
      <c r="J36180" s="711"/>
      <c r="K36180" s="711"/>
      <c r="L36180" s="711"/>
      <c r="Q36180" s="11"/>
      <c r="R36180" s="11"/>
      <c r="S36180" s="11"/>
      <c r="T36180" s="11"/>
    </row>
    <row r="36181" spans="8:20" x14ac:dyDescent="0.35">
      <c r="H36181" s="711"/>
      <c r="I36181" s="711"/>
      <c r="J36181" s="711"/>
      <c r="K36181" s="711"/>
      <c r="L36181" s="711"/>
      <c r="Q36181" s="11"/>
      <c r="R36181" s="11"/>
      <c r="S36181" s="11"/>
      <c r="T36181" s="11"/>
    </row>
    <row r="36182" spans="8:20" x14ac:dyDescent="0.35">
      <c r="H36182" s="711"/>
      <c r="I36182" s="711"/>
      <c r="J36182" s="711"/>
      <c r="K36182" s="711"/>
      <c r="L36182" s="711"/>
      <c r="Q36182" s="11"/>
      <c r="R36182" s="11"/>
      <c r="S36182" s="11"/>
      <c r="T36182" s="11"/>
    </row>
    <row r="36183" spans="8:20" x14ac:dyDescent="0.35">
      <c r="H36183" s="711"/>
      <c r="I36183" s="711"/>
      <c r="J36183" s="711"/>
      <c r="K36183" s="711"/>
      <c r="L36183" s="711"/>
      <c r="Q36183" s="11"/>
      <c r="R36183" s="11"/>
      <c r="S36183" s="11"/>
      <c r="T36183" s="11"/>
    </row>
    <row r="36184" spans="8:20" x14ac:dyDescent="0.35">
      <c r="H36184" s="711"/>
      <c r="I36184" s="711"/>
      <c r="J36184" s="711"/>
      <c r="K36184" s="711"/>
      <c r="L36184" s="711"/>
      <c r="Q36184" s="11"/>
      <c r="R36184" s="11"/>
      <c r="S36184" s="11"/>
      <c r="T36184" s="11"/>
    </row>
    <row r="36185" spans="8:20" x14ac:dyDescent="0.35">
      <c r="H36185" s="711"/>
      <c r="I36185" s="711"/>
      <c r="J36185" s="711"/>
      <c r="K36185" s="711"/>
      <c r="L36185" s="711"/>
      <c r="Q36185" s="11"/>
      <c r="R36185" s="11"/>
      <c r="S36185" s="11"/>
      <c r="T36185" s="11"/>
    </row>
    <row r="36186" spans="8:20" x14ac:dyDescent="0.35">
      <c r="H36186" s="711"/>
      <c r="I36186" s="711"/>
      <c r="J36186" s="711"/>
      <c r="K36186" s="711"/>
      <c r="L36186" s="711"/>
      <c r="Q36186" s="11"/>
      <c r="R36186" s="11"/>
      <c r="S36186" s="11"/>
      <c r="T36186" s="11"/>
    </row>
    <row r="36187" spans="8:20" x14ac:dyDescent="0.35">
      <c r="H36187" s="711"/>
      <c r="I36187" s="711"/>
      <c r="J36187" s="711"/>
      <c r="K36187" s="711"/>
      <c r="L36187" s="711"/>
      <c r="Q36187" s="11"/>
      <c r="R36187" s="11"/>
      <c r="S36187" s="11"/>
      <c r="T36187" s="11"/>
    </row>
    <row r="36188" spans="8:20" x14ac:dyDescent="0.35">
      <c r="H36188" s="711"/>
      <c r="I36188" s="711"/>
      <c r="J36188" s="711"/>
      <c r="K36188" s="711"/>
      <c r="L36188" s="711"/>
      <c r="Q36188" s="11"/>
      <c r="R36188" s="11"/>
      <c r="S36188" s="11"/>
      <c r="T36188" s="11"/>
    </row>
    <row r="36189" spans="8:20" x14ac:dyDescent="0.35">
      <c r="H36189" s="711"/>
      <c r="I36189" s="711"/>
      <c r="J36189" s="711"/>
      <c r="K36189" s="711"/>
      <c r="L36189" s="711"/>
      <c r="Q36189" s="11"/>
      <c r="R36189" s="11"/>
      <c r="S36189" s="11"/>
      <c r="T36189" s="11"/>
    </row>
    <row r="36190" spans="8:20" x14ac:dyDescent="0.35">
      <c r="H36190" s="711"/>
      <c r="I36190" s="711"/>
      <c r="J36190" s="711"/>
      <c r="K36190" s="711"/>
      <c r="L36190" s="711"/>
      <c r="Q36190" s="11"/>
      <c r="R36190" s="11"/>
      <c r="S36190" s="11"/>
      <c r="T36190" s="11"/>
    </row>
    <row r="36191" spans="8:20" x14ac:dyDescent="0.35">
      <c r="H36191" s="711"/>
      <c r="I36191" s="711"/>
      <c r="J36191" s="711"/>
      <c r="K36191" s="711"/>
      <c r="L36191" s="711"/>
      <c r="Q36191" s="11"/>
      <c r="R36191" s="11"/>
      <c r="S36191" s="11"/>
      <c r="T36191" s="11"/>
    </row>
    <row r="36192" spans="8:20" x14ac:dyDescent="0.35">
      <c r="H36192" s="711"/>
      <c r="I36192" s="711"/>
      <c r="J36192" s="711"/>
      <c r="K36192" s="711"/>
      <c r="L36192" s="711"/>
      <c r="Q36192" s="11"/>
      <c r="R36192" s="11"/>
      <c r="S36192" s="11"/>
      <c r="T36192" s="11"/>
    </row>
    <row r="36193" spans="8:20" x14ac:dyDescent="0.35">
      <c r="H36193" s="711"/>
      <c r="I36193" s="711"/>
      <c r="J36193" s="711"/>
      <c r="K36193" s="711"/>
      <c r="L36193" s="711"/>
      <c r="Q36193" s="11"/>
      <c r="R36193" s="11"/>
      <c r="S36193" s="11"/>
      <c r="T36193" s="11"/>
    </row>
    <row r="36194" spans="8:20" x14ac:dyDescent="0.35">
      <c r="H36194" s="711"/>
      <c r="I36194" s="711"/>
      <c r="J36194" s="711"/>
      <c r="K36194" s="711"/>
      <c r="L36194" s="711"/>
      <c r="Q36194" s="11"/>
      <c r="R36194" s="11"/>
      <c r="S36194" s="11"/>
      <c r="T36194" s="11"/>
    </row>
    <row r="36195" spans="8:20" x14ac:dyDescent="0.35">
      <c r="H36195" s="711"/>
      <c r="I36195" s="711"/>
      <c r="J36195" s="711"/>
      <c r="K36195" s="711"/>
      <c r="L36195" s="711"/>
      <c r="Q36195" s="11"/>
      <c r="R36195" s="11"/>
      <c r="S36195" s="11"/>
      <c r="T36195" s="11"/>
    </row>
    <row r="36196" spans="8:20" x14ac:dyDescent="0.35">
      <c r="H36196" s="711"/>
      <c r="I36196" s="711"/>
      <c r="J36196" s="711"/>
      <c r="K36196" s="711"/>
      <c r="L36196" s="711"/>
      <c r="Q36196" s="11"/>
      <c r="R36196" s="11"/>
      <c r="S36196" s="11"/>
      <c r="T36196" s="11"/>
    </row>
    <row r="36197" spans="8:20" x14ac:dyDescent="0.35">
      <c r="H36197" s="711"/>
      <c r="I36197" s="711"/>
      <c r="J36197" s="711"/>
      <c r="K36197" s="711"/>
      <c r="L36197" s="711"/>
      <c r="Q36197" s="11"/>
      <c r="R36197" s="11"/>
      <c r="S36197" s="11"/>
      <c r="T36197" s="11"/>
    </row>
    <row r="36198" spans="8:20" x14ac:dyDescent="0.35">
      <c r="H36198" s="711"/>
      <c r="I36198" s="711"/>
      <c r="J36198" s="711"/>
      <c r="K36198" s="711"/>
      <c r="L36198" s="711"/>
      <c r="Q36198" s="11"/>
      <c r="R36198" s="11"/>
      <c r="S36198" s="11"/>
      <c r="T36198" s="11"/>
    </row>
    <row r="36199" spans="8:20" x14ac:dyDescent="0.35">
      <c r="H36199" s="711"/>
      <c r="I36199" s="711"/>
      <c r="J36199" s="711"/>
      <c r="K36199" s="711"/>
      <c r="L36199" s="711"/>
      <c r="Q36199" s="11"/>
      <c r="R36199" s="11"/>
      <c r="S36199" s="11"/>
      <c r="T36199" s="11"/>
    </row>
    <row r="36200" spans="8:20" x14ac:dyDescent="0.35">
      <c r="H36200" s="711"/>
      <c r="I36200" s="711"/>
      <c r="J36200" s="711"/>
      <c r="K36200" s="711"/>
      <c r="L36200" s="711"/>
      <c r="Q36200" s="11"/>
      <c r="R36200" s="11"/>
      <c r="S36200" s="11"/>
      <c r="T36200" s="11"/>
    </row>
    <row r="36201" spans="8:20" x14ac:dyDescent="0.35">
      <c r="H36201" s="711"/>
      <c r="I36201" s="711"/>
      <c r="J36201" s="711"/>
      <c r="K36201" s="711"/>
      <c r="L36201" s="711"/>
      <c r="Q36201" s="11"/>
      <c r="R36201" s="11"/>
      <c r="S36201" s="11"/>
      <c r="T36201" s="11"/>
    </row>
    <row r="36202" spans="8:20" x14ac:dyDescent="0.35">
      <c r="H36202" s="711"/>
      <c r="I36202" s="711"/>
      <c r="J36202" s="711"/>
      <c r="K36202" s="711"/>
      <c r="L36202" s="711"/>
      <c r="Q36202" s="11"/>
      <c r="R36202" s="11"/>
      <c r="S36202" s="11"/>
      <c r="T36202" s="11"/>
    </row>
    <row r="36203" spans="8:20" x14ac:dyDescent="0.35">
      <c r="H36203" s="711"/>
      <c r="I36203" s="711"/>
      <c r="J36203" s="711"/>
      <c r="K36203" s="711"/>
      <c r="L36203" s="711"/>
      <c r="Q36203" s="11"/>
      <c r="R36203" s="11"/>
      <c r="S36203" s="11"/>
      <c r="T36203" s="11"/>
    </row>
    <row r="36204" spans="8:20" x14ac:dyDescent="0.35">
      <c r="H36204" s="711"/>
      <c r="I36204" s="711"/>
      <c r="J36204" s="711"/>
      <c r="K36204" s="711"/>
      <c r="L36204" s="711"/>
      <c r="Q36204" s="11"/>
      <c r="R36204" s="11"/>
      <c r="S36204" s="11"/>
      <c r="T36204" s="11"/>
    </row>
    <row r="36205" spans="8:20" x14ac:dyDescent="0.35">
      <c r="H36205" s="711"/>
      <c r="I36205" s="711"/>
      <c r="J36205" s="711"/>
      <c r="K36205" s="711"/>
      <c r="L36205" s="711"/>
      <c r="Q36205" s="11"/>
      <c r="R36205" s="11"/>
      <c r="S36205" s="11"/>
      <c r="T36205" s="11"/>
    </row>
    <row r="36206" spans="8:20" x14ac:dyDescent="0.35">
      <c r="H36206" s="711"/>
      <c r="I36206" s="711"/>
      <c r="J36206" s="711"/>
      <c r="K36206" s="711"/>
      <c r="L36206" s="711"/>
      <c r="Q36206" s="11"/>
      <c r="R36206" s="11"/>
      <c r="S36206" s="11"/>
      <c r="T36206" s="11"/>
    </row>
    <row r="36207" spans="8:20" x14ac:dyDescent="0.35">
      <c r="H36207" s="711"/>
      <c r="I36207" s="711"/>
      <c r="J36207" s="711"/>
      <c r="K36207" s="711"/>
      <c r="L36207" s="711"/>
      <c r="Q36207" s="11"/>
      <c r="R36207" s="11"/>
      <c r="S36207" s="11"/>
      <c r="T36207" s="11"/>
    </row>
    <row r="36208" spans="8:20" x14ac:dyDescent="0.35">
      <c r="H36208" s="711"/>
      <c r="I36208" s="711"/>
      <c r="J36208" s="711"/>
      <c r="K36208" s="711"/>
      <c r="L36208" s="711"/>
      <c r="Q36208" s="11"/>
      <c r="R36208" s="11"/>
      <c r="S36208" s="11"/>
      <c r="T36208" s="11"/>
    </row>
    <row r="36209" spans="8:20" x14ac:dyDescent="0.35">
      <c r="H36209" s="711"/>
      <c r="I36209" s="711"/>
      <c r="J36209" s="711"/>
      <c r="K36209" s="711"/>
      <c r="L36209" s="711"/>
      <c r="Q36209" s="11"/>
      <c r="R36209" s="11"/>
      <c r="S36209" s="11"/>
      <c r="T36209" s="11"/>
    </row>
    <row r="36210" spans="8:20" x14ac:dyDescent="0.35">
      <c r="H36210" s="711"/>
      <c r="I36210" s="711"/>
      <c r="J36210" s="711"/>
      <c r="K36210" s="711"/>
      <c r="L36210" s="711"/>
      <c r="Q36210" s="11"/>
      <c r="R36210" s="11"/>
      <c r="S36210" s="11"/>
      <c r="T36210" s="11"/>
    </row>
    <row r="36211" spans="8:20" x14ac:dyDescent="0.35">
      <c r="H36211" s="711"/>
      <c r="I36211" s="711"/>
      <c r="J36211" s="711"/>
      <c r="K36211" s="711"/>
      <c r="L36211" s="711"/>
      <c r="Q36211" s="11"/>
      <c r="R36211" s="11"/>
      <c r="S36211" s="11"/>
      <c r="T36211" s="11"/>
    </row>
    <row r="36212" spans="8:20" x14ac:dyDescent="0.35">
      <c r="H36212" s="711"/>
      <c r="I36212" s="711"/>
      <c r="J36212" s="711"/>
      <c r="K36212" s="711"/>
      <c r="L36212" s="711"/>
      <c r="Q36212" s="11"/>
      <c r="R36212" s="11"/>
      <c r="S36212" s="11"/>
      <c r="T36212" s="11"/>
    </row>
    <row r="36213" spans="8:20" x14ac:dyDescent="0.35">
      <c r="H36213" s="711"/>
      <c r="I36213" s="711"/>
      <c r="J36213" s="711"/>
      <c r="K36213" s="711"/>
      <c r="L36213" s="711"/>
      <c r="Q36213" s="11"/>
      <c r="R36213" s="11"/>
      <c r="S36213" s="11"/>
      <c r="T36213" s="11"/>
    </row>
    <row r="36214" spans="8:20" x14ac:dyDescent="0.35">
      <c r="H36214" s="711"/>
      <c r="I36214" s="711"/>
      <c r="J36214" s="711"/>
      <c r="K36214" s="711"/>
      <c r="L36214" s="711"/>
      <c r="Q36214" s="11"/>
      <c r="R36214" s="11"/>
      <c r="S36214" s="11"/>
      <c r="T36214" s="11"/>
    </row>
    <row r="36215" spans="8:20" x14ac:dyDescent="0.35">
      <c r="H36215" s="711"/>
      <c r="I36215" s="711"/>
      <c r="J36215" s="711"/>
      <c r="K36215" s="711"/>
      <c r="L36215" s="711"/>
      <c r="Q36215" s="11"/>
      <c r="R36215" s="11"/>
      <c r="S36215" s="11"/>
      <c r="T36215" s="11"/>
    </row>
    <row r="36216" spans="8:20" x14ac:dyDescent="0.35">
      <c r="H36216" s="711"/>
      <c r="I36216" s="711"/>
      <c r="J36216" s="711"/>
      <c r="K36216" s="711"/>
      <c r="L36216" s="711"/>
      <c r="Q36216" s="11"/>
      <c r="R36216" s="11"/>
      <c r="S36216" s="11"/>
      <c r="T36216" s="11"/>
    </row>
    <row r="36217" spans="8:20" x14ac:dyDescent="0.35">
      <c r="H36217" s="711"/>
      <c r="I36217" s="711"/>
      <c r="J36217" s="711"/>
      <c r="K36217" s="711"/>
      <c r="L36217" s="711"/>
      <c r="Q36217" s="11"/>
      <c r="R36217" s="11"/>
      <c r="S36217" s="11"/>
      <c r="T36217" s="11"/>
    </row>
    <row r="36218" spans="8:20" x14ac:dyDescent="0.35">
      <c r="H36218" s="711"/>
      <c r="I36218" s="711"/>
      <c r="J36218" s="711"/>
      <c r="K36218" s="711"/>
      <c r="L36218" s="711"/>
      <c r="Q36218" s="11"/>
      <c r="R36218" s="11"/>
      <c r="S36218" s="11"/>
      <c r="T36218" s="11"/>
    </row>
    <row r="36219" spans="8:20" x14ac:dyDescent="0.35">
      <c r="H36219" s="711"/>
      <c r="I36219" s="711"/>
      <c r="J36219" s="711"/>
      <c r="K36219" s="711"/>
      <c r="L36219" s="711"/>
      <c r="Q36219" s="11"/>
      <c r="R36219" s="11"/>
      <c r="S36219" s="11"/>
      <c r="T36219" s="11"/>
    </row>
    <row r="36220" spans="8:20" x14ac:dyDescent="0.35">
      <c r="H36220" s="711"/>
      <c r="I36220" s="711"/>
      <c r="J36220" s="711"/>
      <c r="K36220" s="711"/>
      <c r="L36220" s="711"/>
      <c r="Q36220" s="11"/>
      <c r="R36220" s="11"/>
      <c r="S36220" s="11"/>
      <c r="T36220" s="11"/>
    </row>
    <row r="36221" spans="8:20" x14ac:dyDescent="0.35">
      <c r="H36221" s="711"/>
      <c r="I36221" s="711"/>
      <c r="J36221" s="711"/>
      <c r="K36221" s="711"/>
      <c r="L36221" s="711"/>
      <c r="Q36221" s="11"/>
      <c r="R36221" s="11"/>
      <c r="S36221" s="11"/>
      <c r="T36221" s="11"/>
    </row>
    <row r="36222" spans="8:20" x14ac:dyDescent="0.35">
      <c r="H36222" s="711"/>
      <c r="I36222" s="711"/>
      <c r="J36222" s="711"/>
      <c r="K36222" s="711"/>
      <c r="L36222" s="711"/>
      <c r="Q36222" s="11"/>
      <c r="R36222" s="11"/>
      <c r="S36222" s="11"/>
      <c r="T36222" s="11"/>
    </row>
    <row r="36223" spans="8:20" x14ac:dyDescent="0.35">
      <c r="H36223" s="711"/>
      <c r="I36223" s="711"/>
      <c r="J36223" s="711"/>
      <c r="K36223" s="711"/>
      <c r="L36223" s="711"/>
      <c r="Q36223" s="11"/>
      <c r="R36223" s="11"/>
      <c r="S36223" s="11"/>
      <c r="T36223" s="11"/>
    </row>
    <row r="36224" spans="8:20" x14ac:dyDescent="0.35">
      <c r="H36224" s="711"/>
      <c r="I36224" s="711"/>
      <c r="J36224" s="711"/>
      <c r="K36224" s="711"/>
      <c r="L36224" s="711"/>
      <c r="Q36224" s="11"/>
      <c r="R36224" s="11"/>
      <c r="S36224" s="11"/>
      <c r="T36224" s="11"/>
    </row>
    <row r="36225" spans="8:20" x14ac:dyDescent="0.35">
      <c r="H36225" s="711"/>
      <c r="I36225" s="711"/>
      <c r="J36225" s="711"/>
      <c r="K36225" s="711"/>
      <c r="L36225" s="711"/>
      <c r="Q36225" s="11"/>
      <c r="R36225" s="11"/>
      <c r="S36225" s="11"/>
      <c r="T36225" s="11"/>
    </row>
    <row r="36226" spans="8:20" x14ac:dyDescent="0.35">
      <c r="H36226" s="711"/>
      <c r="I36226" s="711"/>
      <c r="J36226" s="711"/>
      <c r="K36226" s="711"/>
      <c r="L36226" s="711"/>
      <c r="Q36226" s="11"/>
      <c r="R36226" s="11"/>
      <c r="S36226" s="11"/>
      <c r="T36226" s="11"/>
    </row>
    <row r="36227" spans="8:20" x14ac:dyDescent="0.35">
      <c r="H36227" s="711"/>
      <c r="I36227" s="711"/>
      <c r="J36227" s="711"/>
      <c r="K36227" s="711"/>
      <c r="L36227" s="711"/>
      <c r="Q36227" s="11"/>
      <c r="R36227" s="11"/>
      <c r="S36227" s="11"/>
      <c r="T36227" s="11"/>
    </row>
    <row r="36228" spans="8:20" x14ac:dyDescent="0.35">
      <c r="H36228" s="711"/>
      <c r="I36228" s="711"/>
      <c r="J36228" s="711"/>
      <c r="K36228" s="711"/>
      <c r="L36228" s="711"/>
      <c r="Q36228" s="11"/>
      <c r="R36228" s="11"/>
      <c r="S36228" s="11"/>
      <c r="T36228" s="11"/>
    </row>
    <row r="36229" spans="8:20" x14ac:dyDescent="0.35">
      <c r="H36229" s="711"/>
      <c r="I36229" s="711"/>
      <c r="J36229" s="711"/>
      <c r="K36229" s="711"/>
      <c r="L36229" s="711"/>
      <c r="Q36229" s="11"/>
      <c r="R36229" s="11"/>
      <c r="S36229" s="11"/>
      <c r="T36229" s="11"/>
    </row>
    <row r="36230" spans="8:20" x14ac:dyDescent="0.35">
      <c r="H36230" s="711"/>
      <c r="I36230" s="711"/>
      <c r="J36230" s="711"/>
      <c r="K36230" s="711"/>
      <c r="L36230" s="711"/>
      <c r="Q36230" s="11"/>
      <c r="R36230" s="11"/>
      <c r="S36230" s="11"/>
      <c r="T36230" s="11"/>
    </row>
    <row r="36231" spans="8:20" x14ac:dyDescent="0.35">
      <c r="H36231" s="711"/>
      <c r="I36231" s="711"/>
      <c r="J36231" s="711"/>
      <c r="K36231" s="711"/>
      <c r="L36231" s="711"/>
      <c r="Q36231" s="11"/>
      <c r="R36231" s="11"/>
      <c r="S36231" s="11"/>
      <c r="T36231" s="11"/>
    </row>
    <row r="36232" spans="8:20" x14ac:dyDescent="0.35">
      <c r="H36232" s="711"/>
      <c r="I36232" s="711"/>
      <c r="J36232" s="711"/>
      <c r="K36232" s="711"/>
      <c r="L36232" s="711"/>
      <c r="Q36232" s="11"/>
      <c r="R36232" s="11"/>
      <c r="S36232" s="11"/>
      <c r="T36232" s="11"/>
    </row>
    <row r="36233" spans="8:20" x14ac:dyDescent="0.35">
      <c r="H36233" s="711"/>
      <c r="I36233" s="711"/>
      <c r="J36233" s="711"/>
      <c r="K36233" s="711"/>
      <c r="L36233" s="711"/>
      <c r="Q36233" s="11"/>
      <c r="R36233" s="11"/>
      <c r="S36233" s="11"/>
      <c r="T36233" s="11"/>
    </row>
    <row r="36234" spans="8:20" x14ac:dyDescent="0.35">
      <c r="H36234" s="711"/>
      <c r="I36234" s="711"/>
      <c r="J36234" s="711"/>
      <c r="K36234" s="711"/>
      <c r="L36234" s="711"/>
      <c r="Q36234" s="11"/>
      <c r="R36234" s="11"/>
      <c r="S36234" s="11"/>
      <c r="T36234" s="11"/>
    </row>
    <row r="36235" spans="8:20" x14ac:dyDescent="0.35">
      <c r="H36235" s="711"/>
      <c r="I36235" s="711"/>
      <c r="J36235" s="711"/>
      <c r="K36235" s="711"/>
      <c r="L36235" s="711"/>
      <c r="Q36235" s="11"/>
      <c r="R36235" s="11"/>
      <c r="S36235" s="11"/>
      <c r="T36235" s="11"/>
    </row>
    <row r="36236" spans="8:20" x14ac:dyDescent="0.35">
      <c r="H36236" s="711"/>
      <c r="I36236" s="711"/>
      <c r="J36236" s="711"/>
      <c r="K36236" s="711"/>
      <c r="L36236" s="711"/>
      <c r="Q36236" s="11"/>
      <c r="R36236" s="11"/>
      <c r="S36236" s="11"/>
      <c r="T36236" s="11"/>
    </row>
    <row r="36237" spans="8:20" x14ac:dyDescent="0.35">
      <c r="H36237" s="711"/>
      <c r="I36237" s="711"/>
      <c r="J36237" s="711"/>
      <c r="K36237" s="711"/>
      <c r="L36237" s="711"/>
      <c r="Q36237" s="11"/>
      <c r="R36237" s="11"/>
      <c r="S36237" s="11"/>
      <c r="T36237" s="11"/>
    </row>
    <row r="36238" spans="8:20" x14ac:dyDescent="0.35">
      <c r="H36238" s="711"/>
      <c r="I36238" s="711"/>
      <c r="J36238" s="711"/>
      <c r="K36238" s="711"/>
      <c r="L36238" s="711"/>
      <c r="Q36238" s="11"/>
      <c r="R36238" s="11"/>
      <c r="S36238" s="11"/>
      <c r="T36238" s="11"/>
    </row>
    <row r="36239" spans="8:20" x14ac:dyDescent="0.35">
      <c r="H36239" s="711"/>
      <c r="I36239" s="711"/>
      <c r="J36239" s="711"/>
      <c r="K36239" s="711"/>
      <c r="L36239" s="711"/>
      <c r="Q36239" s="11"/>
      <c r="R36239" s="11"/>
      <c r="S36239" s="11"/>
      <c r="T36239" s="11"/>
    </row>
    <row r="36240" spans="8:20" x14ac:dyDescent="0.35">
      <c r="H36240" s="711"/>
      <c r="I36240" s="711"/>
      <c r="J36240" s="711"/>
      <c r="K36240" s="711"/>
      <c r="L36240" s="711"/>
      <c r="Q36240" s="11"/>
      <c r="R36240" s="11"/>
      <c r="S36240" s="11"/>
      <c r="T36240" s="11"/>
    </row>
    <row r="36241" spans="8:20" x14ac:dyDescent="0.35">
      <c r="H36241" s="711"/>
      <c r="I36241" s="711"/>
      <c r="J36241" s="711"/>
      <c r="K36241" s="711"/>
      <c r="L36241" s="711"/>
      <c r="Q36241" s="11"/>
      <c r="R36241" s="11"/>
      <c r="S36241" s="11"/>
      <c r="T36241" s="11"/>
    </row>
    <row r="36242" spans="8:20" x14ac:dyDescent="0.35">
      <c r="H36242" s="711"/>
      <c r="I36242" s="711"/>
      <c r="J36242" s="711"/>
      <c r="K36242" s="711"/>
      <c r="L36242" s="711"/>
      <c r="Q36242" s="11"/>
      <c r="R36242" s="11"/>
      <c r="S36242" s="11"/>
      <c r="T36242" s="11"/>
    </row>
    <row r="36243" spans="8:20" x14ac:dyDescent="0.35">
      <c r="H36243" s="711"/>
      <c r="I36243" s="711"/>
      <c r="J36243" s="711"/>
      <c r="K36243" s="711"/>
      <c r="L36243" s="711"/>
      <c r="Q36243" s="11"/>
      <c r="R36243" s="11"/>
      <c r="S36243" s="11"/>
      <c r="T36243" s="11"/>
    </row>
    <row r="36244" spans="8:20" x14ac:dyDescent="0.35">
      <c r="H36244" s="711"/>
      <c r="I36244" s="711"/>
      <c r="J36244" s="711"/>
      <c r="K36244" s="711"/>
      <c r="L36244" s="711"/>
      <c r="Q36244" s="11"/>
      <c r="R36244" s="11"/>
      <c r="S36244" s="11"/>
      <c r="T36244" s="11"/>
    </row>
    <row r="36245" spans="8:20" x14ac:dyDescent="0.35">
      <c r="H36245" s="711"/>
      <c r="I36245" s="711"/>
      <c r="J36245" s="711"/>
      <c r="K36245" s="711"/>
      <c r="L36245" s="711"/>
      <c r="Q36245" s="11"/>
      <c r="R36245" s="11"/>
      <c r="S36245" s="11"/>
      <c r="T36245" s="11"/>
    </row>
    <row r="36246" spans="8:20" x14ac:dyDescent="0.35">
      <c r="H36246" s="711"/>
      <c r="I36246" s="711"/>
      <c r="J36246" s="711"/>
      <c r="K36246" s="711"/>
      <c r="L36246" s="711"/>
      <c r="Q36246" s="11"/>
      <c r="R36246" s="11"/>
      <c r="S36246" s="11"/>
      <c r="T36246" s="11"/>
    </row>
    <row r="36247" spans="8:20" x14ac:dyDescent="0.35">
      <c r="H36247" s="711"/>
      <c r="I36247" s="711"/>
      <c r="J36247" s="711"/>
      <c r="K36247" s="711"/>
      <c r="L36247" s="711"/>
      <c r="Q36247" s="11"/>
      <c r="R36247" s="11"/>
      <c r="S36247" s="11"/>
      <c r="T36247" s="11"/>
    </row>
    <row r="36248" spans="8:20" x14ac:dyDescent="0.35">
      <c r="H36248" s="711"/>
      <c r="I36248" s="711"/>
      <c r="J36248" s="711"/>
      <c r="K36248" s="711"/>
      <c r="L36248" s="711"/>
      <c r="Q36248" s="11"/>
      <c r="R36248" s="11"/>
      <c r="S36248" s="11"/>
      <c r="T36248" s="11"/>
    </row>
    <row r="36249" spans="8:20" x14ac:dyDescent="0.35">
      <c r="H36249" s="711"/>
      <c r="I36249" s="711"/>
      <c r="J36249" s="711"/>
      <c r="K36249" s="711"/>
      <c r="L36249" s="711"/>
      <c r="Q36249" s="11"/>
      <c r="R36249" s="11"/>
      <c r="S36249" s="11"/>
      <c r="T36249" s="11"/>
    </row>
    <row r="36250" spans="8:20" x14ac:dyDescent="0.35">
      <c r="H36250" s="711"/>
      <c r="I36250" s="711"/>
      <c r="J36250" s="711"/>
      <c r="K36250" s="711"/>
      <c r="L36250" s="711"/>
      <c r="Q36250" s="11"/>
      <c r="R36250" s="11"/>
      <c r="S36250" s="11"/>
      <c r="T36250" s="11"/>
    </row>
    <row r="36251" spans="8:20" x14ac:dyDescent="0.35">
      <c r="H36251" s="711"/>
      <c r="I36251" s="711"/>
      <c r="J36251" s="711"/>
      <c r="K36251" s="711"/>
      <c r="L36251" s="711"/>
      <c r="Q36251" s="11"/>
      <c r="R36251" s="11"/>
      <c r="S36251" s="11"/>
      <c r="T36251" s="11"/>
    </row>
    <row r="36252" spans="8:20" x14ac:dyDescent="0.35">
      <c r="H36252" s="711"/>
      <c r="I36252" s="711"/>
      <c r="J36252" s="711"/>
      <c r="K36252" s="711"/>
      <c r="L36252" s="711"/>
      <c r="Q36252" s="11"/>
      <c r="R36252" s="11"/>
      <c r="S36252" s="11"/>
      <c r="T36252" s="11"/>
    </row>
    <row r="36253" spans="8:20" x14ac:dyDescent="0.35">
      <c r="H36253" s="711"/>
      <c r="I36253" s="711"/>
      <c r="J36253" s="711"/>
      <c r="K36253" s="711"/>
      <c r="L36253" s="711"/>
      <c r="Q36253" s="11"/>
      <c r="R36253" s="11"/>
      <c r="S36253" s="11"/>
      <c r="T36253" s="11"/>
    </row>
    <row r="36254" spans="8:20" x14ac:dyDescent="0.35">
      <c r="H36254" s="711"/>
      <c r="I36254" s="711"/>
      <c r="J36254" s="711"/>
      <c r="K36254" s="711"/>
      <c r="L36254" s="711"/>
      <c r="Q36254" s="11"/>
      <c r="R36254" s="11"/>
      <c r="S36254" s="11"/>
      <c r="T36254" s="11"/>
    </row>
    <row r="36255" spans="8:20" x14ac:dyDescent="0.35">
      <c r="H36255" s="711"/>
      <c r="I36255" s="711"/>
      <c r="J36255" s="711"/>
      <c r="K36255" s="711"/>
      <c r="L36255" s="711"/>
      <c r="Q36255" s="11"/>
      <c r="R36255" s="11"/>
      <c r="S36255" s="11"/>
      <c r="T36255" s="11"/>
    </row>
    <row r="36256" spans="8:20" x14ac:dyDescent="0.35">
      <c r="H36256" s="711"/>
      <c r="I36256" s="711"/>
      <c r="J36256" s="711"/>
      <c r="K36256" s="711"/>
      <c r="L36256" s="711"/>
      <c r="Q36256" s="11"/>
      <c r="R36256" s="11"/>
      <c r="S36256" s="11"/>
      <c r="T36256" s="11"/>
    </row>
    <row r="36257" spans="8:20" x14ac:dyDescent="0.35">
      <c r="H36257" s="711"/>
      <c r="I36257" s="711"/>
      <c r="J36257" s="711"/>
      <c r="K36257" s="711"/>
      <c r="L36257" s="711"/>
      <c r="Q36257" s="11"/>
      <c r="R36257" s="11"/>
      <c r="S36257" s="11"/>
      <c r="T36257" s="11"/>
    </row>
    <row r="36258" spans="8:20" x14ac:dyDescent="0.35">
      <c r="H36258" s="711"/>
      <c r="I36258" s="711"/>
      <c r="J36258" s="711"/>
      <c r="K36258" s="711"/>
      <c r="L36258" s="711"/>
      <c r="Q36258" s="11"/>
      <c r="R36258" s="11"/>
      <c r="S36258" s="11"/>
      <c r="T36258" s="11"/>
    </row>
    <row r="36259" spans="8:20" x14ac:dyDescent="0.35">
      <c r="H36259" s="711"/>
      <c r="I36259" s="711"/>
      <c r="J36259" s="711"/>
      <c r="K36259" s="711"/>
      <c r="L36259" s="711"/>
      <c r="Q36259" s="11"/>
      <c r="R36259" s="11"/>
      <c r="S36259" s="11"/>
      <c r="T36259" s="11"/>
    </row>
    <row r="36260" spans="8:20" x14ac:dyDescent="0.35">
      <c r="H36260" s="711"/>
      <c r="I36260" s="711"/>
      <c r="J36260" s="711"/>
      <c r="K36260" s="711"/>
      <c r="L36260" s="711"/>
      <c r="Q36260" s="11"/>
      <c r="R36260" s="11"/>
      <c r="S36260" s="11"/>
      <c r="T36260" s="11"/>
    </row>
    <row r="36261" spans="8:20" x14ac:dyDescent="0.35">
      <c r="H36261" s="711"/>
      <c r="I36261" s="711"/>
      <c r="J36261" s="711"/>
      <c r="K36261" s="711"/>
      <c r="L36261" s="711"/>
      <c r="Q36261" s="11"/>
      <c r="R36261" s="11"/>
      <c r="S36261" s="11"/>
      <c r="T36261" s="11"/>
    </row>
    <row r="36262" spans="8:20" x14ac:dyDescent="0.35">
      <c r="H36262" s="711"/>
      <c r="I36262" s="711"/>
      <c r="J36262" s="711"/>
      <c r="K36262" s="711"/>
      <c r="L36262" s="711"/>
      <c r="Q36262" s="11"/>
      <c r="R36262" s="11"/>
      <c r="S36262" s="11"/>
      <c r="T36262" s="11"/>
    </row>
    <row r="36263" spans="8:20" x14ac:dyDescent="0.35">
      <c r="H36263" s="711"/>
      <c r="I36263" s="711"/>
      <c r="J36263" s="711"/>
      <c r="K36263" s="711"/>
      <c r="L36263" s="711"/>
      <c r="Q36263" s="11"/>
      <c r="R36263" s="11"/>
      <c r="S36263" s="11"/>
      <c r="T36263" s="11"/>
    </row>
    <row r="36264" spans="8:20" x14ac:dyDescent="0.35">
      <c r="H36264" s="711"/>
      <c r="I36264" s="711"/>
      <c r="J36264" s="711"/>
      <c r="K36264" s="711"/>
      <c r="L36264" s="711"/>
      <c r="Q36264" s="11"/>
      <c r="R36264" s="11"/>
      <c r="S36264" s="11"/>
      <c r="T36264" s="11"/>
    </row>
    <row r="36265" spans="8:20" x14ac:dyDescent="0.35">
      <c r="H36265" s="711"/>
      <c r="I36265" s="711"/>
      <c r="J36265" s="711"/>
      <c r="K36265" s="711"/>
      <c r="L36265" s="711"/>
      <c r="Q36265" s="11"/>
      <c r="R36265" s="11"/>
      <c r="S36265" s="11"/>
      <c r="T36265" s="11"/>
    </row>
    <row r="36266" spans="8:20" x14ac:dyDescent="0.35">
      <c r="H36266" s="711"/>
      <c r="I36266" s="711"/>
      <c r="J36266" s="711"/>
      <c r="K36266" s="711"/>
      <c r="L36266" s="711"/>
      <c r="Q36266" s="11"/>
      <c r="R36266" s="11"/>
      <c r="S36266" s="11"/>
      <c r="T36266" s="11"/>
    </row>
    <row r="36267" spans="8:20" x14ac:dyDescent="0.35">
      <c r="H36267" s="711"/>
      <c r="I36267" s="711"/>
      <c r="J36267" s="711"/>
      <c r="K36267" s="711"/>
      <c r="L36267" s="711"/>
      <c r="Q36267" s="11"/>
      <c r="R36267" s="11"/>
      <c r="S36267" s="11"/>
      <c r="T36267" s="11"/>
    </row>
    <row r="36268" spans="8:20" x14ac:dyDescent="0.35">
      <c r="H36268" s="711"/>
      <c r="I36268" s="711"/>
      <c r="J36268" s="711"/>
      <c r="K36268" s="711"/>
      <c r="L36268" s="711"/>
      <c r="Q36268" s="11"/>
      <c r="R36268" s="11"/>
      <c r="S36268" s="11"/>
      <c r="T36268" s="11"/>
    </row>
    <row r="36269" spans="8:20" x14ac:dyDescent="0.35">
      <c r="H36269" s="711"/>
      <c r="I36269" s="711"/>
      <c r="J36269" s="711"/>
      <c r="K36269" s="711"/>
      <c r="L36269" s="711"/>
      <c r="Q36269" s="11"/>
      <c r="R36269" s="11"/>
      <c r="S36269" s="11"/>
      <c r="T36269" s="11"/>
    </row>
    <row r="36270" spans="8:20" x14ac:dyDescent="0.35">
      <c r="H36270" s="711"/>
      <c r="I36270" s="711"/>
      <c r="J36270" s="711"/>
      <c r="K36270" s="711"/>
      <c r="L36270" s="711"/>
      <c r="Q36270" s="11"/>
      <c r="R36270" s="11"/>
      <c r="S36270" s="11"/>
      <c r="T36270" s="11"/>
    </row>
    <row r="36271" spans="8:20" x14ac:dyDescent="0.35">
      <c r="H36271" s="711"/>
      <c r="I36271" s="711"/>
      <c r="J36271" s="711"/>
      <c r="K36271" s="711"/>
      <c r="L36271" s="711"/>
      <c r="Q36271" s="11"/>
      <c r="R36271" s="11"/>
      <c r="S36271" s="11"/>
      <c r="T36271" s="11"/>
    </row>
    <row r="36272" spans="8:20" x14ac:dyDescent="0.35">
      <c r="H36272" s="711"/>
      <c r="I36272" s="711"/>
      <c r="J36272" s="711"/>
      <c r="K36272" s="711"/>
      <c r="L36272" s="711"/>
      <c r="Q36272" s="11"/>
      <c r="R36272" s="11"/>
      <c r="S36272" s="11"/>
      <c r="T36272" s="11"/>
    </row>
    <row r="36273" spans="8:20" x14ac:dyDescent="0.35">
      <c r="H36273" s="711"/>
      <c r="I36273" s="711"/>
      <c r="J36273" s="711"/>
      <c r="K36273" s="711"/>
      <c r="L36273" s="711"/>
      <c r="Q36273" s="11"/>
      <c r="R36273" s="11"/>
      <c r="S36273" s="11"/>
      <c r="T36273" s="11"/>
    </row>
    <row r="36274" spans="8:20" x14ac:dyDescent="0.35">
      <c r="H36274" s="711"/>
      <c r="I36274" s="711"/>
      <c r="J36274" s="711"/>
      <c r="K36274" s="711"/>
      <c r="L36274" s="711"/>
      <c r="Q36274" s="11"/>
      <c r="R36274" s="11"/>
      <c r="S36274" s="11"/>
      <c r="T36274" s="11"/>
    </row>
    <row r="36275" spans="8:20" x14ac:dyDescent="0.35">
      <c r="H36275" s="711"/>
      <c r="I36275" s="711"/>
      <c r="J36275" s="711"/>
      <c r="K36275" s="711"/>
      <c r="L36275" s="711"/>
      <c r="Q36275" s="11"/>
      <c r="R36275" s="11"/>
      <c r="S36275" s="11"/>
      <c r="T36275" s="11"/>
    </row>
    <row r="36276" spans="8:20" x14ac:dyDescent="0.35">
      <c r="H36276" s="711"/>
      <c r="I36276" s="711"/>
      <c r="J36276" s="711"/>
      <c r="K36276" s="711"/>
      <c r="L36276" s="711"/>
      <c r="Q36276" s="11"/>
      <c r="R36276" s="11"/>
      <c r="S36276" s="11"/>
      <c r="T36276" s="11"/>
    </row>
    <row r="36277" spans="8:20" x14ac:dyDescent="0.35">
      <c r="H36277" s="711"/>
      <c r="I36277" s="711"/>
      <c r="J36277" s="711"/>
      <c r="K36277" s="711"/>
      <c r="L36277" s="711"/>
      <c r="Q36277" s="11"/>
      <c r="R36277" s="11"/>
      <c r="S36277" s="11"/>
      <c r="T36277" s="11"/>
    </row>
    <row r="36278" spans="8:20" x14ac:dyDescent="0.35">
      <c r="H36278" s="711"/>
      <c r="I36278" s="711"/>
      <c r="J36278" s="711"/>
      <c r="K36278" s="711"/>
      <c r="L36278" s="711"/>
      <c r="Q36278" s="11"/>
      <c r="R36278" s="11"/>
      <c r="S36278" s="11"/>
      <c r="T36278" s="11"/>
    </row>
    <row r="36279" spans="8:20" x14ac:dyDescent="0.35">
      <c r="H36279" s="711"/>
      <c r="I36279" s="711"/>
      <c r="J36279" s="711"/>
      <c r="K36279" s="711"/>
      <c r="L36279" s="711"/>
      <c r="Q36279" s="11"/>
      <c r="R36279" s="11"/>
      <c r="S36279" s="11"/>
      <c r="T36279" s="11"/>
    </row>
    <row r="36280" spans="8:20" x14ac:dyDescent="0.35">
      <c r="H36280" s="711"/>
      <c r="I36280" s="711"/>
      <c r="J36280" s="711"/>
      <c r="K36280" s="711"/>
      <c r="L36280" s="711"/>
      <c r="Q36280" s="11"/>
      <c r="R36280" s="11"/>
      <c r="S36280" s="11"/>
      <c r="T36280" s="11"/>
    </row>
    <row r="36281" spans="8:20" x14ac:dyDescent="0.35">
      <c r="H36281" s="711"/>
      <c r="I36281" s="711"/>
      <c r="J36281" s="711"/>
      <c r="K36281" s="711"/>
      <c r="L36281" s="711"/>
      <c r="Q36281" s="11"/>
      <c r="R36281" s="11"/>
      <c r="S36281" s="11"/>
      <c r="T36281" s="11"/>
    </row>
    <row r="36282" spans="8:20" x14ac:dyDescent="0.35">
      <c r="H36282" s="711"/>
      <c r="I36282" s="711"/>
      <c r="J36282" s="711"/>
      <c r="K36282" s="711"/>
      <c r="L36282" s="711"/>
      <c r="Q36282" s="11"/>
      <c r="R36282" s="11"/>
      <c r="S36282" s="11"/>
      <c r="T36282" s="11"/>
    </row>
    <row r="36283" spans="8:20" x14ac:dyDescent="0.35">
      <c r="H36283" s="711"/>
      <c r="I36283" s="711"/>
      <c r="J36283" s="711"/>
      <c r="K36283" s="711"/>
      <c r="L36283" s="711"/>
      <c r="Q36283" s="11"/>
      <c r="R36283" s="11"/>
      <c r="S36283" s="11"/>
      <c r="T36283" s="11"/>
    </row>
    <row r="36284" spans="8:20" x14ac:dyDescent="0.35">
      <c r="H36284" s="711"/>
      <c r="I36284" s="711"/>
      <c r="J36284" s="711"/>
      <c r="K36284" s="711"/>
      <c r="L36284" s="711"/>
      <c r="Q36284" s="11"/>
      <c r="R36284" s="11"/>
      <c r="S36284" s="11"/>
      <c r="T36284" s="11"/>
    </row>
    <row r="36285" spans="8:20" x14ac:dyDescent="0.35">
      <c r="H36285" s="711"/>
      <c r="I36285" s="711"/>
      <c r="J36285" s="711"/>
      <c r="K36285" s="711"/>
      <c r="L36285" s="711"/>
      <c r="Q36285" s="11"/>
      <c r="R36285" s="11"/>
      <c r="S36285" s="11"/>
      <c r="T36285" s="11"/>
    </row>
    <row r="36286" spans="8:20" x14ac:dyDescent="0.35">
      <c r="H36286" s="711"/>
      <c r="I36286" s="711"/>
      <c r="J36286" s="711"/>
      <c r="K36286" s="711"/>
      <c r="L36286" s="711"/>
      <c r="Q36286" s="11"/>
      <c r="R36286" s="11"/>
      <c r="S36286" s="11"/>
      <c r="T36286" s="11"/>
    </row>
    <row r="36287" spans="8:20" x14ac:dyDescent="0.35">
      <c r="H36287" s="711"/>
      <c r="I36287" s="711"/>
      <c r="J36287" s="711"/>
      <c r="K36287" s="711"/>
      <c r="L36287" s="711"/>
      <c r="Q36287" s="11"/>
      <c r="R36287" s="11"/>
      <c r="S36287" s="11"/>
      <c r="T36287" s="11"/>
    </row>
    <row r="36288" spans="8:20" x14ac:dyDescent="0.35">
      <c r="H36288" s="711"/>
      <c r="I36288" s="711"/>
      <c r="J36288" s="711"/>
      <c r="K36288" s="711"/>
      <c r="L36288" s="711"/>
      <c r="Q36288" s="11"/>
      <c r="R36288" s="11"/>
      <c r="S36288" s="11"/>
      <c r="T36288" s="11"/>
    </row>
    <row r="36289" spans="8:20" x14ac:dyDescent="0.35">
      <c r="H36289" s="711"/>
      <c r="I36289" s="711"/>
      <c r="J36289" s="711"/>
      <c r="K36289" s="711"/>
      <c r="L36289" s="711"/>
      <c r="Q36289" s="11"/>
      <c r="R36289" s="11"/>
      <c r="S36289" s="11"/>
      <c r="T36289" s="11"/>
    </row>
    <row r="36290" spans="8:20" x14ac:dyDescent="0.35">
      <c r="H36290" s="711"/>
      <c r="I36290" s="711"/>
      <c r="J36290" s="711"/>
      <c r="K36290" s="711"/>
      <c r="L36290" s="711"/>
      <c r="Q36290" s="11"/>
      <c r="R36290" s="11"/>
      <c r="S36290" s="11"/>
      <c r="T36290" s="11"/>
    </row>
    <row r="36291" spans="8:20" x14ac:dyDescent="0.35">
      <c r="H36291" s="711"/>
      <c r="I36291" s="711"/>
      <c r="J36291" s="711"/>
      <c r="K36291" s="711"/>
      <c r="L36291" s="711"/>
      <c r="Q36291" s="11"/>
      <c r="R36291" s="11"/>
      <c r="S36291" s="11"/>
      <c r="T36291" s="11"/>
    </row>
    <row r="36292" spans="8:20" x14ac:dyDescent="0.35">
      <c r="H36292" s="711"/>
      <c r="I36292" s="711"/>
      <c r="J36292" s="711"/>
      <c r="K36292" s="711"/>
      <c r="L36292" s="711"/>
      <c r="Q36292" s="11"/>
      <c r="R36292" s="11"/>
      <c r="S36292" s="11"/>
      <c r="T36292" s="11"/>
    </row>
    <row r="36293" spans="8:20" x14ac:dyDescent="0.35">
      <c r="H36293" s="711"/>
      <c r="I36293" s="711"/>
      <c r="J36293" s="711"/>
      <c r="K36293" s="711"/>
      <c r="L36293" s="711"/>
      <c r="Q36293" s="11"/>
      <c r="R36293" s="11"/>
      <c r="S36293" s="11"/>
      <c r="T36293" s="11"/>
    </row>
    <row r="36294" spans="8:20" x14ac:dyDescent="0.35">
      <c r="H36294" s="711"/>
      <c r="I36294" s="711"/>
      <c r="J36294" s="711"/>
      <c r="K36294" s="711"/>
      <c r="L36294" s="711"/>
      <c r="Q36294" s="11"/>
      <c r="R36294" s="11"/>
      <c r="S36294" s="11"/>
      <c r="T36294" s="11"/>
    </row>
    <row r="36295" spans="8:20" x14ac:dyDescent="0.35">
      <c r="H36295" s="711"/>
      <c r="I36295" s="711"/>
      <c r="J36295" s="711"/>
      <c r="K36295" s="711"/>
      <c r="L36295" s="711"/>
      <c r="Q36295" s="11"/>
      <c r="R36295" s="11"/>
      <c r="S36295" s="11"/>
      <c r="T36295" s="11"/>
    </row>
    <row r="36296" spans="8:20" x14ac:dyDescent="0.35">
      <c r="H36296" s="711"/>
      <c r="I36296" s="711"/>
      <c r="J36296" s="711"/>
      <c r="K36296" s="711"/>
      <c r="L36296" s="711"/>
      <c r="Q36296" s="11"/>
      <c r="R36296" s="11"/>
      <c r="S36296" s="11"/>
      <c r="T36296" s="11"/>
    </row>
    <row r="36297" spans="8:20" x14ac:dyDescent="0.35">
      <c r="H36297" s="711"/>
      <c r="I36297" s="711"/>
      <c r="J36297" s="711"/>
      <c r="K36297" s="711"/>
      <c r="L36297" s="711"/>
      <c r="Q36297" s="11"/>
      <c r="R36297" s="11"/>
      <c r="S36297" s="11"/>
      <c r="T36297" s="11"/>
    </row>
    <row r="36298" spans="8:20" x14ac:dyDescent="0.35">
      <c r="H36298" s="711"/>
      <c r="I36298" s="711"/>
      <c r="J36298" s="711"/>
      <c r="K36298" s="711"/>
      <c r="L36298" s="711"/>
      <c r="Q36298" s="11"/>
      <c r="R36298" s="11"/>
      <c r="S36298" s="11"/>
      <c r="T36298" s="11"/>
    </row>
    <row r="36299" spans="8:20" x14ac:dyDescent="0.35">
      <c r="H36299" s="711"/>
      <c r="I36299" s="711"/>
      <c r="J36299" s="711"/>
      <c r="K36299" s="711"/>
      <c r="L36299" s="711"/>
      <c r="Q36299" s="11"/>
      <c r="R36299" s="11"/>
      <c r="S36299" s="11"/>
      <c r="T36299" s="11"/>
    </row>
    <row r="36300" spans="8:20" x14ac:dyDescent="0.35">
      <c r="H36300" s="711"/>
      <c r="I36300" s="711"/>
      <c r="J36300" s="711"/>
      <c r="K36300" s="711"/>
      <c r="L36300" s="711"/>
      <c r="Q36300" s="11"/>
      <c r="R36300" s="11"/>
      <c r="S36300" s="11"/>
      <c r="T36300" s="11"/>
    </row>
    <row r="36301" spans="8:20" x14ac:dyDescent="0.35">
      <c r="H36301" s="711"/>
      <c r="I36301" s="711"/>
      <c r="J36301" s="711"/>
      <c r="K36301" s="711"/>
      <c r="L36301" s="711"/>
      <c r="Q36301" s="11"/>
      <c r="R36301" s="11"/>
      <c r="S36301" s="11"/>
      <c r="T36301" s="11"/>
    </row>
    <row r="36302" spans="8:20" x14ac:dyDescent="0.35">
      <c r="H36302" s="711"/>
      <c r="I36302" s="711"/>
      <c r="J36302" s="711"/>
      <c r="K36302" s="711"/>
      <c r="L36302" s="711"/>
      <c r="Q36302" s="11"/>
      <c r="R36302" s="11"/>
      <c r="S36302" s="11"/>
      <c r="T36302" s="11"/>
    </row>
    <row r="36303" spans="8:20" x14ac:dyDescent="0.35">
      <c r="H36303" s="711"/>
      <c r="I36303" s="711"/>
      <c r="J36303" s="711"/>
      <c r="K36303" s="711"/>
      <c r="L36303" s="711"/>
      <c r="Q36303" s="11"/>
      <c r="R36303" s="11"/>
      <c r="S36303" s="11"/>
      <c r="T36303" s="11"/>
    </row>
    <row r="36304" spans="8:20" x14ac:dyDescent="0.35">
      <c r="H36304" s="711"/>
      <c r="I36304" s="711"/>
      <c r="J36304" s="711"/>
      <c r="K36304" s="711"/>
      <c r="L36304" s="711"/>
      <c r="Q36304" s="11"/>
      <c r="R36304" s="11"/>
      <c r="S36304" s="11"/>
      <c r="T36304" s="11"/>
    </row>
    <row r="36305" spans="8:20" x14ac:dyDescent="0.35">
      <c r="H36305" s="711"/>
      <c r="I36305" s="711"/>
      <c r="J36305" s="711"/>
      <c r="K36305" s="711"/>
      <c r="L36305" s="711"/>
      <c r="Q36305" s="11"/>
      <c r="R36305" s="11"/>
      <c r="S36305" s="11"/>
      <c r="T36305" s="11"/>
    </row>
    <row r="36306" spans="8:20" x14ac:dyDescent="0.35">
      <c r="H36306" s="711"/>
      <c r="I36306" s="711"/>
      <c r="J36306" s="711"/>
      <c r="K36306" s="711"/>
      <c r="L36306" s="711"/>
      <c r="Q36306" s="11"/>
      <c r="R36306" s="11"/>
      <c r="S36306" s="11"/>
      <c r="T36306" s="11"/>
    </row>
    <row r="36307" spans="8:20" x14ac:dyDescent="0.35">
      <c r="H36307" s="711"/>
      <c r="I36307" s="711"/>
      <c r="J36307" s="711"/>
      <c r="K36307" s="711"/>
      <c r="L36307" s="711"/>
      <c r="Q36307" s="11"/>
      <c r="R36307" s="11"/>
      <c r="S36307" s="11"/>
      <c r="T36307" s="11"/>
    </row>
    <row r="36308" spans="8:20" x14ac:dyDescent="0.35">
      <c r="H36308" s="711"/>
      <c r="I36308" s="711"/>
      <c r="J36308" s="711"/>
      <c r="K36308" s="711"/>
      <c r="L36308" s="711"/>
      <c r="Q36308" s="11"/>
      <c r="R36308" s="11"/>
      <c r="S36308" s="11"/>
      <c r="T36308" s="11"/>
    </row>
    <row r="36309" spans="8:20" x14ac:dyDescent="0.35">
      <c r="H36309" s="711"/>
      <c r="I36309" s="711"/>
      <c r="J36309" s="711"/>
      <c r="K36309" s="711"/>
      <c r="L36309" s="711"/>
      <c r="Q36309" s="11"/>
      <c r="R36309" s="11"/>
      <c r="S36309" s="11"/>
      <c r="T36309" s="11"/>
    </row>
    <row r="36310" spans="8:20" x14ac:dyDescent="0.35">
      <c r="H36310" s="711"/>
      <c r="I36310" s="711"/>
      <c r="J36310" s="711"/>
      <c r="K36310" s="711"/>
      <c r="L36310" s="711"/>
      <c r="Q36310" s="11"/>
      <c r="R36310" s="11"/>
      <c r="S36310" s="11"/>
      <c r="T36310" s="11"/>
    </row>
    <row r="36311" spans="8:20" x14ac:dyDescent="0.35">
      <c r="H36311" s="711"/>
      <c r="I36311" s="711"/>
      <c r="J36311" s="711"/>
      <c r="K36311" s="711"/>
      <c r="L36311" s="711"/>
      <c r="Q36311" s="11"/>
      <c r="R36311" s="11"/>
      <c r="S36311" s="11"/>
      <c r="T36311" s="11"/>
    </row>
    <row r="36312" spans="8:20" x14ac:dyDescent="0.35">
      <c r="H36312" s="711"/>
      <c r="I36312" s="711"/>
      <c r="J36312" s="711"/>
      <c r="K36312" s="711"/>
      <c r="L36312" s="711"/>
      <c r="Q36312" s="11"/>
      <c r="R36312" s="11"/>
      <c r="S36312" s="11"/>
      <c r="T36312" s="11"/>
    </row>
    <row r="36313" spans="8:20" x14ac:dyDescent="0.35">
      <c r="H36313" s="711"/>
      <c r="I36313" s="711"/>
      <c r="J36313" s="711"/>
      <c r="K36313" s="711"/>
      <c r="L36313" s="711"/>
      <c r="Q36313" s="11"/>
      <c r="R36313" s="11"/>
      <c r="S36313" s="11"/>
      <c r="T36313" s="11"/>
    </row>
    <row r="36314" spans="8:20" x14ac:dyDescent="0.35">
      <c r="H36314" s="711"/>
      <c r="I36314" s="711"/>
      <c r="J36314" s="711"/>
      <c r="K36314" s="711"/>
      <c r="L36314" s="711"/>
      <c r="Q36314" s="11"/>
      <c r="R36314" s="11"/>
      <c r="S36314" s="11"/>
      <c r="T36314" s="11"/>
    </row>
    <row r="36315" spans="8:20" x14ac:dyDescent="0.35">
      <c r="H36315" s="711"/>
      <c r="I36315" s="711"/>
      <c r="J36315" s="711"/>
      <c r="K36315" s="711"/>
      <c r="L36315" s="711"/>
      <c r="Q36315" s="11"/>
      <c r="R36315" s="11"/>
      <c r="S36315" s="11"/>
      <c r="T36315" s="11"/>
    </row>
    <row r="36316" spans="8:20" x14ac:dyDescent="0.35">
      <c r="H36316" s="711"/>
      <c r="I36316" s="711"/>
      <c r="J36316" s="711"/>
      <c r="K36316" s="711"/>
      <c r="L36316" s="711"/>
      <c r="Q36316" s="11"/>
      <c r="R36316" s="11"/>
      <c r="S36316" s="11"/>
      <c r="T36316" s="11"/>
    </row>
    <row r="36317" spans="8:20" x14ac:dyDescent="0.35">
      <c r="H36317" s="711"/>
      <c r="I36317" s="711"/>
      <c r="J36317" s="711"/>
      <c r="K36317" s="711"/>
      <c r="L36317" s="711"/>
      <c r="Q36317" s="11"/>
      <c r="R36317" s="11"/>
      <c r="S36317" s="11"/>
      <c r="T36317" s="11"/>
    </row>
    <row r="36318" spans="8:20" x14ac:dyDescent="0.35">
      <c r="H36318" s="711"/>
      <c r="I36318" s="711"/>
      <c r="J36318" s="711"/>
      <c r="K36318" s="711"/>
      <c r="L36318" s="711"/>
      <c r="Q36318" s="11"/>
      <c r="R36318" s="11"/>
      <c r="S36318" s="11"/>
      <c r="T36318" s="11"/>
    </row>
    <row r="36319" spans="8:20" x14ac:dyDescent="0.35">
      <c r="H36319" s="711"/>
      <c r="I36319" s="711"/>
      <c r="J36319" s="711"/>
      <c r="K36319" s="711"/>
      <c r="L36319" s="711"/>
      <c r="Q36319" s="11"/>
      <c r="R36319" s="11"/>
      <c r="S36319" s="11"/>
      <c r="T36319" s="11"/>
    </row>
    <row r="36320" spans="8:20" x14ac:dyDescent="0.35">
      <c r="H36320" s="711"/>
      <c r="I36320" s="711"/>
      <c r="J36320" s="711"/>
      <c r="K36320" s="711"/>
      <c r="L36320" s="711"/>
      <c r="Q36320" s="11"/>
      <c r="R36320" s="11"/>
      <c r="S36320" s="11"/>
      <c r="T36320" s="11"/>
    </row>
    <row r="36321" spans="8:20" x14ac:dyDescent="0.35">
      <c r="H36321" s="711"/>
      <c r="I36321" s="711"/>
      <c r="J36321" s="711"/>
      <c r="K36321" s="711"/>
      <c r="L36321" s="711"/>
      <c r="Q36321" s="11"/>
      <c r="R36321" s="11"/>
      <c r="S36321" s="11"/>
      <c r="T36321" s="11"/>
    </row>
    <row r="36322" spans="8:20" x14ac:dyDescent="0.35">
      <c r="H36322" s="711"/>
      <c r="I36322" s="711"/>
      <c r="J36322" s="711"/>
      <c r="K36322" s="711"/>
      <c r="L36322" s="711"/>
      <c r="Q36322" s="11"/>
      <c r="R36322" s="11"/>
      <c r="S36322" s="11"/>
      <c r="T36322" s="11"/>
    </row>
    <row r="36323" spans="8:20" x14ac:dyDescent="0.35">
      <c r="H36323" s="711"/>
      <c r="I36323" s="711"/>
      <c r="J36323" s="711"/>
      <c r="K36323" s="711"/>
      <c r="L36323" s="711"/>
      <c r="Q36323" s="11"/>
      <c r="R36323" s="11"/>
      <c r="S36323" s="11"/>
      <c r="T36323" s="11"/>
    </row>
    <row r="36324" spans="8:20" x14ac:dyDescent="0.35">
      <c r="H36324" s="711"/>
      <c r="I36324" s="711"/>
      <c r="J36324" s="711"/>
      <c r="K36324" s="711"/>
      <c r="L36324" s="711"/>
      <c r="Q36324" s="11"/>
      <c r="R36324" s="11"/>
      <c r="S36324" s="11"/>
      <c r="T36324" s="11"/>
    </row>
    <row r="36325" spans="8:20" x14ac:dyDescent="0.35">
      <c r="H36325" s="711"/>
      <c r="I36325" s="711"/>
      <c r="J36325" s="711"/>
      <c r="K36325" s="711"/>
      <c r="L36325" s="711"/>
      <c r="Q36325" s="11"/>
      <c r="R36325" s="11"/>
      <c r="S36325" s="11"/>
      <c r="T36325" s="11"/>
    </row>
    <row r="36326" spans="8:20" x14ac:dyDescent="0.35">
      <c r="H36326" s="711"/>
      <c r="I36326" s="711"/>
      <c r="J36326" s="711"/>
      <c r="K36326" s="711"/>
      <c r="L36326" s="711"/>
      <c r="Q36326" s="11"/>
      <c r="R36326" s="11"/>
      <c r="S36326" s="11"/>
      <c r="T36326" s="11"/>
    </row>
    <row r="36327" spans="8:20" x14ac:dyDescent="0.35">
      <c r="H36327" s="711"/>
      <c r="I36327" s="711"/>
      <c r="J36327" s="711"/>
      <c r="K36327" s="711"/>
      <c r="L36327" s="711"/>
      <c r="Q36327" s="11"/>
      <c r="R36327" s="11"/>
      <c r="S36327" s="11"/>
      <c r="T36327" s="11"/>
    </row>
    <row r="36328" spans="8:20" x14ac:dyDescent="0.35">
      <c r="H36328" s="711"/>
      <c r="I36328" s="711"/>
      <c r="J36328" s="711"/>
      <c r="K36328" s="711"/>
      <c r="L36328" s="711"/>
      <c r="Q36328" s="11"/>
      <c r="R36328" s="11"/>
      <c r="S36328" s="11"/>
      <c r="T36328" s="11"/>
    </row>
    <row r="36329" spans="8:20" x14ac:dyDescent="0.35">
      <c r="H36329" s="711"/>
      <c r="I36329" s="711"/>
      <c r="J36329" s="711"/>
      <c r="K36329" s="711"/>
      <c r="L36329" s="711"/>
      <c r="Q36329" s="11"/>
      <c r="R36329" s="11"/>
      <c r="S36329" s="11"/>
      <c r="T36329" s="11"/>
    </row>
    <row r="36330" spans="8:20" x14ac:dyDescent="0.35">
      <c r="H36330" s="711"/>
      <c r="I36330" s="711"/>
      <c r="J36330" s="711"/>
      <c r="K36330" s="711"/>
      <c r="L36330" s="711"/>
      <c r="Q36330" s="11"/>
      <c r="R36330" s="11"/>
      <c r="S36330" s="11"/>
      <c r="T36330" s="11"/>
    </row>
    <row r="36331" spans="8:20" x14ac:dyDescent="0.35">
      <c r="H36331" s="711"/>
      <c r="I36331" s="711"/>
      <c r="J36331" s="711"/>
      <c r="K36331" s="711"/>
      <c r="L36331" s="711"/>
      <c r="Q36331" s="11"/>
      <c r="R36331" s="11"/>
      <c r="S36331" s="11"/>
      <c r="T36331" s="11"/>
    </row>
    <row r="36332" spans="8:20" x14ac:dyDescent="0.35">
      <c r="H36332" s="711"/>
      <c r="I36332" s="711"/>
      <c r="J36332" s="711"/>
      <c r="K36332" s="711"/>
      <c r="L36332" s="711"/>
      <c r="Q36332" s="11"/>
      <c r="R36332" s="11"/>
      <c r="S36332" s="11"/>
      <c r="T36332" s="11"/>
    </row>
    <row r="36333" spans="8:20" x14ac:dyDescent="0.35">
      <c r="H36333" s="711"/>
      <c r="I36333" s="711"/>
      <c r="J36333" s="711"/>
      <c r="K36333" s="711"/>
      <c r="L36333" s="711"/>
      <c r="Q36333" s="11"/>
      <c r="R36333" s="11"/>
      <c r="S36333" s="11"/>
      <c r="T36333" s="11"/>
    </row>
    <row r="36334" spans="8:20" x14ac:dyDescent="0.35">
      <c r="H36334" s="711"/>
      <c r="I36334" s="711"/>
      <c r="J36334" s="711"/>
      <c r="K36334" s="711"/>
      <c r="L36334" s="711"/>
      <c r="Q36334" s="11"/>
      <c r="R36334" s="11"/>
      <c r="S36334" s="11"/>
      <c r="T36334" s="11"/>
    </row>
    <row r="36335" spans="8:20" x14ac:dyDescent="0.35">
      <c r="H36335" s="711"/>
      <c r="I36335" s="711"/>
      <c r="J36335" s="711"/>
      <c r="K36335" s="711"/>
      <c r="L36335" s="711"/>
      <c r="Q36335" s="11"/>
      <c r="R36335" s="11"/>
      <c r="S36335" s="11"/>
      <c r="T36335" s="11"/>
    </row>
    <row r="36336" spans="8:20" x14ac:dyDescent="0.35">
      <c r="H36336" s="711"/>
      <c r="I36336" s="711"/>
      <c r="J36336" s="711"/>
      <c r="K36336" s="711"/>
      <c r="L36336" s="711"/>
      <c r="Q36336" s="11"/>
      <c r="R36336" s="11"/>
      <c r="S36336" s="11"/>
      <c r="T36336" s="11"/>
    </row>
    <row r="36337" spans="8:20" x14ac:dyDescent="0.35">
      <c r="H36337" s="711"/>
      <c r="I36337" s="711"/>
      <c r="J36337" s="711"/>
      <c r="K36337" s="711"/>
      <c r="L36337" s="711"/>
      <c r="Q36337" s="11"/>
      <c r="R36337" s="11"/>
      <c r="S36337" s="11"/>
      <c r="T36337" s="11"/>
    </row>
    <row r="36338" spans="8:20" x14ac:dyDescent="0.35">
      <c r="H36338" s="711"/>
      <c r="I36338" s="711"/>
      <c r="J36338" s="711"/>
      <c r="K36338" s="711"/>
      <c r="L36338" s="711"/>
      <c r="Q36338" s="11"/>
      <c r="R36338" s="11"/>
      <c r="S36338" s="11"/>
      <c r="T36338" s="11"/>
    </row>
    <row r="36339" spans="8:20" x14ac:dyDescent="0.35">
      <c r="H36339" s="711"/>
      <c r="I36339" s="711"/>
      <c r="J36339" s="711"/>
      <c r="K36339" s="711"/>
      <c r="L36339" s="711"/>
      <c r="Q36339" s="11"/>
      <c r="R36339" s="11"/>
      <c r="S36339" s="11"/>
      <c r="T36339" s="11"/>
    </row>
    <row r="36340" spans="8:20" x14ac:dyDescent="0.35">
      <c r="H36340" s="711"/>
      <c r="I36340" s="711"/>
      <c r="J36340" s="711"/>
      <c r="K36340" s="711"/>
      <c r="L36340" s="711"/>
      <c r="Q36340" s="11"/>
      <c r="R36340" s="11"/>
      <c r="S36340" s="11"/>
      <c r="T36340" s="11"/>
    </row>
    <row r="36341" spans="8:20" x14ac:dyDescent="0.35">
      <c r="H36341" s="711"/>
      <c r="I36341" s="711"/>
      <c r="J36341" s="711"/>
      <c r="K36341" s="711"/>
      <c r="L36341" s="711"/>
      <c r="Q36341" s="11"/>
      <c r="R36341" s="11"/>
      <c r="S36341" s="11"/>
      <c r="T36341" s="11"/>
    </row>
    <row r="36342" spans="8:20" x14ac:dyDescent="0.35">
      <c r="H36342" s="711"/>
      <c r="I36342" s="711"/>
      <c r="J36342" s="711"/>
      <c r="K36342" s="711"/>
      <c r="L36342" s="711"/>
      <c r="Q36342" s="11"/>
      <c r="R36342" s="11"/>
      <c r="S36342" s="11"/>
      <c r="T36342" s="11"/>
    </row>
    <row r="36343" spans="8:20" x14ac:dyDescent="0.35">
      <c r="H36343" s="711"/>
      <c r="I36343" s="711"/>
      <c r="J36343" s="711"/>
      <c r="K36343" s="711"/>
      <c r="L36343" s="711"/>
      <c r="Q36343" s="11"/>
      <c r="R36343" s="11"/>
      <c r="S36343" s="11"/>
      <c r="T36343" s="11"/>
    </row>
    <row r="36344" spans="8:20" x14ac:dyDescent="0.35">
      <c r="H36344" s="711"/>
      <c r="I36344" s="711"/>
      <c r="J36344" s="711"/>
      <c r="K36344" s="711"/>
      <c r="L36344" s="711"/>
      <c r="Q36344" s="11"/>
      <c r="R36344" s="11"/>
      <c r="S36344" s="11"/>
      <c r="T36344" s="11"/>
    </row>
    <row r="36345" spans="8:20" x14ac:dyDescent="0.35">
      <c r="H36345" s="711"/>
      <c r="I36345" s="711"/>
      <c r="J36345" s="711"/>
      <c r="K36345" s="711"/>
      <c r="L36345" s="711"/>
      <c r="Q36345" s="11"/>
      <c r="R36345" s="11"/>
      <c r="S36345" s="11"/>
      <c r="T36345" s="11"/>
    </row>
    <row r="36346" spans="8:20" x14ac:dyDescent="0.35">
      <c r="H36346" s="711"/>
      <c r="I36346" s="711"/>
      <c r="J36346" s="711"/>
      <c r="K36346" s="711"/>
      <c r="L36346" s="711"/>
      <c r="Q36346" s="11"/>
      <c r="R36346" s="11"/>
      <c r="S36346" s="11"/>
      <c r="T36346" s="11"/>
    </row>
    <row r="36347" spans="8:20" x14ac:dyDescent="0.35">
      <c r="H36347" s="711"/>
      <c r="I36347" s="711"/>
      <c r="J36347" s="711"/>
      <c r="K36347" s="711"/>
      <c r="L36347" s="711"/>
      <c r="Q36347" s="11"/>
      <c r="R36347" s="11"/>
      <c r="S36347" s="11"/>
      <c r="T36347" s="11"/>
    </row>
    <row r="36348" spans="8:20" x14ac:dyDescent="0.35">
      <c r="H36348" s="711"/>
      <c r="I36348" s="711"/>
      <c r="J36348" s="711"/>
      <c r="K36348" s="711"/>
      <c r="L36348" s="711"/>
      <c r="Q36348" s="11"/>
      <c r="R36348" s="11"/>
      <c r="S36348" s="11"/>
      <c r="T36348" s="11"/>
    </row>
    <row r="36349" spans="8:20" x14ac:dyDescent="0.35">
      <c r="H36349" s="711"/>
      <c r="I36349" s="711"/>
      <c r="J36349" s="711"/>
      <c r="K36349" s="711"/>
      <c r="L36349" s="711"/>
      <c r="Q36349" s="11"/>
      <c r="R36349" s="11"/>
      <c r="S36349" s="11"/>
      <c r="T36349" s="11"/>
    </row>
    <row r="36350" spans="8:20" x14ac:dyDescent="0.35">
      <c r="H36350" s="711"/>
      <c r="I36350" s="711"/>
      <c r="J36350" s="711"/>
      <c r="K36350" s="711"/>
      <c r="L36350" s="711"/>
      <c r="Q36350" s="11"/>
      <c r="R36350" s="11"/>
      <c r="S36350" s="11"/>
      <c r="T36350" s="11"/>
    </row>
    <row r="36351" spans="8:20" x14ac:dyDescent="0.35">
      <c r="H36351" s="711"/>
      <c r="I36351" s="711"/>
      <c r="J36351" s="711"/>
      <c r="K36351" s="711"/>
      <c r="L36351" s="711"/>
      <c r="Q36351" s="11"/>
      <c r="R36351" s="11"/>
      <c r="S36351" s="11"/>
      <c r="T36351" s="11"/>
    </row>
    <row r="36352" spans="8:20" x14ac:dyDescent="0.35">
      <c r="H36352" s="711"/>
      <c r="I36352" s="711"/>
      <c r="J36352" s="711"/>
      <c r="K36352" s="711"/>
      <c r="L36352" s="711"/>
      <c r="Q36352" s="11"/>
      <c r="R36352" s="11"/>
      <c r="S36352" s="11"/>
      <c r="T36352" s="11"/>
    </row>
    <row r="36353" spans="8:20" x14ac:dyDescent="0.35">
      <c r="H36353" s="711"/>
      <c r="I36353" s="711"/>
      <c r="J36353" s="711"/>
      <c r="K36353" s="711"/>
      <c r="L36353" s="711"/>
      <c r="Q36353" s="11"/>
      <c r="R36353" s="11"/>
      <c r="S36353" s="11"/>
      <c r="T36353" s="11"/>
    </row>
    <row r="36354" spans="8:20" x14ac:dyDescent="0.35">
      <c r="H36354" s="711"/>
      <c r="I36354" s="711"/>
      <c r="J36354" s="711"/>
      <c r="K36354" s="711"/>
      <c r="L36354" s="711"/>
      <c r="Q36354" s="11"/>
      <c r="R36354" s="11"/>
      <c r="S36354" s="11"/>
      <c r="T36354" s="11"/>
    </row>
    <row r="36355" spans="8:20" x14ac:dyDescent="0.35">
      <c r="H36355" s="711"/>
      <c r="I36355" s="711"/>
      <c r="J36355" s="711"/>
      <c r="K36355" s="711"/>
      <c r="L36355" s="711"/>
      <c r="Q36355" s="11"/>
      <c r="R36355" s="11"/>
      <c r="S36355" s="11"/>
      <c r="T36355" s="11"/>
    </row>
    <row r="36356" spans="8:20" x14ac:dyDescent="0.35">
      <c r="H36356" s="711"/>
      <c r="I36356" s="711"/>
      <c r="J36356" s="711"/>
      <c r="K36356" s="711"/>
      <c r="L36356" s="711"/>
      <c r="Q36356" s="11"/>
      <c r="R36356" s="11"/>
      <c r="S36356" s="11"/>
      <c r="T36356" s="11"/>
    </row>
    <row r="36357" spans="8:20" x14ac:dyDescent="0.35">
      <c r="H36357" s="711"/>
      <c r="I36357" s="711"/>
      <c r="J36357" s="711"/>
      <c r="K36357" s="711"/>
      <c r="L36357" s="711"/>
      <c r="Q36357" s="11"/>
      <c r="R36357" s="11"/>
      <c r="S36357" s="11"/>
      <c r="T36357" s="11"/>
    </row>
    <row r="36358" spans="8:20" x14ac:dyDescent="0.35">
      <c r="H36358" s="711"/>
      <c r="I36358" s="711"/>
      <c r="J36358" s="711"/>
      <c r="K36358" s="711"/>
      <c r="L36358" s="711"/>
      <c r="Q36358" s="11"/>
      <c r="R36358" s="11"/>
      <c r="S36358" s="11"/>
      <c r="T36358" s="11"/>
    </row>
    <row r="36359" spans="8:20" x14ac:dyDescent="0.35">
      <c r="H36359" s="711"/>
      <c r="I36359" s="711"/>
      <c r="J36359" s="711"/>
      <c r="K36359" s="711"/>
      <c r="L36359" s="711"/>
      <c r="Q36359" s="11"/>
      <c r="R36359" s="11"/>
      <c r="S36359" s="11"/>
      <c r="T36359" s="11"/>
    </row>
    <row r="36360" spans="8:20" x14ac:dyDescent="0.35">
      <c r="H36360" s="711"/>
      <c r="I36360" s="711"/>
      <c r="J36360" s="711"/>
      <c r="K36360" s="711"/>
      <c r="L36360" s="711"/>
      <c r="Q36360" s="11"/>
      <c r="R36360" s="11"/>
      <c r="S36360" s="11"/>
      <c r="T36360" s="11"/>
    </row>
    <row r="36361" spans="8:20" x14ac:dyDescent="0.35">
      <c r="H36361" s="711"/>
      <c r="I36361" s="711"/>
      <c r="J36361" s="711"/>
      <c r="K36361" s="711"/>
      <c r="L36361" s="711"/>
      <c r="Q36361" s="11"/>
      <c r="R36361" s="11"/>
      <c r="S36361" s="11"/>
      <c r="T36361" s="11"/>
    </row>
    <row r="36362" spans="8:20" x14ac:dyDescent="0.35">
      <c r="H36362" s="711"/>
      <c r="I36362" s="711"/>
      <c r="J36362" s="711"/>
      <c r="K36362" s="711"/>
      <c r="L36362" s="711"/>
      <c r="Q36362" s="11"/>
      <c r="R36362" s="11"/>
      <c r="S36362" s="11"/>
      <c r="T36362" s="11"/>
    </row>
    <row r="36363" spans="8:20" x14ac:dyDescent="0.35">
      <c r="H36363" s="711"/>
      <c r="I36363" s="711"/>
      <c r="J36363" s="711"/>
      <c r="K36363" s="711"/>
      <c r="L36363" s="711"/>
      <c r="Q36363" s="11"/>
      <c r="R36363" s="11"/>
      <c r="S36363" s="11"/>
      <c r="T36363" s="11"/>
    </row>
    <row r="36364" spans="8:20" x14ac:dyDescent="0.35">
      <c r="H36364" s="711"/>
      <c r="I36364" s="711"/>
      <c r="J36364" s="711"/>
      <c r="K36364" s="711"/>
      <c r="L36364" s="711"/>
      <c r="Q36364" s="11"/>
      <c r="R36364" s="11"/>
      <c r="S36364" s="11"/>
      <c r="T36364" s="11"/>
    </row>
    <row r="36365" spans="8:20" x14ac:dyDescent="0.35">
      <c r="H36365" s="711"/>
      <c r="I36365" s="711"/>
      <c r="J36365" s="711"/>
      <c r="K36365" s="711"/>
      <c r="L36365" s="711"/>
      <c r="Q36365" s="11"/>
      <c r="R36365" s="11"/>
      <c r="S36365" s="11"/>
      <c r="T36365" s="11"/>
    </row>
    <row r="36366" spans="8:20" x14ac:dyDescent="0.35">
      <c r="H36366" s="711"/>
      <c r="I36366" s="711"/>
      <c r="J36366" s="711"/>
      <c r="K36366" s="711"/>
      <c r="L36366" s="711"/>
      <c r="Q36366" s="11"/>
      <c r="R36366" s="11"/>
      <c r="S36366" s="11"/>
      <c r="T36366" s="11"/>
    </row>
    <row r="36367" spans="8:20" x14ac:dyDescent="0.35">
      <c r="H36367" s="711"/>
      <c r="I36367" s="711"/>
      <c r="J36367" s="711"/>
      <c r="K36367" s="711"/>
      <c r="L36367" s="711"/>
      <c r="Q36367" s="11"/>
      <c r="R36367" s="11"/>
      <c r="S36367" s="11"/>
      <c r="T36367" s="11"/>
    </row>
    <row r="36368" spans="8:20" x14ac:dyDescent="0.35">
      <c r="H36368" s="711"/>
      <c r="I36368" s="711"/>
      <c r="J36368" s="711"/>
      <c r="K36368" s="711"/>
      <c r="L36368" s="711"/>
      <c r="Q36368" s="11"/>
      <c r="R36368" s="11"/>
      <c r="S36368" s="11"/>
      <c r="T36368" s="11"/>
    </row>
    <row r="36369" spans="8:20" x14ac:dyDescent="0.35">
      <c r="H36369" s="711"/>
      <c r="I36369" s="711"/>
      <c r="J36369" s="711"/>
      <c r="K36369" s="711"/>
      <c r="L36369" s="711"/>
      <c r="Q36369" s="11"/>
      <c r="R36369" s="11"/>
      <c r="S36369" s="11"/>
      <c r="T36369" s="11"/>
    </row>
    <row r="36370" spans="8:20" x14ac:dyDescent="0.35">
      <c r="H36370" s="711"/>
      <c r="I36370" s="711"/>
      <c r="J36370" s="711"/>
      <c r="K36370" s="711"/>
      <c r="L36370" s="711"/>
      <c r="Q36370" s="11"/>
      <c r="R36370" s="11"/>
      <c r="S36370" s="11"/>
      <c r="T36370" s="11"/>
    </row>
    <row r="36371" spans="8:20" x14ac:dyDescent="0.35">
      <c r="H36371" s="711"/>
      <c r="I36371" s="711"/>
      <c r="J36371" s="711"/>
      <c r="K36371" s="711"/>
      <c r="L36371" s="711"/>
      <c r="Q36371" s="11"/>
      <c r="R36371" s="11"/>
      <c r="S36371" s="11"/>
      <c r="T36371" s="11"/>
    </row>
    <row r="36372" spans="8:20" x14ac:dyDescent="0.35">
      <c r="H36372" s="711"/>
      <c r="I36372" s="711"/>
      <c r="J36372" s="711"/>
      <c r="K36372" s="711"/>
      <c r="L36372" s="711"/>
      <c r="Q36372" s="11"/>
      <c r="R36372" s="11"/>
      <c r="S36372" s="11"/>
      <c r="T36372" s="11"/>
    </row>
    <row r="36373" spans="8:20" x14ac:dyDescent="0.35">
      <c r="H36373" s="711"/>
      <c r="I36373" s="711"/>
      <c r="J36373" s="711"/>
      <c r="K36373" s="711"/>
      <c r="L36373" s="711"/>
      <c r="Q36373" s="11"/>
      <c r="R36373" s="11"/>
      <c r="S36373" s="11"/>
      <c r="T36373" s="11"/>
    </row>
    <row r="36374" spans="8:20" x14ac:dyDescent="0.35">
      <c r="H36374" s="711"/>
      <c r="I36374" s="711"/>
      <c r="J36374" s="711"/>
      <c r="K36374" s="711"/>
      <c r="L36374" s="711"/>
      <c r="Q36374" s="11"/>
      <c r="R36374" s="11"/>
      <c r="S36374" s="11"/>
      <c r="T36374" s="11"/>
    </row>
    <row r="36375" spans="8:20" x14ac:dyDescent="0.35">
      <c r="H36375" s="711"/>
      <c r="I36375" s="711"/>
      <c r="J36375" s="711"/>
      <c r="K36375" s="711"/>
      <c r="L36375" s="711"/>
      <c r="Q36375" s="11"/>
      <c r="R36375" s="11"/>
      <c r="S36375" s="11"/>
      <c r="T36375" s="11"/>
    </row>
    <row r="36376" spans="8:20" x14ac:dyDescent="0.35">
      <c r="H36376" s="711"/>
      <c r="I36376" s="711"/>
      <c r="J36376" s="711"/>
      <c r="K36376" s="711"/>
      <c r="L36376" s="711"/>
      <c r="Q36376" s="11"/>
      <c r="R36376" s="11"/>
      <c r="S36376" s="11"/>
      <c r="T36376" s="11"/>
    </row>
    <row r="36377" spans="8:20" x14ac:dyDescent="0.35">
      <c r="H36377" s="711"/>
      <c r="I36377" s="711"/>
      <c r="J36377" s="711"/>
      <c r="K36377" s="711"/>
      <c r="L36377" s="711"/>
      <c r="Q36377" s="11"/>
      <c r="R36377" s="11"/>
      <c r="S36377" s="11"/>
      <c r="T36377" s="11"/>
    </row>
    <row r="36378" spans="8:20" x14ac:dyDescent="0.35">
      <c r="H36378" s="711"/>
      <c r="I36378" s="711"/>
      <c r="J36378" s="711"/>
      <c r="K36378" s="711"/>
      <c r="L36378" s="711"/>
      <c r="Q36378" s="11"/>
      <c r="R36378" s="11"/>
      <c r="S36378" s="11"/>
      <c r="T36378" s="11"/>
    </row>
    <row r="36379" spans="8:20" x14ac:dyDescent="0.35">
      <c r="H36379" s="711"/>
      <c r="I36379" s="711"/>
      <c r="J36379" s="711"/>
      <c r="K36379" s="711"/>
      <c r="L36379" s="711"/>
      <c r="Q36379" s="11"/>
      <c r="R36379" s="11"/>
      <c r="S36379" s="11"/>
      <c r="T36379" s="11"/>
    </row>
    <row r="36380" spans="8:20" x14ac:dyDescent="0.35">
      <c r="H36380" s="711"/>
      <c r="I36380" s="711"/>
      <c r="J36380" s="711"/>
      <c r="K36380" s="711"/>
      <c r="L36380" s="711"/>
      <c r="Q36380" s="11"/>
      <c r="R36380" s="11"/>
      <c r="S36380" s="11"/>
      <c r="T36380" s="11"/>
    </row>
    <row r="36381" spans="8:20" x14ac:dyDescent="0.35">
      <c r="H36381" s="711"/>
      <c r="I36381" s="711"/>
      <c r="J36381" s="711"/>
      <c r="K36381" s="711"/>
      <c r="L36381" s="711"/>
      <c r="Q36381" s="11"/>
      <c r="R36381" s="11"/>
      <c r="S36381" s="11"/>
      <c r="T36381" s="11"/>
    </row>
    <row r="36382" spans="8:20" x14ac:dyDescent="0.35">
      <c r="H36382" s="711"/>
      <c r="I36382" s="711"/>
      <c r="J36382" s="711"/>
      <c r="K36382" s="711"/>
      <c r="L36382" s="711"/>
      <c r="Q36382" s="11"/>
      <c r="R36382" s="11"/>
      <c r="S36382" s="11"/>
      <c r="T36382" s="11"/>
    </row>
    <row r="36383" spans="8:20" x14ac:dyDescent="0.35">
      <c r="H36383" s="711"/>
      <c r="I36383" s="711"/>
      <c r="J36383" s="711"/>
      <c r="K36383" s="711"/>
      <c r="L36383" s="711"/>
      <c r="Q36383" s="11"/>
      <c r="R36383" s="11"/>
      <c r="S36383" s="11"/>
      <c r="T36383" s="11"/>
    </row>
    <row r="36384" spans="8:20" x14ac:dyDescent="0.35">
      <c r="H36384" s="711"/>
      <c r="I36384" s="711"/>
      <c r="J36384" s="711"/>
      <c r="K36384" s="711"/>
      <c r="L36384" s="711"/>
      <c r="Q36384" s="11"/>
      <c r="R36384" s="11"/>
      <c r="S36384" s="11"/>
      <c r="T36384" s="11"/>
    </row>
    <row r="36385" spans="8:20" x14ac:dyDescent="0.35">
      <c r="H36385" s="711"/>
      <c r="I36385" s="711"/>
      <c r="J36385" s="711"/>
      <c r="K36385" s="711"/>
      <c r="L36385" s="711"/>
      <c r="Q36385" s="11"/>
      <c r="R36385" s="11"/>
      <c r="S36385" s="11"/>
      <c r="T36385" s="11"/>
    </row>
    <row r="36386" spans="8:20" x14ac:dyDescent="0.35">
      <c r="H36386" s="711"/>
      <c r="I36386" s="711"/>
      <c r="J36386" s="711"/>
      <c r="K36386" s="711"/>
      <c r="L36386" s="711"/>
      <c r="Q36386" s="11"/>
      <c r="R36386" s="11"/>
      <c r="S36386" s="11"/>
      <c r="T36386" s="11"/>
    </row>
    <row r="36387" spans="8:20" x14ac:dyDescent="0.35">
      <c r="H36387" s="711"/>
      <c r="I36387" s="711"/>
      <c r="J36387" s="711"/>
      <c r="K36387" s="711"/>
      <c r="L36387" s="711"/>
      <c r="Q36387" s="11"/>
      <c r="R36387" s="11"/>
      <c r="S36387" s="11"/>
      <c r="T36387" s="11"/>
    </row>
    <row r="36388" spans="8:20" x14ac:dyDescent="0.35">
      <c r="H36388" s="711"/>
      <c r="I36388" s="711"/>
      <c r="J36388" s="711"/>
      <c r="K36388" s="711"/>
      <c r="L36388" s="711"/>
      <c r="Q36388" s="11"/>
      <c r="R36388" s="11"/>
      <c r="S36388" s="11"/>
      <c r="T36388" s="11"/>
    </row>
    <row r="36389" spans="8:20" x14ac:dyDescent="0.35">
      <c r="H36389" s="711"/>
      <c r="I36389" s="711"/>
      <c r="J36389" s="711"/>
      <c r="K36389" s="711"/>
      <c r="L36389" s="711"/>
      <c r="Q36389" s="11"/>
      <c r="R36389" s="11"/>
      <c r="S36389" s="11"/>
      <c r="T36389" s="11"/>
    </row>
    <row r="36390" spans="8:20" x14ac:dyDescent="0.35">
      <c r="H36390" s="711"/>
      <c r="I36390" s="711"/>
      <c r="J36390" s="711"/>
      <c r="K36390" s="711"/>
      <c r="L36390" s="711"/>
      <c r="Q36390" s="11"/>
      <c r="R36390" s="11"/>
      <c r="S36390" s="11"/>
      <c r="T36390" s="11"/>
    </row>
    <row r="36391" spans="8:20" x14ac:dyDescent="0.35">
      <c r="H36391" s="711"/>
      <c r="I36391" s="711"/>
      <c r="J36391" s="711"/>
      <c r="K36391" s="711"/>
      <c r="L36391" s="711"/>
      <c r="Q36391" s="11"/>
      <c r="R36391" s="11"/>
      <c r="S36391" s="11"/>
      <c r="T36391" s="11"/>
    </row>
    <row r="36392" spans="8:20" x14ac:dyDescent="0.35">
      <c r="H36392" s="711"/>
      <c r="I36392" s="711"/>
      <c r="J36392" s="711"/>
      <c r="K36392" s="711"/>
      <c r="L36392" s="711"/>
      <c r="Q36392" s="11"/>
      <c r="R36392" s="11"/>
      <c r="S36392" s="11"/>
      <c r="T36392" s="11"/>
    </row>
    <row r="36393" spans="8:20" x14ac:dyDescent="0.35">
      <c r="H36393" s="711"/>
      <c r="I36393" s="711"/>
      <c r="J36393" s="711"/>
      <c r="K36393" s="711"/>
      <c r="L36393" s="711"/>
      <c r="Q36393" s="11"/>
      <c r="R36393" s="11"/>
      <c r="S36393" s="11"/>
      <c r="T36393" s="11"/>
    </row>
    <row r="36394" spans="8:20" x14ac:dyDescent="0.35">
      <c r="H36394" s="711"/>
      <c r="I36394" s="711"/>
      <c r="J36394" s="711"/>
      <c r="K36394" s="711"/>
      <c r="L36394" s="711"/>
      <c r="Q36394" s="11"/>
      <c r="R36394" s="11"/>
      <c r="S36394" s="11"/>
      <c r="T36394" s="11"/>
    </row>
    <row r="36395" spans="8:20" x14ac:dyDescent="0.35">
      <c r="H36395" s="711"/>
      <c r="I36395" s="711"/>
      <c r="J36395" s="711"/>
      <c r="K36395" s="711"/>
      <c r="L36395" s="711"/>
      <c r="Q36395" s="11"/>
      <c r="R36395" s="11"/>
      <c r="S36395" s="11"/>
      <c r="T36395" s="11"/>
    </row>
    <row r="36396" spans="8:20" x14ac:dyDescent="0.35">
      <c r="H36396" s="711"/>
      <c r="I36396" s="711"/>
      <c r="J36396" s="711"/>
      <c r="K36396" s="711"/>
      <c r="L36396" s="711"/>
      <c r="Q36396" s="11"/>
      <c r="R36396" s="11"/>
      <c r="S36396" s="11"/>
      <c r="T36396" s="11"/>
    </row>
    <row r="36397" spans="8:20" x14ac:dyDescent="0.35">
      <c r="H36397" s="711"/>
      <c r="I36397" s="711"/>
      <c r="J36397" s="711"/>
      <c r="K36397" s="711"/>
      <c r="L36397" s="711"/>
      <c r="Q36397" s="11"/>
      <c r="R36397" s="11"/>
      <c r="S36397" s="11"/>
      <c r="T36397" s="11"/>
    </row>
    <row r="36398" spans="8:20" x14ac:dyDescent="0.35">
      <c r="H36398" s="711"/>
      <c r="I36398" s="711"/>
      <c r="J36398" s="711"/>
      <c r="K36398" s="711"/>
      <c r="L36398" s="711"/>
      <c r="Q36398" s="11"/>
      <c r="R36398" s="11"/>
      <c r="S36398" s="11"/>
      <c r="T36398" s="11"/>
    </row>
    <row r="36399" spans="8:20" x14ac:dyDescent="0.35">
      <c r="H36399" s="711"/>
      <c r="I36399" s="711"/>
      <c r="J36399" s="711"/>
      <c r="K36399" s="711"/>
      <c r="L36399" s="711"/>
      <c r="Q36399" s="11"/>
      <c r="R36399" s="11"/>
      <c r="S36399" s="11"/>
      <c r="T36399" s="11"/>
    </row>
    <row r="36400" spans="8:20" x14ac:dyDescent="0.35">
      <c r="H36400" s="711"/>
      <c r="I36400" s="711"/>
      <c r="J36400" s="711"/>
      <c r="K36400" s="711"/>
      <c r="L36400" s="711"/>
      <c r="Q36400" s="11"/>
      <c r="R36400" s="11"/>
      <c r="S36400" s="11"/>
      <c r="T36400" s="11"/>
    </row>
    <row r="36401" spans="8:20" x14ac:dyDescent="0.35">
      <c r="H36401" s="711"/>
      <c r="I36401" s="711"/>
      <c r="J36401" s="711"/>
      <c r="K36401" s="711"/>
      <c r="L36401" s="711"/>
      <c r="Q36401" s="11"/>
      <c r="R36401" s="11"/>
      <c r="S36401" s="11"/>
      <c r="T36401" s="11"/>
    </row>
    <row r="36402" spans="8:20" x14ac:dyDescent="0.35">
      <c r="H36402" s="711"/>
      <c r="I36402" s="711"/>
      <c r="J36402" s="711"/>
      <c r="K36402" s="711"/>
      <c r="L36402" s="711"/>
      <c r="Q36402" s="11"/>
      <c r="R36402" s="11"/>
      <c r="S36402" s="11"/>
      <c r="T36402" s="11"/>
    </row>
    <row r="36403" spans="8:20" x14ac:dyDescent="0.35">
      <c r="H36403" s="711"/>
      <c r="I36403" s="711"/>
      <c r="J36403" s="711"/>
      <c r="K36403" s="711"/>
      <c r="L36403" s="711"/>
      <c r="Q36403" s="11"/>
      <c r="R36403" s="11"/>
      <c r="S36403" s="11"/>
      <c r="T36403" s="11"/>
    </row>
    <row r="36404" spans="8:20" x14ac:dyDescent="0.35">
      <c r="H36404" s="711"/>
      <c r="I36404" s="711"/>
      <c r="J36404" s="711"/>
      <c r="K36404" s="711"/>
      <c r="L36404" s="711"/>
      <c r="Q36404" s="11"/>
      <c r="R36404" s="11"/>
      <c r="S36404" s="11"/>
      <c r="T36404" s="11"/>
    </row>
    <row r="36405" spans="8:20" x14ac:dyDescent="0.35">
      <c r="H36405" s="711"/>
      <c r="I36405" s="711"/>
      <c r="J36405" s="711"/>
      <c r="K36405" s="711"/>
      <c r="L36405" s="711"/>
      <c r="Q36405" s="11"/>
      <c r="R36405" s="11"/>
      <c r="S36405" s="11"/>
      <c r="T36405" s="11"/>
    </row>
    <row r="36406" spans="8:20" x14ac:dyDescent="0.35">
      <c r="H36406" s="711"/>
      <c r="I36406" s="711"/>
      <c r="J36406" s="711"/>
      <c r="K36406" s="711"/>
      <c r="L36406" s="711"/>
      <c r="Q36406" s="11"/>
      <c r="R36406" s="11"/>
      <c r="S36406" s="11"/>
      <c r="T36406" s="11"/>
    </row>
    <row r="36407" spans="8:20" x14ac:dyDescent="0.35">
      <c r="H36407" s="711"/>
      <c r="I36407" s="711"/>
      <c r="J36407" s="711"/>
      <c r="K36407" s="711"/>
      <c r="L36407" s="711"/>
      <c r="Q36407" s="11"/>
      <c r="R36407" s="11"/>
      <c r="S36407" s="11"/>
      <c r="T36407" s="11"/>
    </row>
    <row r="36408" spans="8:20" x14ac:dyDescent="0.35">
      <c r="H36408" s="711"/>
      <c r="I36408" s="711"/>
      <c r="J36408" s="711"/>
      <c r="K36408" s="711"/>
      <c r="L36408" s="711"/>
      <c r="Q36408" s="11"/>
      <c r="R36408" s="11"/>
      <c r="S36408" s="11"/>
      <c r="T36408" s="11"/>
    </row>
    <row r="36409" spans="8:20" x14ac:dyDescent="0.35">
      <c r="H36409" s="711"/>
      <c r="I36409" s="711"/>
      <c r="J36409" s="711"/>
      <c r="K36409" s="711"/>
      <c r="L36409" s="711"/>
      <c r="Q36409" s="11"/>
      <c r="R36409" s="11"/>
      <c r="S36409" s="11"/>
      <c r="T36409" s="11"/>
    </row>
    <row r="36410" spans="8:20" x14ac:dyDescent="0.35">
      <c r="H36410" s="711"/>
      <c r="I36410" s="711"/>
      <c r="J36410" s="711"/>
      <c r="K36410" s="711"/>
      <c r="L36410" s="711"/>
      <c r="Q36410" s="11"/>
      <c r="R36410" s="11"/>
      <c r="S36410" s="11"/>
      <c r="T36410" s="11"/>
    </row>
    <row r="36411" spans="8:20" x14ac:dyDescent="0.35">
      <c r="H36411" s="711"/>
      <c r="I36411" s="711"/>
      <c r="J36411" s="711"/>
      <c r="K36411" s="711"/>
      <c r="L36411" s="711"/>
      <c r="Q36411" s="11"/>
      <c r="R36411" s="11"/>
      <c r="S36411" s="11"/>
      <c r="T36411" s="11"/>
    </row>
    <row r="36412" spans="8:20" x14ac:dyDescent="0.35">
      <c r="H36412" s="711"/>
      <c r="I36412" s="711"/>
      <c r="J36412" s="711"/>
      <c r="K36412" s="711"/>
      <c r="L36412" s="711"/>
      <c r="Q36412" s="11"/>
      <c r="R36412" s="11"/>
      <c r="S36412" s="11"/>
      <c r="T36412" s="11"/>
    </row>
    <row r="36413" spans="8:20" x14ac:dyDescent="0.35">
      <c r="H36413" s="711"/>
      <c r="I36413" s="711"/>
      <c r="J36413" s="711"/>
      <c r="K36413" s="711"/>
      <c r="L36413" s="711"/>
      <c r="Q36413" s="11"/>
      <c r="R36413" s="11"/>
      <c r="S36413" s="11"/>
      <c r="T36413" s="11"/>
    </row>
    <row r="36414" spans="8:20" x14ac:dyDescent="0.35">
      <c r="H36414" s="711"/>
      <c r="I36414" s="711"/>
      <c r="J36414" s="711"/>
      <c r="K36414" s="711"/>
      <c r="L36414" s="711"/>
      <c r="Q36414" s="11"/>
      <c r="R36414" s="11"/>
      <c r="S36414" s="11"/>
      <c r="T36414" s="11"/>
    </row>
    <row r="36415" spans="8:20" x14ac:dyDescent="0.35">
      <c r="H36415" s="711"/>
      <c r="I36415" s="711"/>
      <c r="J36415" s="711"/>
      <c r="K36415" s="711"/>
      <c r="L36415" s="711"/>
      <c r="Q36415" s="11"/>
      <c r="R36415" s="11"/>
      <c r="S36415" s="11"/>
      <c r="T36415" s="11"/>
    </row>
    <row r="36416" spans="8:20" x14ac:dyDescent="0.35">
      <c r="H36416" s="711"/>
      <c r="I36416" s="711"/>
      <c r="J36416" s="711"/>
      <c r="K36416" s="711"/>
      <c r="L36416" s="711"/>
      <c r="Q36416" s="11"/>
      <c r="R36416" s="11"/>
      <c r="S36416" s="11"/>
      <c r="T36416" s="11"/>
    </row>
    <row r="36417" spans="8:20" x14ac:dyDescent="0.35">
      <c r="H36417" s="711"/>
      <c r="I36417" s="711"/>
      <c r="J36417" s="711"/>
      <c r="K36417" s="711"/>
      <c r="L36417" s="711"/>
      <c r="Q36417" s="11"/>
      <c r="R36417" s="11"/>
      <c r="S36417" s="11"/>
      <c r="T36417" s="11"/>
    </row>
    <row r="36418" spans="8:20" x14ac:dyDescent="0.35">
      <c r="H36418" s="711"/>
      <c r="I36418" s="711"/>
      <c r="J36418" s="711"/>
      <c r="K36418" s="711"/>
      <c r="L36418" s="711"/>
      <c r="Q36418" s="11"/>
      <c r="R36418" s="11"/>
      <c r="S36418" s="11"/>
      <c r="T36418" s="11"/>
    </row>
    <row r="36419" spans="8:20" x14ac:dyDescent="0.35">
      <c r="H36419" s="711"/>
      <c r="I36419" s="711"/>
      <c r="J36419" s="711"/>
      <c r="K36419" s="711"/>
      <c r="L36419" s="711"/>
      <c r="Q36419" s="11"/>
      <c r="R36419" s="11"/>
      <c r="S36419" s="11"/>
      <c r="T36419" s="11"/>
    </row>
    <row r="36420" spans="8:20" x14ac:dyDescent="0.35">
      <c r="H36420" s="711"/>
      <c r="I36420" s="711"/>
      <c r="J36420" s="711"/>
      <c r="K36420" s="711"/>
      <c r="L36420" s="711"/>
      <c r="Q36420" s="11"/>
      <c r="R36420" s="11"/>
      <c r="S36420" s="11"/>
      <c r="T36420" s="11"/>
    </row>
    <row r="36421" spans="8:20" x14ac:dyDescent="0.35">
      <c r="H36421" s="711"/>
      <c r="I36421" s="711"/>
      <c r="J36421" s="711"/>
      <c r="K36421" s="711"/>
      <c r="L36421" s="711"/>
      <c r="Q36421" s="11"/>
      <c r="R36421" s="11"/>
      <c r="S36421" s="11"/>
      <c r="T36421" s="11"/>
    </row>
    <row r="36422" spans="8:20" x14ac:dyDescent="0.35">
      <c r="H36422" s="711"/>
      <c r="I36422" s="711"/>
      <c r="J36422" s="711"/>
      <c r="K36422" s="711"/>
      <c r="L36422" s="711"/>
      <c r="Q36422" s="11"/>
      <c r="R36422" s="11"/>
      <c r="S36422" s="11"/>
      <c r="T36422" s="11"/>
    </row>
    <row r="36423" spans="8:20" x14ac:dyDescent="0.35">
      <c r="H36423" s="711"/>
      <c r="I36423" s="711"/>
      <c r="J36423" s="711"/>
      <c r="K36423" s="711"/>
      <c r="L36423" s="711"/>
      <c r="Q36423" s="11"/>
      <c r="R36423" s="11"/>
      <c r="S36423" s="11"/>
      <c r="T36423" s="11"/>
    </row>
    <row r="36424" spans="8:20" x14ac:dyDescent="0.35">
      <c r="H36424" s="711"/>
      <c r="I36424" s="711"/>
      <c r="J36424" s="711"/>
      <c r="K36424" s="711"/>
      <c r="L36424" s="711"/>
      <c r="Q36424" s="11"/>
      <c r="R36424" s="11"/>
      <c r="S36424" s="11"/>
      <c r="T36424" s="11"/>
    </row>
    <row r="36425" spans="8:20" x14ac:dyDescent="0.35">
      <c r="H36425" s="711"/>
      <c r="I36425" s="711"/>
      <c r="J36425" s="711"/>
      <c r="K36425" s="711"/>
      <c r="L36425" s="711"/>
      <c r="Q36425" s="11"/>
      <c r="R36425" s="11"/>
      <c r="S36425" s="11"/>
      <c r="T36425" s="11"/>
    </row>
    <row r="36426" spans="8:20" x14ac:dyDescent="0.35">
      <c r="H36426" s="711"/>
      <c r="I36426" s="711"/>
      <c r="J36426" s="711"/>
      <c r="K36426" s="711"/>
      <c r="L36426" s="711"/>
      <c r="Q36426" s="11"/>
      <c r="R36426" s="11"/>
      <c r="S36426" s="11"/>
      <c r="T36426" s="11"/>
    </row>
    <row r="36427" spans="8:20" x14ac:dyDescent="0.35">
      <c r="H36427" s="711"/>
      <c r="I36427" s="711"/>
      <c r="J36427" s="711"/>
      <c r="K36427" s="711"/>
      <c r="L36427" s="711"/>
      <c r="Q36427" s="11"/>
      <c r="R36427" s="11"/>
      <c r="S36427" s="11"/>
      <c r="T36427" s="11"/>
    </row>
    <row r="36428" spans="8:20" x14ac:dyDescent="0.35">
      <c r="H36428" s="711"/>
      <c r="I36428" s="711"/>
      <c r="J36428" s="711"/>
      <c r="K36428" s="711"/>
      <c r="L36428" s="711"/>
      <c r="Q36428" s="11"/>
      <c r="R36428" s="11"/>
      <c r="S36428" s="11"/>
      <c r="T36428" s="11"/>
    </row>
    <row r="36429" spans="8:20" x14ac:dyDescent="0.35">
      <c r="H36429" s="711"/>
      <c r="I36429" s="711"/>
      <c r="J36429" s="711"/>
      <c r="K36429" s="711"/>
      <c r="L36429" s="711"/>
      <c r="Q36429" s="11"/>
      <c r="R36429" s="11"/>
      <c r="S36429" s="11"/>
      <c r="T36429" s="11"/>
    </row>
    <row r="36430" spans="8:20" x14ac:dyDescent="0.35">
      <c r="H36430" s="711"/>
      <c r="I36430" s="711"/>
      <c r="J36430" s="711"/>
      <c r="K36430" s="711"/>
      <c r="L36430" s="711"/>
      <c r="Q36430" s="11"/>
      <c r="R36430" s="11"/>
      <c r="S36430" s="11"/>
      <c r="T36430" s="11"/>
    </row>
    <row r="36431" spans="8:20" x14ac:dyDescent="0.35">
      <c r="H36431" s="711"/>
      <c r="I36431" s="711"/>
      <c r="J36431" s="711"/>
      <c r="K36431" s="711"/>
      <c r="L36431" s="711"/>
      <c r="Q36431" s="11"/>
      <c r="R36431" s="11"/>
      <c r="S36431" s="11"/>
      <c r="T36431" s="11"/>
    </row>
    <row r="36432" spans="8:20" x14ac:dyDescent="0.35">
      <c r="H36432" s="711"/>
      <c r="I36432" s="711"/>
      <c r="J36432" s="711"/>
      <c r="K36432" s="711"/>
      <c r="L36432" s="711"/>
      <c r="Q36432" s="11"/>
      <c r="R36432" s="11"/>
      <c r="S36432" s="11"/>
      <c r="T36432" s="11"/>
    </row>
    <row r="36433" spans="8:20" x14ac:dyDescent="0.35">
      <c r="H36433" s="711"/>
      <c r="I36433" s="711"/>
      <c r="J36433" s="711"/>
      <c r="K36433" s="711"/>
      <c r="L36433" s="711"/>
      <c r="Q36433" s="11"/>
      <c r="R36433" s="11"/>
      <c r="S36433" s="11"/>
      <c r="T36433" s="11"/>
    </row>
    <row r="36434" spans="8:20" x14ac:dyDescent="0.35">
      <c r="H36434" s="711"/>
      <c r="I36434" s="711"/>
      <c r="J36434" s="711"/>
      <c r="K36434" s="711"/>
      <c r="L36434" s="711"/>
      <c r="Q36434" s="11"/>
      <c r="R36434" s="11"/>
      <c r="S36434" s="11"/>
      <c r="T36434" s="11"/>
    </row>
    <row r="36435" spans="8:20" x14ac:dyDescent="0.35">
      <c r="H36435" s="711"/>
      <c r="I36435" s="711"/>
      <c r="J36435" s="711"/>
      <c r="K36435" s="711"/>
      <c r="L36435" s="711"/>
      <c r="Q36435" s="11"/>
      <c r="R36435" s="11"/>
      <c r="S36435" s="11"/>
      <c r="T36435" s="11"/>
    </row>
    <row r="36436" spans="8:20" x14ac:dyDescent="0.35">
      <c r="H36436" s="711"/>
      <c r="I36436" s="711"/>
      <c r="J36436" s="711"/>
      <c r="K36436" s="711"/>
      <c r="L36436" s="711"/>
      <c r="Q36436" s="11"/>
      <c r="R36436" s="11"/>
      <c r="S36436" s="11"/>
      <c r="T36436" s="11"/>
    </row>
    <row r="36437" spans="8:20" x14ac:dyDescent="0.35">
      <c r="H36437" s="711"/>
      <c r="I36437" s="711"/>
      <c r="J36437" s="711"/>
      <c r="K36437" s="711"/>
      <c r="L36437" s="711"/>
      <c r="Q36437" s="11"/>
      <c r="R36437" s="11"/>
      <c r="S36437" s="11"/>
      <c r="T36437" s="11"/>
    </row>
    <row r="36438" spans="8:20" x14ac:dyDescent="0.35">
      <c r="H36438" s="711"/>
      <c r="I36438" s="711"/>
      <c r="J36438" s="711"/>
      <c r="K36438" s="711"/>
      <c r="L36438" s="711"/>
      <c r="Q36438" s="11"/>
      <c r="R36438" s="11"/>
      <c r="S36438" s="11"/>
      <c r="T36438" s="11"/>
    </row>
    <row r="36439" spans="8:20" x14ac:dyDescent="0.35">
      <c r="H36439" s="711"/>
      <c r="I36439" s="711"/>
      <c r="J36439" s="711"/>
      <c r="K36439" s="711"/>
      <c r="L36439" s="711"/>
      <c r="Q36439" s="11"/>
      <c r="R36439" s="11"/>
      <c r="S36439" s="11"/>
      <c r="T36439" s="11"/>
    </row>
    <row r="36440" spans="8:20" x14ac:dyDescent="0.35">
      <c r="H36440" s="711"/>
      <c r="I36440" s="711"/>
      <c r="J36440" s="711"/>
      <c r="K36440" s="711"/>
      <c r="L36440" s="711"/>
      <c r="Q36440" s="11"/>
      <c r="R36440" s="11"/>
      <c r="S36440" s="11"/>
      <c r="T36440" s="11"/>
    </row>
    <row r="36441" spans="8:20" x14ac:dyDescent="0.35">
      <c r="H36441" s="711"/>
      <c r="I36441" s="711"/>
      <c r="J36441" s="711"/>
      <c r="K36441" s="711"/>
      <c r="L36441" s="711"/>
      <c r="Q36441" s="11"/>
      <c r="R36441" s="11"/>
      <c r="S36441" s="11"/>
      <c r="T36441" s="11"/>
    </row>
    <row r="36442" spans="8:20" x14ac:dyDescent="0.35">
      <c r="H36442" s="711"/>
      <c r="I36442" s="711"/>
      <c r="J36442" s="711"/>
      <c r="K36442" s="711"/>
      <c r="L36442" s="711"/>
      <c r="Q36442" s="11"/>
      <c r="R36442" s="11"/>
      <c r="S36442" s="11"/>
      <c r="T36442" s="11"/>
    </row>
    <row r="36443" spans="8:20" x14ac:dyDescent="0.35">
      <c r="H36443" s="711"/>
      <c r="I36443" s="711"/>
      <c r="J36443" s="711"/>
      <c r="K36443" s="711"/>
      <c r="L36443" s="711"/>
      <c r="Q36443" s="11"/>
      <c r="R36443" s="11"/>
      <c r="S36443" s="11"/>
      <c r="T36443" s="11"/>
    </row>
    <row r="36444" spans="8:20" x14ac:dyDescent="0.35">
      <c r="H36444" s="711"/>
      <c r="I36444" s="711"/>
      <c r="J36444" s="711"/>
      <c r="K36444" s="711"/>
      <c r="L36444" s="711"/>
      <c r="Q36444" s="11"/>
      <c r="R36444" s="11"/>
      <c r="S36444" s="11"/>
      <c r="T36444" s="11"/>
    </row>
    <row r="36445" spans="8:20" x14ac:dyDescent="0.35">
      <c r="H36445" s="711"/>
      <c r="I36445" s="711"/>
      <c r="J36445" s="711"/>
      <c r="K36445" s="711"/>
      <c r="L36445" s="711"/>
      <c r="Q36445" s="11"/>
      <c r="R36445" s="11"/>
      <c r="S36445" s="11"/>
      <c r="T36445" s="11"/>
    </row>
    <row r="36446" spans="8:20" x14ac:dyDescent="0.35">
      <c r="H36446" s="711"/>
      <c r="I36446" s="711"/>
      <c r="J36446" s="711"/>
      <c r="K36446" s="711"/>
      <c r="L36446" s="711"/>
      <c r="Q36446" s="11"/>
      <c r="R36446" s="11"/>
      <c r="S36446" s="11"/>
      <c r="T36446" s="11"/>
    </row>
    <row r="36447" spans="8:20" x14ac:dyDescent="0.35">
      <c r="H36447" s="711"/>
      <c r="I36447" s="711"/>
      <c r="J36447" s="711"/>
      <c r="K36447" s="711"/>
      <c r="L36447" s="711"/>
      <c r="Q36447" s="11"/>
      <c r="R36447" s="11"/>
      <c r="S36447" s="11"/>
      <c r="T36447" s="11"/>
    </row>
    <row r="36448" spans="8:20" x14ac:dyDescent="0.35">
      <c r="H36448" s="711"/>
      <c r="I36448" s="711"/>
      <c r="J36448" s="711"/>
      <c r="K36448" s="711"/>
      <c r="L36448" s="711"/>
      <c r="Q36448" s="11"/>
      <c r="R36448" s="11"/>
      <c r="S36448" s="11"/>
      <c r="T36448" s="11"/>
    </row>
    <row r="36449" spans="8:20" x14ac:dyDescent="0.35">
      <c r="H36449" s="711"/>
      <c r="I36449" s="711"/>
      <c r="J36449" s="711"/>
      <c r="K36449" s="711"/>
      <c r="L36449" s="711"/>
      <c r="Q36449" s="11"/>
      <c r="R36449" s="11"/>
      <c r="S36449" s="11"/>
      <c r="T36449" s="11"/>
    </row>
    <row r="36450" spans="8:20" x14ac:dyDescent="0.35">
      <c r="H36450" s="711"/>
      <c r="I36450" s="711"/>
      <c r="J36450" s="711"/>
      <c r="K36450" s="711"/>
      <c r="L36450" s="711"/>
      <c r="Q36450" s="11"/>
      <c r="R36450" s="11"/>
      <c r="S36450" s="11"/>
      <c r="T36450" s="11"/>
    </row>
    <row r="36451" spans="8:20" x14ac:dyDescent="0.35">
      <c r="H36451" s="711"/>
      <c r="I36451" s="711"/>
      <c r="J36451" s="711"/>
      <c r="K36451" s="711"/>
      <c r="L36451" s="711"/>
      <c r="Q36451" s="11"/>
      <c r="R36451" s="11"/>
      <c r="S36451" s="11"/>
      <c r="T36451" s="11"/>
    </row>
    <row r="36452" spans="8:20" x14ac:dyDescent="0.35">
      <c r="H36452" s="711"/>
      <c r="I36452" s="711"/>
      <c r="J36452" s="711"/>
      <c r="K36452" s="711"/>
      <c r="L36452" s="711"/>
      <c r="Q36452" s="11"/>
      <c r="R36452" s="11"/>
      <c r="S36452" s="11"/>
      <c r="T36452" s="11"/>
    </row>
    <row r="36453" spans="8:20" x14ac:dyDescent="0.35">
      <c r="H36453" s="711"/>
      <c r="I36453" s="711"/>
      <c r="J36453" s="711"/>
      <c r="K36453" s="711"/>
      <c r="L36453" s="711"/>
      <c r="Q36453" s="11"/>
      <c r="R36453" s="11"/>
      <c r="S36453" s="11"/>
      <c r="T36453" s="11"/>
    </row>
    <row r="36454" spans="8:20" x14ac:dyDescent="0.35">
      <c r="H36454" s="711"/>
      <c r="I36454" s="711"/>
      <c r="J36454" s="711"/>
      <c r="K36454" s="711"/>
      <c r="L36454" s="711"/>
      <c r="Q36454" s="11"/>
      <c r="R36454" s="11"/>
      <c r="S36454" s="11"/>
      <c r="T36454" s="11"/>
    </row>
    <row r="36455" spans="8:20" x14ac:dyDescent="0.35">
      <c r="H36455" s="711"/>
      <c r="I36455" s="711"/>
      <c r="J36455" s="711"/>
      <c r="K36455" s="711"/>
      <c r="L36455" s="711"/>
      <c r="Q36455" s="11"/>
      <c r="R36455" s="11"/>
      <c r="S36455" s="11"/>
      <c r="T36455" s="11"/>
    </row>
    <row r="36456" spans="8:20" x14ac:dyDescent="0.35">
      <c r="H36456" s="711"/>
      <c r="I36456" s="711"/>
      <c r="J36456" s="711"/>
      <c r="K36456" s="711"/>
      <c r="L36456" s="711"/>
      <c r="Q36456" s="11"/>
      <c r="R36456" s="11"/>
      <c r="S36456" s="11"/>
      <c r="T36456" s="11"/>
    </row>
    <row r="36457" spans="8:20" x14ac:dyDescent="0.35">
      <c r="H36457" s="711"/>
      <c r="I36457" s="711"/>
      <c r="J36457" s="711"/>
      <c r="K36457" s="711"/>
      <c r="L36457" s="711"/>
      <c r="Q36457" s="11"/>
      <c r="R36457" s="11"/>
      <c r="S36457" s="11"/>
      <c r="T36457" s="11"/>
    </row>
    <row r="36458" spans="8:20" x14ac:dyDescent="0.35">
      <c r="H36458" s="711"/>
      <c r="I36458" s="711"/>
      <c r="J36458" s="711"/>
      <c r="K36458" s="711"/>
      <c r="L36458" s="711"/>
      <c r="Q36458" s="11"/>
      <c r="R36458" s="11"/>
      <c r="S36458" s="11"/>
      <c r="T36458" s="11"/>
    </row>
    <row r="36459" spans="8:20" x14ac:dyDescent="0.35">
      <c r="H36459" s="711"/>
      <c r="I36459" s="711"/>
      <c r="J36459" s="711"/>
      <c r="K36459" s="711"/>
      <c r="L36459" s="711"/>
      <c r="Q36459" s="11"/>
      <c r="R36459" s="11"/>
      <c r="S36459" s="11"/>
      <c r="T36459" s="11"/>
    </row>
    <row r="36460" spans="8:20" x14ac:dyDescent="0.35">
      <c r="H36460" s="711"/>
      <c r="I36460" s="711"/>
      <c r="J36460" s="711"/>
      <c r="K36460" s="711"/>
      <c r="L36460" s="711"/>
      <c r="Q36460" s="11"/>
      <c r="R36460" s="11"/>
      <c r="S36460" s="11"/>
      <c r="T36460" s="11"/>
    </row>
    <row r="36461" spans="8:20" x14ac:dyDescent="0.35">
      <c r="H36461" s="711"/>
      <c r="I36461" s="711"/>
      <c r="J36461" s="711"/>
      <c r="K36461" s="711"/>
      <c r="L36461" s="711"/>
      <c r="Q36461" s="11"/>
      <c r="R36461" s="11"/>
      <c r="S36461" s="11"/>
      <c r="T36461" s="11"/>
    </row>
    <row r="36462" spans="8:20" x14ac:dyDescent="0.35">
      <c r="H36462" s="711"/>
      <c r="I36462" s="711"/>
      <c r="J36462" s="711"/>
      <c r="K36462" s="711"/>
      <c r="L36462" s="711"/>
      <c r="Q36462" s="11"/>
      <c r="R36462" s="11"/>
      <c r="S36462" s="11"/>
      <c r="T36462" s="11"/>
    </row>
    <row r="36463" spans="8:20" x14ac:dyDescent="0.35">
      <c r="H36463" s="711"/>
      <c r="I36463" s="711"/>
      <c r="J36463" s="711"/>
      <c r="K36463" s="711"/>
      <c r="L36463" s="711"/>
      <c r="Q36463" s="11"/>
      <c r="R36463" s="11"/>
      <c r="S36463" s="11"/>
      <c r="T36463" s="11"/>
    </row>
    <row r="36464" spans="8:20" x14ac:dyDescent="0.35">
      <c r="H36464" s="711"/>
      <c r="I36464" s="711"/>
      <c r="J36464" s="711"/>
      <c r="K36464" s="711"/>
      <c r="L36464" s="711"/>
      <c r="Q36464" s="11"/>
      <c r="R36464" s="11"/>
      <c r="S36464" s="11"/>
      <c r="T36464" s="11"/>
    </row>
    <row r="36465" spans="8:20" x14ac:dyDescent="0.35">
      <c r="H36465" s="711"/>
      <c r="I36465" s="711"/>
      <c r="J36465" s="711"/>
      <c r="K36465" s="711"/>
      <c r="L36465" s="711"/>
      <c r="Q36465" s="11"/>
      <c r="R36465" s="11"/>
      <c r="S36465" s="11"/>
      <c r="T36465" s="11"/>
    </row>
    <row r="36466" spans="8:20" x14ac:dyDescent="0.35">
      <c r="H36466" s="711"/>
      <c r="I36466" s="711"/>
      <c r="J36466" s="711"/>
      <c r="K36466" s="711"/>
      <c r="L36466" s="711"/>
      <c r="Q36466" s="11"/>
      <c r="R36466" s="11"/>
      <c r="S36466" s="11"/>
      <c r="T36466" s="11"/>
    </row>
    <row r="36467" spans="8:20" x14ac:dyDescent="0.35">
      <c r="H36467" s="711"/>
      <c r="I36467" s="711"/>
      <c r="J36467" s="711"/>
      <c r="K36467" s="711"/>
      <c r="L36467" s="711"/>
      <c r="Q36467" s="11"/>
      <c r="R36467" s="11"/>
      <c r="S36467" s="11"/>
      <c r="T36467" s="11"/>
    </row>
    <row r="36468" spans="8:20" x14ac:dyDescent="0.35">
      <c r="H36468" s="711"/>
      <c r="I36468" s="711"/>
      <c r="J36468" s="711"/>
      <c r="K36468" s="711"/>
      <c r="L36468" s="711"/>
      <c r="Q36468" s="11"/>
      <c r="R36468" s="11"/>
      <c r="S36468" s="11"/>
      <c r="T36468" s="11"/>
    </row>
    <row r="36469" spans="8:20" x14ac:dyDescent="0.35">
      <c r="H36469" s="711"/>
      <c r="I36469" s="711"/>
      <c r="J36469" s="711"/>
      <c r="K36469" s="711"/>
      <c r="L36469" s="711"/>
      <c r="Q36469" s="11"/>
      <c r="R36469" s="11"/>
      <c r="S36469" s="11"/>
      <c r="T36469" s="11"/>
    </row>
    <row r="36470" spans="8:20" x14ac:dyDescent="0.35">
      <c r="H36470" s="711"/>
      <c r="I36470" s="711"/>
      <c r="J36470" s="711"/>
      <c r="K36470" s="711"/>
      <c r="L36470" s="711"/>
      <c r="Q36470" s="11"/>
      <c r="R36470" s="11"/>
      <c r="S36470" s="11"/>
      <c r="T36470" s="11"/>
    </row>
    <row r="36471" spans="8:20" x14ac:dyDescent="0.35">
      <c r="H36471" s="711"/>
      <c r="I36471" s="711"/>
      <c r="J36471" s="711"/>
      <c r="K36471" s="711"/>
      <c r="L36471" s="711"/>
      <c r="Q36471" s="11"/>
      <c r="R36471" s="11"/>
      <c r="S36471" s="11"/>
      <c r="T36471" s="11"/>
    </row>
    <row r="36472" spans="8:20" x14ac:dyDescent="0.35">
      <c r="H36472" s="711"/>
      <c r="I36472" s="711"/>
      <c r="J36472" s="711"/>
      <c r="K36472" s="711"/>
      <c r="L36472" s="711"/>
      <c r="Q36472" s="11"/>
      <c r="R36472" s="11"/>
      <c r="S36472" s="11"/>
      <c r="T36472" s="11"/>
    </row>
    <row r="36473" spans="8:20" x14ac:dyDescent="0.35">
      <c r="H36473" s="711"/>
      <c r="I36473" s="711"/>
      <c r="J36473" s="711"/>
      <c r="K36473" s="711"/>
      <c r="L36473" s="711"/>
      <c r="Q36473" s="11"/>
      <c r="R36473" s="11"/>
      <c r="S36473" s="11"/>
      <c r="T36473" s="11"/>
    </row>
    <row r="36474" spans="8:20" x14ac:dyDescent="0.35">
      <c r="H36474" s="711"/>
      <c r="I36474" s="711"/>
      <c r="J36474" s="711"/>
      <c r="K36474" s="711"/>
      <c r="L36474" s="711"/>
      <c r="Q36474" s="11"/>
      <c r="R36474" s="11"/>
      <c r="S36474" s="11"/>
      <c r="T36474" s="11"/>
    </row>
    <row r="36475" spans="8:20" x14ac:dyDescent="0.35">
      <c r="H36475" s="711"/>
      <c r="I36475" s="711"/>
      <c r="J36475" s="711"/>
      <c r="K36475" s="711"/>
      <c r="L36475" s="711"/>
      <c r="Q36475" s="11"/>
      <c r="R36475" s="11"/>
      <c r="S36475" s="11"/>
      <c r="T36475" s="11"/>
    </row>
    <row r="36476" spans="8:20" x14ac:dyDescent="0.35">
      <c r="H36476" s="711"/>
      <c r="I36476" s="711"/>
      <c r="J36476" s="711"/>
      <c r="K36476" s="711"/>
      <c r="L36476" s="711"/>
      <c r="Q36476" s="11"/>
      <c r="R36476" s="11"/>
      <c r="S36476" s="11"/>
      <c r="T36476" s="11"/>
    </row>
    <row r="36477" spans="8:20" x14ac:dyDescent="0.35">
      <c r="H36477" s="711"/>
      <c r="I36477" s="711"/>
      <c r="J36477" s="711"/>
      <c r="K36477" s="711"/>
      <c r="L36477" s="711"/>
      <c r="Q36477" s="11"/>
      <c r="R36477" s="11"/>
      <c r="S36477" s="11"/>
      <c r="T36477" s="11"/>
    </row>
    <row r="36478" spans="8:20" x14ac:dyDescent="0.35">
      <c r="H36478" s="711"/>
      <c r="I36478" s="711"/>
      <c r="J36478" s="711"/>
      <c r="K36478" s="711"/>
      <c r="L36478" s="711"/>
      <c r="Q36478" s="11"/>
      <c r="R36478" s="11"/>
      <c r="S36478" s="11"/>
      <c r="T36478" s="11"/>
    </row>
    <row r="36479" spans="8:20" x14ac:dyDescent="0.35">
      <c r="H36479" s="711"/>
      <c r="I36479" s="711"/>
      <c r="J36479" s="711"/>
      <c r="K36479" s="711"/>
      <c r="L36479" s="711"/>
      <c r="Q36479" s="11"/>
      <c r="R36479" s="11"/>
      <c r="S36479" s="11"/>
      <c r="T36479" s="11"/>
    </row>
    <row r="36480" spans="8:20" x14ac:dyDescent="0.35">
      <c r="H36480" s="711"/>
      <c r="I36480" s="711"/>
      <c r="J36480" s="711"/>
      <c r="K36480" s="711"/>
      <c r="L36480" s="711"/>
      <c r="Q36480" s="11"/>
      <c r="R36480" s="11"/>
      <c r="S36480" s="11"/>
      <c r="T36480" s="11"/>
    </row>
    <row r="36481" spans="8:20" x14ac:dyDescent="0.35">
      <c r="H36481" s="711"/>
      <c r="I36481" s="711"/>
      <c r="J36481" s="711"/>
      <c r="K36481" s="711"/>
      <c r="L36481" s="711"/>
      <c r="Q36481" s="11"/>
      <c r="R36481" s="11"/>
      <c r="S36481" s="11"/>
      <c r="T36481" s="11"/>
    </row>
    <row r="36482" spans="8:20" x14ac:dyDescent="0.35">
      <c r="H36482" s="711"/>
      <c r="I36482" s="711"/>
      <c r="J36482" s="711"/>
      <c r="K36482" s="711"/>
      <c r="L36482" s="711"/>
      <c r="Q36482" s="11"/>
      <c r="R36482" s="11"/>
      <c r="S36482" s="11"/>
      <c r="T36482" s="11"/>
    </row>
    <row r="36483" spans="8:20" x14ac:dyDescent="0.35">
      <c r="H36483" s="711"/>
      <c r="I36483" s="711"/>
      <c r="J36483" s="711"/>
      <c r="K36483" s="711"/>
      <c r="L36483" s="711"/>
      <c r="Q36483" s="11"/>
      <c r="R36483" s="11"/>
      <c r="S36483" s="11"/>
      <c r="T36483" s="11"/>
    </row>
    <row r="36484" spans="8:20" x14ac:dyDescent="0.35">
      <c r="H36484" s="711"/>
      <c r="I36484" s="711"/>
      <c r="J36484" s="711"/>
      <c r="K36484" s="711"/>
      <c r="L36484" s="711"/>
      <c r="Q36484" s="11"/>
      <c r="R36484" s="11"/>
      <c r="S36484" s="11"/>
      <c r="T36484" s="11"/>
    </row>
    <row r="36485" spans="8:20" x14ac:dyDescent="0.35">
      <c r="H36485" s="711"/>
      <c r="I36485" s="711"/>
      <c r="J36485" s="711"/>
      <c r="K36485" s="711"/>
      <c r="L36485" s="711"/>
      <c r="Q36485" s="11"/>
      <c r="R36485" s="11"/>
      <c r="S36485" s="11"/>
      <c r="T36485" s="11"/>
    </row>
    <row r="36486" spans="8:20" x14ac:dyDescent="0.35">
      <c r="H36486" s="711"/>
      <c r="I36486" s="711"/>
      <c r="J36486" s="711"/>
      <c r="K36486" s="711"/>
      <c r="L36486" s="711"/>
      <c r="Q36486" s="11"/>
      <c r="R36486" s="11"/>
      <c r="S36486" s="11"/>
      <c r="T36486" s="11"/>
    </row>
    <row r="36487" spans="8:20" x14ac:dyDescent="0.35">
      <c r="H36487" s="711"/>
      <c r="I36487" s="711"/>
      <c r="J36487" s="711"/>
      <c r="K36487" s="711"/>
      <c r="L36487" s="711"/>
      <c r="Q36487" s="11"/>
      <c r="R36487" s="11"/>
      <c r="S36487" s="11"/>
      <c r="T36487" s="11"/>
    </row>
    <row r="36488" spans="8:20" x14ac:dyDescent="0.35">
      <c r="H36488" s="711"/>
      <c r="I36488" s="711"/>
      <c r="J36488" s="711"/>
      <c r="K36488" s="711"/>
      <c r="L36488" s="711"/>
      <c r="Q36488" s="11"/>
      <c r="R36488" s="11"/>
      <c r="S36488" s="11"/>
      <c r="T36488" s="11"/>
    </row>
    <row r="36489" spans="8:20" x14ac:dyDescent="0.35">
      <c r="H36489" s="711"/>
      <c r="I36489" s="711"/>
      <c r="J36489" s="711"/>
      <c r="K36489" s="711"/>
      <c r="L36489" s="711"/>
      <c r="Q36489" s="11"/>
      <c r="R36489" s="11"/>
      <c r="S36489" s="11"/>
      <c r="T36489" s="11"/>
    </row>
    <row r="36490" spans="8:20" x14ac:dyDescent="0.35">
      <c r="H36490" s="711"/>
      <c r="I36490" s="711"/>
      <c r="J36490" s="711"/>
      <c r="K36490" s="711"/>
      <c r="L36490" s="711"/>
      <c r="Q36490" s="11"/>
      <c r="R36490" s="11"/>
      <c r="S36490" s="11"/>
      <c r="T36490" s="11"/>
    </row>
    <row r="36491" spans="8:20" x14ac:dyDescent="0.35">
      <c r="H36491" s="711"/>
      <c r="I36491" s="711"/>
      <c r="J36491" s="711"/>
      <c r="K36491" s="711"/>
      <c r="L36491" s="711"/>
      <c r="Q36491" s="11"/>
      <c r="R36491" s="11"/>
      <c r="S36491" s="11"/>
      <c r="T36491" s="11"/>
    </row>
    <row r="36492" spans="8:20" x14ac:dyDescent="0.35">
      <c r="H36492" s="711"/>
      <c r="I36492" s="711"/>
      <c r="J36492" s="711"/>
      <c r="K36492" s="711"/>
      <c r="L36492" s="711"/>
      <c r="Q36492" s="11"/>
      <c r="R36492" s="11"/>
      <c r="S36492" s="11"/>
      <c r="T36492" s="11"/>
    </row>
    <row r="36493" spans="8:20" x14ac:dyDescent="0.35">
      <c r="H36493" s="711"/>
      <c r="I36493" s="711"/>
      <c r="J36493" s="711"/>
      <c r="K36493" s="711"/>
      <c r="L36493" s="711"/>
      <c r="Q36493" s="11"/>
      <c r="R36493" s="11"/>
      <c r="S36493" s="11"/>
      <c r="T36493" s="11"/>
    </row>
    <row r="36494" spans="8:20" x14ac:dyDescent="0.35">
      <c r="H36494" s="711"/>
      <c r="I36494" s="711"/>
      <c r="J36494" s="711"/>
      <c r="K36494" s="711"/>
      <c r="L36494" s="711"/>
      <c r="Q36494" s="11"/>
      <c r="R36494" s="11"/>
      <c r="S36494" s="11"/>
      <c r="T36494" s="11"/>
    </row>
    <row r="36495" spans="8:20" x14ac:dyDescent="0.35">
      <c r="H36495" s="711"/>
      <c r="I36495" s="711"/>
      <c r="J36495" s="711"/>
      <c r="K36495" s="711"/>
      <c r="L36495" s="711"/>
      <c r="Q36495" s="11"/>
      <c r="R36495" s="11"/>
      <c r="S36495" s="11"/>
      <c r="T36495" s="11"/>
    </row>
    <row r="36496" spans="8:20" x14ac:dyDescent="0.35">
      <c r="H36496" s="711"/>
      <c r="I36496" s="711"/>
      <c r="J36496" s="711"/>
      <c r="K36496" s="711"/>
      <c r="L36496" s="711"/>
      <c r="Q36496" s="11"/>
      <c r="R36496" s="11"/>
      <c r="S36496" s="11"/>
      <c r="T36496" s="11"/>
    </row>
    <row r="36497" spans="8:20" x14ac:dyDescent="0.35">
      <c r="H36497" s="711"/>
      <c r="I36497" s="711"/>
      <c r="J36497" s="711"/>
      <c r="K36497" s="711"/>
      <c r="L36497" s="711"/>
      <c r="Q36497" s="11"/>
      <c r="R36497" s="11"/>
      <c r="S36497" s="11"/>
      <c r="T36497" s="11"/>
    </row>
    <row r="36498" spans="8:20" x14ac:dyDescent="0.35">
      <c r="H36498" s="711"/>
      <c r="I36498" s="711"/>
      <c r="J36498" s="711"/>
      <c r="K36498" s="711"/>
      <c r="L36498" s="711"/>
      <c r="Q36498" s="11"/>
      <c r="R36498" s="11"/>
      <c r="S36498" s="11"/>
      <c r="T36498" s="11"/>
    </row>
    <row r="36499" spans="8:20" x14ac:dyDescent="0.35">
      <c r="H36499" s="711"/>
      <c r="I36499" s="711"/>
      <c r="J36499" s="711"/>
      <c r="K36499" s="711"/>
      <c r="L36499" s="711"/>
      <c r="Q36499" s="11"/>
      <c r="R36499" s="11"/>
      <c r="S36499" s="11"/>
      <c r="T36499" s="11"/>
    </row>
    <row r="36500" spans="8:20" x14ac:dyDescent="0.35">
      <c r="H36500" s="711"/>
      <c r="I36500" s="711"/>
      <c r="J36500" s="711"/>
      <c r="K36500" s="711"/>
      <c r="L36500" s="711"/>
      <c r="Q36500" s="11"/>
      <c r="R36500" s="11"/>
      <c r="S36500" s="11"/>
      <c r="T36500" s="11"/>
    </row>
    <row r="36501" spans="8:20" x14ac:dyDescent="0.35">
      <c r="H36501" s="711"/>
      <c r="I36501" s="711"/>
      <c r="J36501" s="711"/>
      <c r="K36501" s="711"/>
      <c r="L36501" s="711"/>
      <c r="Q36501" s="11"/>
      <c r="R36501" s="11"/>
      <c r="S36501" s="11"/>
      <c r="T36501" s="11"/>
    </row>
    <row r="36502" spans="8:20" x14ac:dyDescent="0.35">
      <c r="H36502" s="711"/>
      <c r="I36502" s="711"/>
      <c r="J36502" s="711"/>
      <c r="K36502" s="711"/>
      <c r="L36502" s="711"/>
      <c r="Q36502" s="11"/>
      <c r="R36502" s="11"/>
      <c r="S36502" s="11"/>
      <c r="T36502" s="11"/>
    </row>
    <row r="36503" spans="8:20" x14ac:dyDescent="0.35">
      <c r="H36503" s="711"/>
      <c r="I36503" s="711"/>
      <c r="J36503" s="711"/>
      <c r="K36503" s="711"/>
      <c r="L36503" s="711"/>
      <c r="Q36503" s="11"/>
      <c r="R36503" s="11"/>
      <c r="S36503" s="11"/>
      <c r="T36503" s="11"/>
    </row>
    <row r="36504" spans="8:20" x14ac:dyDescent="0.35">
      <c r="H36504" s="711"/>
      <c r="I36504" s="711"/>
      <c r="J36504" s="711"/>
      <c r="K36504" s="711"/>
      <c r="L36504" s="711"/>
      <c r="Q36504" s="11"/>
      <c r="R36504" s="11"/>
      <c r="S36504" s="11"/>
      <c r="T36504" s="11"/>
    </row>
    <row r="36505" spans="8:20" x14ac:dyDescent="0.35">
      <c r="H36505" s="711"/>
      <c r="I36505" s="711"/>
      <c r="J36505" s="711"/>
      <c r="K36505" s="711"/>
      <c r="L36505" s="711"/>
      <c r="Q36505" s="11"/>
      <c r="R36505" s="11"/>
      <c r="S36505" s="11"/>
      <c r="T36505" s="11"/>
    </row>
    <row r="36506" spans="8:20" x14ac:dyDescent="0.35">
      <c r="H36506" s="711"/>
      <c r="I36506" s="711"/>
      <c r="J36506" s="711"/>
      <c r="K36506" s="711"/>
      <c r="L36506" s="711"/>
      <c r="Q36506" s="11"/>
      <c r="R36506" s="11"/>
      <c r="S36506" s="11"/>
      <c r="T36506" s="11"/>
    </row>
    <row r="36507" spans="8:20" x14ac:dyDescent="0.35">
      <c r="H36507" s="711"/>
      <c r="I36507" s="711"/>
      <c r="J36507" s="711"/>
      <c r="K36507" s="711"/>
      <c r="L36507" s="711"/>
      <c r="Q36507" s="11"/>
      <c r="R36507" s="11"/>
      <c r="S36507" s="11"/>
      <c r="T36507" s="11"/>
    </row>
    <row r="36508" spans="8:20" x14ac:dyDescent="0.35">
      <c r="H36508" s="711"/>
      <c r="I36508" s="711"/>
      <c r="J36508" s="711"/>
      <c r="K36508" s="711"/>
      <c r="L36508" s="711"/>
      <c r="Q36508" s="11"/>
      <c r="R36508" s="11"/>
      <c r="S36508" s="11"/>
      <c r="T36508" s="11"/>
    </row>
    <row r="36509" spans="8:20" x14ac:dyDescent="0.35">
      <c r="H36509" s="711"/>
      <c r="I36509" s="711"/>
      <c r="J36509" s="711"/>
      <c r="K36509" s="711"/>
      <c r="L36509" s="711"/>
      <c r="Q36509" s="11"/>
      <c r="R36509" s="11"/>
      <c r="S36509" s="11"/>
      <c r="T36509" s="11"/>
    </row>
    <row r="36510" spans="8:20" x14ac:dyDescent="0.35">
      <c r="H36510" s="711"/>
      <c r="I36510" s="711"/>
      <c r="J36510" s="711"/>
      <c r="K36510" s="711"/>
      <c r="L36510" s="711"/>
      <c r="Q36510" s="11"/>
      <c r="R36510" s="11"/>
      <c r="S36510" s="11"/>
      <c r="T36510" s="11"/>
    </row>
    <row r="36511" spans="8:20" x14ac:dyDescent="0.35">
      <c r="H36511" s="711"/>
      <c r="I36511" s="711"/>
      <c r="J36511" s="711"/>
      <c r="K36511" s="711"/>
      <c r="L36511" s="711"/>
      <c r="Q36511" s="11"/>
      <c r="R36511" s="11"/>
      <c r="S36511" s="11"/>
      <c r="T36511" s="11"/>
    </row>
    <row r="36512" spans="8:20" x14ac:dyDescent="0.35">
      <c r="H36512" s="711"/>
      <c r="I36512" s="711"/>
      <c r="J36512" s="711"/>
      <c r="K36512" s="711"/>
      <c r="L36512" s="711"/>
      <c r="Q36512" s="11"/>
      <c r="R36512" s="11"/>
      <c r="S36512" s="11"/>
      <c r="T36512" s="11"/>
    </row>
    <row r="36513" spans="8:20" x14ac:dyDescent="0.35">
      <c r="H36513" s="711"/>
      <c r="I36513" s="711"/>
      <c r="J36513" s="711"/>
      <c r="K36513" s="711"/>
      <c r="L36513" s="711"/>
      <c r="Q36513" s="11"/>
      <c r="R36513" s="11"/>
      <c r="S36513" s="11"/>
      <c r="T36513" s="11"/>
    </row>
    <row r="36514" spans="8:20" x14ac:dyDescent="0.35">
      <c r="H36514" s="711"/>
      <c r="I36514" s="711"/>
      <c r="J36514" s="711"/>
      <c r="K36514" s="711"/>
      <c r="L36514" s="711"/>
      <c r="Q36514" s="11"/>
      <c r="R36514" s="11"/>
      <c r="S36514" s="11"/>
      <c r="T36514" s="11"/>
    </row>
    <row r="36515" spans="8:20" x14ac:dyDescent="0.35">
      <c r="H36515" s="711"/>
      <c r="I36515" s="711"/>
      <c r="J36515" s="711"/>
      <c r="K36515" s="711"/>
      <c r="L36515" s="711"/>
      <c r="Q36515" s="11"/>
      <c r="R36515" s="11"/>
      <c r="S36515" s="11"/>
      <c r="T36515" s="11"/>
    </row>
    <row r="36516" spans="8:20" x14ac:dyDescent="0.35">
      <c r="H36516" s="711"/>
      <c r="I36516" s="711"/>
      <c r="J36516" s="711"/>
      <c r="K36516" s="711"/>
      <c r="L36516" s="711"/>
      <c r="Q36516" s="11"/>
      <c r="R36516" s="11"/>
      <c r="S36516" s="11"/>
      <c r="T36516" s="11"/>
    </row>
    <row r="36517" spans="8:20" x14ac:dyDescent="0.35">
      <c r="H36517" s="711"/>
      <c r="I36517" s="711"/>
      <c r="J36517" s="711"/>
      <c r="K36517" s="711"/>
      <c r="L36517" s="711"/>
      <c r="Q36517" s="11"/>
      <c r="R36517" s="11"/>
      <c r="S36517" s="11"/>
      <c r="T36517" s="11"/>
    </row>
    <row r="36518" spans="8:20" x14ac:dyDescent="0.35">
      <c r="H36518" s="711"/>
      <c r="I36518" s="711"/>
      <c r="J36518" s="711"/>
      <c r="K36518" s="711"/>
      <c r="L36518" s="711"/>
      <c r="Q36518" s="11"/>
      <c r="R36518" s="11"/>
      <c r="S36518" s="11"/>
      <c r="T36518" s="11"/>
    </row>
    <row r="36519" spans="8:20" x14ac:dyDescent="0.35">
      <c r="H36519" s="711"/>
      <c r="I36519" s="711"/>
      <c r="J36519" s="711"/>
      <c r="K36519" s="711"/>
      <c r="L36519" s="711"/>
      <c r="Q36519" s="11"/>
      <c r="R36519" s="11"/>
      <c r="S36519" s="11"/>
      <c r="T36519" s="11"/>
    </row>
    <row r="36520" spans="8:20" x14ac:dyDescent="0.35">
      <c r="H36520" s="711"/>
      <c r="I36520" s="711"/>
      <c r="J36520" s="711"/>
      <c r="K36520" s="711"/>
      <c r="L36520" s="711"/>
      <c r="Q36520" s="11"/>
      <c r="R36520" s="11"/>
      <c r="S36520" s="11"/>
      <c r="T36520" s="11"/>
    </row>
    <row r="36521" spans="8:20" x14ac:dyDescent="0.35">
      <c r="H36521" s="711"/>
      <c r="I36521" s="711"/>
      <c r="J36521" s="711"/>
      <c r="K36521" s="711"/>
      <c r="L36521" s="711"/>
      <c r="Q36521" s="11"/>
      <c r="R36521" s="11"/>
      <c r="S36521" s="11"/>
      <c r="T36521" s="11"/>
    </row>
    <row r="36522" spans="8:20" x14ac:dyDescent="0.35">
      <c r="H36522" s="711"/>
      <c r="I36522" s="711"/>
      <c r="J36522" s="711"/>
      <c r="K36522" s="711"/>
      <c r="L36522" s="711"/>
      <c r="Q36522" s="11"/>
      <c r="R36522" s="11"/>
      <c r="S36522" s="11"/>
      <c r="T36522" s="11"/>
    </row>
    <row r="36523" spans="8:20" x14ac:dyDescent="0.35">
      <c r="H36523" s="711"/>
      <c r="I36523" s="711"/>
      <c r="J36523" s="711"/>
      <c r="K36523" s="711"/>
      <c r="L36523" s="711"/>
      <c r="Q36523" s="11"/>
      <c r="R36523" s="11"/>
      <c r="S36523" s="11"/>
      <c r="T36523" s="11"/>
    </row>
    <row r="36524" spans="8:20" x14ac:dyDescent="0.35">
      <c r="H36524" s="711"/>
      <c r="I36524" s="711"/>
      <c r="J36524" s="711"/>
      <c r="K36524" s="711"/>
      <c r="L36524" s="711"/>
      <c r="Q36524" s="11"/>
      <c r="R36524" s="11"/>
      <c r="S36524" s="11"/>
      <c r="T36524" s="11"/>
    </row>
    <row r="36525" spans="8:20" x14ac:dyDescent="0.35">
      <c r="H36525" s="711"/>
      <c r="I36525" s="711"/>
      <c r="J36525" s="711"/>
      <c r="K36525" s="711"/>
      <c r="L36525" s="711"/>
      <c r="Q36525" s="11"/>
      <c r="R36525" s="11"/>
      <c r="S36525" s="11"/>
      <c r="T36525" s="11"/>
    </row>
    <row r="36526" spans="8:20" x14ac:dyDescent="0.35">
      <c r="H36526" s="711"/>
      <c r="I36526" s="711"/>
      <c r="J36526" s="711"/>
      <c r="K36526" s="711"/>
      <c r="L36526" s="711"/>
      <c r="Q36526" s="11"/>
      <c r="R36526" s="11"/>
      <c r="S36526" s="11"/>
      <c r="T36526" s="11"/>
    </row>
    <row r="36527" spans="8:20" x14ac:dyDescent="0.35">
      <c r="H36527" s="711"/>
      <c r="I36527" s="711"/>
      <c r="J36527" s="711"/>
      <c r="K36527" s="711"/>
      <c r="L36527" s="711"/>
      <c r="Q36527" s="11"/>
      <c r="R36527" s="11"/>
      <c r="S36527" s="11"/>
      <c r="T36527" s="11"/>
    </row>
    <row r="36528" spans="8:20" x14ac:dyDescent="0.35">
      <c r="H36528" s="711"/>
      <c r="I36528" s="711"/>
      <c r="J36528" s="711"/>
      <c r="K36528" s="711"/>
      <c r="L36528" s="711"/>
      <c r="Q36528" s="11"/>
      <c r="R36528" s="11"/>
      <c r="S36528" s="11"/>
      <c r="T36528" s="11"/>
    </row>
    <row r="36529" spans="8:20" x14ac:dyDescent="0.35">
      <c r="H36529" s="711"/>
      <c r="I36529" s="711"/>
      <c r="J36529" s="711"/>
      <c r="K36529" s="711"/>
      <c r="L36529" s="711"/>
      <c r="Q36529" s="11"/>
      <c r="R36529" s="11"/>
      <c r="S36529" s="11"/>
      <c r="T36529" s="11"/>
    </row>
    <row r="36530" spans="8:20" x14ac:dyDescent="0.35">
      <c r="H36530" s="711"/>
      <c r="I36530" s="711"/>
      <c r="J36530" s="711"/>
      <c r="K36530" s="711"/>
      <c r="L36530" s="711"/>
      <c r="Q36530" s="11"/>
      <c r="R36530" s="11"/>
      <c r="S36530" s="11"/>
      <c r="T36530" s="11"/>
    </row>
    <row r="36531" spans="8:20" x14ac:dyDescent="0.35">
      <c r="H36531" s="711"/>
      <c r="I36531" s="711"/>
      <c r="J36531" s="711"/>
      <c r="K36531" s="711"/>
      <c r="L36531" s="711"/>
      <c r="Q36531" s="11"/>
      <c r="R36531" s="11"/>
      <c r="S36531" s="11"/>
      <c r="T36531" s="11"/>
    </row>
    <row r="36532" spans="8:20" x14ac:dyDescent="0.35">
      <c r="H36532" s="711"/>
      <c r="I36532" s="711"/>
      <c r="J36532" s="711"/>
      <c r="K36532" s="711"/>
      <c r="L36532" s="711"/>
      <c r="Q36532" s="11"/>
      <c r="R36532" s="11"/>
      <c r="S36532" s="11"/>
      <c r="T36532" s="11"/>
    </row>
    <row r="36533" spans="8:20" x14ac:dyDescent="0.35">
      <c r="H36533" s="711"/>
      <c r="I36533" s="711"/>
      <c r="J36533" s="711"/>
      <c r="K36533" s="711"/>
      <c r="L36533" s="711"/>
      <c r="Q36533" s="11"/>
      <c r="R36533" s="11"/>
      <c r="S36533" s="11"/>
      <c r="T36533" s="11"/>
    </row>
    <row r="36534" spans="8:20" x14ac:dyDescent="0.35">
      <c r="H36534" s="711"/>
      <c r="I36534" s="711"/>
      <c r="J36534" s="711"/>
      <c r="K36534" s="711"/>
      <c r="L36534" s="711"/>
      <c r="Q36534" s="11"/>
      <c r="R36534" s="11"/>
      <c r="S36534" s="11"/>
      <c r="T36534" s="11"/>
    </row>
    <row r="36535" spans="8:20" x14ac:dyDescent="0.35">
      <c r="H36535" s="711"/>
      <c r="I36535" s="711"/>
      <c r="J36535" s="711"/>
      <c r="K36535" s="711"/>
      <c r="L36535" s="711"/>
      <c r="Q36535" s="11"/>
      <c r="R36535" s="11"/>
      <c r="S36535" s="11"/>
      <c r="T36535" s="11"/>
    </row>
    <row r="36536" spans="8:20" x14ac:dyDescent="0.35">
      <c r="H36536" s="711"/>
      <c r="I36536" s="711"/>
      <c r="J36536" s="711"/>
      <c r="K36536" s="711"/>
      <c r="L36536" s="711"/>
      <c r="Q36536" s="11"/>
      <c r="R36536" s="11"/>
      <c r="S36536" s="11"/>
      <c r="T36536" s="11"/>
    </row>
    <row r="36537" spans="8:20" x14ac:dyDescent="0.35">
      <c r="H36537" s="711"/>
      <c r="I36537" s="711"/>
      <c r="J36537" s="711"/>
      <c r="K36537" s="711"/>
      <c r="L36537" s="711"/>
      <c r="Q36537" s="11"/>
      <c r="R36537" s="11"/>
      <c r="S36537" s="11"/>
      <c r="T36537" s="11"/>
    </row>
    <row r="36538" spans="8:20" x14ac:dyDescent="0.35">
      <c r="H36538" s="711"/>
      <c r="I36538" s="711"/>
      <c r="J36538" s="711"/>
      <c r="K36538" s="711"/>
      <c r="L36538" s="711"/>
      <c r="Q36538" s="11"/>
      <c r="R36538" s="11"/>
      <c r="S36538" s="11"/>
      <c r="T36538" s="11"/>
    </row>
    <row r="36539" spans="8:20" x14ac:dyDescent="0.35">
      <c r="H36539" s="711"/>
      <c r="I36539" s="711"/>
      <c r="J36539" s="711"/>
      <c r="K36539" s="711"/>
      <c r="L36539" s="711"/>
      <c r="Q36539" s="11"/>
      <c r="R36539" s="11"/>
      <c r="S36539" s="11"/>
      <c r="T36539" s="11"/>
    </row>
    <row r="36540" spans="8:20" x14ac:dyDescent="0.35">
      <c r="H36540" s="711"/>
      <c r="I36540" s="711"/>
      <c r="J36540" s="711"/>
      <c r="K36540" s="711"/>
      <c r="L36540" s="711"/>
      <c r="Q36540" s="11"/>
      <c r="R36540" s="11"/>
      <c r="S36540" s="11"/>
      <c r="T36540" s="11"/>
    </row>
    <row r="36541" spans="8:20" x14ac:dyDescent="0.35">
      <c r="H36541" s="711"/>
      <c r="I36541" s="711"/>
      <c r="J36541" s="711"/>
      <c r="K36541" s="711"/>
      <c r="L36541" s="711"/>
      <c r="Q36541" s="11"/>
      <c r="R36541" s="11"/>
      <c r="S36541" s="11"/>
      <c r="T36541" s="11"/>
    </row>
    <row r="36542" spans="8:20" x14ac:dyDescent="0.35">
      <c r="H36542" s="711"/>
      <c r="I36542" s="711"/>
      <c r="J36542" s="711"/>
      <c r="K36542" s="711"/>
      <c r="L36542" s="711"/>
      <c r="Q36542" s="11"/>
      <c r="R36542" s="11"/>
      <c r="S36542" s="11"/>
      <c r="T36542" s="11"/>
    </row>
    <row r="36543" spans="8:20" x14ac:dyDescent="0.35">
      <c r="H36543" s="711"/>
      <c r="I36543" s="711"/>
      <c r="J36543" s="711"/>
      <c r="K36543" s="711"/>
      <c r="L36543" s="711"/>
      <c r="Q36543" s="11"/>
      <c r="R36543" s="11"/>
      <c r="S36543" s="11"/>
      <c r="T36543" s="11"/>
    </row>
    <row r="36544" spans="8:20" x14ac:dyDescent="0.35">
      <c r="H36544" s="711"/>
      <c r="I36544" s="711"/>
      <c r="J36544" s="711"/>
      <c r="K36544" s="711"/>
      <c r="L36544" s="711"/>
      <c r="Q36544" s="11"/>
      <c r="R36544" s="11"/>
      <c r="S36544" s="11"/>
      <c r="T36544" s="11"/>
    </row>
    <row r="36545" spans="8:20" x14ac:dyDescent="0.35">
      <c r="H36545" s="711"/>
      <c r="I36545" s="711"/>
      <c r="J36545" s="711"/>
      <c r="K36545" s="711"/>
      <c r="L36545" s="711"/>
      <c r="Q36545" s="11"/>
      <c r="R36545" s="11"/>
      <c r="S36545" s="11"/>
      <c r="T36545" s="11"/>
    </row>
    <row r="36546" spans="8:20" x14ac:dyDescent="0.35">
      <c r="H36546" s="711"/>
      <c r="I36546" s="711"/>
      <c r="J36546" s="711"/>
      <c r="K36546" s="711"/>
      <c r="L36546" s="711"/>
      <c r="Q36546" s="11"/>
      <c r="R36546" s="11"/>
      <c r="S36546" s="11"/>
      <c r="T36546" s="11"/>
    </row>
    <row r="36547" spans="8:20" x14ac:dyDescent="0.35">
      <c r="H36547" s="711"/>
      <c r="I36547" s="711"/>
      <c r="J36547" s="711"/>
      <c r="K36547" s="711"/>
      <c r="L36547" s="711"/>
      <c r="Q36547" s="11"/>
      <c r="R36547" s="11"/>
      <c r="S36547" s="11"/>
      <c r="T36547" s="11"/>
    </row>
    <row r="36548" spans="8:20" x14ac:dyDescent="0.35">
      <c r="H36548" s="711"/>
      <c r="I36548" s="711"/>
      <c r="J36548" s="711"/>
      <c r="K36548" s="711"/>
      <c r="L36548" s="711"/>
      <c r="Q36548" s="11"/>
      <c r="R36548" s="11"/>
      <c r="S36548" s="11"/>
      <c r="T36548" s="11"/>
    </row>
    <row r="36549" spans="8:20" x14ac:dyDescent="0.35">
      <c r="H36549" s="711"/>
      <c r="I36549" s="711"/>
      <c r="J36549" s="711"/>
      <c r="K36549" s="711"/>
      <c r="L36549" s="711"/>
      <c r="Q36549" s="11"/>
      <c r="R36549" s="11"/>
      <c r="S36549" s="11"/>
      <c r="T36549" s="11"/>
    </row>
    <row r="36550" spans="8:20" x14ac:dyDescent="0.35">
      <c r="H36550" s="711"/>
      <c r="I36550" s="711"/>
      <c r="J36550" s="711"/>
      <c r="K36550" s="711"/>
      <c r="L36550" s="711"/>
      <c r="Q36550" s="11"/>
      <c r="R36550" s="11"/>
      <c r="S36550" s="11"/>
      <c r="T36550" s="11"/>
    </row>
    <row r="36551" spans="8:20" x14ac:dyDescent="0.35">
      <c r="H36551" s="711"/>
      <c r="I36551" s="711"/>
      <c r="J36551" s="711"/>
      <c r="K36551" s="711"/>
      <c r="L36551" s="711"/>
      <c r="Q36551" s="11"/>
      <c r="R36551" s="11"/>
      <c r="S36551" s="11"/>
      <c r="T36551" s="11"/>
    </row>
    <row r="36552" spans="8:20" x14ac:dyDescent="0.35">
      <c r="H36552" s="711"/>
      <c r="I36552" s="711"/>
      <c r="J36552" s="711"/>
      <c r="K36552" s="711"/>
      <c r="L36552" s="711"/>
      <c r="Q36552" s="11"/>
      <c r="R36552" s="11"/>
      <c r="S36552" s="11"/>
      <c r="T36552" s="11"/>
    </row>
    <row r="36553" spans="8:20" x14ac:dyDescent="0.35">
      <c r="H36553" s="711"/>
      <c r="I36553" s="711"/>
      <c r="J36553" s="711"/>
      <c r="K36553" s="711"/>
      <c r="L36553" s="711"/>
      <c r="Q36553" s="11"/>
      <c r="R36553" s="11"/>
      <c r="S36553" s="11"/>
      <c r="T36553" s="11"/>
    </row>
    <row r="36554" spans="8:20" x14ac:dyDescent="0.35">
      <c r="H36554" s="711"/>
      <c r="I36554" s="711"/>
      <c r="J36554" s="711"/>
      <c r="K36554" s="711"/>
      <c r="L36554" s="711"/>
      <c r="Q36554" s="11"/>
      <c r="R36554" s="11"/>
      <c r="S36554" s="11"/>
      <c r="T36554" s="11"/>
    </row>
    <row r="36555" spans="8:20" x14ac:dyDescent="0.35">
      <c r="H36555" s="711"/>
      <c r="I36555" s="711"/>
      <c r="J36555" s="711"/>
      <c r="K36555" s="711"/>
      <c r="L36555" s="711"/>
      <c r="Q36555" s="11"/>
      <c r="R36555" s="11"/>
      <c r="S36555" s="11"/>
      <c r="T36555" s="11"/>
    </row>
    <row r="36556" spans="8:20" x14ac:dyDescent="0.35">
      <c r="H36556" s="711"/>
      <c r="I36556" s="711"/>
      <c r="J36556" s="711"/>
      <c r="K36556" s="711"/>
      <c r="L36556" s="711"/>
      <c r="Q36556" s="11"/>
      <c r="R36556" s="11"/>
      <c r="S36556" s="11"/>
      <c r="T36556" s="11"/>
    </row>
    <row r="36557" spans="8:20" x14ac:dyDescent="0.35">
      <c r="H36557" s="711"/>
      <c r="I36557" s="711"/>
      <c r="J36557" s="711"/>
      <c r="K36557" s="711"/>
      <c r="L36557" s="711"/>
      <c r="Q36557" s="11"/>
      <c r="R36557" s="11"/>
      <c r="S36557" s="11"/>
      <c r="T36557" s="11"/>
    </row>
    <row r="36558" spans="8:20" x14ac:dyDescent="0.35">
      <c r="H36558" s="711"/>
      <c r="I36558" s="711"/>
      <c r="J36558" s="711"/>
      <c r="K36558" s="711"/>
      <c r="L36558" s="711"/>
      <c r="Q36558" s="11"/>
      <c r="R36558" s="11"/>
      <c r="S36558" s="11"/>
      <c r="T36558" s="11"/>
    </row>
    <row r="36559" spans="8:20" x14ac:dyDescent="0.35">
      <c r="H36559" s="711"/>
      <c r="I36559" s="711"/>
      <c r="J36559" s="711"/>
      <c r="K36559" s="711"/>
      <c r="L36559" s="711"/>
      <c r="Q36559" s="11"/>
      <c r="R36559" s="11"/>
      <c r="S36559" s="11"/>
      <c r="T36559" s="11"/>
    </row>
    <row r="36560" spans="8:20" x14ac:dyDescent="0.35">
      <c r="H36560" s="711"/>
      <c r="I36560" s="711"/>
      <c r="J36560" s="711"/>
      <c r="K36560" s="711"/>
      <c r="L36560" s="711"/>
      <c r="Q36560" s="11"/>
      <c r="R36560" s="11"/>
      <c r="S36560" s="11"/>
      <c r="T36560" s="11"/>
    </row>
    <row r="36561" spans="8:20" x14ac:dyDescent="0.35">
      <c r="H36561" s="711"/>
      <c r="I36561" s="711"/>
      <c r="J36561" s="711"/>
      <c r="K36561" s="711"/>
      <c r="L36561" s="711"/>
      <c r="Q36561" s="11"/>
      <c r="R36561" s="11"/>
      <c r="S36561" s="11"/>
      <c r="T36561" s="11"/>
    </row>
    <row r="36562" spans="8:20" x14ac:dyDescent="0.35">
      <c r="H36562" s="711"/>
      <c r="I36562" s="711"/>
      <c r="J36562" s="711"/>
      <c r="K36562" s="711"/>
      <c r="L36562" s="711"/>
      <c r="Q36562" s="11"/>
      <c r="R36562" s="11"/>
      <c r="S36562" s="11"/>
      <c r="T36562" s="11"/>
    </row>
    <row r="36563" spans="8:20" x14ac:dyDescent="0.35">
      <c r="H36563" s="711"/>
      <c r="I36563" s="711"/>
      <c r="J36563" s="711"/>
      <c r="K36563" s="711"/>
      <c r="L36563" s="711"/>
      <c r="Q36563" s="11"/>
      <c r="R36563" s="11"/>
      <c r="S36563" s="11"/>
      <c r="T36563" s="11"/>
    </row>
    <row r="36564" spans="8:20" x14ac:dyDescent="0.35">
      <c r="H36564" s="711"/>
      <c r="I36564" s="711"/>
      <c r="J36564" s="711"/>
      <c r="K36564" s="711"/>
      <c r="L36564" s="711"/>
      <c r="Q36564" s="11"/>
      <c r="R36564" s="11"/>
      <c r="S36564" s="11"/>
      <c r="T36564" s="11"/>
    </row>
    <row r="36565" spans="8:20" x14ac:dyDescent="0.35">
      <c r="H36565" s="711"/>
      <c r="I36565" s="711"/>
      <c r="J36565" s="711"/>
      <c r="K36565" s="711"/>
      <c r="L36565" s="711"/>
      <c r="Q36565" s="11"/>
      <c r="R36565" s="11"/>
      <c r="S36565" s="11"/>
      <c r="T36565" s="11"/>
    </row>
    <row r="36566" spans="8:20" x14ac:dyDescent="0.35">
      <c r="H36566" s="711"/>
      <c r="I36566" s="711"/>
      <c r="J36566" s="711"/>
      <c r="K36566" s="711"/>
      <c r="L36566" s="711"/>
      <c r="Q36566" s="11"/>
      <c r="R36566" s="11"/>
      <c r="S36566" s="11"/>
      <c r="T36566" s="11"/>
    </row>
    <row r="36567" spans="8:20" x14ac:dyDescent="0.35">
      <c r="H36567" s="711"/>
      <c r="I36567" s="711"/>
      <c r="J36567" s="711"/>
      <c r="K36567" s="711"/>
      <c r="L36567" s="711"/>
      <c r="Q36567" s="11"/>
      <c r="R36567" s="11"/>
      <c r="S36567" s="11"/>
      <c r="T36567" s="11"/>
    </row>
    <row r="36568" spans="8:20" x14ac:dyDescent="0.35">
      <c r="H36568" s="711"/>
      <c r="I36568" s="711"/>
      <c r="J36568" s="711"/>
      <c r="K36568" s="711"/>
      <c r="L36568" s="711"/>
      <c r="Q36568" s="11"/>
      <c r="R36568" s="11"/>
      <c r="S36568" s="11"/>
      <c r="T36568" s="11"/>
    </row>
    <row r="36569" spans="8:20" x14ac:dyDescent="0.35">
      <c r="H36569" s="711"/>
      <c r="I36569" s="711"/>
      <c r="J36569" s="711"/>
      <c r="K36569" s="711"/>
      <c r="L36569" s="711"/>
      <c r="Q36569" s="11"/>
      <c r="R36569" s="11"/>
      <c r="S36569" s="11"/>
      <c r="T36569" s="11"/>
    </row>
    <row r="36570" spans="8:20" x14ac:dyDescent="0.35">
      <c r="H36570" s="711"/>
      <c r="I36570" s="711"/>
      <c r="J36570" s="711"/>
      <c r="K36570" s="711"/>
      <c r="L36570" s="711"/>
      <c r="Q36570" s="11"/>
      <c r="R36570" s="11"/>
      <c r="S36570" s="11"/>
      <c r="T36570" s="11"/>
    </row>
    <row r="36571" spans="8:20" x14ac:dyDescent="0.35">
      <c r="H36571" s="711"/>
      <c r="I36571" s="711"/>
      <c r="J36571" s="711"/>
      <c r="K36571" s="711"/>
      <c r="L36571" s="711"/>
      <c r="Q36571" s="11"/>
      <c r="R36571" s="11"/>
      <c r="S36571" s="11"/>
      <c r="T36571" s="11"/>
    </row>
    <row r="36572" spans="8:20" x14ac:dyDescent="0.35">
      <c r="H36572" s="711"/>
      <c r="I36572" s="711"/>
      <c r="J36572" s="711"/>
      <c r="K36572" s="711"/>
      <c r="L36572" s="711"/>
      <c r="Q36572" s="11"/>
      <c r="R36572" s="11"/>
      <c r="S36572" s="11"/>
      <c r="T36572" s="11"/>
    </row>
    <row r="36573" spans="8:20" x14ac:dyDescent="0.35">
      <c r="H36573" s="711"/>
      <c r="I36573" s="711"/>
      <c r="J36573" s="711"/>
      <c r="K36573" s="711"/>
      <c r="L36573" s="711"/>
      <c r="Q36573" s="11"/>
      <c r="R36573" s="11"/>
      <c r="S36573" s="11"/>
      <c r="T36573" s="11"/>
    </row>
    <row r="36574" spans="8:20" x14ac:dyDescent="0.35">
      <c r="H36574" s="711"/>
      <c r="I36574" s="711"/>
      <c r="J36574" s="711"/>
      <c r="K36574" s="711"/>
      <c r="L36574" s="711"/>
      <c r="Q36574" s="11"/>
      <c r="R36574" s="11"/>
      <c r="S36574" s="11"/>
      <c r="T36574" s="11"/>
    </row>
    <row r="36575" spans="8:20" x14ac:dyDescent="0.35">
      <c r="H36575" s="711"/>
      <c r="I36575" s="711"/>
      <c r="J36575" s="711"/>
      <c r="K36575" s="711"/>
      <c r="L36575" s="711"/>
      <c r="Q36575" s="11"/>
      <c r="R36575" s="11"/>
      <c r="S36575" s="11"/>
      <c r="T36575" s="11"/>
    </row>
    <row r="36576" spans="8:20" x14ac:dyDescent="0.35">
      <c r="H36576" s="711"/>
      <c r="I36576" s="711"/>
      <c r="J36576" s="711"/>
      <c r="K36576" s="711"/>
      <c r="L36576" s="711"/>
      <c r="Q36576" s="11"/>
      <c r="R36576" s="11"/>
      <c r="S36576" s="11"/>
      <c r="T36576" s="11"/>
    </row>
    <row r="36577" spans="8:20" x14ac:dyDescent="0.35">
      <c r="H36577" s="711"/>
      <c r="I36577" s="711"/>
      <c r="J36577" s="711"/>
      <c r="K36577" s="711"/>
      <c r="L36577" s="711"/>
      <c r="Q36577" s="11"/>
      <c r="R36577" s="11"/>
      <c r="S36577" s="11"/>
      <c r="T36577" s="11"/>
    </row>
    <row r="36578" spans="8:20" x14ac:dyDescent="0.35">
      <c r="H36578" s="711"/>
      <c r="I36578" s="711"/>
      <c r="J36578" s="711"/>
      <c r="K36578" s="711"/>
      <c r="L36578" s="711"/>
      <c r="Q36578" s="11"/>
      <c r="R36578" s="11"/>
      <c r="S36578" s="11"/>
      <c r="T36578" s="11"/>
    </row>
    <row r="36579" spans="8:20" x14ac:dyDescent="0.35">
      <c r="H36579" s="711"/>
      <c r="I36579" s="711"/>
      <c r="J36579" s="711"/>
      <c r="K36579" s="711"/>
      <c r="L36579" s="711"/>
      <c r="Q36579" s="11"/>
      <c r="R36579" s="11"/>
      <c r="S36579" s="11"/>
      <c r="T36579" s="11"/>
    </row>
    <row r="36580" spans="8:20" x14ac:dyDescent="0.35">
      <c r="H36580" s="711"/>
      <c r="I36580" s="711"/>
      <c r="J36580" s="711"/>
      <c r="K36580" s="711"/>
      <c r="L36580" s="711"/>
      <c r="Q36580" s="11"/>
      <c r="R36580" s="11"/>
      <c r="S36580" s="11"/>
      <c r="T36580" s="11"/>
    </row>
    <row r="36581" spans="8:20" x14ac:dyDescent="0.35">
      <c r="H36581" s="711"/>
      <c r="I36581" s="711"/>
      <c r="J36581" s="711"/>
      <c r="K36581" s="711"/>
      <c r="L36581" s="711"/>
      <c r="Q36581" s="11"/>
      <c r="R36581" s="11"/>
      <c r="S36581" s="11"/>
      <c r="T36581" s="11"/>
    </row>
    <row r="36582" spans="8:20" x14ac:dyDescent="0.35">
      <c r="H36582" s="711"/>
      <c r="I36582" s="711"/>
      <c r="J36582" s="711"/>
      <c r="K36582" s="711"/>
      <c r="L36582" s="711"/>
      <c r="Q36582" s="11"/>
      <c r="R36582" s="11"/>
      <c r="S36582" s="11"/>
      <c r="T36582" s="11"/>
    </row>
    <row r="36583" spans="8:20" x14ac:dyDescent="0.35">
      <c r="H36583" s="711"/>
      <c r="I36583" s="711"/>
      <c r="J36583" s="711"/>
      <c r="K36583" s="711"/>
      <c r="L36583" s="711"/>
      <c r="Q36583" s="11"/>
      <c r="R36583" s="11"/>
      <c r="S36583" s="11"/>
      <c r="T36583" s="11"/>
    </row>
    <row r="36584" spans="8:20" x14ac:dyDescent="0.35">
      <c r="H36584" s="711"/>
      <c r="I36584" s="711"/>
      <c r="J36584" s="711"/>
      <c r="K36584" s="711"/>
      <c r="L36584" s="711"/>
      <c r="Q36584" s="11"/>
      <c r="R36584" s="11"/>
      <c r="S36584" s="11"/>
      <c r="T36584" s="11"/>
    </row>
    <row r="36585" spans="8:20" x14ac:dyDescent="0.35">
      <c r="H36585" s="711"/>
      <c r="I36585" s="711"/>
      <c r="J36585" s="711"/>
      <c r="K36585" s="711"/>
      <c r="L36585" s="711"/>
      <c r="Q36585" s="11"/>
      <c r="R36585" s="11"/>
      <c r="S36585" s="11"/>
      <c r="T36585" s="11"/>
    </row>
    <row r="36586" spans="8:20" x14ac:dyDescent="0.35">
      <c r="H36586" s="711"/>
      <c r="I36586" s="711"/>
      <c r="J36586" s="711"/>
      <c r="K36586" s="711"/>
      <c r="L36586" s="711"/>
      <c r="Q36586" s="11"/>
      <c r="R36586" s="11"/>
      <c r="S36586" s="11"/>
      <c r="T36586" s="11"/>
    </row>
    <row r="36587" spans="8:20" x14ac:dyDescent="0.35">
      <c r="H36587" s="711"/>
      <c r="I36587" s="711"/>
      <c r="J36587" s="711"/>
      <c r="K36587" s="711"/>
      <c r="L36587" s="711"/>
      <c r="Q36587" s="11"/>
      <c r="R36587" s="11"/>
      <c r="S36587" s="11"/>
      <c r="T36587" s="11"/>
    </row>
    <row r="36588" spans="8:20" x14ac:dyDescent="0.35">
      <c r="H36588" s="711"/>
      <c r="I36588" s="711"/>
      <c r="J36588" s="711"/>
      <c r="K36588" s="711"/>
      <c r="L36588" s="711"/>
      <c r="Q36588" s="11"/>
      <c r="R36588" s="11"/>
      <c r="S36588" s="11"/>
      <c r="T36588" s="11"/>
    </row>
    <row r="36589" spans="8:20" x14ac:dyDescent="0.35">
      <c r="H36589" s="711"/>
      <c r="I36589" s="711"/>
      <c r="J36589" s="711"/>
      <c r="K36589" s="711"/>
      <c r="L36589" s="711"/>
      <c r="Q36589" s="11"/>
      <c r="R36589" s="11"/>
      <c r="S36589" s="11"/>
      <c r="T36589" s="11"/>
    </row>
    <row r="36590" spans="8:20" x14ac:dyDescent="0.35">
      <c r="H36590" s="711"/>
      <c r="I36590" s="711"/>
      <c r="J36590" s="711"/>
      <c r="K36590" s="711"/>
      <c r="L36590" s="711"/>
      <c r="Q36590" s="11"/>
      <c r="R36590" s="11"/>
      <c r="S36590" s="11"/>
      <c r="T36590" s="11"/>
    </row>
    <row r="36591" spans="8:20" x14ac:dyDescent="0.35">
      <c r="H36591" s="711"/>
      <c r="I36591" s="711"/>
      <c r="J36591" s="711"/>
      <c r="K36591" s="711"/>
      <c r="L36591" s="711"/>
      <c r="Q36591" s="11"/>
      <c r="R36591" s="11"/>
      <c r="S36591" s="11"/>
      <c r="T36591" s="11"/>
    </row>
    <row r="36592" spans="8:20" x14ac:dyDescent="0.35">
      <c r="H36592" s="711"/>
      <c r="I36592" s="711"/>
      <c r="J36592" s="711"/>
      <c r="K36592" s="711"/>
      <c r="L36592" s="711"/>
      <c r="Q36592" s="11"/>
      <c r="R36592" s="11"/>
      <c r="S36592" s="11"/>
      <c r="T36592" s="11"/>
    </row>
    <row r="36593" spans="8:20" x14ac:dyDescent="0.35">
      <c r="H36593" s="711"/>
      <c r="I36593" s="711"/>
      <c r="J36593" s="711"/>
      <c r="K36593" s="711"/>
      <c r="L36593" s="711"/>
      <c r="Q36593" s="11"/>
      <c r="R36593" s="11"/>
      <c r="S36593" s="11"/>
      <c r="T36593" s="11"/>
    </row>
    <row r="36594" spans="8:20" x14ac:dyDescent="0.35">
      <c r="H36594" s="711"/>
      <c r="I36594" s="711"/>
      <c r="J36594" s="711"/>
      <c r="K36594" s="711"/>
      <c r="L36594" s="711"/>
      <c r="Q36594" s="11"/>
      <c r="R36594" s="11"/>
      <c r="S36594" s="11"/>
      <c r="T36594" s="11"/>
    </row>
    <row r="36595" spans="8:20" x14ac:dyDescent="0.35">
      <c r="H36595" s="711"/>
      <c r="I36595" s="711"/>
      <c r="J36595" s="711"/>
      <c r="K36595" s="711"/>
      <c r="L36595" s="711"/>
      <c r="Q36595" s="11"/>
      <c r="R36595" s="11"/>
      <c r="S36595" s="11"/>
      <c r="T36595" s="11"/>
    </row>
    <row r="36596" spans="8:20" x14ac:dyDescent="0.35">
      <c r="H36596" s="711"/>
      <c r="I36596" s="711"/>
      <c r="J36596" s="711"/>
      <c r="K36596" s="711"/>
      <c r="L36596" s="711"/>
      <c r="Q36596" s="11"/>
      <c r="R36596" s="11"/>
      <c r="S36596" s="11"/>
      <c r="T36596" s="11"/>
    </row>
    <row r="36597" spans="8:20" x14ac:dyDescent="0.35">
      <c r="H36597" s="711"/>
      <c r="I36597" s="711"/>
      <c r="J36597" s="711"/>
      <c r="K36597" s="711"/>
      <c r="L36597" s="711"/>
      <c r="Q36597" s="11"/>
      <c r="R36597" s="11"/>
      <c r="S36597" s="11"/>
      <c r="T36597" s="11"/>
    </row>
    <row r="36598" spans="8:20" x14ac:dyDescent="0.35">
      <c r="H36598" s="711"/>
      <c r="I36598" s="711"/>
      <c r="J36598" s="711"/>
      <c r="K36598" s="711"/>
      <c r="L36598" s="711"/>
      <c r="Q36598" s="11"/>
      <c r="R36598" s="11"/>
      <c r="S36598" s="11"/>
      <c r="T36598" s="11"/>
    </row>
    <row r="36599" spans="8:20" x14ac:dyDescent="0.35">
      <c r="H36599" s="711"/>
      <c r="I36599" s="711"/>
      <c r="J36599" s="711"/>
      <c r="K36599" s="711"/>
      <c r="L36599" s="711"/>
      <c r="Q36599" s="11"/>
      <c r="R36599" s="11"/>
      <c r="S36599" s="11"/>
      <c r="T36599" s="11"/>
    </row>
    <row r="36600" spans="8:20" x14ac:dyDescent="0.35">
      <c r="H36600" s="711"/>
      <c r="I36600" s="711"/>
      <c r="J36600" s="711"/>
      <c r="K36600" s="711"/>
      <c r="L36600" s="711"/>
      <c r="Q36600" s="11"/>
      <c r="R36600" s="11"/>
      <c r="S36600" s="11"/>
      <c r="T36600" s="11"/>
    </row>
    <row r="36601" spans="8:20" x14ac:dyDescent="0.35">
      <c r="H36601" s="711"/>
      <c r="I36601" s="711"/>
      <c r="J36601" s="711"/>
      <c r="K36601" s="711"/>
      <c r="L36601" s="711"/>
      <c r="Q36601" s="11"/>
      <c r="R36601" s="11"/>
      <c r="S36601" s="11"/>
      <c r="T36601" s="11"/>
    </row>
    <row r="36602" spans="8:20" x14ac:dyDescent="0.35">
      <c r="H36602" s="711"/>
      <c r="I36602" s="711"/>
      <c r="J36602" s="711"/>
      <c r="K36602" s="711"/>
      <c r="L36602" s="711"/>
      <c r="Q36602" s="11"/>
      <c r="R36602" s="11"/>
      <c r="S36602" s="11"/>
      <c r="T36602" s="11"/>
    </row>
    <row r="36603" spans="8:20" x14ac:dyDescent="0.35">
      <c r="H36603" s="711"/>
      <c r="I36603" s="711"/>
      <c r="J36603" s="711"/>
      <c r="K36603" s="711"/>
      <c r="L36603" s="711"/>
      <c r="Q36603" s="11"/>
      <c r="R36603" s="11"/>
      <c r="S36603" s="11"/>
      <c r="T36603" s="11"/>
    </row>
    <row r="36604" spans="8:20" x14ac:dyDescent="0.35">
      <c r="H36604" s="711"/>
      <c r="I36604" s="711"/>
      <c r="J36604" s="711"/>
      <c r="K36604" s="711"/>
      <c r="L36604" s="711"/>
      <c r="Q36604" s="11"/>
      <c r="R36604" s="11"/>
      <c r="S36604" s="11"/>
      <c r="T36604" s="11"/>
    </row>
    <row r="36605" spans="8:20" x14ac:dyDescent="0.35">
      <c r="H36605" s="711"/>
      <c r="I36605" s="711"/>
      <c r="J36605" s="711"/>
      <c r="K36605" s="711"/>
      <c r="L36605" s="711"/>
      <c r="Q36605" s="11"/>
      <c r="R36605" s="11"/>
      <c r="S36605" s="11"/>
      <c r="T36605" s="11"/>
    </row>
    <row r="36606" spans="8:20" x14ac:dyDescent="0.35">
      <c r="H36606" s="711"/>
      <c r="I36606" s="711"/>
      <c r="J36606" s="711"/>
      <c r="K36606" s="711"/>
      <c r="L36606" s="711"/>
      <c r="Q36606" s="11"/>
      <c r="R36606" s="11"/>
      <c r="S36606" s="11"/>
      <c r="T36606" s="11"/>
    </row>
    <row r="36607" spans="8:20" x14ac:dyDescent="0.35">
      <c r="H36607" s="711"/>
      <c r="I36607" s="711"/>
      <c r="J36607" s="711"/>
      <c r="K36607" s="711"/>
      <c r="L36607" s="711"/>
      <c r="Q36607" s="11"/>
      <c r="R36607" s="11"/>
      <c r="S36607" s="11"/>
      <c r="T36607" s="11"/>
    </row>
    <row r="36608" spans="8:20" x14ac:dyDescent="0.35">
      <c r="H36608" s="711"/>
      <c r="I36608" s="711"/>
      <c r="J36608" s="711"/>
      <c r="K36608" s="711"/>
      <c r="L36608" s="711"/>
      <c r="Q36608" s="11"/>
      <c r="R36608" s="11"/>
      <c r="S36608" s="11"/>
      <c r="T36608" s="11"/>
    </row>
    <row r="36609" spans="8:20" x14ac:dyDescent="0.35">
      <c r="H36609" s="711"/>
      <c r="I36609" s="711"/>
      <c r="J36609" s="711"/>
      <c r="K36609" s="711"/>
      <c r="L36609" s="711"/>
      <c r="Q36609" s="11"/>
      <c r="R36609" s="11"/>
      <c r="S36609" s="11"/>
      <c r="T36609" s="11"/>
    </row>
    <row r="36610" spans="8:20" x14ac:dyDescent="0.35">
      <c r="H36610" s="711"/>
      <c r="I36610" s="711"/>
      <c r="J36610" s="711"/>
      <c r="K36610" s="711"/>
      <c r="L36610" s="711"/>
      <c r="Q36610" s="11"/>
      <c r="R36610" s="11"/>
      <c r="S36610" s="11"/>
      <c r="T36610" s="11"/>
    </row>
    <row r="36611" spans="8:20" x14ac:dyDescent="0.35">
      <c r="H36611" s="711"/>
      <c r="I36611" s="711"/>
      <c r="J36611" s="711"/>
      <c r="K36611" s="711"/>
      <c r="L36611" s="711"/>
      <c r="Q36611" s="11"/>
      <c r="R36611" s="11"/>
      <c r="S36611" s="11"/>
      <c r="T36611" s="11"/>
    </row>
    <row r="36612" spans="8:20" x14ac:dyDescent="0.35">
      <c r="H36612" s="711"/>
      <c r="I36612" s="711"/>
      <c r="J36612" s="711"/>
      <c r="K36612" s="711"/>
      <c r="L36612" s="711"/>
      <c r="Q36612" s="11"/>
      <c r="R36612" s="11"/>
      <c r="S36612" s="11"/>
      <c r="T36612" s="11"/>
    </row>
    <row r="36613" spans="8:20" x14ac:dyDescent="0.35">
      <c r="H36613" s="711"/>
      <c r="I36613" s="711"/>
      <c r="J36613" s="711"/>
      <c r="K36613" s="711"/>
      <c r="L36613" s="711"/>
      <c r="Q36613" s="11"/>
      <c r="R36613" s="11"/>
      <c r="S36613" s="11"/>
      <c r="T36613" s="11"/>
    </row>
    <row r="36614" spans="8:20" x14ac:dyDescent="0.35">
      <c r="H36614" s="711"/>
      <c r="I36614" s="711"/>
      <c r="J36614" s="711"/>
      <c r="K36614" s="711"/>
      <c r="L36614" s="711"/>
      <c r="Q36614" s="11"/>
      <c r="R36614" s="11"/>
      <c r="S36614" s="11"/>
      <c r="T36614" s="11"/>
    </row>
    <row r="36615" spans="8:20" x14ac:dyDescent="0.35">
      <c r="H36615" s="711"/>
      <c r="I36615" s="711"/>
      <c r="J36615" s="711"/>
      <c r="K36615" s="711"/>
      <c r="L36615" s="711"/>
      <c r="Q36615" s="11"/>
      <c r="R36615" s="11"/>
      <c r="S36615" s="11"/>
      <c r="T36615" s="11"/>
    </row>
    <row r="36616" spans="8:20" x14ac:dyDescent="0.35">
      <c r="H36616" s="711"/>
      <c r="I36616" s="711"/>
      <c r="J36616" s="711"/>
      <c r="K36616" s="711"/>
      <c r="L36616" s="711"/>
      <c r="Q36616" s="11"/>
      <c r="R36616" s="11"/>
      <c r="S36616" s="11"/>
      <c r="T36616" s="11"/>
    </row>
    <row r="36617" spans="8:20" x14ac:dyDescent="0.35">
      <c r="H36617" s="711"/>
      <c r="I36617" s="711"/>
      <c r="J36617" s="711"/>
      <c r="K36617" s="711"/>
      <c r="L36617" s="711"/>
      <c r="Q36617" s="11"/>
      <c r="R36617" s="11"/>
      <c r="S36617" s="11"/>
      <c r="T36617" s="11"/>
    </row>
    <row r="36618" spans="8:20" x14ac:dyDescent="0.35">
      <c r="H36618" s="711"/>
      <c r="I36618" s="711"/>
      <c r="J36618" s="711"/>
      <c r="K36618" s="711"/>
      <c r="L36618" s="711"/>
      <c r="Q36618" s="11"/>
      <c r="R36618" s="11"/>
      <c r="S36618" s="11"/>
      <c r="T36618" s="11"/>
    </row>
    <row r="36619" spans="8:20" x14ac:dyDescent="0.35">
      <c r="H36619" s="711"/>
      <c r="I36619" s="711"/>
      <c r="J36619" s="711"/>
      <c r="K36619" s="711"/>
      <c r="L36619" s="711"/>
      <c r="Q36619" s="11"/>
      <c r="R36619" s="11"/>
      <c r="S36619" s="11"/>
      <c r="T36619" s="11"/>
    </row>
    <row r="36620" spans="8:20" x14ac:dyDescent="0.35">
      <c r="H36620" s="711"/>
      <c r="I36620" s="711"/>
      <c r="J36620" s="711"/>
      <c r="K36620" s="711"/>
      <c r="L36620" s="711"/>
      <c r="Q36620" s="11"/>
      <c r="R36620" s="11"/>
      <c r="S36620" s="11"/>
      <c r="T36620" s="11"/>
    </row>
    <row r="36621" spans="8:20" x14ac:dyDescent="0.35">
      <c r="H36621" s="711"/>
      <c r="I36621" s="711"/>
      <c r="J36621" s="711"/>
      <c r="K36621" s="711"/>
      <c r="L36621" s="711"/>
      <c r="Q36621" s="11"/>
      <c r="R36621" s="11"/>
      <c r="S36621" s="11"/>
      <c r="T36621" s="11"/>
    </row>
    <row r="36622" spans="8:20" x14ac:dyDescent="0.35">
      <c r="H36622" s="711"/>
      <c r="I36622" s="711"/>
      <c r="J36622" s="711"/>
      <c r="K36622" s="711"/>
      <c r="L36622" s="711"/>
      <c r="Q36622" s="11"/>
      <c r="R36622" s="11"/>
      <c r="S36622" s="11"/>
      <c r="T36622" s="11"/>
    </row>
    <row r="36623" spans="8:20" x14ac:dyDescent="0.35">
      <c r="H36623" s="711"/>
      <c r="I36623" s="711"/>
      <c r="J36623" s="711"/>
      <c r="K36623" s="711"/>
      <c r="L36623" s="711"/>
      <c r="Q36623" s="11"/>
      <c r="R36623" s="11"/>
      <c r="S36623" s="11"/>
      <c r="T36623" s="11"/>
    </row>
    <row r="36624" spans="8:20" x14ac:dyDescent="0.35">
      <c r="H36624" s="711"/>
      <c r="I36624" s="711"/>
      <c r="J36624" s="711"/>
      <c r="K36624" s="711"/>
      <c r="L36624" s="711"/>
      <c r="Q36624" s="11"/>
      <c r="R36624" s="11"/>
      <c r="S36624" s="11"/>
      <c r="T36624" s="11"/>
    </row>
    <row r="36625" spans="8:20" x14ac:dyDescent="0.35">
      <c r="H36625" s="711"/>
      <c r="I36625" s="711"/>
      <c r="J36625" s="711"/>
      <c r="K36625" s="711"/>
      <c r="L36625" s="711"/>
      <c r="Q36625" s="11"/>
      <c r="R36625" s="11"/>
      <c r="S36625" s="11"/>
      <c r="T36625" s="11"/>
    </row>
    <row r="36626" spans="8:20" x14ac:dyDescent="0.35">
      <c r="H36626" s="711"/>
      <c r="I36626" s="711"/>
      <c r="J36626" s="711"/>
      <c r="K36626" s="711"/>
      <c r="L36626" s="711"/>
      <c r="Q36626" s="11"/>
      <c r="R36626" s="11"/>
      <c r="S36626" s="11"/>
      <c r="T36626" s="11"/>
    </row>
    <row r="36627" spans="8:20" x14ac:dyDescent="0.35">
      <c r="H36627" s="711"/>
      <c r="I36627" s="711"/>
      <c r="J36627" s="711"/>
      <c r="K36627" s="711"/>
      <c r="L36627" s="711"/>
      <c r="Q36627" s="11"/>
      <c r="R36627" s="11"/>
      <c r="S36627" s="11"/>
      <c r="T36627" s="11"/>
    </row>
    <row r="36628" spans="8:20" x14ac:dyDescent="0.35">
      <c r="H36628" s="711"/>
      <c r="I36628" s="711"/>
      <c r="J36628" s="711"/>
      <c r="K36628" s="711"/>
      <c r="L36628" s="711"/>
      <c r="Q36628" s="11"/>
      <c r="R36628" s="11"/>
      <c r="S36628" s="11"/>
      <c r="T36628" s="11"/>
    </row>
    <row r="36629" spans="8:20" x14ac:dyDescent="0.35">
      <c r="H36629" s="711"/>
      <c r="I36629" s="711"/>
      <c r="J36629" s="711"/>
      <c r="K36629" s="711"/>
      <c r="L36629" s="711"/>
      <c r="Q36629" s="11"/>
      <c r="R36629" s="11"/>
      <c r="S36629" s="11"/>
      <c r="T36629" s="11"/>
    </row>
    <row r="36630" spans="8:20" x14ac:dyDescent="0.35">
      <c r="H36630" s="711"/>
      <c r="I36630" s="711"/>
      <c r="J36630" s="711"/>
      <c r="K36630" s="711"/>
      <c r="L36630" s="711"/>
      <c r="Q36630" s="11"/>
      <c r="R36630" s="11"/>
      <c r="S36630" s="11"/>
      <c r="T36630" s="11"/>
    </row>
    <row r="36631" spans="8:20" x14ac:dyDescent="0.35">
      <c r="H36631" s="711"/>
      <c r="I36631" s="711"/>
      <c r="J36631" s="711"/>
      <c r="K36631" s="711"/>
      <c r="L36631" s="711"/>
      <c r="Q36631" s="11"/>
      <c r="R36631" s="11"/>
      <c r="S36631" s="11"/>
      <c r="T36631" s="11"/>
    </row>
    <row r="36632" spans="8:20" x14ac:dyDescent="0.35">
      <c r="H36632" s="711"/>
      <c r="I36632" s="711"/>
      <c r="J36632" s="711"/>
      <c r="K36632" s="711"/>
      <c r="L36632" s="711"/>
      <c r="Q36632" s="11"/>
      <c r="R36632" s="11"/>
      <c r="S36632" s="11"/>
      <c r="T36632" s="11"/>
    </row>
    <row r="36633" spans="8:20" x14ac:dyDescent="0.35">
      <c r="H36633" s="711"/>
      <c r="I36633" s="711"/>
      <c r="J36633" s="711"/>
      <c r="K36633" s="711"/>
      <c r="L36633" s="711"/>
      <c r="Q36633" s="11"/>
      <c r="R36633" s="11"/>
      <c r="S36633" s="11"/>
      <c r="T36633" s="11"/>
    </row>
    <row r="36634" spans="8:20" x14ac:dyDescent="0.35">
      <c r="H36634" s="711"/>
      <c r="I36634" s="711"/>
      <c r="J36634" s="711"/>
      <c r="K36634" s="711"/>
      <c r="L36634" s="711"/>
      <c r="Q36634" s="11"/>
      <c r="R36634" s="11"/>
      <c r="S36634" s="11"/>
      <c r="T36634" s="11"/>
    </row>
    <row r="36635" spans="8:20" x14ac:dyDescent="0.35">
      <c r="H36635" s="711"/>
      <c r="I36635" s="711"/>
      <c r="J36635" s="711"/>
      <c r="K36635" s="711"/>
      <c r="L36635" s="711"/>
      <c r="Q36635" s="11"/>
      <c r="R36635" s="11"/>
      <c r="S36635" s="11"/>
      <c r="T36635" s="11"/>
    </row>
    <row r="36636" spans="8:20" x14ac:dyDescent="0.35">
      <c r="H36636" s="711"/>
      <c r="I36636" s="711"/>
      <c r="J36636" s="711"/>
      <c r="K36636" s="711"/>
      <c r="L36636" s="711"/>
      <c r="Q36636" s="11"/>
      <c r="R36636" s="11"/>
      <c r="S36636" s="11"/>
      <c r="T36636" s="11"/>
    </row>
    <row r="36637" spans="8:20" x14ac:dyDescent="0.35">
      <c r="H36637" s="711"/>
      <c r="I36637" s="711"/>
      <c r="J36637" s="711"/>
      <c r="K36637" s="711"/>
      <c r="L36637" s="711"/>
      <c r="Q36637" s="11"/>
      <c r="R36637" s="11"/>
      <c r="S36637" s="11"/>
      <c r="T36637" s="11"/>
    </row>
    <row r="36638" spans="8:20" x14ac:dyDescent="0.35">
      <c r="H36638" s="711"/>
      <c r="I36638" s="711"/>
      <c r="J36638" s="711"/>
      <c r="K36638" s="711"/>
      <c r="L36638" s="711"/>
      <c r="Q36638" s="11"/>
      <c r="R36638" s="11"/>
      <c r="S36638" s="11"/>
      <c r="T36638" s="11"/>
    </row>
    <row r="36639" spans="8:20" x14ac:dyDescent="0.35">
      <c r="H36639" s="711"/>
      <c r="I36639" s="711"/>
      <c r="J36639" s="711"/>
      <c r="K36639" s="711"/>
      <c r="L36639" s="711"/>
      <c r="Q36639" s="11"/>
      <c r="R36639" s="11"/>
      <c r="S36639" s="11"/>
      <c r="T36639" s="11"/>
    </row>
    <row r="36640" spans="8:20" x14ac:dyDescent="0.35">
      <c r="H36640" s="711"/>
      <c r="I36640" s="711"/>
      <c r="J36640" s="711"/>
      <c r="K36640" s="711"/>
      <c r="L36640" s="711"/>
      <c r="Q36640" s="11"/>
      <c r="R36640" s="11"/>
      <c r="S36640" s="11"/>
      <c r="T36640" s="11"/>
    </row>
    <row r="36641" spans="8:20" x14ac:dyDescent="0.35">
      <c r="H36641" s="711"/>
      <c r="I36641" s="711"/>
      <c r="J36641" s="711"/>
      <c r="K36641" s="711"/>
      <c r="L36641" s="711"/>
      <c r="Q36641" s="11"/>
      <c r="R36641" s="11"/>
      <c r="S36641" s="11"/>
      <c r="T36641" s="11"/>
    </row>
    <row r="36642" spans="8:20" x14ac:dyDescent="0.35">
      <c r="H36642" s="711"/>
      <c r="I36642" s="711"/>
      <c r="J36642" s="711"/>
      <c r="K36642" s="711"/>
      <c r="L36642" s="711"/>
      <c r="Q36642" s="11"/>
      <c r="R36642" s="11"/>
      <c r="S36642" s="11"/>
      <c r="T36642" s="11"/>
    </row>
    <row r="36643" spans="8:20" x14ac:dyDescent="0.35">
      <c r="H36643" s="711"/>
      <c r="I36643" s="711"/>
      <c r="J36643" s="711"/>
      <c r="K36643" s="711"/>
      <c r="L36643" s="711"/>
      <c r="Q36643" s="11"/>
      <c r="R36643" s="11"/>
      <c r="S36643" s="11"/>
      <c r="T36643" s="11"/>
    </row>
    <row r="36644" spans="8:20" x14ac:dyDescent="0.35">
      <c r="H36644" s="711"/>
      <c r="I36644" s="711"/>
      <c r="J36644" s="711"/>
      <c r="K36644" s="711"/>
      <c r="L36644" s="711"/>
      <c r="Q36644" s="11"/>
      <c r="R36644" s="11"/>
      <c r="S36644" s="11"/>
      <c r="T36644" s="11"/>
    </row>
    <row r="36645" spans="8:20" x14ac:dyDescent="0.35">
      <c r="H36645" s="711"/>
      <c r="I36645" s="711"/>
      <c r="J36645" s="711"/>
      <c r="K36645" s="711"/>
      <c r="L36645" s="711"/>
      <c r="Q36645" s="11"/>
      <c r="R36645" s="11"/>
      <c r="S36645" s="11"/>
      <c r="T36645" s="11"/>
    </row>
    <row r="36646" spans="8:20" x14ac:dyDescent="0.35">
      <c r="H36646" s="711"/>
      <c r="I36646" s="711"/>
      <c r="J36646" s="711"/>
      <c r="K36646" s="711"/>
      <c r="L36646" s="711"/>
      <c r="Q36646" s="11"/>
      <c r="R36646" s="11"/>
      <c r="S36646" s="11"/>
      <c r="T36646" s="11"/>
    </row>
    <row r="36647" spans="8:20" x14ac:dyDescent="0.35">
      <c r="H36647" s="711"/>
      <c r="I36647" s="711"/>
      <c r="J36647" s="711"/>
      <c r="K36647" s="711"/>
      <c r="L36647" s="711"/>
      <c r="Q36647" s="11"/>
      <c r="R36647" s="11"/>
      <c r="S36647" s="11"/>
      <c r="T36647" s="11"/>
    </row>
    <row r="36648" spans="8:20" x14ac:dyDescent="0.35">
      <c r="H36648" s="711"/>
      <c r="I36648" s="711"/>
      <c r="J36648" s="711"/>
      <c r="K36648" s="711"/>
      <c r="L36648" s="711"/>
      <c r="Q36648" s="11"/>
      <c r="R36648" s="11"/>
      <c r="S36648" s="11"/>
      <c r="T36648" s="11"/>
    </row>
    <row r="36649" spans="8:20" x14ac:dyDescent="0.35">
      <c r="H36649" s="711"/>
      <c r="I36649" s="711"/>
      <c r="J36649" s="711"/>
      <c r="K36649" s="711"/>
      <c r="L36649" s="711"/>
      <c r="Q36649" s="11"/>
      <c r="R36649" s="11"/>
      <c r="S36649" s="11"/>
      <c r="T36649" s="11"/>
    </row>
    <row r="36650" spans="8:20" x14ac:dyDescent="0.35">
      <c r="H36650" s="711"/>
      <c r="I36650" s="711"/>
      <c r="J36650" s="711"/>
      <c r="K36650" s="711"/>
      <c r="L36650" s="711"/>
      <c r="Q36650" s="11"/>
      <c r="R36650" s="11"/>
      <c r="S36650" s="11"/>
      <c r="T36650" s="11"/>
    </row>
    <row r="36651" spans="8:20" x14ac:dyDescent="0.35">
      <c r="H36651" s="711"/>
      <c r="I36651" s="711"/>
      <c r="J36651" s="711"/>
      <c r="K36651" s="711"/>
      <c r="L36651" s="711"/>
      <c r="Q36651" s="11"/>
      <c r="R36651" s="11"/>
      <c r="S36651" s="11"/>
      <c r="T36651" s="11"/>
    </row>
    <row r="36652" spans="8:20" x14ac:dyDescent="0.35">
      <c r="H36652" s="711"/>
      <c r="I36652" s="711"/>
      <c r="J36652" s="711"/>
      <c r="K36652" s="711"/>
      <c r="L36652" s="711"/>
      <c r="Q36652" s="11"/>
      <c r="R36652" s="11"/>
      <c r="S36652" s="11"/>
      <c r="T36652" s="11"/>
    </row>
    <row r="36653" spans="8:20" x14ac:dyDescent="0.35">
      <c r="H36653" s="711"/>
      <c r="I36653" s="711"/>
      <c r="J36653" s="711"/>
      <c r="K36653" s="711"/>
      <c r="L36653" s="711"/>
      <c r="Q36653" s="11"/>
      <c r="R36653" s="11"/>
      <c r="S36653" s="11"/>
      <c r="T36653" s="11"/>
    </row>
    <row r="36654" spans="8:20" x14ac:dyDescent="0.35">
      <c r="H36654" s="711"/>
      <c r="I36654" s="711"/>
      <c r="J36654" s="711"/>
      <c r="K36654" s="711"/>
      <c r="L36654" s="711"/>
      <c r="Q36654" s="11"/>
      <c r="R36654" s="11"/>
      <c r="S36654" s="11"/>
      <c r="T36654" s="11"/>
    </row>
    <row r="36655" spans="8:20" x14ac:dyDescent="0.35">
      <c r="H36655" s="711"/>
      <c r="I36655" s="711"/>
      <c r="J36655" s="711"/>
      <c r="K36655" s="711"/>
      <c r="L36655" s="711"/>
      <c r="Q36655" s="11"/>
      <c r="R36655" s="11"/>
      <c r="S36655" s="11"/>
      <c r="T36655" s="11"/>
    </row>
    <row r="36656" spans="8:20" x14ac:dyDescent="0.35">
      <c r="H36656" s="711"/>
      <c r="I36656" s="711"/>
      <c r="J36656" s="711"/>
      <c r="K36656" s="711"/>
      <c r="L36656" s="711"/>
      <c r="Q36656" s="11"/>
      <c r="R36656" s="11"/>
      <c r="S36656" s="11"/>
      <c r="T36656" s="11"/>
    </row>
    <row r="36657" spans="8:20" x14ac:dyDescent="0.35">
      <c r="H36657" s="711"/>
      <c r="I36657" s="711"/>
      <c r="J36657" s="711"/>
      <c r="K36657" s="711"/>
      <c r="L36657" s="711"/>
      <c r="Q36657" s="11"/>
      <c r="R36657" s="11"/>
      <c r="S36657" s="11"/>
      <c r="T36657" s="11"/>
    </row>
    <row r="36658" spans="8:20" x14ac:dyDescent="0.35">
      <c r="H36658" s="711"/>
      <c r="I36658" s="711"/>
      <c r="J36658" s="711"/>
      <c r="K36658" s="711"/>
      <c r="L36658" s="711"/>
      <c r="Q36658" s="11"/>
      <c r="R36658" s="11"/>
      <c r="S36658" s="11"/>
      <c r="T36658" s="11"/>
    </row>
    <row r="36659" spans="8:20" x14ac:dyDescent="0.35">
      <c r="H36659" s="711"/>
      <c r="I36659" s="711"/>
      <c r="J36659" s="711"/>
      <c r="K36659" s="711"/>
      <c r="L36659" s="711"/>
      <c r="Q36659" s="11"/>
      <c r="R36659" s="11"/>
      <c r="S36659" s="11"/>
      <c r="T36659" s="11"/>
    </row>
    <row r="36660" spans="8:20" x14ac:dyDescent="0.35">
      <c r="H36660" s="711"/>
      <c r="I36660" s="711"/>
      <c r="J36660" s="711"/>
      <c r="K36660" s="711"/>
      <c r="L36660" s="711"/>
      <c r="Q36660" s="11"/>
      <c r="R36660" s="11"/>
      <c r="S36660" s="11"/>
      <c r="T36660" s="11"/>
    </row>
    <row r="36661" spans="8:20" x14ac:dyDescent="0.35">
      <c r="H36661" s="711"/>
      <c r="I36661" s="711"/>
      <c r="J36661" s="711"/>
      <c r="K36661" s="711"/>
      <c r="L36661" s="711"/>
      <c r="Q36661" s="11"/>
      <c r="R36661" s="11"/>
      <c r="S36661" s="11"/>
      <c r="T36661" s="11"/>
    </row>
    <row r="36662" spans="8:20" x14ac:dyDescent="0.35">
      <c r="H36662" s="711"/>
      <c r="I36662" s="711"/>
      <c r="J36662" s="711"/>
      <c r="K36662" s="711"/>
      <c r="L36662" s="711"/>
      <c r="Q36662" s="11"/>
      <c r="R36662" s="11"/>
      <c r="S36662" s="11"/>
      <c r="T36662" s="11"/>
    </row>
    <row r="36663" spans="8:20" x14ac:dyDescent="0.35">
      <c r="H36663" s="711"/>
      <c r="I36663" s="711"/>
      <c r="J36663" s="711"/>
      <c r="K36663" s="711"/>
      <c r="L36663" s="711"/>
      <c r="Q36663" s="11"/>
      <c r="R36663" s="11"/>
      <c r="S36663" s="11"/>
      <c r="T36663" s="11"/>
    </row>
    <row r="36664" spans="8:20" x14ac:dyDescent="0.35">
      <c r="H36664" s="711"/>
      <c r="I36664" s="711"/>
      <c r="J36664" s="711"/>
      <c r="K36664" s="711"/>
      <c r="L36664" s="711"/>
      <c r="Q36664" s="11"/>
      <c r="R36664" s="11"/>
      <c r="S36664" s="11"/>
      <c r="T36664" s="11"/>
    </row>
    <row r="36665" spans="8:20" x14ac:dyDescent="0.35">
      <c r="H36665" s="711"/>
      <c r="I36665" s="711"/>
      <c r="J36665" s="711"/>
      <c r="K36665" s="711"/>
      <c r="L36665" s="711"/>
      <c r="Q36665" s="11"/>
      <c r="R36665" s="11"/>
      <c r="S36665" s="11"/>
      <c r="T36665" s="11"/>
    </row>
    <row r="36666" spans="8:20" x14ac:dyDescent="0.35">
      <c r="H36666" s="711"/>
      <c r="I36666" s="711"/>
      <c r="J36666" s="711"/>
      <c r="K36666" s="711"/>
      <c r="L36666" s="711"/>
      <c r="Q36666" s="11"/>
      <c r="R36666" s="11"/>
      <c r="S36666" s="11"/>
      <c r="T36666" s="11"/>
    </row>
    <row r="36667" spans="8:20" x14ac:dyDescent="0.35">
      <c r="H36667" s="711"/>
      <c r="I36667" s="711"/>
      <c r="J36667" s="711"/>
      <c r="K36667" s="711"/>
      <c r="L36667" s="711"/>
      <c r="Q36667" s="11"/>
      <c r="R36667" s="11"/>
      <c r="S36667" s="11"/>
      <c r="T36667" s="11"/>
    </row>
    <row r="36668" spans="8:20" x14ac:dyDescent="0.35">
      <c r="H36668" s="711"/>
      <c r="I36668" s="711"/>
      <c r="J36668" s="711"/>
      <c r="K36668" s="711"/>
      <c r="L36668" s="711"/>
      <c r="Q36668" s="11"/>
      <c r="R36668" s="11"/>
      <c r="S36668" s="11"/>
      <c r="T36668" s="11"/>
    </row>
    <row r="36669" spans="8:20" x14ac:dyDescent="0.35">
      <c r="H36669" s="711"/>
      <c r="I36669" s="711"/>
      <c r="J36669" s="711"/>
      <c r="K36669" s="711"/>
      <c r="L36669" s="711"/>
      <c r="Q36669" s="11"/>
      <c r="R36669" s="11"/>
      <c r="S36669" s="11"/>
      <c r="T36669" s="11"/>
    </row>
    <row r="36670" spans="8:20" x14ac:dyDescent="0.35">
      <c r="H36670" s="711"/>
      <c r="I36670" s="711"/>
      <c r="J36670" s="711"/>
      <c r="K36670" s="711"/>
      <c r="L36670" s="711"/>
      <c r="Q36670" s="11"/>
      <c r="R36670" s="11"/>
      <c r="S36670" s="11"/>
      <c r="T36670" s="11"/>
    </row>
    <row r="36671" spans="8:20" x14ac:dyDescent="0.35">
      <c r="H36671" s="711"/>
      <c r="I36671" s="711"/>
      <c r="J36671" s="711"/>
      <c r="K36671" s="711"/>
      <c r="L36671" s="711"/>
      <c r="Q36671" s="11"/>
      <c r="R36671" s="11"/>
      <c r="S36671" s="11"/>
      <c r="T36671" s="11"/>
    </row>
    <row r="36672" spans="8:20" x14ac:dyDescent="0.35">
      <c r="H36672" s="711"/>
      <c r="I36672" s="711"/>
      <c r="J36672" s="711"/>
      <c r="K36672" s="711"/>
      <c r="L36672" s="711"/>
      <c r="Q36672" s="11"/>
      <c r="R36672" s="11"/>
      <c r="S36672" s="11"/>
      <c r="T36672" s="11"/>
    </row>
    <row r="36673" spans="8:20" x14ac:dyDescent="0.35">
      <c r="H36673" s="711"/>
      <c r="I36673" s="711"/>
      <c r="J36673" s="711"/>
      <c r="K36673" s="711"/>
      <c r="L36673" s="711"/>
      <c r="Q36673" s="11"/>
      <c r="R36673" s="11"/>
      <c r="S36673" s="11"/>
      <c r="T36673" s="11"/>
    </row>
    <row r="36674" spans="8:20" x14ac:dyDescent="0.35">
      <c r="H36674" s="711"/>
      <c r="I36674" s="711"/>
      <c r="J36674" s="711"/>
      <c r="K36674" s="711"/>
      <c r="L36674" s="711"/>
      <c r="Q36674" s="11"/>
      <c r="R36674" s="11"/>
      <c r="S36674" s="11"/>
      <c r="T36674" s="11"/>
    </row>
    <row r="36675" spans="8:20" x14ac:dyDescent="0.35">
      <c r="H36675" s="711"/>
      <c r="I36675" s="711"/>
      <c r="J36675" s="711"/>
      <c r="K36675" s="711"/>
      <c r="L36675" s="711"/>
      <c r="Q36675" s="11"/>
      <c r="R36675" s="11"/>
      <c r="S36675" s="11"/>
      <c r="T36675" s="11"/>
    </row>
    <row r="36676" spans="8:20" x14ac:dyDescent="0.35">
      <c r="H36676" s="711"/>
      <c r="I36676" s="711"/>
      <c r="J36676" s="711"/>
      <c r="K36676" s="711"/>
      <c r="L36676" s="711"/>
      <c r="Q36676" s="11"/>
      <c r="R36676" s="11"/>
      <c r="S36676" s="11"/>
      <c r="T36676" s="11"/>
    </row>
    <row r="36677" spans="8:20" x14ac:dyDescent="0.35">
      <c r="H36677" s="711"/>
      <c r="I36677" s="711"/>
      <c r="J36677" s="711"/>
      <c r="K36677" s="711"/>
      <c r="L36677" s="711"/>
      <c r="Q36677" s="11"/>
      <c r="R36677" s="11"/>
      <c r="S36677" s="11"/>
      <c r="T36677" s="11"/>
    </row>
    <row r="36678" spans="8:20" x14ac:dyDescent="0.35">
      <c r="H36678" s="711"/>
      <c r="I36678" s="711"/>
      <c r="J36678" s="711"/>
      <c r="K36678" s="711"/>
      <c r="L36678" s="711"/>
      <c r="Q36678" s="11"/>
      <c r="R36678" s="11"/>
      <c r="S36678" s="11"/>
      <c r="T36678" s="11"/>
    </row>
    <row r="36679" spans="8:20" x14ac:dyDescent="0.35">
      <c r="H36679" s="711"/>
      <c r="I36679" s="711"/>
      <c r="J36679" s="711"/>
      <c r="K36679" s="711"/>
      <c r="L36679" s="711"/>
      <c r="Q36679" s="11"/>
      <c r="R36679" s="11"/>
      <c r="S36679" s="11"/>
      <c r="T36679" s="11"/>
    </row>
    <row r="36680" spans="8:20" x14ac:dyDescent="0.35">
      <c r="H36680" s="711"/>
      <c r="I36680" s="711"/>
      <c r="J36680" s="711"/>
      <c r="K36680" s="711"/>
      <c r="L36680" s="711"/>
      <c r="Q36680" s="11"/>
      <c r="R36680" s="11"/>
      <c r="S36680" s="11"/>
      <c r="T36680" s="11"/>
    </row>
    <row r="36681" spans="8:20" x14ac:dyDescent="0.35">
      <c r="H36681" s="711"/>
      <c r="I36681" s="711"/>
      <c r="J36681" s="711"/>
      <c r="K36681" s="711"/>
      <c r="L36681" s="711"/>
      <c r="Q36681" s="11"/>
      <c r="R36681" s="11"/>
      <c r="S36681" s="11"/>
      <c r="T36681" s="11"/>
    </row>
    <row r="36682" spans="8:20" x14ac:dyDescent="0.35">
      <c r="H36682" s="711"/>
      <c r="I36682" s="711"/>
      <c r="J36682" s="711"/>
      <c r="K36682" s="711"/>
      <c r="L36682" s="711"/>
      <c r="Q36682" s="11"/>
      <c r="R36682" s="11"/>
      <c r="S36682" s="11"/>
      <c r="T36682" s="11"/>
    </row>
    <row r="36683" spans="8:20" x14ac:dyDescent="0.35">
      <c r="H36683" s="711"/>
      <c r="I36683" s="711"/>
      <c r="J36683" s="711"/>
      <c r="K36683" s="711"/>
      <c r="L36683" s="711"/>
      <c r="Q36683" s="11"/>
      <c r="R36683" s="11"/>
      <c r="S36683" s="11"/>
      <c r="T36683" s="11"/>
    </row>
    <row r="36684" spans="8:20" x14ac:dyDescent="0.35">
      <c r="H36684" s="711"/>
      <c r="I36684" s="711"/>
      <c r="J36684" s="711"/>
      <c r="K36684" s="711"/>
      <c r="L36684" s="711"/>
      <c r="Q36684" s="11"/>
      <c r="R36684" s="11"/>
      <c r="S36684" s="11"/>
      <c r="T36684" s="11"/>
    </row>
    <row r="36685" spans="8:20" x14ac:dyDescent="0.35">
      <c r="H36685" s="711"/>
      <c r="I36685" s="711"/>
      <c r="J36685" s="711"/>
      <c r="K36685" s="711"/>
      <c r="L36685" s="711"/>
      <c r="Q36685" s="11"/>
      <c r="R36685" s="11"/>
      <c r="S36685" s="11"/>
      <c r="T36685" s="11"/>
    </row>
    <row r="36686" spans="8:20" x14ac:dyDescent="0.35">
      <c r="H36686" s="711"/>
      <c r="I36686" s="711"/>
      <c r="J36686" s="711"/>
      <c r="K36686" s="711"/>
      <c r="L36686" s="711"/>
      <c r="Q36686" s="11"/>
      <c r="R36686" s="11"/>
      <c r="S36686" s="11"/>
      <c r="T36686" s="11"/>
    </row>
    <row r="36687" spans="8:20" x14ac:dyDescent="0.35">
      <c r="H36687" s="711"/>
      <c r="I36687" s="711"/>
      <c r="J36687" s="711"/>
      <c r="K36687" s="711"/>
      <c r="L36687" s="711"/>
      <c r="Q36687" s="11"/>
      <c r="R36687" s="11"/>
      <c r="S36687" s="11"/>
      <c r="T36687" s="11"/>
    </row>
    <row r="36688" spans="8:20" x14ac:dyDescent="0.35">
      <c r="H36688" s="711"/>
      <c r="I36688" s="711"/>
      <c r="J36688" s="711"/>
      <c r="K36688" s="711"/>
      <c r="L36688" s="711"/>
      <c r="Q36688" s="11"/>
      <c r="R36688" s="11"/>
      <c r="S36688" s="11"/>
      <c r="T36688" s="11"/>
    </row>
    <row r="36689" spans="8:20" x14ac:dyDescent="0.35">
      <c r="H36689" s="711"/>
      <c r="I36689" s="711"/>
      <c r="J36689" s="711"/>
      <c r="K36689" s="711"/>
      <c r="L36689" s="711"/>
      <c r="Q36689" s="11"/>
      <c r="R36689" s="11"/>
      <c r="S36689" s="11"/>
      <c r="T36689" s="11"/>
    </row>
    <row r="36690" spans="8:20" x14ac:dyDescent="0.35">
      <c r="H36690" s="711"/>
      <c r="I36690" s="711"/>
      <c r="J36690" s="711"/>
      <c r="K36690" s="711"/>
      <c r="L36690" s="711"/>
      <c r="Q36690" s="11"/>
      <c r="R36690" s="11"/>
      <c r="S36690" s="11"/>
      <c r="T36690" s="11"/>
    </row>
    <row r="36691" spans="8:20" x14ac:dyDescent="0.35">
      <c r="H36691" s="711"/>
      <c r="I36691" s="711"/>
      <c r="J36691" s="711"/>
      <c r="K36691" s="711"/>
      <c r="L36691" s="711"/>
      <c r="Q36691" s="11"/>
      <c r="R36691" s="11"/>
      <c r="S36691" s="11"/>
      <c r="T36691" s="11"/>
    </row>
    <row r="36692" spans="8:20" x14ac:dyDescent="0.35">
      <c r="H36692" s="711"/>
      <c r="I36692" s="711"/>
      <c r="J36692" s="711"/>
      <c r="K36692" s="711"/>
      <c r="L36692" s="711"/>
      <c r="Q36692" s="11"/>
      <c r="R36692" s="11"/>
      <c r="S36692" s="11"/>
      <c r="T36692" s="11"/>
    </row>
    <row r="36693" spans="8:20" x14ac:dyDescent="0.35">
      <c r="H36693" s="711"/>
      <c r="I36693" s="711"/>
      <c r="J36693" s="711"/>
      <c r="K36693" s="711"/>
      <c r="L36693" s="711"/>
      <c r="Q36693" s="11"/>
      <c r="R36693" s="11"/>
      <c r="S36693" s="11"/>
      <c r="T36693" s="11"/>
    </row>
    <row r="36694" spans="8:20" x14ac:dyDescent="0.35">
      <c r="H36694" s="711"/>
      <c r="I36694" s="711"/>
      <c r="J36694" s="711"/>
      <c r="K36694" s="711"/>
      <c r="L36694" s="711"/>
      <c r="Q36694" s="11"/>
      <c r="R36694" s="11"/>
      <c r="S36694" s="11"/>
      <c r="T36694" s="11"/>
    </row>
    <row r="36695" spans="8:20" x14ac:dyDescent="0.35">
      <c r="H36695" s="711"/>
      <c r="I36695" s="711"/>
      <c r="J36695" s="711"/>
      <c r="K36695" s="711"/>
      <c r="L36695" s="711"/>
      <c r="Q36695" s="11"/>
      <c r="R36695" s="11"/>
      <c r="S36695" s="11"/>
      <c r="T36695" s="11"/>
    </row>
    <row r="36696" spans="8:20" x14ac:dyDescent="0.35">
      <c r="H36696" s="711"/>
      <c r="I36696" s="711"/>
      <c r="J36696" s="711"/>
      <c r="K36696" s="711"/>
      <c r="L36696" s="711"/>
      <c r="Q36696" s="11"/>
      <c r="R36696" s="11"/>
      <c r="S36696" s="11"/>
      <c r="T36696" s="11"/>
    </row>
    <row r="36697" spans="8:20" x14ac:dyDescent="0.35">
      <c r="H36697" s="711"/>
      <c r="I36697" s="711"/>
      <c r="J36697" s="711"/>
      <c r="K36697" s="711"/>
      <c r="L36697" s="711"/>
      <c r="Q36697" s="11"/>
      <c r="R36697" s="11"/>
      <c r="S36697" s="11"/>
      <c r="T36697" s="11"/>
    </row>
    <row r="36698" spans="8:20" x14ac:dyDescent="0.35">
      <c r="H36698" s="711"/>
      <c r="I36698" s="711"/>
      <c r="J36698" s="711"/>
      <c r="K36698" s="711"/>
      <c r="L36698" s="711"/>
      <c r="Q36698" s="11"/>
      <c r="R36698" s="11"/>
      <c r="S36698" s="11"/>
      <c r="T36698" s="11"/>
    </row>
    <row r="36699" spans="8:20" x14ac:dyDescent="0.35">
      <c r="H36699" s="711"/>
      <c r="I36699" s="711"/>
      <c r="J36699" s="711"/>
      <c r="K36699" s="711"/>
      <c r="L36699" s="711"/>
      <c r="Q36699" s="11"/>
      <c r="R36699" s="11"/>
      <c r="S36699" s="11"/>
      <c r="T36699" s="11"/>
    </row>
    <row r="36700" spans="8:20" x14ac:dyDescent="0.35">
      <c r="H36700" s="711"/>
      <c r="I36700" s="711"/>
      <c r="J36700" s="711"/>
      <c r="K36700" s="711"/>
      <c r="L36700" s="711"/>
      <c r="Q36700" s="11"/>
      <c r="R36700" s="11"/>
      <c r="S36700" s="11"/>
      <c r="T36700" s="11"/>
    </row>
    <row r="36701" spans="8:20" x14ac:dyDescent="0.35">
      <c r="H36701" s="711"/>
      <c r="I36701" s="711"/>
      <c r="J36701" s="711"/>
      <c r="K36701" s="711"/>
      <c r="L36701" s="711"/>
      <c r="Q36701" s="11"/>
      <c r="R36701" s="11"/>
      <c r="S36701" s="11"/>
      <c r="T36701" s="11"/>
    </row>
    <row r="36702" spans="8:20" x14ac:dyDescent="0.35">
      <c r="H36702" s="711"/>
      <c r="I36702" s="711"/>
      <c r="J36702" s="711"/>
      <c r="K36702" s="711"/>
      <c r="L36702" s="711"/>
      <c r="Q36702" s="11"/>
      <c r="R36702" s="11"/>
      <c r="S36702" s="11"/>
      <c r="T36702" s="11"/>
    </row>
    <row r="36703" spans="8:20" x14ac:dyDescent="0.35">
      <c r="H36703" s="711"/>
      <c r="I36703" s="711"/>
      <c r="J36703" s="711"/>
      <c r="K36703" s="711"/>
      <c r="L36703" s="711"/>
      <c r="Q36703" s="11"/>
      <c r="R36703" s="11"/>
      <c r="S36703" s="11"/>
      <c r="T36703" s="11"/>
    </row>
    <row r="36704" spans="8:20" x14ac:dyDescent="0.35">
      <c r="H36704" s="711"/>
      <c r="I36704" s="711"/>
      <c r="J36704" s="711"/>
      <c r="K36704" s="711"/>
      <c r="L36704" s="711"/>
      <c r="Q36704" s="11"/>
      <c r="R36704" s="11"/>
      <c r="S36704" s="11"/>
      <c r="T36704" s="11"/>
    </row>
    <row r="36705" spans="8:20" x14ac:dyDescent="0.35">
      <c r="H36705" s="711"/>
      <c r="I36705" s="711"/>
      <c r="J36705" s="711"/>
      <c r="K36705" s="711"/>
      <c r="L36705" s="711"/>
      <c r="Q36705" s="11"/>
      <c r="R36705" s="11"/>
      <c r="S36705" s="11"/>
      <c r="T36705" s="11"/>
    </row>
    <row r="36706" spans="8:20" x14ac:dyDescent="0.35">
      <c r="H36706" s="711"/>
      <c r="I36706" s="711"/>
      <c r="J36706" s="711"/>
      <c r="K36706" s="711"/>
      <c r="L36706" s="711"/>
      <c r="Q36706" s="11"/>
      <c r="R36706" s="11"/>
      <c r="S36706" s="11"/>
      <c r="T36706" s="11"/>
    </row>
    <row r="36707" spans="8:20" x14ac:dyDescent="0.35">
      <c r="H36707" s="711"/>
      <c r="I36707" s="711"/>
      <c r="J36707" s="711"/>
      <c r="K36707" s="711"/>
      <c r="L36707" s="711"/>
      <c r="Q36707" s="11"/>
      <c r="R36707" s="11"/>
      <c r="S36707" s="11"/>
      <c r="T36707" s="11"/>
    </row>
    <row r="36708" spans="8:20" x14ac:dyDescent="0.35">
      <c r="H36708" s="711"/>
      <c r="I36708" s="711"/>
      <c r="J36708" s="711"/>
      <c r="K36708" s="711"/>
      <c r="L36708" s="711"/>
      <c r="Q36708" s="11"/>
      <c r="R36708" s="11"/>
      <c r="S36708" s="11"/>
      <c r="T36708" s="11"/>
    </row>
    <row r="36709" spans="8:20" x14ac:dyDescent="0.35">
      <c r="H36709" s="711"/>
      <c r="I36709" s="711"/>
      <c r="J36709" s="711"/>
      <c r="K36709" s="711"/>
      <c r="L36709" s="711"/>
      <c r="Q36709" s="11"/>
      <c r="R36709" s="11"/>
      <c r="S36709" s="11"/>
      <c r="T36709" s="11"/>
    </row>
    <row r="36710" spans="8:20" x14ac:dyDescent="0.35">
      <c r="H36710" s="711"/>
      <c r="I36710" s="711"/>
      <c r="J36710" s="711"/>
      <c r="K36710" s="711"/>
      <c r="L36710" s="711"/>
      <c r="Q36710" s="11"/>
      <c r="R36710" s="11"/>
      <c r="S36710" s="11"/>
      <c r="T36710" s="11"/>
    </row>
    <row r="36711" spans="8:20" x14ac:dyDescent="0.35">
      <c r="H36711" s="711"/>
      <c r="I36711" s="711"/>
      <c r="J36711" s="711"/>
      <c r="K36711" s="711"/>
      <c r="L36711" s="711"/>
      <c r="Q36711" s="11"/>
      <c r="R36711" s="11"/>
      <c r="S36711" s="11"/>
      <c r="T36711" s="11"/>
    </row>
    <row r="36712" spans="8:20" x14ac:dyDescent="0.35">
      <c r="H36712" s="711"/>
      <c r="I36712" s="711"/>
      <c r="J36712" s="711"/>
      <c r="K36712" s="711"/>
      <c r="L36712" s="711"/>
      <c r="Q36712" s="11"/>
      <c r="R36712" s="11"/>
      <c r="S36712" s="11"/>
      <c r="T36712" s="11"/>
    </row>
    <row r="36713" spans="8:20" x14ac:dyDescent="0.35">
      <c r="H36713" s="711"/>
      <c r="I36713" s="711"/>
      <c r="J36713" s="711"/>
      <c r="K36713" s="711"/>
      <c r="L36713" s="711"/>
      <c r="Q36713" s="11"/>
      <c r="R36713" s="11"/>
      <c r="S36713" s="11"/>
      <c r="T36713" s="11"/>
    </row>
    <row r="36714" spans="8:20" x14ac:dyDescent="0.35">
      <c r="H36714" s="711"/>
      <c r="I36714" s="711"/>
      <c r="J36714" s="711"/>
      <c r="K36714" s="711"/>
      <c r="L36714" s="711"/>
      <c r="Q36714" s="11"/>
      <c r="R36714" s="11"/>
      <c r="S36714" s="11"/>
      <c r="T36714" s="11"/>
    </row>
    <row r="36715" spans="8:20" x14ac:dyDescent="0.35">
      <c r="H36715" s="711"/>
      <c r="I36715" s="711"/>
      <c r="J36715" s="711"/>
      <c r="K36715" s="711"/>
      <c r="L36715" s="711"/>
      <c r="Q36715" s="11"/>
      <c r="R36715" s="11"/>
      <c r="S36715" s="11"/>
      <c r="T36715" s="11"/>
    </row>
    <row r="36716" spans="8:20" x14ac:dyDescent="0.35">
      <c r="H36716" s="711"/>
      <c r="I36716" s="711"/>
      <c r="J36716" s="711"/>
      <c r="K36716" s="711"/>
      <c r="L36716" s="711"/>
      <c r="Q36716" s="11"/>
      <c r="R36716" s="11"/>
      <c r="S36716" s="11"/>
      <c r="T36716" s="11"/>
    </row>
    <row r="36717" spans="8:20" x14ac:dyDescent="0.35">
      <c r="H36717" s="711"/>
      <c r="I36717" s="711"/>
      <c r="J36717" s="711"/>
      <c r="K36717" s="711"/>
      <c r="L36717" s="711"/>
      <c r="Q36717" s="11"/>
      <c r="R36717" s="11"/>
      <c r="S36717" s="11"/>
      <c r="T36717" s="11"/>
    </row>
    <row r="36718" spans="8:20" x14ac:dyDescent="0.35">
      <c r="H36718" s="711"/>
      <c r="I36718" s="711"/>
      <c r="J36718" s="711"/>
      <c r="K36718" s="711"/>
      <c r="L36718" s="711"/>
      <c r="Q36718" s="11"/>
      <c r="R36718" s="11"/>
      <c r="S36718" s="11"/>
      <c r="T36718" s="11"/>
    </row>
    <row r="36719" spans="8:20" x14ac:dyDescent="0.35">
      <c r="H36719" s="711"/>
      <c r="I36719" s="711"/>
      <c r="J36719" s="711"/>
      <c r="K36719" s="711"/>
      <c r="L36719" s="711"/>
      <c r="Q36719" s="11"/>
      <c r="R36719" s="11"/>
      <c r="S36719" s="11"/>
      <c r="T36719" s="11"/>
    </row>
    <row r="36720" spans="8:20" x14ac:dyDescent="0.35">
      <c r="H36720" s="711"/>
      <c r="I36720" s="711"/>
      <c r="J36720" s="711"/>
      <c r="K36720" s="711"/>
      <c r="L36720" s="711"/>
      <c r="Q36720" s="11"/>
      <c r="R36720" s="11"/>
      <c r="S36720" s="11"/>
      <c r="T36720" s="11"/>
    </row>
    <row r="36721" spans="8:20" x14ac:dyDescent="0.35">
      <c r="H36721" s="711"/>
      <c r="I36721" s="711"/>
      <c r="J36721" s="711"/>
      <c r="K36721" s="711"/>
      <c r="L36721" s="711"/>
      <c r="Q36721" s="11"/>
      <c r="R36721" s="11"/>
      <c r="S36721" s="11"/>
      <c r="T36721" s="11"/>
    </row>
    <row r="36722" spans="8:20" x14ac:dyDescent="0.35">
      <c r="H36722" s="711"/>
      <c r="I36722" s="711"/>
      <c r="J36722" s="711"/>
      <c r="K36722" s="711"/>
      <c r="L36722" s="711"/>
      <c r="Q36722" s="11"/>
      <c r="R36722" s="11"/>
      <c r="S36722" s="11"/>
      <c r="T36722" s="11"/>
    </row>
    <row r="36723" spans="8:20" x14ac:dyDescent="0.35">
      <c r="H36723" s="711"/>
      <c r="I36723" s="711"/>
      <c r="J36723" s="711"/>
      <c r="K36723" s="711"/>
      <c r="L36723" s="711"/>
      <c r="Q36723" s="11"/>
      <c r="R36723" s="11"/>
      <c r="S36723" s="11"/>
      <c r="T36723" s="11"/>
    </row>
    <row r="36724" spans="8:20" x14ac:dyDescent="0.35">
      <c r="H36724" s="711"/>
      <c r="I36724" s="711"/>
      <c r="J36724" s="711"/>
      <c r="K36724" s="711"/>
      <c r="L36724" s="711"/>
      <c r="Q36724" s="11"/>
      <c r="R36724" s="11"/>
      <c r="S36724" s="11"/>
      <c r="T36724" s="11"/>
    </row>
    <row r="36725" spans="8:20" x14ac:dyDescent="0.35">
      <c r="H36725" s="711"/>
      <c r="I36725" s="711"/>
      <c r="J36725" s="711"/>
      <c r="K36725" s="711"/>
      <c r="L36725" s="711"/>
      <c r="Q36725" s="11"/>
      <c r="R36725" s="11"/>
      <c r="S36725" s="11"/>
      <c r="T36725" s="11"/>
    </row>
    <row r="36726" spans="8:20" x14ac:dyDescent="0.35">
      <c r="H36726" s="711"/>
      <c r="I36726" s="711"/>
      <c r="J36726" s="711"/>
      <c r="K36726" s="711"/>
      <c r="L36726" s="711"/>
      <c r="Q36726" s="11"/>
      <c r="R36726" s="11"/>
      <c r="S36726" s="11"/>
      <c r="T36726" s="11"/>
    </row>
    <row r="36727" spans="8:20" x14ac:dyDescent="0.35">
      <c r="H36727" s="711"/>
      <c r="I36727" s="711"/>
      <c r="J36727" s="711"/>
      <c r="K36727" s="711"/>
      <c r="L36727" s="711"/>
      <c r="Q36727" s="11"/>
      <c r="R36727" s="11"/>
      <c r="S36727" s="11"/>
      <c r="T36727" s="11"/>
    </row>
    <row r="36728" spans="8:20" x14ac:dyDescent="0.35">
      <c r="H36728" s="711"/>
      <c r="I36728" s="711"/>
      <c r="J36728" s="711"/>
      <c r="K36728" s="711"/>
      <c r="L36728" s="711"/>
      <c r="Q36728" s="11"/>
      <c r="R36728" s="11"/>
      <c r="S36728" s="11"/>
      <c r="T36728" s="11"/>
    </row>
    <row r="36729" spans="8:20" x14ac:dyDescent="0.35">
      <c r="H36729" s="711"/>
      <c r="I36729" s="711"/>
      <c r="J36729" s="711"/>
      <c r="K36729" s="711"/>
      <c r="L36729" s="711"/>
      <c r="Q36729" s="11"/>
      <c r="R36729" s="11"/>
      <c r="S36729" s="11"/>
      <c r="T36729" s="11"/>
    </row>
    <row r="36730" spans="8:20" x14ac:dyDescent="0.35">
      <c r="H36730" s="711"/>
      <c r="I36730" s="711"/>
      <c r="J36730" s="711"/>
      <c r="K36730" s="711"/>
      <c r="L36730" s="711"/>
      <c r="Q36730" s="11"/>
      <c r="R36730" s="11"/>
      <c r="S36730" s="11"/>
      <c r="T36730" s="11"/>
    </row>
    <row r="36731" spans="8:20" x14ac:dyDescent="0.35">
      <c r="H36731" s="711"/>
      <c r="I36731" s="711"/>
      <c r="J36731" s="711"/>
      <c r="K36731" s="711"/>
      <c r="L36731" s="711"/>
      <c r="Q36731" s="11"/>
      <c r="R36731" s="11"/>
      <c r="S36731" s="11"/>
      <c r="T36731" s="11"/>
    </row>
    <row r="36732" spans="8:20" x14ac:dyDescent="0.35">
      <c r="H36732" s="711"/>
      <c r="I36732" s="711"/>
      <c r="J36732" s="711"/>
      <c r="K36732" s="711"/>
      <c r="L36732" s="711"/>
      <c r="Q36732" s="11"/>
      <c r="R36732" s="11"/>
      <c r="S36732" s="11"/>
      <c r="T36732" s="11"/>
    </row>
    <row r="36733" spans="8:20" x14ac:dyDescent="0.35">
      <c r="H36733" s="711"/>
      <c r="I36733" s="711"/>
      <c r="J36733" s="711"/>
      <c r="K36733" s="711"/>
      <c r="L36733" s="711"/>
      <c r="Q36733" s="11"/>
      <c r="R36733" s="11"/>
      <c r="S36733" s="11"/>
      <c r="T36733" s="11"/>
    </row>
    <row r="36734" spans="8:20" x14ac:dyDescent="0.35">
      <c r="H36734" s="711"/>
      <c r="I36734" s="711"/>
      <c r="J36734" s="711"/>
      <c r="K36734" s="711"/>
      <c r="L36734" s="711"/>
      <c r="Q36734" s="11"/>
      <c r="R36734" s="11"/>
      <c r="S36734" s="11"/>
      <c r="T36734" s="11"/>
    </row>
    <row r="36735" spans="8:20" x14ac:dyDescent="0.35">
      <c r="H36735" s="711"/>
      <c r="I36735" s="711"/>
      <c r="J36735" s="711"/>
      <c r="K36735" s="711"/>
      <c r="L36735" s="711"/>
      <c r="Q36735" s="11"/>
      <c r="R36735" s="11"/>
      <c r="S36735" s="11"/>
      <c r="T36735" s="11"/>
    </row>
    <row r="36736" spans="8:20" x14ac:dyDescent="0.35">
      <c r="H36736" s="711"/>
      <c r="I36736" s="711"/>
      <c r="J36736" s="711"/>
      <c r="K36736" s="711"/>
      <c r="L36736" s="711"/>
      <c r="Q36736" s="11"/>
      <c r="R36736" s="11"/>
      <c r="S36736" s="11"/>
      <c r="T36736" s="11"/>
    </row>
    <row r="36737" spans="8:20" x14ac:dyDescent="0.35">
      <c r="H36737" s="711"/>
      <c r="I36737" s="711"/>
      <c r="J36737" s="711"/>
      <c r="K36737" s="711"/>
      <c r="L36737" s="711"/>
      <c r="Q36737" s="11"/>
      <c r="R36737" s="11"/>
      <c r="S36737" s="11"/>
      <c r="T36737" s="11"/>
    </row>
    <row r="36738" spans="8:20" x14ac:dyDescent="0.35">
      <c r="H36738" s="711"/>
      <c r="I36738" s="711"/>
      <c r="J36738" s="711"/>
      <c r="K36738" s="711"/>
      <c r="L36738" s="711"/>
      <c r="Q36738" s="11"/>
      <c r="R36738" s="11"/>
      <c r="S36738" s="11"/>
      <c r="T36738" s="11"/>
    </row>
    <row r="36739" spans="8:20" x14ac:dyDescent="0.35">
      <c r="H36739" s="711"/>
      <c r="I36739" s="711"/>
      <c r="J36739" s="711"/>
      <c r="K36739" s="711"/>
      <c r="L36739" s="711"/>
      <c r="Q36739" s="11"/>
      <c r="R36739" s="11"/>
      <c r="S36739" s="11"/>
      <c r="T36739" s="11"/>
    </row>
    <row r="36740" spans="8:20" x14ac:dyDescent="0.35">
      <c r="H36740" s="711"/>
      <c r="I36740" s="711"/>
      <c r="J36740" s="711"/>
      <c r="K36740" s="711"/>
      <c r="L36740" s="711"/>
      <c r="Q36740" s="11"/>
      <c r="R36740" s="11"/>
      <c r="S36740" s="11"/>
      <c r="T36740" s="11"/>
    </row>
    <row r="36741" spans="8:20" x14ac:dyDescent="0.35">
      <c r="H36741" s="711"/>
      <c r="I36741" s="711"/>
      <c r="J36741" s="711"/>
      <c r="K36741" s="711"/>
      <c r="L36741" s="711"/>
      <c r="Q36741" s="11"/>
      <c r="R36741" s="11"/>
      <c r="S36741" s="11"/>
      <c r="T36741" s="11"/>
    </row>
    <row r="36742" spans="8:20" x14ac:dyDescent="0.35">
      <c r="H36742" s="711"/>
      <c r="I36742" s="711"/>
      <c r="J36742" s="711"/>
      <c r="K36742" s="711"/>
      <c r="L36742" s="711"/>
      <c r="Q36742" s="11"/>
      <c r="R36742" s="11"/>
      <c r="S36742" s="11"/>
      <c r="T36742" s="11"/>
    </row>
    <row r="36743" spans="8:20" x14ac:dyDescent="0.35">
      <c r="H36743" s="711"/>
      <c r="I36743" s="711"/>
      <c r="J36743" s="711"/>
      <c r="K36743" s="711"/>
      <c r="L36743" s="711"/>
      <c r="Q36743" s="11"/>
      <c r="R36743" s="11"/>
      <c r="S36743" s="11"/>
      <c r="T36743" s="11"/>
    </row>
    <row r="36744" spans="8:20" x14ac:dyDescent="0.35">
      <c r="H36744" s="711"/>
      <c r="I36744" s="711"/>
      <c r="J36744" s="711"/>
      <c r="K36744" s="711"/>
      <c r="L36744" s="711"/>
      <c r="Q36744" s="11"/>
      <c r="R36744" s="11"/>
      <c r="S36744" s="11"/>
      <c r="T36744" s="11"/>
    </row>
    <row r="36745" spans="8:20" x14ac:dyDescent="0.35">
      <c r="H36745" s="711"/>
      <c r="I36745" s="711"/>
      <c r="J36745" s="711"/>
      <c r="K36745" s="711"/>
      <c r="L36745" s="711"/>
      <c r="Q36745" s="11"/>
      <c r="R36745" s="11"/>
      <c r="S36745" s="11"/>
      <c r="T36745" s="11"/>
    </row>
    <row r="36746" spans="8:20" x14ac:dyDescent="0.35">
      <c r="H36746" s="711"/>
      <c r="I36746" s="711"/>
      <c r="J36746" s="711"/>
      <c r="K36746" s="711"/>
      <c r="L36746" s="711"/>
      <c r="Q36746" s="11"/>
      <c r="R36746" s="11"/>
      <c r="S36746" s="11"/>
      <c r="T36746" s="11"/>
    </row>
    <row r="36747" spans="8:20" x14ac:dyDescent="0.35">
      <c r="H36747" s="711"/>
      <c r="I36747" s="711"/>
      <c r="J36747" s="711"/>
      <c r="K36747" s="711"/>
      <c r="L36747" s="711"/>
      <c r="Q36747" s="11"/>
      <c r="R36747" s="11"/>
      <c r="S36747" s="11"/>
      <c r="T36747" s="11"/>
    </row>
    <row r="36748" spans="8:20" x14ac:dyDescent="0.35">
      <c r="H36748" s="711"/>
      <c r="I36748" s="711"/>
      <c r="J36748" s="711"/>
      <c r="K36748" s="711"/>
      <c r="L36748" s="711"/>
      <c r="Q36748" s="11"/>
      <c r="R36748" s="11"/>
      <c r="S36748" s="11"/>
      <c r="T36748" s="11"/>
    </row>
    <row r="36749" spans="8:20" x14ac:dyDescent="0.35">
      <c r="H36749" s="711"/>
      <c r="I36749" s="711"/>
      <c r="J36749" s="711"/>
      <c r="K36749" s="711"/>
      <c r="L36749" s="711"/>
      <c r="Q36749" s="11"/>
      <c r="R36749" s="11"/>
      <c r="S36749" s="11"/>
      <c r="T36749" s="11"/>
    </row>
    <row r="36750" spans="8:20" x14ac:dyDescent="0.35">
      <c r="H36750" s="711"/>
      <c r="I36750" s="711"/>
      <c r="J36750" s="711"/>
      <c r="K36750" s="711"/>
      <c r="L36750" s="711"/>
      <c r="Q36750" s="11"/>
      <c r="R36750" s="11"/>
      <c r="S36750" s="11"/>
      <c r="T36750" s="11"/>
    </row>
    <row r="36751" spans="8:20" x14ac:dyDescent="0.35">
      <c r="H36751" s="711"/>
      <c r="I36751" s="711"/>
      <c r="J36751" s="711"/>
      <c r="K36751" s="711"/>
      <c r="L36751" s="711"/>
      <c r="Q36751" s="11"/>
      <c r="R36751" s="11"/>
      <c r="S36751" s="11"/>
      <c r="T36751" s="11"/>
    </row>
    <row r="36752" spans="8:20" x14ac:dyDescent="0.35">
      <c r="H36752" s="711"/>
      <c r="I36752" s="711"/>
      <c r="J36752" s="711"/>
      <c r="K36752" s="711"/>
      <c r="L36752" s="711"/>
      <c r="Q36752" s="11"/>
      <c r="R36752" s="11"/>
      <c r="S36752" s="11"/>
      <c r="T36752" s="11"/>
    </row>
    <row r="36753" spans="8:20" x14ac:dyDescent="0.35">
      <c r="H36753" s="711"/>
      <c r="I36753" s="711"/>
      <c r="J36753" s="711"/>
      <c r="K36753" s="711"/>
      <c r="L36753" s="711"/>
      <c r="Q36753" s="11"/>
      <c r="R36753" s="11"/>
      <c r="S36753" s="11"/>
      <c r="T36753" s="11"/>
    </row>
    <row r="36754" spans="8:20" x14ac:dyDescent="0.35">
      <c r="H36754" s="711"/>
      <c r="I36754" s="711"/>
      <c r="J36754" s="711"/>
      <c r="K36754" s="711"/>
      <c r="L36754" s="711"/>
      <c r="Q36754" s="11"/>
      <c r="R36754" s="11"/>
      <c r="S36754" s="11"/>
      <c r="T36754" s="11"/>
    </row>
    <row r="36755" spans="8:20" x14ac:dyDescent="0.35">
      <c r="H36755" s="711"/>
      <c r="I36755" s="711"/>
      <c r="J36755" s="711"/>
      <c r="K36755" s="711"/>
      <c r="L36755" s="711"/>
      <c r="Q36755" s="11"/>
      <c r="R36755" s="11"/>
      <c r="S36755" s="11"/>
      <c r="T36755" s="11"/>
    </row>
    <row r="36756" spans="8:20" x14ac:dyDescent="0.35">
      <c r="H36756" s="711"/>
      <c r="I36756" s="711"/>
      <c r="J36756" s="711"/>
      <c r="K36756" s="711"/>
      <c r="L36756" s="711"/>
      <c r="Q36756" s="11"/>
      <c r="R36756" s="11"/>
      <c r="S36756" s="11"/>
      <c r="T36756" s="11"/>
    </row>
    <row r="36757" spans="8:20" x14ac:dyDescent="0.35">
      <c r="H36757" s="711"/>
      <c r="I36757" s="711"/>
      <c r="J36757" s="711"/>
      <c r="K36757" s="711"/>
      <c r="L36757" s="711"/>
      <c r="Q36757" s="11"/>
      <c r="R36757" s="11"/>
      <c r="S36757" s="11"/>
      <c r="T36757" s="11"/>
    </row>
    <row r="36758" spans="8:20" x14ac:dyDescent="0.35">
      <c r="H36758" s="711"/>
      <c r="I36758" s="711"/>
      <c r="J36758" s="711"/>
      <c r="K36758" s="711"/>
      <c r="L36758" s="711"/>
      <c r="Q36758" s="11"/>
      <c r="R36758" s="11"/>
      <c r="S36758" s="11"/>
      <c r="T36758" s="11"/>
    </row>
    <row r="36759" spans="8:20" x14ac:dyDescent="0.35">
      <c r="H36759" s="711"/>
      <c r="I36759" s="711"/>
      <c r="J36759" s="711"/>
      <c r="K36759" s="711"/>
      <c r="L36759" s="711"/>
      <c r="Q36759" s="11"/>
      <c r="R36759" s="11"/>
      <c r="S36759" s="11"/>
      <c r="T36759" s="11"/>
    </row>
    <row r="36760" spans="8:20" x14ac:dyDescent="0.35">
      <c r="H36760" s="711"/>
      <c r="I36760" s="711"/>
      <c r="J36760" s="711"/>
      <c r="K36760" s="711"/>
      <c r="L36760" s="711"/>
      <c r="Q36760" s="11"/>
      <c r="R36760" s="11"/>
      <c r="S36760" s="11"/>
      <c r="T36760" s="11"/>
    </row>
    <row r="36761" spans="8:20" x14ac:dyDescent="0.35">
      <c r="H36761" s="711"/>
      <c r="I36761" s="711"/>
      <c r="J36761" s="711"/>
      <c r="K36761" s="711"/>
      <c r="L36761" s="711"/>
      <c r="Q36761" s="11"/>
      <c r="R36761" s="11"/>
      <c r="S36761" s="11"/>
      <c r="T36761" s="11"/>
    </row>
    <row r="36762" spans="8:20" x14ac:dyDescent="0.35">
      <c r="H36762" s="711"/>
      <c r="I36762" s="711"/>
      <c r="J36762" s="711"/>
      <c r="K36762" s="711"/>
      <c r="L36762" s="711"/>
      <c r="Q36762" s="11"/>
      <c r="R36762" s="11"/>
      <c r="S36762" s="11"/>
      <c r="T36762" s="11"/>
    </row>
    <row r="36763" spans="8:20" x14ac:dyDescent="0.35">
      <c r="H36763" s="711"/>
      <c r="I36763" s="711"/>
      <c r="J36763" s="711"/>
      <c r="K36763" s="711"/>
      <c r="L36763" s="711"/>
      <c r="Q36763" s="11"/>
      <c r="R36763" s="11"/>
      <c r="S36763" s="11"/>
      <c r="T36763" s="11"/>
    </row>
    <row r="36764" spans="8:20" x14ac:dyDescent="0.35">
      <c r="H36764" s="711"/>
      <c r="I36764" s="711"/>
      <c r="J36764" s="711"/>
      <c r="K36764" s="711"/>
      <c r="L36764" s="711"/>
      <c r="Q36764" s="11"/>
      <c r="R36764" s="11"/>
      <c r="S36764" s="11"/>
      <c r="T36764" s="11"/>
    </row>
    <row r="36765" spans="8:20" x14ac:dyDescent="0.35">
      <c r="H36765" s="711"/>
      <c r="I36765" s="711"/>
      <c r="J36765" s="711"/>
      <c r="K36765" s="711"/>
      <c r="L36765" s="711"/>
      <c r="Q36765" s="11"/>
      <c r="R36765" s="11"/>
      <c r="S36765" s="11"/>
      <c r="T36765" s="11"/>
    </row>
    <row r="36766" spans="8:20" x14ac:dyDescent="0.35">
      <c r="H36766" s="711"/>
      <c r="I36766" s="711"/>
      <c r="J36766" s="711"/>
      <c r="K36766" s="711"/>
      <c r="L36766" s="711"/>
      <c r="Q36766" s="11"/>
      <c r="R36766" s="11"/>
      <c r="S36766" s="11"/>
      <c r="T36766" s="11"/>
    </row>
    <row r="36767" spans="8:20" x14ac:dyDescent="0.35">
      <c r="H36767" s="711"/>
      <c r="I36767" s="711"/>
      <c r="J36767" s="711"/>
      <c r="K36767" s="711"/>
      <c r="L36767" s="711"/>
      <c r="Q36767" s="11"/>
      <c r="R36767" s="11"/>
      <c r="S36767" s="11"/>
      <c r="T36767" s="11"/>
    </row>
    <row r="36768" spans="8:20" x14ac:dyDescent="0.35">
      <c r="H36768" s="711"/>
      <c r="I36768" s="711"/>
      <c r="J36768" s="711"/>
      <c r="K36768" s="711"/>
      <c r="L36768" s="711"/>
      <c r="Q36768" s="11"/>
      <c r="R36768" s="11"/>
      <c r="S36768" s="11"/>
      <c r="T36768" s="11"/>
    </row>
    <row r="36769" spans="8:20" x14ac:dyDescent="0.35">
      <c r="H36769" s="711"/>
      <c r="I36769" s="711"/>
      <c r="J36769" s="711"/>
      <c r="K36769" s="711"/>
      <c r="L36769" s="711"/>
      <c r="Q36769" s="11"/>
      <c r="R36769" s="11"/>
      <c r="S36769" s="11"/>
      <c r="T36769" s="11"/>
    </row>
    <row r="36770" spans="8:20" x14ac:dyDescent="0.35">
      <c r="H36770" s="711"/>
      <c r="I36770" s="711"/>
      <c r="J36770" s="711"/>
      <c r="K36770" s="711"/>
      <c r="L36770" s="711"/>
      <c r="Q36770" s="11"/>
      <c r="R36770" s="11"/>
      <c r="S36770" s="11"/>
      <c r="T36770" s="11"/>
    </row>
    <row r="36771" spans="8:20" x14ac:dyDescent="0.35">
      <c r="H36771" s="711"/>
      <c r="I36771" s="711"/>
      <c r="J36771" s="711"/>
      <c r="K36771" s="711"/>
      <c r="L36771" s="711"/>
      <c r="Q36771" s="11"/>
      <c r="R36771" s="11"/>
      <c r="S36771" s="11"/>
      <c r="T36771" s="11"/>
    </row>
    <row r="36772" spans="8:20" x14ac:dyDescent="0.35">
      <c r="H36772" s="711"/>
      <c r="I36772" s="711"/>
      <c r="J36772" s="711"/>
      <c r="K36772" s="711"/>
      <c r="L36772" s="711"/>
      <c r="Q36772" s="11"/>
      <c r="R36772" s="11"/>
      <c r="S36772" s="11"/>
      <c r="T36772" s="11"/>
    </row>
    <row r="36773" spans="8:20" x14ac:dyDescent="0.35">
      <c r="H36773" s="711"/>
      <c r="I36773" s="711"/>
      <c r="J36773" s="711"/>
      <c r="K36773" s="711"/>
      <c r="L36773" s="711"/>
      <c r="Q36773" s="11"/>
      <c r="R36773" s="11"/>
      <c r="S36773" s="11"/>
      <c r="T36773" s="11"/>
    </row>
    <row r="36774" spans="8:20" x14ac:dyDescent="0.35">
      <c r="H36774" s="711"/>
      <c r="I36774" s="711"/>
      <c r="J36774" s="711"/>
      <c r="K36774" s="711"/>
      <c r="L36774" s="711"/>
      <c r="Q36774" s="11"/>
      <c r="R36774" s="11"/>
      <c r="S36774" s="11"/>
      <c r="T36774" s="11"/>
    </row>
    <row r="36775" spans="8:20" x14ac:dyDescent="0.35">
      <c r="H36775" s="711"/>
      <c r="I36775" s="711"/>
      <c r="J36775" s="711"/>
      <c r="K36775" s="711"/>
      <c r="L36775" s="711"/>
      <c r="Q36775" s="11"/>
      <c r="R36775" s="11"/>
      <c r="S36775" s="11"/>
      <c r="T36775" s="11"/>
    </row>
    <row r="36776" spans="8:20" x14ac:dyDescent="0.35">
      <c r="H36776" s="711"/>
      <c r="I36776" s="711"/>
      <c r="J36776" s="711"/>
      <c r="K36776" s="711"/>
      <c r="L36776" s="711"/>
      <c r="Q36776" s="11"/>
      <c r="R36776" s="11"/>
      <c r="S36776" s="11"/>
      <c r="T36776" s="11"/>
    </row>
    <row r="36777" spans="8:20" x14ac:dyDescent="0.35">
      <c r="H36777" s="711"/>
      <c r="I36777" s="711"/>
      <c r="J36777" s="711"/>
      <c r="K36777" s="711"/>
      <c r="L36777" s="711"/>
      <c r="Q36777" s="11"/>
      <c r="R36777" s="11"/>
      <c r="S36777" s="11"/>
      <c r="T36777" s="11"/>
    </row>
    <row r="36778" spans="8:20" x14ac:dyDescent="0.35">
      <c r="H36778" s="711"/>
      <c r="I36778" s="711"/>
      <c r="J36778" s="711"/>
      <c r="K36778" s="711"/>
      <c r="L36778" s="711"/>
      <c r="Q36778" s="11"/>
      <c r="R36778" s="11"/>
      <c r="S36778" s="11"/>
      <c r="T36778" s="11"/>
    </row>
    <row r="36779" spans="8:20" x14ac:dyDescent="0.35">
      <c r="H36779" s="711"/>
      <c r="I36779" s="711"/>
      <c r="J36779" s="711"/>
      <c r="K36779" s="711"/>
      <c r="L36779" s="711"/>
      <c r="Q36779" s="11"/>
      <c r="R36779" s="11"/>
      <c r="S36779" s="11"/>
      <c r="T36779" s="11"/>
    </row>
    <row r="36780" spans="8:20" x14ac:dyDescent="0.35">
      <c r="H36780" s="711"/>
      <c r="I36780" s="711"/>
      <c r="J36780" s="711"/>
      <c r="K36780" s="711"/>
      <c r="L36780" s="711"/>
      <c r="Q36780" s="11"/>
      <c r="R36780" s="11"/>
      <c r="S36780" s="11"/>
      <c r="T36780" s="11"/>
    </row>
    <row r="36781" spans="8:20" x14ac:dyDescent="0.35">
      <c r="H36781" s="711"/>
      <c r="I36781" s="711"/>
      <c r="J36781" s="711"/>
      <c r="K36781" s="711"/>
      <c r="L36781" s="711"/>
      <c r="Q36781" s="11"/>
      <c r="R36781" s="11"/>
      <c r="S36781" s="11"/>
      <c r="T36781" s="11"/>
    </row>
    <row r="36782" spans="8:20" x14ac:dyDescent="0.35">
      <c r="H36782" s="711"/>
      <c r="I36782" s="711"/>
      <c r="J36782" s="711"/>
      <c r="K36782" s="711"/>
      <c r="L36782" s="711"/>
      <c r="Q36782" s="11"/>
      <c r="R36782" s="11"/>
      <c r="S36782" s="11"/>
      <c r="T36782" s="11"/>
    </row>
    <row r="36783" spans="8:20" x14ac:dyDescent="0.35">
      <c r="H36783" s="711"/>
      <c r="I36783" s="711"/>
      <c r="J36783" s="711"/>
      <c r="K36783" s="711"/>
      <c r="L36783" s="711"/>
      <c r="Q36783" s="11"/>
      <c r="R36783" s="11"/>
      <c r="S36783" s="11"/>
      <c r="T36783" s="11"/>
    </row>
    <row r="36784" spans="8:20" x14ac:dyDescent="0.35">
      <c r="H36784" s="711"/>
      <c r="I36784" s="711"/>
      <c r="J36784" s="711"/>
      <c r="K36784" s="711"/>
      <c r="L36784" s="711"/>
      <c r="Q36784" s="11"/>
      <c r="R36784" s="11"/>
      <c r="S36784" s="11"/>
      <c r="T36784" s="11"/>
    </row>
    <row r="36785" spans="8:20" x14ac:dyDescent="0.35">
      <c r="H36785" s="711"/>
      <c r="I36785" s="711"/>
      <c r="J36785" s="711"/>
      <c r="K36785" s="711"/>
      <c r="L36785" s="711"/>
      <c r="Q36785" s="11"/>
      <c r="R36785" s="11"/>
      <c r="S36785" s="11"/>
      <c r="T36785" s="11"/>
    </row>
    <row r="36786" spans="8:20" x14ac:dyDescent="0.35">
      <c r="H36786" s="711"/>
      <c r="I36786" s="711"/>
      <c r="J36786" s="711"/>
      <c r="K36786" s="711"/>
      <c r="L36786" s="711"/>
      <c r="Q36786" s="11"/>
      <c r="R36786" s="11"/>
      <c r="S36786" s="11"/>
      <c r="T36786" s="11"/>
    </row>
    <row r="36787" spans="8:20" x14ac:dyDescent="0.35">
      <c r="H36787" s="711"/>
      <c r="I36787" s="711"/>
      <c r="J36787" s="711"/>
      <c r="K36787" s="711"/>
      <c r="L36787" s="711"/>
      <c r="Q36787" s="11"/>
      <c r="R36787" s="11"/>
      <c r="S36787" s="11"/>
      <c r="T36787" s="11"/>
    </row>
    <row r="36788" spans="8:20" x14ac:dyDescent="0.35">
      <c r="H36788" s="711"/>
      <c r="I36788" s="711"/>
      <c r="J36788" s="711"/>
      <c r="K36788" s="711"/>
      <c r="L36788" s="711"/>
      <c r="Q36788" s="11"/>
      <c r="R36788" s="11"/>
      <c r="S36788" s="11"/>
      <c r="T36788" s="11"/>
    </row>
    <row r="36789" spans="8:20" x14ac:dyDescent="0.35">
      <c r="H36789" s="711"/>
      <c r="I36789" s="711"/>
      <c r="J36789" s="711"/>
      <c r="K36789" s="711"/>
      <c r="L36789" s="711"/>
      <c r="Q36789" s="11"/>
      <c r="R36789" s="11"/>
      <c r="S36789" s="11"/>
      <c r="T36789" s="11"/>
    </row>
    <row r="36790" spans="8:20" x14ac:dyDescent="0.35">
      <c r="H36790" s="711"/>
      <c r="I36790" s="711"/>
      <c r="J36790" s="711"/>
      <c r="K36790" s="711"/>
      <c r="L36790" s="711"/>
      <c r="Q36790" s="11"/>
      <c r="R36790" s="11"/>
      <c r="S36790" s="11"/>
      <c r="T36790" s="11"/>
    </row>
    <row r="36791" spans="8:20" x14ac:dyDescent="0.35">
      <c r="H36791" s="711"/>
      <c r="I36791" s="711"/>
      <c r="J36791" s="711"/>
      <c r="K36791" s="711"/>
      <c r="L36791" s="711"/>
      <c r="Q36791" s="11"/>
      <c r="R36791" s="11"/>
      <c r="S36791" s="11"/>
      <c r="T36791" s="11"/>
    </row>
    <row r="36792" spans="8:20" x14ac:dyDescent="0.35">
      <c r="H36792" s="711"/>
      <c r="I36792" s="711"/>
      <c r="J36792" s="711"/>
      <c r="K36792" s="711"/>
      <c r="L36792" s="711"/>
      <c r="Q36792" s="11"/>
      <c r="R36792" s="11"/>
      <c r="S36792" s="11"/>
      <c r="T36792" s="11"/>
    </row>
    <row r="36793" spans="8:20" x14ac:dyDescent="0.35">
      <c r="H36793" s="711"/>
      <c r="I36793" s="711"/>
      <c r="J36793" s="711"/>
      <c r="K36793" s="711"/>
      <c r="L36793" s="711"/>
      <c r="Q36793" s="11"/>
      <c r="R36793" s="11"/>
      <c r="S36793" s="11"/>
      <c r="T36793" s="11"/>
    </row>
    <row r="36794" spans="8:20" x14ac:dyDescent="0.35">
      <c r="H36794" s="711"/>
      <c r="I36794" s="711"/>
      <c r="J36794" s="711"/>
      <c r="K36794" s="711"/>
      <c r="L36794" s="711"/>
      <c r="Q36794" s="11"/>
      <c r="R36794" s="11"/>
      <c r="S36794" s="11"/>
      <c r="T36794" s="11"/>
    </row>
    <row r="36795" spans="8:20" x14ac:dyDescent="0.35">
      <c r="H36795" s="711"/>
      <c r="I36795" s="711"/>
      <c r="J36795" s="711"/>
      <c r="K36795" s="711"/>
      <c r="L36795" s="711"/>
      <c r="Q36795" s="11"/>
      <c r="R36795" s="11"/>
      <c r="S36795" s="11"/>
      <c r="T36795" s="11"/>
    </row>
    <row r="36796" spans="8:20" x14ac:dyDescent="0.35">
      <c r="H36796" s="711"/>
      <c r="I36796" s="711"/>
      <c r="J36796" s="711"/>
      <c r="K36796" s="711"/>
      <c r="L36796" s="711"/>
      <c r="Q36796" s="11"/>
      <c r="R36796" s="11"/>
      <c r="S36796" s="11"/>
      <c r="T36796" s="11"/>
    </row>
    <row r="36797" spans="8:20" x14ac:dyDescent="0.35">
      <c r="H36797" s="711"/>
      <c r="I36797" s="711"/>
      <c r="J36797" s="711"/>
      <c r="K36797" s="711"/>
      <c r="L36797" s="711"/>
      <c r="Q36797" s="11"/>
      <c r="R36797" s="11"/>
      <c r="S36797" s="11"/>
      <c r="T36797" s="11"/>
    </row>
    <row r="36798" spans="8:20" x14ac:dyDescent="0.35">
      <c r="H36798" s="711"/>
      <c r="I36798" s="711"/>
      <c r="J36798" s="711"/>
      <c r="K36798" s="711"/>
      <c r="L36798" s="711"/>
      <c r="Q36798" s="11"/>
      <c r="R36798" s="11"/>
      <c r="S36798" s="11"/>
      <c r="T36798" s="11"/>
    </row>
    <row r="36799" spans="8:20" x14ac:dyDescent="0.35">
      <c r="H36799" s="711"/>
      <c r="I36799" s="711"/>
      <c r="J36799" s="711"/>
      <c r="K36799" s="711"/>
      <c r="L36799" s="711"/>
      <c r="Q36799" s="11"/>
      <c r="R36799" s="11"/>
      <c r="S36799" s="11"/>
      <c r="T36799" s="11"/>
    </row>
    <row r="36800" spans="8:20" x14ac:dyDescent="0.35">
      <c r="H36800" s="711"/>
      <c r="I36800" s="711"/>
      <c r="J36800" s="711"/>
      <c r="K36800" s="711"/>
      <c r="L36800" s="711"/>
      <c r="Q36800" s="11"/>
      <c r="R36800" s="11"/>
      <c r="S36800" s="11"/>
      <c r="T36800" s="11"/>
    </row>
    <row r="36801" spans="8:20" x14ac:dyDescent="0.35">
      <c r="H36801" s="711"/>
      <c r="I36801" s="711"/>
      <c r="J36801" s="711"/>
      <c r="K36801" s="711"/>
      <c r="L36801" s="711"/>
      <c r="Q36801" s="11"/>
      <c r="R36801" s="11"/>
      <c r="S36801" s="11"/>
      <c r="T36801" s="11"/>
    </row>
    <row r="36802" spans="8:20" x14ac:dyDescent="0.35">
      <c r="H36802" s="711"/>
      <c r="I36802" s="711"/>
      <c r="J36802" s="711"/>
      <c r="K36802" s="711"/>
      <c r="L36802" s="711"/>
      <c r="Q36802" s="11"/>
      <c r="R36802" s="11"/>
      <c r="S36802" s="11"/>
      <c r="T36802" s="11"/>
    </row>
    <row r="36803" spans="8:20" x14ac:dyDescent="0.35">
      <c r="H36803" s="711"/>
      <c r="I36803" s="711"/>
      <c r="J36803" s="711"/>
      <c r="K36803" s="711"/>
      <c r="L36803" s="711"/>
      <c r="Q36803" s="11"/>
      <c r="R36803" s="11"/>
      <c r="S36803" s="11"/>
      <c r="T36803" s="11"/>
    </row>
    <row r="36804" spans="8:20" x14ac:dyDescent="0.35">
      <c r="H36804" s="711"/>
      <c r="I36804" s="711"/>
      <c r="J36804" s="711"/>
      <c r="K36804" s="711"/>
      <c r="L36804" s="711"/>
      <c r="Q36804" s="11"/>
      <c r="R36804" s="11"/>
      <c r="S36804" s="11"/>
      <c r="T36804" s="11"/>
    </row>
    <row r="36805" spans="8:20" x14ac:dyDescent="0.35">
      <c r="H36805" s="711"/>
      <c r="I36805" s="711"/>
      <c r="J36805" s="711"/>
      <c r="K36805" s="711"/>
      <c r="L36805" s="711"/>
      <c r="Q36805" s="11"/>
      <c r="R36805" s="11"/>
      <c r="S36805" s="11"/>
      <c r="T36805" s="11"/>
    </row>
    <row r="36806" spans="8:20" x14ac:dyDescent="0.35">
      <c r="H36806" s="711"/>
      <c r="I36806" s="711"/>
      <c r="J36806" s="711"/>
      <c r="K36806" s="711"/>
      <c r="L36806" s="711"/>
      <c r="Q36806" s="11"/>
      <c r="R36806" s="11"/>
      <c r="S36806" s="11"/>
      <c r="T36806" s="11"/>
    </row>
    <row r="36807" spans="8:20" x14ac:dyDescent="0.35">
      <c r="H36807" s="711"/>
      <c r="I36807" s="711"/>
      <c r="J36807" s="711"/>
      <c r="K36807" s="711"/>
      <c r="L36807" s="711"/>
      <c r="Q36807" s="11"/>
      <c r="R36807" s="11"/>
      <c r="S36807" s="11"/>
      <c r="T36807" s="11"/>
    </row>
    <row r="36808" spans="8:20" x14ac:dyDescent="0.35">
      <c r="H36808" s="711"/>
      <c r="I36808" s="711"/>
      <c r="J36808" s="711"/>
      <c r="K36808" s="711"/>
      <c r="L36808" s="711"/>
      <c r="Q36808" s="11"/>
      <c r="R36808" s="11"/>
      <c r="S36808" s="11"/>
      <c r="T36808" s="11"/>
    </row>
    <row r="36809" spans="8:20" x14ac:dyDescent="0.35">
      <c r="H36809" s="711"/>
      <c r="I36809" s="711"/>
      <c r="J36809" s="711"/>
      <c r="K36809" s="711"/>
      <c r="L36809" s="711"/>
      <c r="Q36809" s="11"/>
      <c r="R36809" s="11"/>
      <c r="S36809" s="11"/>
      <c r="T36809" s="11"/>
    </row>
    <row r="36810" spans="8:20" x14ac:dyDescent="0.35">
      <c r="H36810" s="711"/>
      <c r="I36810" s="711"/>
      <c r="J36810" s="711"/>
      <c r="K36810" s="711"/>
      <c r="L36810" s="711"/>
      <c r="Q36810" s="11"/>
      <c r="R36810" s="11"/>
      <c r="S36810" s="11"/>
      <c r="T36810" s="11"/>
    </row>
    <row r="36811" spans="8:20" x14ac:dyDescent="0.35">
      <c r="H36811" s="711"/>
      <c r="I36811" s="711"/>
      <c r="J36811" s="711"/>
      <c r="K36811" s="711"/>
      <c r="L36811" s="711"/>
      <c r="Q36811" s="11"/>
      <c r="R36811" s="11"/>
      <c r="S36811" s="11"/>
      <c r="T36811" s="11"/>
    </row>
    <row r="36812" spans="8:20" x14ac:dyDescent="0.35">
      <c r="H36812" s="711"/>
      <c r="I36812" s="711"/>
      <c r="J36812" s="711"/>
      <c r="K36812" s="711"/>
      <c r="L36812" s="711"/>
      <c r="Q36812" s="11"/>
      <c r="R36812" s="11"/>
      <c r="S36812" s="11"/>
      <c r="T36812" s="11"/>
    </row>
    <row r="36813" spans="8:20" x14ac:dyDescent="0.35">
      <c r="H36813" s="711"/>
      <c r="I36813" s="711"/>
      <c r="J36813" s="711"/>
      <c r="K36813" s="711"/>
      <c r="L36813" s="711"/>
      <c r="Q36813" s="11"/>
      <c r="R36813" s="11"/>
      <c r="S36813" s="11"/>
      <c r="T36813" s="11"/>
    </row>
    <row r="36814" spans="8:20" x14ac:dyDescent="0.35">
      <c r="H36814" s="711"/>
      <c r="I36814" s="711"/>
      <c r="J36814" s="711"/>
      <c r="K36814" s="711"/>
      <c r="L36814" s="711"/>
      <c r="Q36814" s="11"/>
      <c r="R36814" s="11"/>
      <c r="S36814" s="11"/>
      <c r="T36814" s="11"/>
    </row>
    <row r="36815" spans="8:20" x14ac:dyDescent="0.35">
      <c r="H36815" s="711"/>
      <c r="I36815" s="711"/>
      <c r="J36815" s="711"/>
      <c r="K36815" s="711"/>
      <c r="L36815" s="711"/>
      <c r="Q36815" s="11"/>
      <c r="R36815" s="11"/>
      <c r="S36815" s="11"/>
      <c r="T36815" s="11"/>
    </row>
    <row r="36816" spans="8:20" x14ac:dyDescent="0.35">
      <c r="H36816" s="711"/>
      <c r="I36816" s="711"/>
      <c r="J36816" s="711"/>
      <c r="K36816" s="711"/>
      <c r="L36816" s="711"/>
      <c r="Q36816" s="11"/>
      <c r="R36816" s="11"/>
      <c r="S36816" s="11"/>
      <c r="T36816" s="11"/>
    </row>
    <row r="36817" spans="8:20" x14ac:dyDescent="0.35">
      <c r="H36817" s="711"/>
      <c r="I36817" s="711"/>
      <c r="J36817" s="711"/>
      <c r="K36817" s="711"/>
      <c r="L36817" s="711"/>
      <c r="Q36817" s="11"/>
      <c r="R36817" s="11"/>
      <c r="S36817" s="11"/>
      <c r="T36817" s="11"/>
    </row>
    <row r="36818" spans="8:20" x14ac:dyDescent="0.35">
      <c r="H36818" s="711"/>
      <c r="I36818" s="711"/>
      <c r="J36818" s="711"/>
      <c r="K36818" s="711"/>
      <c r="L36818" s="711"/>
      <c r="Q36818" s="11"/>
      <c r="R36818" s="11"/>
      <c r="S36818" s="11"/>
      <c r="T36818" s="11"/>
    </row>
    <row r="36819" spans="8:20" x14ac:dyDescent="0.35">
      <c r="H36819" s="711"/>
      <c r="I36819" s="711"/>
      <c r="J36819" s="711"/>
      <c r="K36819" s="711"/>
      <c r="L36819" s="711"/>
      <c r="Q36819" s="11"/>
      <c r="R36819" s="11"/>
      <c r="S36819" s="11"/>
      <c r="T36819" s="11"/>
    </row>
    <row r="36820" spans="8:20" x14ac:dyDescent="0.35">
      <c r="H36820" s="711"/>
      <c r="I36820" s="711"/>
      <c r="J36820" s="711"/>
      <c r="K36820" s="711"/>
      <c r="L36820" s="711"/>
      <c r="Q36820" s="11"/>
      <c r="R36820" s="11"/>
      <c r="S36820" s="11"/>
      <c r="T36820" s="11"/>
    </row>
    <row r="36821" spans="8:20" x14ac:dyDescent="0.35">
      <c r="H36821" s="711"/>
      <c r="I36821" s="711"/>
      <c r="J36821" s="711"/>
      <c r="K36821" s="711"/>
      <c r="L36821" s="711"/>
      <c r="Q36821" s="11"/>
      <c r="R36821" s="11"/>
      <c r="S36821" s="11"/>
      <c r="T36821" s="11"/>
    </row>
    <row r="36822" spans="8:20" x14ac:dyDescent="0.35">
      <c r="H36822" s="711"/>
      <c r="I36822" s="711"/>
      <c r="J36822" s="711"/>
      <c r="K36822" s="711"/>
      <c r="L36822" s="711"/>
      <c r="Q36822" s="11"/>
      <c r="R36822" s="11"/>
      <c r="S36822" s="11"/>
      <c r="T36822" s="11"/>
    </row>
    <row r="36823" spans="8:20" x14ac:dyDescent="0.35">
      <c r="H36823" s="711"/>
      <c r="I36823" s="711"/>
      <c r="J36823" s="711"/>
      <c r="K36823" s="711"/>
      <c r="L36823" s="711"/>
      <c r="Q36823" s="11"/>
      <c r="R36823" s="11"/>
      <c r="S36823" s="11"/>
      <c r="T36823" s="11"/>
    </row>
    <row r="36824" spans="8:20" x14ac:dyDescent="0.35">
      <c r="H36824" s="711"/>
      <c r="I36824" s="711"/>
      <c r="J36824" s="711"/>
      <c r="K36824" s="711"/>
      <c r="L36824" s="711"/>
      <c r="Q36824" s="11"/>
      <c r="R36824" s="11"/>
      <c r="S36824" s="11"/>
      <c r="T36824" s="11"/>
    </row>
    <row r="36825" spans="8:20" x14ac:dyDescent="0.35">
      <c r="H36825" s="711"/>
      <c r="I36825" s="711"/>
      <c r="J36825" s="711"/>
      <c r="K36825" s="711"/>
      <c r="L36825" s="711"/>
      <c r="Q36825" s="11"/>
      <c r="R36825" s="11"/>
      <c r="S36825" s="11"/>
      <c r="T36825" s="11"/>
    </row>
    <row r="36826" spans="8:20" x14ac:dyDescent="0.35">
      <c r="H36826" s="711"/>
      <c r="I36826" s="711"/>
      <c r="J36826" s="711"/>
      <c r="K36826" s="711"/>
      <c r="L36826" s="711"/>
      <c r="Q36826" s="11"/>
      <c r="R36826" s="11"/>
      <c r="S36826" s="11"/>
      <c r="T36826" s="11"/>
    </row>
    <row r="36827" spans="8:20" x14ac:dyDescent="0.35">
      <c r="H36827" s="711"/>
      <c r="I36827" s="711"/>
      <c r="J36827" s="711"/>
      <c r="K36827" s="711"/>
      <c r="L36827" s="711"/>
      <c r="Q36827" s="11"/>
      <c r="R36827" s="11"/>
      <c r="S36827" s="11"/>
      <c r="T36827" s="11"/>
    </row>
    <row r="36828" spans="8:20" x14ac:dyDescent="0.35">
      <c r="H36828" s="711"/>
      <c r="I36828" s="711"/>
      <c r="J36828" s="711"/>
      <c r="K36828" s="711"/>
      <c r="L36828" s="711"/>
      <c r="Q36828" s="11"/>
      <c r="R36828" s="11"/>
      <c r="S36828" s="11"/>
      <c r="T36828" s="11"/>
    </row>
    <row r="36829" spans="8:20" x14ac:dyDescent="0.35">
      <c r="H36829" s="711"/>
      <c r="I36829" s="711"/>
      <c r="J36829" s="711"/>
      <c r="K36829" s="711"/>
      <c r="L36829" s="711"/>
      <c r="Q36829" s="11"/>
      <c r="R36829" s="11"/>
      <c r="S36829" s="11"/>
      <c r="T36829" s="11"/>
    </row>
    <row r="36830" spans="8:20" x14ac:dyDescent="0.35">
      <c r="H36830" s="711"/>
      <c r="I36830" s="711"/>
      <c r="J36830" s="711"/>
      <c r="K36830" s="711"/>
      <c r="L36830" s="711"/>
      <c r="Q36830" s="11"/>
      <c r="R36830" s="11"/>
      <c r="S36830" s="11"/>
      <c r="T36830" s="11"/>
    </row>
    <row r="36831" spans="8:20" x14ac:dyDescent="0.35">
      <c r="H36831" s="711"/>
      <c r="I36831" s="711"/>
      <c r="J36831" s="711"/>
      <c r="K36831" s="711"/>
      <c r="L36831" s="711"/>
      <c r="Q36831" s="11"/>
      <c r="R36831" s="11"/>
      <c r="S36831" s="11"/>
      <c r="T36831" s="11"/>
    </row>
    <row r="36832" spans="8:20" x14ac:dyDescent="0.35">
      <c r="H36832" s="711"/>
      <c r="I36832" s="711"/>
      <c r="J36832" s="711"/>
      <c r="K36832" s="711"/>
      <c r="L36832" s="711"/>
      <c r="Q36832" s="11"/>
      <c r="R36832" s="11"/>
      <c r="S36832" s="11"/>
      <c r="T36832" s="11"/>
    </row>
    <row r="36833" spans="8:20" x14ac:dyDescent="0.35">
      <c r="H36833" s="711"/>
      <c r="I36833" s="711"/>
      <c r="J36833" s="711"/>
      <c r="K36833" s="711"/>
      <c r="L36833" s="711"/>
      <c r="Q36833" s="11"/>
      <c r="R36833" s="11"/>
      <c r="S36833" s="11"/>
      <c r="T36833" s="11"/>
    </row>
    <row r="36834" spans="8:20" x14ac:dyDescent="0.35">
      <c r="H36834" s="711"/>
      <c r="I36834" s="711"/>
      <c r="J36834" s="711"/>
      <c r="K36834" s="711"/>
      <c r="L36834" s="711"/>
      <c r="Q36834" s="11"/>
      <c r="R36834" s="11"/>
      <c r="S36834" s="11"/>
      <c r="T36834" s="11"/>
    </row>
    <row r="36835" spans="8:20" x14ac:dyDescent="0.35">
      <c r="H36835" s="711"/>
      <c r="I36835" s="711"/>
      <c r="J36835" s="711"/>
      <c r="K36835" s="711"/>
      <c r="L36835" s="711"/>
      <c r="Q36835" s="11"/>
      <c r="R36835" s="11"/>
      <c r="S36835" s="11"/>
      <c r="T36835" s="11"/>
    </row>
    <row r="36836" spans="8:20" x14ac:dyDescent="0.35">
      <c r="H36836" s="711"/>
      <c r="I36836" s="711"/>
      <c r="J36836" s="711"/>
      <c r="K36836" s="711"/>
      <c r="L36836" s="711"/>
      <c r="Q36836" s="11"/>
      <c r="R36836" s="11"/>
      <c r="S36836" s="11"/>
      <c r="T36836" s="11"/>
    </row>
    <row r="36837" spans="8:20" x14ac:dyDescent="0.35">
      <c r="H36837" s="711"/>
      <c r="I36837" s="711"/>
      <c r="J36837" s="711"/>
      <c r="K36837" s="711"/>
      <c r="L36837" s="711"/>
      <c r="Q36837" s="11"/>
      <c r="R36837" s="11"/>
      <c r="S36837" s="11"/>
      <c r="T36837" s="11"/>
    </row>
    <row r="36838" spans="8:20" x14ac:dyDescent="0.35">
      <c r="H36838" s="711"/>
      <c r="I36838" s="711"/>
      <c r="J36838" s="711"/>
      <c r="K36838" s="711"/>
      <c r="L36838" s="711"/>
      <c r="Q36838" s="11"/>
      <c r="R36838" s="11"/>
      <c r="S36838" s="11"/>
      <c r="T36838" s="11"/>
    </row>
    <row r="36839" spans="8:20" x14ac:dyDescent="0.35">
      <c r="H36839" s="711"/>
      <c r="I36839" s="711"/>
      <c r="J36839" s="711"/>
      <c r="K36839" s="711"/>
      <c r="L36839" s="711"/>
      <c r="Q36839" s="11"/>
      <c r="R36839" s="11"/>
      <c r="S36839" s="11"/>
      <c r="T36839" s="11"/>
    </row>
    <row r="36840" spans="8:20" x14ac:dyDescent="0.35">
      <c r="H36840" s="711"/>
      <c r="I36840" s="711"/>
      <c r="J36840" s="711"/>
      <c r="K36840" s="711"/>
      <c r="L36840" s="711"/>
      <c r="Q36840" s="11"/>
      <c r="R36840" s="11"/>
      <c r="S36840" s="11"/>
      <c r="T36840" s="11"/>
    </row>
    <row r="36841" spans="8:20" x14ac:dyDescent="0.35">
      <c r="H36841" s="711"/>
      <c r="I36841" s="711"/>
      <c r="J36841" s="711"/>
      <c r="K36841" s="711"/>
      <c r="L36841" s="711"/>
      <c r="Q36841" s="11"/>
      <c r="R36841" s="11"/>
      <c r="S36841" s="11"/>
      <c r="T36841" s="11"/>
    </row>
    <row r="36842" spans="8:20" x14ac:dyDescent="0.35">
      <c r="H36842" s="711"/>
      <c r="I36842" s="711"/>
      <c r="J36842" s="711"/>
      <c r="K36842" s="711"/>
      <c r="L36842" s="711"/>
      <c r="Q36842" s="11"/>
      <c r="R36842" s="11"/>
      <c r="S36842" s="11"/>
      <c r="T36842" s="11"/>
    </row>
    <row r="36843" spans="8:20" x14ac:dyDescent="0.35">
      <c r="H36843" s="711"/>
      <c r="I36843" s="711"/>
      <c r="J36843" s="711"/>
      <c r="K36843" s="711"/>
      <c r="L36843" s="711"/>
      <c r="Q36843" s="11"/>
      <c r="R36843" s="11"/>
      <c r="S36843" s="11"/>
      <c r="T36843" s="11"/>
    </row>
    <row r="36844" spans="8:20" x14ac:dyDescent="0.35">
      <c r="H36844" s="711"/>
      <c r="I36844" s="711"/>
      <c r="J36844" s="711"/>
      <c r="K36844" s="711"/>
      <c r="L36844" s="711"/>
      <c r="Q36844" s="11"/>
      <c r="R36844" s="11"/>
      <c r="S36844" s="11"/>
      <c r="T36844" s="11"/>
    </row>
    <row r="36845" spans="8:20" x14ac:dyDescent="0.35">
      <c r="H36845" s="711"/>
      <c r="I36845" s="711"/>
      <c r="J36845" s="711"/>
      <c r="K36845" s="711"/>
      <c r="L36845" s="711"/>
      <c r="Q36845" s="11"/>
      <c r="R36845" s="11"/>
      <c r="S36845" s="11"/>
      <c r="T36845" s="11"/>
    </row>
    <row r="36846" spans="8:20" x14ac:dyDescent="0.35">
      <c r="H36846" s="711"/>
      <c r="I36846" s="711"/>
      <c r="J36846" s="711"/>
      <c r="K36846" s="711"/>
      <c r="L36846" s="711"/>
      <c r="Q36846" s="11"/>
      <c r="R36846" s="11"/>
      <c r="S36846" s="11"/>
      <c r="T36846" s="11"/>
    </row>
    <row r="36847" spans="8:20" x14ac:dyDescent="0.35">
      <c r="H36847" s="711"/>
      <c r="I36847" s="711"/>
      <c r="J36847" s="711"/>
      <c r="K36847" s="711"/>
      <c r="L36847" s="711"/>
      <c r="Q36847" s="11"/>
      <c r="R36847" s="11"/>
      <c r="S36847" s="11"/>
      <c r="T36847" s="11"/>
    </row>
    <row r="36848" spans="8:20" x14ac:dyDescent="0.35">
      <c r="H36848" s="711"/>
      <c r="I36848" s="711"/>
      <c r="J36848" s="711"/>
      <c r="K36848" s="711"/>
      <c r="L36848" s="711"/>
      <c r="Q36848" s="11"/>
      <c r="R36848" s="11"/>
      <c r="S36848" s="11"/>
      <c r="T36848" s="11"/>
    </row>
    <row r="36849" spans="8:20" x14ac:dyDescent="0.35">
      <c r="H36849" s="711"/>
      <c r="I36849" s="711"/>
      <c r="J36849" s="711"/>
      <c r="K36849" s="711"/>
      <c r="L36849" s="711"/>
      <c r="Q36849" s="11"/>
      <c r="R36849" s="11"/>
      <c r="S36849" s="11"/>
      <c r="T36849" s="11"/>
    </row>
    <row r="36850" spans="8:20" x14ac:dyDescent="0.35">
      <c r="H36850" s="711"/>
      <c r="I36850" s="711"/>
      <c r="J36850" s="711"/>
      <c r="K36850" s="711"/>
      <c r="L36850" s="711"/>
      <c r="Q36850" s="11"/>
      <c r="R36850" s="11"/>
      <c r="S36850" s="11"/>
      <c r="T36850" s="11"/>
    </row>
    <row r="36851" spans="8:20" x14ac:dyDescent="0.35">
      <c r="H36851" s="711"/>
      <c r="I36851" s="711"/>
      <c r="J36851" s="711"/>
      <c r="K36851" s="711"/>
      <c r="L36851" s="711"/>
      <c r="Q36851" s="11"/>
      <c r="R36851" s="11"/>
      <c r="S36851" s="11"/>
      <c r="T36851" s="11"/>
    </row>
    <row r="36852" spans="8:20" x14ac:dyDescent="0.35">
      <c r="H36852" s="711"/>
      <c r="I36852" s="711"/>
      <c r="J36852" s="711"/>
      <c r="K36852" s="711"/>
      <c r="L36852" s="711"/>
      <c r="Q36852" s="11"/>
      <c r="R36852" s="11"/>
      <c r="S36852" s="11"/>
      <c r="T36852" s="11"/>
    </row>
    <row r="36853" spans="8:20" x14ac:dyDescent="0.35">
      <c r="H36853" s="711"/>
      <c r="I36853" s="711"/>
      <c r="J36853" s="711"/>
      <c r="K36853" s="711"/>
      <c r="L36853" s="711"/>
      <c r="Q36853" s="11"/>
      <c r="R36853" s="11"/>
      <c r="S36853" s="11"/>
      <c r="T36853" s="11"/>
    </row>
    <row r="36854" spans="8:20" x14ac:dyDescent="0.35">
      <c r="H36854" s="711"/>
      <c r="I36854" s="711"/>
      <c r="J36854" s="711"/>
      <c r="K36854" s="711"/>
      <c r="L36854" s="711"/>
      <c r="Q36854" s="11"/>
      <c r="R36854" s="11"/>
      <c r="S36854" s="11"/>
      <c r="T36854" s="11"/>
    </row>
    <row r="36855" spans="8:20" x14ac:dyDescent="0.35">
      <c r="H36855" s="711"/>
      <c r="I36855" s="711"/>
      <c r="J36855" s="711"/>
      <c r="K36855" s="711"/>
      <c r="L36855" s="711"/>
      <c r="Q36855" s="11"/>
      <c r="R36855" s="11"/>
      <c r="S36855" s="11"/>
      <c r="T36855" s="11"/>
    </row>
    <row r="36856" spans="8:20" x14ac:dyDescent="0.35">
      <c r="H36856" s="711"/>
      <c r="I36856" s="711"/>
      <c r="J36856" s="711"/>
      <c r="K36856" s="711"/>
      <c r="L36856" s="711"/>
      <c r="Q36856" s="11"/>
      <c r="R36856" s="11"/>
      <c r="S36856" s="11"/>
      <c r="T36856" s="11"/>
    </row>
    <row r="36857" spans="8:20" x14ac:dyDescent="0.35">
      <c r="H36857" s="711"/>
      <c r="I36857" s="711"/>
      <c r="J36857" s="711"/>
      <c r="K36857" s="711"/>
      <c r="L36857" s="711"/>
      <c r="Q36857" s="11"/>
      <c r="R36857" s="11"/>
      <c r="S36857" s="11"/>
      <c r="T36857" s="11"/>
    </row>
    <row r="36858" spans="8:20" x14ac:dyDescent="0.35">
      <c r="H36858" s="711"/>
      <c r="I36858" s="711"/>
      <c r="J36858" s="711"/>
      <c r="K36858" s="711"/>
      <c r="L36858" s="711"/>
      <c r="Q36858" s="11"/>
      <c r="R36858" s="11"/>
      <c r="S36858" s="11"/>
      <c r="T36858" s="11"/>
    </row>
    <row r="36859" spans="8:20" x14ac:dyDescent="0.35">
      <c r="H36859" s="711"/>
      <c r="I36859" s="711"/>
      <c r="J36859" s="711"/>
      <c r="K36859" s="711"/>
      <c r="L36859" s="711"/>
      <c r="Q36859" s="11"/>
      <c r="R36859" s="11"/>
      <c r="S36859" s="11"/>
      <c r="T36859" s="11"/>
    </row>
    <row r="36860" spans="8:20" x14ac:dyDescent="0.35">
      <c r="H36860" s="711"/>
      <c r="I36860" s="711"/>
      <c r="J36860" s="711"/>
      <c r="K36860" s="711"/>
      <c r="L36860" s="711"/>
      <c r="Q36860" s="11"/>
      <c r="R36860" s="11"/>
      <c r="S36860" s="11"/>
      <c r="T36860" s="11"/>
    </row>
    <row r="36861" spans="8:20" x14ac:dyDescent="0.35">
      <c r="H36861" s="711"/>
      <c r="I36861" s="711"/>
      <c r="J36861" s="711"/>
      <c r="K36861" s="711"/>
      <c r="L36861" s="711"/>
      <c r="Q36861" s="11"/>
      <c r="R36861" s="11"/>
      <c r="S36861" s="11"/>
      <c r="T36861" s="11"/>
    </row>
    <row r="36862" spans="8:20" x14ac:dyDescent="0.35">
      <c r="H36862" s="711"/>
      <c r="I36862" s="711"/>
      <c r="J36862" s="711"/>
      <c r="K36862" s="711"/>
      <c r="L36862" s="711"/>
      <c r="Q36862" s="11"/>
      <c r="R36862" s="11"/>
      <c r="S36862" s="11"/>
      <c r="T36862" s="11"/>
    </row>
    <row r="36863" spans="8:20" x14ac:dyDescent="0.35">
      <c r="H36863" s="711"/>
      <c r="I36863" s="711"/>
      <c r="J36863" s="711"/>
      <c r="K36863" s="711"/>
      <c r="L36863" s="711"/>
      <c r="Q36863" s="11"/>
      <c r="R36863" s="11"/>
      <c r="S36863" s="11"/>
      <c r="T36863" s="11"/>
    </row>
    <row r="36864" spans="8:20" x14ac:dyDescent="0.35">
      <c r="H36864" s="711"/>
      <c r="I36864" s="711"/>
      <c r="J36864" s="711"/>
      <c r="K36864" s="711"/>
      <c r="L36864" s="711"/>
      <c r="Q36864" s="11"/>
      <c r="R36864" s="11"/>
      <c r="S36864" s="11"/>
      <c r="T36864" s="11"/>
    </row>
    <row r="36865" spans="8:20" x14ac:dyDescent="0.35">
      <c r="H36865" s="711"/>
      <c r="I36865" s="711"/>
      <c r="J36865" s="711"/>
      <c r="K36865" s="711"/>
      <c r="L36865" s="711"/>
      <c r="Q36865" s="11"/>
      <c r="R36865" s="11"/>
      <c r="S36865" s="11"/>
      <c r="T36865" s="11"/>
    </row>
    <row r="36866" spans="8:20" x14ac:dyDescent="0.35">
      <c r="H36866" s="711"/>
      <c r="I36866" s="711"/>
      <c r="J36866" s="711"/>
      <c r="K36866" s="711"/>
      <c r="L36866" s="711"/>
      <c r="Q36866" s="11"/>
      <c r="R36866" s="11"/>
      <c r="S36866" s="11"/>
      <c r="T36866" s="11"/>
    </row>
    <row r="36867" spans="8:20" x14ac:dyDescent="0.35">
      <c r="H36867" s="711"/>
      <c r="I36867" s="711"/>
      <c r="J36867" s="711"/>
      <c r="K36867" s="711"/>
      <c r="L36867" s="711"/>
      <c r="Q36867" s="11"/>
      <c r="R36867" s="11"/>
      <c r="S36867" s="11"/>
      <c r="T36867" s="11"/>
    </row>
    <row r="36868" spans="8:20" x14ac:dyDescent="0.35">
      <c r="H36868" s="711"/>
      <c r="I36868" s="711"/>
      <c r="J36868" s="711"/>
      <c r="K36868" s="711"/>
      <c r="L36868" s="711"/>
      <c r="Q36868" s="11"/>
      <c r="R36868" s="11"/>
      <c r="S36868" s="11"/>
      <c r="T36868" s="11"/>
    </row>
    <row r="36869" spans="8:20" x14ac:dyDescent="0.35">
      <c r="H36869" s="711"/>
      <c r="I36869" s="711"/>
      <c r="J36869" s="711"/>
      <c r="K36869" s="711"/>
      <c r="L36869" s="711"/>
      <c r="Q36869" s="11"/>
      <c r="R36869" s="11"/>
      <c r="S36869" s="11"/>
      <c r="T36869" s="11"/>
    </row>
    <row r="36870" spans="8:20" x14ac:dyDescent="0.35">
      <c r="H36870" s="711"/>
      <c r="I36870" s="711"/>
      <c r="J36870" s="711"/>
      <c r="K36870" s="711"/>
      <c r="L36870" s="711"/>
      <c r="Q36870" s="11"/>
      <c r="R36870" s="11"/>
      <c r="S36870" s="11"/>
      <c r="T36870" s="11"/>
    </row>
    <row r="36871" spans="8:20" x14ac:dyDescent="0.35">
      <c r="H36871" s="711"/>
      <c r="I36871" s="711"/>
      <c r="J36871" s="711"/>
      <c r="K36871" s="711"/>
      <c r="L36871" s="711"/>
      <c r="Q36871" s="11"/>
      <c r="R36871" s="11"/>
      <c r="S36871" s="11"/>
      <c r="T36871" s="11"/>
    </row>
    <row r="36872" spans="8:20" x14ac:dyDescent="0.35">
      <c r="H36872" s="711"/>
      <c r="I36872" s="711"/>
      <c r="J36872" s="711"/>
      <c r="K36872" s="711"/>
      <c r="L36872" s="711"/>
      <c r="Q36872" s="11"/>
      <c r="R36872" s="11"/>
      <c r="S36872" s="11"/>
      <c r="T36872" s="11"/>
    </row>
    <row r="36873" spans="8:20" x14ac:dyDescent="0.35">
      <c r="H36873" s="711"/>
      <c r="I36873" s="711"/>
      <c r="J36873" s="711"/>
      <c r="K36873" s="711"/>
      <c r="L36873" s="711"/>
      <c r="Q36873" s="11"/>
      <c r="R36873" s="11"/>
      <c r="S36873" s="11"/>
      <c r="T36873" s="11"/>
    </row>
    <row r="36874" spans="8:20" x14ac:dyDescent="0.35">
      <c r="H36874" s="711"/>
      <c r="I36874" s="711"/>
      <c r="J36874" s="711"/>
      <c r="K36874" s="711"/>
      <c r="L36874" s="711"/>
      <c r="Q36874" s="11"/>
      <c r="R36874" s="11"/>
      <c r="S36874" s="11"/>
      <c r="T36874" s="11"/>
    </row>
    <row r="36875" spans="8:20" x14ac:dyDescent="0.35">
      <c r="H36875" s="711"/>
      <c r="I36875" s="711"/>
      <c r="J36875" s="711"/>
      <c r="K36875" s="711"/>
      <c r="L36875" s="711"/>
      <c r="Q36875" s="11"/>
      <c r="R36875" s="11"/>
      <c r="S36875" s="11"/>
      <c r="T36875" s="11"/>
    </row>
    <row r="36876" spans="8:20" x14ac:dyDescent="0.35">
      <c r="H36876" s="711"/>
      <c r="I36876" s="711"/>
      <c r="J36876" s="711"/>
      <c r="K36876" s="711"/>
      <c r="L36876" s="711"/>
      <c r="Q36876" s="11"/>
      <c r="R36876" s="11"/>
      <c r="S36876" s="11"/>
      <c r="T36876" s="11"/>
    </row>
    <row r="36877" spans="8:20" x14ac:dyDescent="0.35">
      <c r="H36877" s="711"/>
      <c r="I36877" s="711"/>
      <c r="J36877" s="711"/>
      <c r="K36877" s="711"/>
      <c r="L36877" s="711"/>
      <c r="Q36877" s="11"/>
      <c r="R36877" s="11"/>
      <c r="S36877" s="11"/>
      <c r="T36877" s="11"/>
    </row>
    <row r="36878" spans="8:20" x14ac:dyDescent="0.35">
      <c r="H36878" s="711"/>
      <c r="I36878" s="711"/>
      <c r="J36878" s="711"/>
      <c r="K36878" s="711"/>
      <c r="L36878" s="711"/>
      <c r="Q36878" s="11"/>
      <c r="R36878" s="11"/>
      <c r="S36878" s="11"/>
      <c r="T36878" s="11"/>
    </row>
    <row r="36879" spans="8:20" x14ac:dyDescent="0.35">
      <c r="H36879" s="711"/>
      <c r="I36879" s="711"/>
      <c r="J36879" s="711"/>
      <c r="K36879" s="711"/>
      <c r="L36879" s="711"/>
      <c r="Q36879" s="11"/>
      <c r="R36879" s="11"/>
      <c r="S36879" s="11"/>
      <c r="T36879" s="11"/>
    </row>
    <row r="36880" spans="8:20" x14ac:dyDescent="0.35">
      <c r="H36880" s="711"/>
      <c r="I36880" s="711"/>
      <c r="J36880" s="711"/>
      <c r="K36880" s="711"/>
      <c r="L36880" s="711"/>
      <c r="Q36880" s="11"/>
      <c r="R36880" s="11"/>
      <c r="S36880" s="11"/>
      <c r="T36880" s="11"/>
    </row>
    <row r="36881" spans="8:20" x14ac:dyDescent="0.35">
      <c r="H36881" s="711"/>
      <c r="I36881" s="711"/>
      <c r="J36881" s="711"/>
      <c r="K36881" s="711"/>
      <c r="L36881" s="711"/>
      <c r="Q36881" s="11"/>
      <c r="R36881" s="11"/>
      <c r="S36881" s="11"/>
      <c r="T36881" s="11"/>
    </row>
    <row r="36882" spans="8:20" x14ac:dyDescent="0.35">
      <c r="H36882" s="711"/>
      <c r="I36882" s="711"/>
      <c r="J36882" s="711"/>
      <c r="K36882" s="711"/>
      <c r="L36882" s="711"/>
      <c r="Q36882" s="11"/>
      <c r="R36882" s="11"/>
      <c r="S36882" s="11"/>
      <c r="T36882" s="11"/>
    </row>
    <row r="36883" spans="8:20" x14ac:dyDescent="0.35">
      <c r="H36883" s="711"/>
      <c r="I36883" s="711"/>
      <c r="J36883" s="711"/>
      <c r="K36883" s="711"/>
      <c r="L36883" s="711"/>
      <c r="Q36883" s="11"/>
      <c r="R36883" s="11"/>
      <c r="S36883" s="11"/>
      <c r="T36883" s="11"/>
    </row>
    <row r="36884" spans="8:20" x14ac:dyDescent="0.35">
      <c r="H36884" s="711"/>
      <c r="I36884" s="711"/>
      <c r="J36884" s="711"/>
      <c r="K36884" s="711"/>
      <c r="L36884" s="711"/>
      <c r="Q36884" s="11"/>
      <c r="R36884" s="11"/>
      <c r="S36884" s="11"/>
      <c r="T36884" s="11"/>
    </row>
    <row r="36885" spans="8:20" x14ac:dyDescent="0.35">
      <c r="H36885" s="711"/>
      <c r="I36885" s="711"/>
      <c r="J36885" s="711"/>
      <c r="K36885" s="711"/>
      <c r="L36885" s="711"/>
      <c r="Q36885" s="11"/>
      <c r="R36885" s="11"/>
      <c r="S36885" s="11"/>
      <c r="T36885" s="11"/>
    </row>
    <row r="36886" spans="8:20" x14ac:dyDescent="0.35">
      <c r="H36886" s="711"/>
      <c r="I36886" s="711"/>
      <c r="J36886" s="711"/>
      <c r="K36886" s="711"/>
      <c r="L36886" s="711"/>
      <c r="Q36886" s="11"/>
      <c r="R36886" s="11"/>
      <c r="S36886" s="11"/>
      <c r="T36886" s="11"/>
    </row>
    <row r="36887" spans="8:20" x14ac:dyDescent="0.35">
      <c r="H36887" s="711"/>
      <c r="I36887" s="711"/>
      <c r="J36887" s="711"/>
      <c r="K36887" s="711"/>
      <c r="L36887" s="711"/>
      <c r="Q36887" s="11"/>
      <c r="R36887" s="11"/>
      <c r="S36887" s="11"/>
      <c r="T36887" s="11"/>
    </row>
    <row r="36888" spans="8:20" x14ac:dyDescent="0.35">
      <c r="H36888" s="711"/>
      <c r="I36888" s="711"/>
      <c r="J36888" s="711"/>
      <c r="K36888" s="711"/>
      <c r="L36888" s="711"/>
      <c r="Q36888" s="11"/>
      <c r="R36888" s="11"/>
      <c r="S36888" s="11"/>
      <c r="T36888" s="11"/>
    </row>
    <row r="36889" spans="8:20" x14ac:dyDescent="0.35">
      <c r="H36889" s="711"/>
      <c r="I36889" s="711"/>
      <c r="J36889" s="711"/>
      <c r="K36889" s="711"/>
      <c r="L36889" s="711"/>
      <c r="Q36889" s="11"/>
      <c r="R36889" s="11"/>
      <c r="S36889" s="11"/>
      <c r="T36889" s="11"/>
    </row>
    <row r="36890" spans="8:20" x14ac:dyDescent="0.35">
      <c r="H36890" s="711"/>
      <c r="I36890" s="711"/>
      <c r="J36890" s="711"/>
      <c r="K36890" s="711"/>
      <c r="L36890" s="711"/>
      <c r="Q36890" s="11"/>
      <c r="R36890" s="11"/>
      <c r="S36890" s="11"/>
      <c r="T36890" s="11"/>
    </row>
    <row r="36891" spans="8:20" x14ac:dyDescent="0.35">
      <c r="H36891" s="711"/>
      <c r="I36891" s="711"/>
      <c r="J36891" s="711"/>
      <c r="K36891" s="711"/>
      <c r="L36891" s="711"/>
      <c r="Q36891" s="11"/>
      <c r="R36891" s="11"/>
      <c r="S36891" s="11"/>
      <c r="T36891" s="11"/>
    </row>
    <row r="36892" spans="8:20" x14ac:dyDescent="0.35">
      <c r="H36892" s="711"/>
      <c r="I36892" s="711"/>
      <c r="J36892" s="711"/>
      <c r="K36892" s="711"/>
      <c r="L36892" s="711"/>
      <c r="Q36892" s="11"/>
      <c r="R36892" s="11"/>
      <c r="S36892" s="11"/>
      <c r="T36892" s="11"/>
    </row>
    <row r="36893" spans="8:20" x14ac:dyDescent="0.35">
      <c r="H36893" s="711"/>
      <c r="I36893" s="711"/>
      <c r="J36893" s="711"/>
      <c r="K36893" s="711"/>
      <c r="L36893" s="711"/>
      <c r="Q36893" s="11"/>
      <c r="R36893" s="11"/>
      <c r="S36893" s="11"/>
      <c r="T36893" s="11"/>
    </row>
    <row r="36894" spans="8:20" x14ac:dyDescent="0.35">
      <c r="H36894" s="711"/>
      <c r="I36894" s="711"/>
      <c r="J36894" s="711"/>
      <c r="K36894" s="711"/>
      <c r="L36894" s="711"/>
      <c r="Q36894" s="11"/>
      <c r="R36894" s="11"/>
      <c r="S36894" s="11"/>
      <c r="T36894" s="11"/>
    </row>
    <row r="36895" spans="8:20" x14ac:dyDescent="0.35">
      <c r="H36895" s="711"/>
      <c r="I36895" s="711"/>
      <c r="J36895" s="711"/>
      <c r="K36895" s="711"/>
      <c r="L36895" s="711"/>
      <c r="Q36895" s="11"/>
      <c r="R36895" s="11"/>
      <c r="S36895" s="11"/>
      <c r="T36895" s="11"/>
    </row>
    <row r="36896" spans="8:20" x14ac:dyDescent="0.35">
      <c r="H36896" s="711"/>
      <c r="I36896" s="711"/>
      <c r="J36896" s="711"/>
      <c r="K36896" s="711"/>
      <c r="L36896" s="711"/>
      <c r="Q36896" s="11"/>
      <c r="R36896" s="11"/>
      <c r="S36896" s="11"/>
      <c r="T36896" s="11"/>
    </row>
    <row r="36897" spans="8:20" x14ac:dyDescent="0.35">
      <c r="H36897" s="711"/>
      <c r="I36897" s="711"/>
      <c r="J36897" s="711"/>
      <c r="K36897" s="711"/>
      <c r="L36897" s="711"/>
      <c r="Q36897" s="11"/>
      <c r="R36897" s="11"/>
      <c r="S36897" s="11"/>
      <c r="T36897" s="11"/>
    </row>
    <row r="36898" spans="8:20" x14ac:dyDescent="0.35">
      <c r="H36898" s="711"/>
      <c r="I36898" s="711"/>
      <c r="J36898" s="711"/>
      <c r="K36898" s="711"/>
      <c r="L36898" s="711"/>
      <c r="Q36898" s="11"/>
      <c r="R36898" s="11"/>
      <c r="S36898" s="11"/>
      <c r="T36898" s="11"/>
    </row>
    <row r="36899" spans="8:20" x14ac:dyDescent="0.35">
      <c r="H36899" s="711"/>
      <c r="I36899" s="711"/>
      <c r="J36899" s="711"/>
      <c r="K36899" s="711"/>
      <c r="L36899" s="711"/>
      <c r="Q36899" s="11"/>
      <c r="R36899" s="11"/>
      <c r="S36899" s="11"/>
      <c r="T36899" s="11"/>
    </row>
    <row r="36900" spans="8:20" x14ac:dyDescent="0.35">
      <c r="H36900" s="711"/>
      <c r="I36900" s="711"/>
      <c r="J36900" s="711"/>
      <c r="K36900" s="711"/>
      <c r="L36900" s="711"/>
      <c r="Q36900" s="11"/>
      <c r="R36900" s="11"/>
      <c r="S36900" s="11"/>
      <c r="T36900" s="11"/>
    </row>
    <row r="36901" spans="8:20" x14ac:dyDescent="0.35">
      <c r="H36901" s="711"/>
      <c r="I36901" s="711"/>
      <c r="J36901" s="711"/>
      <c r="K36901" s="711"/>
      <c r="L36901" s="711"/>
      <c r="Q36901" s="11"/>
      <c r="R36901" s="11"/>
      <c r="S36901" s="11"/>
      <c r="T36901" s="11"/>
    </row>
    <row r="36902" spans="8:20" x14ac:dyDescent="0.35">
      <c r="H36902" s="711"/>
      <c r="I36902" s="711"/>
      <c r="J36902" s="711"/>
      <c r="K36902" s="711"/>
      <c r="L36902" s="711"/>
      <c r="Q36902" s="11"/>
      <c r="R36902" s="11"/>
      <c r="S36902" s="11"/>
      <c r="T36902" s="11"/>
    </row>
    <row r="36903" spans="8:20" x14ac:dyDescent="0.35">
      <c r="H36903" s="711"/>
      <c r="I36903" s="711"/>
      <c r="J36903" s="711"/>
      <c r="K36903" s="711"/>
      <c r="L36903" s="711"/>
      <c r="Q36903" s="11"/>
      <c r="R36903" s="11"/>
      <c r="S36903" s="11"/>
      <c r="T36903" s="11"/>
    </row>
    <row r="36904" spans="8:20" x14ac:dyDescent="0.35">
      <c r="H36904" s="711"/>
      <c r="I36904" s="711"/>
      <c r="J36904" s="711"/>
      <c r="K36904" s="711"/>
      <c r="L36904" s="711"/>
      <c r="Q36904" s="11"/>
      <c r="R36904" s="11"/>
      <c r="S36904" s="11"/>
      <c r="T36904" s="11"/>
    </row>
    <row r="36905" spans="8:20" x14ac:dyDescent="0.35">
      <c r="H36905" s="711"/>
      <c r="I36905" s="711"/>
      <c r="J36905" s="711"/>
      <c r="K36905" s="711"/>
      <c r="L36905" s="711"/>
      <c r="Q36905" s="11"/>
      <c r="R36905" s="11"/>
      <c r="S36905" s="11"/>
      <c r="T36905" s="11"/>
    </row>
    <row r="36906" spans="8:20" x14ac:dyDescent="0.35">
      <c r="H36906" s="711"/>
      <c r="I36906" s="711"/>
      <c r="J36906" s="711"/>
      <c r="K36906" s="711"/>
      <c r="L36906" s="711"/>
      <c r="Q36906" s="11"/>
      <c r="R36906" s="11"/>
      <c r="S36906" s="11"/>
      <c r="T36906" s="11"/>
    </row>
    <row r="36907" spans="8:20" x14ac:dyDescent="0.35">
      <c r="H36907" s="711"/>
      <c r="I36907" s="711"/>
      <c r="J36907" s="711"/>
      <c r="K36907" s="711"/>
      <c r="L36907" s="711"/>
      <c r="Q36907" s="11"/>
      <c r="R36907" s="11"/>
      <c r="S36907" s="11"/>
      <c r="T36907" s="11"/>
    </row>
    <row r="36908" spans="8:20" x14ac:dyDescent="0.35">
      <c r="H36908" s="711"/>
      <c r="I36908" s="711"/>
      <c r="J36908" s="711"/>
      <c r="K36908" s="711"/>
      <c r="L36908" s="711"/>
      <c r="Q36908" s="11"/>
      <c r="R36908" s="11"/>
      <c r="S36908" s="11"/>
      <c r="T36908" s="11"/>
    </row>
    <row r="36909" spans="8:20" x14ac:dyDescent="0.35">
      <c r="H36909" s="711"/>
      <c r="I36909" s="711"/>
      <c r="J36909" s="711"/>
      <c r="K36909" s="711"/>
      <c r="L36909" s="711"/>
      <c r="Q36909" s="11"/>
      <c r="R36909" s="11"/>
      <c r="S36909" s="11"/>
      <c r="T36909" s="11"/>
    </row>
    <row r="36910" spans="8:20" x14ac:dyDescent="0.35">
      <c r="H36910" s="711"/>
      <c r="I36910" s="711"/>
      <c r="J36910" s="711"/>
      <c r="K36910" s="711"/>
      <c r="L36910" s="711"/>
      <c r="Q36910" s="11"/>
      <c r="R36910" s="11"/>
      <c r="S36910" s="11"/>
      <c r="T36910" s="11"/>
    </row>
    <row r="36911" spans="8:20" x14ac:dyDescent="0.35">
      <c r="H36911" s="711"/>
      <c r="I36911" s="711"/>
      <c r="J36911" s="711"/>
      <c r="K36911" s="711"/>
      <c r="L36911" s="711"/>
      <c r="Q36911" s="11"/>
      <c r="R36911" s="11"/>
      <c r="S36911" s="11"/>
      <c r="T36911" s="11"/>
    </row>
    <row r="36912" spans="8:20" x14ac:dyDescent="0.35">
      <c r="H36912" s="711"/>
      <c r="I36912" s="711"/>
      <c r="J36912" s="711"/>
      <c r="K36912" s="711"/>
      <c r="L36912" s="711"/>
      <c r="Q36912" s="11"/>
      <c r="R36912" s="11"/>
      <c r="S36912" s="11"/>
      <c r="T36912" s="11"/>
    </row>
    <row r="36913" spans="8:20" x14ac:dyDescent="0.35">
      <c r="H36913" s="711"/>
      <c r="I36913" s="711"/>
      <c r="J36913" s="711"/>
      <c r="K36913" s="711"/>
      <c r="L36913" s="711"/>
      <c r="Q36913" s="11"/>
      <c r="R36913" s="11"/>
      <c r="S36913" s="11"/>
      <c r="T36913" s="11"/>
    </row>
    <row r="36914" spans="8:20" x14ac:dyDescent="0.35">
      <c r="H36914" s="711"/>
      <c r="I36914" s="711"/>
      <c r="J36914" s="711"/>
      <c r="K36914" s="711"/>
      <c r="L36914" s="711"/>
      <c r="Q36914" s="11"/>
      <c r="R36914" s="11"/>
      <c r="S36914" s="11"/>
      <c r="T36914" s="11"/>
    </row>
    <row r="36915" spans="8:20" x14ac:dyDescent="0.35">
      <c r="H36915" s="711"/>
      <c r="I36915" s="711"/>
      <c r="J36915" s="711"/>
      <c r="K36915" s="711"/>
      <c r="L36915" s="711"/>
      <c r="Q36915" s="11"/>
      <c r="R36915" s="11"/>
      <c r="S36915" s="11"/>
      <c r="T36915" s="11"/>
    </row>
    <row r="36916" spans="8:20" x14ac:dyDescent="0.35">
      <c r="H36916" s="711"/>
      <c r="I36916" s="711"/>
      <c r="J36916" s="711"/>
      <c r="K36916" s="711"/>
      <c r="L36916" s="711"/>
      <c r="Q36916" s="11"/>
      <c r="R36916" s="11"/>
      <c r="S36916" s="11"/>
      <c r="T36916" s="11"/>
    </row>
    <row r="36917" spans="8:20" x14ac:dyDescent="0.35">
      <c r="H36917" s="711"/>
      <c r="I36917" s="711"/>
      <c r="J36917" s="711"/>
      <c r="K36917" s="711"/>
      <c r="L36917" s="711"/>
      <c r="Q36917" s="11"/>
      <c r="R36917" s="11"/>
      <c r="S36917" s="11"/>
      <c r="T36917" s="11"/>
    </row>
    <row r="36918" spans="8:20" x14ac:dyDescent="0.35">
      <c r="H36918" s="711"/>
      <c r="I36918" s="711"/>
      <c r="J36918" s="711"/>
      <c r="K36918" s="711"/>
      <c r="L36918" s="711"/>
      <c r="Q36918" s="11"/>
      <c r="R36918" s="11"/>
      <c r="S36918" s="11"/>
      <c r="T36918" s="11"/>
    </row>
    <row r="36919" spans="8:20" x14ac:dyDescent="0.35">
      <c r="H36919" s="711"/>
      <c r="I36919" s="711"/>
      <c r="J36919" s="711"/>
      <c r="K36919" s="711"/>
      <c r="L36919" s="711"/>
      <c r="Q36919" s="11"/>
      <c r="R36919" s="11"/>
      <c r="S36919" s="11"/>
      <c r="T36919" s="11"/>
    </row>
    <row r="36920" spans="8:20" x14ac:dyDescent="0.35">
      <c r="H36920" s="711"/>
      <c r="I36920" s="711"/>
      <c r="J36920" s="711"/>
      <c r="K36920" s="711"/>
      <c r="L36920" s="711"/>
      <c r="Q36920" s="11"/>
      <c r="R36920" s="11"/>
      <c r="S36920" s="11"/>
      <c r="T36920" s="11"/>
    </row>
    <row r="36921" spans="8:20" x14ac:dyDescent="0.35">
      <c r="H36921" s="711"/>
      <c r="I36921" s="711"/>
      <c r="J36921" s="711"/>
      <c r="K36921" s="711"/>
      <c r="L36921" s="711"/>
      <c r="Q36921" s="11"/>
      <c r="R36921" s="11"/>
      <c r="S36921" s="11"/>
      <c r="T36921" s="11"/>
    </row>
    <row r="36922" spans="8:20" x14ac:dyDescent="0.35">
      <c r="H36922" s="711"/>
      <c r="I36922" s="711"/>
      <c r="J36922" s="711"/>
      <c r="K36922" s="711"/>
      <c r="L36922" s="711"/>
      <c r="Q36922" s="11"/>
      <c r="R36922" s="11"/>
      <c r="S36922" s="11"/>
      <c r="T36922" s="11"/>
    </row>
    <row r="36923" spans="8:20" x14ac:dyDescent="0.35">
      <c r="H36923" s="711"/>
      <c r="I36923" s="711"/>
      <c r="J36923" s="711"/>
      <c r="K36923" s="711"/>
      <c r="L36923" s="711"/>
      <c r="Q36923" s="11"/>
      <c r="R36923" s="11"/>
      <c r="S36923" s="11"/>
      <c r="T36923" s="11"/>
    </row>
    <row r="36924" spans="8:20" x14ac:dyDescent="0.35">
      <c r="H36924" s="711"/>
      <c r="I36924" s="711"/>
      <c r="J36924" s="711"/>
      <c r="K36924" s="711"/>
      <c r="L36924" s="711"/>
      <c r="Q36924" s="11"/>
      <c r="R36924" s="11"/>
      <c r="S36924" s="11"/>
      <c r="T36924" s="11"/>
    </row>
    <row r="36925" spans="8:20" x14ac:dyDescent="0.35">
      <c r="H36925" s="711"/>
      <c r="I36925" s="711"/>
      <c r="J36925" s="711"/>
      <c r="K36925" s="711"/>
      <c r="L36925" s="711"/>
      <c r="Q36925" s="11"/>
      <c r="R36925" s="11"/>
      <c r="S36925" s="11"/>
      <c r="T36925" s="11"/>
    </row>
    <row r="36926" spans="8:20" x14ac:dyDescent="0.35">
      <c r="H36926" s="711"/>
      <c r="I36926" s="711"/>
      <c r="J36926" s="711"/>
      <c r="K36926" s="711"/>
      <c r="L36926" s="711"/>
      <c r="Q36926" s="11"/>
      <c r="R36926" s="11"/>
      <c r="S36926" s="11"/>
      <c r="T36926" s="11"/>
    </row>
    <row r="36927" spans="8:20" x14ac:dyDescent="0.35">
      <c r="H36927" s="711"/>
      <c r="I36927" s="711"/>
      <c r="J36927" s="711"/>
      <c r="K36927" s="711"/>
      <c r="L36927" s="711"/>
      <c r="Q36927" s="11"/>
      <c r="R36927" s="11"/>
      <c r="S36927" s="11"/>
      <c r="T36927" s="11"/>
    </row>
    <row r="36928" spans="8:20" x14ac:dyDescent="0.35">
      <c r="H36928" s="711"/>
      <c r="I36928" s="711"/>
      <c r="J36928" s="711"/>
      <c r="K36928" s="711"/>
      <c r="L36928" s="711"/>
      <c r="Q36928" s="11"/>
      <c r="R36928" s="11"/>
      <c r="S36928" s="11"/>
      <c r="T36928" s="11"/>
    </row>
    <row r="36929" spans="8:20" x14ac:dyDescent="0.35">
      <c r="H36929" s="711"/>
      <c r="I36929" s="711"/>
      <c r="J36929" s="711"/>
      <c r="K36929" s="711"/>
      <c r="L36929" s="711"/>
      <c r="Q36929" s="11"/>
      <c r="R36929" s="11"/>
      <c r="S36929" s="11"/>
      <c r="T36929" s="11"/>
    </row>
    <row r="36930" spans="8:20" x14ac:dyDescent="0.35">
      <c r="H36930" s="711"/>
      <c r="I36930" s="711"/>
      <c r="J36930" s="711"/>
      <c r="K36930" s="711"/>
      <c r="L36930" s="711"/>
      <c r="Q36930" s="11"/>
      <c r="R36930" s="11"/>
      <c r="S36930" s="11"/>
      <c r="T36930" s="11"/>
    </row>
    <row r="36931" spans="8:20" x14ac:dyDescent="0.35">
      <c r="H36931" s="711"/>
      <c r="I36931" s="711"/>
      <c r="J36931" s="711"/>
      <c r="K36931" s="711"/>
      <c r="L36931" s="711"/>
      <c r="Q36931" s="11"/>
      <c r="R36931" s="11"/>
      <c r="S36931" s="11"/>
      <c r="T36931" s="11"/>
    </row>
    <row r="36932" spans="8:20" x14ac:dyDescent="0.35">
      <c r="H36932" s="711"/>
      <c r="I36932" s="711"/>
      <c r="J36932" s="711"/>
      <c r="K36932" s="711"/>
      <c r="L36932" s="711"/>
      <c r="Q36932" s="11"/>
      <c r="R36932" s="11"/>
      <c r="S36932" s="11"/>
      <c r="T36932" s="11"/>
    </row>
    <row r="36933" spans="8:20" x14ac:dyDescent="0.35">
      <c r="H36933" s="711"/>
      <c r="I36933" s="711"/>
      <c r="J36933" s="711"/>
      <c r="K36933" s="711"/>
      <c r="L36933" s="711"/>
      <c r="Q36933" s="11"/>
      <c r="R36933" s="11"/>
      <c r="S36933" s="11"/>
      <c r="T36933" s="11"/>
    </row>
    <row r="36934" spans="8:20" x14ac:dyDescent="0.35">
      <c r="H36934" s="711"/>
      <c r="I36934" s="711"/>
      <c r="J36934" s="711"/>
      <c r="K36934" s="711"/>
      <c r="L36934" s="711"/>
      <c r="Q36934" s="11"/>
      <c r="R36934" s="11"/>
      <c r="S36934" s="11"/>
      <c r="T36934" s="11"/>
    </row>
    <row r="36935" spans="8:20" x14ac:dyDescent="0.35">
      <c r="H36935" s="711"/>
      <c r="I36935" s="711"/>
      <c r="J36935" s="711"/>
      <c r="K36935" s="711"/>
      <c r="L36935" s="711"/>
      <c r="Q36935" s="11"/>
      <c r="R36935" s="11"/>
      <c r="S36935" s="11"/>
      <c r="T36935" s="11"/>
    </row>
    <row r="36936" spans="8:20" x14ac:dyDescent="0.35">
      <c r="H36936" s="711"/>
      <c r="I36936" s="711"/>
      <c r="J36936" s="711"/>
      <c r="K36936" s="711"/>
      <c r="L36936" s="711"/>
      <c r="Q36936" s="11"/>
      <c r="R36936" s="11"/>
      <c r="S36936" s="11"/>
      <c r="T36936" s="11"/>
    </row>
    <row r="36937" spans="8:20" x14ac:dyDescent="0.35">
      <c r="H36937" s="711"/>
      <c r="I36937" s="711"/>
      <c r="J36937" s="711"/>
      <c r="K36937" s="711"/>
      <c r="L36937" s="711"/>
      <c r="Q36937" s="11"/>
      <c r="R36937" s="11"/>
      <c r="S36937" s="11"/>
      <c r="T36937" s="11"/>
    </row>
    <row r="36938" spans="8:20" x14ac:dyDescent="0.35">
      <c r="H36938" s="711"/>
      <c r="I36938" s="711"/>
      <c r="J36938" s="711"/>
      <c r="K36938" s="711"/>
      <c r="L36938" s="711"/>
      <c r="Q36938" s="11"/>
      <c r="R36938" s="11"/>
      <c r="S36938" s="11"/>
      <c r="T36938" s="11"/>
    </row>
    <row r="36939" spans="8:20" x14ac:dyDescent="0.35">
      <c r="H36939" s="711"/>
      <c r="I36939" s="711"/>
      <c r="J36939" s="711"/>
      <c r="K36939" s="711"/>
      <c r="L36939" s="711"/>
      <c r="Q36939" s="11"/>
      <c r="R36939" s="11"/>
      <c r="S36939" s="11"/>
      <c r="T36939" s="11"/>
    </row>
    <row r="36940" spans="8:20" x14ac:dyDescent="0.35">
      <c r="H36940" s="711"/>
      <c r="I36940" s="711"/>
      <c r="J36940" s="711"/>
      <c r="K36940" s="711"/>
      <c r="L36940" s="711"/>
      <c r="Q36940" s="11"/>
      <c r="R36940" s="11"/>
      <c r="S36940" s="11"/>
      <c r="T36940" s="11"/>
    </row>
    <row r="36941" spans="8:20" x14ac:dyDescent="0.35">
      <c r="H36941" s="711"/>
      <c r="I36941" s="711"/>
      <c r="J36941" s="711"/>
      <c r="K36941" s="711"/>
      <c r="L36941" s="711"/>
      <c r="Q36941" s="11"/>
      <c r="R36941" s="11"/>
      <c r="S36941" s="11"/>
      <c r="T36941" s="11"/>
    </row>
    <row r="36942" spans="8:20" x14ac:dyDescent="0.35">
      <c r="H36942" s="711"/>
      <c r="I36942" s="711"/>
      <c r="J36942" s="711"/>
      <c r="K36942" s="711"/>
      <c r="L36942" s="711"/>
      <c r="Q36942" s="11"/>
      <c r="R36942" s="11"/>
      <c r="S36942" s="11"/>
      <c r="T36942" s="11"/>
    </row>
    <row r="36943" spans="8:20" x14ac:dyDescent="0.35">
      <c r="H36943" s="711"/>
      <c r="I36943" s="711"/>
      <c r="J36943" s="711"/>
      <c r="K36943" s="711"/>
      <c r="L36943" s="711"/>
      <c r="Q36943" s="11"/>
      <c r="R36943" s="11"/>
      <c r="S36943" s="11"/>
      <c r="T36943" s="11"/>
    </row>
    <row r="36944" spans="8:20" x14ac:dyDescent="0.35">
      <c r="H36944" s="711"/>
      <c r="I36944" s="711"/>
      <c r="J36944" s="711"/>
      <c r="K36944" s="711"/>
      <c r="L36944" s="711"/>
      <c r="Q36944" s="11"/>
      <c r="R36944" s="11"/>
      <c r="S36944" s="11"/>
      <c r="T36944" s="11"/>
    </row>
    <row r="36945" spans="8:20" x14ac:dyDescent="0.35">
      <c r="H36945" s="711"/>
      <c r="I36945" s="711"/>
      <c r="J36945" s="711"/>
      <c r="K36945" s="711"/>
      <c r="L36945" s="711"/>
      <c r="Q36945" s="11"/>
      <c r="R36945" s="11"/>
      <c r="S36945" s="11"/>
      <c r="T36945" s="11"/>
    </row>
    <row r="36946" spans="8:20" x14ac:dyDescent="0.35">
      <c r="H36946" s="711"/>
      <c r="I36946" s="711"/>
      <c r="J36946" s="711"/>
      <c r="K36946" s="711"/>
      <c r="L36946" s="711"/>
      <c r="Q36946" s="11"/>
      <c r="R36946" s="11"/>
      <c r="S36946" s="11"/>
      <c r="T36946" s="11"/>
    </row>
    <row r="36947" spans="8:20" x14ac:dyDescent="0.35">
      <c r="H36947" s="711"/>
      <c r="I36947" s="711"/>
      <c r="J36947" s="711"/>
      <c r="K36947" s="711"/>
      <c r="L36947" s="711"/>
      <c r="Q36947" s="11"/>
      <c r="R36947" s="11"/>
      <c r="S36947" s="11"/>
      <c r="T36947" s="11"/>
    </row>
    <row r="36948" spans="8:20" x14ac:dyDescent="0.35">
      <c r="H36948" s="711"/>
      <c r="I36948" s="711"/>
      <c r="J36948" s="711"/>
      <c r="K36948" s="711"/>
      <c r="L36948" s="711"/>
      <c r="Q36948" s="11"/>
      <c r="R36948" s="11"/>
      <c r="S36948" s="11"/>
      <c r="T36948" s="11"/>
    </row>
    <row r="36949" spans="8:20" x14ac:dyDescent="0.35">
      <c r="H36949" s="711"/>
      <c r="I36949" s="711"/>
      <c r="J36949" s="711"/>
      <c r="K36949" s="711"/>
      <c r="L36949" s="711"/>
      <c r="Q36949" s="11"/>
      <c r="R36949" s="11"/>
      <c r="S36949" s="11"/>
      <c r="T36949" s="11"/>
    </row>
    <row r="36950" spans="8:20" x14ac:dyDescent="0.35">
      <c r="H36950" s="711"/>
      <c r="I36950" s="711"/>
      <c r="J36950" s="711"/>
      <c r="K36950" s="711"/>
      <c r="L36950" s="711"/>
      <c r="Q36950" s="11"/>
      <c r="R36950" s="11"/>
      <c r="S36950" s="11"/>
      <c r="T36950" s="11"/>
    </row>
    <row r="36951" spans="8:20" x14ac:dyDescent="0.35">
      <c r="H36951" s="711"/>
      <c r="I36951" s="711"/>
      <c r="J36951" s="711"/>
      <c r="K36951" s="711"/>
      <c r="L36951" s="711"/>
      <c r="Q36951" s="11"/>
      <c r="R36951" s="11"/>
      <c r="S36951" s="11"/>
      <c r="T36951" s="11"/>
    </row>
    <row r="36952" spans="8:20" x14ac:dyDescent="0.35">
      <c r="H36952" s="711"/>
      <c r="I36952" s="711"/>
      <c r="J36952" s="711"/>
      <c r="K36952" s="711"/>
      <c r="L36952" s="711"/>
      <c r="Q36952" s="11"/>
      <c r="R36952" s="11"/>
      <c r="S36952" s="11"/>
      <c r="T36952" s="11"/>
    </row>
    <row r="36953" spans="8:20" x14ac:dyDescent="0.35">
      <c r="H36953" s="711"/>
      <c r="I36953" s="711"/>
      <c r="J36953" s="711"/>
      <c r="K36953" s="711"/>
      <c r="L36953" s="711"/>
      <c r="Q36953" s="11"/>
      <c r="R36953" s="11"/>
      <c r="S36953" s="11"/>
      <c r="T36953" s="11"/>
    </row>
    <row r="36954" spans="8:20" x14ac:dyDescent="0.35">
      <c r="H36954" s="711"/>
      <c r="I36954" s="711"/>
      <c r="J36954" s="711"/>
      <c r="K36954" s="711"/>
      <c r="L36954" s="711"/>
      <c r="Q36954" s="11"/>
      <c r="R36954" s="11"/>
      <c r="S36954" s="11"/>
      <c r="T36954" s="11"/>
    </row>
    <row r="36955" spans="8:20" x14ac:dyDescent="0.35">
      <c r="H36955" s="711"/>
      <c r="I36955" s="711"/>
      <c r="J36955" s="711"/>
      <c r="K36955" s="711"/>
      <c r="L36955" s="711"/>
      <c r="Q36955" s="11"/>
      <c r="R36955" s="11"/>
      <c r="S36955" s="11"/>
      <c r="T36955" s="11"/>
    </row>
    <row r="36956" spans="8:20" x14ac:dyDescent="0.35">
      <c r="H36956" s="711"/>
      <c r="I36956" s="711"/>
      <c r="J36956" s="711"/>
      <c r="K36956" s="711"/>
      <c r="L36956" s="711"/>
      <c r="Q36956" s="11"/>
      <c r="R36956" s="11"/>
      <c r="S36956" s="11"/>
      <c r="T36956" s="11"/>
    </row>
    <row r="36957" spans="8:20" x14ac:dyDescent="0.35">
      <c r="H36957" s="711"/>
      <c r="I36957" s="711"/>
      <c r="J36957" s="711"/>
      <c r="K36957" s="711"/>
      <c r="L36957" s="711"/>
      <c r="Q36957" s="11"/>
      <c r="R36957" s="11"/>
      <c r="S36957" s="11"/>
      <c r="T36957" s="11"/>
    </row>
    <row r="36958" spans="8:20" x14ac:dyDescent="0.35">
      <c r="H36958" s="711"/>
      <c r="I36958" s="711"/>
      <c r="J36958" s="711"/>
      <c r="K36958" s="711"/>
      <c r="L36958" s="711"/>
      <c r="Q36958" s="11"/>
      <c r="R36958" s="11"/>
      <c r="S36958" s="11"/>
      <c r="T36958" s="11"/>
    </row>
    <row r="36959" spans="8:20" x14ac:dyDescent="0.35">
      <c r="H36959" s="711"/>
      <c r="I36959" s="711"/>
      <c r="J36959" s="711"/>
      <c r="K36959" s="711"/>
      <c r="L36959" s="711"/>
      <c r="Q36959" s="11"/>
      <c r="R36959" s="11"/>
      <c r="S36959" s="11"/>
      <c r="T36959" s="11"/>
    </row>
    <row r="36960" spans="8:20" x14ac:dyDescent="0.35">
      <c r="H36960" s="711"/>
      <c r="I36960" s="711"/>
      <c r="J36960" s="711"/>
      <c r="K36960" s="711"/>
      <c r="L36960" s="711"/>
      <c r="Q36960" s="11"/>
      <c r="R36960" s="11"/>
      <c r="S36960" s="11"/>
      <c r="T36960" s="11"/>
    </row>
    <row r="36961" spans="8:20" x14ac:dyDescent="0.35">
      <c r="H36961" s="711"/>
      <c r="I36961" s="711"/>
      <c r="J36961" s="711"/>
      <c r="K36961" s="711"/>
      <c r="L36961" s="711"/>
      <c r="Q36961" s="11"/>
      <c r="R36961" s="11"/>
      <c r="S36961" s="11"/>
      <c r="T36961" s="11"/>
    </row>
    <row r="36962" spans="8:20" x14ac:dyDescent="0.35">
      <c r="H36962" s="711"/>
      <c r="I36962" s="711"/>
      <c r="J36962" s="711"/>
      <c r="K36962" s="711"/>
      <c r="L36962" s="711"/>
      <c r="Q36962" s="11"/>
      <c r="R36962" s="11"/>
      <c r="S36962" s="11"/>
      <c r="T36962" s="11"/>
    </row>
    <row r="36963" spans="8:20" x14ac:dyDescent="0.35">
      <c r="H36963" s="711"/>
      <c r="I36963" s="711"/>
      <c r="J36963" s="711"/>
      <c r="K36963" s="711"/>
      <c r="L36963" s="711"/>
      <c r="Q36963" s="11"/>
      <c r="R36963" s="11"/>
      <c r="S36963" s="11"/>
      <c r="T36963" s="11"/>
    </row>
    <row r="36964" spans="8:20" x14ac:dyDescent="0.35">
      <c r="H36964" s="711"/>
      <c r="I36964" s="711"/>
      <c r="J36964" s="711"/>
      <c r="K36964" s="711"/>
      <c r="L36964" s="711"/>
      <c r="Q36964" s="11"/>
      <c r="R36964" s="11"/>
      <c r="S36964" s="11"/>
      <c r="T36964" s="11"/>
    </row>
    <row r="36965" spans="8:20" x14ac:dyDescent="0.35">
      <c r="H36965" s="711"/>
      <c r="I36965" s="711"/>
      <c r="J36965" s="711"/>
      <c r="K36965" s="711"/>
      <c r="L36965" s="711"/>
      <c r="Q36965" s="11"/>
      <c r="R36965" s="11"/>
      <c r="S36965" s="11"/>
      <c r="T36965" s="11"/>
    </row>
    <row r="36966" spans="8:20" x14ac:dyDescent="0.35">
      <c r="H36966" s="711"/>
      <c r="I36966" s="711"/>
      <c r="J36966" s="711"/>
      <c r="K36966" s="711"/>
      <c r="L36966" s="711"/>
      <c r="Q36966" s="11"/>
      <c r="R36966" s="11"/>
      <c r="S36966" s="11"/>
      <c r="T36966" s="11"/>
    </row>
    <row r="36967" spans="8:20" x14ac:dyDescent="0.35">
      <c r="H36967" s="711"/>
      <c r="I36967" s="711"/>
      <c r="J36967" s="711"/>
      <c r="K36967" s="711"/>
      <c r="L36967" s="711"/>
      <c r="Q36967" s="11"/>
      <c r="R36967" s="11"/>
      <c r="S36967" s="11"/>
      <c r="T36967" s="11"/>
    </row>
    <row r="36968" spans="8:20" x14ac:dyDescent="0.35">
      <c r="H36968" s="711"/>
      <c r="I36968" s="711"/>
      <c r="J36968" s="711"/>
      <c r="K36968" s="711"/>
      <c r="L36968" s="711"/>
      <c r="Q36968" s="11"/>
      <c r="R36968" s="11"/>
      <c r="S36968" s="11"/>
      <c r="T36968" s="11"/>
    </row>
    <row r="36969" spans="8:20" x14ac:dyDescent="0.35">
      <c r="H36969" s="711"/>
      <c r="I36969" s="711"/>
      <c r="J36969" s="711"/>
      <c r="K36969" s="711"/>
      <c r="L36969" s="711"/>
      <c r="Q36969" s="11"/>
      <c r="R36969" s="11"/>
      <c r="S36969" s="11"/>
      <c r="T36969" s="11"/>
    </row>
    <row r="36970" spans="8:20" x14ac:dyDescent="0.35">
      <c r="H36970" s="711"/>
      <c r="I36970" s="711"/>
      <c r="J36970" s="711"/>
      <c r="K36970" s="711"/>
      <c r="L36970" s="711"/>
      <c r="Q36970" s="11"/>
      <c r="R36970" s="11"/>
      <c r="S36970" s="11"/>
      <c r="T36970" s="11"/>
    </row>
    <row r="36971" spans="8:20" x14ac:dyDescent="0.35">
      <c r="H36971" s="711"/>
      <c r="I36971" s="711"/>
      <c r="J36971" s="711"/>
      <c r="K36971" s="711"/>
      <c r="L36971" s="711"/>
      <c r="Q36971" s="11"/>
      <c r="R36971" s="11"/>
      <c r="S36971" s="11"/>
      <c r="T36971" s="11"/>
    </row>
    <row r="36972" spans="8:20" x14ac:dyDescent="0.35">
      <c r="H36972" s="711"/>
      <c r="I36972" s="711"/>
      <c r="J36972" s="711"/>
      <c r="K36972" s="711"/>
      <c r="L36972" s="711"/>
      <c r="Q36972" s="11"/>
      <c r="R36972" s="11"/>
      <c r="S36972" s="11"/>
      <c r="T36972" s="11"/>
    </row>
    <row r="36973" spans="8:20" x14ac:dyDescent="0.35">
      <c r="H36973" s="711"/>
      <c r="I36973" s="711"/>
      <c r="J36973" s="711"/>
      <c r="K36973" s="711"/>
      <c r="L36973" s="711"/>
      <c r="Q36973" s="11"/>
      <c r="R36973" s="11"/>
      <c r="S36973" s="11"/>
      <c r="T36973" s="11"/>
    </row>
    <row r="36974" spans="8:20" x14ac:dyDescent="0.35">
      <c r="H36974" s="711"/>
      <c r="I36974" s="711"/>
      <c r="J36974" s="711"/>
      <c r="K36974" s="711"/>
      <c r="L36974" s="711"/>
      <c r="Q36974" s="11"/>
      <c r="R36974" s="11"/>
      <c r="S36974" s="11"/>
      <c r="T36974" s="11"/>
    </row>
    <row r="36975" spans="8:20" x14ac:dyDescent="0.35">
      <c r="H36975" s="711"/>
      <c r="I36975" s="711"/>
      <c r="J36975" s="711"/>
      <c r="K36975" s="711"/>
      <c r="L36975" s="711"/>
      <c r="Q36975" s="11"/>
      <c r="R36975" s="11"/>
      <c r="S36975" s="11"/>
      <c r="T36975" s="11"/>
    </row>
    <row r="36976" spans="8:20" x14ac:dyDescent="0.35">
      <c r="H36976" s="711"/>
      <c r="I36976" s="711"/>
      <c r="J36976" s="711"/>
      <c r="K36976" s="711"/>
      <c r="L36976" s="711"/>
      <c r="Q36976" s="11"/>
      <c r="R36976" s="11"/>
      <c r="S36976" s="11"/>
      <c r="T36976" s="11"/>
    </row>
    <row r="36977" spans="8:20" x14ac:dyDescent="0.35">
      <c r="H36977" s="711"/>
      <c r="I36977" s="711"/>
      <c r="J36977" s="711"/>
      <c r="K36977" s="711"/>
      <c r="L36977" s="711"/>
      <c r="Q36977" s="11"/>
      <c r="R36977" s="11"/>
      <c r="S36977" s="11"/>
      <c r="T36977" s="11"/>
    </row>
    <row r="36978" spans="8:20" x14ac:dyDescent="0.35">
      <c r="H36978" s="711"/>
      <c r="I36978" s="711"/>
      <c r="J36978" s="711"/>
      <c r="K36978" s="711"/>
      <c r="L36978" s="711"/>
      <c r="Q36978" s="11"/>
      <c r="R36978" s="11"/>
      <c r="S36978" s="11"/>
      <c r="T36978" s="11"/>
    </row>
    <row r="36979" spans="8:20" x14ac:dyDescent="0.35">
      <c r="H36979" s="711"/>
      <c r="I36979" s="711"/>
      <c r="J36979" s="711"/>
      <c r="K36979" s="711"/>
      <c r="L36979" s="711"/>
      <c r="Q36979" s="11"/>
      <c r="R36979" s="11"/>
      <c r="S36979" s="11"/>
      <c r="T36979" s="11"/>
    </row>
    <row r="36980" spans="8:20" x14ac:dyDescent="0.35">
      <c r="H36980" s="711"/>
      <c r="I36980" s="711"/>
      <c r="J36980" s="711"/>
      <c r="K36980" s="711"/>
      <c r="L36980" s="711"/>
      <c r="Q36980" s="11"/>
      <c r="R36980" s="11"/>
      <c r="S36980" s="11"/>
      <c r="T36980" s="11"/>
    </row>
    <row r="36981" spans="8:20" x14ac:dyDescent="0.35">
      <c r="H36981" s="711"/>
      <c r="I36981" s="711"/>
      <c r="J36981" s="711"/>
      <c r="K36981" s="711"/>
      <c r="L36981" s="711"/>
      <c r="Q36981" s="11"/>
      <c r="R36981" s="11"/>
      <c r="S36981" s="11"/>
      <c r="T36981" s="11"/>
    </row>
    <row r="36982" spans="8:20" x14ac:dyDescent="0.35">
      <c r="H36982" s="711"/>
      <c r="I36982" s="711"/>
      <c r="J36982" s="711"/>
      <c r="K36982" s="711"/>
      <c r="L36982" s="711"/>
      <c r="Q36982" s="11"/>
      <c r="R36982" s="11"/>
      <c r="S36982" s="11"/>
      <c r="T36982" s="11"/>
    </row>
    <row r="36983" spans="8:20" x14ac:dyDescent="0.35">
      <c r="H36983" s="711"/>
      <c r="I36983" s="711"/>
      <c r="J36983" s="711"/>
      <c r="K36983" s="711"/>
      <c r="L36983" s="711"/>
      <c r="Q36983" s="11"/>
      <c r="R36983" s="11"/>
      <c r="S36983" s="11"/>
      <c r="T36983" s="11"/>
    </row>
    <row r="36984" spans="8:20" x14ac:dyDescent="0.35">
      <c r="H36984" s="711"/>
      <c r="I36984" s="711"/>
      <c r="J36984" s="711"/>
      <c r="K36984" s="711"/>
      <c r="L36984" s="711"/>
      <c r="Q36984" s="11"/>
      <c r="R36984" s="11"/>
      <c r="S36984" s="11"/>
      <c r="T36984" s="11"/>
    </row>
    <row r="36985" spans="8:20" x14ac:dyDescent="0.35">
      <c r="H36985" s="711"/>
      <c r="I36985" s="711"/>
      <c r="J36985" s="711"/>
      <c r="K36985" s="711"/>
      <c r="L36985" s="711"/>
      <c r="Q36985" s="11"/>
      <c r="R36985" s="11"/>
      <c r="S36985" s="11"/>
      <c r="T36985" s="11"/>
    </row>
    <row r="36986" spans="8:20" x14ac:dyDescent="0.35">
      <c r="H36986" s="711"/>
      <c r="I36986" s="711"/>
      <c r="J36986" s="711"/>
      <c r="K36986" s="711"/>
      <c r="L36986" s="711"/>
      <c r="Q36986" s="11"/>
      <c r="R36986" s="11"/>
      <c r="S36986" s="11"/>
      <c r="T36986" s="11"/>
    </row>
    <row r="36987" spans="8:20" x14ac:dyDescent="0.35">
      <c r="H36987" s="711"/>
      <c r="I36987" s="711"/>
      <c r="J36987" s="711"/>
      <c r="K36987" s="711"/>
      <c r="L36987" s="711"/>
      <c r="Q36987" s="11"/>
      <c r="R36987" s="11"/>
      <c r="S36987" s="11"/>
      <c r="T36987" s="11"/>
    </row>
    <row r="36988" spans="8:20" x14ac:dyDescent="0.35">
      <c r="H36988" s="711"/>
      <c r="I36988" s="711"/>
      <c r="J36988" s="711"/>
      <c r="K36988" s="711"/>
      <c r="L36988" s="711"/>
      <c r="Q36988" s="11"/>
      <c r="R36988" s="11"/>
      <c r="S36988" s="11"/>
      <c r="T36988" s="11"/>
    </row>
    <row r="36989" spans="8:20" x14ac:dyDescent="0.35">
      <c r="H36989" s="711"/>
      <c r="I36989" s="711"/>
      <c r="J36989" s="711"/>
      <c r="K36989" s="711"/>
      <c r="L36989" s="711"/>
      <c r="Q36989" s="11"/>
      <c r="R36989" s="11"/>
      <c r="S36989" s="11"/>
      <c r="T36989" s="11"/>
    </row>
    <row r="36990" spans="8:20" x14ac:dyDescent="0.35">
      <c r="H36990" s="711"/>
      <c r="I36990" s="711"/>
      <c r="J36990" s="711"/>
      <c r="K36990" s="711"/>
      <c r="L36990" s="711"/>
      <c r="Q36990" s="11"/>
      <c r="R36990" s="11"/>
      <c r="S36990" s="11"/>
      <c r="T36990" s="11"/>
    </row>
    <row r="36991" spans="8:20" x14ac:dyDescent="0.35">
      <c r="H36991" s="711"/>
      <c r="I36991" s="711"/>
      <c r="J36991" s="711"/>
      <c r="K36991" s="711"/>
      <c r="L36991" s="711"/>
      <c r="Q36991" s="11"/>
      <c r="R36991" s="11"/>
      <c r="S36991" s="11"/>
      <c r="T36991" s="11"/>
    </row>
    <row r="36992" spans="8:20" x14ac:dyDescent="0.35">
      <c r="H36992" s="711"/>
      <c r="I36992" s="711"/>
      <c r="J36992" s="711"/>
      <c r="K36992" s="711"/>
      <c r="L36992" s="711"/>
      <c r="Q36992" s="11"/>
      <c r="R36992" s="11"/>
      <c r="S36992" s="11"/>
      <c r="T36992" s="11"/>
    </row>
    <row r="36993" spans="8:20" x14ac:dyDescent="0.35">
      <c r="H36993" s="711"/>
      <c r="I36993" s="711"/>
      <c r="J36993" s="711"/>
      <c r="K36993" s="711"/>
      <c r="L36993" s="711"/>
      <c r="Q36993" s="11"/>
      <c r="R36993" s="11"/>
      <c r="S36993" s="11"/>
      <c r="T36993" s="11"/>
    </row>
    <row r="36994" spans="8:20" x14ac:dyDescent="0.35">
      <c r="H36994" s="711"/>
      <c r="I36994" s="711"/>
      <c r="J36994" s="711"/>
      <c r="K36994" s="711"/>
      <c r="L36994" s="711"/>
      <c r="Q36994" s="11"/>
      <c r="R36994" s="11"/>
      <c r="S36994" s="11"/>
      <c r="T36994" s="11"/>
    </row>
    <row r="36995" spans="8:20" x14ac:dyDescent="0.35">
      <c r="H36995" s="711"/>
      <c r="I36995" s="711"/>
      <c r="J36995" s="711"/>
      <c r="K36995" s="711"/>
      <c r="L36995" s="711"/>
      <c r="Q36995" s="11"/>
      <c r="R36995" s="11"/>
      <c r="S36995" s="11"/>
      <c r="T36995" s="11"/>
    </row>
    <row r="36996" spans="8:20" x14ac:dyDescent="0.35">
      <c r="H36996" s="711"/>
      <c r="I36996" s="711"/>
      <c r="J36996" s="711"/>
      <c r="K36996" s="711"/>
      <c r="L36996" s="711"/>
      <c r="Q36996" s="11"/>
      <c r="R36996" s="11"/>
      <c r="S36996" s="11"/>
      <c r="T36996" s="11"/>
    </row>
    <row r="36997" spans="8:20" x14ac:dyDescent="0.35">
      <c r="H36997" s="711"/>
      <c r="I36997" s="711"/>
      <c r="J36997" s="711"/>
      <c r="K36997" s="711"/>
      <c r="L36997" s="711"/>
      <c r="Q36997" s="11"/>
      <c r="R36997" s="11"/>
      <c r="S36997" s="11"/>
      <c r="T36997" s="11"/>
    </row>
    <row r="36998" spans="8:20" x14ac:dyDescent="0.35">
      <c r="H36998" s="711"/>
      <c r="I36998" s="711"/>
      <c r="J36998" s="711"/>
      <c r="K36998" s="711"/>
      <c r="L36998" s="711"/>
      <c r="Q36998" s="11"/>
      <c r="R36998" s="11"/>
      <c r="S36998" s="11"/>
      <c r="T36998" s="11"/>
    </row>
    <row r="36999" spans="8:20" x14ac:dyDescent="0.35">
      <c r="H36999" s="711"/>
      <c r="I36999" s="711"/>
      <c r="J36999" s="711"/>
      <c r="K36999" s="711"/>
      <c r="L36999" s="711"/>
      <c r="Q36999" s="11"/>
      <c r="R36999" s="11"/>
      <c r="S36999" s="11"/>
      <c r="T36999" s="11"/>
    </row>
    <row r="37000" spans="8:20" x14ac:dyDescent="0.35">
      <c r="T37000" s="11"/>
    </row>
  </sheetData>
  <autoFilter ref="A1:L26" xr:uid="{00000000-0009-0000-0000-000010000000}"/>
  <conditionalFormatting sqref="E2:E28562">
    <cfRule type="expression" dxfId="9" priority="36" stopIfTrue="1">
      <formula>AND($E2&lt;&gt;#REF!,$E2&gt;0)</formula>
    </cfRule>
  </conditionalFormatting>
  <conditionalFormatting sqref="F2:F28562">
    <cfRule type="expression" dxfId="8" priority="35" stopIfTrue="1">
      <formula>AND($F2&lt;&gt;#REF!,$F2&gt;0)</formula>
    </cfRule>
  </conditionalFormatting>
  <conditionalFormatting sqref="H21:L21">
    <cfRule type="containsBlanks" dxfId="7" priority="11" stopIfTrue="1">
      <formula>LEN(TRIM(H21))=0</formula>
    </cfRule>
  </conditionalFormatting>
  <conditionalFormatting sqref="I21">
    <cfRule type="expression" dxfId="6" priority="8" stopIfTrue="1">
      <formula>AND(LEFT($J21,4)="2700",OR(LEFT($I21,2)="Ba",LEFT($I21,2)="Re",LEFT($I21,3)="100",LEFT($I21,1)="2", LEFT($I21,1)="5", LEFT($I21,1)="6", LEFT($I21,3)="700", LEFT($I21,3)="800", LEFT($I21,3)="900"))</formula>
    </cfRule>
    <cfRule type="expression" dxfId="5" priority="9" stopIfTrue="1">
      <formula>AND(LEFT($H21,4)="1072",OR(LEFT($I21,3)="100",LEFT($I21,3)="200",LEFT($I21,3)="260",LEFT($I21,3)="270",LEFT($I21,3)="400", LEFT($I21,3)="430", LEFT($I21,1)="5", LEFT($I21,1)="6", LEFT($I21,3)="700", LEFT($I21,3)="800", LEFT($I21,3)="900"))</formula>
    </cfRule>
    <cfRule type="expression" dxfId="4" priority="10" stopIfTrue="1">
      <formula>AND(LEFT($H21,4)="1071",OR(LEFT($I21,3)="100",LEFT($I21,3)="200",LEFT($I21,3)="265",LEFT($I21,3)="270",LEFT($I21,3)="400", LEFT($I21,3)="435", LEFT($I21,1)="5", LEFT($I21,1)="6", LEFT($I21,3)="700", LEFT($I21,3)="800", LEFT($I21,3)="900"))</formula>
    </cfRule>
  </conditionalFormatting>
  <conditionalFormatting sqref="J21">
    <cfRule type="expression" dxfId="3" priority="4" stopIfTrue="1">
      <formula>AND(LEFT($K21,3)="682",OR(LEFT($J21,1)="B",LEFT($J21,1)="R",LEFT($J21,1)="1",LEFT($J21,2)="21",LEFT($J21,2)="22",LEFT($J21,2)="24",LEFT($J21,2)="25",LEFT($J21,2)="26",LEFT($J21,2)="27",LEFT($J21,2)="29",LEFT($J21,1)="3",LEFT($J21,1)="4",LEFT($J21,1)="5"))</formula>
    </cfRule>
    <cfRule type="expression" dxfId="2" priority="5" stopIfTrue="1">
      <formula>AND(LEFT($K21,3)="685",OR(LEFT($J21,1)="B",LEFT($J21,1)="R",LEFT($J21,1)="1",LEFT($J21,2)="21",LEFT($J21,2)="22",LEFT($J21,2)="23",LEFT($J21,2)="24",LEFT($J21,2)="26",LEFT($J21,2)="27",LEFT($J21,2)="29",LEFT($J21,1)="3",LEFT($J21,1)="4"))</formula>
    </cfRule>
  </conditionalFormatting>
  <conditionalFormatting sqref="K21">
    <cfRule type="expression" dxfId="1" priority="6" stopIfTrue="1">
      <formula>AND(OR(LEFT($H21,4)="1071",LEFT($H21,4)="1072"),OR(LEFT($K21,2)="13",LEFT($K21,2)="14",LEFT($K21,2)="16",LEFT($K21,2)="17",LEFT($K21,2)="18",LEFT($K21,2)="19",LEFT($K21,1)="O",LEFT($K21,1)="2",LEFT($K21,2)="31",LEFT($K21,2)="39",LEFT($K21,1)="4"))</formula>
    </cfRule>
    <cfRule type="expression" dxfId="0" priority="7" stopIfTrue="1">
      <formula>AND(LEFT($H21,3)="101",OR(LEFT($K21,2)="13",LEFT($K21,2)="14",LEFT($K21,2)="16",LEFT($K21,2)="17",LEFT($K21,2)="18",LEFT($K21,2)="19",LEFT($K21,1)="O",LEFT($K21,1)="2",LEFT($K21,1)="4"))</formula>
    </cfRule>
  </conditionalFormatting>
  <dataValidations count="6">
    <dataValidation type="list" allowBlank="1" showInputMessage="1" showErrorMessage="1" sqref="L21" xr:uid="{94498973-9DEE-45DF-B1E8-3DCC7730A8C5}">
      <formula1>$Y$2:$Y$20</formula1>
    </dataValidation>
    <dataValidation type="list" allowBlank="1" showInputMessage="1" showErrorMessage="1" sqref="I21" xr:uid="{FE454650-BB4C-4329-85E1-21FA043CFB84}">
      <formula1>$N$2:$N$20</formula1>
    </dataValidation>
    <dataValidation type="list" allowBlank="1" showInputMessage="1" showErrorMessage="1" sqref="J21" xr:uid="{11F488DD-D10E-4435-9C8C-9CC56D71D1A0}">
      <formula1>$O$2:$O$20</formula1>
    </dataValidation>
    <dataValidation type="list" allowBlank="1" showInputMessage="1" showErrorMessage="1" sqref="L22:L26 L2:L20" xr:uid="{F898DBBD-5EE2-4F03-8AD4-A82950AC1F91}">
      <formula1>#REF!</formula1>
    </dataValidation>
    <dataValidation type="list" allowBlank="1" showInputMessage="1" showErrorMessage="1" sqref="K21" xr:uid="{C08EAAE3-2827-4DFB-AA25-374FE2D97FE2}">
      <formula1>$P$2:$P$39</formula1>
    </dataValidation>
    <dataValidation type="list" allowBlank="1" showInputMessage="1" showErrorMessage="1" sqref="H21" xr:uid="{3332B4F3-180D-4A8F-B236-E4EEF35F5FA9}">
      <formula1>$M$3:$M$40</formula1>
    </dataValidation>
  </dataValidations>
  <hyperlinks>
    <hyperlink ref="M24:M26" location="ImpactAidandOtherFederalProjects" display="13__ Impact Aid" xr:uid="{00000000-0004-0000-1000-000000000000}"/>
    <hyperlink ref="Q26" location="ImpactAidandOtherFederalProjects" display="13__ Impact Aid" xr:uid="{9594CD81-9231-43B2-BBB9-E95F08DCB579}"/>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dimension ref="A1:E1539"/>
  <sheetViews>
    <sheetView showGridLines="0" topLeftCell="A77" workbookViewId="0">
      <selection activeCell="D14" sqref="D14"/>
    </sheetView>
  </sheetViews>
  <sheetFormatPr defaultColWidth="9.296875" defaultRowHeight="13" x14ac:dyDescent="0.3"/>
  <cols>
    <col min="1" max="1" width="27.296875" customWidth="1"/>
    <col min="2" max="2" width="24" customWidth="1"/>
    <col min="3" max="3" width="23.296875" customWidth="1"/>
    <col min="4" max="4" width="28.296875" customWidth="1"/>
    <col min="5" max="5" width="26.296875" customWidth="1"/>
  </cols>
  <sheetData>
    <row r="1" spans="1:5" ht="14.5" x14ac:dyDescent="0.35">
      <c r="A1" s="675" t="s">
        <v>212</v>
      </c>
      <c r="B1" s="675" t="s">
        <v>213</v>
      </c>
      <c r="C1" s="675" t="s">
        <v>214</v>
      </c>
      <c r="D1" s="675" t="s">
        <v>215</v>
      </c>
      <c r="E1" s="676" t="s">
        <v>216</v>
      </c>
    </row>
    <row r="2" spans="1:5" x14ac:dyDescent="0.3">
      <c r="A2" s="677" t="s">
        <v>217</v>
      </c>
      <c r="B2" s="677" t="s">
        <v>217</v>
      </c>
      <c r="C2" s="677">
        <v>1000</v>
      </c>
      <c r="D2" s="677">
        <v>6100</v>
      </c>
      <c r="E2" s="678">
        <f>SUMIFS('Accounting data'!$G$2:$G$26,'Accounting data'!$J$2:$J$26,"1*",'Accounting data'!$K$2:$K$26,"61*")</f>
        <v>308610</v>
      </c>
    </row>
    <row r="3" spans="1:5" x14ac:dyDescent="0.3">
      <c r="A3" s="677" t="s">
        <v>218</v>
      </c>
      <c r="B3" s="677" t="s">
        <v>217</v>
      </c>
      <c r="C3" s="677">
        <v>1000</v>
      </c>
      <c r="D3" s="677">
        <v>6100</v>
      </c>
      <c r="E3" s="678">
        <f>SUMIFS('Accounting data'!$G$2:$G$26,'Accounting data'!$H$2:$H$26,"9999*",'Accounting data'!$J$2:$J$26,"1*",'Accounting data'!$K$2:$K$26,"61*")</f>
        <v>0</v>
      </c>
    </row>
    <row r="4" spans="1:5" x14ac:dyDescent="0.3">
      <c r="A4" s="677" t="s">
        <v>217</v>
      </c>
      <c r="B4" s="677" t="s">
        <v>219</v>
      </c>
      <c r="C4" s="677">
        <v>1000</v>
      </c>
      <c r="D4" s="677">
        <v>6100</v>
      </c>
      <c r="E4" s="678">
        <f>SUMIFS('Accounting data'!$G$2:$G$26,'Accounting data'!$I$2:$I$26,"7*",'Accounting data'!$J$2:$J$26,"1*",'Accounting data'!$K$2:$K$26,"61*")+SUMIFS('Accounting data'!$G$2:$G$26,'Accounting data'!$I$2:$I$26,"8*",'Accounting data'!$J$2:$J$26,"1*",'Accounting data'!$K$2:$K$26,"61*")+SUMIFS('Accounting data'!$G$2:$G$26,'Accounting data'!$I$2:$I$26,"9*",'Accounting data'!$J$2:$J$26,"1*",'Accounting data'!$K$2:$K$26,"61*")</f>
        <v>0</v>
      </c>
    </row>
    <row r="5" spans="1:5" x14ac:dyDescent="0.3">
      <c r="A5" s="679" t="s">
        <v>218</v>
      </c>
      <c r="B5" s="677" t="s">
        <v>219</v>
      </c>
      <c r="C5" s="677">
        <v>1000</v>
      </c>
      <c r="D5" s="677">
        <v>6100</v>
      </c>
      <c r="E5" s="678">
        <f>SUMIFS('Accounting data'!$G$2:$G$26,'Accounting data'!$H$2:$H$26,"9999*",'Accounting data'!$I$2:$I$26,"7*",'Accounting data'!$J$2:$J$26,"1*",'Accounting data'!$K$2:$K$26,"61*")+SUMIFS('Accounting data'!$G$2:$G$26,'Accounting data'!$H$2:$H$26,"9999*",'Accounting data'!$I$2:$I$26,"8*",'Accounting data'!$J$2:$J$26,"1*",'Accounting data'!$K$2:$K$26,"61*")+SUMIFS('Accounting data'!$G$2:$G$26,'Accounting data'!$H$2:$H$26,"9999*",'Accounting data'!$I$2:$I$26,"9*",'Accounting data'!$J$2:$J$26,"1*",'Accounting data'!$K$2:$K$26,"61*")</f>
        <v>0</v>
      </c>
    </row>
    <row r="6" spans="1:5" x14ac:dyDescent="0.3">
      <c r="A6" s="677"/>
      <c r="B6" s="677"/>
      <c r="C6" s="677"/>
      <c r="D6" s="677"/>
      <c r="E6" s="678"/>
    </row>
    <row r="7" spans="1:5" x14ac:dyDescent="0.3">
      <c r="A7" s="677"/>
      <c r="B7" s="677"/>
      <c r="C7" s="677"/>
      <c r="D7" s="677"/>
      <c r="E7" s="678"/>
    </row>
    <row r="8" spans="1:5" ht="14.5" x14ac:dyDescent="0.35">
      <c r="A8" s="680" t="s">
        <v>220</v>
      </c>
      <c r="B8" s="680"/>
      <c r="C8" s="680"/>
      <c r="D8" s="680"/>
      <c r="E8" s="681">
        <f>(E2-E3-E4)+(E5+E6+E7)</f>
        <v>308610</v>
      </c>
    </row>
    <row r="9" spans="1:5" x14ac:dyDescent="0.3">
      <c r="A9" s="677" t="s">
        <v>217</v>
      </c>
      <c r="B9" s="677" t="s">
        <v>217</v>
      </c>
      <c r="C9" s="677">
        <v>2100</v>
      </c>
      <c r="D9" s="677">
        <v>6100</v>
      </c>
      <c r="E9" s="678">
        <f>SUMIFS('Accounting data'!$G$2:$G$26,'Accounting data'!$J$2:$J$26,"21*",'Accounting data'!$K$2:$K$26,"61*")</f>
        <v>0</v>
      </c>
    </row>
    <row r="10" spans="1:5" x14ac:dyDescent="0.3">
      <c r="A10" s="677" t="s">
        <v>218</v>
      </c>
      <c r="B10" s="677" t="s">
        <v>217</v>
      </c>
      <c r="C10" s="677">
        <v>2100</v>
      </c>
      <c r="D10" s="677">
        <v>6100</v>
      </c>
      <c r="E10" s="678">
        <f>SUMIFS('Accounting data'!$G$2:$G$26,'Accounting data'!$H$2:$H$26,"9999*",'Accounting data'!$J$2:$J$26,"21*",'Accounting data'!$K$2:$K$26,"61*")</f>
        <v>0</v>
      </c>
    </row>
    <row r="11" spans="1:5" x14ac:dyDescent="0.3">
      <c r="A11" s="677" t="s">
        <v>217</v>
      </c>
      <c r="B11" s="677" t="s">
        <v>219</v>
      </c>
      <c r="C11" s="677">
        <v>2100</v>
      </c>
      <c r="D11" s="677">
        <v>6100</v>
      </c>
      <c r="E11" s="678">
        <f>SUMIFS('Accounting data'!$G$2:$G$26,'Accounting data'!$I$2:$I$26,"7*",'Accounting data'!$J$2:$J$26,"21*",'Accounting data'!$K$2:$K$26,"61*")+SUMIFS('Accounting data'!$G$2:$G$26,'Accounting data'!$I$2:$I$26,"8*",'Accounting data'!$J$2:$J$26,"21*",'Accounting data'!$K$2:$K$26,"61*")+SUMIFS('Accounting data'!$G$2:$G$26,'Accounting data'!$I$2:$I$26,"9*",'Accounting data'!$J$2:$J$26,"21*",'Accounting data'!$K$2:$K$26,"61*")</f>
        <v>0</v>
      </c>
    </row>
    <row r="12" spans="1:5" x14ac:dyDescent="0.3">
      <c r="A12" s="679" t="s">
        <v>218</v>
      </c>
      <c r="B12" s="677" t="s">
        <v>219</v>
      </c>
      <c r="C12" s="677">
        <v>2100</v>
      </c>
      <c r="D12" s="677">
        <v>6100</v>
      </c>
      <c r="E12" s="678">
        <f>SUMIFS('Accounting data'!$G$2:$G$26,'Accounting data'!$H$2:$H$26,"9999*",'Accounting data'!$I$2:$I$26,"7*",'Accounting data'!$J$2:$J$26,"21*",'Accounting data'!$K$2:$K$26,"61*")+SUMIFS('Accounting data'!$G$2:$G$26,'Accounting data'!$H$2:$H$26,"9999*",'Accounting data'!$I$2:$I$26,"8*",'Accounting data'!$J$2:$J$26,"21*",'Accounting data'!$K$2:$K$26,"61*")+SUMIFS('Accounting data'!$G$2:$G$26,'Accounting data'!$H$2:$H$26,"9999*",'Accounting data'!$I$2:$I$26,"9*",'Accounting data'!$J$2:$J$26,"21*",'Accounting data'!$K$2:$K$26,"61*")</f>
        <v>0</v>
      </c>
    </row>
    <row r="13" spans="1:5" x14ac:dyDescent="0.3">
      <c r="A13" s="677"/>
      <c r="B13" s="677"/>
      <c r="C13" s="677"/>
      <c r="D13" s="677"/>
      <c r="E13" s="678"/>
    </row>
    <row r="14" spans="1:5" x14ac:dyDescent="0.3">
      <c r="A14" s="677"/>
      <c r="B14" s="677"/>
      <c r="C14" s="677"/>
      <c r="D14" s="677"/>
      <c r="E14" s="678"/>
    </row>
    <row r="15" spans="1:5" ht="14.5" x14ac:dyDescent="0.35">
      <c r="A15" s="680" t="s">
        <v>359</v>
      </c>
      <c r="B15" s="680"/>
      <c r="C15" s="680"/>
      <c r="D15" s="680"/>
      <c r="E15" s="681">
        <f>(E9-E10-E11)+(E12+E13+E14)</f>
        <v>0</v>
      </c>
    </row>
    <row r="16" spans="1:5" x14ac:dyDescent="0.3">
      <c r="A16" s="677" t="s">
        <v>217</v>
      </c>
      <c r="B16" s="677" t="s">
        <v>217</v>
      </c>
      <c r="C16" s="677">
        <v>2200</v>
      </c>
      <c r="D16" s="677">
        <v>6100</v>
      </c>
      <c r="E16" s="678">
        <f>SUMIFS('Accounting data'!$G$2:$G$26,'Accounting data'!$J$2:$J$26,"22*",'Accounting data'!$K$2:$K$26,"61*")</f>
        <v>123668</v>
      </c>
    </row>
    <row r="17" spans="1:5" x14ac:dyDescent="0.3">
      <c r="A17" s="677" t="s">
        <v>218</v>
      </c>
      <c r="B17" s="677" t="s">
        <v>217</v>
      </c>
      <c r="C17" s="677">
        <v>2200</v>
      </c>
      <c r="D17" s="677">
        <v>6100</v>
      </c>
      <c r="E17" s="678">
        <f>SUMIFS('Accounting data'!$G$2:$G$26,'Accounting data'!$H$2:$H$26,"9999*",'Accounting data'!$J$2:$J$26,"22*",'Accounting data'!$K$2:$K$26,"61*")</f>
        <v>0</v>
      </c>
    </row>
    <row r="18" spans="1:5" x14ac:dyDescent="0.3">
      <c r="A18" s="677" t="s">
        <v>217</v>
      </c>
      <c r="B18" s="677" t="s">
        <v>219</v>
      </c>
      <c r="C18" s="677">
        <v>2200</v>
      </c>
      <c r="D18" s="677">
        <v>6100</v>
      </c>
      <c r="E18" s="678">
        <f>SUMIFS('Accounting data'!$G$2:$G$26,'Accounting data'!$I$2:$I$26,"7*",'Accounting data'!$J$2:$J$26,"22*",'Accounting data'!$K$2:$K$26,"61*")+SUMIFS('Accounting data'!$G$2:$G$26,'Accounting data'!$I$2:$I$26,"8*",'Accounting data'!$J$2:$J$26,"22*",'Accounting data'!$K$2:$K$26,"61*")+SUMIFS('Accounting data'!$G$2:$G$26,'Accounting data'!$I$2:$I$26,"9*",'Accounting data'!$J$2:$J$26,"22*",'Accounting data'!$K$2:$K$26,"61*")</f>
        <v>0</v>
      </c>
    </row>
    <row r="19" spans="1:5" x14ac:dyDescent="0.3">
      <c r="A19" s="679" t="s">
        <v>218</v>
      </c>
      <c r="B19" s="677" t="s">
        <v>219</v>
      </c>
      <c r="C19" s="677">
        <v>2200</v>
      </c>
      <c r="D19" s="677">
        <v>6100</v>
      </c>
      <c r="E19" s="678">
        <f>SUMIFS('Accounting data'!$G$2:$G$26,'Accounting data'!$H$2:$H$26,"9999*",'Accounting data'!$I$2:$I$26,"7*",'Accounting data'!$J$2:$J$26,"22*",'Accounting data'!$K$2:$K$26,"61*")+SUMIFS('Accounting data'!$G$2:$G$26,'Accounting data'!$H$2:$H$26,"9999*",'Accounting data'!$I$2:$I$26,"8*",'Accounting data'!$J$2:$J$26,"22*",'Accounting data'!$K$2:$K$26,"61*")+SUMIFS('Accounting data'!$G$2:$G$26,'Accounting data'!$H$2:$H$26,"9999*",'Accounting data'!$I$2:$I$26,"9*",'Accounting data'!$J$2:$J$26,"22*",'Accounting data'!$K$2:$K$26,"61*")</f>
        <v>0</v>
      </c>
    </row>
    <row r="20" spans="1:5" x14ac:dyDescent="0.3">
      <c r="A20" s="677"/>
      <c r="B20" s="677"/>
      <c r="C20" s="677"/>
      <c r="D20" s="677"/>
      <c r="E20" s="678"/>
    </row>
    <row r="21" spans="1:5" x14ac:dyDescent="0.3">
      <c r="A21" s="677"/>
      <c r="B21" s="677"/>
      <c r="C21" s="677"/>
      <c r="D21" s="677"/>
      <c r="E21" s="678"/>
    </row>
    <row r="22" spans="1:5" ht="14.5" x14ac:dyDescent="0.35">
      <c r="A22" s="680" t="s">
        <v>221</v>
      </c>
      <c r="B22" s="680"/>
      <c r="C22" s="680"/>
      <c r="D22" s="680"/>
      <c r="E22" s="681">
        <f>(E16-E17-E18)+(E19+E20+E21)</f>
        <v>123668</v>
      </c>
    </row>
    <row r="23" spans="1:5" x14ac:dyDescent="0.3">
      <c r="A23" s="677" t="s">
        <v>217</v>
      </c>
      <c r="B23" s="677" t="s">
        <v>217</v>
      </c>
      <c r="C23" s="677">
        <v>2300</v>
      </c>
      <c r="D23" s="677">
        <v>6100</v>
      </c>
      <c r="E23" s="678">
        <f>SUMIFS('Accounting data'!$G$2:$G$26,'Accounting data'!$J$2:$J$26,"23*",'Accounting data'!$K$2:$K$26,"61*")</f>
        <v>0</v>
      </c>
    </row>
    <row r="24" spans="1:5" x14ac:dyDescent="0.3">
      <c r="A24" s="677" t="s">
        <v>218</v>
      </c>
      <c r="B24" s="677" t="s">
        <v>217</v>
      </c>
      <c r="C24" s="677">
        <v>2300</v>
      </c>
      <c r="D24" s="677">
        <v>6100</v>
      </c>
      <c r="E24" s="678">
        <f>SUMIFS('Accounting data'!$G$2:$G$26,'Accounting data'!$H$2:$H$26,"9999*",'Accounting data'!$J$2:$J$26,"23*",'Accounting data'!$K$2:$K$26,"61*")</f>
        <v>0</v>
      </c>
    </row>
    <row r="25" spans="1:5" x14ac:dyDescent="0.3">
      <c r="A25" s="677" t="s">
        <v>217</v>
      </c>
      <c r="B25" s="677" t="s">
        <v>219</v>
      </c>
      <c r="C25" s="677">
        <v>2300</v>
      </c>
      <c r="D25" s="677">
        <v>6100</v>
      </c>
      <c r="E25" s="678">
        <f>SUMIFS('Accounting data'!$G$2:$G$26,'Accounting data'!$I$2:$I$26,"7*",'Accounting data'!$J$2:$J$26,"23*",'Accounting data'!$K$2:$K$26,"61*")+SUMIFS('Accounting data'!$G$2:$G$26,'Accounting data'!$I$2:$I$26,"8*",'Accounting data'!$J$2:$J$26,"23*",'Accounting data'!$K$2:$K$26,"61*")+SUMIFS('Accounting data'!$G$2:$G$26,'Accounting data'!$I$2:$I$26,"9*",'Accounting data'!$J$2:$J$26,"23*",'Accounting data'!$K$2:$K$26,"61*")</f>
        <v>0</v>
      </c>
    </row>
    <row r="26" spans="1:5" x14ac:dyDescent="0.3">
      <c r="A26" s="679" t="s">
        <v>218</v>
      </c>
      <c r="B26" s="677" t="s">
        <v>219</v>
      </c>
      <c r="C26" s="677">
        <v>2300</v>
      </c>
      <c r="D26" s="677">
        <v>6100</v>
      </c>
      <c r="E26" s="678">
        <f>SUMIFS('Accounting data'!$G$2:$G$26,'Accounting data'!$H$2:$H$26,"9999*",'Accounting data'!$I$2:$I$26,"7*",'Accounting data'!$J$2:$J$26,"23*",'Accounting data'!$K$2:$K$26,"61*")+SUMIFS('Accounting data'!$G$2:$G$26,'Accounting data'!$H$2:$H$26,"9999*",'Accounting data'!$I$2:$I$26,"8*",'Accounting data'!$J$2:$J$26,"23*",'Accounting data'!$K$2:$K$26,"61*")+SUMIFS('Accounting data'!$G$2:$G$26,'Accounting data'!$H$2:$H$26,"9999*",'Accounting data'!$I$2:$I$26,"9*",'Accounting data'!$J$2:$J$26,"23*",'Accounting data'!$K$2:$K$26,"61*")</f>
        <v>0</v>
      </c>
    </row>
    <row r="27" spans="1:5" x14ac:dyDescent="0.3">
      <c r="A27" s="677"/>
      <c r="B27" s="677"/>
      <c r="C27" s="677"/>
      <c r="D27" s="677"/>
      <c r="E27" s="678"/>
    </row>
    <row r="28" spans="1:5" x14ac:dyDescent="0.3">
      <c r="A28" s="677"/>
      <c r="B28" s="677"/>
      <c r="C28" s="677"/>
      <c r="D28" s="677"/>
      <c r="E28" s="678"/>
    </row>
    <row r="29" spans="1:5" x14ac:dyDescent="0.3">
      <c r="A29" s="680" t="s">
        <v>222</v>
      </c>
      <c r="B29" s="680"/>
      <c r="C29" s="680"/>
      <c r="D29" s="680"/>
      <c r="E29" s="682">
        <f>(E23-E24-E25)+(E26+E27+E28)</f>
        <v>0</v>
      </c>
    </row>
    <row r="30" spans="1:5" x14ac:dyDescent="0.3">
      <c r="A30" s="677" t="s">
        <v>217</v>
      </c>
      <c r="B30" s="677" t="s">
        <v>217</v>
      </c>
      <c r="C30" s="677">
        <v>2400</v>
      </c>
      <c r="D30" s="677">
        <v>6100</v>
      </c>
      <c r="E30" s="678">
        <f>SUMIFS('Accounting data'!$G$2:$G$26,'Accounting data'!$J$2:$J$26,"24*",'Accounting data'!$K$2:$K$26,"61*")</f>
        <v>54706</v>
      </c>
    </row>
    <row r="31" spans="1:5" x14ac:dyDescent="0.3">
      <c r="A31" s="677" t="s">
        <v>218</v>
      </c>
      <c r="B31" s="677" t="s">
        <v>217</v>
      </c>
      <c r="C31" s="677">
        <v>2400</v>
      </c>
      <c r="D31" s="677">
        <v>6100</v>
      </c>
      <c r="E31" s="678">
        <f>SUMIFS('Accounting data'!$G$2:$G$26,'Accounting data'!$H$2:$H$26,"9999*",'Accounting data'!$J$2:$J$26,"24*",'Accounting data'!$K$2:$K$26,"61*")</f>
        <v>0</v>
      </c>
    </row>
    <row r="32" spans="1:5" x14ac:dyDescent="0.3">
      <c r="A32" s="677" t="s">
        <v>217</v>
      </c>
      <c r="B32" s="677" t="s">
        <v>219</v>
      </c>
      <c r="C32" s="677">
        <v>2400</v>
      </c>
      <c r="D32" s="677">
        <v>6100</v>
      </c>
      <c r="E32" s="678">
        <f>SUMIFS('Accounting data'!$G$2:$G$26,'Accounting data'!$I$2:$I$26,"7*",'Accounting data'!$J$2:$J$26,"24*",'Accounting data'!$K$2:$K$26,"61*")+SUMIFS('Accounting data'!$G$2:$G$26,'Accounting data'!$I$2:$I$26,"8*",'Accounting data'!$J$2:$J$26,"24*",'Accounting data'!$K$2:$K$26,"61*")+SUMIFS('Accounting data'!$G$2:$G$26,'Accounting data'!$I$2:$I$26,"9*",'Accounting data'!$J$2:$J$26,"24*",'Accounting data'!$K$2:$K$26,"61*")</f>
        <v>0</v>
      </c>
    </row>
    <row r="33" spans="1:5" x14ac:dyDescent="0.3">
      <c r="A33" s="679" t="s">
        <v>218</v>
      </c>
      <c r="B33" s="677" t="s">
        <v>219</v>
      </c>
      <c r="C33" s="677">
        <v>2400</v>
      </c>
      <c r="D33" s="677">
        <v>6100</v>
      </c>
      <c r="E33" s="678">
        <f>SUMIFS('Accounting data'!$G$2:$G$26,'Accounting data'!$H$2:$H$26,"9999*",'Accounting data'!$I$2:$I$26,"7*",'Accounting data'!$J$2:$J$26,"24*",'Accounting data'!$K$2:$K$26,"61*")+SUMIFS('Accounting data'!$G$2:$G$26,'Accounting data'!$H$2:$H$26,"9999*",'Accounting data'!$I$2:$I$26,"8*",'Accounting data'!$J$2:$J$26,"24*",'Accounting data'!$K$2:$K$26,"61*")+SUMIFS('Accounting data'!$G$2:$G$26,'Accounting data'!$H$2:$H$26,"9999*",'Accounting data'!$I$2:$I$26,"9*",'Accounting data'!$J$2:$J$26,"24*",'Accounting data'!$K$2:$K$26,"61*")</f>
        <v>0</v>
      </c>
    </row>
    <row r="34" spans="1:5" x14ac:dyDescent="0.3">
      <c r="A34" s="677"/>
      <c r="B34" s="677"/>
      <c r="C34" s="677"/>
      <c r="D34" s="677"/>
      <c r="E34" s="678"/>
    </row>
    <row r="35" spans="1:5" x14ac:dyDescent="0.3">
      <c r="A35" s="677"/>
      <c r="B35" s="677"/>
      <c r="C35" s="677"/>
      <c r="D35" s="677"/>
      <c r="E35" s="678"/>
    </row>
    <row r="36" spans="1:5" ht="14.5" x14ac:dyDescent="0.35">
      <c r="A36" s="680" t="s">
        <v>223</v>
      </c>
      <c r="B36" s="680"/>
      <c r="C36" s="680"/>
      <c r="D36" s="680"/>
      <c r="E36" s="681">
        <f>(E30-E31-E32)+(E33+E34+E35)</f>
        <v>54706</v>
      </c>
    </row>
    <row r="37" spans="1:5" x14ac:dyDescent="0.3">
      <c r="A37" s="677" t="s">
        <v>217</v>
      </c>
      <c r="B37" s="677" t="s">
        <v>217</v>
      </c>
      <c r="C37" s="677">
        <v>2500</v>
      </c>
      <c r="D37" s="677">
        <v>6100</v>
      </c>
      <c r="E37" s="678">
        <f>SUMIFS('Accounting data'!$G$2:$G$26,'Accounting data'!$J$2:$J$26,"25*",'Accounting data'!$K$2:$K$26,"61*")</f>
        <v>0</v>
      </c>
    </row>
    <row r="38" spans="1:5" x14ac:dyDescent="0.3">
      <c r="A38" s="677" t="s">
        <v>218</v>
      </c>
      <c r="B38" s="677" t="s">
        <v>217</v>
      </c>
      <c r="C38" s="677">
        <v>2500</v>
      </c>
      <c r="D38" s="677">
        <v>6100</v>
      </c>
      <c r="E38" s="678">
        <f>SUMIFS('Accounting data'!$G$2:$G$26,'Accounting data'!$H$2:$H$26,"9999*",'Accounting data'!$J$2:$J$26,"25*",'Accounting data'!$K$2:$K$26,"61*")</f>
        <v>0</v>
      </c>
    </row>
    <row r="39" spans="1:5" x14ac:dyDescent="0.3">
      <c r="A39" s="677" t="s">
        <v>217</v>
      </c>
      <c r="B39" s="677" t="s">
        <v>219</v>
      </c>
      <c r="C39" s="677">
        <v>2500</v>
      </c>
      <c r="D39" s="677">
        <v>6100</v>
      </c>
      <c r="E39" s="678">
        <f>SUMIFS('Accounting data'!$G$2:$G$26,'Accounting data'!$I$2:$I$26,"7*",'Accounting data'!$J$2:$J$26,"25*",'Accounting data'!$K$2:$K$26,"61*")+SUMIFS('Accounting data'!$G$2:$G$26,'Accounting data'!$I$2:$I$26,"8*",'Accounting data'!$J$2:$J$26,"25*",'Accounting data'!$K$2:$K$26,"61*")+SUMIFS('Accounting data'!$G$2:$G$26,'Accounting data'!$I$2:$I$26,"9*",'Accounting data'!$J$2:$J$26,"25*",'Accounting data'!$K$2:$K$26,"61*")</f>
        <v>0</v>
      </c>
    </row>
    <row r="40" spans="1:5" x14ac:dyDescent="0.3">
      <c r="A40" s="679" t="s">
        <v>218</v>
      </c>
      <c r="B40" s="677" t="s">
        <v>219</v>
      </c>
      <c r="C40" s="677">
        <v>2500</v>
      </c>
      <c r="D40" s="677">
        <v>6100</v>
      </c>
      <c r="E40" s="678">
        <f>SUMIFS('Accounting data'!$G$2:$G$26,'Accounting data'!$H$2:$H$26,"9999*",'Accounting data'!$I$2:$I$26,"7*",'Accounting data'!$J$2:$J$26,"25*",'Accounting data'!$K$2:$K$26,"61*")+SUMIFS('Accounting data'!$G$2:$G$26,'Accounting data'!$H$2:$H$26,"9999*",'Accounting data'!$I$2:$I$26,"8*",'Accounting data'!$J$2:$J$26,"25*",'Accounting data'!$K$2:$K$26,"61*")+SUMIFS('Accounting data'!$G$2:$G$26,'Accounting data'!$H$2:$H$26,"9999*",'Accounting data'!$I$2:$I$26,"9*",'Accounting data'!$J$2:$J$26,"25*",'Accounting data'!$K$2:$K$26,"61*")</f>
        <v>0</v>
      </c>
    </row>
    <row r="41" spans="1:5" x14ac:dyDescent="0.3">
      <c r="A41" s="677"/>
      <c r="B41" s="677"/>
      <c r="C41" s="677"/>
      <c r="D41" s="677"/>
      <c r="E41" s="678"/>
    </row>
    <row r="42" spans="1:5" x14ac:dyDescent="0.3">
      <c r="A42" s="677"/>
      <c r="B42" s="677"/>
      <c r="C42" s="677"/>
      <c r="D42" s="677"/>
      <c r="E42" s="678"/>
    </row>
    <row r="43" spans="1:5" ht="14.5" x14ac:dyDescent="0.35">
      <c r="A43" s="680" t="s">
        <v>224</v>
      </c>
      <c r="B43" s="680"/>
      <c r="C43" s="680"/>
      <c r="D43" s="680"/>
      <c r="E43" s="681">
        <f>(E37-E38-E39)+(E40+E41+E42)</f>
        <v>0</v>
      </c>
    </row>
    <row r="44" spans="1:5" x14ac:dyDescent="0.3">
      <c r="A44" s="677" t="s">
        <v>217</v>
      </c>
      <c r="B44" s="677" t="s">
        <v>217</v>
      </c>
      <c r="C44" s="677">
        <v>2900</v>
      </c>
      <c r="D44" s="677">
        <v>6100</v>
      </c>
      <c r="E44" s="678">
        <f>SUMIFS('Accounting data'!$G$2:$G$26,'Accounting data'!$J$2:$J$26,"29*",'Accounting data'!$K$2:$K$26,"61*")</f>
        <v>0</v>
      </c>
    </row>
    <row r="45" spans="1:5" x14ac:dyDescent="0.3">
      <c r="A45" s="677" t="s">
        <v>218</v>
      </c>
      <c r="B45" s="677" t="s">
        <v>217</v>
      </c>
      <c r="C45" s="677">
        <v>2900</v>
      </c>
      <c r="D45" s="677">
        <v>6100</v>
      </c>
      <c r="E45" s="678">
        <f>SUMIFS('Accounting data'!$G$2:$G$26,'Accounting data'!$H$2:$H$26,"9999*",'Accounting data'!$J$2:$J$26,"29*",'Accounting data'!$K$2:$K$26,"61*")</f>
        <v>0</v>
      </c>
    </row>
    <row r="46" spans="1:5" x14ac:dyDescent="0.3">
      <c r="A46" s="677" t="s">
        <v>217</v>
      </c>
      <c r="B46" s="677" t="s">
        <v>219</v>
      </c>
      <c r="C46" s="677">
        <v>2900</v>
      </c>
      <c r="D46" s="677">
        <v>6100</v>
      </c>
      <c r="E46" s="678">
        <f>SUMIFS('Accounting data'!$G$2:$G$26,'Accounting data'!$I$2:$I$26,"7*",'Accounting data'!$J$2:$J$26,"29*",'Accounting data'!$K$2:$K$26,"61*")+SUMIFS('Accounting data'!$G$2:$G$26,'Accounting data'!$I$2:$I$26,"8*",'Accounting data'!$J$2:$J$26,"29*",'Accounting data'!$K$2:$K$26,"61*")+SUMIFS('Accounting data'!$G$2:$G$26,'Accounting data'!$I$2:$I$26,"9*",'Accounting data'!$J$2:$J$26,"29*",'Accounting data'!$K$2:$K$26,"61*")</f>
        <v>0</v>
      </c>
    </row>
    <row r="47" spans="1:5" x14ac:dyDescent="0.3">
      <c r="A47" s="679" t="s">
        <v>218</v>
      </c>
      <c r="B47" s="677" t="s">
        <v>219</v>
      </c>
      <c r="C47" s="677">
        <v>2900</v>
      </c>
      <c r="D47" s="677">
        <v>6100</v>
      </c>
      <c r="E47" s="678">
        <f>SUMIFS('Accounting data'!$G$2:$G$26,'Accounting data'!$H$2:$H$26,"9999*",'Accounting data'!$I$2:$I$26,"7*",'Accounting data'!$J$2:$J$26,"29*",'Accounting data'!$K$2:$K$26,"61*")+SUMIFS('Accounting data'!$G$2:$G$26,'Accounting data'!$H$2:$H$26,"9999*",'Accounting data'!$I$2:$I$26,"8*",'Accounting data'!$J$2:$J$26,"29*",'Accounting data'!$K$2:$K$26,"61*")+SUMIFS('Accounting data'!$G$2:$G$26,'Accounting data'!$H$2:$H$26,"9999*",'Accounting data'!$I$2:$I$26,"9*",'Accounting data'!$J$2:$J$26,"29*",'Accounting data'!$K$2:$K$26,"61*")</f>
        <v>0</v>
      </c>
    </row>
    <row r="48" spans="1:5" x14ac:dyDescent="0.3">
      <c r="A48" s="677"/>
      <c r="B48" s="677"/>
      <c r="C48" s="677"/>
      <c r="D48" s="677"/>
      <c r="E48" s="678"/>
    </row>
    <row r="49" spans="1:5" x14ac:dyDescent="0.3">
      <c r="A49" s="677"/>
      <c r="B49" s="677"/>
      <c r="C49" s="677"/>
      <c r="D49" s="677"/>
      <c r="E49" s="678"/>
    </row>
    <row r="50" spans="1:5" ht="14.5" x14ac:dyDescent="0.35">
      <c r="A50" s="680" t="s">
        <v>225</v>
      </c>
      <c r="B50" s="680"/>
      <c r="C50" s="680"/>
      <c r="D50" s="680"/>
      <c r="E50" s="681">
        <f>(E44-E45-E46)+(E47+E48+E49)</f>
        <v>0</v>
      </c>
    </row>
    <row r="51" spans="1:5" x14ac:dyDescent="0.3">
      <c r="A51" s="677" t="s">
        <v>217</v>
      </c>
      <c r="B51" s="677" t="s">
        <v>217</v>
      </c>
      <c r="C51" s="677">
        <v>2600</v>
      </c>
      <c r="D51" s="677">
        <v>6100</v>
      </c>
      <c r="E51" s="678">
        <f>SUMIFS('Accounting data'!$G$2:$G$26,'Accounting data'!$J$2:$J$26,"26*",'Accounting data'!$K$2:$K$26,"61*")</f>
        <v>0</v>
      </c>
    </row>
    <row r="52" spans="1:5" x14ac:dyDescent="0.3">
      <c r="A52" s="677" t="s">
        <v>218</v>
      </c>
      <c r="B52" s="677" t="s">
        <v>217</v>
      </c>
      <c r="C52" s="677">
        <v>2600</v>
      </c>
      <c r="D52" s="677">
        <v>6100</v>
      </c>
      <c r="E52" s="678">
        <f>SUMIFS('Accounting data'!$G$2:$G$26,'Accounting data'!$H$2:$H$26,"9999*",'Accounting data'!$J$2:$J$26,"26*",'Accounting data'!$K$2:$K$26,"61*")</f>
        <v>0</v>
      </c>
    </row>
    <row r="53" spans="1:5" x14ac:dyDescent="0.3">
      <c r="A53" s="677" t="s">
        <v>217</v>
      </c>
      <c r="B53" s="677" t="s">
        <v>219</v>
      </c>
      <c r="C53" s="677">
        <v>2600</v>
      </c>
      <c r="D53" s="677">
        <v>6100</v>
      </c>
      <c r="E53" s="678">
        <f>SUMIFS('Accounting data'!$G$2:$G$26,'Accounting data'!$I$2:$I$26,"7*",'Accounting data'!$J$2:$J$26,"26*",'Accounting data'!$K$2:$K$26,"61*")+SUMIFS('Accounting data'!$G$2:$G$26,'Accounting data'!$I$2:$I$26,"8*",'Accounting data'!$J$2:$J$26,"26*",'Accounting data'!$K$2:$K$26,"61*")+SUMIFS('Accounting data'!$G$2:$G$26,'Accounting data'!$I$2:$I$26,"9*",'Accounting data'!$J$2:$J$26,"26*",'Accounting data'!$K$2:$K$26,"61*")</f>
        <v>0</v>
      </c>
    </row>
    <row r="54" spans="1:5" x14ac:dyDescent="0.3">
      <c r="A54" s="679" t="s">
        <v>218</v>
      </c>
      <c r="B54" s="677" t="s">
        <v>219</v>
      </c>
      <c r="C54" s="677">
        <v>2600</v>
      </c>
      <c r="D54" s="677">
        <v>6100</v>
      </c>
      <c r="E54" s="678">
        <f>SUMIFS('Accounting data'!$G$2:$G$26,'Accounting data'!$H$2:$H$26,"9999*",'Accounting data'!$I$2:$I$26,"7*",'Accounting data'!$J$2:$J$26,"26*",'Accounting data'!$K$2:$K$26,"61*")+SUMIFS('Accounting data'!$G$2:$G$26,'Accounting data'!$H$2:$H$26,"9999*",'Accounting data'!$I$2:$I$26,"8*",'Accounting data'!$J$2:$J$26,"26*",'Accounting data'!$K$2:$K$26,"61*")+SUMIFS('Accounting data'!$G$2:$G$26,'Accounting data'!$H$2:$H$26,"9999*",'Accounting data'!$I$2:$I$26,"9*",'Accounting data'!$J$2:$J$26,"26*",'Accounting data'!$K$2:$K$26,"61*")</f>
        <v>0</v>
      </c>
    </row>
    <row r="55" spans="1:5" x14ac:dyDescent="0.3">
      <c r="A55" s="677"/>
      <c r="B55" s="677"/>
      <c r="C55" s="677"/>
      <c r="D55" s="677"/>
      <c r="E55" s="678"/>
    </row>
    <row r="56" spans="1:5" x14ac:dyDescent="0.3">
      <c r="A56" s="677"/>
      <c r="B56" s="677"/>
      <c r="C56" s="677"/>
      <c r="D56" s="677"/>
      <c r="E56" s="678"/>
    </row>
    <row r="57" spans="1:5" ht="14.5" x14ac:dyDescent="0.35">
      <c r="A57" s="680" t="s">
        <v>226</v>
      </c>
      <c r="B57" s="680"/>
      <c r="C57" s="680"/>
      <c r="D57" s="680"/>
      <c r="E57" s="681">
        <f>(E51-E52-E53)+(E54+E55+E56)</f>
        <v>0</v>
      </c>
    </row>
    <row r="58" spans="1:5" x14ac:dyDescent="0.3">
      <c r="A58" s="677" t="s">
        <v>217</v>
      </c>
      <c r="B58" s="677" t="s">
        <v>217</v>
      </c>
      <c r="C58" s="677">
        <v>2700</v>
      </c>
      <c r="D58" s="677">
        <v>6100</v>
      </c>
      <c r="E58" s="678">
        <f>SUMIFS('Accounting data'!$G$2:$G$26,'Accounting data'!$J$2:$J$26,"27*",'Accounting data'!$K$2:$K$26,"61*")</f>
        <v>0</v>
      </c>
    </row>
    <row r="59" spans="1:5" x14ac:dyDescent="0.3">
      <c r="A59" s="677" t="s">
        <v>218</v>
      </c>
      <c r="B59" s="677" t="s">
        <v>217</v>
      </c>
      <c r="C59" s="677">
        <v>2700</v>
      </c>
      <c r="D59" s="677">
        <v>6100</v>
      </c>
      <c r="E59" s="678">
        <f>SUMIFS('Accounting data'!$G$2:$G$26,'Accounting data'!$H$2:$H$26,"9999*",'Accounting data'!$J$2:$J$26,"27*",'Accounting data'!$K$2:$K$26,"61*")</f>
        <v>0</v>
      </c>
    </row>
    <row r="60" spans="1:5" x14ac:dyDescent="0.3">
      <c r="A60" s="677" t="s">
        <v>217</v>
      </c>
      <c r="B60" s="677" t="s">
        <v>219</v>
      </c>
      <c r="C60" s="677">
        <v>2700</v>
      </c>
      <c r="D60" s="677">
        <v>6100</v>
      </c>
      <c r="E60" s="678">
        <f>SUMIFS('Accounting data'!$G$2:$G$26,'Accounting data'!$I$2:$I$26,"7*",'Accounting data'!$J$2:$J$26,"27*",'Accounting data'!$K$2:$K$26,"61*")+SUMIFS('Accounting data'!$G$2:$G$26,'Accounting data'!$I$2:$I$26,"8*",'Accounting data'!$J$2:$J$26,"27*",'Accounting data'!$K$2:$K$26,"61*")+SUMIFS('Accounting data'!$G$2:$G$26,'Accounting data'!$I$2:$I$26,"9*",'Accounting data'!$J$2:$J$26,"27*",'Accounting data'!$K$2:$K$26,"61*")</f>
        <v>0</v>
      </c>
    </row>
    <row r="61" spans="1:5" x14ac:dyDescent="0.3">
      <c r="A61" s="679" t="s">
        <v>218</v>
      </c>
      <c r="B61" s="677" t="s">
        <v>219</v>
      </c>
      <c r="C61" s="677">
        <v>2700</v>
      </c>
      <c r="D61" s="677">
        <v>6100</v>
      </c>
      <c r="E61" s="678">
        <f>SUMIFS('Accounting data'!$G$2:$G$26,'Accounting data'!$H$2:$H$26,"9999*",'Accounting data'!$I$2:$I$26,"7*",'Accounting data'!$J$2:$J$26,"27*",'Accounting data'!$K$2:$K$26,"61*")+SUMIFS('Accounting data'!$G$2:$G$26,'Accounting data'!$H$2:$H$26,"9999*",'Accounting data'!$I$2:$I$26,"8*",'Accounting data'!$J$2:$J$26,"27*",'Accounting data'!$K$2:$K$26,"61*")+SUMIFS('Accounting data'!$G$2:$G$26,'Accounting data'!$H$2:$H$26,"9999*",'Accounting data'!$I$2:$I$26,"9*",'Accounting data'!$J$2:$J$26,"27*",'Accounting data'!$K$2:$K$26,"61*")</f>
        <v>0</v>
      </c>
    </row>
    <row r="62" spans="1:5" x14ac:dyDescent="0.3">
      <c r="A62" s="677"/>
      <c r="B62" s="677"/>
      <c r="C62" s="677"/>
      <c r="D62" s="677"/>
      <c r="E62" s="678"/>
    </row>
    <row r="63" spans="1:5" x14ac:dyDescent="0.3">
      <c r="A63" s="677"/>
      <c r="B63" s="677"/>
      <c r="C63" s="677"/>
      <c r="D63" s="677"/>
      <c r="E63" s="678"/>
    </row>
    <row r="64" spans="1:5" ht="14.5" x14ac:dyDescent="0.35">
      <c r="A64" s="680" t="s">
        <v>227</v>
      </c>
      <c r="B64" s="680"/>
      <c r="C64" s="680"/>
      <c r="D64" s="680"/>
      <c r="E64" s="681">
        <f>(E58-E59-E60)+(E61+E62+E63)</f>
        <v>0</v>
      </c>
    </row>
    <row r="65" spans="1:5" x14ac:dyDescent="0.3">
      <c r="A65" s="677" t="s">
        <v>217</v>
      </c>
      <c r="B65" s="677" t="s">
        <v>217</v>
      </c>
      <c r="C65" s="677">
        <v>3100</v>
      </c>
      <c r="D65" s="677">
        <v>6100</v>
      </c>
      <c r="E65" s="678">
        <f>SUMIFS('Accounting data'!$G$2:$G$26,'Accounting data'!$J$2:$J$26,"31*",'Accounting data'!$K$2:$K$26,"61*")</f>
        <v>0</v>
      </c>
    </row>
    <row r="66" spans="1:5" x14ac:dyDescent="0.3">
      <c r="A66" s="677" t="s">
        <v>218</v>
      </c>
      <c r="B66" s="677" t="s">
        <v>217</v>
      </c>
      <c r="C66" s="677">
        <v>3100</v>
      </c>
      <c r="D66" s="677">
        <v>6100</v>
      </c>
      <c r="E66" s="678">
        <f>SUMIFS('Accounting data'!$G$2:$G$26,'Accounting data'!$H$2:$H$26,"9999*",'Accounting data'!$J$2:$J$26,"31*",'Accounting data'!$K$2:$K$26,"61*")</f>
        <v>0</v>
      </c>
    </row>
    <row r="67" spans="1:5" x14ac:dyDescent="0.3">
      <c r="A67" s="677" t="s">
        <v>217</v>
      </c>
      <c r="B67" s="677" t="s">
        <v>219</v>
      </c>
      <c r="C67" s="677">
        <v>3100</v>
      </c>
      <c r="D67" s="677">
        <v>6100</v>
      </c>
      <c r="E67" s="678">
        <f>SUMIFS('Accounting data'!$G$2:$G$26,'Accounting data'!$I$2:$I$26,"7*",'Accounting data'!$J$2:$J$26,"31*",'Accounting data'!$K$2:$K$26,"61*")+SUMIFS('Accounting data'!$G$2:$G$26,'Accounting data'!$I$2:$I$26,"8*",'Accounting data'!$J$2:$J$26,"31*",'Accounting data'!$K$2:$K$26,"61*")+SUMIFS('Accounting data'!$G$2:$G$26,'Accounting data'!$I$2:$I$26,"9*",'Accounting data'!$J$2:$J$26,"31*",'Accounting data'!$K$2:$K$26,"61*")</f>
        <v>0</v>
      </c>
    </row>
    <row r="68" spans="1:5" x14ac:dyDescent="0.3">
      <c r="A68" s="679" t="s">
        <v>218</v>
      </c>
      <c r="B68" s="677" t="s">
        <v>219</v>
      </c>
      <c r="C68" s="677">
        <v>3100</v>
      </c>
      <c r="D68" s="677">
        <v>6100</v>
      </c>
      <c r="E68" s="678">
        <f>SUMIFS('Accounting data'!$G$2:$G$26,'Accounting data'!$H$2:$H$26,"9999*",'Accounting data'!$I$2:$I$26,"7*",'Accounting data'!$J$2:$J$26,"31*",'Accounting data'!$K$2:$K$26,"61*")+SUMIFS('Accounting data'!$G$2:$G$26,'Accounting data'!$H$2:$H$26,"9999*",'Accounting data'!$I$2:$I$26,"8*",'Accounting data'!$J$2:$J$26,"31*",'Accounting data'!$K$2:$K$26,"61*")+SUMIFS('Accounting data'!$G$2:$G$26,'Accounting data'!$H$2:$H$26,"9999*",'Accounting data'!$I$2:$I$26,"9*",'Accounting data'!$J$2:$J$26,"31*",'Accounting data'!$K$2:$K$26,"61*")</f>
        <v>0</v>
      </c>
    </row>
    <row r="69" spans="1:5" x14ac:dyDescent="0.3">
      <c r="A69" s="677"/>
      <c r="B69" s="677"/>
      <c r="C69" s="677"/>
      <c r="D69" s="677"/>
      <c r="E69" s="678"/>
    </row>
    <row r="70" spans="1:5" x14ac:dyDescent="0.3">
      <c r="A70" s="677"/>
      <c r="B70" s="677"/>
      <c r="C70" s="677"/>
      <c r="D70" s="677"/>
      <c r="E70" s="678"/>
    </row>
    <row r="71" spans="1:5" ht="14.5" x14ac:dyDescent="0.35">
      <c r="A71" s="680" t="s">
        <v>228</v>
      </c>
      <c r="B71" s="680"/>
      <c r="C71" s="680"/>
      <c r="D71" s="680"/>
      <c r="E71" s="681">
        <f>(E65-E66-E67)+(E68+E69+E70)</f>
        <v>0</v>
      </c>
    </row>
    <row r="72" spans="1:5" x14ac:dyDescent="0.3">
      <c r="A72" s="677"/>
      <c r="B72" s="677"/>
      <c r="C72" s="677"/>
      <c r="D72" s="677"/>
      <c r="E72" s="678"/>
    </row>
    <row r="73" spans="1:5" x14ac:dyDescent="0.3">
      <c r="A73" s="677"/>
      <c r="B73" s="677"/>
      <c r="C73" s="677"/>
      <c r="D73" s="677"/>
      <c r="E73" s="678"/>
    </row>
    <row r="74" spans="1:5" x14ac:dyDescent="0.3">
      <c r="A74" s="677"/>
      <c r="B74" s="677"/>
      <c r="C74" s="677"/>
      <c r="D74" s="677"/>
      <c r="E74" s="678"/>
    </row>
    <row r="75" spans="1:5" x14ac:dyDescent="0.3">
      <c r="A75" s="679"/>
      <c r="B75" s="677"/>
      <c r="C75" s="677"/>
      <c r="D75" s="677"/>
      <c r="E75" s="678"/>
    </row>
    <row r="76" spans="1:5" x14ac:dyDescent="0.3">
      <c r="A76" s="677"/>
      <c r="B76" s="677"/>
      <c r="C76" s="677"/>
      <c r="D76" s="677"/>
      <c r="E76" s="678"/>
    </row>
    <row r="77" spans="1:5" x14ac:dyDescent="0.3">
      <c r="A77" s="677"/>
      <c r="B77" s="677"/>
      <c r="C77" s="677"/>
      <c r="D77" s="677"/>
      <c r="E77" s="678"/>
    </row>
    <row r="78" spans="1:5" ht="14.5" x14ac:dyDescent="0.35">
      <c r="A78" s="680"/>
      <c r="B78" s="680"/>
      <c r="C78" s="680"/>
      <c r="D78" s="680"/>
      <c r="E78" s="681"/>
    </row>
    <row r="79" spans="1:5" x14ac:dyDescent="0.3">
      <c r="A79" s="677" t="s">
        <v>217</v>
      </c>
      <c r="B79" s="677" t="s">
        <v>217</v>
      </c>
      <c r="C79" s="677">
        <v>3400</v>
      </c>
      <c r="D79" s="677">
        <v>6100</v>
      </c>
      <c r="E79" s="678">
        <f>SUMIFS('Accounting data'!$G$2:$G$26,'Accounting data'!$J$2:$J$26,"34*",'Accounting data'!$K$2:$K$26,"61*")</f>
        <v>0</v>
      </c>
    </row>
    <row r="80" spans="1:5" x14ac:dyDescent="0.3">
      <c r="A80" s="677" t="s">
        <v>218</v>
      </c>
      <c r="B80" s="677" t="s">
        <v>217</v>
      </c>
      <c r="C80" s="677">
        <v>3400</v>
      </c>
      <c r="D80" s="677">
        <v>6100</v>
      </c>
      <c r="E80" s="678">
        <f>SUMIFS('Accounting data'!$G$2:$G$26,'Accounting data'!$H$2:$H$26,"9999*",'Accounting data'!$J$2:$J$26,"34*",'Accounting data'!$K$2:$K$26,"61*")</f>
        <v>0</v>
      </c>
    </row>
    <row r="81" spans="1:5" x14ac:dyDescent="0.3">
      <c r="A81" s="677" t="s">
        <v>217</v>
      </c>
      <c r="B81" s="677" t="s">
        <v>219</v>
      </c>
      <c r="C81" s="677">
        <v>3400</v>
      </c>
      <c r="D81" s="677">
        <v>6100</v>
      </c>
      <c r="E81" s="678">
        <f>SUMIFS('Accounting data'!$G$2:$G$26,'Accounting data'!$I$2:$I$26,"7*",'Accounting data'!$J$2:$J$26,"34*",'Accounting data'!$K$2:$K$26,"61*")+SUMIFS('Accounting data'!$G$2:$G$26,'Accounting data'!$I$2:$I$26,"8*",'Accounting data'!$J$2:$J$26,"34*",'Accounting data'!$K$2:$K$26,"61*")+SUMIFS('Accounting data'!$G$2:$G$26,'Accounting data'!$I$2:$I$26,"9*",'Accounting data'!$J$2:$J$26,"34*",'Accounting data'!$K$2:$K$26,"61*")</f>
        <v>0</v>
      </c>
    </row>
    <row r="82" spans="1:5" x14ac:dyDescent="0.3">
      <c r="A82" s="679" t="s">
        <v>218</v>
      </c>
      <c r="B82" s="677" t="s">
        <v>219</v>
      </c>
      <c r="C82" s="677">
        <v>3400</v>
      </c>
      <c r="D82" s="677">
        <v>6100</v>
      </c>
      <c r="E82" s="678">
        <f>SUMIFS('Accounting data'!$G$2:$G$26,'Accounting data'!$H$2:$H$26,"9999*",'Accounting data'!$I$2:$I$26,"7*",'Accounting data'!$J$2:$J$26,"34*",'Accounting data'!$K$2:$K$26,"61*")+SUMIFS('Accounting data'!$G$2:$G$26,'Accounting data'!$H$2:$H$26,"9999*",'Accounting data'!$I$2:$I$26,"8*",'Accounting data'!$J$2:$J$26,"34*",'Accounting data'!$K$2:$K$26,"61*")+SUMIFS('Accounting data'!$G$2:$G$26,'Accounting data'!$H$2:$H$26,"9999*",'Accounting data'!$I$2:$I$26,"9*",'Accounting data'!$J$2:$J$26,"34*",'Accounting data'!$K$2:$K$26,"61*")</f>
        <v>0</v>
      </c>
    </row>
    <row r="83" spans="1:5" x14ac:dyDescent="0.3">
      <c r="A83" s="677"/>
      <c r="B83" s="677"/>
      <c r="C83" s="677"/>
      <c r="D83" s="677"/>
      <c r="E83" s="678"/>
    </row>
    <row r="84" spans="1:5" x14ac:dyDescent="0.3">
      <c r="A84" s="677"/>
      <c r="B84" s="677"/>
      <c r="C84" s="677"/>
      <c r="D84" s="677"/>
      <c r="E84" s="678"/>
    </row>
    <row r="85" spans="1:5" ht="14.5" x14ac:dyDescent="0.35">
      <c r="A85" s="680" t="s">
        <v>229</v>
      </c>
      <c r="B85" s="680"/>
      <c r="C85" s="680"/>
      <c r="D85" s="680"/>
      <c r="E85" s="681">
        <f>(E79-E80-E81)+(E82+E83+E84)</f>
        <v>0</v>
      </c>
    </row>
    <row r="86" spans="1:5" x14ac:dyDescent="0.3">
      <c r="A86" s="677" t="s">
        <v>217</v>
      </c>
      <c r="B86" s="677" t="s">
        <v>217</v>
      </c>
      <c r="C86" s="677">
        <v>4000</v>
      </c>
      <c r="D86" s="677">
        <v>6100</v>
      </c>
      <c r="E86" s="678">
        <f>SUMIFS('Accounting data'!$G$2:$G$26,'Accounting data'!$J$2:$J$26,"4*",'Accounting data'!$K$2:$K$26,"61*")</f>
        <v>0</v>
      </c>
    </row>
    <row r="87" spans="1:5" x14ac:dyDescent="0.3">
      <c r="A87" s="677" t="s">
        <v>218</v>
      </c>
      <c r="B87" s="677" t="s">
        <v>217</v>
      </c>
      <c r="C87" s="677">
        <v>4000</v>
      </c>
      <c r="D87" s="677">
        <v>6100</v>
      </c>
      <c r="E87" s="678">
        <f>SUMIFS('Accounting data'!$G$2:$G$26,'Accounting data'!$H$2:$H$26,"9999*",'Accounting data'!$J$2:$J$26,"4*",'Accounting data'!$K$2:$K$26,"61*")</f>
        <v>0</v>
      </c>
    </row>
    <row r="88" spans="1:5" x14ac:dyDescent="0.3">
      <c r="A88" s="677" t="s">
        <v>217</v>
      </c>
      <c r="B88" s="677" t="s">
        <v>219</v>
      </c>
      <c r="C88" s="677">
        <v>4000</v>
      </c>
      <c r="D88" s="677">
        <v>6100</v>
      </c>
      <c r="E88" s="678">
        <f>SUMIFS('Accounting data'!$G$2:$G$26,'Accounting data'!$I$2:$I$26,"7*",'Accounting data'!$J$2:$J$26,"4*",'Accounting data'!$K$2:$K$26,"61*")+SUMIFS('Accounting data'!$G$2:$G$26,'Accounting data'!$I$2:$I$26,"8*",'Accounting data'!$J$2:$J$26,"4*",'Accounting data'!$K$2:$K$26,"61*")+SUMIFS('Accounting data'!$G$2:$G$26,'Accounting data'!$I$2:$I$26,"9*",'Accounting data'!$J$2:$J$26,"4*",'Accounting data'!$K$2:$K$26,"61*")</f>
        <v>0</v>
      </c>
    </row>
    <row r="89" spans="1:5" x14ac:dyDescent="0.3">
      <c r="A89" s="679" t="s">
        <v>218</v>
      </c>
      <c r="B89" s="677" t="s">
        <v>219</v>
      </c>
      <c r="C89" s="677">
        <v>4000</v>
      </c>
      <c r="D89" s="677">
        <v>6100</v>
      </c>
      <c r="E89" s="678">
        <f>SUMIFS('Accounting data'!$G$2:$G$26,'Accounting data'!$H$2:$H$26,"9999*",'Accounting data'!$I$2:$I$26,"7*",'Accounting data'!$J$2:$J$26,"4*",'Accounting data'!$K$2:$K$26,"61*")+SUMIFS('Accounting data'!$G$2:$G$26,'Accounting data'!$H$2:$H$26,"9999*",'Accounting data'!$I$2:$I$26,"8*",'Accounting data'!$J$2:$J$26,"4*",'Accounting data'!$K$2:$K$26,"61*")+SUMIFS('Accounting data'!$G$2:$G$26,'Accounting data'!$H$2:$H$26,"9999*",'Accounting data'!$I$2:$I$26,"9*",'Accounting data'!$J$2:$J$26,"4*",'Accounting data'!$K$2:$K$26,"61*")</f>
        <v>0</v>
      </c>
    </row>
    <row r="90" spans="1:5" x14ac:dyDescent="0.3">
      <c r="A90" s="677"/>
      <c r="B90" s="677"/>
      <c r="C90" s="677"/>
      <c r="D90" s="677"/>
      <c r="E90" s="678"/>
    </row>
    <row r="91" spans="1:5" x14ac:dyDescent="0.3">
      <c r="A91" s="677"/>
      <c r="B91" s="677"/>
      <c r="C91" s="677"/>
      <c r="D91" s="677"/>
      <c r="E91" s="678"/>
    </row>
    <row r="92" spans="1:5" ht="14.5" x14ac:dyDescent="0.35">
      <c r="A92" s="680" t="s">
        <v>230</v>
      </c>
      <c r="B92" s="680"/>
      <c r="C92" s="680"/>
      <c r="D92" s="680"/>
      <c r="E92" s="681">
        <f>(E86-E87-E88)+(E89+E90+E91)</f>
        <v>0</v>
      </c>
    </row>
    <row r="93" spans="1:5" ht="14.5" x14ac:dyDescent="0.35">
      <c r="A93" s="683" t="s">
        <v>326</v>
      </c>
      <c r="B93" s="683"/>
      <c r="C93" s="683"/>
      <c r="D93" s="683"/>
      <c r="E93" s="684">
        <f>E8+E15+E22+E29+E36+E43+E50+E57+E64+E71+E78+E85</f>
        <v>486984</v>
      </c>
    </row>
    <row r="94" spans="1:5" x14ac:dyDescent="0.3">
      <c r="A94" s="677" t="s">
        <v>231</v>
      </c>
      <c r="B94" s="677" t="s">
        <v>217</v>
      </c>
      <c r="C94" s="677">
        <v>1000</v>
      </c>
      <c r="D94" s="677">
        <v>6100</v>
      </c>
      <c r="E94" s="678">
        <f>SUMIFS('Accounting data'!$G$2:$G$26,'Accounting data'!$H$2:$H$26,"11*",'Accounting data'!$J$2:$J$26,"1*",'Accounting data'!$K$2:$K$26,"61*")+SUMIFS('Accounting data'!$G$2:$G$26,'Accounting data'!$H$2:$H$26,"12*",'Accounting data'!$J$2:$J$26,"1*",'Accounting data'!$K$2:$K$26,"61*")+SUMIFS('Accounting data'!$G$2:$G$26,'Accounting data'!$H$2:$H$26,"13*",'Accounting data'!$J$2:$J$26,"1*",'Accounting data'!$K$2:$K$26,"61*")</f>
        <v>0</v>
      </c>
    </row>
    <row r="95" spans="1:5" x14ac:dyDescent="0.3">
      <c r="A95" s="677" t="s">
        <v>231</v>
      </c>
      <c r="B95" s="677" t="s">
        <v>217</v>
      </c>
      <c r="C95" s="677">
        <v>2000</v>
      </c>
      <c r="D95" s="677">
        <v>6100</v>
      </c>
      <c r="E95" s="678">
        <f>SUMIFS('Accounting data'!$G$2:$G$26,'Accounting data'!$H$2:$H$26,"11*",'Accounting data'!$J$2:$J$26,"2*",'Accounting data'!$K$2:$K$26,"61*")+SUMIFS('Accounting data'!$G$2:$G$26,'Accounting data'!$H$2:$H$26,"12*",'Accounting data'!$J$2:$J$26,"2*",'Accounting data'!$K$2:$K$26,"61*")+SUMIFS('Accounting data'!$G$2:$G$26,'Accounting data'!$H$2:$H$26,"13*",'Accounting data'!$J$2:$J$26,"2*",'Accounting data'!$K$2:$K$26,"61*")</f>
        <v>0</v>
      </c>
    </row>
    <row r="96" spans="1:5" x14ac:dyDescent="0.3">
      <c r="A96" s="677" t="s">
        <v>231</v>
      </c>
      <c r="B96" s="677" t="s">
        <v>217</v>
      </c>
      <c r="C96" s="677">
        <v>3000</v>
      </c>
      <c r="D96" s="677">
        <v>6100</v>
      </c>
      <c r="E96" s="678">
        <f>SUMIFS('Accounting data'!$G$2:$G$26,'Accounting data'!$H$2:$H$26,"11*",'Accounting data'!$J$2:$J$26,"3*",'Accounting data'!$K$2:$K$26,"61*")+SUMIFS('Accounting data'!$G$2:$G$26,'Accounting data'!$H$2:$H$26,"12*",'Accounting data'!$J$2:$J$26,"3*",'Accounting data'!$K$2:$K$26,"61*")+SUMIFS('Accounting data'!$G$2:$G$26,'Accounting data'!$H$2:$H$26,"13*",'Accounting data'!$J$2:$J$26,"3*",'Accounting data'!$K$2:$K$26,"61*")</f>
        <v>0</v>
      </c>
    </row>
    <row r="97" spans="1:5" x14ac:dyDescent="0.3">
      <c r="A97" s="677" t="s">
        <v>231</v>
      </c>
      <c r="B97" s="679">
        <v>700</v>
      </c>
      <c r="C97" s="677">
        <v>1000</v>
      </c>
      <c r="D97" s="677">
        <v>6100</v>
      </c>
      <c r="E97" s="678">
        <f>SUMIFS('Accounting data'!$G$2:$G$26,'Accounting data'!$H$2:$H$26,"11*",'Accounting data'!$I$2:$I$26,"7*",'Accounting data'!$J$2:$J$26,"1*",'Accounting data'!$K$2:$K$26,"61*")+SUMIFS('Accounting data'!$G$2:$G$26,'Accounting data'!$H$2:$H$26,"12*",'Accounting data'!$I$2:$I$26,"7*",'Accounting data'!$J$2:$J$26,"1*",'Accounting data'!$K$2:$K$26,"61*")+SUMIFS('Accounting data'!$G$2:$G$26,'Accounting data'!$H$2:$H$26,"13*",'Accounting data'!$I$2:$I$26,"7*",'Accounting data'!$J$2:$J$26,"1*",'Accounting data'!$K$2:$K$26,"61*")</f>
        <v>0</v>
      </c>
    </row>
    <row r="98" spans="1:5" x14ac:dyDescent="0.3">
      <c r="A98" s="677" t="s">
        <v>231</v>
      </c>
      <c r="B98" s="679">
        <v>800</v>
      </c>
      <c r="C98" s="677">
        <v>1000</v>
      </c>
      <c r="D98" s="677">
        <v>6100</v>
      </c>
      <c r="E98" s="678">
        <f>SUMIFS('Accounting data'!$G$2:$G$26,'Accounting data'!$H$2:$H$26,"11*",'Accounting data'!$I$2:$I$26,"8*",'Accounting data'!$J$2:$J$26,"1*",'Accounting data'!$K$2:$K$26,"61*")+SUMIFS('Accounting data'!$G$2:$G$26,'Accounting data'!$H$2:$H$26,"12*",'Accounting data'!$I$2:$I$26,"8*",'Accounting data'!$J$2:$J$26,"1*",'Accounting data'!$K$2:$K$26,"61*")+SUMIFS('Accounting data'!$G$2:$G$26,'Accounting data'!$H$2:$H$26,"13*",'Accounting data'!$I$2:$I$26,"8*",'Accounting data'!$J$2:$J$26,"1*",'Accounting data'!$K$2:$K$26,"61*")</f>
        <v>0</v>
      </c>
    </row>
    <row r="99" spans="1:5" x14ac:dyDescent="0.3">
      <c r="A99" s="677" t="s">
        <v>231</v>
      </c>
      <c r="B99" s="679">
        <v>900</v>
      </c>
      <c r="C99" s="677">
        <v>1000</v>
      </c>
      <c r="D99" s="677">
        <v>6100</v>
      </c>
      <c r="E99" s="678">
        <f>SUMIFS('Accounting data'!$G$2:$G$26,'Accounting data'!$H$2:$H$26,"11*",'Accounting data'!$I$2:$I$26,"9*",'Accounting data'!$J$2:$J$26,"1*",'Accounting data'!$K$2:$K$26,"61*")+SUMIFS('Accounting data'!$G$2:$G$26,'Accounting data'!$H$2:$H$26,"12*",'Accounting data'!$I$2:$I$26,"9*",'Accounting data'!$J$2:$J$26,"1*",'Accounting data'!$K$2:$K$26,"61*")+SUMIFS('Accounting data'!$G$2:$G$26,'Accounting data'!$H$2:$H$26,"13*",'Accounting data'!$I$2:$I$26,"9*",'Accounting data'!$J$2:$J$26,"1*",'Accounting data'!$K$2:$K$26,"61*")</f>
        <v>0</v>
      </c>
    </row>
    <row r="100" spans="1:5" x14ac:dyDescent="0.3">
      <c r="A100" s="677" t="s">
        <v>231</v>
      </c>
      <c r="B100" s="679">
        <v>700</v>
      </c>
      <c r="C100" s="677">
        <v>2000</v>
      </c>
      <c r="D100" s="677">
        <v>6100</v>
      </c>
      <c r="E100" s="678">
        <f>SUMIFS('Accounting data'!$G$2:$G$26,'Accounting data'!$H$2:$H$26,"11*",'Accounting data'!$I$2:$I$26,"7*",'Accounting data'!$J$2:$J$26,"2*",'Accounting data'!$K$2:$K$26,"61*")+SUMIFS('Accounting data'!$G$2:$G$26,'Accounting data'!$H$2:$H$26,"12*",'Accounting data'!$I$2:$I$26,"7*",'Accounting data'!$J$2:$J$26,"2*",'Accounting data'!$K$2:$K$26,"61*")+SUMIFS('Accounting data'!$G$2:$G$26,'Accounting data'!$H$2:$H$26,"13*",'Accounting data'!$I$2:$I$26,"7*",'Accounting data'!$J$2:$J$26,"2*",'Accounting data'!$K$2:$K$26,"61*")</f>
        <v>0</v>
      </c>
    </row>
    <row r="101" spans="1:5" x14ac:dyDescent="0.3">
      <c r="A101" s="677" t="s">
        <v>231</v>
      </c>
      <c r="B101" s="679">
        <v>800</v>
      </c>
      <c r="C101" s="677">
        <v>2000</v>
      </c>
      <c r="D101" s="677">
        <v>6100</v>
      </c>
      <c r="E101" s="678">
        <f>SUMIFS('Accounting data'!$G$2:$G$26,'Accounting data'!$H$2:$H$26,"11*",'Accounting data'!$I$2:$I$26,"8*",'Accounting data'!$J$2:$J$26,"2*",'Accounting data'!$K$2:$K$26,"61*")+SUMIFS('Accounting data'!$G$2:$G$26,'Accounting data'!$H$2:$H$26,"12*",'Accounting data'!$I$2:$I$26,"8*",'Accounting data'!$J$2:$J$26,"2*",'Accounting data'!$K$2:$K$26,"61*")+SUMIFS('Accounting data'!$G$2:$G$26,'Accounting data'!$H$2:$H$26,"13*",'Accounting data'!$I$2:$I$26,"8*",'Accounting data'!$J$2:$J$26,"2*",'Accounting data'!$K$2:$K$26,"61*")</f>
        <v>0</v>
      </c>
    </row>
    <row r="102" spans="1:5" x14ac:dyDescent="0.3">
      <c r="A102" s="677" t="s">
        <v>231</v>
      </c>
      <c r="B102" s="679">
        <v>900</v>
      </c>
      <c r="C102" s="677">
        <v>2000</v>
      </c>
      <c r="D102" s="677">
        <v>6100</v>
      </c>
      <c r="E102" s="678">
        <f>SUMIFS('Accounting data'!$G$2:$G$26,'Accounting data'!$H$2:$H$26,"11*",'Accounting data'!$I$2:$I$26,"9*",'Accounting data'!$J$2:$J$26,"2*",'Accounting data'!$K$2:$K$26,"61*")+SUMIFS('Accounting data'!$G$2:$G$26,'Accounting data'!$H$2:$H$26,"12*",'Accounting data'!$I$2:$I$26,"9*",'Accounting data'!$J$2:$J$26,"2*",'Accounting data'!$K$2:$K$26,"61*")+SUMIFS('Accounting data'!$G$2:$G$26,'Accounting data'!$H$2:$H$26,"13*",'Accounting data'!$I$2:$I$26,"9*",'Accounting data'!$J$2:$J$26,"2*",'Accounting data'!$K$2:$K$26,"61*")</f>
        <v>0</v>
      </c>
    </row>
    <row r="103" spans="1:5" x14ac:dyDescent="0.3">
      <c r="A103" s="677" t="s">
        <v>231</v>
      </c>
      <c r="B103" s="679">
        <v>700</v>
      </c>
      <c r="C103" s="677">
        <v>3000</v>
      </c>
      <c r="D103" s="677">
        <v>6100</v>
      </c>
      <c r="E103" s="678">
        <f>SUMIFS('Accounting data'!$G$2:$G$26,'Accounting data'!$H$2:$H$26,"11*",'Accounting data'!$I$2:$I$26,"7*",'Accounting data'!$J$2:$J$26,"3*",'Accounting data'!$K$2:$K$26,"61*")+SUMIFS('Accounting data'!$G$2:$G$26,'Accounting data'!$H$2:$H$26,"12*",'Accounting data'!$I$2:$I$26,"7*",'Accounting data'!$J$2:$J$26,"3*",'Accounting data'!$K$2:$K$26,"61*")+SUMIFS('Accounting data'!$G$2:$G$26,'Accounting data'!$H$2:$H$26,"13*",'Accounting data'!$I$2:$I$26,"7*",'Accounting data'!$J$2:$J$26,"3*",'Accounting data'!$K$2:$K$26,"61*")</f>
        <v>0</v>
      </c>
    </row>
    <row r="104" spans="1:5" x14ac:dyDescent="0.3">
      <c r="A104" s="677" t="s">
        <v>231</v>
      </c>
      <c r="B104" s="679">
        <v>800</v>
      </c>
      <c r="C104" s="677">
        <v>3000</v>
      </c>
      <c r="D104" s="677">
        <v>6100</v>
      </c>
      <c r="E104" s="678">
        <f>SUMIFS('Accounting data'!$G$2:$G$26,'Accounting data'!$H$2:$H$26,"11*",'Accounting data'!$I$2:$I$26,"8*",'Accounting data'!$J$2:$J$26,"3*",'Accounting data'!$K$2:$K$26,"61*")+SUMIFS('Accounting data'!$G$2:$G$26,'Accounting data'!$H$2:$H$26,"12*",'Accounting data'!$I$2:$I$26,"8*",'Accounting data'!$J$2:$J$26,"3*",'Accounting data'!$K$2:$K$26,"61*")+SUMIFS('Accounting data'!$G$2:$G$26,'Accounting data'!$H$2:$H$26,"13*",'Accounting data'!$I$2:$I$26,"8*",'Accounting data'!$J$2:$J$26,"3*",'Accounting data'!$K$2:$K$26,"61*")</f>
        <v>0</v>
      </c>
    </row>
    <row r="105" spans="1:5" x14ac:dyDescent="0.3">
      <c r="A105" s="677" t="s">
        <v>231</v>
      </c>
      <c r="B105" s="679">
        <v>900</v>
      </c>
      <c r="C105" s="677">
        <v>3000</v>
      </c>
      <c r="D105" s="677">
        <v>6100</v>
      </c>
      <c r="E105" s="678">
        <f>SUMIFS('Accounting data'!$G$2:$G$26,'Accounting data'!$H$2:$H$26,"11*",'Accounting data'!$I$2:$I$26,"9*",'Accounting data'!$J$2:$J$26,"3*",'Accounting data'!$K$2:$K$26,"61*")+SUMIFS('Accounting data'!$G$2:$G$26,'Accounting data'!$H$2:$H$26,"12*",'Accounting data'!$I$2:$I$26,"9*",'Accounting data'!$J$2:$J$26,"3*",'Accounting data'!$K$2:$K$26,"61*")+SUMIFS('Accounting data'!$G$2:$G$26,'Accounting data'!$H$2:$H$26,"13*",'Accounting data'!$I$2:$I$26,"9*",'Accounting data'!$J$2:$J$26,"3*",'Accounting data'!$K$2:$K$26,"61*")</f>
        <v>0</v>
      </c>
    </row>
    <row r="106" spans="1:5" ht="14.5" x14ac:dyDescent="0.35">
      <c r="A106" s="680" t="s">
        <v>232</v>
      </c>
      <c r="B106" s="680"/>
      <c r="C106" s="680"/>
      <c r="D106" s="680"/>
      <c r="E106" s="681">
        <f>(E94+E95+E96)-(E97+E98+E99+E100+E101+E102+E103+E104+E105)</f>
        <v>0</v>
      </c>
    </row>
    <row r="107" spans="1:5" x14ac:dyDescent="0.3">
      <c r="A107" s="677" t="s">
        <v>217</v>
      </c>
      <c r="B107" s="677" t="s">
        <v>217</v>
      </c>
      <c r="C107" s="677">
        <v>1000</v>
      </c>
      <c r="D107" s="677">
        <v>6200</v>
      </c>
      <c r="E107" s="678">
        <f>SUMIFS('Accounting data'!$G$2:$G$26,'Accounting data'!$J$2:$J$26,"1*",'Accounting data'!$K$2:$K$26,"62*")</f>
        <v>74809</v>
      </c>
    </row>
    <row r="108" spans="1:5" x14ac:dyDescent="0.3">
      <c r="A108" s="677" t="s">
        <v>218</v>
      </c>
      <c r="B108" s="677" t="s">
        <v>217</v>
      </c>
      <c r="C108" s="677">
        <v>1000</v>
      </c>
      <c r="D108" s="677">
        <v>6200</v>
      </c>
      <c r="E108" s="678">
        <f>SUMIFS('Accounting data'!$G$2:$G$26,'Accounting data'!$H$2:$H$26,"9999*",'Accounting data'!$J$2:$J$26,"1*",'Accounting data'!$K$2:$K$26,"62*")</f>
        <v>0</v>
      </c>
    </row>
    <row r="109" spans="1:5" x14ac:dyDescent="0.3">
      <c r="A109" s="677" t="s">
        <v>217</v>
      </c>
      <c r="B109" s="677" t="s">
        <v>219</v>
      </c>
      <c r="C109" s="677">
        <v>1000</v>
      </c>
      <c r="D109" s="677">
        <v>6200</v>
      </c>
      <c r="E109" s="678">
        <f>SUMIFS('Accounting data'!$G$2:$G$26,'Accounting data'!$I$2:$I$26,"7*",'Accounting data'!$J$2:$J$26,"1*",'Accounting data'!$K$2:$K$26,"62*")+SUMIFS('Accounting data'!$G$2:$G$26,'Accounting data'!$I$2:$I$26,"8*",'Accounting data'!$J$2:$J$26,"1*",'Accounting data'!$K$2:$K$26,"62*")+SUMIFS('Accounting data'!$G$2:$G$26,'Accounting data'!$I$2:$I$26,"9*",'Accounting data'!$J$2:$J$26,"1*",'Accounting data'!$K$2:$K$26,"62*")</f>
        <v>0</v>
      </c>
    </row>
    <row r="110" spans="1:5" x14ac:dyDescent="0.3">
      <c r="A110" s="679" t="s">
        <v>218</v>
      </c>
      <c r="B110" s="677" t="s">
        <v>219</v>
      </c>
      <c r="C110" s="677">
        <v>1000</v>
      </c>
      <c r="D110" s="677">
        <v>6200</v>
      </c>
      <c r="E110" s="678">
        <f>SUMIFS('Accounting data'!$G$2:$G$26,'Accounting data'!$H$2:$H$26,"9999*",'Accounting data'!$I$2:$I$26,"7*",'Accounting data'!$J$2:$J$26,"1*",'Accounting data'!$K$2:$K$26,"62*")+SUMIFS('Accounting data'!$G$2:$G$26,'Accounting data'!$H$2:$H$26,"9999*",'Accounting data'!$I$2:$I$26,"8*",'Accounting data'!$J$2:$J$26,"1*",'Accounting data'!$K$2:$K$26,"62*")+SUMIFS('Accounting data'!$G$2:$G$26,'Accounting data'!$H$2:$H$26,"9999*",'Accounting data'!$I$2:$I$26,"9*",'Accounting data'!$J$2:$J$26,"1*",'Accounting data'!$K$2:$K$26,"62*")</f>
        <v>0</v>
      </c>
    </row>
    <row r="111" spans="1:5" x14ac:dyDescent="0.3">
      <c r="A111" s="677"/>
      <c r="B111" s="677"/>
      <c r="C111" s="677"/>
      <c r="D111" s="677"/>
      <c r="E111" s="678"/>
    </row>
    <row r="112" spans="1:5" x14ac:dyDescent="0.3">
      <c r="A112" s="677"/>
      <c r="B112" s="677"/>
      <c r="C112" s="677"/>
      <c r="D112" s="677"/>
      <c r="E112" s="678"/>
    </row>
    <row r="113" spans="1:5" ht="14.5" x14ac:dyDescent="0.35">
      <c r="A113" s="680" t="s">
        <v>233</v>
      </c>
      <c r="B113" s="680"/>
      <c r="C113" s="680"/>
      <c r="D113" s="680"/>
      <c r="E113" s="681">
        <f>(E107-E108-E109)+(E110+E111+E112)</f>
        <v>74809</v>
      </c>
    </row>
    <row r="114" spans="1:5" x14ac:dyDescent="0.3">
      <c r="A114" s="677" t="s">
        <v>217</v>
      </c>
      <c r="B114" s="677" t="s">
        <v>217</v>
      </c>
      <c r="C114" s="677">
        <v>2100</v>
      </c>
      <c r="D114" s="677">
        <v>6200</v>
      </c>
      <c r="E114" s="678">
        <f>SUMIFS('Accounting data'!$G$2:$G$26,'Accounting data'!$J$2:$J$26,"21*",'Accounting data'!$K$2:$K$26,"62*")</f>
        <v>0</v>
      </c>
    </row>
    <row r="115" spans="1:5" x14ac:dyDescent="0.3">
      <c r="A115" s="677" t="s">
        <v>218</v>
      </c>
      <c r="B115" s="677" t="s">
        <v>217</v>
      </c>
      <c r="C115" s="677">
        <v>2100</v>
      </c>
      <c r="D115" s="677">
        <v>6200</v>
      </c>
      <c r="E115" s="678">
        <f>SUMIFS('Accounting data'!$G$2:$G$26,'Accounting data'!$H$2:$H$26,"9999*",'Accounting data'!$J$2:$J$26,"21*",'Accounting data'!$K$2:$K$26,"62*")</f>
        <v>0</v>
      </c>
    </row>
    <row r="116" spans="1:5" x14ac:dyDescent="0.3">
      <c r="A116" s="677" t="s">
        <v>217</v>
      </c>
      <c r="B116" s="677" t="s">
        <v>219</v>
      </c>
      <c r="C116" s="677">
        <v>2100</v>
      </c>
      <c r="D116" s="677">
        <v>6200</v>
      </c>
      <c r="E116" s="678">
        <f>SUMIFS('Accounting data'!$G$2:$G$26,'Accounting data'!$I$2:$I$26,"7*",'Accounting data'!$J$2:$J$26,"21*",'Accounting data'!$K$2:$K$26,"62*")+SUMIFS('Accounting data'!$G$2:$G$26,'Accounting data'!$I$2:$I$26,"8*",'Accounting data'!$J$2:$J$26,"21*",'Accounting data'!$K$2:$K$26,"62*")+SUMIFS('Accounting data'!$G$2:$G$26,'Accounting data'!$I$2:$I$26,"9*",'Accounting data'!$J$2:$J$26,"21*",'Accounting data'!$K$2:$K$26,"62*")</f>
        <v>0</v>
      </c>
    </row>
    <row r="117" spans="1:5" x14ac:dyDescent="0.3">
      <c r="A117" s="679" t="s">
        <v>218</v>
      </c>
      <c r="B117" s="677" t="s">
        <v>219</v>
      </c>
      <c r="C117" s="677">
        <v>2100</v>
      </c>
      <c r="D117" s="677">
        <v>6200</v>
      </c>
      <c r="E117" s="678">
        <f>SUMIFS('Accounting data'!$G$2:$G$26,'Accounting data'!$H$2:$H$26,"9999*",'Accounting data'!$I$2:$I$26,"7*",'Accounting data'!$J$2:$J$26,"21*",'Accounting data'!$K$2:$K$26,"62*")+SUMIFS('Accounting data'!$G$2:$G$26,'Accounting data'!$H$2:$H$26,"9999*",'Accounting data'!$I$2:$I$26,"8*",'Accounting data'!$J$2:$J$26,"21*",'Accounting data'!$K$2:$K$26,"62*")+SUMIFS('Accounting data'!$G$2:$G$26,'Accounting data'!$H$2:$H$26,"9999*",'Accounting data'!$I$2:$I$26,"9*",'Accounting data'!$J$2:$J$26,"21*",'Accounting data'!$K$2:$K$26,"62*")</f>
        <v>0</v>
      </c>
    </row>
    <row r="118" spans="1:5" x14ac:dyDescent="0.3">
      <c r="A118" s="677"/>
      <c r="B118" s="677"/>
      <c r="C118" s="677"/>
      <c r="D118" s="677"/>
      <c r="E118" s="678"/>
    </row>
    <row r="119" spans="1:5" x14ac:dyDescent="0.3">
      <c r="A119" s="677"/>
      <c r="B119" s="677"/>
      <c r="C119" s="677"/>
      <c r="D119" s="677"/>
      <c r="E119" s="678"/>
    </row>
    <row r="120" spans="1:5" ht="14.5" x14ac:dyDescent="0.35">
      <c r="A120" s="680" t="s">
        <v>234</v>
      </c>
      <c r="B120" s="680"/>
      <c r="C120" s="680"/>
      <c r="D120" s="680"/>
      <c r="E120" s="681">
        <f>(E114-E115-E116)+(E117+E118+E119)</f>
        <v>0</v>
      </c>
    </row>
    <row r="121" spans="1:5" x14ac:dyDescent="0.3">
      <c r="A121" s="677" t="s">
        <v>217</v>
      </c>
      <c r="B121" s="677" t="s">
        <v>217</v>
      </c>
      <c r="C121" s="677">
        <v>2200</v>
      </c>
      <c r="D121" s="677">
        <v>6200</v>
      </c>
      <c r="E121" s="678">
        <f>SUMIFS('Accounting data'!$G$2:$G$26,'Accounting data'!$J$2:$J$26,"22*",'Accounting data'!$K$2:$K$26,"62*")</f>
        <v>13428</v>
      </c>
    </row>
    <row r="122" spans="1:5" x14ac:dyDescent="0.3">
      <c r="A122" s="677" t="s">
        <v>218</v>
      </c>
      <c r="B122" s="677" t="s">
        <v>217</v>
      </c>
      <c r="C122" s="677">
        <v>2200</v>
      </c>
      <c r="D122" s="677">
        <v>6200</v>
      </c>
      <c r="E122" s="678">
        <f>SUMIFS('Accounting data'!$G$2:$G$26,'Accounting data'!$H$2:$H$26,"9999*",'Accounting data'!$J$2:$J$26,"22*",'Accounting data'!$K$2:$K$26,"62*")</f>
        <v>0</v>
      </c>
    </row>
    <row r="123" spans="1:5" x14ac:dyDescent="0.3">
      <c r="A123" s="677" t="s">
        <v>217</v>
      </c>
      <c r="B123" s="677" t="s">
        <v>219</v>
      </c>
      <c r="C123" s="677">
        <v>2200</v>
      </c>
      <c r="D123" s="677">
        <v>6200</v>
      </c>
      <c r="E123" s="678">
        <f>SUMIFS('Accounting data'!$G$2:$G$26,'Accounting data'!$I$2:$I$26,"7*",'Accounting data'!$J$2:$J$26,"22*",'Accounting data'!$K$2:$K$26,"62*")+SUMIFS('Accounting data'!$G$2:$G$26,'Accounting data'!$I$2:$I$26,"8*",'Accounting data'!$J$2:$J$26,"22*",'Accounting data'!$K$2:$K$26,"62*")+SUMIFS('Accounting data'!$G$2:$G$26,'Accounting data'!$I$2:$I$26,"9*",'Accounting data'!$J$2:$J$26,"22*",'Accounting data'!$K$2:$K$26,"62*")</f>
        <v>0</v>
      </c>
    </row>
    <row r="124" spans="1:5" x14ac:dyDescent="0.3">
      <c r="A124" s="679" t="s">
        <v>218</v>
      </c>
      <c r="B124" s="677" t="s">
        <v>219</v>
      </c>
      <c r="C124" s="677">
        <v>2200</v>
      </c>
      <c r="D124" s="677">
        <v>6200</v>
      </c>
      <c r="E124" s="678">
        <f>SUMIFS('Accounting data'!$G$2:$G$26,'Accounting data'!$H$2:$H$26,"9999*",'Accounting data'!$I$2:$I$26,"7*",'Accounting data'!$J$2:$J$26,"22*",'Accounting data'!$K$2:$K$26,"62*")+SUMIFS('Accounting data'!$G$2:$G$26,'Accounting data'!$H$2:$H$26,"9999*",'Accounting data'!$I$2:$I$26,"8*",'Accounting data'!$J$2:$J$26,"22*",'Accounting data'!$K$2:$K$26,"62*")+SUMIFS('Accounting data'!$G$2:$G$26,'Accounting data'!$H$2:$H$26,"9999*",'Accounting data'!$I$2:$I$26,"9*",'Accounting data'!$J$2:$J$26,"22*",'Accounting data'!$K$2:$K$26,"62*")</f>
        <v>0</v>
      </c>
    </row>
    <row r="125" spans="1:5" x14ac:dyDescent="0.3">
      <c r="A125" s="677"/>
      <c r="B125" s="677"/>
      <c r="C125" s="677"/>
      <c r="D125" s="677"/>
      <c r="E125" s="678"/>
    </row>
    <row r="126" spans="1:5" x14ac:dyDescent="0.3">
      <c r="A126" s="677"/>
      <c r="B126" s="677"/>
      <c r="C126" s="677"/>
      <c r="D126" s="677"/>
      <c r="E126" s="678"/>
    </row>
    <row r="127" spans="1:5" ht="14.5" x14ac:dyDescent="0.35">
      <c r="A127" s="680" t="s">
        <v>235</v>
      </c>
      <c r="B127" s="680"/>
      <c r="C127" s="680"/>
      <c r="D127" s="680"/>
      <c r="E127" s="681">
        <f>(E121-E122-E123)+(E124+E125+E126)</f>
        <v>13428</v>
      </c>
    </row>
    <row r="128" spans="1:5" x14ac:dyDescent="0.3">
      <c r="A128" s="677" t="s">
        <v>217</v>
      </c>
      <c r="B128" s="677" t="s">
        <v>217</v>
      </c>
      <c r="C128" s="677">
        <v>2300</v>
      </c>
      <c r="D128" s="677">
        <v>6200</v>
      </c>
      <c r="E128" s="678">
        <f>SUMIFS('Accounting data'!$G$2:$G$26,'Accounting data'!$J$2:$J$26,"23*",'Accounting data'!$K$2:$K$26,"62*")</f>
        <v>0</v>
      </c>
    </row>
    <row r="129" spans="1:5" x14ac:dyDescent="0.3">
      <c r="A129" s="677" t="s">
        <v>218</v>
      </c>
      <c r="B129" s="677" t="s">
        <v>217</v>
      </c>
      <c r="C129" s="677">
        <v>2300</v>
      </c>
      <c r="D129" s="677">
        <v>6200</v>
      </c>
      <c r="E129" s="678">
        <f>SUMIFS('Accounting data'!$G$2:$G$26,'Accounting data'!$H$2:$H$26,"9999*",'Accounting data'!$J$2:$J$26,"23*",'Accounting data'!$K$2:$K$26,"62*")</f>
        <v>0</v>
      </c>
    </row>
    <row r="130" spans="1:5" x14ac:dyDescent="0.3">
      <c r="A130" s="677" t="s">
        <v>217</v>
      </c>
      <c r="B130" s="677" t="s">
        <v>219</v>
      </c>
      <c r="C130" s="677">
        <v>2300</v>
      </c>
      <c r="D130" s="677">
        <v>6200</v>
      </c>
      <c r="E130" s="678">
        <f>SUMIFS('Accounting data'!$G$2:$G$26,'Accounting data'!$I$2:$I$26,"7*",'Accounting data'!$J$2:$J$26,"23*",'Accounting data'!$K$2:$K$26,"62*")+SUMIFS('Accounting data'!$G$2:$G$26,'Accounting data'!$I$2:$I$26,"8*",'Accounting data'!$J$2:$J$26,"23*",'Accounting data'!$K$2:$K$26,"62*")+SUMIFS('Accounting data'!$G$2:$G$26,'Accounting data'!$I$2:$I$26,"9*",'Accounting data'!$J$2:$J$26,"23*",'Accounting data'!$K$2:$K$26,"62*")</f>
        <v>0</v>
      </c>
    </row>
    <row r="131" spans="1:5" x14ac:dyDescent="0.3">
      <c r="A131" s="679" t="s">
        <v>218</v>
      </c>
      <c r="B131" s="677" t="s">
        <v>219</v>
      </c>
      <c r="C131" s="677">
        <v>2300</v>
      </c>
      <c r="D131" s="677">
        <v>6200</v>
      </c>
      <c r="E131" s="678">
        <f>SUMIFS('Accounting data'!$G$2:$G$26,'Accounting data'!$H$2:$H$26,"9999*",'Accounting data'!$I$2:$I$26,"7*",'Accounting data'!$J$2:$J$26,"23*",'Accounting data'!$K$2:$K$26,"62*")+SUMIFS('Accounting data'!$G$2:$G$26,'Accounting data'!$H$2:$H$26,"9999*",'Accounting data'!$I$2:$I$26,"8*",'Accounting data'!$J$2:$J$26,"23*",'Accounting data'!$K$2:$K$26,"62*")+SUMIFS('Accounting data'!$G$2:$G$26,'Accounting data'!$H$2:$H$26,"9999*",'Accounting data'!$I$2:$I$26,"9*",'Accounting data'!$J$2:$J$26,"23*",'Accounting data'!$K$2:$K$26,"62*")</f>
        <v>0</v>
      </c>
    </row>
    <row r="132" spans="1:5" x14ac:dyDescent="0.3">
      <c r="A132" s="677"/>
      <c r="B132" s="677"/>
      <c r="C132" s="677"/>
      <c r="D132" s="677"/>
      <c r="E132" s="678"/>
    </row>
    <row r="133" spans="1:5" x14ac:dyDescent="0.3">
      <c r="A133" s="677"/>
      <c r="B133" s="677"/>
      <c r="C133" s="677"/>
      <c r="D133" s="677"/>
      <c r="E133" s="678"/>
    </row>
    <row r="134" spans="1:5" ht="14.5" x14ac:dyDescent="0.35">
      <c r="A134" s="680" t="s">
        <v>236</v>
      </c>
      <c r="B134" s="680"/>
      <c r="C134" s="680"/>
      <c r="D134" s="680"/>
      <c r="E134" s="681">
        <f>(E128-E129-E130)+(E131+E132+E133)</f>
        <v>0</v>
      </c>
    </row>
    <row r="135" spans="1:5" x14ac:dyDescent="0.3">
      <c r="A135" s="677" t="s">
        <v>217</v>
      </c>
      <c r="B135" s="677" t="s">
        <v>217</v>
      </c>
      <c r="C135" s="677">
        <v>2400</v>
      </c>
      <c r="D135" s="677">
        <v>6200</v>
      </c>
      <c r="E135" s="678">
        <f>SUMIFS('Accounting data'!$G$2:$G$26,'Accounting data'!$J$2:$J$26,"24*",'Accounting data'!$K$2:$K$26,"62*")</f>
        <v>5422</v>
      </c>
    </row>
    <row r="136" spans="1:5" x14ac:dyDescent="0.3">
      <c r="A136" s="677" t="s">
        <v>218</v>
      </c>
      <c r="B136" s="677" t="s">
        <v>217</v>
      </c>
      <c r="C136" s="677">
        <v>2400</v>
      </c>
      <c r="D136" s="677">
        <v>6200</v>
      </c>
      <c r="E136" s="678">
        <f>SUMIFS('Accounting data'!$G$2:$G$26,'Accounting data'!$H$2:$H$26,"9999*",'Accounting data'!$J$2:$J$26,"24*",'Accounting data'!$K$2:$K$26,"62*")</f>
        <v>0</v>
      </c>
    </row>
    <row r="137" spans="1:5" x14ac:dyDescent="0.3">
      <c r="A137" s="677" t="s">
        <v>217</v>
      </c>
      <c r="B137" s="677" t="s">
        <v>219</v>
      </c>
      <c r="C137" s="677">
        <v>2400</v>
      </c>
      <c r="D137" s="677">
        <v>6200</v>
      </c>
      <c r="E137" s="678">
        <f>SUMIFS('Accounting data'!$G$2:$G$26,'Accounting data'!$I$2:$I$26,"7*",'Accounting data'!$J$2:$J$26,"24*",'Accounting data'!$K$2:$K$26,"62*")+SUMIFS('Accounting data'!$G$2:$G$26,'Accounting data'!$I$2:$I$26,"8*",'Accounting data'!$J$2:$J$26,"24*",'Accounting data'!$K$2:$K$26,"62*")+SUMIFS('Accounting data'!$G$2:$G$26,'Accounting data'!$I$2:$I$26,"9*",'Accounting data'!$J$2:$J$26,"24*",'Accounting data'!$K$2:$K$26,"62*")</f>
        <v>0</v>
      </c>
    </row>
    <row r="138" spans="1:5" x14ac:dyDescent="0.3">
      <c r="A138" s="679" t="s">
        <v>218</v>
      </c>
      <c r="B138" s="677" t="s">
        <v>219</v>
      </c>
      <c r="C138" s="677">
        <v>2400</v>
      </c>
      <c r="D138" s="677">
        <v>6200</v>
      </c>
      <c r="E138" s="678">
        <f>SUMIFS('Accounting data'!$G$2:$G$26,'Accounting data'!$H$2:$H$26,"9999*",'Accounting data'!$I$2:$I$26,"7*",'Accounting data'!$J$2:$J$26,"24*",'Accounting data'!$K$2:$K$26,"62*")+SUMIFS('Accounting data'!$G$2:$G$26,'Accounting data'!$H$2:$H$26,"9999*",'Accounting data'!$I$2:$I$26,"8*",'Accounting data'!$J$2:$J$26,"24*",'Accounting data'!$K$2:$K$26,"62*")+SUMIFS('Accounting data'!$G$2:$G$26,'Accounting data'!$H$2:$H$26,"9999*",'Accounting data'!$I$2:$I$26,"9*",'Accounting data'!$J$2:$J$26,"24*",'Accounting data'!$K$2:$K$26,"62*")</f>
        <v>0</v>
      </c>
    </row>
    <row r="139" spans="1:5" x14ac:dyDescent="0.3">
      <c r="A139" s="677"/>
      <c r="B139" s="677"/>
      <c r="C139" s="677"/>
      <c r="D139" s="677"/>
      <c r="E139" s="678"/>
    </row>
    <row r="140" spans="1:5" x14ac:dyDescent="0.3">
      <c r="A140" s="677"/>
      <c r="B140" s="677"/>
      <c r="C140" s="677"/>
      <c r="D140" s="677"/>
      <c r="E140" s="678"/>
    </row>
    <row r="141" spans="1:5" ht="14.5" x14ac:dyDescent="0.35">
      <c r="A141" s="680" t="s">
        <v>237</v>
      </c>
      <c r="B141" s="680"/>
      <c r="C141" s="680"/>
      <c r="D141" s="680"/>
      <c r="E141" s="681">
        <f>(E135-E136-E137)+(E138+E139+E140)</f>
        <v>5422</v>
      </c>
    </row>
    <row r="142" spans="1:5" x14ac:dyDescent="0.3">
      <c r="A142" s="677" t="s">
        <v>217</v>
      </c>
      <c r="B142" s="677" t="s">
        <v>217</v>
      </c>
      <c r="C142" s="677">
        <v>2500</v>
      </c>
      <c r="D142" s="677">
        <v>6200</v>
      </c>
      <c r="E142" s="678">
        <f>SUMIFS('Accounting data'!$G$2:$G$26,'Accounting data'!$J$2:$J$26,"25*",'Accounting data'!$K$2:$K$26,"62*")</f>
        <v>0</v>
      </c>
    </row>
    <row r="143" spans="1:5" x14ac:dyDescent="0.3">
      <c r="A143" s="677" t="s">
        <v>218</v>
      </c>
      <c r="B143" s="677" t="s">
        <v>217</v>
      </c>
      <c r="C143" s="677">
        <v>2500</v>
      </c>
      <c r="D143" s="677">
        <v>6200</v>
      </c>
      <c r="E143" s="678">
        <f>SUMIFS('Accounting data'!$G$2:$G$26,'Accounting data'!$H$2:$H$26,"9999*",'Accounting data'!$J$2:$J$26,"25*",'Accounting data'!$K$2:$K$26,"62*")</f>
        <v>0</v>
      </c>
    </row>
    <row r="144" spans="1:5" x14ac:dyDescent="0.3">
      <c r="A144" s="677" t="s">
        <v>217</v>
      </c>
      <c r="B144" s="677" t="s">
        <v>219</v>
      </c>
      <c r="C144" s="677">
        <v>2500</v>
      </c>
      <c r="D144" s="677">
        <v>6200</v>
      </c>
      <c r="E144" s="678">
        <f>SUMIFS('Accounting data'!$G$2:$G$26,'Accounting data'!$I$2:$I$26,"7*",'Accounting data'!$J$2:$J$26,"25*",'Accounting data'!$K$2:$K$26,"62*")+SUMIFS('Accounting data'!$G$2:$G$26,'Accounting data'!$I$2:$I$26,"8*",'Accounting data'!$J$2:$J$26,"25*",'Accounting data'!$K$2:$K$26,"62*")+SUMIFS('Accounting data'!$G$2:$G$26,'Accounting data'!$I$2:$I$26,"9*",'Accounting data'!$J$2:$J$26,"25*",'Accounting data'!$K$2:$K$26,"62*")</f>
        <v>0</v>
      </c>
    </row>
    <row r="145" spans="1:5" x14ac:dyDescent="0.3">
      <c r="A145" s="679" t="s">
        <v>218</v>
      </c>
      <c r="B145" s="677" t="s">
        <v>219</v>
      </c>
      <c r="C145" s="677">
        <v>2500</v>
      </c>
      <c r="D145" s="677">
        <v>6200</v>
      </c>
      <c r="E145" s="678">
        <f>SUMIFS('Accounting data'!$G$2:$G$26,'Accounting data'!$H$2:$H$26,"9999*",'Accounting data'!$I$2:$I$26,"7*",'Accounting data'!$J$2:$J$26,"25*",'Accounting data'!$K$2:$K$26,"62*")+SUMIFS('Accounting data'!$G$2:$G$26,'Accounting data'!$H$2:$H$26,"9999*",'Accounting data'!$I$2:$I$26,"8*",'Accounting data'!$J$2:$J$26,"25*",'Accounting data'!$K$2:$K$26,"62*")+SUMIFS('Accounting data'!$G$2:$G$26,'Accounting data'!$H$2:$H$26,"9999*",'Accounting data'!$I$2:$I$26,"9*",'Accounting data'!$J$2:$J$26,"25*",'Accounting data'!$K$2:$K$26,"62*")</f>
        <v>0</v>
      </c>
    </row>
    <row r="146" spans="1:5" x14ac:dyDescent="0.3">
      <c r="A146" s="677"/>
      <c r="B146" s="677"/>
      <c r="C146" s="677"/>
      <c r="D146" s="677"/>
      <c r="E146" s="678"/>
    </row>
    <row r="147" spans="1:5" x14ac:dyDescent="0.3">
      <c r="A147" s="677"/>
      <c r="B147" s="677"/>
      <c r="C147" s="677"/>
      <c r="D147" s="677"/>
      <c r="E147" s="678"/>
    </row>
    <row r="148" spans="1:5" ht="14.5" x14ac:dyDescent="0.35">
      <c r="A148" s="680" t="s">
        <v>238</v>
      </c>
      <c r="B148" s="680"/>
      <c r="C148" s="680"/>
      <c r="D148" s="680"/>
      <c r="E148" s="681">
        <f>(E142-E143-E144)+(E145+E146+E147)</f>
        <v>0</v>
      </c>
    </row>
    <row r="149" spans="1:5" x14ac:dyDescent="0.3">
      <c r="A149" s="677" t="s">
        <v>217</v>
      </c>
      <c r="B149" s="677" t="s">
        <v>217</v>
      </c>
      <c r="C149" s="677">
        <v>2900</v>
      </c>
      <c r="D149" s="677">
        <v>6200</v>
      </c>
      <c r="E149" s="678">
        <f>SUMIFS('Accounting data'!$G$2:$G$26,'Accounting data'!$J$2:$J$26,"29*",'Accounting data'!$K$2:$K$26,"62*")</f>
        <v>0</v>
      </c>
    </row>
    <row r="150" spans="1:5" x14ac:dyDescent="0.3">
      <c r="A150" s="677" t="s">
        <v>218</v>
      </c>
      <c r="B150" s="677" t="s">
        <v>217</v>
      </c>
      <c r="C150" s="677">
        <v>2900</v>
      </c>
      <c r="D150" s="677">
        <v>6200</v>
      </c>
      <c r="E150" s="678">
        <f>SUMIFS('Accounting data'!$G$2:$G$26,'Accounting data'!$H$2:$H$26,"9999*",'Accounting data'!$J$2:$J$26,"29*",'Accounting data'!$K$2:$K$26,"62*")</f>
        <v>0</v>
      </c>
    </row>
    <row r="151" spans="1:5" x14ac:dyDescent="0.3">
      <c r="A151" s="677" t="s">
        <v>217</v>
      </c>
      <c r="B151" s="677" t="s">
        <v>219</v>
      </c>
      <c r="C151" s="677">
        <v>2900</v>
      </c>
      <c r="D151" s="677">
        <v>6200</v>
      </c>
      <c r="E151" s="678">
        <f>SUMIFS('Accounting data'!$G$2:$G$26,'Accounting data'!$I$2:$I$26,"7*",'Accounting data'!$J$2:$J$26,"29*",'Accounting data'!$K$2:$K$26,"62*")+SUMIFS('Accounting data'!$G$2:$G$26,'Accounting data'!$I$2:$I$26,"8*",'Accounting data'!$J$2:$J$26,"29*",'Accounting data'!$K$2:$K$26,"62*")+SUMIFS('Accounting data'!$G$2:$G$26,'Accounting data'!$I$2:$I$26,"9*",'Accounting data'!$J$2:$J$26,"29*",'Accounting data'!$K$2:$K$26,"62*")</f>
        <v>0</v>
      </c>
    </row>
    <row r="152" spans="1:5" x14ac:dyDescent="0.3">
      <c r="A152" s="679" t="s">
        <v>218</v>
      </c>
      <c r="B152" s="677" t="s">
        <v>219</v>
      </c>
      <c r="C152" s="677">
        <v>2900</v>
      </c>
      <c r="D152" s="677">
        <v>6200</v>
      </c>
      <c r="E152" s="678">
        <f>SUMIFS('Accounting data'!$G$2:$G$26,'Accounting data'!$H$2:$H$26,"9999*",'Accounting data'!$I$2:$I$26,"7*",'Accounting data'!$J$2:$J$26,"29*",'Accounting data'!$K$2:$K$26,"62*")+SUMIFS('Accounting data'!$G$2:$G$26,'Accounting data'!$H$2:$H$26,"9999*",'Accounting data'!$I$2:$I$26,"8*",'Accounting data'!$J$2:$J$26,"29*",'Accounting data'!$K$2:$K$26,"62*")+SUMIFS('Accounting data'!$G$2:$G$26,'Accounting data'!$H$2:$H$26,"9999*",'Accounting data'!$I$2:$I$26,"9*",'Accounting data'!$J$2:$J$26,"29*",'Accounting data'!$K$2:$K$26,"62*")</f>
        <v>0</v>
      </c>
    </row>
    <row r="153" spans="1:5" x14ac:dyDescent="0.3">
      <c r="A153" s="677"/>
      <c r="B153" s="677"/>
      <c r="C153" s="677"/>
      <c r="D153" s="677"/>
      <c r="E153" s="678"/>
    </row>
    <row r="154" spans="1:5" x14ac:dyDescent="0.3">
      <c r="A154" s="677"/>
      <c r="B154" s="677"/>
      <c r="C154" s="677"/>
      <c r="D154" s="677"/>
      <c r="E154" s="678"/>
    </row>
    <row r="155" spans="1:5" ht="14.5" x14ac:dyDescent="0.35">
      <c r="A155" s="680" t="s">
        <v>239</v>
      </c>
      <c r="B155" s="680"/>
      <c r="C155" s="680"/>
      <c r="D155" s="680"/>
      <c r="E155" s="681">
        <f>(E149-E150-E151)+(E152+E153+E154)</f>
        <v>0</v>
      </c>
    </row>
    <row r="156" spans="1:5" x14ac:dyDescent="0.3">
      <c r="A156" s="677" t="s">
        <v>217</v>
      </c>
      <c r="B156" s="677" t="s">
        <v>217</v>
      </c>
      <c r="C156" s="677">
        <v>2600</v>
      </c>
      <c r="D156" s="677">
        <v>6200</v>
      </c>
      <c r="E156" s="678">
        <f>SUMIFS('Accounting data'!$G$2:$G$26,'Accounting data'!$J$2:$J$26,"26*",'Accounting data'!$K$2:$K$26,"62*")</f>
        <v>0</v>
      </c>
    </row>
    <row r="157" spans="1:5" x14ac:dyDescent="0.3">
      <c r="A157" s="677" t="s">
        <v>218</v>
      </c>
      <c r="B157" s="677" t="s">
        <v>217</v>
      </c>
      <c r="C157" s="677">
        <v>2600</v>
      </c>
      <c r="D157" s="677">
        <v>6200</v>
      </c>
      <c r="E157" s="678">
        <f>SUMIFS('Accounting data'!$G$2:$G$26,'Accounting data'!$H$2:$H$26,"9999*",'Accounting data'!$J$2:$J$26,"26*",'Accounting data'!$K$2:$K$26,"62*")</f>
        <v>0</v>
      </c>
    </row>
    <row r="158" spans="1:5" x14ac:dyDescent="0.3">
      <c r="A158" s="677" t="s">
        <v>217</v>
      </c>
      <c r="B158" s="677" t="s">
        <v>219</v>
      </c>
      <c r="C158" s="677">
        <v>2600</v>
      </c>
      <c r="D158" s="677">
        <v>6200</v>
      </c>
      <c r="E158" s="678">
        <f>SUMIFS('Accounting data'!$G$2:$G$26,'Accounting data'!$I$2:$I$26,"7*",'Accounting data'!$J$2:$J$26,"26*",'Accounting data'!$K$2:$K$26,"62*")+SUMIFS('Accounting data'!$G$2:$G$26,'Accounting data'!$I$2:$I$26,"8*",'Accounting data'!$J$2:$J$26,"26*",'Accounting data'!$K$2:$K$26,"62*")+SUMIFS('Accounting data'!$G$2:$G$26,'Accounting data'!$I$2:$I$26,"9*",'Accounting data'!$J$2:$J$26,"26*",'Accounting data'!$K$2:$K$26,"62*")</f>
        <v>0</v>
      </c>
    </row>
    <row r="159" spans="1:5" x14ac:dyDescent="0.3">
      <c r="A159" s="679" t="s">
        <v>218</v>
      </c>
      <c r="B159" s="677" t="s">
        <v>219</v>
      </c>
      <c r="C159" s="677">
        <v>2600</v>
      </c>
      <c r="D159" s="677">
        <v>6200</v>
      </c>
      <c r="E159" s="678">
        <f>SUMIFS('Accounting data'!$G$2:$G$26,'Accounting data'!$H$2:$H$26,"9999*",'Accounting data'!$I$2:$I$26,"7*",'Accounting data'!$J$2:$J$26,"26*",'Accounting data'!$K$2:$K$26,"62*")+SUMIFS('Accounting data'!$G$2:$G$26,'Accounting data'!$H$2:$H$26,"9999*",'Accounting data'!$I$2:$I$26,"8*",'Accounting data'!$J$2:$J$26,"26*",'Accounting data'!$K$2:$K$26,"62*")+SUMIFS('Accounting data'!$G$2:$G$26,'Accounting data'!$H$2:$H$26,"9999*",'Accounting data'!$I$2:$I$26,"9*",'Accounting data'!$J$2:$J$26,"26*",'Accounting data'!$K$2:$K$26,"62*")</f>
        <v>0</v>
      </c>
    </row>
    <row r="160" spans="1:5" x14ac:dyDescent="0.3">
      <c r="A160" s="677"/>
      <c r="B160" s="677"/>
      <c r="C160" s="677"/>
      <c r="D160" s="677"/>
      <c r="E160" s="678"/>
    </row>
    <row r="161" spans="1:5" x14ac:dyDescent="0.3">
      <c r="A161" s="677"/>
      <c r="B161" s="677"/>
      <c r="C161" s="677"/>
      <c r="D161" s="677"/>
      <c r="E161" s="678"/>
    </row>
    <row r="162" spans="1:5" ht="14.5" x14ac:dyDescent="0.35">
      <c r="A162" s="680" t="s">
        <v>240</v>
      </c>
      <c r="B162" s="680"/>
      <c r="C162" s="680"/>
      <c r="D162" s="680"/>
      <c r="E162" s="681">
        <f>(E156-E157-E158)+(E159+E160+E161)</f>
        <v>0</v>
      </c>
    </row>
    <row r="163" spans="1:5" x14ac:dyDescent="0.3">
      <c r="A163" s="677" t="s">
        <v>217</v>
      </c>
      <c r="B163" s="677" t="s">
        <v>217</v>
      </c>
      <c r="C163" s="677">
        <v>2700</v>
      </c>
      <c r="D163" s="677">
        <v>6200</v>
      </c>
      <c r="E163" s="678">
        <f>SUMIFS('Accounting data'!$G$2:$G$26,'Accounting data'!$J$2:$J$26,"27*",'Accounting data'!$K$2:$K$26,"62*")</f>
        <v>0</v>
      </c>
    </row>
    <row r="164" spans="1:5" x14ac:dyDescent="0.3">
      <c r="A164" s="677" t="s">
        <v>218</v>
      </c>
      <c r="B164" s="677" t="s">
        <v>217</v>
      </c>
      <c r="C164" s="677">
        <v>2700</v>
      </c>
      <c r="D164" s="677">
        <v>6200</v>
      </c>
      <c r="E164" s="678">
        <f>SUMIFS('Accounting data'!$G$2:$G$26,'Accounting data'!$H$2:$H$26,"9999*",'Accounting data'!$J$2:$J$26,"27*",'Accounting data'!$K$2:$K$26,"62*")</f>
        <v>0</v>
      </c>
    </row>
    <row r="165" spans="1:5" x14ac:dyDescent="0.3">
      <c r="A165" s="677" t="s">
        <v>217</v>
      </c>
      <c r="B165" s="677" t="s">
        <v>219</v>
      </c>
      <c r="C165" s="677">
        <v>2700</v>
      </c>
      <c r="D165" s="677">
        <v>6200</v>
      </c>
      <c r="E165" s="678">
        <f>SUMIFS('Accounting data'!$G$2:$G$26,'Accounting data'!$I$2:$I$26,"7*",'Accounting data'!$J$2:$J$26,"27*",'Accounting data'!$K$2:$K$26,"62*")+SUMIFS('Accounting data'!$G$2:$G$26,'Accounting data'!$I$2:$I$26,"8*",'Accounting data'!$J$2:$J$26,"27*",'Accounting data'!$K$2:$K$26,"62*")+SUMIFS('Accounting data'!$G$2:$G$26,'Accounting data'!$I$2:$I$26,"9*",'Accounting data'!$J$2:$J$26,"27*",'Accounting data'!$K$2:$K$26,"62*")</f>
        <v>0</v>
      </c>
    </row>
    <row r="166" spans="1:5" x14ac:dyDescent="0.3">
      <c r="A166" s="679" t="s">
        <v>218</v>
      </c>
      <c r="B166" s="677" t="s">
        <v>219</v>
      </c>
      <c r="C166" s="677">
        <v>2700</v>
      </c>
      <c r="D166" s="677">
        <v>6200</v>
      </c>
      <c r="E166" s="678">
        <f>SUMIFS('Accounting data'!$G$2:$G$26,'Accounting data'!$H$2:$H$26,"9999*",'Accounting data'!$I$2:$I$26,"7*",'Accounting data'!$J$2:$J$26,"27*",'Accounting data'!$K$2:$K$26,"62*")+SUMIFS('Accounting data'!$G$2:$G$26,'Accounting data'!$H$2:$H$26,"9999*",'Accounting data'!$I$2:$I$26,"8*",'Accounting data'!$J$2:$J$26,"27*",'Accounting data'!$K$2:$K$26,"62*")+SUMIFS('Accounting data'!$G$2:$G$26,'Accounting data'!$H$2:$H$26,"9999*",'Accounting data'!$I$2:$I$26,"9*",'Accounting data'!$J$2:$J$26,"27*",'Accounting data'!$K$2:$K$26,"62*")</f>
        <v>0</v>
      </c>
    </row>
    <row r="167" spans="1:5" x14ac:dyDescent="0.3">
      <c r="A167" s="677"/>
      <c r="B167" s="677"/>
      <c r="C167" s="677"/>
      <c r="D167" s="677"/>
      <c r="E167" s="678"/>
    </row>
    <row r="168" spans="1:5" x14ac:dyDescent="0.3">
      <c r="A168" s="677"/>
      <c r="B168" s="677"/>
      <c r="C168" s="677"/>
      <c r="D168" s="677"/>
      <c r="E168" s="678"/>
    </row>
    <row r="169" spans="1:5" ht="14.5" x14ac:dyDescent="0.35">
      <c r="A169" s="680" t="s">
        <v>241</v>
      </c>
      <c r="B169" s="680"/>
      <c r="C169" s="680"/>
      <c r="D169" s="680"/>
      <c r="E169" s="681">
        <f>(E163-E164-E165)+(E166+E167+E168)</f>
        <v>0</v>
      </c>
    </row>
    <row r="170" spans="1:5" x14ac:dyDescent="0.3">
      <c r="A170" s="677" t="s">
        <v>217</v>
      </c>
      <c r="B170" s="677" t="s">
        <v>217</v>
      </c>
      <c r="C170" s="677">
        <v>3100</v>
      </c>
      <c r="D170" s="677">
        <v>6200</v>
      </c>
      <c r="E170" s="678">
        <f>SUMIFS('Accounting data'!$G$2:$G$26,'Accounting data'!$J$2:$J$26,"31*",'Accounting data'!$K$2:$K$26,"62*")</f>
        <v>0</v>
      </c>
    </row>
    <row r="171" spans="1:5" x14ac:dyDescent="0.3">
      <c r="A171" s="677" t="s">
        <v>218</v>
      </c>
      <c r="B171" s="677" t="s">
        <v>217</v>
      </c>
      <c r="C171" s="677">
        <v>3100</v>
      </c>
      <c r="D171" s="677">
        <v>6200</v>
      </c>
      <c r="E171" s="678">
        <f>SUMIFS('Accounting data'!$G$2:$G$26,'Accounting data'!$H$2:$H$26,"9999*",'Accounting data'!$J$2:$J$26,"31*",'Accounting data'!$K$2:$K$26,"62*")</f>
        <v>0</v>
      </c>
    </row>
    <row r="172" spans="1:5" x14ac:dyDescent="0.3">
      <c r="A172" s="677" t="s">
        <v>217</v>
      </c>
      <c r="B172" s="677" t="s">
        <v>219</v>
      </c>
      <c r="C172" s="677">
        <v>3100</v>
      </c>
      <c r="D172" s="677">
        <v>6200</v>
      </c>
      <c r="E172" s="678">
        <f>SUMIFS('Accounting data'!$G$2:$G$26,'Accounting data'!$I$2:$I$26,"7*",'Accounting data'!$J$2:$J$26,"31*",'Accounting data'!$K$2:$K$26,"62*")+SUMIFS('Accounting data'!$G$2:$G$26,'Accounting data'!$I$2:$I$26,"8*",'Accounting data'!$J$2:$J$26,"31*",'Accounting data'!$K$2:$K$26,"62*")+SUMIFS('Accounting data'!$G$2:$G$26,'Accounting data'!$I$2:$I$26,"9*",'Accounting data'!$J$2:$J$26,"31*",'Accounting data'!$K$2:$K$26,"62*")</f>
        <v>0</v>
      </c>
    </row>
    <row r="173" spans="1:5" x14ac:dyDescent="0.3">
      <c r="A173" s="679" t="s">
        <v>218</v>
      </c>
      <c r="B173" s="677" t="s">
        <v>219</v>
      </c>
      <c r="C173" s="677">
        <v>3100</v>
      </c>
      <c r="D173" s="677">
        <v>6200</v>
      </c>
      <c r="E173" s="678">
        <f>SUMIFS('Accounting data'!$G$2:$G$26,'Accounting data'!$H$2:$H$26,"9999*",'Accounting data'!$I$2:$I$26,"7*",'Accounting data'!$J$2:$J$26,"31*",'Accounting data'!$K$2:$K$26,"62*")+SUMIFS('Accounting data'!$G$2:$G$26,'Accounting data'!$H$2:$H$26,"9999*",'Accounting data'!$I$2:$I$26,"8*",'Accounting data'!$J$2:$J$26,"31*",'Accounting data'!$K$2:$K$26,"62*")+SUMIFS('Accounting data'!$G$2:$G$26,'Accounting data'!$H$2:$H$26,"9999*",'Accounting data'!$I$2:$I$26,"9*",'Accounting data'!$J$2:$J$26,"31*",'Accounting data'!$K$2:$K$26,"62*")</f>
        <v>0</v>
      </c>
    </row>
    <row r="174" spans="1:5" x14ac:dyDescent="0.3">
      <c r="A174" s="677"/>
      <c r="B174" s="677"/>
      <c r="C174" s="677"/>
      <c r="D174" s="677"/>
      <c r="E174" s="678"/>
    </row>
    <row r="175" spans="1:5" x14ac:dyDescent="0.3">
      <c r="A175" s="677"/>
      <c r="B175" s="677"/>
      <c r="C175" s="677"/>
      <c r="D175" s="677"/>
      <c r="E175" s="678"/>
    </row>
    <row r="176" spans="1:5" ht="14.5" x14ac:dyDescent="0.35">
      <c r="A176" s="680" t="s">
        <v>242</v>
      </c>
      <c r="B176" s="680"/>
      <c r="C176" s="680"/>
      <c r="D176" s="680"/>
      <c r="E176" s="681">
        <f>(E170-E171-E172)+(E173+E174+E175)</f>
        <v>0</v>
      </c>
    </row>
    <row r="177" spans="1:5" x14ac:dyDescent="0.3">
      <c r="A177" s="677"/>
      <c r="B177" s="677"/>
      <c r="C177" s="677"/>
      <c r="D177" s="677"/>
      <c r="E177" s="678"/>
    </row>
    <row r="178" spans="1:5" x14ac:dyDescent="0.3">
      <c r="A178" s="677"/>
      <c r="B178" s="677"/>
      <c r="C178" s="677"/>
      <c r="D178" s="677"/>
      <c r="E178" s="678"/>
    </row>
    <row r="179" spans="1:5" x14ac:dyDescent="0.3">
      <c r="A179" s="677"/>
      <c r="B179" s="677"/>
      <c r="C179" s="677"/>
      <c r="D179" s="677"/>
      <c r="E179" s="678"/>
    </row>
    <row r="180" spans="1:5" x14ac:dyDescent="0.3">
      <c r="A180" s="679"/>
      <c r="B180" s="677"/>
      <c r="C180" s="677"/>
      <c r="D180" s="677"/>
      <c r="E180" s="678"/>
    </row>
    <row r="181" spans="1:5" x14ac:dyDescent="0.3">
      <c r="A181" s="677"/>
      <c r="B181" s="677"/>
      <c r="C181" s="677"/>
      <c r="D181" s="677"/>
      <c r="E181" s="678"/>
    </row>
    <row r="182" spans="1:5" x14ac:dyDescent="0.3">
      <c r="A182" s="677"/>
      <c r="B182" s="677"/>
      <c r="C182" s="677"/>
      <c r="D182" s="677"/>
      <c r="E182" s="678"/>
    </row>
    <row r="183" spans="1:5" ht="14.5" x14ac:dyDescent="0.35">
      <c r="A183" s="680"/>
      <c r="B183" s="680"/>
      <c r="C183" s="680"/>
      <c r="D183" s="680"/>
      <c r="E183" s="681"/>
    </row>
    <row r="184" spans="1:5" x14ac:dyDescent="0.3">
      <c r="A184" s="677" t="s">
        <v>217</v>
      </c>
      <c r="B184" s="677" t="s">
        <v>217</v>
      </c>
      <c r="C184" s="677">
        <v>3400</v>
      </c>
      <c r="D184" s="677">
        <v>6200</v>
      </c>
      <c r="E184" s="678">
        <f>SUMIFS('Accounting data'!$G$2:$G$26,'Accounting data'!$J$2:$J$26,"34*",'Accounting data'!$K$2:$K$26,"62*")</f>
        <v>0</v>
      </c>
    </row>
    <row r="185" spans="1:5" x14ac:dyDescent="0.3">
      <c r="A185" s="677" t="s">
        <v>218</v>
      </c>
      <c r="B185" s="677" t="s">
        <v>217</v>
      </c>
      <c r="C185" s="677">
        <v>3400</v>
      </c>
      <c r="D185" s="677">
        <v>6200</v>
      </c>
      <c r="E185" s="678">
        <f>SUMIFS('Accounting data'!$G$2:$G$26,'Accounting data'!$H$2:$H$26,"9999*",'Accounting data'!$J$2:$J$26,"34*",'Accounting data'!$K$2:$K$26,"62*")</f>
        <v>0</v>
      </c>
    </row>
    <row r="186" spans="1:5" x14ac:dyDescent="0.3">
      <c r="A186" s="677" t="s">
        <v>217</v>
      </c>
      <c r="B186" s="677" t="s">
        <v>219</v>
      </c>
      <c r="C186" s="677">
        <v>3400</v>
      </c>
      <c r="D186" s="677">
        <v>6200</v>
      </c>
      <c r="E186" s="678">
        <f>SUMIFS('Accounting data'!$G$2:$G$26,'Accounting data'!$I$2:$I$26,"7*",'Accounting data'!$J$2:$J$26,"34*",'Accounting data'!$K$2:$K$26,"62*")+SUMIFS('Accounting data'!$G$2:$G$26,'Accounting data'!$I$2:$I$26,"8*",'Accounting data'!$J$2:$J$26,"34*",'Accounting data'!$K$2:$K$26,"62*")+SUMIFS('Accounting data'!$G$2:$G$26,'Accounting data'!$I$2:$I$26,"9*",'Accounting data'!$J$2:$J$26,"34*",'Accounting data'!$K$2:$K$26,"62*")</f>
        <v>0</v>
      </c>
    </row>
    <row r="187" spans="1:5" x14ac:dyDescent="0.3">
      <c r="A187" s="679" t="s">
        <v>218</v>
      </c>
      <c r="B187" s="677" t="s">
        <v>219</v>
      </c>
      <c r="C187" s="677">
        <v>3400</v>
      </c>
      <c r="D187" s="677">
        <v>6200</v>
      </c>
      <c r="E187" s="678">
        <f>SUMIFS('Accounting data'!$G$2:$G$26,'Accounting data'!$H$2:$H$26,"9999*",'Accounting data'!$I$2:$I$26,"7*",'Accounting data'!$J$2:$J$26,"34*",'Accounting data'!$K$2:$K$26,"62*")+SUMIFS('Accounting data'!$G$2:$G$26,'Accounting data'!$H$2:$H$26,"9999*",'Accounting data'!$I$2:$I$26,"8*",'Accounting data'!$J$2:$J$26,"34*",'Accounting data'!$K$2:$K$26,"62*")+SUMIFS('Accounting data'!$G$2:$G$26,'Accounting data'!$H$2:$H$26,"9999*",'Accounting data'!$I$2:$I$26,"9*",'Accounting data'!$J$2:$J$26,"34*",'Accounting data'!$K$2:$K$26,"62*")</f>
        <v>0</v>
      </c>
    </row>
    <row r="188" spans="1:5" x14ac:dyDescent="0.3">
      <c r="A188" s="677"/>
      <c r="B188" s="677"/>
      <c r="C188" s="677"/>
      <c r="D188" s="677"/>
      <c r="E188" s="678"/>
    </row>
    <row r="189" spans="1:5" x14ac:dyDescent="0.3">
      <c r="A189" s="677"/>
      <c r="B189" s="677"/>
      <c r="C189" s="677"/>
      <c r="D189" s="677"/>
      <c r="E189" s="678"/>
    </row>
    <row r="190" spans="1:5" ht="14.5" x14ac:dyDescent="0.35">
      <c r="A190" s="680" t="s">
        <v>243</v>
      </c>
      <c r="B190" s="680"/>
      <c r="C190" s="680"/>
      <c r="D190" s="680"/>
      <c r="E190" s="681">
        <f>(E184-E185-E186)+(E187+E188+E189)</f>
        <v>0</v>
      </c>
    </row>
    <row r="191" spans="1:5" x14ac:dyDescent="0.3">
      <c r="A191" s="677" t="s">
        <v>217</v>
      </c>
      <c r="B191" s="677" t="s">
        <v>217</v>
      </c>
      <c r="C191" s="677">
        <v>4000</v>
      </c>
      <c r="D191" s="677">
        <v>6200</v>
      </c>
      <c r="E191" s="678">
        <f>SUMIFS('Accounting data'!$G$2:$G$26,'Accounting data'!$J$2:$J$26,"4*",'Accounting data'!$K$2:$K$26,"62*")</f>
        <v>0</v>
      </c>
    </row>
    <row r="192" spans="1:5" x14ac:dyDescent="0.3">
      <c r="A192" s="677" t="s">
        <v>218</v>
      </c>
      <c r="B192" s="677" t="s">
        <v>217</v>
      </c>
      <c r="C192" s="677">
        <v>4000</v>
      </c>
      <c r="D192" s="677">
        <v>6200</v>
      </c>
      <c r="E192" s="678">
        <f>SUMIFS('Accounting data'!$G$2:$G$26,'Accounting data'!$H$2:$H$26,"9999*",'Accounting data'!$J$2:$J$26,"4*",'Accounting data'!$K$2:$K$26,"62*")</f>
        <v>0</v>
      </c>
    </row>
    <row r="193" spans="1:5" x14ac:dyDescent="0.3">
      <c r="A193" s="677" t="s">
        <v>217</v>
      </c>
      <c r="B193" s="677" t="s">
        <v>219</v>
      </c>
      <c r="C193" s="677">
        <v>4000</v>
      </c>
      <c r="D193" s="677">
        <v>6200</v>
      </c>
      <c r="E193" s="678">
        <f>SUMIFS('Accounting data'!$G$2:$G$26,'Accounting data'!$I$2:$I$26,"7*",'Accounting data'!$J$2:$J$26,"4*",'Accounting data'!$K$2:$K$26,"62*")+SUMIFS('Accounting data'!$G$2:$G$26,'Accounting data'!$I$2:$I$26,"8*",'Accounting data'!$J$2:$J$26,"4*",'Accounting data'!$K$2:$K$26,"62*")+SUMIFS('Accounting data'!$G$2:$G$26,'Accounting data'!$I$2:$I$26,"9*",'Accounting data'!$J$2:$J$26,"4*",'Accounting data'!$K$2:$K$26,"62*")</f>
        <v>0</v>
      </c>
    </row>
    <row r="194" spans="1:5" x14ac:dyDescent="0.3">
      <c r="A194" s="679" t="s">
        <v>218</v>
      </c>
      <c r="B194" s="677" t="s">
        <v>219</v>
      </c>
      <c r="C194" s="677">
        <v>4000</v>
      </c>
      <c r="D194" s="677">
        <v>6200</v>
      </c>
      <c r="E194" s="678">
        <f>SUMIFS('Accounting data'!$G$2:$G$26,'Accounting data'!$H$2:$H$26,"9999*",'Accounting data'!$I$2:$I$26,"7*",'Accounting data'!$J$2:$J$26,"4*",'Accounting data'!$K$2:$K$26,"62*")+SUMIFS('Accounting data'!$G$2:$G$26,'Accounting data'!$H$2:$H$26,"9999*",'Accounting data'!$I$2:$I$26,"8*",'Accounting data'!$J$2:$J$26,"4*",'Accounting data'!$K$2:$K$26,"62*")+SUMIFS('Accounting data'!$G$2:$G$26,'Accounting data'!$H$2:$H$26,"9999*",'Accounting data'!$I$2:$I$26,"9*",'Accounting data'!$J$2:$J$26,"4*",'Accounting data'!$K$2:$K$26,"62*")</f>
        <v>0</v>
      </c>
    </row>
    <row r="195" spans="1:5" x14ac:dyDescent="0.3">
      <c r="A195" s="677"/>
      <c r="B195" s="677"/>
      <c r="C195" s="677"/>
      <c r="D195" s="677"/>
      <c r="E195" s="678"/>
    </row>
    <row r="196" spans="1:5" x14ac:dyDescent="0.3">
      <c r="A196" s="677"/>
      <c r="B196" s="677"/>
      <c r="C196" s="677"/>
      <c r="D196" s="677"/>
      <c r="E196" s="678"/>
    </row>
    <row r="197" spans="1:5" ht="14.5" x14ac:dyDescent="0.35">
      <c r="A197" s="680" t="s">
        <v>244</v>
      </c>
      <c r="B197" s="680"/>
      <c r="C197" s="680"/>
      <c r="D197" s="680"/>
      <c r="E197" s="681">
        <f>(E191-E192-E193)+(E194+E195+E196)</f>
        <v>0</v>
      </c>
    </row>
    <row r="198" spans="1:5" ht="14.5" x14ac:dyDescent="0.35">
      <c r="A198" s="683" t="s">
        <v>327</v>
      </c>
      <c r="B198" s="683"/>
      <c r="C198" s="683"/>
      <c r="D198" s="683"/>
      <c r="E198" s="684">
        <f>E113+E120+E127+E134+E141+E148+E155+E162+E169+E176+E183+E190</f>
        <v>93659</v>
      </c>
    </row>
    <row r="199" spans="1:5" ht="14.5" x14ac:dyDescent="0.35">
      <c r="A199" s="677" t="s">
        <v>231</v>
      </c>
      <c r="B199" s="677" t="s">
        <v>217</v>
      </c>
      <c r="C199" s="677">
        <v>1000</v>
      </c>
      <c r="D199" s="677">
        <v>6200</v>
      </c>
      <c r="E199" s="685">
        <f>SUMIFS('Accounting data'!$G$2:$G$26,'Accounting data'!$H$2:$H$26,"11*",'Accounting data'!$J$2:$J$26,"1*",'Accounting data'!$K$2:$K$26,"62*")+SUMIFS('Accounting data'!$G$2:$G$26,'Accounting data'!$H$2:$H$26,"12*",'Accounting data'!$J$2:$J$26,"1*",'Accounting data'!$K$2:$K$26,"62*")+SUMIFS('Accounting data'!$G$2:$G$26,'Accounting data'!$H$2:$H$26,"13*",'Accounting data'!$J$2:$J$26,"1*",'Accounting data'!$K$2:$K$26,"62*")</f>
        <v>0</v>
      </c>
    </row>
    <row r="200" spans="1:5" ht="14.5" x14ac:dyDescent="0.35">
      <c r="A200" s="677" t="s">
        <v>231</v>
      </c>
      <c r="B200" s="677" t="s">
        <v>217</v>
      </c>
      <c r="C200" s="677">
        <v>2000</v>
      </c>
      <c r="D200" s="677">
        <v>6200</v>
      </c>
      <c r="E200" s="685">
        <f>SUMIFS('Accounting data'!$G$2:$G$26,'Accounting data'!$H$2:$H$26,"11*",'Accounting data'!$J$2:$J$26,"2*",'Accounting data'!$K$2:$K$26,"62*")+SUMIFS('Accounting data'!$G$2:$G$26,'Accounting data'!$H$2:$H$26,"12*",'Accounting data'!$J$2:$J$26,"2*",'Accounting data'!$K$2:$K$26,"62*")+SUMIFS('Accounting data'!$G$2:$G$26,'Accounting data'!$H$2:$H$26,"13*",'Accounting data'!$J$2:$J$26,"2*",'Accounting data'!$K$2:$K$26,"62*")</f>
        <v>0</v>
      </c>
    </row>
    <row r="201" spans="1:5" ht="14.5" x14ac:dyDescent="0.35">
      <c r="A201" s="677" t="s">
        <v>231</v>
      </c>
      <c r="B201" s="677" t="s">
        <v>217</v>
      </c>
      <c r="C201" s="677">
        <v>3000</v>
      </c>
      <c r="D201" s="677">
        <v>6200</v>
      </c>
      <c r="E201" s="685">
        <f>SUMIFS('Accounting data'!$G$2:$G$26,'Accounting data'!$H$2:$H$26,"11*",'Accounting data'!$J$2:$J$26,"3*",'Accounting data'!$K$2:$K$26,"62*")+SUMIFS('Accounting data'!$G$2:$G$26,'Accounting data'!$H$2:$H$26,"12*",'Accounting data'!$J$2:$J$26,"3*",'Accounting data'!$K$2:$K$26,"62*")+SUMIFS('Accounting data'!$G$2:$G$26,'Accounting data'!$H$2:$H$26,"13*",'Accounting data'!$J$2:$J$26,"3*",'Accounting data'!$K$2:$K$26,"62*")</f>
        <v>0</v>
      </c>
    </row>
    <row r="202" spans="1:5" ht="14.5" x14ac:dyDescent="0.35">
      <c r="A202" s="677" t="s">
        <v>231</v>
      </c>
      <c r="B202" s="679">
        <v>700</v>
      </c>
      <c r="C202" s="677">
        <v>1000</v>
      </c>
      <c r="D202" s="677">
        <v>6200</v>
      </c>
      <c r="E202" s="685">
        <f>SUMIFS('Accounting data'!$G$2:$G$26,'Accounting data'!$H$2:$H$26,"11*",'Accounting data'!$I$2:$I$26,"7*",'Accounting data'!$J$2:$J$26,"1*",'Accounting data'!$K$2:$K$26,"62*")+SUMIFS('Accounting data'!$G$2:$G$26,'Accounting data'!$H$2:$H$26,"12*",'Accounting data'!$I$2:$I$26,"7*",'Accounting data'!$J$2:$J$26,"1*",'Accounting data'!$K$2:$K$26,"62*")+SUMIFS('Accounting data'!$G$2:$G$26,'Accounting data'!$H$2:$H$26,"13*",'Accounting data'!$I$2:$I$26,"7*",'Accounting data'!$J$2:$J$26,"1*",'Accounting data'!$K$2:$K$26,"62*")</f>
        <v>0</v>
      </c>
    </row>
    <row r="203" spans="1:5" ht="14.5" x14ac:dyDescent="0.35">
      <c r="A203" s="677" t="s">
        <v>231</v>
      </c>
      <c r="B203" s="679">
        <v>800</v>
      </c>
      <c r="C203" s="677">
        <v>1000</v>
      </c>
      <c r="D203" s="677">
        <v>6200</v>
      </c>
      <c r="E203" s="685">
        <f>SUMIFS('Accounting data'!$G$2:$G$26,'Accounting data'!$H$2:$H$26,"11*",'Accounting data'!$I$2:$I$26,"8*",'Accounting data'!$J$2:$J$26,"1*",'Accounting data'!$K$2:$K$26,"62*")+SUMIFS('Accounting data'!$G$2:$G$26,'Accounting data'!$H$2:$H$26,"12*",'Accounting data'!$I$2:$I$26,"8*",'Accounting data'!$J$2:$J$26,"1*",'Accounting data'!$K$2:$K$26,"62*")+SUMIFS('Accounting data'!$G$2:$G$26,'Accounting data'!$H$2:$H$26,"13*",'Accounting data'!$I$2:$I$26,"8*",'Accounting data'!$J$2:$J$26,"1*",'Accounting data'!$K$2:$K$26,"62*")</f>
        <v>0</v>
      </c>
    </row>
    <row r="204" spans="1:5" ht="14.5" x14ac:dyDescent="0.35">
      <c r="A204" s="677" t="s">
        <v>231</v>
      </c>
      <c r="B204" s="679">
        <v>900</v>
      </c>
      <c r="C204" s="677">
        <v>1000</v>
      </c>
      <c r="D204" s="677">
        <v>6200</v>
      </c>
      <c r="E204" s="685">
        <f>SUMIFS('Accounting data'!$G$2:$G$26,'Accounting data'!$H$2:$H$26,"11*",'Accounting data'!$I$2:$I$26,"9*",'Accounting data'!$J$2:$J$26,"1*",'Accounting data'!$K$2:$K$26,"62*")+SUMIFS('Accounting data'!$G$2:$G$26,'Accounting data'!$H$2:$H$26,"12*",'Accounting data'!$I$2:$I$26,"9*",'Accounting data'!$J$2:$J$26,"1*",'Accounting data'!$K$2:$K$26,"62*")+SUMIFS('Accounting data'!$G$2:$G$26,'Accounting data'!$H$2:$H$26,"13*",'Accounting data'!$I$2:$I$26,"9*",'Accounting data'!$J$2:$J$26,"1*",'Accounting data'!$K$2:$K$26,"62*")</f>
        <v>0</v>
      </c>
    </row>
    <row r="205" spans="1:5" ht="14.5" x14ac:dyDescent="0.35">
      <c r="A205" s="677" t="s">
        <v>231</v>
      </c>
      <c r="B205" s="679">
        <v>700</v>
      </c>
      <c r="C205" s="677">
        <v>2000</v>
      </c>
      <c r="D205" s="677">
        <v>6200</v>
      </c>
      <c r="E205" s="685">
        <f>SUMIFS('Accounting data'!$G$2:$G$26,'Accounting data'!$H$2:$H$26,"11*",'Accounting data'!$I$2:$I$26,"7*",'Accounting data'!$J$2:$J$26,"2*",'Accounting data'!$K$2:$K$26,"62*")+SUMIFS('Accounting data'!$G$2:$G$26,'Accounting data'!$H$2:$H$26,"12*",'Accounting data'!$I$2:$I$26,"7*",'Accounting data'!$J$2:$J$26,"2*",'Accounting data'!$K$2:$K$26,"62*")+SUMIFS('Accounting data'!$G$2:$G$26,'Accounting data'!$H$2:$H$26,"13*",'Accounting data'!$I$2:$I$26,"7*",'Accounting data'!$J$2:$J$26,"2*",'Accounting data'!$K$2:$K$26,"62*")</f>
        <v>0</v>
      </c>
    </row>
    <row r="206" spans="1:5" ht="14.5" x14ac:dyDescent="0.35">
      <c r="A206" s="677" t="s">
        <v>231</v>
      </c>
      <c r="B206" s="679">
        <v>800</v>
      </c>
      <c r="C206" s="677">
        <v>2000</v>
      </c>
      <c r="D206" s="677">
        <v>6200</v>
      </c>
      <c r="E206" s="685">
        <f>SUMIFS('Accounting data'!$G$2:$G$26,'Accounting data'!$H$2:$H$26,"11*",'Accounting data'!$I$2:$I$26,"8*",'Accounting data'!$J$2:$J$26,"2*",'Accounting data'!$K$2:$K$26,"62*")+SUMIFS('Accounting data'!$G$2:$G$26,'Accounting data'!$H$2:$H$26,"12*",'Accounting data'!$I$2:$I$26,"8*",'Accounting data'!$J$2:$J$26,"2*",'Accounting data'!$K$2:$K$26,"62*")+SUMIFS('Accounting data'!$G$2:$G$26,'Accounting data'!$H$2:$H$26,"13*",'Accounting data'!$I$2:$I$26,"8*",'Accounting data'!$J$2:$J$26,"2*",'Accounting data'!$K$2:$K$26,"62*")</f>
        <v>0</v>
      </c>
    </row>
    <row r="207" spans="1:5" ht="14.5" x14ac:dyDescent="0.35">
      <c r="A207" s="677" t="s">
        <v>231</v>
      </c>
      <c r="B207" s="679">
        <v>900</v>
      </c>
      <c r="C207" s="677">
        <v>2000</v>
      </c>
      <c r="D207" s="677">
        <v>6200</v>
      </c>
      <c r="E207" s="685">
        <f>SUMIFS('Accounting data'!$G$2:$G$26,'Accounting data'!$H$2:$H$26,"11*",'Accounting data'!$I$2:$I$26,"9*",'Accounting data'!$J$2:$J$26,"2*",'Accounting data'!$K$2:$K$26,"62*")+SUMIFS('Accounting data'!$G$2:$G$26,'Accounting data'!$H$2:$H$26,"12*",'Accounting data'!$I$2:$I$26,"9*",'Accounting data'!$J$2:$J$26,"2*",'Accounting data'!$K$2:$K$26,"62*")+SUMIFS('Accounting data'!$G$2:$G$26,'Accounting data'!$H$2:$H$26,"13*",'Accounting data'!$I$2:$I$26,"9*",'Accounting data'!$J$2:$J$26,"2*",'Accounting data'!$K$2:$K$26,"62*")</f>
        <v>0</v>
      </c>
    </row>
    <row r="208" spans="1:5" ht="14.5" x14ac:dyDescent="0.35">
      <c r="A208" s="677" t="s">
        <v>231</v>
      </c>
      <c r="B208" s="679">
        <v>700</v>
      </c>
      <c r="C208" s="677">
        <v>3000</v>
      </c>
      <c r="D208" s="677">
        <v>6200</v>
      </c>
      <c r="E208" s="685">
        <f>SUMIFS('Accounting data'!$G$2:$G$26,'Accounting data'!$H$2:$H$26,"11*",'Accounting data'!$I$2:$I$26,"7*",'Accounting data'!$J$2:$J$26,"3*",'Accounting data'!$K$2:$K$26,"62*")+SUMIFS('Accounting data'!$G$2:$G$26,'Accounting data'!$H$2:$H$26,"12*",'Accounting data'!$I$2:$I$26,"7*",'Accounting data'!$J$2:$J$26,"3*",'Accounting data'!$K$2:$K$26,"62*")+SUMIFS('Accounting data'!$G$2:$G$26,'Accounting data'!$H$2:$H$26,"13*",'Accounting data'!$I$2:$I$26,"7*",'Accounting data'!$J$2:$J$26,"3*",'Accounting data'!$K$2:$K$26,"62*")</f>
        <v>0</v>
      </c>
    </row>
    <row r="209" spans="1:5" ht="14.5" x14ac:dyDescent="0.35">
      <c r="A209" s="677" t="s">
        <v>231</v>
      </c>
      <c r="B209" s="679">
        <v>800</v>
      </c>
      <c r="C209" s="677">
        <v>3000</v>
      </c>
      <c r="D209" s="677">
        <v>6200</v>
      </c>
      <c r="E209" s="685">
        <f>SUMIFS('Accounting data'!$G$2:$G$26,'Accounting data'!$H$2:$H$26,"11*",'Accounting data'!$I$2:$I$26,"8*",'Accounting data'!$J$2:$J$26,"3*",'Accounting data'!$K$2:$K$26,"62*")+SUMIFS('Accounting data'!$G$2:$G$26,'Accounting data'!$H$2:$H$26,"12*",'Accounting data'!$I$2:$I$26,"8*",'Accounting data'!$J$2:$J$26,"3*",'Accounting data'!$K$2:$K$26,"62*")+SUMIFS('Accounting data'!$G$2:$G$26,'Accounting data'!$H$2:$H$26,"13*",'Accounting data'!$I$2:$I$26,"8*",'Accounting data'!$J$2:$J$26,"3*",'Accounting data'!$K$2:$K$26,"62*")</f>
        <v>0</v>
      </c>
    </row>
    <row r="210" spans="1:5" ht="14.5" x14ac:dyDescent="0.35">
      <c r="A210" s="677" t="s">
        <v>231</v>
      </c>
      <c r="B210" s="679">
        <v>900</v>
      </c>
      <c r="C210" s="677">
        <v>3000</v>
      </c>
      <c r="D210" s="677">
        <v>6200</v>
      </c>
      <c r="E210" s="685">
        <f>SUMIFS('Accounting data'!$G$2:$G$26,'Accounting data'!$H$2:$H$26,"11*",'Accounting data'!$I$2:$I$26,"9*",'Accounting data'!$J$2:$J$26,"3*",'Accounting data'!$K$2:$K$26,"62*")+SUMIFS('Accounting data'!$G$2:$G$26,'Accounting data'!$H$2:$H$26,"12*",'Accounting data'!$I$2:$I$26,"9*",'Accounting data'!$J$2:$J$26,"3*",'Accounting data'!$K$2:$K$26,"62*")+SUMIFS('Accounting data'!$G$2:$G$26,'Accounting data'!$H$2:$H$26,"13*",'Accounting data'!$I$2:$I$26,"9*",'Accounting data'!$J$2:$J$26,"3*",'Accounting data'!$K$2:$K$26,"62*")</f>
        <v>0</v>
      </c>
    </row>
    <row r="211" spans="1:5" ht="14.5" x14ac:dyDescent="0.35">
      <c r="A211" s="680" t="s">
        <v>245</v>
      </c>
      <c r="B211" s="680"/>
      <c r="C211" s="680"/>
      <c r="D211" s="680"/>
      <c r="E211" s="681">
        <f>(E199+E200+E201)-(E202+E203+E204+E205+E206+E207+E208+E209+E210)</f>
        <v>0</v>
      </c>
    </row>
    <row r="212" spans="1:5" ht="14.5" x14ac:dyDescent="0.35">
      <c r="A212" s="677" t="s">
        <v>217</v>
      </c>
      <c r="B212" s="677" t="s">
        <v>217</v>
      </c>
      <c r="C212" s="677">
        <v>1000</v>
      </c>
      <c r="D212" s="686" t="s">
        <v>246</v>
      </c>
      <c r="E212" s="685">
        <f>SUMIFS('Accounting data'!$G$2:$G$26,'Accounting data'!$J$2:$J$26,"1*",'Accounting data'!$K$2:$K$26,"63*")+SUMIFS('Accounting data'!$G$2:$G$26,'Accounting data'!$J$2:$J$26,"1*",'Accounting data'!$K$2:$K$26,"64*")+SUMIFS('Accounting data'!$G$2:$G$26,'Accounting data'!$J$2:$J$26,"1*",'Accounting data'!$K$2:$K$26,"65*")</f>
        <v>777745</v>
      </c>
    </row>
    <row r="213" spans="1:5" ht="14.5" x14ac:dyDescent="0.35">
      <c r="A213" s="677" t="s">
        <v>218</v>
      </c>
      <c r="B213" s="677" t="s">
        <v>217</v>
      </c>
      <c r="C213" s="677">
        <v>1000</v>
      </c>
      <c r="D213" s="677">
        <v>6300</v>
      </c>
      <c r="E213" s="685">
        <f>SUMIFS('Accounting data'!$G$2:$G$26,'Accounting data'!$H$2:$H$26,"9999*",'Accounting data'!$J$2:$J$26,"1*",'Accounting data'!$K$2:$K$26,"63*")</f>
        <v>0</v>
      </c>
    </row>
    <row r="214" spans="1:5" ht="14.5" x14ac:dyDescent="0.35">
      <c r="A214" s="677" t="s">
        <v>218</v>
      </c>
      <c r="B214" s="677" t="s">
        <v>217</v>
      </c>
      <c r="C214" s="677">
        <v>1000</v>
      </c>
      <c r="D214" s="677">
        <v>6400</v>
      </c>
      <c r="E214" s="685">
        <f>SUMIFS('Accounting data'!$G$2:$G$26,'Accounting data'!$H$2:$H$26,"9999*",'Accounting data'!$J$2:$J$26,"1*",'Accounting data'!$K$2:$K$26,"64*")</f>
        <v>0</v>
      </c>
    </row>
    <row r="215" spans="1:5" ht="14.5" x14ac:dyDescent="0.35">
      <c r="A215" s="677" t="s">
        <v>218</v>
      </c>
      <c r="B215" s="677" t="s">
        <v>217</v>
      </c>
      <c r="C215" s="677">
        <v>1000</v>
      </c>
      <c r="D215" s="677">
        <v>6500</v>
      </c>
      <c r="E215" s="685">
        <f>SUMIFS('Accounting data'!$G$2:$G$26,'Accounting data'!$H$2:$H$26,"9999*",'Accounting data'!$J$2:$J$26,"1*",'Accounting data'!$K$2:$K$26,"65*")</f>
        <v>0</v>
      </c>
    </row>
    <row r="216" spans="1:5" ht="14.5" x14ac:dyDescent="0.35">
      <c r="A216" s="677" t="s">
        <v>217</v>
      </c>
      <c r="B216" s="677" t="s">
        <v>219</v>
      </c>
      <c r="C216" s="677">
        <v>1000</v>
      </c>
      <c r="D216" s="686" t="s">
        <v>246</v>
      </c>
      <c r="E216" s="685">
        <f>SUMIFS('Accounting data'!$G$2:$G$26,'Accounting data'!$I$2:$I$26,"7*",'Accounting data'!$J$2:$J$26,"1*",'Accounting data'!$K$2:$K$26,"63*")+SUMIFS('Accounting data'!$G$2:$G$26,'Accounting data'!$I$2:$I$26,"8*",'Accounting data'!$J$2:$J$26,"1*",'Accounting data'!$K$2:$K$26,"63*")+SUMIFS('Accounting data'!$G$2:$G$26,'Accounting data'!$I$2:$I$26,"9*",'Accounting data'!$J$2:$J$26,"1*",'Accounting data'!$K$2:$K$26,"63*")+SUMIFS('Accounting data'!$G$2:$G$26,'Accounting data'!$I$2:$I$26,"7*",'Accounting data'!$J$2:$J$26,"1*",'Accounting data'!$K$2:$K$26,"64*")+SUMIFS('Accounting data'!$G$2:$G$26,'Accounting data'!$I$2:$I$26,"8*",'Accounting data'!$J$2:$J$26,"1*",'Accounting data'!$K$2:$K$26,"64*")+SUMIFS('Accounting data'!$G$2:$G$26,'Accounting data'!$I$2:$I$26,"9*",'Accounting data'!$J$2:$J$26,"1*",'Accounting data'!$K$2:$K$26,"64*")+SUMIFS('Accounting data'!$G$2:$G$26,'Accounting data'!$I$2:$I$26,"7*",'Accounting data'!$J$2:$J$26,"1*",'Accounting data'!$K$2:$K$26,"65*")+SUMIFS('Accounting data'!$G$2:$G$26,'Accounting data'!$I$2:$I$26,"8*",'Accounting data'!$J$2:$J$26,"1*",'Accounting data'!$K$2:$K$26,"65*")+SUMIFS('Accounting data'!$G$2:$G$26,'Accounting data'!$I$2:$I$26,"9*",'Accounting data'!$J$2:$J$26,"1*",'Accounting data'!$K$2:$K$26,"65*")</f>
        <v>0</v>
      </c>
    </row>
    <row r="217" spans="1:5" ht="14.5" x14ac:dyDescent="0.35">
      <c r="A217" s="679" t="s">
        <v>218</v>
      </c>
      <c r="B217" s="677" t="s">
        <v>219</v>
      </c>
      <c r="C217" s="677">
        <v>1000</v>
      </c>
      <c r="D217" s="677">
        <v>6300</v>
      </c>
      <c r="E217" s="685">
        <f>SUMIFS('Accounting data'!$G$2:$G$26,'Accounting data'!$H$2:$H$26,"9999*",'Accounting data'!$I$2:$I$26,"7*",'Accounting data'!$J$2:$J$26,"1*",'Accounting data'!$K$2:$K$26,"63*")+SUMIFS('Accounting data'!$G$2:$G$26,'Accounting data'!$H$2:$H$26,"9999*",'Accounting data'!$I$2:$I$26,"8*",'Accounting data'!$J$2:$J$26,"1*",'Accounting data'!$K$2:$K$26,"63*")+SUMIFS('Accounting data'!$G$2:$G$26,'Accounting data'!$H$2:$H$26,"9999*",'Accounting data'!$I$2:$I$26,"9*",'Accounting data'!$J$2:$J$26,"1*",'Accounting data'!$K$2:$K$26,"63*")</f>
        <v>0</v>
      </c>
    </row>
    <row r="218" spans="1:5" ht="14.5" x14ac:dyDescent="0.35">
      <c r="A218" s="679" t="s">
        <v>218</v>
      </c>
      <c r="B218" s="677" t="s">
        <v>219</v>
      </c>
      <c r="C218" s="677">
        <v>1000</v>
      </c>
      <c r="D218" s="677">
        <v>6400</v>
      </c>
      <c r="E218" s="685">
        <f>SUMIFS('Accounting data'!$G$2:$G$26,'Accounting data'!$H$2:$H$26,"9999*",'Accounting data'!$I$2:$I$26,"7*",'Accounting data'!$J$2:$J$26,"1*",'Accounting data'!$K$2:$K$26,"64*")+SUMIFS('Accounting data'!$G$2:$G$26,'Accounting data'!$H$2:$H$26,"9999*",'Accounting data'!$I$2:$I$26,"8*",'Accounting data'!$J$2:$J$26,"1*",'Accounting data'!$K$2:$K$26,"64*")+SUMIFS('Accounting data'!$G$2:$G$26,'Accounting data'!$H$2:$H$26,"9999*",'Accounting data'!$I$2:$I$26,"9*",'Accounting data'!$J$2:$J$26,"1*",'Accounting data'!$K$2:$K$26,"64*")</f>
        <v>0</v>
      </c>
    </row>
    <row r="219" spans="1:5" ht="14.5" x14ac:dyDescent="0.35">
      <c r="A219" s="679" t="s">
        <v>218</v>
      </c>
      <c r="B219" s="677" t="s">
        <v>219</v>
      </c>
      <c r="C219" s="677">
        <v>1000</v>
      </c>
      <c r="D219" s="677">
        <v>6500</v>
      </c>
      <c r="E219" s="685">
        <f>SUMIFS('Accounting data'!$G$2:$G$26,'Accounting data'!$H$2:$H$26,"9999*",'Accounting data'!$I$2:$I$26,"7*",'Accounting data'!$J$2:$J$26,"1*",'Accounting data'!$K$2:$K$26,"65*")+SUMIFS('Accounting data'!$G$2:$G$26,'Accounting data'!$H$2:$H$26,"9999*",'Accounting data'!$I$2:$I$26,"8*",'Accounting data'!$J$2:$J$26,"1*",'Accounting data'!$K$2:$K$26,"65*")+SUMIFS('Accounting data'!$G$2:$G$26,'Accounting data'!$H$2:$H$26,"9999*",'Accounting data'!$I$2:$I$26,"9*",'Accounting data'!$J$2:$J$26,"1*",'Accounting data'!$K$2:$K$26,"65*")</f>
        <v>0</v>
      </c>
    </row>
    <row r="220" spans="1:5" x14ac:dyDescent="0.3">
      <c r="A220" s="679"/>
      <c r="B220" s="677"/>
      <c r="C220" s="677"/>
      <c r="D220" s="677"/>
      <c r="E220" s="678"/>
    </row>
    <row r="221" spans="1:5" x14ac:dyDescent="0.3">
      <c r="A221" s="679"/>
      <c r="B221" s="677"/>
      <c r="C221" s="677"/>
      <c r="D221" s="677"/>
      <c r="E221" s="678"/>
    </row>
    <row r="222" spans="1:5" x14ac:dyDescent="0.3">
      <c r="A222" s="679"/>
      <c r="B222" s="677"/>
      <c r="C222" s="677"/>
      <c r="D222" s="677"/>
      <c r="E222" s="678"/>
    </row>
    <row r="223" spans="1:5" x14ac:dyDescent="0.3">
      <c r="A223" s="679"/>
      <c r="B223" s="677"/>
      <c r="C223" s="677"/>
      <c r="D223" s="677"/>
      <c r="E223" s="678"/>
    </row>
    <row r="224" spans="1:5" x14ac:dyDescent="0.3">
      <c r="A224" s="679"/>
      <c r="B224" s="677"/>
      <c r="C224" s="677"/>
      <c r="D224" s="677"/>
      <c r="E224" s="678"/>
    </row>
    <row r="225" spans="1:5" x14ac:dyDescent="0.3">
      <c r="A225" s="679"/>
      <c r="B225" s="677"/>
      <c r="C225" s="677"/>
      <c r="D225" s="677"/>
      <c r="E225" s="678"/>
    </row>
    <row r="226" spans="1:5" x14ac:dyDescent="0.3">
      <c r="A226" s="679"/>
      <c r="B226" s="677"/>
      <c r="C226" s="677"/>
      <c r="D226" s="677"/>
      <c r="E226" s="678"/>
    </row>
    <row r="227" spans="1:5" x14ac:dyDescent="0.3">
      <c r="A227" s="677"/>
      <c r="B227" s="677"/>
      <c r="C227" s="677"/>
      <c r="D227" s="677"/>
      <c r="E227" s="678"/>
    </row>
    <row r="228" spans="1:5" x14ac:dyDescent="0.3">
      <c r="A228" s="679"/>
      <c r="B228" s="677"/>
      <c r="C228" s="677"/>
      <c r="D228" s="677"/>
      <c r="E228" s="678"/>
    </row>
    <row r="229" spans="1:5" x14ac:dyDescent="0.3">
      <c r="A229" s="679"/>
      <c r="B229" s="677"/>
      <c r="C229" s="677"/>
      <c r="D229" s="677"/>
      <c r="E229" s="678"/>
    </row>
    <row r="230" spans="1:5" x14ac:dyDescent="0.3">
      <c r="A230" s="679"/>
      <c r="B230" s="677"/>
      <c r="C230" s="677"/>
      <c r="D230" s="677"/>
      <c r="E230" s="678"/>
    </row>
    <row r="231" spans="1:5" x14ac:dyDescent="0.3">
      <c r="A231" s="679"/>
      <c r="B231" s="677"/>
      <c r="C231" s="677"/>
      <c r="D231" s="677"/>
      <c r="E231" s="678"/>
    </row>
    <row r="232" spans="1:5" x14ac:dyDescent="0.3">
      <c r="A232" s="679"/>
      <c r="B232" s="677"/>
      <c r="C232" s="677"/>
      <c r="D232" s="677"/>
      <c r="E232" s="678"/>
    </row>
    <row r="233" spans="1:5" x14ac:dyDescent="0.3">
      <c r="A233" s="677"/>
      <c r="B233" s="677"/>
      <c r="C233" s="677"/>
      <c r="D233" s="677"/>
      <c r="E233" s="678"/>
    </row>
    <row r="234" spans="1:5" x14ac:dyDescent="0.3">
      <c r="A234" s="679"/>
      <c r="B234" s="677"/>
      <c r="C234" s="677"/>
      <c r="D234" s="677"/>
      <c r="E234" s="678"/>
    </row>
    <row r="235" spans="1:5" x14ac:dyDescent="0.3">
      <c r="A235" s="679"/>
      <c r="B235" s="677"/>
      <c r="C235" s="677"/>
      <c r="D235" s="677"/>
      <c r="E235" s="678"/>
    </row>
    <row r="236" spans="1:5" x14ac:dyDescent="0.3">
      <c r="A236" s="679"/>
      <c r="B236" s="677"/>
      <c r="C236" s="677"/>
      <c r="D236" s="677"/>
      <c r="E236" s="678"/>
    </row>
    <row r="237" spans="1:5" x14ac:dyDescent="0.3">
      <c r="A237" s="679"/>
      <c r="B237" s="677"/>
      <c r="C237" s="677"/>
      <c r="D237" s="677"/>
      <c r="E237" s="678"/>
    </row>
    <row r="238" spans="1:5" ht="14.5" x14ac:dyDescent="0.35">
      <c r="A238" s="680" t="s">
        <v>247</v>
      </c>
      <c r="B238" s="680"/>
      <c r="C238" s="680"/>
      <c r="D238" s="680"/>
      <c r="E238" s="681">
        <f>((E212-E213-E214-E215-E216)+(E217+E218+E219+E220+E221+E222+E223+E224+E225))-((E226-E227-E228)+(E229+E230+E231))-((E232-E233-E234)+(E235+E236+E237))</f>
        <v>777745</v>
      </c>
    </row>
    <row r="239" spans="1:5" x14ac:dyDescent="0.3">
      <c r="A239" s="677" t="s">
        <v>217</v>
      </c>
      <c r="B239" s="677" t="s">
        <v>217</v>
      </c>
      <c r="C239" s="677">
        <v>2100</v>
      </c>
      <c r="D239" s="686" t="s">
        <v>246</v>
      </c>
      <c r="E239" s="678">
        <f>SUMIFS('Accounting data'!$G$2:$G$26,'Accounting data'!$J$2:$J$26,"21*",'Accounting data'!$K$2:$K$26,"63*")+SUMIFS('Accounting data'!$G$2:$G$26,'Accounting data'!$J$2:$J$26,"21*",'Accounting data'!$K$2:$K$26,"64*")+SUMIFS('Accounting data'!$G$2:$G$26,'Accounting data'!$J$2:$J$26,"21*",'Accounting data'!$K$2:$K$26,"65*")</f>
        <v>36635</v>
      </c>
    </row>
    <row r="240" spans="1:5" x14ac:dyDescent="0.3">
      <c r="A240" s="677" t="s">
        <v>218</v>
      </c>
      <c r="B240" s="677" t="s">
        <v>217</v>
      </c>
      <c r="C240" s="677">
        <v>2100</v>
      </c>
      <c r="D240" s="677">
        <v>6300</v>
      </c>
      <c r="E240" s="678">
        <f>SUMIFS('Accounting data'!$G$2:$G$26,'Accounting data'!$H$2:$H$26,"9999*",'Accounting data'!$J$2:$J$26,"21*",'Accounting data'!$K$2:$K$26,"63*")</f>
        <v>0</v>
      </c>
    </row>
    <row r="241" spans="1:5" x14ac:dyDescent="0.3">
      <c r="A241" s="677" t="s">
        <v>218</v>
      </c>
      <c r="B241" s="677" t="s">
        <v>217</v>
      </c>
      <c r="C241" s="677">
        <v>2100</v>
      </c>
      <c r="D241" s="677">
        <v>6400</v>
      </c>
      <c r="E241" s="678">
        <f>SUMIFS('Accounting data'!$G$2:$G$26,'Accounting data'!$H$2:$H$26,"9999*",'Accounting data'!$J$2:$J$26,"21*",'Accounting data'!$K$2:$K$26,"64*")</f>
        <v>0</v>
      </c>
    </row>
    <row r="242" spans="1:5" x14ac:dyDescent="0.3">
      <c r="A242" s="677" t="s">
        <v>218</v>
      </c>
      <c r="B242" s="677" t="s">
        <v>217</v>
      </c>
      <c r="C242" s="677">
        <v>2100</v>
      </c>
      <c r="D242" s="677">
        <v>6500</v>
      </c>
      <c r="E242" s="678">
        <f>SUMIFS('Accounting data'!$G$2:$G$26,'Accounting data'!$H$2:$H$26,"9999*",'Accounting data'!$J$2:$J$26,"21*",'Accounting data'!$K$2:$K$26,"65*")</f>
        <v>0</v>
      </c>
    </row>
    <row r="243" spans="1:5" x14ac:dyDescent="0.3">
      <c r="A243" s="677" t="s">
        <v>217</v>
      </c>
      <c r="B243" s="677" t="s">
        <v>219</v>
      </c>
      <c r="C243" s="677">
        <v>2100</v>
      </c>
      <c r="D243" s="686" t="s">
        <v>246</v>
      </c>
      <c r="E243" s="678">
        <f>SUMIFS('Accounting data'!$G$2:$G$26,'Accounting data'!$I$2:$I$26,"7*",'Accounting data'!$J$2:$J$26,"21*",'Accounting data'!$K$2:$K$26,"63*")+SUMIFS('Accounting data'!$G$2:$G$26,'Accounting data'!$I$2:$I$26,"8*",'Accounting data'!$J$2:$J$26,"21*",'Accounting data'!$K$2:$K$26,"63*")+SUMIFS('Accounting data'!$G$2:$G$26,'Accounting data'!$I$2:$I$26,"9*",'Accounting data'!$J$2:$J$26,"21*",'Accounting data'!$K$2:$K$26,"63*")+SUMIFS('Accounting data'!$G$2:$G$26,'Accounting data'!$I$2:$I$26,"7*",'Accounting data'!$J$2:$J$26,"21*",'Accounting data'!$K$2:$K$26,"64*")+SUMIFS('Accounting data'!$G$2:$G$26,'Accounting data'!$I$2:$I$26,"8*",'Accounting data'!$J$2:$J$26,"21*",'Accounting data'!$K$2:$K$26,"64*")+SUMIFS('Accounting data'!$G$2:$G$26,'Accounting data'!$I$2:$I$26,"9*",'Accounting data'!$J$2:$J$26,"21*",'Accounting data'!$K$2:$K$26,"64*")+SUMIFS('Accounting data'!$G$2:$G$26,'Accounting data'!$I$2:$I$26,"7*",'Accounting data'!$J$2:$J$26,"21*",'Accounting data'!$K$2:$K$26,"65*")+SUMIFS('Accounting data'!$G$2:$G$26,'Accounting data'!$I$2:$I$26,"8*",'Accounting data'!$J$2:$J$26,"21*",'Accounting data'!$K$2:$K$26,"65*")+SUMIFS('Accounting data'!$G$2:$G$26,'Accounting data'!$I$2:$I$26,"9*",'Accounting data'!$J$2:$J$26,"21*",'Accounting data'!$K$2:$K$26,"65*")</f>
        <v>0</v>
      </c>
    </row>
    <row r="244" spans="1:5" x14ac:dyDescent="0.3">
      <c r="A244" s="679" t="s">
        <v>218</v>
      </c>
      <c r="B244" s="677" t="s">
        <v>219</v>
      </c>
      <c r="C244" s="677">
        <v>2100</v>
      </c>
      <c r="D244" s="677">
        <v>6300</v>
      </c>
      <c r="E244" s="678">
        <f>SUMIFS('Accounting data'!$G$2:$G$26,'Accounting data'!$H$2:$H$26,"9999*",'Accounting data'!$I$2:$I$26,"7*",'Accounting data'!$J$2:$J$26,"21*",'Accounting data'!$K$2:$K$26,"63*")+SUMIFS('Accounting data'!$G$2:$G$26,'Accounting data'!$H$2:$H$26,"9999*",'Accounting data'!$I$2:$I$26,"8*",'Accounting data'!$J$2:$J$26,"21*",'Accounting data'!$K$2:$K$26,"63*")+SUMIFS('Accounting data'!$G$2:$G$26,'Accounting data'!$H$2:$H$26,"9999*",'Accounting data'!$I$2:$I$26,"9*",'Accounting data'!$J$2:$J$26,"21*",'Accounting data'!$K$2:$K$26,"63*")</f>
        <v>0</v>
      </c>
    </row>
    <row r="245" spans="1:5" x14ac:dyDescent="0.3">
      <c r="A245" s="679" t="s">
        <v>218</v>
      </c>
      <c r="B245" s="677" t="s">
        <v>219</v>
      </c>
      <c r="C245" s="677">
        <v>2100</v>
      </c>
      <c r="D245" s="677">
        <v>6400</v>
      </c>
      <c r="E245" s="678">
        <f>SUMIFS('Accounting data'!$G$2:$G$26,'Accounting data'!$H$2:$H$26,"9999*",'Accounting data'!$I$2:$I$26,"7*",'Accounting data'!$J$2:$J$26,"21*",'Accounting data'!$K$2:$K$26,"64*")+SUMIFS('Accounting data'!$G$2:$G$26,'Accounting data'!$H$2:$H$26,"9999*",'Accounting data'!$I$2:$I$26,"8*",'Accounting data'!$J$2:$J$26,"21*",'Accounting data'!$K$2:$K$26,"64*")+SUMIFS('Accounting data'!$G$2:$G$26,'Accounting data'!$H$2:$H$26,"9999*",'Accounting data'!$I$2:$I$26,"9*",'Accounting data'!$J$2:$J$26,"21*",'Accounting data'!$K$2:$K$26,"64*")</f>
        <v>0</v>
      </c>
    </row>
    <row r="246" spans="1:5" x14ac:dyDescent="0.3">
      <c r="A246" s="679" t="s">
        <v>218</v>
      </c>
      <c r="B246" s="677" t="s">
        <v>219</v>
      </c>
      <c r="C246" s="677">
        <v>2100</v>
      </c>
      <c r="D246" s="677">
        <v>6500</v>
      </c>
      <c r="E246" s="678">
        <f>SUMIFS('Accounting data'!$G$2:$G$26,'Accounting data'!$H$2:$H$26,"9999*",'Accounting data'!$I$2:$I$26,"7*",'Accounting data'!$J$2:$J$26,"21*",'Accounting data'!$K$2:$K$26,"65*")+SUMIFS('Accounting data'!$G$2:$G$26,'Accounting data'!$H$2:$H$26,"9999*",'Accounting data'!$I$2:$I$26,"8*",'Accounting data'!$J$2:$J$26,"21*",'Accounting data'!$K$2:$K$26,"65*")+SUMIFS('Accounting data'!$G$2:$G$26,'Accounting data'!$H$2:$H$26,"9999*",'Accounting data'!$I$2:$I$26,"9*",'Accounting data'!$J$2:$J$26,"21*",'Accounting data'!$K$2:$K$26,"65*")</f>
        <v>0</v>
      </c>
    </row>
    <row r="247" spans="1:5" x14ac:dyDescent="0.3">
      <c r="A247" s="679"/>
      <c r="B247" s="677"/>
      <c r="C247" s="677"/>
      <c r="D247" s="677"/>
      <c r="E247" s="678"/>
    </row>
    <row r="248" spans="1:5" x14ac:dyDescent="0.3">
      <c r="A248" s="679"/>
      <c r="B248" s="677"/>
      <c r="C248" s="677"/>
      <c r="D248" s="677"/>
      <c r="E248" s="678"/>
    </row>
    <row r="249" spans="1:5" x14ac:dyDescent="0.3">
      <c r="A249" s="679"/>
      <c r="B249" s="677"/>
      <c r="C249" s="677"/>
      <c r="D249" s="677"/>
      <c r="E249" s="678"/>
    </row>
    <row r="250" spans="1:5" x14ac:dyDescent="0.3">
      <c r="A250" s="679"/>
      <c r="B250" s="677"/>
      <c r="C250" s="677"/>
      <c r="D250" s="677"/>
      <c r="E250" s="678"/>
    </row>
    <row r="251" spans="1:5" x14ac:dyDescent="0.3">
      <c r="A251" s="679"/>
      <c r="B251" s="677"/>
      <c r="C251" s="677"/>
      <c r="D251" s="677"/>
      <c r="E251" s="678"/>
    </row>
    <row r="252" spans="1:5" x14ac:dyDescent="0.3">
      <c r="A252" s="679"/>
      <c r="B252" s="677"/>
      <c r="C252" s="677"/>
      <c r="D252" s="677"/>
      <c r="E252" s="678"/>
    </row>
    <row r="253" spans="1:5" x14ac:dyDescent="0.3">
      <c r="A253" s="679"/>
      <c r="B253" s="677"/>
      <c r="C253" s="677"/>
      <c r="D253" s="677"/>
      <c r="E253" s="678"/>
    </row>
    <row r="254" spans="1:5" x14ac:dyDescent="0.3">
      <c r="A254" s="677"/>
      <c r="B254" s="677"/>
      <c r="C254" s="677"/>
      <c r="D254" s="677"/>
      <c r="E254" s="678"/>
    </row>
    <row r="255" spans="1:5" x14ac:dyDescent="0.3">
      <c r="A255" s="679"/>
      <c r="B255" s="677"/>
      <c r="C255" s="677"/>
      <c r="D255" s="677"/>
      <c r="E255" s="678"/>
    </row>
    <row r="256" spans="1:5" x14ac:dyDescent="0.3">
      <c r="A256" s="679"/>
      <c r="B256" s="677"/>
      <c r="C256" s="677"/>
      <c r="D256" s="677"/>
      <c r="E256" s="678"/>
    </row>
    <row r="257" spans="1:5" x14ac:dyDescent="0.3">
      <c r="A257" s="679"/>
      <c r="B257" s="677"/>
      <c r="C257" s="677"/>
      <c r="D257" s="677"/>
      <c r="E257" s="678"/>
    </row>
    <row r="258" spans="1:5" x14ac:dyDescent="0.3">
      <c r="A258" s="679"/>
      <c r="B258" s="677"/>
      <c r="C258" s="677"/>
      <c r="D258" s="677"/>
      <c r="E258" s="678"/>
    </row>
    <row r="259" spans="1:5" x14ac:dyDescent="0.3">
      <c r="A259" s="679"/>
      <c r="B259" s="677"/>
      <c r="C259" s="677"/>
      <c r="D259" s="677"/>
      <c r="E259" s="678"/>
    </row>
    <row r="260" spans="1:5" x14ac:dyDescent="0.3">
      <c r="A260" s="677"/>
      <c r="B260" s="677"/>
      <c r="C260" s="677"/>
      <c r="D260" s="677"/>
      <c r="E260" s="678"/>
    </row>
    <row r="261" spans="1:5" x14ac:dyDescent="0.3">
      <c r="A261" s="679"/>
      <c r="B261" s="677"/>
      <c r="C261" s="677"/>
      <c r="D261" s="677"/>
      <c r="E261" s="678"/>
    </row>
    <row r="262" spans="1:5" x14ac:dyDescent="0.3">
      <c r="A262" s="679"/>
      <c r="B262" s="677"/>
      <c r="C262" s="677"/>
      <c r="D262" s="677"/>
      <c r="E262" s="678"/>
    </row>
    <row r="263" spans="1:5" x14ac:dyDescent="0.3">
      <c r="A263" s="679"/>
      <c r="B263" s="677"/>
      <c r="C263" s="677"/>
      <c r="D263" s="677"/>
      <c r="E263" s="678"/>
    </row>
    <row r="264" spans="1:5" x14ac:dyDescent="0.3">
      <c r="A264" s="679"/>
      <c r="B264" s="677"/>
      <c r="C264" s="677"/>
      <c r="D264" s="677"/>
      <c r="E264" s="678"/>
    </row>
    <row r="265" spans="1:5" x14ac:dyDescent="0.3">
      <c r="A265" s="680" t="s">
        <v>374</v>
      </c>
      <c r="B265" s="680"/>
      <c r="C265" s="680"/>
      <c r="D265" s="680"/>
      <c r="E265" s="682">
        <f>((E239-E240-E241-E242-E243)+(E244+E245+E246+E247+E248+E249+E250+E251+E252))-((E253-E254-E255)+(E256+E257+E258))-((E259-E260-E261)+(E262+E263+E264))</f>
        <v>36635</v>
      </c>
    </row>
    <row r="266" spans="1:5" x14ac:dyDescent="0.3">
      <c r="A266" s="677" t="s">
        <v>217</v>
      </c>
      <c r="B266" s="677" t="s">
        <v>217</v>
      </c>
      <c r="C266" s="677">
        <v>2200</v>
      </c>
      <c r="D266" s="686" t="s">
        <v>246</v>
      </c>
      <c r="E266" s="678">
        <f>SUMIFS('Accounting data'!$G$2:$G$26,'Accounting data'!$J$2:$J$26,"22*",'Accounting data'!$K$2:$K$26,"63*")+SUMIFS('Accounting data'!$G$2:$G$26,'Accounting data'!$J$2:$J$26,"22*",'Accounting data'!$K$2:$K$26,"64*")+SUMIFS('Accounting data'!$G$2:$G$26,'Accounting data'!$J$2:$J$26,"22*",'Accounting data'!$K$2:$K$26,"65*")</f>
        <v>19885</v>
      </c>
    </row>
    <row r="267" spans="1:5" x14ac:dyDescent="0.3">
      <c r="A267" s="677" t="s">
        <v>218</v>
      </c>
      <c r="B267" s="677" t="s">
        <v>217</v>
      </c>
      <c r="C267" s="677">
        <v>2200</v>
      </c>
      <c r="D267" s="677">
        <v>6300</v>
      </c>
      <c r="E267" s="678">
        <f>SUMIFS('Accounting data'!$G$2:$G$26,'Accounting data'!$H$2:$H$26,"9999*",'Accounting data'!$J$2:$J$26,"22*",'Accounting data'!$K$2:$K$26,"63*")</f>
        <v>0</v>
      </c>
    </row>
    <row r="268" spans="1:5" x14ac:dyDescent="0.3">
      <c r="A268" s="677" t="s">
        <v>218</v>
      </c>
      <c r="B268" s="677" t="s">
        <v>217</v>
      </c>
      <c r="C268" s="677">
        <v>2200</v>
      </c>
      <c r="D268" s="677">
        <v>6400</v>
      </c>
      <c r="E268" s="678">
        <f>SUMIFS('Accounting data'!$G$2:$G$26,'Accounting data'!$H$2:$H$26,"9999*",'Accounting data'!$J$2:$J$26,"22*",'Accounting data'!$K$2:$K$26,"64*")</f>
        <v>0</v>
      </c>
    </row>
    <row r="269" spans="1:5" x14ac:dyDescent="0.3">
      <c r="A269" s="677" t="s">
        <v>218</v>
      </c>
      <c r="B269" s="677" t="s">
        <v>217</v>
      </c>
      <c r="C269" s="677">
        <v>2200</v>
      </c>
      <c r="D269" s="677">
        <v>6500</v>
      </c>
      <c r="E269" s="678">
        <f>SUMIFS('Accounting data'!$G$2:$G$26,'Accounting data'!$H$2:$H$26,"9999*",'Accounting data'!$J$2:$J$26,"22*",'Accounting data'!$K$2:$K$26,"65*")</f>
        <v>0</v>
      </c>
    </row>
    <row r="270" spans="1:5" x14ac:dyDescent="0.3">
      <c r="A270" s="677" t="s">
        <v>217</v>
      </c>
      <c r="B270" s="677" t="s">
        <v>219</v>
      </c>
      <c r="C270" s="677">
        <v>2200</v>
      </c>
      <c r="D270" s="686" t="s">
        <v>246</v>
      </c>
      <c r="E270" s="678">
        <f>SUMIFS('Accounting data'!$G$2:$G$26,'Accounting data'!$I$2:$I$26,"7*",'Accounting data'!$J$2:$J$26,"22*",'Accounting data'!$K$2:$K$26,"63*")+SUMIFS('Accounting data'!$G$2:$G$26,'Accounting data'!$I$2:$I$26,"8*",'Accounting data'!$J$2:$J$26,"22*",'Accounting data'!$K$2:$K$26,"63*")+SUMIFS('Accounting data'!$G$2:$G$26,'Accounting data'!$I$2:$I$26,"9*",'Accounting data'!$J$2:$J$26,"22*",'Accounting data'!$K$2:$K$26,"63*")+SUMIFS('Accounting data'!$G$2:$G$26,'Accounting data'!$I$2:$I$26,"7*",'Accounting data'!$J$2:$J$26,"22*",'Accounting data'!$K$2:$K$26,"64*")+SUMIFS('Accounting data'!$G$2:$G$26,'Accounting data'!$I$2:$I$26,"8*",'Accounting data'!$J$2:$J$26,"22*",'Accounting data'!$K$2:$K$26,"64*")+SUMIFS('Accounting data'!$G$2:$G$26,'Accounting data'!$I$2:$I$26,"9*",'Accounting data'!$J$2:$J$26,"22*",'Accounting data'!$K$2:$K$26,"64*")+SUMIFS('Accounting data'!$G$2:$G$26,'Accounting data'!$I$2:$I$26,"7*",'Accounting data'!$J$2:$J$26,"22*",'Accounting data'!$K$2:$K$26,"65*")+SUMIFS('Accounting data'!$G$2:$G$26,'Accounting data'!$I$2:$I$26,"8*",'Accounting data'!$J$2:$J$26,"22*",'Accounting data'!$K$2:$K$26,"65*")+SUMIFS('Accounting data'!$G$2:$G$26,'Accounting data'!$I$2:$I$26,"9*",'Accounting data'!$J$2:$J$26,"22*",'Accounting data'!$K$2:$K$26,"65*")</f>
        <v>0</v>
      </c>
    </row>
    <row r="271" spans="1:5" x14ac:dyDescent="0.3">
      <c r="A271" s="679" t="s">
        <v>218</v>
      </c>
      <c r="B271" s="677" t="s">
        <v>219</v>
      </c>
      <c r="C271" s="677">
        <v>2200</v>
      </c>
      <c r="D271" s="677">
        <v>6300</v>
      </c>
      <c r="E271" s="678">
        <f>SUMIFS('Accounting data'!$G$2:$G$26,'Accounting data'!$H$2:$H$26,"9999*",'Accounting data'!$I$2:$I$26,"7*",'Accounting data'!$J$2:$J$26,"22*",'Accounting data'!$K$2:$K$26,"63*")+SUMIFS('Accounting data'!$G$2:$G$26,'Accounting data'!$H$2:$H$26,"9999*",'Accounting data'!$I$2:$I$26,"8*",'Accounting data'!$J$2:$J$26,"22*",'Accounting data'!$K$2:$K$26,"63*")+SUMIFS('Accounting data'!$G$2:$G$26,'Accounting data'!$H$2:$H$26,"9999*",'Accounting data'!$I$2:$I$26,"9*",'Accounting data'!$J$2:$J$26,"22*",'Accounting data'!$K$2:$K$26,"63*")</f>
        <v>0</v>
      </c>
    </row>
    <row r="272" spans="1:5" x14ac:dyDescent="0.3">
      <c r="A272" s="679" t="s">
        <v>218</v>
      </c>
      <c r="B272" s="677" t="s">
        <v>219</v>
      </c>
      <c r="C272" s="677">
        <v>2200</v>
      </c>
      <c r="D272" s="677">
        <v>6400</v>
      </c>
      <c r="E272" s="678">
        <f>SUMIFS('Accounting data'!$G$2:$G$26,'Accounting data'!$H$2:$H$26,"9999*",'Accounting data'!$I$2:$I$26,"7*",'Accounting data'!$J$2:$J$26,"22*",'Accounting data'!$K$2:$K$26,"64*")+SUMIFS('Accounting data'!$G$2:$G$26,'Accounting data'!$H$2:$H$26,"9999*",'Accounting data'!$I$2:$I$26,"8*",'Accounting data'!$J$2:$J$26,"22*",'Accounting data'!$K$2:$K$26,"64*")+SUMIFS('Accounting data'!$G$2:$G$26,'Accounting data'!$H$2:$H$26,"9999*",'Accounting data'!$I$2:$I$26,"9*",'Accounting data'!$J$2:$J$26,"22*",'Accounting data'!$K$2:$K$26,"64*")</f>
        <v>0</v>
      </c>
    </row>
    <row r="273" spans="1:5" x14ac:dyDescent="0.3">
      <c r="A273" s="679" t="s">
        <v>218</v>
      </c>
      <c r="B273" s="677" t="s">
        <v>219</v>
      </c>
      <c r="C273" s="677">
        <v>2200</v>
      </c>
      <c r="D273" s="677">
        <v>6500</v>
      </c>
      <c r="E273" s="678">
        <f>SUMIFS('Accounting data'!$G$2:$G$26,'Accounting data'!$H$2:$H$26,"9999*",'Accounting data'!$I$2:$I$26,"7*",'Accounting data'!$J$2:$J$26,"22*",'Accounting data'!$K$2:$K$26,"65*")+SUMIFS('Accounting data'!$G$2:$G$26,'Accounting data'!$H$2:$H$26,"9999*",'Accounting data'!$I$2:$I$26,"8*",'Accounting data'!$J$2:$J$26,"22*",'Accounting data'!$K$2:$K$26,"65*")+SUMIFS('Accounting data'!$G$2:$G$26,'Accounting data'!$H$2:$H$26,"9999*",'Accounting data'!$I$2:$I$26,"9*",'Accounting data'!$J$2:$J$26,"22*",'Accounting data'!$K$2:$K$26,"65*")</f>
        <v>0</v>
      </c>
    </row>
    <row r="274" spans="1:5" x14ac:dyDescent="0.3">
      <c r="A274" s="677"/>
      <c r="B274" s="677"/>
      <c r="C274" s="677"/>
      <c r="D274" s="677"/>
      <c r="E274" s="678"/>
    </row>
    <row r="275" spans="1:5" x14ac:dyDescent="0.3">
      <c r="A275" s="677"/>
      <c r="B275" s="677"/>
      <c r="C275" s="677"/>
      <c r="D275" s="677"/>
      <c r="E275" s="678"/>
    </row>
    <row r="276" spans="1:5" x14ac:dyDescent="0.3">
      <c r="A276" s="677"/>
      <c r="B276" s="677"/>
      <c r="C276" s="677"/>
      <c r="D276" s="677"/>
      <c r="E276" s="678"/>
    </row>
    <row r="277" spans="1:5" x14ac:dyDescent="0.3">
      <c r="A277" s="677"/>
      <c r="B277" s="677"/>
      <c r="C277" s="677"/>
      <c r="D277" s="677"/>
      <c r="E277" s="678"/>
    </row>
    <row r="278" spans="1:5" x14ac:dyDescent="0.3">
      <c r="A278" s="677"/>
      <c r="B278" s="677"/>
      <c r="C278" s="677"/>
      <c r="D278" s="677"/>
      <c r="E278" s="678"/>
    </row>
    <row r="279" spans="1:5" x14ac:dyDescent="0.3">
      <c r="A279" s="677"/>
      <c r="B279" s="677"/>
      <c r="C279" s="677"/>
      <c r="D279" s="677"/>
      <c r="E279" s="678"/>
    </row>
    <row r="280" spans="1:5" x14ac:dyDescent="0.3">
      <c r="A280" s="677"/>
      <c r="B280" s="677"/>
      <c r="C280" s="677"/>
      <c r="D280" s="677"/>
      <c r="E280" s="678"/>
    </row>
    <row r="281" spans="1:5" x14ac:dyDescent="0.3">
      <c r="A281" s="677"/>
      <c r="B281" s="677"/>
      <c r="C281" s="677"/>
      <c r="D281" s="677"/>
      <c r="E281" s="678"/>
    </row>
    <row r="282" spans="1:5" x14ac:dyDescent="0.3">
      <c r="A282" s="677"/>
      <c r="B282" s="677"/>
      <c r="C282" s="677"/>
      <c r="D282" s="677"/>
      <c r="E282" s="678"/>
    </row>
    <row r="283" spans="1:5" x14ac:dyDescent="0.3">
      <c r="A283" s="679"/>
      <c r="B283" s="677"/>
      <c r="C283" s="677"/>
      <c r="D283" s="677"/>
      <c r="E283" s="678"/>
    </row>
    <row r="284" spans="1:5" x14ac:dyDescent="0.3">
      <c r="A284" s="677"/>
      <c r="B284" s="677"/>
      <c r="C284" s="677"/>
      <c r="D284" s="677"/>
      <c r="E284" s="678"/>
    </row>
    <row r="285" spans="1:5" x14ac:dyDescent="0.3">
      <c r="A285" s="677"/>
      <c r="B285" s="677"/>
      <c r="C285" s="677"/>
      <c r="D285" s="677"/>
      <c r="E285" s="678"/>
    </row>
    <row r="286" spans="1:5" x14ac:dyDescent="0.3">
      <c r="A286" s="677"/>
      <c r="B286" s="677"/>
      <c r="C286" s="677"/>
      <c r="D286" s="677"/>
      <c r="E286" s="678"/>
    </row>
    <row r="287" spans="1:5" x14ac:dyDescent="0.3">
      <c r="A287" s="677"/>
      <c r="B287" s="677"/>
      <c r="C287" s="677"/>
      <c r="D287" s="677"/>
      <c r="E287" s="678"/>
    </row>
    <row r="288" spans="1:5" x14ac:dyDescent="0.3">
      <c r="A288" s="677"/>
      <c r="B288" s="677"/>
      <c r="C288" s="677"/>
      <c r="D288" s="677"/>
      <c r="E288" s="678"/>
    </row>
    <row r="289" spans="1:5" x14ac:dyDescent="0.3">
      <c r="A289" s="679"/>
      <c r="B289" s="677"/>
      <c r="C289" s="677"/>
      <c r="D289" s="677"/>
      <c r="E289" s="678"/>
    </row>
    <row r="290" spans="1:5" x14ac:dyDescent="0.3">
      <c r="A290" s="677"/>
      <c r="B290" s="677"/>
      <c r="C290" s="677"/>
      <c r="D290" s="677"/>
      <c r="E290" s="678"/>
    </row>
    <row r="291" spans="1:5" x14ac:dyDescent="0.3">
      <c r="A291" s="677"/>
      <c r="B291" s="677"/>
      <c r="C291" s="677"/>
      <c r="D291" s="677"/>
      <c r="E291" s="678"/>
    </row>
    <row r="292" spans="1:5" x14ac:dyDescent="0.3">
      <c r="A292" s="680" t="s">
        <v>376</v>
      </c>
      <c r="B292" s="680"/>
      <c r="C292" s="680"/>
      <c r="D292" s="680"/>
      <c r="E292" s="682">
        <f>((E266-E267-E268-E269-E270)+(E271+E272+E273+E274+E275+E276+E277+E278+E279))-((E280-E281-E282)+(E283+E284+E285))-((E286-E287-E288)+(E289+E290+E291))</f>
        <v>19885</v>
      </c>
    </row>
    <row r="293" spans="1:5" x14ac:dyDescent="0.3">
      <c r="A293" s="677" t="s">
        <v>217</v>
      </c>
      <c r="B293" s="677" t="s">
        <v>217</v>
      </c>
      <c r="C293" s="677">
        <v>2300</v>
      </c>
      <c r="D293" s="686" t="s">
        <v>246</v>
      </c>
      <c r="E293" s="678">
        <f>SUMIFS('Accounting data'!$G$2:$G$26,'Accounting data'!$J$2:$J$26,"23*",'Accounting data'!$K$2:$K$26,"63*")+SUMIFS('Accounting data'!$G$2:$G$26,'Accounting data'!$J$2:$J$26,"23*",'Accounting data'!$K$2:$K$26,"64*")+SUMIFS('Accounting data'!$G$2:$G$26,'Accounting data'!$J$2:$J$26,"23*",'Accounting data'!$K$2:$K$26,"65*")</f>
        <v>0</v>
      </c>
    </row>
    <row r="294" spans="1:5" x14ac:dyDescent="0.3">
      <c r="A294" s="677" t="s">
        <v>218</v>
      </c>
      <c r="B294" s="677" t="s">
        <v>217</v>
      </c>
      <c r="C294" s="677">
        <v>2300</v>
      </c>
      <c r="D294" s="677">
        <v>6300</v>
      </c>
      <c r="E294" s="678">
        <f>SUMIFS('Accounting data'!$G$2:$G$26,'Accounting data'!$H$2:$H$26,"9999*",'Accounting data'!$J$2:$J$26,"23*",'Accounting data'!$K$2:$K$26,"63*")</f>
        <v>0</v>
      </c>
    </row>
    <row r="295" spans="1:5" x14ac:dyDescent="0.3">
      <c r="A295" s="677" t="s">
        <v>218</v>
      </c>
      <c r="B295" s="677" t="s">
        <v>217</v>
      </c>
      <c r="C295" s="677">
        <v>2300</v>
      </c>
      <c r="D295" s="677">
        <v>6400</v>
      </c>
      <c r="E295" s="678">
        <f>SUMIFS('Accounting data'!$G$2:$G$26,'Accounting data'!$H$2:$H$26,"9999*",'Accounting data'!$J$2:$J$26,"23*",'Accounting data'!$K$2:$K$26,"64*")</f>
        <v>0</v>
      </c>
    </row>
    <row r="296" spans="1:5" x14ac:dyDescent="0.3">
      <c r="A296" s="677" t="s">
        <v>218</v>
      </c>
      <c r="B296" s="677" t="s">
        <v>217</v>
      </c>
      <c r="C296" s="677">
        <v>2300</v>
      </c>
      <c r="D296" s="677">
        <v>6500</v>
      </c>
      <c r="E296" s="678">
        <f>SUMIFS('Accounting data'!$G$2:$G$26,'Accounting data'!$H$2:$H$26,"9999*",'Accounting data'!$J$2:$J$26,"23*",'Accounting data'!$K$2:$K$26,"65*")</f>
        <v>0</v>
      </c>
    </row>
    <row r="297" spans="1:5" x14ac:dyDescent="0.3">
      <c r="A297" s="677" t="s">
        <v>217</v>
      </c>
      <c r="B297" s="677" t="s">
        <v>219</v>
      </c>
      <c r="C297" s="677">
        <v>2300</v>
      </c>
      <c r="D297" s="686" t="s">
        <v>246</v>
      </c>
      <c r="E297" s="678">
        <f>SUMIFS('Accounting data'!$G$2:$G$26,'Accounting data'!$I$2:$I$26,"7*",'Accounting data'!$J$2:$J$26,"23*",'Accounting data'!$K$2:$K$26,"63*")+SUMIFS('Accounting data'!$G$2:$G$26,'Accounting data'!$I$2:$I$26,"8*",'Accounting data'!$J$2:$J$26,"23*",'Accounting data'!$K$2:$K$26,"63*")+SUMIFS('Accounting data'!$G$2:$G$26,'Accounting data'!$I$2:$I$26,"9*",'Accounting data'!$J$2:$J$26,"23*",'Accounting data'!$K$2:$K$26,"63*")+SUMIFS('Accounting data'!$G$2:$G$26,'Accounting data'!$I$2:$I$26,"7*",'Accounting data'!$J$2:$J$26,"23*",'Accounting data'!$K$2:$K$26,"64*")+SUMIFS('Accounting data'!$G$2:$G$26,'Accounting data'!$I$2:$I$26,"8*",'Accounting data'!$J$2:$J$26,"23*",'Accounting data'!$K$2:$K$26,"64*")+SUMIFS('Accounting data'!$G$2:$G$26,'Accounting data'!$I$2:$I$26,"9*",'Accounting data'!$J$2:$J$26,"23*",'Accounting data'!$K$2:$K$26,"64*")+SUMIFS('Accounting data'!$G$2:$G$26,'Accounting data'!$I$2:$I$26,"7*",'Accounting data'!$J$2:$J$26,"23*",'Accounting data'!$K$2:$K$26,"65*")+SUMIFS('Accounting data'!$G$2:$G$26,'Accounting data'!$I$2:$I$26,"8*",'Accounting data'!$J$2:$J$26,"23*",'Accounting data'!$K$2:$K$26,"65*")+SUMIFS('Accounting data'!$G$2:$G$26,'Accounting data'!$I$2:$I$26,"9*",'Accounting data'!$J$2:$J$26,"23*",'Accounting data'!$K$2:$K$26,"65*")</f>
        <v>0</v>
      </c>
    </row>
    <row r="298" spans="1:5" x14ac:dyDescent="0.3">
      <c r="A298" s="679" t="s">
        <v>218</v>
      </c>
      <c r="B298" s="677" t="s">
        <v>219</v>
      </c>
      <c r="C298" s="677">
        <v>2300</v>
      </c>
      <c r="D298" s="677">
        <v>6300</v>
      </c>
      <c r="E298" s="678">
        <f>SUMIFS('Accounting data'!$G$2:$G$26,'Accounting data'!$H$2:$H$26,"9999*",'Accounting data'!$I$2:$I$26,"7*",'Accounting data'!$J$2:$J$26,"23*",'Accounting data'!$K$2:$K$26,"63*")+SUMIFS('Accounting data'!$G$2:$G$26,'Accounting data'!$H$2:$H$26,"9999*",'Accounting data'!$I$2:$I$26,"8*",'Accounting data'!$J$2:$J$26,"23*",'Accounting data'!$K$2:$K$26,"63*")+SUMIFS('Accounting data'!$G$2:$G$26,'Accounting data'!$H$2:$H$26,"9999*",'Accounting data'!$I$2:$I$26,"9*",'Accounting data'!$J$2:$J$26,"23*",'Accounting data'!$K$2:$K$26,"63*")</f>
        <v>0</v>
      </c>
    </row>
    <row r="299" spans="1:5" x14ac:dyDescent="0.3">
      <c r="A299" s="679" t="s">
        <v>218</v>
      </c>
      <c r="B299" s="677" t="s">
        <v>219</v>
      </c>
      <c r="C299" s="677">
        <v>2300</v>
      </c>
      <c r="D299" s="677">
        <v>6400</v>
      </c>
      <c r="E299" s="678">
        <f>SUMIFS('Accounting data'!$G$2:$G$26,'Accounting data'!$H$2:$H$26,"9999*",'Accounting data'!$I$2:$I$26,"7*",'Accounting data'!$J$2:$J$26,"23*",'Accounting data'!$K$2:$K$26,"64*")+SUMIFS('Accounting data'!$G$2:$G$26,'Accounting data'!$H$2:$H$26,"9999*",'Accounting data'!$I$2:$I$26,"8*",'Accounting data'!$J$2:$J$26,"23*",'Accounting data'!$K$2:$K$26,"64*")+SUMIFS('Accounting data'!$G$2:$G$26,'Accounting data'!$H$2:$H$26,"9999*",'Accounting data'!$I$2:$I$26,"9*",'Accounting data'!$J$2:$J$26,"23*",'Accounting data'!$K$2:$K$26,"64*")</f>
        <v>0</v>
      </c>
    </row>
    <row r="300" spans="1:5" x14ac:dyDescent="0.3">
      <c r="A300" s="679" t="s">
        <v>218</v>
      </c>
      <c r="B300" s="677" t="s">
        <v>219</v>
      </c>
      <c r="C300" s="677">
        <v>2300</v>
      </c>
      <c r="D300" s="677">
        <v>6500</v>
      </c>
      <c r="E300" s="678">
        <f>SUMIFS('Accounting data'!$G$2:$G$26,'Accounting data'!$H$2:$H$26,"9999*",'Accounting data'!$I$2:$I$26,"7*",'Accounting data'!$J$2:$J$26,"23*",'Accounting data'!$K$2:$K$26,"65*")+SUMIFS('Accounting data'!$G$2:$G$26,'Accounting data'!$H$2:$H$26,"9999*",'Accounting data'!$I$2:$I$26,"8*",'Accounting data'!$J$2:$J$26,"23*",'Accounting data'!$K$2:$K$26,"65*")+SUMIFS('Accounting data'!$G$2:$G$26,'Accounting data'!$H$2:$H$26,"9999*",'Accounting data'!$I$2:$I$26,"9*",'Accounting data'!$J$2:$J$26,"23*",'Accounting data'!$K$2:$K$26,"65*")</f>
        <v>0</v>
      </c>
    </row>
    <row r="301" spans="1:5" x14ac:dyDescent="0.3">
      <c r="A301" s="677"/>
      <c r="B301" s="677"/>
      <c r="C301" s="677"/>
      <c r="D301" s="677"/>
      <c r="E301" s="678"/>
    </row>
    <row r="302" spans="1:5" x14ac:dyDescent="0.3">
      <c r="A302" s="677"/>
      <c r="B302" s="677"/>
      <c r="C302" s="677"/>
      <c r="D302" s="677"/>
      <c r="E302" s="678"/>
    </row>
    <row r="303" spans="1:5" x14ac:dyDescent="0.3">
      <c r="A303" s="677"/>
      <c r="B303" s="677"/>
      <c r="C303" s="677"/>
      <c r="D303" s="677"/>
      <c r="E303" s="678"/>
    </row>
    <row r="304" spans="1:5" x14ac:dyDescent="0.3">
      <c r="A304" s="677"/>
      <c r="B304" s="677"/>
      <c r="C304" s="677"/>
      <c r="D304" s="677"/>
      <c r="E304" s="678"/>
    </row>
    <row r="305" spans="1:5" x14ac:dyDescent="0.3">
      <c r="A305" s="677"/>
      <c r="B305" s="677"/>
      <c r="C305" s="677"/>
      <c r="D305" s="677"/>
      <c r="E305" s="678"/>
    </row>
    <row r="306" spans="1:5" x14ac:dyDescent="0.3">
      <c r="A306" s="677"/>
      <c r="B306" s="677"/>
      <c r="C306" s="677"/>
      <c r="D306" s="677"/>
      <c r="E306" s="678"/>
    </row>
    <row r="307" spans="1:5" x14ac:dyDescent="0.3">
      <c r="A307" s="677"/>
      <c r="B307" s="677"/>
      <c r="C307" s="677"/>
      <c r="D307" s="677"/>
      <c r="E307" s="678"/>
    </row>
    <row r="308" spans="1:5" x14ac:dyDescent="0.3">
      <c r="A308" s="677"/>
      <c r="B308" s="677"/>
      <c r="C308" s="677"/>
      <c r="D308" s="677"/>
      <c r="E308" s="678"/>
    </row>
    <row r="309" spans="1:5" x14ac:dyDescent="0.3">
      <c r="A309" s="677"/>
      <c r="B309" s="677"/>
      <c r="C309" s="677"/>
      <c r="D309" s="677"/>
      <c r="E309" s="678"/>
    </row>
    <row r="310" spans="1:5" x14ac:dyDescent="0.3">
      <c r="A310" s="679"/>
      <c r="B310" s="677"/>
      <c r="C310" s="677"/>
      <c r="D310" s="677"/>
      <c r="E310" s="678"/>
    </row>
    <row r="311" spans="1:5" x14ac:dyDescent="0.3">
      <c r="A311" s="677"/>
      <c r="B311" s="677"/>
      <c r="C311" s="677"/>
      <c r="D311" s="677"/>
      <c r="E311" s="678"/>
    </row>
    <row r="312" spans="1:5" x14ac:dyDescent="0.3">
      <c r="A312" s="677"/>
      <c r="B312" s="677"/>
      <c r="C312" s="677"/>
      <c r="D312" s="677"/>
      <c r="E312" s="678"/>
    </row>
    <row r="313" spans="1:5" x14ac:dyDescent="0.3">
      <c r="A313" s="677"/>
      <c r="B313" s="677"/>
      <c r="C313" s="677"/>
      <c r="D313" s="677"/>
      <c r="E313" s="678"/>
    </row>
    <row r="314" spans="1:5" x14ac:dyDescent="0.3">
      <c r="A314" s="677"/>
      <c r="B314" s="677"/>
      <c r="C314" s="677"/>
      <c r="D314" s="677"/>
      <c r="E314" s="678"/>
    </row>
    <row r="315" spans="1:5" x14ac:dyDescent="0.3">
      <c r="A315" s="677"/>
      <c r="B315" s="677"/>
      <c r="C315" s="677"/>
      <c r="D315" s="677"/>
      <c r="E315" s="678"/>
    </row>
    <row r="316" spans="1:5" x14ac:dyDescent="0.3">
      <c r="A316" s="679"/>
      <c r="B316" s="677"/>
      <c r="C316" s="677"/>
      <c r="D316" s="677"/>
      <c r="E316" s="678"/>
    </row>
    <row r="317" spans="1:5" x14ac:dyDescent="0.3">
      <c r="A317" s="677"/>
      <c r="B317" s="677"/>
      <c r="C317" s="677"/>
      <c r="D317" s="677"/>
      <c r="E317" s="678"/>
    </row>
    <row r="318" spans="1:5" x14ac:dyDescent="0.3">
      <c r="A318" s="677"/>
      <c r="B318" s="677"/>
      <c r="C318" s="677"/>
      <c r="D318" s="677"/>
      <c r="E318" s="678"/>
    </row>
    <row r="319" spans="1:5" x14ac:dyDescent="0.3">
      <c r="A319" s="680" t="s">
        <v>375</v>
      </c>
      <c r="B319" s="680"/>
      <c r="C319" s="680"/>
      <c r="D319" s="680"/>
      <c r="E319" s="682">
        <f>((E293-E294-E295-E296-E297)+(E298+E299+E300+E301+E302+E303+E304+E305+E306))-((E307-E308-E309)+(E310+E311+E312))-((E313-E314-E315)+(E316+E317+E318))</f>
        <v>0</v>
      </c>
    </row>
    <row r="320" spans="1:5" x14ac:dyDescent="0.3">
      <c r="A320" s="677" t="s">
        <v>217</v>
      </c>
      <c r="B320" s="677" t="s">
        <v>217</v>
      </c>
      <c r="C320" s="677">
        <v>2400</v>
      </c>
      <c r="D320" s="686" t="s">
        <v>246</v>
      </c>
      <c r="E320" s="678">
        <f>SUMIFS('Accounting data'!$G$2:$G$26,'Accounting data'!$J$2:$J$26,"24*",'Accounting data'!$K$2:$K$26,"63*")+SUMIFS('Accounting data'!$G$2:$G$26,'Accounting data'!$J$2:$J$26,"24*",'Accounting data'!$K$2:$K$26,"64*")+SUMIFS('Accounting data'!$G$2:$G$26,'Accounting data'!$J$2:$J$26,"24*",'Accounting data'!$K$2:$K$26,"65*")</f>
        <v>8496</v>
      </c>
    </row>
    <row r="321" spans="1:5" x14ac:dyDescent="0.3">
      <c r="A321" s="677" t="s">
        <v>218</v>
      </c>
      <c r="B321" s="677" t="s">
        <v>217</v>
      </c>
      <c r="C321" s="677">
        <v>2400</v>
      </c>
      <c r="D321" s="677">
        <v>6300</v>
      </c>
      <c r="E321" s="678">
        <f>SUMIFS('Accounting data'!$G$2:$G$26,'Accounting data'!$H$2:$H$26,"9999*",'Accounting data'!$J$2:$J$26,"24*",'Accounting data'!$K$2:$K$26,"63*")</f>
        <v>0</v>
      </c>
    </row>
    <row r="322" spans="1:5" x14ac:dyDescent="0.3">
      <c r="A322" s="677" t="s">
        <v>218</v>
      </c>
      <c r="B322" s="677" t="s">
        <v>217</v>
      </c>
      <c r="C322" s="677">
        <v>2400</v>
      </c>
      <c r="D322" s="677">
        <v>6400</v>
      </c>
      <c r="E322" s="678">
        <f>SUMIFS('Accounting data'!$G$2:$G$26,'Accounting data'!$H$2:$H$26,"9999*",'Accounting data'!$J$2:$J$26,"24*",'Accounting data'!$K$2:$K$26,"64*")</f>
        <v>0</v>
      </c>
    </row>
    <row r="323" spans="1:5" x14ac:dyDescent="0.3">
      <c r="A323" s="677" t="s">
        <v>218</v>
      </c>
      <c r="B323" s="677" t="s">
        <v>217</v>
      </c>
      <c r="C323" s="677">
        <v>2400</v>
      </c>
      <c r="D323" s="677">
        <v>6500</v>
      </c>
      <c r="E323" s="678">
        <f>SUMIFS('Accounting data'!$G$2:$G$26,'Accounting data'!$H$2:$H$26,"9999*",'Accounting data'!$J$2:$J$26,"24*",'Accounting data'!$K$2:$K$26,"65*")</f>
        <v>0</v>
      </c>
    </row>
    <row r="324" spans="1:5" x14ac:dyDescent="0.3">
      <c r="A324" s="677" t="s">
        <v>217</v>
      </c>
      <c r="B324" s="677" t="s">
        <v>219</v>
      </c>
      <c r="C324" s="677">
        <v>2400</v>
      </c>
      <c r="D324" s="686" t="s">
        <v>246</v>
      </c>
      <c r="E324" s="678">
        <f>SUMIFS('Accounting data'!$G$2:$G$26,'Accounting data'!$I$2:$I$26,"7*",'Accounting data'!$J$2:$J$26,"24*",'Accounting data'!$K$2:$K$26,"63*")+SUMIFS('Accounting data'!$G$2:$G$26,'Accounting data'!$I$2:$I$26,"8*",'Accounting data'!$J$2:$J$26,"24*",'Accounting data'!$K$2:$K$26,"63*")+SUMIFS('Accounting data'!$G$2:$G$26,'Accounting data'!$I$2:$I$26,"9*",'Accounting data'!$J$2:$J$26,"24*",'Accounting data'!$K$2:$K$26,"63*")+SUMIFS('Accounting data'!$G$2:$G$26,'Accounting data'!$I$2:$I$26,"7*",'Accounting data'!$J$2:$J$26,"24*",'Accounting data'!$K$2:$K$26,"64*")+SUMIFS('Accounting data'!$G$2:$G$26,'Accounting data'!$I$2:$I$26,"8*",'Accounting data'!$J$2:$J$26,"24*",'Accounting data'!$K$2:$K$26,"64*")+SUMIFS('Accounting data'!$G$2:$G$26,'Accounting data'!$I$2:$I$26,"9*",'Accounting data'!$J$2:$J$26,"24*",'Accounting data'!$K$2:$K$26,"64*")+SUMIFS('Accounting data'!$G$2:$G$26,'Accounting data'!$I$2:$I$26,"7*",'Accounting data'!$J$2:$J$26,"24*",'Accounting data'!$K$2:$K$26,"65*")+SUMIFS('Accounting data'!$G$2:$G$26,'Accounting data'!$I$2:$I$26,"8*",'Accounting data'!$J$2:$J$26,"24*",'Accounting data'!$K$2:$K$26,"65*")+SUMIFS('Accounting data'!$G$2:$G$26,'Accounting data'!$I$2:$I$26,"9*",'Accounting data'!$J$2:$J$26,"24*",'Accounting data'!$K$2:$K$26,"65*")</f>
        <v>0</v>
      </c>
    </row>
    <row r="325" spans="1:5" x14ac:dyDescent="0.3">
      <c r="A325" s="679" t="s">
        <v>218</v>
      </c>
      <c r="B325" s="677" t="s">
        <v>219</v>
      </c>
      <c r="C325" s="677">
        <v>2400</v>
      </c>
      <c r="D325" s="677">
        <v>6300</v>
      </c>
      <c r="E325" s="678">
        <f>SUMIFS('Accounting data'!$G$2:$G$26,'Accounting data'!$H$2:$H$26,"9999*",'Accounting data'!$I$2:$I$26,"7*",'Accounting data'!$J$2:$J$26,"24*",'Accounting data'!$K$2:$K$26,"63*")+SUMIFS('Accounting data'!$G$2:$G$26,'Accounting data'!$H$2:$H$26,"9999*",'Accounting data'!$I$2:$I$26,"8*",'Accounting data'!$J$2:$J$26,"24*",'Accounting data'!$K$2:$K$26,"63*")+SUMIFS('Accounting data'!$G$2:$G$26,'Accounting data'!$H$2:$H$26,"9999*",'Accounting data'!$I$2:$I$26,"9*",'Accounting data'!$J$2:$J$26,"24*",'Accounting data'!$K$2:$K$26,"63*")</f>
        <v>0</v>
      </c>
    </row>
    <row r="326" spans="1:5" x14ac:dyDescent="0.3">
      <c r="A326" s="679" t="s">
        <v>218</v>
      </c>
      <c r="B326" s="677" t="s">
        <v>219</v>
      </c>
      <c r="C326" s="677">
        <v>2400</v>
      </c>
      <c r="D326" s="677">
        <v>6400</v>
      </c>
      <c r="E326" s="678">
        <f>SUMIFS('Accounting data'!$G$2:$G$26,'Accounting data'!$H$2:$H$26,"9999*",'Accounting data'!$I$2:$I$26,"7*",'Accounting data'!$J$2:$J$26,"24*",'Accounting data'!$K$2:$K$26,"64*")+SUMIFS('Accounting data'!$G$2:$G$26,'Accounting data'!$H$2:$H$26,"9999*",'Accounting data'!$I$2:$I$26,"8*",'Accounting data'!$J$2:$J$26,"24*",'Accounting data'!$K$2:$K$26,"64*")+SUMIFS('Accounting data'!$G$2:$G$26,'Accounting data'!$H$2:$H$26,"9999*",'Accounting data'!$I$2:$I$26,"9*",'Accounting data'!$J$2:$J$26,"24*",'Accounting data'!$K$2:$K$26,"64*")</f>
        <v>0</v>
      </c>
    </row>
    <row r="327" spans="1:5" x14ac:dyDescent="0.3">
      <c r="A327" s="679" t="s">
        <v>218</v>
      </c>
      <c r="B327" s="677" t="s">
        <v>219</v>
      </c>
      <c r="C327" s="677">
        <v>2400</v>
      </c>
      <c r="D327" s="677">
        <v>6500</v>
      </c>
      <c r="E327" s="678">
        <f>SUMIFS('Accounting data'!$G$2:$G$26,'Accounting data'!$H$2:$H$26,"9999*",'Accounting data'!$I$2:$I$26,"7*",'Accounting data'!$J$2:$J$26,"24*",'Accounting data'!$K$2:$K$26,"65*")+SUMIFS('Accounting data'!$G$2:$G$26,'Accounting data'!$H$2:$H$26,"9999*",'Accounting data'!$I$2:$I$26,"8*",'Accounting data'!$J$2:$J$26,"24*",'Accounting data'!$K$2:$K$26,"65*")+SUMIFS('Accounting data'!$G$2:$G$26,'Accounting data'!$H$2:$H$26,"9999*",'Accounting data'!$I$2:$I$26,"9*",'Accounting data'!$J$2:$J$26,"24*",'Accounting data'!$K$2:$K$26,"65*")</f>
        <v>0</v>
      </c>
    </row>
    <row r="328" spans="1:5" x14ac:dyDescent="0.3">
      <c r="A328" s="677"/>
      <c r="B328" s="677"/>
      <c r="C328" s="677"/>
      <c r="D328" s="677"/>
      <c r="E328" s="678"/>
    </row>
    <row r="329" spans="1:5" x14ac:dyDescent="0.3">
      <c r="A329" s="677"/>
      <c r="B329" s="677"/>
      <c r="C329" s="677"/>
      <c r="D329" s="677"/>
      <c r="E329" s="678"/>
    </row>
    <row r="330" spans="1:5" x14ac:dyDescent="0.3">
      <c r="A330" s="677"/>
      <c r="B330" s="677"/>
      <c r="C330" s="677"/>
      <c r="D330" s="677"/>
      <c r="E330" s="678"/>
    </row>
    <row r="331" spans="1:5" x14ac:dyDescent="0.3">
      <c r="A331" s="677"/>
      <c r="B331" s="677"/>
      <c r="C331" s="677"/>
      <c r="D331" s="677"/>
      <c r="E331" s="678"/>
    </row>
    <row r="332" spans="1:5" x14ac:dyDescent="0.3">
      <c r="A332" s="677"/>
      <c r="B332" s="677"/>
      <c r="C332" s="677"/>
      <c r="D332" s="677"/>
      <c r="E332" s="678"/>
    </row>
    <row r="333" spans="1:5" x14ac:dyDescent="0.3">
      <c r="A333" s="677"/>
      <c r="B333" s="677"/>
      <c r="C333" s="677"/>
      <c r="D333" s="677"/>
      <c r="E333" s="678"/>
    </row>
    <row r="334" spans="1:5" x14ac:dyDescent="0.3">
      <c r="A334" s="677"/>
      <c r="B334" s="677"/>
      <c r="C334" s="677"/>
      <c r="D334" s="677"/>
      <c r="E334" s="678"/>
    </row>
    <row r="335" spans="1:5" x14ac:dyDescent="0.3">
      <c r="A335" s="677"/>
      <c r="B335" s="677"/>
      <c r="C335" s="677"/>
      <c r="D335" s="677"/>
      <c r="E335" s="678"/>
    </row>
    <row r="336" spans="1:5" x14ac:dyDescent="0.3">
      <c r="A336" s="677"/>
      <c r="B336" s="677"/>
      <c r="C336" s="677"/>
      <c r="D336" s="677"/>
      <c r="E336" s="678"/>
    </row>
    <row r="337" spans="1:5" x14ac:dyDescent="0.3">
      <c r="A337" s="679"/>
      <c r="B337" s="677"/>
      <c r="C337" s="677"/>
      <c r="D337" s="677"/>
      <c r="E337" s="678"/>
    </row>
    <row r="338" spans="1:5" x14ac:dyDescent="0.3">
      <c r="A338" s="677"/>
      <c r="B338" s="677"/>
      <c r="C338" s="677"/>
      <c r="D338" s="677"/>
      <c r="E338" s="678"/>
    </row>
    <row r="339" spans="1:5" x14ac:dyDescent="0.3">
      <c r="A339" s="677"/>
      <c r="B339" s="677"/>
      <c r="C339" s="677"/>
      <c r="D339" s="677"/>
      <c r="E339" s="678"/>
    </row>
    <row r="340" spans="1:5" x14ac:dyDescent="0.3">
      <c r="A340" s="677"/>
      <c r="B340" s="677"/>
      <c r="C340" s="677"/>
      <c r="D340" s="677"/>
      <c r="E340" s="678"/>
    </row>
    <row r="341" spans="1:5" x14ac:dyDescent="0.3">
      <c r="A341" s="677"/>
      <c r="B341" s="677"/>
      <c r="C341" s="677"/>
      <c r="D341" s="677"/>
      <c r="E341" s="678"/>
    </row>
    <row r="342" spans="1:5" x14ac:dyDescent="0.3">
      <c r="A342" s="677"/>
      <c r="B342" s="677"/>
      <c r="C342" s="677"/>
      <c r="D342" s="677"/>
      <c r="E342" s="678"/>
    </row>
    <row r="343" spans="1:5" x14ac:dyDescent="0.3">
      <c r="A343" s="679"/>
      <c r="B343" s="677"/>
      <c r="C343" s="677"/>
      <c r="D343" s="677"/>
      <c r="E343" s="678"/>
    </row>
    <row r="344" spans="1:5" x14ac:dyDescent="0.3">
      <c r="A344" s="677"/>
      <c r="B344" s="677"/>
      <c r="C344" s="677"/>
      <c r="D344" s="677"/>
      <c r="E344" s="678"/>
    </row>
    <row r="345" spans="1:5" x14ac:dyDescent="0.3">
      <c r="A345" s="677"/>
      <c r="B345" s="677"/>
      <c r="C345" s="677"/>
      <c r="D345" s="677"/>
      <c r="E345" s="678"/>
    </row>
    <row r="346" spans="1:5" x14ac:dyDescent="0.3">
      <c r="A346" s="680" t="s">
        <v>248</v>
      </c>
      <c r="B346" s="680"/>
      <c r="C346" s="680"/>
      <c r="D346" s="680"/>
      <c r="E346" s="682">
        <f>((E320-E321-E322-E323-E324)+(E325+E326+E327+E328+E329+E330+E331+E332+E333))-((E334-E335-E336)+(E337+E338+E339))-((E340-E341-E342)+(E343+E344+E345))</f>
        <v>8496</v>
      </c>
    </row>
    <row r="347" spans="1:5" x14ac:dyDescent="0.3">
      <c r="A347" s="677" t="s">
        <v>217</v>
      </c>
      <c r="B347" s="677" t="s">
        <v>217</v>
      </c>
      <c r="C347" s="677">
        <v>2500</v>
      </c>
      <c r="D347" s="686" t="s">
        <v>246</v>
      </c>
      <c r="E347" s="678">
        <f>SUMIFS('Accounting data'!$G$2:$G$26,'Accounting data'!$J$2:$J$26,"25*",'Accounting data'!$K$2:$K$26,"63*")+SUMIFS('Accounting data'!$G$2:$G$26,'Accounting data'!$J$2:$J$26,"25*",'Accounting data'!$K$2:$K$26,"64*")+SUMIFS('Accounting data'!$G$2:$G$26,'Accounting data'!$J$2:$J$26,"25*",'Accounting data'!$K$2:$K$26,"65*")</f>
        <v>202274</v>
      </c>
    </row>
    <row r="348" spans="1:5" x14ac:dyDescent="0.3">
      <c r="A348" s="677" t="s">
        <v>218</v>
      </c>
      <c r="B348" s="677" t="s">
        <v>217</v>
      </c>
      <c r="C348" s="677">
        <v>2500</v>
      </c>
      <c r="D348" s="677">
        <v>6300</v>
      </c>
      <c r="E348" s="678">
        <f>SUMIFS('Accounting data'!$G$2:$G$26,'Accounting data'!$H$2:$H$26,"9999*",'Accounting data'!$J$2:$J$26,"25*",'Accounting data'!$K$2:$K$26,"63*")</f>
        <v>0</v>
      </c>
    </row>
    <row r="349" spans="1:5" x14ac:dyDescent="0.3">
      <c r="A349" s="677" t="s">
        <v>218</v>
      </c>
      <c r="B349" s="677" t="s">
        <v>217</v>
      </c>
      <c r="C349" s="677">
        <v>2500</v>
      </c>
      <c r="D349" s="677">
        <v>6400</v>
      </c>
      <c r="E349" s="678">
        <f>SUMIFS('Accounting data'!$G$2:$G$26,'Accounting data'!$H$2:$H$26,"9999*",'Accounting data'!$J$2:$J$26,"25*",'Accounting data'!$K$2:$K$26,"64*")</f>
        <v>0</v>
      </c>
    </row>
    <row r="350" spans="1:5" x14ac:dyDescent="0.3">
      <c r="A350" s="677" t="s">
        <v>218</v>
      </c>
      <c r="B350" s="677" t="s">
        <v>217</v>
      </c>
      <c r="C350" s="677">
        <v>2500</v>
      </c>
      <c r="D350" s="677">
        <v>6500</v>
      </c>
      <c r="E350" s="678">
        <f>SUMIFS('Accounting data'!$G$2:$G$26,'Accounting data'!$H$2:$H$26,"9999*",'Accounting data'!$J$2:$J$26,"25*",'Accounting data'!$K$2:$K$26,"65*")</f>
        <v>0</v>
      </c>
    </row>
    <row r="351" spans="1:5" x14ac:dyDescent="0.3">
      <c r="A351" s="677" t="s">
        <v>217</v>
      </c>
      <c r="B351" s="677" t="s">
        <v>219</v>
      </c>
      <c r="C351" s="677">
        <v>2500</v>
      </c>
      <c r="D351" s="686" t="s">
        <v>246</v>
      </c>
      <c r="E351" s="678">
        <f>SUMIFS('Accounting data'!$G$2:$G$26,'Accounting data'!$I$2:$I$26,"7*",'Accounting data'!$J$2:$J$26,"25*",'Accounting data'!$K$2:$K$26,"63*")+SUMIFS('Accounting data'!$G$2:$G$26,'Accounting data'!$I$2:$I$26,"8*",'Accounting data'!$J$2:$J$26,"25*",'Accounting data'!$K$2:$K$26,"63*")+SUMIFS('Accounting data'!$G$2:$G$26,'Accounting data'!$I$2:$I$26,"9*",'Accounting data'!$J$2:$J$26,"25*",'Accounting data'!$K$2:$K$26,"63*")+SUMIFS('Accounting data'!$G$2:$G$26,'Accounting data'!$I$2:$I$26,"7*",'Accounting data'!$J$2:$J$26,"25*",'Accounting data'!$K$2:$K$26,"64*")+SUMIFS('Accounting data'!$G$2:$G$26,'Accounting data'!$I$2:$I$26,"8*",'Accounting data'!$J$2:$J$26,"25*",'Accounting data'!$K$2:$K$26,"64*")+SUMIFS('Accounting data'!$G$2:$G$26,'Accounting data'!$I$2:$I$26,"9*",'Accounting data'!$J$2:$J$26,"25*",'Accounting data'!$K$2:$K$26,"64*")+SUMIFS('Accounting data'!$G$2:$G$26,'Accounting data'!$I$2:$I$26,"7*",'Accounting data'!$J$2:$J$26,"25*",'Accounting data'!$K$2:$K$26,"65*")+SUMIFS('Accounting data'!$G$2:$G$26,'Accounting data'!$I$2:$I$26,"8*",'Accounting data'!$J$2:$J$26,"25*",'Accounting data'!$K$2:$K$26,"65*")+SUMIFS('Accounting data'!$G$2:$G$26,'Accounting data'!$I$2:$I$26,"9*",'Accounting data'!$J$2:$J$26,"25*",'Accounting data'!$K$2:$K$26,"65*")</f>
        <v>0</v>
      </c>
    </row>
    <row r="352" spans="1:5" x14ac:dyDescent="0.3">
      <c r="A352" s="679" t="s">
        <v>218</v>
      </c>
      <c r="B352" s="677" t="s">
        <v>219</v>
      </c>
      <c r="C352" s="677">
        <v>2500</v>
      </c>
      <c r="D352" s="677">
        <v>6300</v>
      </c>
      <c r="E352" s="678">
        <f>SUMIFS('Accounting data'!$G$2:$G$26,'Accounting data'!$H$2:$H$26,"9999*",'Accounting data'!$I$2:$I$26,"7*",'Accounting data'!$J$2:$J$26,"25*",'Accounting data'!$K$2:$K$26,"63*")+SUMIFS('Accounting data'!$G$2:$G$26,'Accounting data'!$H$2:$H$26,"9999*",'Accounting data'!$I$2:$I$26,"8*",'Accounting data'!$J$2:$J$26,"25*",'Accounting data'!$K$2:$K$26,"63*")+SUMIFS('Accounting data'!$G$2:$G$26,'Accounting data'!$H$2:$H$26,"9999*",'Accounting data'!$I$2:$I$26,"9*",'Accounting data'!$J$2:$J$26,"25*",'Accounting data'!$K$2:$K$26,"63*")</f>
        <v>0</v>
      </c>
    </row>
    <row r="353" spans="1:5" x14ac:dyDescent="0.3">
      <c r="A353" s="679" t="s">
        <v>218</v>
      </c>
      <c r="B353" s="677" t="s">
        <v>219</v>
      </c>
      <c r="C353" s="677">
        <v>2500</v>
      </c>
      <c r="D353" s="677">
        <v>6400</v>
      </c>
      <c r="E353" s="678">
        <f>SUMIFS('Accounting data'!$G$2:$G$26,'Accounting data'!$H$2:$H$26,"9999*",'Accounting data'!$I$2:$I$26,"7*",'Accounting data'!$J$2:$J$26,"25*",'Accounting data'!$K$2:$K$26,"64*")+SUMIFS('Accounting data'!$G$2:$G$26,'Accounting data'!$H$2:$H$26,"9999*",'Accounting data'!$I$2:$I$26,"8*",'Accounting data'!$J$2:$J$26,"25*",'Accounting data'!$K$2:$K$26,"64*")+SUMIFS('Accounting data'!$G$2:$G$26,'Accounting data'!$H$2:$H$26,"9999*",'Accounting data'!$I$2:$I$26,"9*",'Accounting data'!$J$2:$J$26,"25*",'Accounting data'!$K$2:$K$26,"64*")</f>
        <v>0</v>
      </c>
    </row>
    <row r="354" spans="1:5" x14ac:dyDescent="0.3">
      <c r="A354" s="679" t="s">
        <v>218</v>
      </c>
      <c r="B354" s="677" t="s">
        <v>219</v>
      </c>
      <c r="C354" s="677">
        <v>2500</v>
      </c>
      <c r="D354" s="677">
        <v>6500</v>
      </c>
      <c r="E354" s="678">
        <f>SUMIFS('Accounting data'!$G$2:$G$26,'Accounting data'!$H$2:$H$26,"9999*",'Accounting data'!$I$2:$I$26,"7*",'Accounting data'!$J$2:$J$26,"25*",'Accounting data'!$K$2:$K$26,"65*")+SUMIFS('Accounting data'!$G$2:$G$26,'Accounting data'!$H$2:$H$26,"9999*",'Accounting data'!$I$2:$I$26,"8*",'Accounting data'!$J$2:$J$26,"25*",'Accounting data'!$K$2:$K$26,"65*")+SUMIFS('Accounting data'!$G$2:$G$26,'Accounting data'!$H$2:$H$26,"9999*",'Accounting data'!$I$2:$I$26,"9*",'Accounting data'!$J$2:$J$26,"25*",'Accounting data'!$K$2:$K$26,"65*")</f>
        <v>0</v>
      </c>
    </row>
    <row r="355" spans="1:5" x14ac:dyDescent="0.3">
      <c r="A355" s="677"/>
      <c r="B355" s="677"/>
      <c r="C355" s="677"/>
      <c r="D355" s="677"/>
      <c r="E355" s="678"/>
    </row>
    <row r="356" spans="1:5" x14ac:dyDescent="0.3">
      <c r="A356" s="677"/>
      <c r="B356" s="677"/>
      <c r="C356" s="677"/>
      <c r="D356" s="677"/>
      <c r="E356" s="678"/>
    </row>
    <row r="357" spans="1:5" x14ac:dyDescent="0.3">
      <c r="A357" s="677"/>
      <c r="B357" s="677"/>
      <c r="C357" s="677"/>
      <c r="D357" s="677"/>
      <c r="E357" s="678"/>
    </row>
    <row r="358" spans="1:5" x14ac:dyDescent="0.3">
      <c r="A358" s="677"/>
      <c r="B358" s="677"/>
      <c r="C358" s="677"/>
      <c r="D358" s="677"/>
      <c r="E358" s="678"/>
    </row>
    <row r="359" spans="1:5" x14ac:dyDescent="0.3">
      <c r="A359" s="677"/>
      <c r="B359" s="677"/>
      <c r="C359" s="677"/>
      <c r="D359" s="677"/>
      <c r="E359" s="678"/>
    </row>
    <row r="360" spans="1:5" x14ac:dyDescent="0.3">
      <c r="A360" s="677"/>
      <c r="B360" s="677"/>
      <c r="C360" s="677"/>
      <c r="D360" s="677"/>
      <c r="E360" s="678"/>
    </row>
    <row r="361" spans="1:5" x14ac:dyDescent="0.3">
      <c r="A361" s="677"/>
      <c r="B361" s="677"/>
      <c r="C361" s="677"/>
      <c r="D361" s="677"/>
      <c r="E361" s="678"/>
    </row>
    <row r="362" spans="1:5" x14ac:dyDescent="0.3">
      <c r="A362" s="677"/>
      <c r="B362" s="677"/>
      <c r="C362" s="677"/>
      <c r="D362" s="677"/>
      <c r="E362" s="678"/>
    </row>
    <row r="363" spans="1:5" x14ac:dyDescent="0.3">
      <c r="A363" s="677"/>
      <c r="B363" s="677"/>
      <c r="C363" s="677"/>
      <c r="D363" s="677"/>
      <c r="E363" s="678"/>
    </row>
    <row r="364" spans="1:5" x14ac:dyDescent="0.3">
      <c r="A364" s="679"/>
      <c r="B364" s="677"/>
      <c r="C364" s="677"/>
      <c r="D364" s="677"/>
      <c r="E364" s="678"/>
    </row>
    <row r="365" spans="1:5" x14ac:dyDescent="0.3">
      <c r="A365" s="677"/>
      <c r="B365" s="677"/>
      <c r="C365" s="677"/>
      <c r="D365" s="677"/>
      <c r="E365" s="678"/>
    </row>
    <row r="366" spans="1:5" x14ac:dyDescent="0.3">
      <c r="A366" s="677"/>
      <c r="B366" s="677"/>
      <c r="C366" s="677"/>
      <c r="D366" s="677"/>
      <c r="E366" s="678"/>
    </row>
    <row r="367" spans="1:5" x14ac:dyDescent="0.3">
      <c r="A367" s="677"/>
      <c r="B367" s="677"/>
      <c r="C367" s="677"/>
      <c r="D367" s="677"/>
      <c r="E367" s="678"/>
    </row>
    <row r="368" spans="1:5" x14ac:dyDescent="0.3">
      <c r="A368" s="677"/>
      <c r="B368" s="677"/>
      <c r="C368" s="677"/>
      <c r="D368" s="677"/>
      <c r="E368" s="678"/>
    </row>
    <row r="369" spans="1:5" x14ac:dyDescent="0.3">
      <c r="A369" s="677"/>
      <c r="B369" s="677"/>
      <c r="C369" s="677"/>
      <c r="D369" s="677"/>
      <c r="E369" s="678"/>
    </row>
    <row r="370" spans="1:5" x14ac:dyDescent="0.3">
      <c r="A370" s="679"/>
      <c r="B370" s="677"/>
      <c r="C370" s="677"/>
      <c r="D370" s="677"/>
      <c r="E370" s="678"/>
    </row>
    <row r="371" spans="1:5" x14ac:dyDescent="0.3">
      <c r="A371" s="677"/>
      <c r="B371" s="677"/>
      <c r="C371" s="677"/>
      <c r="D371" s="677"/>
      <c r="E371" s="678"/>
    </row>
    <row r="372" spans="1:5" x14ac:dyDescent="0.3">
      <c r="A372" s="677"/>
      <c r="B372" s="677"/>
      <c r="C372" s="677"/>
      <c r="D372" s="677"/>
      <c r="E372" s="678"/>
    </row>
    <row r="373" spans="1:5" x14ac:dyDescent="0.3">
      <c r="A373" s="680" t="s">
        <v>249</v>
      </c>
      <c r="B373" s="680"/>
      <c r="C373" s="680"/>
      <c r="D373" s="680"/>
      <c r="E373" s="682">
        <f>((E347-E348-E349-E350-E351)+(E352+E353+E354+E355+E356+E357+E358+E359+E360))-((E361-E362-E363)+(E364+E365+E366))-((E367-E368-E369)+(E370+E371+E372))</f>
        <v>202274</v>
      </c>
    </row>
    <row r="374" spans="1:5" x14ac:dyDescent="0.3">
      <c r="A374" s="677" t="s">
        <v>217</v>
      </c>
      <c r="B374" s="677" t="s">
        <v>217</v>
      </c>
      <c r="C374" s="677">
        <v>2900</v>
      </c>
      <c r="D374" s="686" t="s">
        <v>246</v>
      </c>
      <c r="E374" s="678">
        <f>SUMIFS('Accounting data'!$G$2:$G$26,'Accounting data'!$J$2:$J$26,"29*",'Accounting data'!$K$2:$K$26,"63*")+SUMIFS('Accounting data'!$G$2:$G$26,'Accounting data'!$J$2:$J$26,"29*",'Accounting data'!$K$2:$K$26,"64*")+SUMIFS('Accounting data'!$G$2:$G$26,'Accounting data'!$J$2:$J$26,"29*",'Accounting data'!$K$2:$K$26,"65*")</f>
        <v>0</v>
      </c>
    </row>
    <row r="375" spans="1:5" x14ac:dyDescent="0.3">
      <c r="A375" s="677" t="s">
        <v>218</v>
      </c>
      <c r="B375" s="677" t="s">
        <v>217</v>
      </c>
      <c r="C375" s="677">
        <v>2900</v>
      </c>
      <c r="D375" s="677">
        <v>6300</v>
      </c>
      <c r="E375" s="678">
        <f>SUMIFS('Accounting data'!$G$2:$G$26,'Accounting data'!$H$2:$H$26,"9999*",'Accounting data'!$J$2:$J$26,"29*",'Accounting data'!$K$2:$K$26,"63*")</f>
        <v>0</v>
      </c>
    </row>
    <row r="376" spans="1:5" x14ac:dyDescent="0.3">
      <c r="A376" s="677" t="s">
        <v>218</v>
      </c>
      <c r="B376" s="677" t="s">
        <v>217</v>
      </c>
      <c r="C376" s="677">
        <v>2900</v>
      </c>
      <c r="D376" s="677">
        <v>6400</v>
      </c>
      <c r="E376" s="678">
        <f>SUMIFS('Accounting data'!$G$2:$G$26,'Accounting data'!$H$2:$H$26,"9999*",'Accounting data'!$J$2:$J$26,"29*",'Accounting data'!$K$2:$K$26,"64*")</f>
        <v>0</v>
      </c>
    </row>
    <row r="377" spans="1:5" x14ac:dyDescent="0.3">
      <c r="A377" s="677" t="s">
        <v>218</v>
      </c>
      <c r="B377" s="677" t="s">
        <v>217</v>
      </c>
      <c r="C377" s="677">
        <v>2900</v>
      </c>
      <c r="D377" s="677">
        <v>6500</v>
      </c>
      <c r="E377" s="678">
        <f>SUMIFS('Accounting data'!$G$2:$G$26,'Accounting data'!$H$2:$H$26,"9999*",'Accounting data'!$J$2:$J$26,"29*",'Accounting data'!$K$2:$K$26,"65*")</f>
        <v>0</v>
      </c>
    </row>
    <row r="378" spans="1:5" x14ac:dyDescent="0.3">
      <c r="A378" s="677" t="s">
        <v>217</v>
      </c>
      <c r="B378" s="677" t="s">
        <v>219</v>
      </c>
      <c r="C378" s="677">
        <v>2900</v>
      </c>
      <c r="D378" s="686" t="s">
        <v>246</v>
      </c>
      <c r="E378" s="678">
        <f>SUMIFS('Accounting data'!$G$2:$G$26,'Accounting data'!$I$2:$I$26,"7*",'Accounting data'!$J$2:$J$26,"29*",'Accounting data'!$K$2:$K$26,"63*")+SUMIFS('Accounting data'!$G$2:$G$26,'Accounting data'!$I$2:$I$26,"8*",'Accounting data'!$J$2:$J$26,"29*",'Accounting data'!$K$2:$K$26,"63*")+SUMIFS('Accounting data'!$G$2:$G$26,'Accounting data'!$I$2:$I$26,"9*",'Accounting data'!$J$2:$J$26,"29*",'Accounting data'!$K$2:$K$26,"63*")+SUMIFS('Accounting data'!$G$2:$G$26,'Accounting data'!$I$2:$I$26,"7*",'Accounting data'!$J$2:$J$26,"29*",'Accounting data'!$K$2:$K$26,"64*")+SUMIFS('Accounting data'!$G$2:$G$26,'Accounting data'!$I$2:$I$26,"8*",'Accounting data'!$J$2:$J$26,"29*",'Accounting data'!$K$2:$K$26,"64*")+SUMIFS('Accounting data'!$G$2:$G$26,'Accounting data'!$I$2:$I$26,"9*",'Accounting data'!$J$2:$J$26,"29*",'Accounting data'!$K$2:$K$26,"64*")+SUMIFS('Accounting data'!$G$2:$G$26,'Accounting data'!$I$2:$I$26,"7*",'Accounting data'!$J$2:$J$26,"29*",'Accounting data'!$K$2:$K$26,"65*")+SUMIFS('Accounting data'!$G$2:$G$26,'Accounting data'!$I$2:$I$26,"8*",'Accounting data'!$J$2:$J$26,"29*",'Accounting data'!$K$2:$K$26,"65*")+SUMIFS('Accounting data'!$G$2:$G$26,'Accounting data'!$I$2:$I$26,"9*",'Accounting data'!$J$2:$J$26,"29*",'Accounting data'!$K$2:$K$26,"65*")</f>
        <v>0</v>
      </c>
    </row>
    <row r="379" spans="1:5" x14ac:dyDescent="0.3">
      <c r="A379" s="679" t="s">
        <v>218</v>
      </c>
      <c r="B379" s="677" t="s">
        <v>219</v>
      </c>
      <c r="C379" s="677">
        <v>2900</v>
      </c>
      <c r="D379" s="677">
        <v>6300</v>
      </c>
      <c r="E379" s="678">
        <f>SUMIFS('Accounting data'!$G$2:$G$26,'Accounting data'!$H$2:$H$26,"9999*",'Accounting data'!$I$2:$I$26,"7*",'Accounting data'!$J$2:$J$26,"29*",'Accounting data'!$K$2:$K$26,"63*")+SUMIFS('Accounting data'!$G$2:$G$26,'Accounting data'!$H$2:$H$26,"9999*",'Accounting data'!$I$2:$I$26,"8*",'Accounting data'!$J$2:$J$26,"29*",'Accounting data'!$K$2:$K$26,"63*")+SUMIFS('Accounting data'!$G$2:$G$26,'Accounting data'!$H$2:$H$26,"9999*",'Accounting data'!$I$2:$I$26,"9*",'Accounting data'!$J$2:$J$26,"29*",'Accounting data'!$K$2:$K$26,"63*")</f>
        <v>0</v>
      </c>
    </row>
    <row r="380" spans="1:5" x14ac:dyDescent="0.3">
      <c r="A380" s="679" t="s">
        <v>218</v>
      </c>
      <c r="B380" s="677" t="s">
        <v>219</v>
      </c>
      <c r="C380" s="677">
        <v>2900</v>
      </c>
      <c r="D380" s="677">
        <v>6400</v>
      </c>
      <c r="E380" s="678">
        <f>SUMIFS('Accounting data'!$G$2:$G$26,'Accounting data'!$H$2:$H$26,"9999*",'Accounting data'!$I$2:$I$26,"7*",'Accounting data'!$J$2:$J$26,"29*",'Accounting data'!$K$2:$K$26,"64*")+SUMIFS('Accounting data'!$G$2:$G$26,'Accounting data'!$H$2:$H$26,"9999*",'Accounting data'!$I$2:$I$26,"8*",'Accounting data'!$J$2:$J$26,"29*",'Accounting data'!$K$2:$K$26,"64*")+SUMIFS('Accounting data'!$G$2:$G$26,'Accounting data'!$H$2:$H$26,"9999*",'Accounting data'!$I$2:$I$26,"9*",'Accounting data'!$J$2:$J$26,"29*",'Accounting data'!$K$2:$K$26,"64*")</f>
        <v>0</v>
      </c>
    </row>
    <row r="381" spans="1:5" x14ac:dyDescent="0.3">
      <c r="A381" s="679" t="s">
        <v>218</v>
      </c>
      <c r="B381" s="677" t="s">
        <v>219</v>
      </c>
      <c r="C381" s="677">
        <v>2900</v>
      </c>
      <c r="D381" s="677">
        <v>6500</v>
      </c>
      <c r="E381" s="678">
        <f>SUMIFS('Accounting data'!$G$2:$G$26,'Accounting data'!$H$2:$H$26,"9999*",'Accounting data'!$I$2:$I$26,"7*",'Accounting data'!$J$2:$J$26,"29*",'Accounting data'!$K$2:$K$26,"65*")+SUMIFS('Accounting data'!$G$2:$G$26,'Accounting data'!$H$2:$H$26,"9999*",'Accounting data'!$I$2:$I$26,"8*",'Accounting data'!$J$2:$J$26,"29*",'Accounting data'!$K$2:$K$26,"65*")+SUMIFS('Accounting data'!$G$2:$G$26,'Accounting data'!$H$2:$H$26,"9999*",'Accounting data'!$I$2:$I$26,"9*",'Accounting data'!$J$2:$J$26,"29*",'Accounting data'!$K$2:$K$26,"65*")</f>
        <v>0</v>
      </c>
    </row>
    <row r="382" spans="1:5" x14ac:dyDescent="0.3">
      <c r="A382" s="677"/>
      <c r="B382" s="677"/>
      <c r="C382" s="677"/>
      <c r="D382" s="677"/>
      <c r="E382" s="678"/>
    </row>
    <row r="383" spans="1:5" x14ac:dyDescent="0.3">
      <c r="A383" s="677"/>
      <c r="B383" s="677"/>
      <c r="C383" s="677"/>
      <c r="D383" s="677"/>
      <c r="E383" s="678"/>
    </row>
    <row r="384" spans="1:5" x14ac:dyDescent="0.3">
      <c r="A384" s="677"/>
      <c r="B384" s="677"/>
      <c r="C384" s="677"/>
      <c r="D384" s="677"/>
      <c r="E384" s="678"/>
    </row>
    <row r="385" spans="1:5" x14ac:dyDescent="0.3">
      <c r="A385" s="677"/>
      <c r="B385" s="677"/>
      <c r="C385" s="677"/>
      <c r="D385" s="677"/>
      <c r="E385" s="678"/>
    </row>
    <row r="386" spans="1:5" x14ac:dyDescent="0.3">
      <c r="A386" s="677"/>
      <c r="B386" s="677"/>
      <c r="C386" s="677"/>
      <c r="D386" s="677"/>
      <c r="E386" s="678"/>
    </row>
    <row r="387" spans="1:5" x14ac:dyDescent="0.3">
      <c r="A387" s="677"/>
      <c r="B387" s="677"/>
      <c r="C387" s="677"/>
      <c r="D387" s="677"/>
      <c r="E387" s="678"/>
    </row>
    <row r="388" spans="1:5" x14ac:dyDescent="0.3">
      <c r="A388" s="677"/>
      <c r="B388" s="677"/>
      <c r="C388" s="677"/>
      <c r="D388" s="677"/>
      <c r="E388" s="678"/>
    </row>
    <row r="389" spans="1:5" x14ac:dyDescent="0.3">
      <c r="A389" s="677"/>
      <c r="B389" s="677"/>
      <c r="C389" s="677"/>
      <c r="D389" s="677"/>
      <c r="E389" s="678"/>
    </row>
    <row r="390" spans="1:5" x14ac:dyDescent="0.3">
      <c r="A390" s="677"/>
      <c r="B390" s="677"/>
      <c r="C390" s="677"/>
      <c r="D390" s="677"/>
      <c r="E390" s="678"/>
    </row>
    <row r="391" spans="1:5" x14ac:dyDescent="0.3">
      <c r="A391" s="679"/>
      <c r="B391" s="677"/>
      <c r="C391" s="677"/>
      <c r="D391" s="677"/>
      <c r="E391" s="678"/>
    </row>
    <row r="392" spans="1:5" x14ac:dyDescent="0.3">
      <c r="A392" s="677"/>
      <c r="B392" s="677"/>
      <c r="C392" s="677"/>
      <c r="D392" s="677"/>
      <c r="E392" s="678"/>
    </row>
    <row r="393" spans="1:5" x14ac:dyDescent="0.3">
      <c r="A393" s="677"/>
      <c r="B393" s="677"/>
      <c r="C393" s="677"/>
      <c r="D393" s="677"/>
      <c r="E393" s="678"/>
    </row>
    <row r="394" spans="1:5" x14ac:dyDescent="0.3">
      <c r="A394" s="677"/>
      <c r="B394" s="677"/>
      <c r="C394" s="677"/>
      <c r="D394" s="677"/>
      <c r="E394" s="678"/>
    </row>
    <row r="395" spans="1:5" x14ac:dyDescent="0.3">
      <c r="A395" s="677"/>
      <c r="B395" s="677"/>
      <c r="C395" s="677"/>
      <c r="D395" s="677"/>
      <c r="E395" s="678"/>
    </row>
    <row r="396" spans="1:5" x14ac:dyDescent="0.3">
      <c r="A396" s="677"/>
      <c r="B396" s="677"/>
      <c r="C396" s="677"/>
      <c r="D396" s="677"/>
      <c r="E396" s="678"/>
    </row>
    <row r="397" spans="1:5" x14ac:dyDescent="0.3">
      <c r="A397" s="679"/>
      <c r="B397" s="677"/>
      <c r="C397" s="677"/>
      <c r="D397" s="677"/>
      <c r="E397" s="678"/>
    </row>
    <row r="398" spans="1:5" x14ac:dyDescent="0.3">
      <c r="A398" s="677"/>
      <c r="B398" s="677"/>
      <c r="C398" s="677"/>
      <c r="D398" s="677"/>
      <c r="E398" s="678"/>
    </row>
    <row r="399" spans="1:5" x14ac:dyDescent="0.3">
      <c r="A399" s="677"/>
      <c r="B399" s="677"/>
      <c r="C399" s="677"/>
      <c r="D399" s="677"/>
      <c r="E399" s="678"/>
    </row>
    <row r="400" spans="1:5" x14ac:dyDescent="0.3">
      <c r="A400" s="680" t="s">
        <v>250</v>
      </c>
      <c r="B400" s="680"/>
      <c r="C400" s="680"/>
      <c r="D400" s="680"/>
      <c r="E400" s="682">
        <f>((E374-E375-E376-E377-E378)+(E379+E380+E381+E382+E383+E384+E385+E386+E387))-((E388-E389-E390)+(E391+E392+E393))-((E394-E395-E396)+(E397+E398+E399))</f>
        <v>0</v>
      </c>
    </row>
    <row r="401" spans="1:5" x14ac:dyDescent="0.3">
      <c r="A401" s="677" t="s">
        <v>217</v>
      </c>
      <c r="B401" s="677" t="s">
        <v>217</v>
      </c>
      <c r="C401" s="677">
        <v>2600</v>
      </c>
      <c r="D401" s="686" t="s">
        <v>246</v>
      </c>
      <c r="E401" s="678">
        <f>SUMIFS('Accounting data'!$G$2:$G$26,'Accounting data'!$J$2:$J$26,"26*",'Accounting data'!$K$2:$K$26,"63*")+SUMIFS('Accounting data'!$G$2:$G$26,'Accounting data'!$J$2:$J$26,"26*",'Accounting data'!$K$2:$K$26,"64*")+SUMIFS('Accounting data'!$G$2:$G$26,'Accounting data'!$J$2:$J$26,"26*",'Accounting data'!$K$2:$K$26,"65*")</f>
        <v>486538</v>
      </c>
    </row>
    <row r="402" spans="1:5" x14ac:dyDescent="0.3">
      <c r="A402" s="677" t="s">
        <v>218</v>
      </c>
      <c r="B402" s="677" t="s">
        <v>217</v>
      </c>
      <c r="C402" s="677">
        <v>2600</v>
      </c>
      <c r="D402" s="677">
        <v>6300</v>
      </c>
      <c r="E402" s="678">
        <f>SUMIFS('Accounting data'!$G$2:$G$26,'Accounting data'!$H$2:$H$26,"9999*",'Accounting data'!$J$2:$J$26,"26*",'Accounting data'!$K$2:$K$26,"63*")</f>
        <v>0</v>
      </c>
    </row>
    <row r="403" spans="1:5" x14ac:dyDescent="0.3">
      <c r="A403" s="677" t="s">
        <v>218</v>
      </c>
      <c r="B403" s="677" t="s">
        <v>217</v>
      </c>
      <c r="C403" s="677">
        <v>2600</v>
      </c>
      <c r="D403" s="677">
        <v>6400</v>
      </c>
      <c r="E403" s="678">
        <f>SUMIFS('Accounting data'!$G$2:$G$26,'Accounting data'!$H$2:$H$26,"9999*",'Accounting data'!$J$2:$J$26,"26*",'Accounting data'!$K$2:$K$26,"64*")</f>
        <v>0</v>
      </c>
    </row>
    <row r="404" spans="1:5" x14ac:dyDescent="0.3">
      <c r="A404" s="677" t="s">
        <v>218</v>
      </c>
      <c r="B404" s="677" t="s">
        <v>217</v>
      </c>
      <c r="C404" s="677">
        <v>2600</v>
      </c>
      <c r="D404" s="677">
        <v>6500</v>
      </c>
      <c r="E404" s="678">
        <f>SUMIFS('Accounting data'!$G$2:$G$26,'Accounting data'!$H$2:$H$26,"9999*",'Accounting data'!$J$2:$J$26,"26*",'Accounting data'!$K$2:$K$26,"65*")</f>
        <v>0</v>
      </c>
    </row>
    <row r="405" spans="1:5" x14ac:dyDescent="0.3">
      <c r="A405" s="677" t="s">
        <v>217</v>
      </c>
      <c r="B405" s="677" t="s">
        <v>219</v>
      </c>
      <c r="C405" s="677">
        <v>2600</v>
      </c>
      <c r="D405" s="686" t="s">
        <v>246</v>
      </c>
      <c r="E405" s="678">
        <f>SUMIFS('Accounting data'!$G$2:$G$26,'Accounting data'!$I$2:$I$26,"7*",'Accounting data'!$J$2:$J$26,"26*",'Accounting data'!$K$2:$K$26,"63*")+SUMIFS('Accounting data'!$G$2:$G$26,'Accounting data'!$I$2:$I$26,"8*",'Accounting data'!$J$2:$J$26,"26*",'Accounting data'!$K$2:$K$26,"63*")+SUMIFS('Accounting data'!$G$2:$G$26,'Accounting data'!$I$2:$I$26,"9*",'Accounting data'!$J$2:$J$26,"26*",'Accounting data'!$K$2:$K$26,"63*")+SUMIFS('Accounting data'!$G$2:$G$26,'Accounting data'!$I$2:$I$26,"7*",'Accounting data'!$J$2:$J$26,"26*",'Accounting data'!$K$2:$K$26,"64*")+SUMIFS('Accounting data'!$G$2:$G$26,'Accounting data'!$I$2:$I$26,"8*",'Accounting data'!$J$2:$J$26,"26*",'Accounting data'!$K$2:$K$26,"64*")+SUMIFS('Accounting data'!$G$2:$G$26,'Accounting data'!$I$2:$I$26,"9*",'Accounting data'!$J$2:$J$26,"26*",'Accounting data'!$K$2:$K$26,"64*")+SUMIFS('Accounting data'!$G$2:$G$26,'Accounting data'!$I$2:$I$26,"7*",'Accounting data'!$J$2:$J$26,"26*",'Accounting data'!$K$2:$K$26,"65*")+SUMIFS('Accounting data'!$G$2:$G$26,'Accounting data'!$I$2:$I$26,"8*",'Accounting data'!$J$2:$J$26,"26*",'Accounting data'!$K$2:$K$26,"65*")+SUMIFS('Accounting data'!$G$2:$G$26,'Accounting data'!$I$2:$I$26,"9*",'Accounting data'!$J$2:$J$26,"26*",'Accounting data'!$K$2:$K$26,"65*")</f>
        <v>0</v>
      </c>
    </row>
    <row r="406" spans="1:5" x14ac:dyDescent="0.3">
      <c r="A406" s="679" t="s">
        <v>218</v>
      </c>
      <c r="B406" s="677" t="s">
        <v>219</v>
      </c>
      <c r="C406" s="677">
        <v>2600</v>
      </c>
      <c r="D406" s="677">
        <v>6300</v>
      </c>
      <c r="E406" s="678">
        <f>SUMIFS('Accounting data'!$G$2:$G$26,'Accounting data'!$H$2:$H$26,"9999*",'Accounting data'!$I$2:$I$26,"7*",'Accounting data'!$J$2:$J$26,"26*",'Accounting data'!$K$2:$K$26,"63*")+SUMIFS('Accounting data'!$G$2:$G$26,'Accounting data'!$H$2:$H$26,"9999*",'Accounting data'!$I$2:$I$26,"8*",'Accounting data'!$J$2:$J$26,"26*",'Accounting data'!$K$2:$K$26,"63*")+SUMIFS('Accounting data'!$G$2:$G$26,'Accounting data'!$H$2:$H$26,"9999*",'Accounting data'!$I$2:$I$26,"9*",'Accounting data'!$J$2:$J$26,"26*",'Accounting data'!$K$2:$K$26,"63*")</f>
        <v>0</v>
      </c>
    </row>
    <row r="407" spans="1:5" x14ac:dyDescent="0.3">
      <c r="A407" s="679" t="s">
        <v>218</v>
      </c>
      <c r="B407" s="677" t="s">
        <v>219</v>
      </c>
      <c r="C407" s="677">
        <v>2600</v>
      </c>
      <c r="D407" s="677">
        <v>6400</v>
      </c>
      <c r="E407" s="678">
        <f>SUMIFS('Accounting data'!$G$2:$G$26,'Accounting data'!$H$2:$H$26,"9999*",'Accounting data'!$I$2:$I$26,"7*",'Accounting data'!$J$2:$J$26,"26*",'Accounting data'!$K$2:$K$26,"64*")+SUMIFS('Accounting data'!$G$2:$G$26,'Accounting data'!$H$2:$H$26,"9999*",'Accounting data'!$I$2:$I$26,"8*",'Accounting data'!$J$2:$J$26,"26*",'Accounting data'!$K$2:$K$26,"64*")+SUMIFS('Accounting data'!$G$2:$G$26,'Accounting data'!$H$2:$H$26,"9999*",'Accounting data'!$I$2:$I$26,"9*",'Accounting data'!$J$2:$J$26,"26*",'Accounting data'!$K$2:$K$26,"64*")</f>
        <v>0</v>
      </c>
    </row>
    <row r="408" spans="1:5" x14ac:dyDescent="0.3">
      <c r="A408" s="679" t="s">
        <v>218</v>
      </c>
      <c r="B408" s="677" t="s">
        <v>219</v>
      </c>
      <c r="C408" s="677">
        <v>2600</v>
      </c>
      <c r="D408" s="677">
        <v>6500</v>
      </c>
      <c r="E408" s="678">
        <f>SUMIFS('Accounting data'!$G$2:$G$26,'Accounting data'!$H$2:$H$26,"9999*",'Accounting data'!$I$2:$I$26,"7*",'Accounting data'!$J$2:$J$26,"26*",'Accounting data'!$K$2:$K$26,"65*")+SUMIFS('Accounting data'!$G$2:$G$26,'Accounting data'!$H$2:$H$26,"9999*",'Accounting data'!$I$2:$I$26,"8*",'Accounting data'!$J$2:$J$26,"26*",'Accounting data'!$K$2:$K$26,"65*")+SUMIFS('Accounting data'!$G$2:$G$26,'Accounting data'!$H$2:$H$26,"9999*",'Accounting data'!$I$2:$I$26,"9*",'Accounting data'!$J$2:$J$26,"26*",'Accounting data'!$K$2:$K$26,"65*")</f>
        <v>0</v>
      </c>
    </row>
    <row r="409" spans="1:5" x14ac:dyDescent="0.3">
      <c r="A409" s="677"/>
      <c r="B409" s="677"/>
      <c r="C409" s="677"/>
      <c r="D409" s="677"/>
      <c r="E409" s="678"/>
    </row>
    <row r="410" spans="1:5" x14ac:dyDescent="0.3">
      <c r="A410" s="677"/>
      <c r="B410" s="677"/>
      <c r="C410" s="677"/>
      <c r="D410" s="677"/>
      <c r="E410" s="678"/>
    </row>
    <row r="411" spans="1:5" x14ac:dyDescent="0.3">
      <c r="A411" s="677"/>
      <c r="B411" s="677"/>
      <c r="C411" s="677"/>
      <c r="D411" s="677"/>
      <c r="E411" s="678"/>
    </row>
    <row r="412" spans="1:5" x14ac:dyDescent="0.3">
      <c r="A412" s="677"/>
      <c r="B412" s="677"/>
      <c r="C412" s="677"/>
      <c r="D412" s="677"/>
      <c r="E412" s="678"/>
    </row>
    <row r="413" spans="1:5" x14ac:dyDescent="0.3">
      <c r="A413" s="677"/>
      <c r="B413" s="677"/>
      <c r="C413" s="677"/>
      <c r="D413" s="677"/>
      <c r="E413" s="678"/>
    </row>
    <row r="414" spans="1:5" x14ac:dyDescent="0.3">
      <c r="A414" s="677"/>
      <c r="B414" s="677"/>
      <c r="C414" s="677"/>
      <c r="D414" s="677"/>
      <c r="E414" s="678"/>
    </row>
    <row r="415" spans="1:5" x14ac:dyDescent="0.3">
      <c r="A415" s="677"/>
      <c r="B415" s="677"/>
      <c r="C415" s="677"/>
      <c r="D415" s="677"/>
      <c r="E415" s="678"/>
    </row>
    <row r="416" spans="1:5" x14ac:dyDescent="0.3">
      <c r="A416" s="677"/>
      <c r="B416" s="677"/>
      <c r="C416" s="677"/>
      <c r="D416" s="677"/>
      <c r="E416" s="678"/>
    </row>
    <row r="417" spans="1:5" x14ac:dyDescent="0.3">
      <c r="A417" s="677"/>
      <c r="B417" s="677"/>
      <c r="C417" s="677"/>
      <c r="D417" s="677"/>
      <c r="E417" s="678"/>
    </row>
    <row r="418" spans="1:5" x14ac:dyDescent="0.3">
      <c r="A418" s="679"/>
      <c r="B418" s="677"/>
      <c r="C418" s="677"/>
      <c r="D418" s="677"/>
      <c r="E418" s="678"/>
    </row>
    <row r="419" spans="1:5" x14ac:dyDescent="0.3">
      <c r="A419" s="677"/>
      <c r="B419" s="677"/>
      <c r="C419" s="677"/>
      <c r="D419" s="677"/>
      <c r="E419" s="678"/>
    </row>
    <row r="420" spans="1:5" x14ac:dyDescent="0.3">
      <c r="A420" s="677"/>
      <c r="B420" s="677"/>
      <c r="C420" s="677"/>
      <c r="D420" s="677"/>
      <c r="E420" s="678"/>
    </row>
    <row r="421" spans="1:5" x14ac:dyDescent="0.3">
      <c r="A421" s="677"/>
      <c r="B421" s="677"/>
      <c r="C421" s="677"/>
      <c r="D421" s="677"/>
      <c r="E421" s="678"/>
    </row>
    <row r="422" spans="1:5" x14ac:dyDescent="0.3">
      <c r="A422" s="677"/>
      <c r="B422" s="677"/>
      <c r="C422" s="677"/>
      <c r="D422" s="677"/>
      <c r="E422" s="678"/>
    </row>
    <row r="423" spans="1:5" x14ac:dyDescent="0.3">
      <c r="A423" s="677"/>
      <c r="B423" s="677"/>
      <c r="C423" s="677"/>
      <c r="D423" s="677"/>
      <c r="E423" s="678"/>
    </row>
    <row r="424" spans="1:5" x14ac:dyDescent="0.3">
      <c r="A424" s="679"/>
      <c r="B424" s="677"/>
      <c r="C424" s="677"/>
      <c r="D424" s="677"/>
      <c r="E424" s="678"/>
    </row>
    <row r="425" spans="1:5" x14ac:dyDescent="0.3">
      <c r="A425" s="677"/>
      <c r="B425" s="677"/>
      <c r="C425" s="677"/>
      <c r="D425" s="677"/>
      <c r="E425" s="678"/>
    </row>
    <row r="426" spans="1:5" x14ac:dyDescent="0.3">
      <c r="A426" s="677"/>
      <c r="B426" s="677"/>
      <c r="C426" s="677"/>
      <c r="D426" s="677"/>
      <c r="E426" s="678"/>
    </row>
    <row r="427" spans="1:5" x14ac:dyDescent="0.3">
      <c r="A427" s="680" t="s">
        <v>251</v>
      </c>
      <c r="B427" s="680"/>
      <c r="C427" s="680"/>
      <c r="D427" s="680"/>
      <c r="E427" s="682">
        <f>((E401-E402-E403-E404-E405)+(E406+E407+E408+E409+E410+E411+E412+E413+E414))-((E415-E416-E417)+(E418+E419+E420))-((E421-E422-E423)+(E424+E425+E426))</f>
        <v>486538</v>
      </c>
    </row>
    <row r="428" spans="1:5" x14ac:dyDescent="0.3">
      <c r="A428" s="677" t="s">
        <v>217</v>
      </c>
      <c r="B428" s="677" t="s">
        <v>217</v>
      </c>
      <c r="C428" s="677">
        <v>2700</v>
      </c>
      <c r="D428" s="686" t="s">
        <v>246</v>
      </c>
      <c r="E428" s="678">
        <f>SUMIFS('Accounting data'!$G$2:$G$26,'Accounting data'!$J$2:$J$26,"27*",'Accounting data'!$K$2:$K$26,"63*")+SUMIFS('Accounting data'!$G$2:$G$26,'Accounting data'!$J$2:$J$26,"27*",'Accounting data'!$K$2:$K$26,"64*")+SUMIFS('Accounting data'!$G$2:$G$26,'Accounting data'!$J$2:$J$26,"27*",'Accounting data'!$K$2:$K$26,"65*")</f>
        <v>0</v>
      </c>
    </row>
    <row r="429" spans="1:5" x14ac:dyDescent="0.3">
      <c r="A429" s="677" t="s">
        <v>218</v>
      </c>
      <c r="B429" s="677" t="s">
        <v>217</v>
      </c>
      <c r="C429" s="677">
        <v>2700</v>
      </c>
      <c r="D429" s="677">
        <v>6300</v>
      </c>
      <c r="E429" s="678">
        <f>SUMIFS('Accounting data'!$G$2:$G$26,'Accounting data'!$H$2:$H$26,"9999*",'Accounting data'!$J$2:$J$26,"27*",'Accounting data'!$K$2:$K$26,"63*")</f>
        <v>0</v>
      </c>
    </row>
    <row r="430" spans="1:5" x14ac:dyDescent="0.3">
      <c r="A430" s="677" t="s">
        <v>218</v>
      </c>
      <c r="B430" s="677" t="s">
        <v>217</v>
      </c>
      <c r="C430" s="677">
        <v>2700</v>
      </c>
      <c r="D430" s="677">
        <v>6400</v>
      </c>
      <c r="E430" s="678">
        <f>SUMIFS('Accounting data'!$G$2:$G$26,'Accounting data'!$H$2:$H$26,"9999*",'Accounting data'!$J$2:$J$26,"27*",'Accounting data'!$K$2:$K$26,"64*")</f>
        <v>0</v>
      </c>
    </row>
    <row r="431" spans="1:5" x14ac:dyDescent="0.3">
      <c r="A431" s="677" t="s">
        <v>218</v>
      </c>
      <c r="B431" s="677" t="s">
        <v>217</v>
      </c>
      <c r="C431" s="677">
        <v>2700</v>
      </c>
      <c r="D431" s="677">
        <v>6500</v>
      </c>
      <c r="E431" s="678">
        <f>SUMIFS('Accounting data'!$G$2:$G$26,'Accounting data'!$H$2:$H$26,"9999*",'Accounting data'!$J$2:$J$26,"27*",'Accounting data'!$K$2:$K$26,"65*")</f>
        <v>0</v>
      </c>
    </row>
    <row r="432" spans="1:5" x14ac:dyDescent="0.3">
      <c r="A432" s="677" t="s">
        <v>217</v>
      </c>
      <c r="B432" s="677" t="s">
        <v>219</v>
      </c>
      <c r="C432" s="677">
        <v>2700</v>
      </c>
      <c r="D432" s="686" t="s">
        <v>246</v>
      </c>
      <c r="E432" s="678">
        <f>SUMIFS('Accounting data'!$G$2:$G$26,'Accounting data'!$I$2:$I$26,"7*",'Accounting data'!$J$2:$J$26,"27*",'Accounting data'!$K$2:$K$26,"63*")+SUMIFS('Accounting data'!$G$2:$G$26,'Accounting data'!$I$2:$I$26,"8*",'Accounting data'!$J$2:$J$26,"27*",'Accounting data'!$K$2:$K$26,"63*")+SUMIFS('Accounting data'!$G$2:$G$26,'Accounting data'!$I$2:$I$26,"9*",'Accounting data'!$J$2:$J$26,"27*",'Accounting data'!$K$2:$K$26,"63*")+SUMIFS('Accounting data'!$G$2:$G$26,'Accounting data'!$I$2:$I$26,"7*",'Accounting data'!$J$2:$J$26,"27*",'Accounting data'!$K$2:$K$26,"64*")+SUMIFS('Accounting data'!$G$2:$G$26,'Accounting data'!$I$2:$I$26,"8*",'Accounting data'!$J$2:$J$26,"27*",'Accounting data'!$K$2:$K$26,"64*")+SUMIFS('Accounting data'!$G$2:$G$26,'Accounting data'!$I$2:$I$26,"9*",'Accounting data'!$J$2:$J$26,"27*",'Accounting data'!$K$2:$K$26,"64*")+SUMIFS('Accounting data'!$G$2:$G$26,'Accounting data'!$I$2:$I$26,"7*",'Accounting data'!$J$2:$J$26,"27*",'Accounting data'!$K$2:$K$26,"65*")+SUMIFS('Accounting data'!$G$2:$G$26,'Accounting data'!$I$2:$I$26,"8*",'Accounting data'!$J$2:$J$26,"27*",'Accounting data'!$K$2:$K$26,"65*")+SUMIFS('Accounting data'!$G$2:$G$26,'Accounting data'!$I$2:$I$26,"9*",'Accounting data'!$J$2:$J$26,"27*",'Accounting data'!$K$2:$K$26,"65*")</f>
        <v>0</v>
      </c>
    </row>
    <row r="433" spans="1:5" x14ac:dyDescent="0.3">
      <c r="A433" s="679" t="s">
        <v>218</v>
      </c>
      <c r="B433" s="677" t="s">
        <v>219</v>
      </c>
      <c r="C433" s="677">
        <v>2700</v>
      </c>
      <c r="D433" s="677">
        <v>6300</v>
      </c>
      <c r="E433" s="678">
        <f>SUMIFS('Accounting data'!$G$2:$G$26,'Accounting data'!$H$2:$H$26,"9999*",'Accounting data'!$I$2:$I$26,"7*",'Accounting data'!$J$2:$J$26,"27*",'Accounting data'!$K$2:$K$26,"63*")+SUMIFS('Accounting data'!$G$2:$G$26,'Accounting data'!$H$2:$H$26,"9999*",'Accounting data'!$I$2:$I$26,"8*",'Accounting data'!$J$2:$J$26,"27*",'Accounting data'!$K$2:$K$26,"63*")+SUMIFS('Accounting data'!$G$2:$G$26,'Accounting data'!$H$2:$H$26,"9999*",'Accounting data'!$I$2:$I$26,"9*",'Accounting data'!$J$2:$J$26,"27*",'Accounting data'!$K$2:$K$26,"63*")</f>
        <v>0</v>
      </c>
    </row>
    <row r="434" spans="1:5" x14ac:dyDescent="0.3">
      <c r="A434" s="679" t="s">
        <v>218</v>
      </c>
      <c r="B434" s="677" t="s">
        <v>219</v>
      </c>
      <c r="C434" s="677">
        <v>2700</v>
      </c>
      <c r="D434" s="677">
        <v>6400</v>
      </c>
      <c r="E434" s="678">
        <f>SUMIFS('Accounting data'!$G$2:$G$26,'Accounting data'!$H$2:$H$26,"9999*",'Accounting data'!$I$2:$I$26,"7*",'Accounting data'!$J$2:$J$26,"27*",'Accounting data'!$K$2:$K$26,"64*")+SUMIFS('Accounting data'!$G$2:$G$26,'Accounting data'!$H$2:$H$26,"9999*",'Accounting data'!$I$2:$I$26,"8*",'Accounting data'!$J$2:$J$26,"27*",'Accounting data'!$K$2:$K$26,"64*")+SUMIFS('Accounting data'!$G$2:$G$26,'Accounting data'!$H$2:$H$26,"9999*",'Accounting data'!$I$2:$I$26,"9*",'Accounting data'!$J$2:$J$26,"27*",'Accounting data'!$K$2:$K$26,"64*")</f>
        <v>0</v>
      </c>
    </row>
    <row r="435" spans="1:5" x14ac:dyDescent="0.3">
      <c r="A435" s="679" t="s">
        <v>218</v>
      </c>
      <c r="B435" s="677" t="s">
        <v>219</v>
      </c>
      <c r="C435" s="677">
        <v>2700</v>
      </c>
      <c r="D435" s="677">
        <v>6500</v>
      </c>
      <c r="E435" s="678">
        <f>SUMIFS('Accounting data'!$G$2:$G$26,'Accounting data'!$H$2:$H$26,"9999*",'Accounting data'!$I$2:$I$26,"7*",'Accounting data'!$J$2:$J$26,"27*",'Accounting data'!$K$2:$K$26,"65*")+SUMIFS('Accounting data'!$G$2:$G$26,'Accounting data'!$H$2:$H$26,"9999*",'Accounting data'!$I$2:$I$26,"8*",'Accounting data'!$J$2:$J$26,"27*",'Accounting data'!$K$2:$K$26,"65*")+SUMIFS('Accounting data'!$G$2:$G$26,'Accounting data'!$H$2:$H$26,"9999*",'Accounting data'!$I$2:$I$26,"9*",'Accounting data'!$J$2:$J$26,"27*",'Accounting data'!$K$2:$K$26,"65*")</f>
        <v>0</v>
      </c>
    </row>
    <row r="436" spans="1:5" x14ac:dyDescent="0.3">
      <c r="A436" s="677"/>
      <c r="B436" s="677"/>
      <c r="C436" s="677"/>
      <c r="D436" s="677"/>
      <c r="E436" s="678"/>
    </row>
    <row r="437" spans="1:5" x14ac:dyDescent="0.3">
      <c r="A437" s="677"/>
      <c r="B437" s="677"/>
      <c r="C437" s="677"/>
      <c r="D437" s="677"/>
      <c r="E437" s="678"/>
    </row>
    <row r="438" spans="1:5" x14ac:dyDescent="0.3">
      <c r="A438" s="677"/>
      <c r="B438" s="677"/>
      <c r="C438" s="677"/>
      <c r="D438" s="677"/>
      <c r="E438" s="678"/>
    </row>
    <row r="439" spans="1:5" x14ac:dyDescent="0.3">
      <c r="A439" s="677"/>
      <c r="B439" s="677"/>
      <c r="C439" s="677"/>
      <c r="D439" s="677"/>
      <c r="E439" s="678"/>
    </row>
    <row r="440" spans="1:5" x14ac:dyDescent="0.3">
      <c r="A440" s="677"/>
      <c r="B440" s="677"/>
      <c r="C440" s="677"/>
      <c r="D440" s="677"/>
      <c r="E440" s="678"/>
    </row>
    <row r="441" spans="1:5" x14ac:dyDescent="0.3">
      <c r="A441" s="677"/>
      <c r="B441" s="677"/>
      <c r="C441" s="677"/>
      <c r="D441" s="677"/>
      <c r="E441" s="678"/>
    </row>
    <row r="442" spans="1:5" x14ac:dyDescent="0.3">
      <c r="A442" s="677"/>
      <c r="B442" s="677"/>
      <c r="C442" s="677"/>
      <c r="D442" s="677"/>
      <c r="E442" s="678"/>
    </row>
    <row r="443" spans="1:5" x14ac:dyDescent="0.3">
      <c r="A443" s="677"/>
      <c r="B443" s="677"/>
      <c r="C443" s="677"/>
      <c r="D443" s="677"/>
      <c r="E443" s="678"/>
    </row>
    <row r="444" spans="1:5" x14ac:dyDescent="0.3">
      <c r="A444" s="677"/>
      <c r="B444" s="677"/>
      <c r="C444" s="677"/>
      <c r="D444" s="677"/>
      <c r="E444" s="678"/>
    </row>
    <row r="445" spans="1:5" x14ac:dyDescent="0.3">
      <c r="A445" s="677"/>
      <c r="B445" s="677"/>
      <c r="C445" s="677"/>
      <c r="D445" s="677"/>
      <c r="E445" s="678"/>
    </row>
    <row r="446" spans="1:5" x14ac:dyDescent="0.3">
      <c r="A446" s="677"/>
      <c r="B446" s="677"/>
      <c r="C446" s="677"/>
      <c r="D446" s="677"/>
      <c r="E446" s="678"/>
    </row>
    <row r="447" spans="1:5" x14ac:dyDescent="0.3">
      <c r="A447" s="677"/>
      <c r="B447" s="677"/>
      <c r="C447" s="677"/>
      <c r="D447" s="677"/>
      <c r="E447" s="678"/>
    </row>
    <row r="448" spans="1:5" x14ac:dyDescent="0.3">
      <c r="A448" s="677"/>
      <c r="B448" s="677"/>
      <c r="C448" s="677"/>
      <c r="D448" s="677"/>
      <c r="E448" s="678"/>
    </row>
    <row r="449" spans="1:5" x14ac:dyDescent="0.3">
      <c r="A449" s="677"/>
      <c r="B449" s="677"/>
      <c r="C449" s="677"/>
      <c r="D449" s="677"/>
      <c r="E449" s="678"/>
    </row>
    <row r="450" spans="1:5" x14ac:dyDescent="0.3">
      <c r="A450" s="677"/>
      <c r="B450" s="677"/>
      <c r="C450" s="677"/>
      <c r="D450" s="677"/>
      <c r="E450" s="678"/>
    </row>
    <row r="451" spans="1:5" x14ac:dyDescent="0.3">
      <c r="A451" s="677"/>
      <c r="B451" s="677"/>
      <c r="C451" s="677"/>
      <c r="D451" s="677"/>
      <c r="E451" s="678"/>
    </row>
    <row r="452" spans="1:5" x14ac:dyDescent="0.3">
      <c r="A452" s="677"/>
      <c r="B452" s="677"/>
      <c r="C452" s="677"/>
      <c r="D452" s="677"/>
      <c r="E452" s="678"/>
    </row>
    <row r="453" spans="1:5" x14ac:dyDescent="0.3">
      <c r="A453" s="677"/>
      <c r="B453" s="677"/>
      <c r="C453" s="677"/>
      <c r="D453" s="677"/>
      <c r="E453" s="678"/>
    </row>
    <row r="454" spans="1:5" x14ac:dyDescent="0.3">
      <c r="A454" s="680" t="s">
        <v>252</v>
      </c>
      <c r="B454" s="680"/>
      <c r="C454" s="680"/>
      <c r="D454" s="680"/>
      <c r="E454" s="682">
        <f>((E428-E429-E430-E431-E432)+(E433+E434+E435+E436+E437+E438+E439+E440+E441))-((E442-E443-E444)+(E445+E446+E447))-((E448-E449-E450)+(E451+E452+E453))</f>
        <v>0</v>
      </c>
    </row>
    <row r="455" spans="1:5" x14ac:dyDescent="0.3">
      <c r="A455" s="677" t="s">
        <v>217</v>
      </c>
      <c r="B455" s="677" t="s">
        <v>217</v>
      </c>
      <c r="C455" s="677">
        <v>3100</v>
      </c>
      <c r="D455" s="686" t="s">
        <v>246</v>
      </c>
      <c r="E455" s="678">
        <f>SUMIFS('Accounting data'!$G$2:$G$26,'Accounting data'!$J$2:$J$26,"31*",'Accounting data'!$K$2:$K$26,"63*")+SUMIFS('Accounting data'!$G$2:$G$26,'Accounting data'!$J$2:$J$26,"31*",'Accounting data'!$K$2:$K$26,"64*")+SUMIFS('Accounting data'!$G$2:$G$26,'Accounting data'!$J$2:$J$26,"31*",'Accounting data'!$K$2:$K$26,"65*")</f>
        <v>0</v>
      </c>
    </row>
    <row r="456" spans="1:5" x14ac:dyDescent="0.3">
      <c r="A456" s="677" t="s">
        <v>218</v>
      </c>
      <c r="B456" s="677" t="s">
        <v>217</v>
      </c>
      <c r="C456" s="677">
        <v>3100</v>
      </c>
      <c r="D456" s="677">
        <v>6300</v>
      </c>
      <c r="E456" s="678">
        <f>SUMIFS('Accounting data'!$G$2:$G$26,'Accounting data'!$H$2:$H$26,"9999*",'Accounting data'!$J$2:$J$26,"31*",'Accounting data'!$K$2:$K$26,"63*")</f>
        <v>0</v>
      </c>
    </row>
    <row r="457" spans="1:5" x14ac:dyDescent="0.3">
      <c r="A457" s="677" t="s">
        <v>218</v>
      </c>
      <c r="B457" s="677" t="s">
        <v>217</v>
      </c>
      <c r="C457" s="677">
        <v>3100</v>
      </c>
      <c r="D457" s="677">
        <v>6400</v>
      </c>
      <c r="E457" s="678">
        <f>SUMIFS('Accounting data'!$G$2:$G$26,'Accounting data'!$H$2:$H$26,"9999*",'Accounting data'!$J$2:$J$26,"31*",'Accounting data'!$K$2:$K$26,"64*")</f>
        <v>0</v>
      </c>
    </row>
    <row r="458" spans="1:5" x14ac:dyDescent="0.3">
      <c r="A458" s="677" t="s">
        <v>218</v>
      </c>
      <c r="B458" s="677" t="s">
        <v>217</v>
      </c>
      <c r="C458" s="677">
        <v>3100</v>
      </c>
      <c r="D458" s="677">
        <v>6500</v>
      </c>
      <c r="E458" s="678">
        <f>SUMIFS('Accounting data'!$G$2:$G$26,'Accounting data'!$H$2:$H$26,"9999*",'Accounting data'!$J$2:$J$26,"31*",'Accounting data'!$K$2:$K$26,"65*")</f>
        <v>0</v>
      </c>
    </row>
    <row r="459" spans="1:5" x14ac:dyDescent="0.3">
      <c r="A459" s="677" t="s">
        <v>217</v>
      </c>
      <c r="B459" s="677" t="s">
        <v>219</v>
      </c>
      <c r="C459" s="677">
        <v>3100</v>
      </c>
      <c r="D459" s="686" t="s">
        <v>246</v>
      </c>
      <c r="E459" s="678">
        <f>SUMIFS('Accounting data'!$G$2:$G$26,'Accounting data'!$I$2:$I$26,"7*",'Accounting data'!$J$2:$J$26,"31*",'Accounting data'!$K$2:$K$26,"63*")+SUMIFS('Accounting data'!$G$2:$G$26,'Accounting data'!$I$2:$I$26,"8*",'Accounting data'!$J$2:$J$26,"31*",'Accounting data'!$K$2:$K$26,"63*")+SUMIFS('Accounting data'!$G$2:$G$26,'Accounting data'!$I$2:$I$26,"9*",'Accounting data'!$J$2:$J$26,"31*",'Accounting data'!$K$2:$K$26,"63*")+SUMIFS('Accounting data'!$G$2:$G$26,'Accounting data'!$I$2:$I$26,"7*",'Accounting data'!$J$2:$J$26,"31*",'Accounting data'!$K$2:$K$26,"64*")+SUMIFS('Accounting data'!$G$2:$G$26,'Accounting data'!$I$2:$I$26,"8*",'Accounting data'!$J$2:$J$26,"31*",'Accounting data'!$K$2:$K$26,"64*")+SUMIFS('Accounting data'!$G$2:$G$26,'Accounting data'!$I$2:$I$26,"9*",'Accounting data'!$J$2:$J$26,"31*",'Accounting data'!$K$2:$K$26,"64*")+SUMIFS('Accounting data'!$G$2:$G$26,'Accounting data'!$I$2:$I$26,"7*",'Accounting data'!$J$2:$J$26,"31*",'Accounting data'!$K$2:$K$26,"65*")+SUMIFS('Accounting data'!$G$2:$G$26,'Accounting data'!$I$2:$I$26,"8*",'Accounting data'!$J$2:$J$26,"31*",'Accounting data'!$K$2:$K$26,"65*")+SUMIFS('Accounting data'!$G$2:$G$26,'Accounting data'!$I$2:$I$26,"9*",'Accounting data'!$J$2:$J$26,"31*",'Accounting data'!$K$2:$K$26,"65*")</f>
        <v>0</v>
      </c>
    </row>
    <row r="460" spans="1:5" x14ac:dyDescent="0.3">
      <c r="A460" s="679" t="s">
        <v>218</v>
      </c>
      <c r="B460" s="677" t="s">
        <v>219</v>
      </c>
      <c r="C460" s="677">
        <v>3100</v>
      </c>
      <c r="D460" s="677">
        <v>6300</v>
      </c>
      <c r="E460" s="678">
        <f>SUMIFS('Accounting data'!$G$2:$G$26,'Accounting data'!$H$2:$H$26,"9999*",'Accounting data'!$I$2:$I$26,"7*",'Accounting data'!$J$2:$J$26,"31*",'Accounting data'!$K$2:$K$26,"63*")+SUMIFS('Accounting data'!$G$2:$G$26,'Accounting data'!$H$2:$H$26,"9999*",'Accounting data'!$I$2:$I$26,"8*",'Accounting data'!$J$2:$J$26,"31*",'Accounting data'!$K$2:$K$26,"63*")+SUMIFS('Accounting data'!$G$2:$G$26,'Accounting data'!$H$2:$H$26,"9999*",'Accounting data'!$I$2:$I$26,"9*",'Accounting data'!$J$2:$J$26,"31*",'Accounting data'!$K$2:$K$26,"63*")</f>
        <v>0</v>
      </c>
    </row>
    <row r="461" spans="1:5" x14ac:dyDescent="0.3">
      <c r="A461" s="679" t="s">
        <v>218</v>
      </c>
      <c r="B461" s="677" t="s">
        <v>219</v>
      </c>
      <c r="C461" s="677">
        <v>3100</v>
      </c>
      <c r="D461" s="677">
        <v>6400</v>
      </c>
      <c r="E461" s="678">
        <f>SUMIFS('Accounting data'!$G$2:$G$26,'Accounting data'!$H$2:$H$26,"9999*",'Accounting data'!$I$2:$I$26,"7*",'Accounting data'!$J$2:$J$26,"31*",'Accounting data'!$K$2:$K$26,"64*")+SUMIFS('Accounting data'!$G$2:$G$26,'Accounting data'!$H$2:$H$26,"9999*",'Accounting data'!$I$2:$I$26,"8*",'Accounting data'!$J$2:$J$26,"31*",'Accounting data'!$K$2:$K$26,"64*")+SUMIFS('Accounting data'!$G$2:$G$26,'Accounting data'!$H$2:$H$26,"9999*",'Accounting data'!$I$2:$I$26,"9*",'Accounting data'!$J$2:$J$26,"31*",'Accounting data'!$K$2:$K$26,"64*")</f>
        <v>0</v>
      </c>
    </row>
    <row r="462" spans="1:5" x14ac:dyDescent="0.3">
      <c r="A462" s="679" t="s">
        <v>218</v>
      </c>
      <c r="B462" s="677" t="s">
        <v>219</v>
      </c>
      <c r="C462" s="677">
        <v>3100</v>
      </c>
      <c r="D462" s="677">
        <v>6500</v>
      </c>
      <c r="E462" s="678">
        <f>SUMIFS('Accounting data'!$G$2:$G$26,'Accounting data'!$H$2:$H$26,"9999*",'Accounting data'!$I$2:$I$26,"7*",'Accounting data'!$J$2:$J$26,"31*",'Accounting data'!$K$2:$K$26,"65*")+SUMIFS('Accounting data'!$G$2:$G$26,'Accounting data'!$H$2:$H$26,"9999*",'Accounting data'!$I$2:$I$26,"8*",'Accounting data'!$J$2:$J$26,"31*",'Accounting data'!$K$2:$K$26,"65*")+SUMIFS('Accounting data'!$G$2:$G$26,'Accounting data'!$H$2:$H$26,"9999*",'Accounting data'!$I$2:$I$26,"9*",'Accounting data'!$J$2:$J$26,"31*",'Accounting data'!$K$2:$K$26,"65*")</f>
        <v>0</v>
      </c>
    </row>
    <row r="463" spans="1:5" x14ac:dyDescent="0.3">
      <c r="A463" s="677"/>
      <c r="B463" s="677"/>
      <c r="C463" s="677"/>
      <c r="D463" s="677"/>
      <c r="E463" s="678"/>
    </row>
    <row r="464" spans="1:5" x14ac:dyDescent="0.3">
      <c r="A464" s="677"/>
      <c r="B464" s="677"/>
      <c r="C464" s="677"/>
      <c r="D464" s="677"/>
      <c r="E464" s="678"/>
    </row>
    <row r="465" spans="1:5" x14ac:dyDescent="0.3">
      <c r="A465" s="677"/>
      <c r="B465" s="677"/>
      <c r="C465" s="677"/>
      <c r="D465" s="677"/>
      <c r="E465" s="678"/>
    </row>
    <row r="466" spans="1:5" x14ac:dyDescent="0.3">
      <c r="A466" s="677"/>
      <c r="B466" s="677"/>
      <c r="C466" s="677"/>
      <c r="D466" s="677"/>
      <c r="E466" s="678"/>
    </row>
    <row r="467" spans="1:5" x14ac:dyDescent="0.3">
      <c r="A467" s="677"/>
      <c r="B467" s="677"/>
      <c r="C467" s="677"/>
      <c r="D467" s="677"/>
      <c r="E467" s="678"/>
    </row>
    <row r="468" spans="1:5" x14ac:dyDescent="0.3">
      <c r="A468" s="677"/>
      <c r="B468" s="677"/>
      <c r="C468" s="677"/>
      <c r="D468" s="677"/>
      <c r="E468" s="678"/>
    </row>
    <row r="469" spans="1:5" x14ac:dyDescent="0.3">
      <c r="A469" s="677"/>
      <c r="B469" s="677"/>
      <c r="C469" s="677"/>
      <c r="D469" s="677"/>
      <c r="E469" s="678"/>
    </row>
    <row r="470" spans="1:5" x14ac:dyDescent="0.3">
      <c r="A470" s="677"/>
      <c r="B470" s="677"/>
      <c r="C470" s="677"/>
      <c r="D470" s="677"/>
      <c r="E470" s="678"/>
    </row>
    <row r="471" spans="1:5" x14ac:dyDescent="0.3">
      <c r="A471" s="677"/>
      <c r="B471" s="677"/>
      <c r="C471" s="677"/>
      <c r="D471" s="677"/>
      <c r="E471" s="678"/>
    </row>
    <row r="472" spans="1:5" x14ac:dyDescent="0.3">
      <c r="A472" s="679"/>
      <c r="B472" s="677"/>
      <c r="C472" s="677"/>
      <c r="D472" s="677"/>
      <c r="E472" s="678"/>
    </row>
    <row r="473" spans="1:5" x14ac:dyDescent="0.3">
      <c r="A473" s="677"/>
      <c r="B473" s="677"/>
      <c r="C473" s="677"/>
      <c r="D473" s="677"/>
      <c r="E473" s="678"/>
    </row>
    <row r="474" spans="1:5" x14ac:dyDescent="0.3">
      <c r="A474" s="677"/>
      <c r="B474" s="677"/>
      <c r="C474" s="677"/>
      <c r="D474" s="677"/>
      <c r="E474" s="678"/>
    </row>
    <row r="475" spans="1:5" x14ac:dyDescent="0.3">
      <c r="A475" s="677"/>
      <c r="B475" s="677"/>
      <c r="C475" s="677"/>
      <c r="D475" s="677"/>
      <c r="E475" s="678"/>
    </row>
    <row r="476" spans="1:5" x14ac:dyDescent="0.3">
      <c r="A476" s="677"/>
      <c r="B476" s="677"/>
      <c r="C476" s="677"/>
      <c r="D476" s="677"/>
      <c r="E476" s="678"/>
    </row>
    <row r="477" spans="1:5" x14ac:dyDescent="0.3">
      <c r="A477" s="677"/>
      <c r="B477" s="677"/>
      <c r="C477" s="677"/>
      <c r="D477" s="677"/>
      <c r="E477" s="678"/>
    </row>
    <row r="478" spans="1:5" x14ac:dyDescent="0.3">
      <c r="A478" s="679"/>
      <c r="B478" s="677"/>
      <c r="C478" s="677"/>
      <c r="D478" s="677"/>
      <c r="E478" s="678"/>
    </row>
    <row r="479" spans="1:5" x14ac:dyDescent="0.3">
      <c r="A479" s="677"/>
      <c r="B479" s="677"/>
      <c r="C479" s="677"/>
      <c r="D479" s="677"/>
      <c r="E479" s="678"/>
    </row>
    <row r="480" spans="1:5" x14ac:dyDescent="0.3">
      <c r="A480" s="677"/>
      <c r="B480" s="677"/>
      <c r="C480" s="677"/>
      <c r="D480" s="677"/>
      <c r="E480" s="678"/>
    </row>
    <row r="481" spans="1:5" x14ac:dyDescent="0.3">
      <c r="A481" s="680" t="s">
        <v>253</v>
      </c>
      <c r="B481" s="680"/>
      <c r="C481" s="680"/>
      <c r="D481" s="680"/>
      <c r="E481" s="682">
        <f>((E455-E456-E457-E458-E459)+(E460+E461+E462+E463+E464+E465+E466+E467+E468))-((E469-E470-E471)+(E472+E473+E474))-((E475-E476-E477)+(E478+E479+E480))</f>
        <v>0</v>
      </c>
    </row>
    <row r="482" spans="1:5" x14ac:dyDescent="0.3">
      <c r="A482" s="677"/>
      <c r="B482" s="677"/>
      <c r="C482" s="677"/>
      <c r="D482" s="686"/>
      <c r="E482" s="678"/>
    </row>
    <row r="483" spans="1:5" x14ac:dyDescent="0.3">
      <c r="A483" s="677"/>
      <c r="B483" s="677"/>
      <c r="C483" s="677"/>
      <c r="D483" s="677"/>
      <c r="E483" s="678"/>
    </row>
    <row r="484" spans="1:5" x14ac:dyDescent="0.3">
      <c r="A484" s="677"/>
      <c r="B484" s="677"/>
      <c r="C484" s="677"/>
      <c r="D484" s="677"/>
      <c r="E484" s="678"/>
    </row>
    <row r="485" spans="1:5" x14ac:dyDescent="0.3">
      <c r="A485" s="677"/>
      <c r="B485" s="677"/>
      <c r="C485" s="677"/>
      <c r="D485" s="677"/>
      <c r="E485" s="678"/>
    </row>
    <row r="486" spans="1:5" x14ac:dyDescent="0.3">
      <c r="A486" s="677"/>
      <c r="B486" s="677"/>
      <c r="C486" s="677"/>
      <c r="D486" s="686"/>
      <c r="E486" s="678"/>
    </row>
    <row r="487" spans="1:5" x14ac:dyDescent="0.3">
      <c r="A487" s="679"/>
      <c r="B487" s="677"/>
      <c r="C487" s="677"/>
      <c r="D487" s="677"/>
      <c r="E487" s="678"/>
    </row>
    <row r="488" spans="1:5" x14ac:dyDescent="0.3">
      <c r="A488" s="679"/>
      <c r="B488" s="677"/>
      <c r="C488" s="677"/>
      <c r="D488" s="677"/>
      <c r="E488" s="678"/>
    </row>
    <row r="489" spans="1:5" x14ac:dyDescent="0.3">
      <c r="A489" s="679"/>
      <c r="B489" s="677"/>
      <c r="C489" s="677"/>
      <c r="D489" s="677"/>
      <c r="E489" s="678"/>
    </row>
    <row r="490" spans="1:5" x14ac:dyDescent="0.3">
      <c r="A490" s="677"/>
      <c r="B490" s="677"/>
      <c r="C490" s="677"/>
      <c r="D490" s="677"/>
      <c r="E490" s="678"/>
    </row>
    <row r="491" spans="1:5" x14ac:dyDescent="0.3">
      <c r="A491" s="677"/>
      <c r="B491" s="677"/>
      <c r="C491" s="677"/>
      <c r="D491" s="677"/>
      <c r="E491" s="678"/>
    </row>
    <row r="492" spans="1:5" x14ac:dyDescent="0.3">
      <c r="A492" s="677"/>
      <c r="B492" s="677"/>
      <c r="C492" s="677"/>
      <c r="D492" s="677"/>
      <c r="E492" s="678"/>
    </row>
    <row r="493" spans="1:5" x14ac:dyDescent="0.3">
      <c r="A493" s="677"/>
      <c r="B493" s="677"/>
      <c r="C493" s="677"/>
      <c r="D493" s="677"/>
      <c r="E493" s="678"/>
    </row>
    <row r="494" spans="1:5" x14ac:dyDescent="0.3">
      <c r="A494" s="677"/>
      <c r="B494" s="677"/>
      <c r="C494" s="677"/>
      <c r="D494" s="677"/>
      <c r="E494" s="678"/>
    </row>
    <row r="495" spans="1:5" x14ac:dyDescent="0.3">
      <c r="A495" s="677"/>
      <c r="B495" s="677"/>
      <c r="C495" s="677"/>
      <c r="D495" s="677"/>
      <c r="E495" s="678"/>
    </row>
    <row r="496" spans="1:5" x14ac:dyDescent="0.3">
      <c r="A496" s="677"/>
      <c r="B496" s="677"/>
      <c r="C496" s="677"/>
      <c r="D496" s="677"/>
      <c r="E496" s="678"/>
    </row>
    <row r="497" spans="1:5" x14ac:dyDescent="0.3">
      <c r="A497" s="677"/>
      <c r="B497" s="677"/>
      <c r="C497" s="677"/>
      <c r="D497" s="677"/>
      <c r="E497" s="678"/>
    </row>
    <row r="498" spans="1:5" x14ac:dyDescent="0.3">
      <c r="A498" s="677"/>
      <c r="B498" s="677"/>
      <c r="C498" s="677"/>
      <c r="D498" s="677"/>
      <c r="E498" s="678"/>
    </row>
    <row r="499" spans="1:5" x14ac:dyDescent="0.3">
      <c r="A499" s="679"/>
      <c r="B499" s="677"/>
      <c r="C499" s="677"/>
      <c r="D499" s="677"/>
      <c r="E499" s="678"/>
    </row>
    <row r="500" spans="1:5" x14ac:dyDescent="0.3">
      <c r="A500" s="677"/>
      <c r="B500" s="677"/>
      <c r="C500" s="677"/>
      <c r="D500" s="677"/>
      <c r="E500" s="678"/>
    </row>
    <row r="501" spans="1:5" x14ac:dyDescent="0.3">
      <c r="A501" s="677"/>
      <c r="B501" s="677"/>
      <c r="C501" s="677"/>
      <c r="D501" s="677"/>
      <c r="E501" s="678"/>
    </row>
    <row r="502" spans="1:5" x14ac:dyDescent="0.3">
      <c r="A502" s="677"/>
      <c r="B502" s="677"/>
      <c r="C502" s="677"/>
      <c r="D502" s="677"/>
      <c r="E502" s="678"/>
    </row>
    <row r="503" spans="1:5" x14ac:dyDescent="0.3">
      <c r="A503" s="677"/>
      <c r="B503" s="677"/>
      <c r="C503" s="677"/>
      <c r="D503" s="677"/>
      <c r="E503" s="678"/>
    </row>
    <row r="504" spans="1:5" x14ac:dyDescent="0.3">
      <c r="A504" s="677"/>
      <c r="B504" s="677"/>
      <c r="C504" s="677"/>
      <c r="D504" s="677"/>
      <c r="E504" s="678"/>
    </row>
    <row r="505" spans="1:5" x14ac:dyDescent="0.3">
      <c r="A505" s="679"/>
      <c r="B505" s="677"/>
      <c r="C505" s="677"/>
      <c r="D505" s="677"/>
      <c r="E505" s="678"/>
    </row>
    <row r="506" spans="1:5" x14ac:dyDescent="0.3">
      <c r="A506" s="677"/>
      <c r="B506" s="677"/>
      <c r="C506" s="677"/>
      <c r="D506" s="677"/>
      <c r="E506" s="678"/>
    </row>
    <row r="507" spans="1:5" x14ac:dyDescent="0.3">
      <c r="A507" s="677"/>
      <c r="B507" s="677"/>
      <c r="C507" s="677"/>
      <c r="D507" s="677"/>
      <c r="E507" s="678"/>
    </row>
    <row r="508" spans="1:5" x14ac:dyDescent="0.3">
      <c r="A508" s="680"/>
      <c r="B508" s="680"/>
      <c r="C508" s="680"/>
      <c r="D508" s="680"/>
      <c r="E508" s="682"/>
    </row>
    <row r="509" spans="1:5" x14ac:dyDescent="0.3">
      <c r="A509" s="677" t="s">
        <v>217</v>
      </c>
      <c r="B509" s="677" t="s">
        <v>217</v>
      </c>
      <c r="C509" s="677">
        <v>3400</v>
      </c>
      <c r="D509" s="686" t="s">
        <v>246</v>
      </c>
      <c r="E509" s="678">
        <f>SUMIFS('Accounting data'!$G$2:$G$26,'Accounting data'!$J$2:$J$26,"34*",'Accounting data'!$K$2:$K$26,"63*")+SUMIFS('Accounting data'!$G$2:$G$26,'Accounting data'!$J$2:$J$26,"34*",'Accounting data'!$K$2:$K$26,"64*")+SUMIFS('Accounting data'!$G$2:$G$26,'Accounting data'!$J$2:$J$26,"34*",'Accounting data'!$K$2:$K$26,"65*")</f>
        <v>0</v>
      </c>
    </row>
    <row r="510" spans="1:5" x14ac:dyDescent="0.3">
      <c r="A510" s="677" t="s">
        <v>218</v>
      </c>
      <c r="B510" s="677" t="s">
        <v>217</v>
      </c>
      <c r="C510" s="677">
        <v>3400</v>
      </c>
      <c r="D510" s="677">
        <v>6300</v>
      </c>
      <c r="E510" s="678">
        <f>SUMIFS('Accounting data'!$G$2:$G$26,'Accounting data'!$H$2:$H$26,"9999*",'Accounting data'!$J$2:$J$26,"34*",'Accounting data'!$K$2:$K$26,"63*")</f>
        <v>0</v>
      </c>
    </row>
    <row r="511" spans="1:5" x14ac:dyDescent="0.3">
      <c r="A511" s="677" t="s">
        <v>218</v>
      </c>
      <c r="B511" s="677" t="s">
        <v>217</v>
      </c>
      <c r="C511" s="677">
        <v>3400</v>
      </c>
      <c r="D511" s="677">
        <v>6400</v>
      </c>
      <c r="E511" s="678">
        <f>SUMIFS('Accounting data'!$G$2:$G$26,'Accounting data'!$H$2:$H$26,"9999*",'Accounting data'!$J$2:$J$26,"34*",'Accounting data'!$K$2:$K$26,"64*")</f>
        <v>0</v>
      </c>
    </row>
    <row r="512" spans="1:5" x14ac:dyDescent="0.3">
      <c r="A512" s="677" t="s">
        <v>218</v>
      </c>
      <c r="B512" s="677" t="s">
        <v>217</v>
      </c>
      <c r="C512" s="677">
        <v>3400</v>
      </c>
      <c r="D512" s="677">
        <v>6500</v>
      </c>
      <c r="E512" s="678">
        <f>SUMIFS('Accounting data'!$G$2:$G$26,'Accounting data'!$H$2:$H$26,"9999*",'Accounting data'!$J$2:$J$26,"34*",'Accounting data'!$K$2:$K$26,"65*")</f>
        <v>0</v>
      </c>
    </row>
    <row r="513" spans="1:5" x14ac:dyDescent="0.3">
      <c r="A513" s="677" t="s">
        <v>217</v>
      </c>
      <c r="B513" s="677" t="s">
        <v>219</v>
      </c>
      <c r="C513" s="677">
        <v>3400</v>
      </c>
      <c r="D513" s="686" t="s">
        <v>246</v>
      </c>
      <c r="E513" s="678">
        <f>SUMIFS('Accounting data'!$G$2:$G$26,'Accounting data'!$I$2:$I$26,"7*",'Accounting data'!$J$2:$J$26,"34*",'Accounting data'!$K$2:$K$26,"63*")+SUMIFS('Accounting data'!$G$2:$G$26,'Accounting data'!$I$2:$I$26,"8*",'Accounting data'!$J$2:$J$26,"34*",'Accounting data'!$K$2:$K$26,"63*")+SUMIFS('Accounting data'!$G$2:$G$26,'Accounting data'!$I$2:$I$26,"9*",'Accounting data'!$J$2:$J$26,"34*",'Accounting data'!$K$2:$K$26,"63*")+SUMIFS('Accounting data'!$G$2:$G$26,'Accounting data'!$I$2:$I$26,"7*",'Accounting data'!$J$2:$J$26,"34*",'Accounting data'!$K$2:$K$26,"64*")+SUMIFS('Accounting data'!$G$2:$G$26,'Accounting data'!$I$2:$I$26,"8*",'Accounting data'!$J$2:$J$26,"34*",'Accounting data'!$K$2:$K$26,"64*")+SUMIFS('Accounting data'!$G$2:$G$26,'Accounting data'!$I$2:$I$26,"9*",'Accounting data'!$J$2:$J$26,"34*",'Accounting data'!$K$2:$K$26,"64*")+SUMIFS('Accounting data'!$G$2:$G$26,'Accounting data'!$I$2:$I$26,"7*",'Accounting data'!$J$2:$J$26,"34*",'Accounting data'!$K$2:$K$26,"65*")+SUMIFS('Accounting data'!$G$2:$G$26,'Accounting data'!$I$2:$I$26,"8*",'Accounting data'!$J$2:$J$26,"34*",'Accounting data'!$K$2:$K$26,"65*")+SUMIFS('Accounting data'!$G$2:$G$26,'Accounting data'!$I$2:$I$26,"9*",'Accounting data'!$J$2:$J$26,"34*",'Accounting data'!$K$2:$K$26,"65*")</f>
        <v>0</v>
      </c>
    </row>
    <row r="514" spans="1:5" x14ac:dyDescent="0.3">
      <c r="A514" s="679" t="s">
        <v>218</v>
      </c>
      <c r="B514" s="677" t="s">
        <v>219</v>
      </c>
      <c r="C514" s="677">
        <v>3400</v>
      </c>
      <c r="D514" s="677">
        <v>6300</v>
      </c>
      <c r="E514" s="678">
        <f>SUMIFS('Accounting data'!$G$2:$G$26,'Accounting data'!$H$2:$H$26,"9999*",'Accounting data'!$I$2:$I$26,"7*",'Accounting data'!$J$2:$J$26,"34*",'Accounting data'!$K$2:$K$26,"63*")+SUMIFS('Accounting data'!$G$2:$G$26,'Accounting data'!$H$2:$H$26,"9999*",'Accounting data'!$I$2:$I$26,"8*",'Accounting data'!$J$2:$J$26,"34*",'Accounting data'!$K$2:$K$26,"63*")+SUMIFS('Accounting data'!$G$2:$G$26,'Accounting data'!$H$2:$H$26,"9999*",'Accounting data'!$I$2:$I$26,"9*",'Accounting data'!$J$2:$J$26,"34*",'Accounting data'!$K$2:$K$26,"63*")</f>
        <v>0</v>
      </c>
    </row>
    <row r="515" spans="1:5" x14ac:dyDescent="0.3">
      <c r="A515" s="679" t="s">
        <v>218</v>
      </c>
      <c r="B515" s="677" t="s">
        <v>219</v>
      </c>
      <c r="C515" s="677">
        <v>3400</v>
      </c>
      <c r="D515" s="677">
        <v>6400</v>
      </c>
      <c r="E515" s="678">
        <f>SUMIFS('Accounting data'!$G$2:$G$26,'Accounting data'!$H$2:$H$26,"9999*",'Accounting data'!$I$2:$I$26,"7*",'Accounting data'!$J$2:$J$26,"34*",'Accounting data'!$K$2:$K$26,"64*")+SUMIFS('Accounting data'!$G$2:$G$26,'Accounting data'!$H$2:$H$26,"9999*",'Accounting data'!$I$2:$I$26,"8*",'Accounting data'!$J$2:$J$26,"34*",'Accounting data'!$K$2:$K$26,"64*")+SUMIFS('Accounting data'!$G$2:$G$26,'Accounting data'!$H$2:$H$26,"9999*",'Accounting data'!$I$2:$I$26,"9*",'Accounting data'!$J$2:$J$26,"34*",'Accounting data'!$K$2:$K$26,"64*")</f>
        <v>0</v>
      </c>
    </row>
    <row r="516" spans="1:5" x14ac:dyDescent="0.3">
      <c r="A516" s="679" t="s">
        <v>218</v>
      </c>
      <c r="B516" s="677" t="s">
        <v>219</v>
      </c>
      <c r="C516" s="677">
        <v>3400</v>
      </c>
      <c r="D516" s="677">
        <v>6500</v>
      </c>
      <c r="E516" s="678">
        <f>SUMIFS('Accounting data'!$G$2:$G$26,'Accounting data'!$H$2:$H$26,"9999*",'Accounting data'!$I$2:$I$26,"7*",'Accounting data'!$J$2:$J$26,"34*",'Accounting data'!$K$2:$K$26,"65*")+SUMIFS('Accounting data'!$G$2:$G$26,'Accounting data'!$H$2:$H$26,"9999*",'Accounting data'!$I$2:$I$26,"8*",'Accounting data'!$J$2:$J$26,"34*",'Accounting data'!$K$2:$K$26,"65*")+SUMIFS('Accounting data'!$G$2:$G$26,'Accounting data'!$H$2:$H$26,"9999*",'Accounting data'!$I$2:$I$26,"9*",'Accounting data'!$J$2:$J$26,"34*",'Accounting data'!$K$2:$K$26,"65*")</f>
        <v>0</v>
      </c>
    </row>
    <row r="517" spans="1:5" x14ac:dyDescent="0.3">
      <c r="A517" s="677"/>
      <c r="B517" s="677"/>
      <c r="C517" s="677"/>
      <c r="D517" s="677"/>
      <c r="E517" s="678"/>
    </row>
    <row r="518" spans="1:5" x14ac:dyDescent="0.3">
      <c r="A518" s="677"/>
      <c r="B518" s="677"/>
      <c r="C518" s="677"/>
      <c r="D518" s="677"/>
      <c r="E518" s="678"/>
    </row>
    <row r="519" spans="1:5" x14ac:dyDescent="0.3">
      <c r="A519" s="677"/>
      <c r="B519" s="677"/>
      <c r="C519" s="677"/>
      <c r="D519" s="677"/>
      <c r="E519" s="678"/>
    </row>
    <row r="520" spans="1:5" x14ac:dyDescent="0.3">
      <c r="A520" s="677"/>
      <c r="B520" s="677"/>
      <c r="C520" s="677"/>
      <c r="D520" s="677"/>
      <c r="E520" s="678"/>
    </row>
    <row r="521" spans="1:5" x14ac:dyDescent="0.3">
      <c r="A521" s="677"/>
      <c r="B521" s="677"/>
      <c r="C521" s="677"/>
      <c r="D521" s="677"/>
      <c r="E521" s="678"/>
    </row>
    <row r="522" spans="1:5" x14ac:dyDescent="0.3">
      <c r="A522" s="677"/>
      <c r="B522" s="677"/>
      <c r="C522" s="677"/>
      <c r="D522" s="677"/>
      <c r="E522" s="678"/>
    </row>
    <row r="523" spans="1:5" x14ac:dyDescent="0.3">
      <c r="A523" s="677"/>
      <c r="B523" s="677"/>
      <c r="C523" s="677"/>
      <c r="D523" s="677"/>
      <c r="E523" s="678"/>
    </row>
    <row r="524" spans="1:5" x14ac:dyDescent="0.3">
      <c r="A524" s="677"/>
      <c r="B524" s="677"/>
      <c r="C524" s="677"/>
      <c r="D524" s="677"/>
      <c r="E524" s="678"/>
    </row>
    <row r="525" spans="1:5" x14ac:dyDescent="0.3">
      <c r="A525" s="677"/>
      <c r="B525" s="677"/>
      <c r="C525" s="677"/>
      <c r="D525" s="677"/>
      <c r="E525" s="678"/>
    </row>
    <row r="526" spans="1:5" x14ac:dyDescent="0.3">
      <c r="A526" s="679"/>
      <c r="B526" s="677"/>
      <c r="C526" s="677"/>
      <c r="D526" s="677"/>
      <c r="E526" s="678"/>
    </row>
    <row r="527" spans="1:5" x14ac:dyDescent="0.3">
      <c r="A527" s="677"/>
      <c r="B527" s="677"/>
      <c r="C527" s="677"/>
      <c r="D527" s="677"/>
      <c r="E527" s="678"/>
    </row>
    <row r="528" spans="1:5" x14ac:dyDescent="0.3">
      <c r="A528" s="677"/>
      <c r="B528" s="677"/>
      <c r="C528" s="677"/>
      <c r="D528" s="677"/>
      <c r="E528" s="678"/>
    </row>
    <row r="529" spans="1:5" x14ac:dyDescent="0.3">
      <c r="A529" s="677"/>
      <c r="B529" s="677"/>
      <c r="C529" s="677"/>
      <c r="D529" s="677"/>
      <c r="E529" s="678"/>
    </row>
    <row r="530" spans="1:5" x14ac:dyDescent="0.3">
      <c r="A530" s="677"/>
      <c r="B530" s="677"/>
      <c r="C530" s="677"/>
      <c r="D530" s="677"/>
      <c r="E530" s="678"/>
    </row>
    <row r="531" spans="1:5" x14ac:dyDescent="0.3">
      <c r="A531" s="677"/>
      <c r="B531" s="677"/>
      <c r="C531" s="677"/>
      <c r="D531" s="677"/>
      <c r="E531" s="678"/>
    </row>
    <row r="532" spans="1:5" x14ac:dyDescent="0.3">
      <c r="A532" s="679"/>
      <c r="B532" s="677"/>
      <c r="C532" s="677"/>
      <c r="D532" s="677"/>
      <c r="E532" s="678"/>
    </row>
    <row r="533" spans="1:5" x14ac:dyDescent="0.3">
      <c r="A533" s="677"/>
      <c r="B533" s="677"/>
      <c r="C533" s="677"/>
      <c r="D533" s="677"/>
      <c r="E533" s="678"/>
    </row>
    <row r="534" spans="1:5" x14ac:dyDescent="0.3">
      <c r="A534" s="677"/>
      <c r="B534" s="677"/>
      <c r="C534" s="677"/>
      <c r="D534" s="677"/>
      <c r="E534" s="678"/>
    </row>
    <row r="535" spans="1:5" x14ac:dyDescent="0.3">
      <c r="A535" s="680" t="s">
        <v>254</v>
      </c>
      <c r="B535" s="680"/>
      <c r="C535" s="680"/>
      <c r="D535" s="680"/>
      <c r="E535" s="682">
        <f>((E509-E510-E511-E512-E513)+(E514+E515+E516+E517+E518+E519+E520+E521+E522))-((E523-E524-E525)+(E526+E527+E528))-((E529-E530-E531)+(E532+E533+E534))</f>
        <v>0</v>
      </c>
    </row>
    <row r="536" spans="1:5" x14ac:dyDescent="0.3">
      <c r="A536" s="677" t="s">
        <v>217</v>
      </c>
      <c r="B536" s="677" t="s">
        <v>217</v>
      </c>
      <c r="C536" s="677">
        <v>4000</v>
      </c>
      <c r="D536" s="686" t="s">
        <v>246</v>
      </c>
      <c r="E536" s="678">
        <f>SUMIFS('Accounting data'!$G$2:$G$26,'Accounting data'!$J$2:$J$26,"4*",'Accounting data'!$K$2:$K$26,"63*")+SUMIFS('Accounting data'!$G$2:$G$26,'Accounting data'!$J$2:$J$26,"4*",'Accounting data'!$K$2:$K$26,"64*")+SUMIFS('Accounting data'!$G$2:$G$26,'Accounting data'!$J$2:$J$26,"4*",'Accounting data'!$K$2:$K$26,"65*")</f>
        <v>0</v>
      </c>
    </row>
    <row r="537" spans="1:5" x14ac:dyDescent="0.3">
      <c r="A537" s="677" t="s">
        <v>218</v>
      </c>
      <c r="B537" s="677" t="s">
        <v>217</v>
      </c>
      <c r="C537" s="677">
        <v>4000</v>
      </c>
      <c r="D537" s="677">
        <v>6300</v>
      </c>
      <c r="E537" s="678">
        <f>SUMIFS('Accounting data'!$G$2:$G$26,'Accounting data'!$H$2:$H$26,"9999*",'Accounting data'!$J$2:$J$26,"4*",'Accounting data'!$K$2:$K$26,"63*")</f>
        <v>0</v>
      </c>
    </row>
    <row r="538" spans="1:5" x14ac:dyDescent="0.3">
      <c r="A538" s="677" t="s">
        <v>218</v>
      </c>
      <c r="B538" s="677" t="s">
        <v>217</v>
      </c>
      <c r="C538" s="677">
        <v>4000</v>
      </c>
      <c r="D538" s="677">
        <v>6400</v>
      </c>
      <c r="E538" s="678">
        <f>SUMIFS('Accounting data'!$G$2:$G$26,'Accounting data'!$H$2:$H$26,"9999*",'Accounting data'!$J$2:$J$26,"4*",'Accounting data'!$K$2:$K$26,"64*")</f>
        <v>0</v>
      </c>
    </row>
    <row r="539" spans="1:5" x14ac:dyDescent="0.3">
      <c r="A539" s="677" t="s">
        <v>218</v>
      </c>
      <c r="B539" s="677" t="s">
        <v>217</v>
      </c>
      <c r="C539" s="677">
        <v>4000</v>
      </c>
      <c r="D539" s="677">
        <v>6500</v>
      </c>
      <c r="E539" s="678">
        <f>SUMIFS('Accounting data'!$G$2:$G$26,'Accounting data'!$H$2:$H$26,"9999*",'Accounting data'!$J$2:$J$26,"4*",'Accounting data'!$K$2:$K$26,"65*")</f>
        <v>0</v>
      </c>
    </row>
    <row r="540" spans="1:5" x14ac:dyDescent="0.3">
      <c r="A540" s="677" t="s">
        <v>217</v>
      </c>
      <c r="B540" s="677" t="s">
        <v>219</v>
      </c>
      <c r="C540" s="677">
        <v>4000</v>
      </c>
      <c r="D540" s="686" t="s">
        <v>246</v>
      </c>
      <c r="E540" s="678">
        <f>SUMIFS('Accounting data'!$G$2:$G$26,'Accounting data'!$I$2:$I$26,"7*",'Accounting data'!$J$2:$J$26,"4*",'Accounting data'!$K$2:$K$26,"63*")+SUMIFS('Accounting data'!$G$2:$G$26,'Accounting data'!$I$2:$I$26,"8*",'Accounting data'!$J$2:$J$26,"4*",'Accounting data'!$K$2:$K$26,"63*")+SUMIFS('Accounting data'!$G$2:$G$26,'Accounting data'!$I$2:$I$26,"9*",'Accounting data'!$J$2:$J$26,"4*",'Accounting data'!$K$2:$K$26,"63*")+SUMIFS('Accounting data'!$G$2:$G$26,'Accounting data'!$I$2:$I$26,"7*",'Accounting data'!$J$2:$J$26,"4*",'Accounting data'!$K$2:$K$26,"64*")+SUMIFS('Accounting data'!$G$2:$G$26,'Accounting data'!$I$2:$I$26,"8*",'Accounting data'!$J$2:$J$26,"4*",'Accounting data'!$K$2:$K$26,"64*")+SUMIFS('Accounting data'!$G$2:$G$26,'Accounting data'!$I$2:$I$26,"9*",'Accounting data'!$J$2:$J$26,"4*",'Accounting data'!$K$2:$K$26,"64*")+SUMIFS('Accounting data'!$G$2:$G$26,'Accounting data'!$I$2:$I$26,"7*",'Accounting data'!$J$2:$J$26,"4*",'Accounting data'!$K$2:$K$26,"65*")+SUMIFS('Accounting data'!$G$2:$G$26,'Accounting data'!$I$2:$I$26,"8*",'Accounting data'!$J$2:$J$26,"4*",'Accounting data'!$K$2:$K$26,"65*")+SUMIFS('Accounting data'!$G$2:$G$26,'Accounting data'!$I$2:$I$26,"9*",'Accounting data'!$J$2:$J$26,"4*",'Accounting data'!$K$2:$K$26,"65*")</f>
        <v>0</v>
      </c>
    </row>
    <row r="541" spans="1:5" x14ac:dyDescent="0.3">
      <c r="A541" s="679" t="s">
        <v>218</v>
      </c>
      <c r="B541" s="677" t="s">
        <v>219</v>
      </c>
      <c r="C541" s="677">
        <v>4000</v>
      </c>
      <c r="D541" s="677">
        <v>6300</v>
      </c>
      <c r="E541" s="678">
        <f>SUMIFS('Accounting data'!$G$2:$G$26,'Accounting data'!$H$2:$H$26,"9999*",'Accounting data'!$I$2:$I$26,"7*",'Accounting data'!$J$2:$J$26,"4*",'Accounting data'!$K$2:$K$26,"63*")+SUMIFS('Accounting data'!$G$2:$G$26,'Accounting data'!$H$2:$H$26,"9999*",'Accounting data'!$I$2:$I$26,"8*",'Accounting data'!$J$2:$J$26,"4*",'Accounting data'!$K$2:$K$26,"63*")+SUMIFS('Accounting data'!$G$2:$G$26,'Accounting data'!$H$2:$H$26,"9999*",'Accounting data'!$I$2:$I$26,"9*",'Accounting data'!$J$2:$J$26,"4*",'Accounting data'!$K$2:$K$26,"63*")</f>
        <v>0</v>
      </c>
    </row>
    <row r="542" spans="1:5" x14ac:dyDescent="0.3">
      <c r="A542" s="679" t="s">
        <v>218</v>
      </c>
      <c r="B542" s="677" t="s">
        <v>219</v>
      </c>
      <c r="C542" s="677">
        <v>4000</v>
      </c>
      <c r="D542" s="677">
        <v>6400</v>
      </c>
      <c r="E542" s="678">
        <f>SUMIFS('Accounting data'!$G$2:$G$26,'Accounting data'!$H$2:$H$26,"9999*",'Accounting data'!$I$2:$I$26,"7*",'Accounting data'!$J$2:$J$26,"4*",'Accounting data'!$K$2:$K$26,"64*")+SUMIFS('Accounting data'!$G$2:$G$26,'Accounting data'!$H$2:$H$26,"9999*",'Accounting data'!$I$2:$I$26,"8*",'Accounting data'!$J$2:$J$26,"4*",'Accounting data'!$K$2:$K$26,"64*")+SUMIFS('Accounting data'!$G$2:$G$26,'Accounting data'!$H$2:$H$26,"9999*",'Accounting data'!$I$2:$I$26,"9*",'Accounting data'!$J$2:$J$26,"4*",'Accounting data'!$K$2:$K$26,"64*")</f>
        <v>0</v>
      </c>
    </row>
    <row r="543" spans="1:5" x14ac:dyDescent="0.3">
      <c r="A543" s="679" t="s">
        <v>218</v>
      </c>
      <c r="B543" s="677" t="s">
        <v>219</v>
      </c>
      <c r="C543" s="677">
        <v>4000</v>
      </c>
      <c r="D543" s="677">
        <v>6500</v>
      </c>
      <c r="E543" s="678">
        <f>SUMIFS('Accounting data'!$G$2:$G$26,'Accounting data'!$H$2:$H$26,"9999*",'Accounting data'!$I$2:$I$26,"7*",'Accounting data'!$J$2:$J$26,"4*",'Accounting data'!$K$2:$K$26,"65*")+SUMIFS('Accounting data'!$G$2:$G$26,'Accounting data'!$H$2:$H$26,"9999*",'Accounting data'!$I$2:$I$26,"8*",'Accounting data'!$J$2:$J$26,"4*",'Accounting data'!$K$2:$K$26,"65*")+SUMIFS('Accounting data'!$G$2:$G$26,'Accounting data'!$H$2:$H$26,"9999*",'Accounting data'!$I$2:$I$26,"9*",'Accounting data'!$J$2:$J$26,"4*",'Accounting data'!$K$2:$K$26,"65*")</f>
        <v>0</v>
      </c>
    </row>
    <row r="544" spans="1:5" x14ac:dyDescent="0.3">
      <c r="A544" s="677"/>
      <c r="B544" s="677"/>
      <c r="C544" s="677"/>
      <c r="D544" s="677"/>
      <c r="E544" s="678"/>
    </row>
    <row r="545" spans="1:5" x14ac:dyDescent="0.3">
      <c r="A545" s="677"/>
      <c r="B545" s="677"/>
      <c r="C545" s="677"/>
      <c r="D545" s="677"/>
      <c r="E545" s="678"/>
    </row>
    <row r="546" spans="1:5" x14ac:dyDescent="0.3">
      <c r="A546" s="677"/>
      <c r="B546" s="677"/>
      <c r="C546" s="677"/>
      <c r="D546" s="677"/>
      <c r="E546" s="678"/>
    </row>
    <row r="547" spans="1:5" x14ac:dyDescent="0.3">
      <c r="A547" s="677"/>
      <c r="B547" s="677"/>
      <c r="C547" s="677"/>
      <c r="D547" s="677"/>
      <c r="E547" s="678"/>
    </row>
    <row r="548" spans="1:5" x14ac:dyDescent="0.3">
      <c r="A548" s="677"/>
      <c r="B548" s="677"/>
      <c r="C548" s="677"/>
      <c r="D548" s="677"/>
      <c r="E548" s="678"/>
    </row>
    <row r="549" spans="1:5" x14ac:dyDescent="0.3">
      <c r="A549" s="677"/>
      <c r="B549" s="677"/>
      <c r="C549" s="677"/>
      <c r="D549" s="677"/>
      <c r="E549" s="678"/>
    </row>
    <row r="550" spans="1:5" x14ac:dyDescent="0.3">
      <c r="A550" s="677"/>
      <c r="B550" s="677"/>
      <c r="C550" s="677"/>
      <c r="D550" s="677"/>
      <c r="E550" s="678"/>
    </row>
    <row r="551" spans="1:5" x14ac:dyDescent="0.3">
      <c r="A551" s="677"/>
      <c r="B551" s="677"/>
      <c r="C551" s="677"/>
      <c r="D551" s="677"/>
      <c r="E551" s="678"/>
    </row>
    <row r="552" spans="1:5" x14ac:dyDescent="0.3">
      <c r="A552" s="677"/>
      <c r="B552" s="677"/>
      <c r="C552" s="677"/>
      <c r="D552" s="677"/>
      <c r="E552" s="678"/>
    </row>
    <row r="553" spans="1:5" x14ac:dyDescent="0.3">
      <c r="A553" s="679"/>
      <c r="B553" s="677"/>
      <c r="C553" s="677"/>
      <c r="D553" s="677"/>
      <c r="E553" s="678"/>
    </row>
    <row r="554" spans="1:5" x14ac:dyDescent="0.3">
      <c r="A554" s="677"/>
      <c r="B554" s="677"/>
      <c r="C554" s="677"/>
      <c r="D554" s="677"/>
      <c r="E554" s="678"/>
    </row>
    <row r="555" spans="1:5" x14ac:dyDescent="0.3">
      <c r="A555" s="677"/>
      <c r="B555" s="677"/>
      <c r="C555" s="677"/>
      <c r="D555" s="677"/>
      <c r="E555" s="678"/>
    </row>
    <row r="556" spans="1:5" x14ac:dyDescent="0.3">
      <c r="A556" s="677"/>
      <c r="B556" s="677"/>
      <c r="C556" s="677"/>
      <c r="D556" s="677"/>
      <c r="E556" s="678"/>
    </row>
    <row r="557" spans="1:5" x14ac:dyDescent="0.3">
      <c r="A557" s="677"/>
      <c r="B557" s="677"/>
      <c r="C557" s="677"/>
      <c r="D557" s="677"/>
      <c r="E557" s="678"/>
    </row>
    <row r="558" spans="1:5" x14ac:dyDescent="0.3">
      <c r="A558" s="677"/>
      <c r="B558" s="677"/>
      <c r="C558" s="677"/>
      <c r="D558" s="677"/>
      <c r="E558" s="678"/>
    </row>
    <row r="559" spans="1:5" x14ac:dyDescent="0.3">
      <c r="A559" s="679"/>
      <c r="B559" s="677"/>
      <c r="C559" s="677"/>
      <c r="D559" s="677"/>
      <c r="E559" s="678"/>
    </row>
    <row r="560" spans="1:5" x14ac:dyDescent="0.3">
      <c r="A560" s="677"/>
      <c r="B560" s="677"/>
      <c r="C560" s="677"/>
      <c r="D560" s="677"/>
      <c r="E560" s="678"/>
    </row>
    <row r="561" spans="1:5" x14ac:dyDescent="0.3">
      <c r="A561" s="677"/>
      <c r="B561" s="677"/>
      <c r="C561" s="677"/>
      <c r="D561" s="677"/>
      <c r="E561" s="678"/>
    </row>
    <row r="562" spans="1:5" x14ac:dyDescent="0.3">
      <c r="A562" s="680" t="s">
        <v>255</v>
      </c>
      <c r="B562" s="680"/>
      <c r="C562" s="680"/>
      <c r="D562" s="680"/>
      <c r="E562" s="682">
        <f>((E536-E537-E538-E539-E540)+(E541+E542+E543+E544+E545+E546+E547+E548+E549))-((E550-E551-E552)+(E553+E554+E555))-((E556-E557-E558)+(E559+E560+E561))</f>
        <v>0</v>
      </c>
    </row>
    <row r="563" spans="1:5" x14ac:dyDescent="0.3">
      <c r="A563" s="683" t="s">
        <v>256</v>
      </c>
      <c r="B563" s="683"/>
      <c r="C563" s="683"/>
      <c r="D563" s="683"/>
      <c r="E563" s="687">
        <f>E238+E265+E292+E319+E346+E373+E400+E427+E454+E481+E508+E535</f>
        <v>1531573</v>
      </c>
    </row>
    <row r="564" spans="1:5" ht="14.5" x14ac:dyDescent="0.35">
      <c r="A564" s="677" t="s">
        <v>231</v>
      </c>
      <c r="B564" s="677" t="s">
        <v>217</v>
      </c>
      <c r="C564" s="677">
        <v>1000</v>
      </c>
      <c r="D564" s="677">
        <v>6300</v>
      </c>
      <c r="E564" s="685">
        <f>SUMIFS('Accounting data'!$G$2:$G$26,'Accounting data'!$H$2:$H$26,"11*",'Accounting data'!$J$2:$J$26,"1*",'Accounting data'!$K$2:$K$26,"63*")+SUMIFS('Accounting data'!$G$2:$G$26,'Accounting data'!$H$2:$H$26,"12*",'Accounting data'!$J$2:$J$26,"1*",'Accounting data'!$K$2:$K$26,"63*")+SUMIFS('Accounting data'!$G$2:$G$26,'Accounting data'!$H$2:$H$26,"13*",'Accounting data'!$J$2:$J$26,"1*",'Accounting data'!$K$2:$K$26,"63*")</f>
        <v>0</v>
      </c>
    </row>
    <row r="565" spans="1:5" ht="14.5" x14ac:dyDescent="0.35">
      <c r="A565" s="677" t="s">
        <v>231</v>
      </c>
      <c r="B565" s="677" t="s">
        <v>217</v>
      </c>
      <c r="C565" s="677">
        <v>2000</v>
      </c>
      <c r="D565" s="677">
        <v>6300</v>
      </c>
      <c r="E565" s="685">
        <f>SUMIFS('Accounting data'!$G$2:$G$26,'Accounting data'!$H$2:$H$26,"11*",'Accounting data'!$J$2:$J$26,"2*",'Accounting data'!$K$2:$K$26,"63*")+SUMIFS('Accounting data'!$G$2:$G$26,'Accounting data'!$H$2:$H$26,"12*",'Accounting data'!$J$2:$J$26,"2*",'Accounting data'!$K$2:$K$26,"63*")+SUMIFS('Accounting data'!$G$2:$G$26,'Accounting data'!$H$2:$H$26,"13*",'Accounting data'!$J$2:$J$26,"2*",'Accounting data'!$K$2:$K$26,"63*")</f>
        <v>15635</v>
      </c>
    </row>
    <row r="566" spans="1:5" ht="14.5" x14ac:dyDescent="0.35">
      <c r="A566" s="677" t="s">
        <v>231</v>
      </c>
      <c r="B566" s="677" t="s">
        <v>217</v>
      </c>
      <c r="C566" s="677">
        <v>3000</v>
      </c>
      <c r="D566" s="677">
        <v>6300</v>
      </c>
      <c r="E566" s="685">
        <f>SUMIFS('Accounting data'!$G$2:$G$26,'Accounting data'!$H$2:$H$26,"11*",'Accounting data'!$J$2:$J$26,"3*",'Accounting data'!$K$2:$K$26,"63*")+SUMIFS('Accounting data'!$G$2:$G$26,'Accounting data'!$H$2:$H$26,"12*",'Accounting data'!$J$2:$J$26,"3*",'Accounting data'!$K$2:$K$26,"63*")+SUMIFS('Accounting data'!$G$2:$G$26,'Accounting data'!$H$2:$H$26,"13*",'Accounting data'!$J$2:$J$26,"3*",'Accounting data'!$K$2:$K$26,"63*")</f>
        <v>0</v>
      </c>
    </row>
    <row r="567" spans="1:5" ht="14.5" x14ac:dyDescent="0.35">
      <c r="A567" s="677" t="s">
        <v>231</v>
      </c>
      <c r="B567" s="679">
        <v>700</v>
      </c>
      <c r="C567" s="677">
        <v>1000</v>
      </c>
      <c r="D567" s="677">
        <v>6300</v>
      </c>
      <c r="E567" s="685">
        <f>SUMIFS('Accounting data'!$G$2:$G$26,'Accounting data'!$H$2:$H$26,"11*",'Accounting data'!$I$2:$I$26,"7*",'Accounting data'!$J$2:$J$26,"1*",'Accounting data'!$K$2:$K$26,"63*")+SUMIFS('Accounting data'!$G$2:$G$26,'Accounting data'!$H$2:$H$26,"12*",'Accounting data'!$I$2:$I$26,"7*",'Accounting data'!$J$2:$J$26,"1*",'Accounting data'!$K$2:$K$26,"63*")+SUMIFS('Accounting data'!$G$2:$G$26,'Accounting data'!$H$2:$H$26,"13*",'Accounting data'!$I$2:$I$26,"7*",'Accounting data'!$J$2:$J$26,"1*",'Accounting data'!$K$2:$K$26,"63*")</f>
        <v>0</v>
      </c>
    </row>
    <row r="568" spans="1:5" ht="14.5" x14ac:dyDescent="0.35">
      <c r="A568" s="677" t="s">
        <v>231</v>
      </c>
      <c r="B568" s="679">
        <v>800</v>
      </c>
      <c r="C568" s="677">
        <v>1000</v>
      </c>
      <c r="D568" s="677">
        <v>6300</v>
      </c>
      <c r="E568" s="685">
        <f>SUMIFS('Accounting data'!$G$2:$G$26,'Accounting data'!$H$2:$H$26,"11*",'Accounting data'!$I$2:$I$26,"8*",'Accounting data'!$J$2:$J$26,"1*",'Accounting data'!$K$2:$K$26,"63*")+SUMIFS('Accounting data'!$G$2:$G$26,'Accounting data'!$H$2:$H$26,"12*",'Accounting data'!$I$2:$I$26,"8*",'Accounting data'!$J$2:$J$26,"1*",'Accounting data'!$K$2:$K$26,"63*")+SUMIFS('Accounting data'!$G$2:$G$26,'Accounting data'!$H$2:$H$26,"13*",'Accounting data'!$I$2:$I$26,"8*",'Accounting data'!$J$2:$J$26,"1*",'Accounting data'!$K$2:$K$26,"63*")</f>
        <v>0</v>
      </c>
    </row>
    <row r="569" spans="1:5" ht="14.5" x14ac:dyDescent="0.35">
      <c r="A569" s="677" t="s">
        <v>231</v>
      </c>
      <c r="B569" s="679">
        <v>900</v>
      </c>
      <c r="C569" s="677">
        <v>1000</v>
      </c>
      <c r="D569" s="677">
        <v>6300</v>
      </c>
      <c r="E569" s="685">
        <f>SUMIFS('Accounting data'!$G$2:$G$26,'Accounting data'!$H$2:$H$26,"11*",'Accounting data'!$I$2:$I$26,"9*",'Accounting data'!$J$2:$J$26,"1*",'Accounting data'!$K$2:$K$26,"63*")+SUMIFS('Accounting data'!$G$2:$G$26,'Accounting data'!$H$2:$H$26,"12*",'Accounting data'!$I$2:$I$26,"9*",'Accounting data'!$J$2:$J$26,"1*",'Accounting data'!$K$2:$K$26,"63*")+SUMIFS('Accounting data'!$G$2:$G$26,'Accounting data'!$H$2:$H$26,"13*",'Accounting data'!$I$2:$I$26,"9*",'Accounting data'!$J$2:$J$26,"1*",'Accounting data'!$K$2:$K$26,"63*")</f>
        <v>0</v>
      </c>
    </row>
    <row r="570" spans="1:5" x14ac:dyDescent="0.3">
      <c r="A570" s="677" t="s">
        <v>231</v>
      </c>
      <c r="B570" s="679">
        <v>700</v>
      </c>
      <c r="C570" s="677">
        <v>2000</v>
      </c>
      <c r="D570" s="677">
        <v>6300</v>
      </c>
      <c r="E570" s="678">
        <f>SUMIFS('Accounting data'!$G$2:$G$26,'Accounting data'!$H$2:$H$26,"11*",'Accounting data'!$I$2:$I$26,"7*",'Accounting data'!$J$2:$J$26,"2*",'Accounting data'!$K$2:$K$26,"63*")+SUMIFS('Accounting data'!$G$2:$G$26,'Accounting data'!$H$2:$H$26,"12*",'Accounting data'!$I$2:$I$26,"7*",'Accounting data'!$J$2:$J$26,"2*",'Accounting data'!$K$2:$K$26,"63*")+SUMIFS('Accounting data'!$G$2:$G$26,'Accounting data'!$H$2:$H$26,"13*",'Accounting data'!$I$2:$I$26,"7*",'Accounting data'!$J$2:$J$26,"2*",'Accounting data'!$K$2:$K$26,"63*")</f>
        <v>0</v>
      </c>
    </row>
    <row r="571" spans="1:5" x14ac:dyDescent="0.3">
      <c r="A571" s="677" t="s">
        <v>231</v>
      </c>
      <c r="B571" s="679">
        <v>800</v>
      </c>
      <c r="C571" s="677">
        <v>2000</v>
      </c>
      <c r="D571" s="677">
        <v>6300</v>
      </c>
      <c r="E571" s="678">
        <f>SUMIFS('Accounting data'!$G$2:$G$26,'Accounting data'!$H$2:$H$26,"11*",'Accounting data'!$I$2:$I$26,"8*",'Accounting data'!$J$2:$J$26,"2*",'Accounting data'!$K$2:$K$26,"63*")+SUMIFS('Accounting data'!$G$2:$G$26,'Accounting data'!$H$2:$H$26,"12*",'Accounting data'!$I$2:$I$26,"8*",'Accounting data'!$J$2:$J$26,"2*",'Accounting data'!$K$2:$K$26,"63*")+SUMIFS('Accounting data'!$G$2:$G$26,'Accounting data'!$H$2:$H$26,"13*",'Accounting data'!$I$2:$I$26,"8*",'Accounting data'!$J$2:$J$26,"2*",'Accounting data'!$K$2:$K$26,"63*")</f>
        <v>0</v>
      </c>
    </row>
    <row r="572" spans="1:5" x14ac:dyDescent="0.3">
      <c r="A572" s="677" t="s">
        <v>231</v>
      </c>
      <c r="B572" s="679">
        <v>900</v>
      </c>
      <c r="C572" s="677">
        <v>2000</v>
      </c>
      <c r="D572" s="677">
        <v>6300</v>
      </c>
      <c r="E572" s="678">
        <f>SUMIFS('Accounting data'!$G$2:$G$26,'Accounting data'!$H$2:$H$26,"11*",'Accounting data'!$I$2:$I$26,"9*",'Accounting data'!$J$2:$J$26,"2*",'Accounting data'!$K$2:$K$26,"63*")+SUMIFS('Accounting data'!$G$2:$G$26,'Accounting data'!$H$2:$H$26,"12*",'Accounting data'!$I$2:$I$26,"9*",'Accounting data'!$J$2:$J$26,"2*",'Accounting data'!$K$2:$K$26,"63*")+SUMIFS('Accounting data'!$G$2:$G$26,'Accounting data'!$H$2:$H$26,"13*",'Accounting data'!$I$2:$I$26,"9*",'Accounting data'!$J$2:$J$26,"2*",'Accounting data'!$K$2:$K$26,"63*")</f>
        <v>0</v>
      </c>
    </row>
    <row r="573" spans="1:5" x14ac:dyDescent="0.3">
      <c r="A573" s="677" t="s">
        <v>231</v>
      </c>
      <c r="B573" s="679">
        <v>700</v>
      </c>
      <c r="C573" s="677">
        <v>3000</v>
      </c>
      <c r="D573" s="677">
        <v>6300</v>
      </c>
      <c r="E573" s="678">
        <f>SUMIFS('Accounting data'!$G$2:$G$26,'Accounting data'!$H$2:$H$26,"11*",'Accounting data'!$I$2:$I$26,"7*",'Accounting data'!$J$2:$J$26,"3*",'Accounting data'!$K$2:$K$26,"63*")+SUMIFS('Accounting data'!$G$2:$G$26,'Accounting data'!$H$2:$H$26,"12*",'Accounting data'!$I$2:$I$26,"7*",'Accounting data'!$J$2:$J$26,"3*",'Accounting data'!$K$2:$K$26,"63*")+SUMIFS('Accounting data'!$G$2:$G$26,'Accounting data'!$H$2:$H$26,"13*",'Accounting data'!$I$2:$I$26,"7*",'Accounting data'!$J$2:$J$26,"3*",'Accounting data'!$K$2:$K$26,"63*")</f>
        <v>0</v>
      </c>
    </row>
    <row r="574" spans="1:5" x14ac:dyDescent="0.3">
      <c r="A574" s="677" t="s">
        <v>231</v>
      </c>
      <c r="B574" s="679">
        <v>800</v>
      </c>
      <c r="C574" s="677">
        <v>3000</v>
      </c>
      <c r="D574" s="677">
        <v>6300</v>
      </c>
      <c r="E574" s="678">
        <f>SUMIFS('Accounting data'!$G$2:$G$26,'Accounting data'!$H$2:$H$26,"11*",'Accounting data'!$I$2:$I$26,"8*",'Accounting data'!$J$2:$J$26,"3*",'Accounting data'!$K$2:$K$26,"63*")+SUMIFS('Accounting data'!$G$2:$G$26,'Accounting data'!$H$2:$H$26,"12*",'Accounting data'!$I$2:$I$26,"8*",'Accounting data'!$J$2:$J$26,"3*",'Accounting data'!$K$2:$K$26,"63*")+SUMIFS('Accounting data'!$G$2:$G$26,'Accounting data'!$H$2:$H$26,"13*",'Accounting data'!$I$2:$I$26,"8*",'Accounting data'!$J$2:$J$26,"3*",'Accounting data'!$K$2:$K$26,"63*")</f>
        <v>0</v>
      </c>
    </row>
    <row r="575" spans="1:5" x14ac:dyDescent="0.3">
      <c r="A575" s="677" t="s">
        <v>231</v>
      </c>
      <c r="B575" s="679">
        <v>900</v>
      </c>
      <c r="C575" s="677">
        <v>3000</v>
      </c>
      <c r="D575" s="677">
        <v>6300</v>
      </c>
      <c r="E575" s="678">
        <f>SUMIFS('Accounting data'!$G$2:$G$26,'Accounting data'!$H$2:$H$26,"11*",'Accounting data'!$I$2:$I$26,"9*",'Accounting data'!$J$2:$J$26,"3*",'Accounting data'!$K$2:$K$26,"63*")+SUMIFS('Accounting data'!$G$2:$G$26,'Accounting data'!$H$2:$H$26,"12*",'Accounting data'!$I$2:$I$26,"9*",'Accounting data'!$J$2:$J$26,"3*",'Accounting data'!$K$2:$K$26,"63*")+SUMIFS('Accounting data'!$G$2:$G$26,'Accounting data'!$H$2:$H$26,"13*",'Accounting data'!$I$2:$I$26,"9*",'Accounting data'!$J$2:$J$26,"3*",'Accounting data'!$K$2:$K$26,"63*")</f>
        <v>0</v>
      </c>
    </row>
    <row r="576" spans="1:5" x14ac:dyDescent="0.3">
      <c r="A576" s="680" t="s">
        <v>257</v>
      </c>
      <c r="B576" s="680"/>
      <c r="C576" s="680"/>
      <c r="D576" s="680"/>
      <c r="E576" s="682">
        <f>(E564+E565+E566)-(E567+E568+E569+E570+E571+E572+E573+E574+E575)</f>
        <v>15635</v>
      </c>
    </row>
    <row r="577" spans="1:5" x14ac:dyDescent="0.3">
      <c r="A577" s="677" t="s">
        <v>231</v>
      </c>
      <c r="B577" s="677" t="s">
        <v>217</v>
      </c>
      <c r="C577" s="677">
        <v>1000</v>
      </c>
      <c r="D577" s="677">
        <v>6400</v>
      </c>
      <c r="E577" s="678">
        <f>SUMIFS('Accounting data'!$G$2:$G$26,'Accounting data'!$H$2:$H$26,"11*",'Accounting data'!$J$2:$J$26,"1*",'Accounting data'!$K$2:$K$26,"64*")+SUMIFS('Accounting data'!$G$2:$G$26,'Accounting data'!$H$2:$H$26,"12*",'Accounting data'!$J$2:$J$26,"1*",'Accounting data'!$K$2:$K$26,"64*")+SUMIFS('Accounting data'!$G$2:$G$26,'Accounting data'!$H$2:$H$26,"13*",'Accounting data'!$J$2:$J$26,"1*",'Accounting data'!$K$2:$K$26,"64*")</f>
        <v>0</v>
      </c>
    </row>
    <row r="578" spans="1:5" x14ac:dyDescent="0.3">
      <c r="A578" s="677" t="s">
        <v>231</v>
      </c>
      <c r="B578" s="677" t="s">
        <v>217</v>
      </c>
      <c r="C578" s="677">
        <v>2000</v>
      </c>
      <c r="D578" s="677">
        <v>6400</v>
      </c>
      <c r="E578" s="678">
        <f>SUMIFS('Accounting data'!$G$2:$G$26,'Accounting data'!$H$2:$H$26,"11*",'Accounting data'!$J$2:$J$26,"2*",'Accounting data'!$K$2:$K$26,"64*")+SUMIFS('Accounting data'!$G$2:$G$26,'Accounting data'!$H$2:$H$26,"12*",'Accounting data'!$J$2:$J$26,"2*",'Accounting data'!$K$2:$K$26,"64*")+SUMIFS('Accounting data'!$G$2:$G$26,'Accounting data'!$H$2:$H$26,"13*",'Accounting data'!$J$2:$J$26,"2*",'Accounting data'!$K$2:$K$26,"64*")</f>
        <v>0</v>
      </c>
    </row>
    <row r="579" spans="1:5" x14ac:dyDescent="0.3">
      <c r="A579" s="677" t="s">
        <v>231</v>
      </c>
      <c r="B579" s="677" t="s">
        <v>217</v>
      </c>
      <c r="C579" s="677">
        <v>3000</v>
      </c>
      <c r="D579" s="677">
        <v>6400</v>
      </c>
      <c r="E579" s="678">
        <f>SUMIFS('Accounting data'!$G$2:$G$26,'Accounting data'!$H$2:$H$26,"11*",'Accounting data'!$J$2:$J$26,"3*",'Accounting data'!$K$2:$K$26,"64*")+SUMIFS('Accounting data'!$G$2:$G$26,'Accounting data'!$H$2:$H$26,"12*",'Accounting data'!$J$2:$J$26,"3*",'Accounting data'!$K$2:$K$26,"64*")+SUMIFS('Accounting data'!$G$2:$G$26,'Accounting data'!$H$2:$H$26,"13*",'Accounting data'!$J$2:$J$26,"3*",'Accounting data'!$K$2:$K$26,"64*")</f>
        <v>0</v>
      </c>
    </row>
    <row r="580" spans="1:5" x14ac:dyDescent="0.3">
      <c r="A580" s="677" t="s">
        <v>231</v>
      </c>
      <c r="B580" s="679">
        <v>700</v>
      </c>
      <c r="C580" s="677">
        <v>1000</v>
      </c>
      <c r="D580" s="677">
        <v>6400</v>
      </c>
      <c r="E580" s="678">
        <f>SUMIFS('Accounting data'!$G$2:$G$26,'Accounting data'!$H$2:$H$26,"11*",'Accounting data'!$I$2:$I$26,"7*",'Accounting data'!$J$2:$J$26,"1*",'Accounting data'!$K$2:$K$26,"64*")+SUMIFS('Accounting data'!$G$2:$G$26,'Accounting data'!$H$2:$H$26,"12*",'Accounting data'!$I$2:$I$26,"7*",'Accounting data'!$J$2:$J$26,"1*",'Accounting data'!$K$2:$K$26,"64*")+SUMIFS('Accounting data'!$G$2:$G$26,'Accounting data'!$H$2:$H$26,"13*",'Accounting data'!$I$2:$I$26,"7*",'Accounting data'!$J$2:$J$26,"1*",'Accounting data'!$K$2:$K$26,"64*")</f>
        <v>0</v>
      </c>
    </row>
    <row r="581" spans="1:5" x14ac:dyDescent="0.3">
      <c r="A581" s="677" t="s">
        <v>231</v>
      </c>
      <c r="B581" s="679">
        <v>800</v>
      </c>
      <c r="C581" s="677">
        <v>1000</v>
      </c>
      <c r="D581" s="677">
        <v>6400</v>
      </c>
      <c r="E581" s="678">
        <f>SUMIFS('Accounting data'!$G$2:$G$26,'Accounting data'!$H$2:$H$26,"11*",'Accounting data'!$I$2:$I$26,"8*",'Accounting data'!$J$2:$J$26,"1*",'Accounting data'!$K$2:$K$26,"64*")+SUMIFS('Accounting data'!$G$2:$G$26,'Accounting data'!$H$2:$H$26,"12*",'Accounting data'!$I$2:$I$26,"8*",'Accounting data'!$J$2:$J$26,"1*",'Accounting data'!$K$2:$K$26,"64*")+SUMIFS('Accounting data'!$G$2:$G$26,'Accounting data'!$H$2:$H$26,"13*",'Accounting data'!$I$2:$I$26,"8*",'Accounting data'!$J$2:$J$26,"1*",'Accounting data'!$K$2:$K$26,"64*")</f>
        <v>0</v>
      </c>
    </row>
    <row r="582" spans="1:5" x14ac:dyDescent="0.3">
      <c r="A582" s="677" t="s">
        <v>231</v>
      </c>
      <c r="B582" s="679">
        <v>900</v>
      </c>
      <c r="C582" s="677">
        <v>1000</v>
      </c>
      <c r="D582" s="677">
        <v>6400</v>
      </c>
      <c r="E582" s="678">
        <f>SUMIFS('Accounting data'!$G$2:$G$26,'Accounting data'!$H$2:$H$26,"11*",'Accounting data'!$I$2:$I$26,"9*",'Accounting data'!$J$2:$J$26,"1*",'Accounting data'!$K$2:$K$26,"64*")+SUMIFS('Accounting data'!$G$2:$G$26,'Accounting data'!$H$2:$H$26,"12*",'Accounting data'!$I$2:$I$26,"9*",'Accounting data'!$J$2:$J$26,"1*",'Accounting data'!$K$2:$K$26,"64*")+SUMIFS('Accounting data'!$G$2:$G$26,'Accounting data'!$H$2:$H$26,"13*",'Accounting data'!$I$2:$I$26,"9*",'Accounting data'!$J$2:$J$26,"1*",'Accounting data'!$K$2:$K$26,"64*")</f>
        <v>0</v>
      </c>
    </row>
    <row r="583" spans="1:5" x14ac:dyDescent="0.3">
      <c r="A583" s="677" t="s">
        <v>231</v>
      </c>
      <c r="B583" s="679">
        <v>700</v>
      </c>
      <c r="C583" s="677">
        <v>2000</v>
      </c>
      <c r="D583" s="677">
        <v>6400</v>
      </c>
      <c r="E583" s="678">
        <f>SUMIFS('Accounting data'!$G$2:$G$26,'Accounting data'!$H$2:$H$26,"11*",'Accounting data'!$I$2:$I$26,"7*",'Accounting data'!$J$2:$J$26,"2*",'Accounting data'!$K$2:$K$26,"64*")+SUMIFS('Accounting data'!$G$2:$G$26,'Accounting data'!$H$2:$H$26,"12*",'Accounting data'!$I$2:$I$26,"7*",'Accounting data'!$J$2:$J$26,"2*",'Accounting data'!$K$2:$K$26,"64*")+SUMIFS('Accounting data'!$G$2:$G$26,'Accounting data'!$H$2:$H$26,"13*",'Accounting data'!$I$2:$I$26,"7*",'Accounting data'!$J$2:$J$26,"2*",'Accounting data'!$K$2:$K$26,"64*")</f>
        <v>0</v>
      </c>
    </row>
    <row r="584" spans="1:5" x14ac:dyDescent="0.3">
      <c r="A584" s="677" t="s">
        <v>231</v>
      </c>
      <c r="B584" s="679">
        <v>800</v>
      </c>
      <c r="C584" s="677">
        <v>2000</v>
      </c>
      <c r="D584" s="677">
        <v>6400</v>
      </c>
      <c r="E584" s="678">
        <f>SUMIFS('Accounting data'!$G$2:$G$26,'Accounting data'!$H$2:$H$26,"11*",'Accounting data'!$I$2:$I$26,"8*",'Accounting data'!$J$2:$J$26,"2*",'Accounting data'!$K$2:$K$26,"64*")+SUMIFS('Accounting data'!$G$2:$G$26,'Accounting data'!$H$2:$H$26,"12*",'Accounting data'!$I$2:$I$26,"8*",'Accounting data'!$J$2:$J$26,"2*",'Accounting data'!$K$2:$K$26,"64*")+SUMIFS('Accounting data'!$G$2:$G$26,'Accounting data'!$H$2:$H$26,"13*",'Accounting data'!$I$2:$I$26,"8*",'Accounting data'!$J$2:$J$26,"2*",'Accounting data'!$K$2:$K$26,"64*")</f>
        <v>0</v>
      </c>
    </row>
    <row r="585" spans="1:5" x14ac:dyDescent="0.3">
      <c r="A585" s="677" t="s">
        <v>231</v>
      </c>
      <c r="B585" s="679">
        <v>900</v>
      </c>
      <c r="C585" s="677">
        <v>2000</v>
      </c>
      <c r="D585" s="677">
        <v>6400</v>
      </c>
      <c r="E585" s="678">
        <f>SUMIFS('Accounting data'!$G$2:$G$26,'Accounting data'!$H$2:$H$26,"11*",'Accounting data'!$I$2:$I$26,"9*",'Accounting data'!$J$2:$J$26,"2*",'Accounting data'!$K$2:$K$26,"64*")+SUMIFS('Accounting data'!$G$2:$G$26,'Accounting data'!$H$2:$H$26,"12*",'Accounting data'!$I$2:$I$26,"9*",'Accounting data'!$J$2:$J$26,"2*",'Accounting data'!$K$2:$K$26,"64*")+SUMIFS('Accounting data'!$G$2:$G$26,'Accounting data'!$H$2:$H$26,"13*",'Accounting data'!$I$2:$I$26,"9*",'Accounting data'!$J$2:$J$26,"2*",'Accounting data'!$K$2:$K$26,"64*")</f>
        <v>0</v>
      </c>
    </row>
    <row r="586" spans="1:5" x14ac:dyDescent="0.3">
      <c r="A586" s="677" t="s">
        <v>231</v>
      </c>
      <c r="B586" s="679">
        <v>700</v>
      </c>
      <c r="C586" s="677">
        <v>3000</v>
      </c>
      <c r="D586" s="677">
        <v>6400</v>
      </c>
      <c r="E586" s="678">
        <f>SUMIFS('Accounting data'!$G$2:$G$26,'Accounting data'!$H$2:$H$26,"11*",'Accounting data'!$I$2:$I$26,"7*",'Accounting data'!$J$2:$J$26,"3*",'Accounting data'!$K$2:$K$26,"64*")+SUMIFS('Accounting data'!$G$2:$G$26,'Accounting data'!$H$2:$H$26,"12*",'Accounting data'!$I$2:$I$26,"7*",'Accounting data'!$J$2:$J$26,"3*",'Accounting data'!$K$2:$K$26,"64*")+SUMIFS('Accounting data'!$G$2:$G$26,'Accounting data'!$H$2:$H$26,"13*",'Accounting data'!$I$2:$I$26,"7*",'Accounting data'!$J$2:$J$26,"3*",'Accounting data'!$K$2:$K$26,"64*")</f>
        <v>0</v>
      </c>
    </row>
    <row r="587" spans="1:5" x14ac:dyDescent="0.3">
      <c r="A587" s="677" t="s">
        <v>231</v>
      </c>
      <c r="B587" s="679">
        <v>800</v>
      </c>
      <c r="C587" s="677">
        <v>3000</v>
      </c>
      <c r="D587" s="677">
        <v>6400</v>
      </c>
      <c r="E587" s="678">
        <f>SUMIFS('Accounting data'!$G$2:$G$26,'Accounting data'!$H$2:$H$26,"11*",'Accounting data'!$I$2:$I$26,"8*",'Accounting data'!$J$2:$J$26,"3*",'Accounting data'!$K$2:$K$26,"64*")+SUMIFS('Accounting data'!$G$2:$G$26,'Accounting data'!$H$2:$H$26,"12*",'Accounting data'!$I$2:$I$26,"8*",'Accounting data'!$J$2:$J$26,"3*",'Accounting data'!$K$2:$K$26,"64*")+SUMIFS('Accounting data'!$G$2:$G$26,'Accounting data'!$H$2:$H$26,"13*",'Accounting data'!$I$2:$I$26,"8*",'Accounting data'!$J$2:$J$26,"3*",'Accounting data'!$K$2:$K$26,"64*")</f>
        <v>0</v>
      </c>
    </row>
    <row r="588" spans="1:5" x14ac:dyDescent="0.3">
      <c r="A588" s="677" t="s">
        <v>231</v>
      </c>
      <c r="B588" s="679">
        <v>900</v>
      </c>
      <c r="C588" s="677">
        <v>3000</v>
      </c>
      <c r="D588" s="677">
        <v>6400</v>
      </c>
      <c r="E588" s="678">
        <f>SUMIFS('Accounting data'!$G$2:$G$26,'Accounting data'!$H$2:$H$26,"11*",'Accounting data'!$I$2:$I$26,"9*",'Accounting data'!$J$2:$J$26,"3*",'Accounting data'!$K$2:$K$26,"64*")+SUMIFS('Accounting data'!$G$2:$G$26,'Accounting data'!$H$2:$H$26,"12*",'Accounting data'!$I$2:$I$26,"9*",'Accounting data'!$J$2:$J$26,"3*",'Accounting data'!$K$2:$K$26,"64*")+SUMIFS('Accounting data'!$G$2:$G$26,'Accounting data'!$H$2:$H$26,"13*",'Accounting data'!$I$2:$I$26,"9*",'Accounting data'!$J$2:$J$26,"3*",'Accounting data'!$K$2:$K$26,"64*")</f>
        <v>0</v>
      </c>
    </row>
    <row r="589" spans="1:5" x14ac:dyDescent="0.3">
      <c r="A589" s="680" t="s">
        <v>258</v>
      </c>
      <c r="B589" s="680"/>
      <c r="C589" s="680"/>
      <c r="D589" s="680"/>
      <c r="E589" s="682">
        <f>(E577+E578+E579)-(E580+E581+E582+E583+E584+E585+E586+E587+E588)</f>
        <v>0</v>
      </c>
    </row>
    <row r="590" spans="1:5" x14ac:dyDescent="0.3">
      <c r="A590" s="677" t="s">
        <v>231</v>
      </c>
      <c r="B590" s="677" t="s">
        <v>217</v>
      </c>
      <c r="C590" s="677">
        <v>1000</v>
      </c>
      <c r="D590" s="677">
        <v>6500</v>
      </c>
      <c r="E590" s="678">
        <f>SUMIFS('Accounting data'!$G$2:$G$26,'Accounting data'!$H$2:$H$26,"11*",'Accounting data'!$J$2:$J$26,"1*",'Accounting data'!$K$2:$K$26,"65*")+SUMIFS('Accounting data'!$G$2:$G$26,'Accounting data'!$H$2:$H$26,"12*",'Accounting data'!$J$2:$J$26,"1*",'Accounting data'!$K$2:$K$26,"65*")+SUMIFS('Accounting data'!$G$2:$G$26,'Accounting data'!$H$2:$H$26,"13*",'Accounting data'!$J$2:$J$26,"1*",'Accounting data'!$K$2:$K$26,"65*")</f>
        <v>0</v>
      </c>
    </row>
    <row r="591" spans="1:5" x14ac:dyDescent="0.3">
      <c r="A591" s="677" t="s">
        <v>231</v>
      </c>
      <c r="B591" s="677" t="s">
        <v>217</v>
      </c>
      <c r="C591" s="677">
        <v>2000</v>
      </c>
      <c r="D591" s="677">
        <v>6500</v>
      </c>
      <c r="E591" s="678">
        <f>SUMIFS('Accounting data'!$G$2:$G$26,'Accounting data'!$H$2:$H$26,"11*",'Accounting data'!$J$2:$J$26,"2*",'Accounting data'!$K$2:$K$26,"65*")+SUMIFS('Accounting data'!$G$2:$G$26,'Accounting data'!$H$2:$H$26,"12*",'Accounting data'!$J$2:$J$26,"2*",'Accounting data'!$K$2:$K$26,"65*")+SUMIFS('Accounting data'!$G$2:$G$26,'Accounting data'!$H$2:$H$26,"13*",'Accounting data'!$J$2:$J$26,"2*",'Accounting data'!$K$2:$K$26,"65*")</f>
        <v>0</v>
      </c>
    </row>
    <row r="592" spans="1:5" x14ac:dyDescent="0.3">
      <c r="A592" s="677" t="s">
        <v>231</v>
      </c>
      <c r="B592" s="677" t="s">
        <v>217</v>
      </c>
      <c r="C592" s="677">
        <v>3000</v>
      </c>
      <c r="D592" s="677">
        <v>6500</v>
      </c>
      <c r="E592" s="678">
        <f>SUMIFS('Accounting data'!$G$2:$G$26,'Accounting data'!$H$2:$H$26,"11*",'Accounting data'!$J$2:$J$26,"3*",'Accounting data'!$K$2:$K$26,"65*")+SUMIFS('Accounting data'!$G$2:$G$26,'Accounting data'!$H$2:$H$26,"12*",'Accounting data'!$J$2:$J$26,"3*",'Accounting data'!$K$2:$K$26,"65*")+SUMIFS('Accounting data'!$G$2:$G$26,'Accounting data'!$H$2:$H$26,"13*",'Accounting data'!$J$2:$J$26,"3*",'Accounting data'!$K$2:$K$26,"65*")</f>
        <v>0</v>
      </c>
    </row>
    <row r="593" spans="1:5" x14ac:dyDescent="0.3">
      <c r="A593" s="677" t="s">
        <v>231</v>
      </c>
      <c r="B593" s="679">
        <v>700</v>
      </c>
      <c r="C593" s="677">
        <v>1000</v>
      </c>
      <c r="D593" s="677">
        <v>6500</v>
      </c>
      <c r="E593" s="678">
        <f>SUMIFS('Accounting data'!$G$2:$G$26,'Accounting data'!$H$2:$H$26,"11*",'Accounting data'!$I$2:$I$26,"7*",'Accounting data'!$J$2:$J$26,"1*",'Accounting data'!$K$2:$K$26,"65*")+SUMIFS('Accounting data'!$G$2:$G$26,'Accounting data'!$H$2:$H$26,"12*",'Accounting data'!$I$2:$I$26,"7*",'Accounting data'!$J$2:$J$26,"1*",'Accounting data'!$K$2:$K$26,"65*")+SUMIFS('Accounting data'!$G$2:$G$26,'Accounting data'!$H$2:$H$26,"13*",'Accounting data'!$I$2:$I$26,"7*",'Accounting data'!$J$2:$J$26,"1*",'Accounting data'!$K$2:$K$26,"65*")</f>
        <v>0</v>
      </c>
    </row>
    <row r="594" spans="1:5" x14ac:dyDescent="0.3">
      <c r="A594" s="677" t="s">
        <v>231</v>
      </c>
      <c r="B594" s="679">
        <v>800</v>
      </c>
      <c r="C594" s="677">
        <v>1000</v>
      </c>
      <c r="D594" s="677">
        <v>6500</v>
      </c>
      <c r="E594" s="678">
        <f>SUMIFS('Accounting data'!$G$2:$G$26,'Accounting data'!$H$2:$H$26,"11*",'Accounting data'!$I$2:$I$26,"8*",'Accounting data'!$J$2:$J$26,"1*",'Accounting data'!$K$2:$K$26,"65*")+SUMIFS('Accounting data'!$G$2:$G$26,'Accounting data'!$H$2:$H$26,"12*",'Accounting data'!$I$2:$I$26,"8*",'Accounting data'!$J$2:$J$26,"1*",'Accounting data'!$K$2:$K$26,"65*")+SUMIFS('Accounting data'!$G$2:$G$26,'Accounting data'!$H$2:$H$26,"13*",'Accounting data'!$I$2:$I$26,"8*",'Accounting data'!$J$2:$J$26,"1*",'Accounting data'!$K$2:$K$26,"65*")</f>
        <v>0</v>
      </c>
    </row>
    <row r="595" spans="1:5" x14ac:dyDescent="0.3">
      <c r="A595" s="677" t="s">
        <v>231</v>
      </c>
      <c r="B595" s="679">
        <v>900</v>
      </c>
      <c r="C595" s="677">
        <v>1000</v>
      </c>
      <c r="D595" s="677">
        <v>6500</v>
      </c>
      <c r="E595" s="678">
        <f>SUMIFS('Accounting data'!$G$2:$G$26,'Accounting data'!$H$2:$H$26,"11*",'Accounting data'!$I$2:$I$26,"9*",'Accounting data'!$J$2:$J$26,"1*",'Accounting data'!$K$2:$K$26,"65*")+SUMIFS('Accounting data'!$G$2:$G$26,'Accounting data'!$H$2:$H$26,"12*",'Accounting data'!$I$2:$I$26,"9*",'Accounting data'!$J$2:$J$26,"1*",'Accounting data'!$K$2:$K$26,"65*")+SUMIFS('Accounting data'!$G$2:$G$26,'Accounting data'!$H$2:$H$26,"13*",'Accounting data'!$I$2:$I$26,"9*",'Accounting data'!$J$2:$J$26,"1*",'Accounting data'!$K$2:$K$26,"65*")</f>
        <v>0</v>
      </c>
    </row>
    <row r="596" spans="1:5" x14ac:dyDescent="0.3">
      <c r="A596" s="677" t="s">
        <v>231</v>
      </c>
      <c r="B596" s="679">
        <v>700</v>
      </c>
      <c r="C596" s="677">
        <v>2000</v>
      </c>
      <c r="D596" s="677">
        <v>6500</v>
      </c>
      <c r="E596" s="678">
        <f>SUMIFS('Accounting data'!$G$2:$G$26,'Accounting data'!$H$2:$H$26,"11*",'Accounting data'!$I$2:$I$26,"7*",'Accounting data'!$J$2:$J$26,"2*",'Accounting data'!$K$2:$K$26,"65*")+SUMIFS('Accounting data'!$G$2:$G$26,'Accounting data'!$H$2:$H$26,"12*",'Accounting data'!$I$2:$I$26,"7*",'Accounting data'!$J$2:$J$26,"2*",'Accounting data'!$K$2:$K$26,"65*")+SUMIFS('Accounting data'!$G$2:$G$26,'Accounting data'!$H$2:$H$26,"13*",'Accounting data'!$I$2:$I$26,"7*",'Accounting data'!$J$2:$J$26,"2*",'Accounting data'!$K$2:$K$26,"65*")</f>
        <v>0</v>
      </c>
    </row>
    <row r="597" spans="1:5" x14ac:dyDescent="0.3">
      <c r="A597" s="677" t="s">
        <v>231</v>
      </c>
      <c r="B597" s="679">
        <v>800</v>
      </c>
      <c r="C597" s="677">
        <v>2000</v>
      </c>
      <c r="D597" s="677">
        <v>6500</v>
      </c>
      <c r="E597" s="678">
        <f>SUMIFS('Accounting data'!$G$2:$G$26,'Accounting data'!$H$2:$H$26,"11*",'Accounting data'!$I$2:$I$26,"8*",'Accounting data'!$J$2:$J$26,"2*",'Accounting data'!$K$2:$K$26,"65*")+SUMIFS('Accounting data'!$G$2:$G$26,'Accounting data'!$H$2:$H$26,"12*",'Accounting data'!$I$2:$I$26,"8*",'Accounting data'!$J$2:$J$26,"2*",'Accounting data'!$K$2:$K$26,"65*")+SUMIFS('Accounting data'!$G$2:$G$26,'Accounting data'!$H$2:$H$26,"13*",'Accounting data'!$I$2:$I$26,"8*",'Accounting data'!$J$2:$J$26,"2*",'Accounting data'!$K$2:$K$26,"65*")</f>
        <v>0</v>
      </c>
    </row>
    <row r="598" spans="1:5" x14ac:dyDescent="0.3">
      <c r="A598" s="677" t="s">
        <v>231</v>
      </c>
      <c r="B598" s="679">
        <v>900</v>
      </c>
      <c r="C598" s="677">
        <v>2000</v>
      </c>
      <c r="D598" s="677">
        <v>6500</v>
      </c>
      <c r="E598" s="678">
        <f>SUMIFS('Accounting data'!$G$2:$G$26,'Accounting data'!$H$2:$H$26,"11*",'Accounting data'!$I$2:$I$26,"9*",'Accounting data'!$J$2:$J$26,"2*",'Accounting data'!$K$2:$K$26,"65*")+SUMIFS('Accounting data'!$G$2:$G$26,'Accounting data'!$H$2:$H$26,"12*",'Accounting data'!$I$2:$I$26,"9*",'Accounting data'!$J$2:$J$26,"2*",'Accounting data'!$K$2:$K$26,"65*")+SUMIFS('Accounting data'!$G$2:$G$26,'Accounting data'!$H$2:$H$26,"13*",'Accounting data'!$I$2:$I$26,"9*",'Accounting data'!$J$2:$J$26,"2*",'Accounting data'!$K$2:$K$26,"65*")</f>
        <v>0</v>
      </c>
    </row>
    <row r="599" spans="1:5" x14ac:dyDescent="0.3">
      <c r="A599" s="677" t="s">
        <v>231</v>
      </c>
      <c r="B599" s="679">
        <v>700</v>
      </c>
      <c r="C599" s="677">
        <v>3000</v>
      </c>
      <c r="D599" s="677">
        <v>6500</v>
      </c>
      <c r="E599" s="678">
        <f>SUMIFS('Accounting data'!$G$2:$G$26,'Accounting data'!$H$2:$H$26,"11*",'Accounting data'!$I$2:$I$26,"7*",'Accounting data'!$J$2:$J$26,"3*",'Accounting data'!$K$2:$K$26,"65*")+SUMIFS('Accounting data'!$G$2:$G$26,'Accounting data'!$H$2:$H$26,"12*",'Accounting data'!$I$2:$I$26,"7*",'Accounting data'!$J$2:$J$26,"3*",'Accounting data'!$K$2:$K$26,"65*")+SUMIFS('Accounting data'!$G$2:$G$26,'Accounting data'!$H$2:$H$26,"13*",'Accounting data'!$I$2:$I$26,"7*",'Accounting data'!$J$2:$J$26,"3*",'Accounting data'!$K$2:$K$26,"65*")</f>
        <v>0</v>
      </c>
    </row>
    <row r="600" spans="1:5" x14ac:dyDescent="0.3">
      <c r="A600" s="677" t="s">
        <v>231</v>
      </c>
      <c r="B600" s="679">
        <v>800</v>
      </c>
      <c r="C600" s="677">
        <v>3000</v>
      </c>
      <c r="D600" s="677">
        <v>6500</v>
      </c>
      <c r="E600" s="678">
        <f>SUMIFS('Accounting data'!$G$2:$G$26,'Accounting data'!$H$2:$H$26,"11*",'Accounting data'!$I$2:$I$26,"8*",'Accounting data'!$J$2:$J$26,"3*",'Accounting data'!$K$2:$K$26,"65*")+SUMIFS('Accounting data'!$G$2:$G$26,'Accounting data'!$H$2:$H$26,"12*",'Accounting data'!$I$2:$I$26,"8*",'Accounting data'!$J$2:$J$26,"3*",'Accounting data'!$K$2:$K$26,"65*")+SUMIFS('Accounting data'!$G$2:$G$26,'Accounting data'!$H$2:$H$26,"13*",'Accounting data'!$I$2:$I$26,"8*",'Accounting data'!$J$2:$J$26,"3*",'Accounting data'!$K$2:$K$26,"65*")</f>
        <v>0</v>
      </c>
    </row>
    <row r="601" spans="1:5" x14ac:dyDescent="0.3">
      <c r="A601" s="677" t="s">
        <v>231</v>
      </c>
      <c r="B601" s="679">
        <v>900</v>
      </c>
      <c r="C601" s="677">
        <v>3000</v>
      </c>
      <c r="D601" s="677">
        <v>6500</v>
      </c>
      <c r="E601" s="678">
        <f>SUMIFS('Accounting data'!$G$2:$G$26,'Accounting data'!$H$2:$H$26,"11*",'Accounting data'!$I$2:$I$26,"9*",'Accounting data'!$J$2:$J$26,"3*",'Accounting data'!$K$2:$K$26,"65*")+SUMIFS('Accounting data'!$G$2:$G$26,'Accounting data'!$H$2:$H$26,"12*",'Accounting data'!$I$2:$I$26,"9*",'Accounting data'!$J$2:$J$26,"3*",'Accounting data'!$K$2:$K$26,"65*")+SUMIFS('Accounting data'!$G$2:$G$26,'Accounting data'!$H$2:$H$26,"13*",'Accounting data'!$I$2:$I$26,"9*",'Accounting data'!$J$2:$J$26,"3*",'Accounting data'!$K$2:$K$26,"65*")</f>
        <v>0</v>
      </c>
    </row>
    <row r="602" spans="1:5" x14ac:dyDescent="0.3">
      <c r="A602" s="680" t="s">
        <v>259</v>
      </c>
      <c r="B602" s="680"/>
      <c r="C602" s="680"/>
      <c r="D602" s="680"/>
      <c r="E602" s="682">
        <f>(E590+E591+E592)-(E593+E594+E595+E596+E597+E598+E599+E600+E601)</f>
        <v>0</v>
      </c>
    </row>
    <row r="603" spans="1:5" x14ac:dyDescent="0.3">
      <c r="A603" s="677"/>
      <c r="B603" s="677"/>
      <c r="C603" s="677"/>
      <c r="D603" s="677"/>
      <c r="E603" s="678"/>
    </row>
    <row r="604" spans="1:5" x14ac:dyDescent="0.3">
      <c r="A604" s="677"/>
      <c r="B604" s="677"/>
      <c r="C604" s="677"/>
      <c r="D604" s="677"/>
      <c r="E604" s="678"/>
    </row>
    <row r="605" spans="1:5" x14ac:dyDescent="0.3">
      <c r="A605" s="677"/>
      <c r="B605" s="677"/>
      <c r="C605" s="677"/>
      <c r="D605" s="677"/>
      <c r="E605" s="678"/>
    </row>
    <row r="606" spans="1:5" x14ac:dyDescent="0.3">
      <c r="A606" s="677"/>
      <c r="B606" s="679"/>
      <c r="C606" s="677"/>
      <c r="D606" s="677"/>
      <c r="E606" s="678"/>
    </row>
    <row r="607" spans="1:5" x14ac:dyDescent="0.3">
      <c r="A607" s="677"/>
      <c r="B607" s="679"/>
      <c r="C607" s="677"/>
      <c r="D607" s="677"/>
      <c r="E607" s="678"/>
    </row>
    <row r="608" spans="1:5" x14ac:dyDescent="0.3">
      <c r="A608" s="677"/>
      <c r="B608" s="679"/>
      <c r="C608" s="677"/>
      <c r="D608" s="677"/>
      <c r="E608" s="678"/>
    </row>
    <row r="609" spans="1:5" x14ac:dyDescent="0.3">
      <c r="A609" s="677"/>
      <c r="B609" s="679"/>
      <c r="C609" s="677"/>
      <c r="D609" s="677"/>
      <c r="E609" s="678"/>
    </row>
    <row r="610" spans="1:5" x14ac:dyDescent="0.3">
      <c r="A610" s="677"/>
      <c r="B610" s="679"/>
      <c r="C610" s="677"/>
      <c r="D610" s="677"/>
      <c r="E610" s="678"/>
    </row>
    <row r="611" spans="1:5" x14ac:dyDescent="0.3">
      <c r="A611" s="677"/>
      <c r="B611" s="679"/>
      <c r="C611" s="677"/>
      <c r="D611" s="677"/>
      <c r="E611" s="678"/>
    </row>
    <row r="612" spans="1:5" x14ac:dyDescent="0.3">
      <c r="A612" s="677"/>
      <c r="B612" s="679"/>
      <c r="C612" s="677"/>
      <c r="D612" s="677"/>
      <c r="E612" s="678"/>
    </row>
    <row r="613" spans="1:5" x14ac:dyDescent="0.3">
      <c r="A613" s="677"/>
      <c r="B613" s="679"/>
      <c r="C613" s="677"/>
      <c r="D613" s="677"/>
      <c r="E613" s="678"/>
    </row>
    <row r="614" spans="1:5" x14ac:dyDescent="0.3">
      <c r="A614" s="677"/>
      <c r="B614" s="679"/>
      <c r="C614" s="677"/>
      <c r="D614" s="677"/>
      <c r="E614" s="678"/>
    </row>
    <row r="615" spans="1:5" x14ac:dyDescent="0.3">
      <c r="A615" s="680"/>
      <c r="B615" s="680"/>
      <c r="C615" s="680"/>
      <c r="D615" s="680"/>
      <c r="E615" s="682"/>
    </row>
    <row r="616" spans="1:5" x14ac:dyDescent="0.3">
      <c r="A616" s="677"/>
      <c r="B616" s="677"/>
      <c r="C616" s="677"/>
      <c r="D616" s="677"/>
      <c r="E616" s="678"/>
    </row>
    <row r="617" spans="1:5" x14ac:dyDescent="0.3">
      <c r="A617" s="677"/>
      <c r="B617" s="677"/>
      <c r="C617" s="677"/>
      <c r="D617" s="677"/>
      <c r="E617" s="678"/>
    </row>
    <row r="618" spans="1:5" x14ac:dyDescent="0.3">
      <c r="A618" s="677"/>
      <c r="B618" s="677"/>
      <c r="C618" s="677"/>
      <c r="D618" s="677"/>
      <c r="E618" s="678"/>
    </row>
    <row r="619" spans="1:5" x14ac:dyDescent="0.3">
      <c r="A619" s="677"/>
      <c r="B619" s="679"/>
      <c r="C619" s="677"/>
      <c r="D619" s="677"/>
      <c r="E619" s="678"/>
    </row>
    <row r="620" spans="1:5" x14ac:dyDescent="0.3">
      <c r="A620" s="677"/>
      <c r="B620" s="679"/>
      <c r="C620" s="677"/>
      <c r="D620" s="677"/>
      <c r="E620" s="678"/>
    </row>
    <row r="621" spans="1:5" x14ac:dyDescent="0.3">
      <c r="A621" s="677"/>
      <c r="B621" s="679"/>
      <c r="C621" s="677"/>
      <c r="D621" s="677"/>
      <c r="E621" s="678"/>
    </row>
    <row r="622" spans="1:5" x14ac:dyDescent="0.3">
      <c r="A622" s="677"/>
      <c r="B622" s="679"/>
      <c r="C622" s="677"/>
      <c r="D622" s="677"/>
      <c r="E622" s="678"/>
    </row>
    <row r="623" spans="1:5" x14ac:dyDescent="0.3">
      <c r="A623" s="677"/>
      <c r="B623" s="679"/>
      <c r="C623" s="677"/>
      <c r="D623" s="677"/>
      <c r="E623" s="678"/>
    </row>
    <row r="624" spans="1:5" x14ac:dyDescent="0.3">
      <c r="A624" s="677"/>
      <c r="B624" s="679"/>
      <c r="C624" s="677"/>
      <c r="D624" s="677"/>
      <c r="E624" s="678"/>
    </row>
    <row r="625" spans="1:5" x14ac:dyDescent="0.3">
      <c r="A625" s="677"/>
      <c r="B625" s="679"/>
      <c r="C625" s="677"/>
      <c r="D625" s="677"/>
      <c r="E625" s="678"/>
    </row>
    <row r="626" spans="1:5" x14ac:dyDescent="0.3">
      <c r="A626" s="677"/>
      <c r="B626" s="679"/>
      <c r="C626" s="677"/>
      <c r="D626" s="677"/>
      <c r="E626" s="678"/>
    </row>
    <row r="627" spans="1:5" x14ac:dyDescent="0.3">
      <c r="A627" s="677"/>
      <c r="B627" s="679"/>
      <c r="C627" s="677"/>
      <c r="D627" s="677"/>
      <c r="E627" s="678"/>
    </row>
    <row r="628" spans="1:5" x14ac:dyDescent="0.3">
      <c r="A628" s="680"/>
      <c r="B628" s="680"/>
      <c r="C628" s="680"/>
      <c r="D628" s="680"/>
      <c r="E628" s="682"/>
    </row>
    <row r="629" spans="1:5" x14ac:dyDescent="0.3">
      <c r="A629" s="683" t="s">
        <v>260</v>
      </c>
      <c r="B629" s="683"/>
      <c r="C629" s="683"/>
      <c r="D629" s="683"/>
      <c r="E629" s="687">
        <f>(E576+E589+E602)-(E615+E628)</f>
        <v>15635</v>
      </c>
    </row>
    <row r="630" spans="1:5" x14ac:dyDescent="0.3">
      <c r="A630" s="677" t="s">
        <v>217</v>
      </c>
      <c r="B630" s="677" t="s">
        <v>217</v>
      </c>
      <c r="C630" s="677">
        <v>1000</v>
      </c>
      <c r="D630" s="677">
        <v>6600</v>
      </c>
      <c r="E630" s="678">
        <f>SUMIFS('Accounting data'!$G$2:$G$26,'Accounting data'!$J$2:$J$26,"1*",'Accounting data'!$K$2:$K$26,"66*")</f>
        <v>0</v>
      </c>
    </row>
    <row r="631" spans="1:5" x14ac:dyDescent="0.3">
      <c r="A631" s="677" t="s">
        <v>218</v>
      </c>
      <c r="B631" s="677" t="s">
        <v>217</v>
      </c>
      <c r="C631" s="677">
        <v>1000</v>
      </c>
      <c r="D631" s="677">
        <v>6600</v>
      </c>
      <c r="E631" s="678">
        <f>SUMIFS('Accounting data'!$G$2:$G$26,'Accounting data'!$H$2:$H$26,"9999*",'Accounting data'!$J$2:$J$26,"1*",'Accounting data'!$K$2:$K$26,"66*")</f>
        <v>0</v>
      </c>
    </row>
    <row r="632" spans="1:5" x14ac:dyDescent="0.3">
      <c r="A632" s="677" t="s">
        <v>217</v>
      </c>
      <c r="B632" s="677" t="s">
        <v>219</v>
      </c>
      <c r="C632" s="677">
        <v>1000</v>
      </c>
      <c r="D632" s="677">
        <v>6600</v>
      </c>
      <c r="E632" s="678">
        <f>SUMIFS('Accounting data'!$G$2:$G$26,'Accounting data'!$I$2:$I$26,"7*",'Accounting data'!$J$2:$J$26,"1*",'Accounting data'!$K$2:$K$26,"66*")+SUMIFS('Accounting data'!$G$2:$G$26,'Accounting data'!$I$2:$I$26,"8*",'Accounting data'!$J$2:$J$26,"1*",'Accounting data'!$K$2:$K$26,"66*")+SUMIFS('Accounting data'!$G$2:$G$26,'Accounting data'!$I$2:$I$26,"9*",'Accounting data'!$J$2:$J$26,"1*",'Accounting data'!$K$2:$K$26,"66*")</f>
        <v>0</v>
      </c>
    </row>
    <row r="633" spans="1:5" x14ac:dyDescent="0.3">
      <c r="A633" s="679" t="s">
        <v>218</v>
      </c>
      <c r="B633" s="677" t="s">
        <v>219</v>
      </c>
      <c r="C633" s="677">
        <v>1000</v>
      </c>
      <c r="D633" s="677">
        <v>6600</v>
      </c>
      <c r="E633" s="678">
        <f>SUMIFS('Accounting data'!$G$2:$G$26,'Accounting data'!$H$2:$H$26,"9999*",'Accounting data'!$I$2:$I$26,"7*",'Accounting data'!$J$2:$J$26,"1*",'Accounting data'!$K$2:$K$26,"66*")+SUMIFS('Accounting data'!$G$2:$G$26,'Accounting data'!$H$2:$H$26,"9999*",'Accounting data'!$I$2:$I$26,"8*",'Accounting data'!$J$2:$J$26,"1*",'Accounting data'!$K$2:$K$26,"66*")+SUMIFS('Accounting data'!$G$2:$G$26,'Accounting data'!$H$2:$H$26,"9999*",'Accounting data'!$I$2:$I$26,"9*",'Accounting data'!$J$2:$J$26,"1*",'Accounting data'!$K$2:$K$26,"66*")</f>
        <v>0</v>
      </c>
    </row>
    <row r="634" spans="1:5" x14ac:dyDescent="0.3">
      <c r="A634" s="677"/>
      <c r="B634" s="677"/>
      <c r="C634" s="677"/>
      <c r="D634" s="677"/>
      <c r="E634" s="678"/>
    </row>
    <row r="635" spans="1:5" x14ac:dyDescent="0.3">
      <c r="A635" s="677"/>
      <c r="B635" s="677"/>
      <c r="C635" s="677"/>
      <c r="D635" s="677"/>
      <c r="E635" s="678"/>
    </row>
    <row r="636" spans="1:5" x14ac:dyDescent="0.3">
      <c r="A636" s="680" t="s">
        <v>261</v>
      </c>
      <c r="B636" s="680"/>
      <c r="C636" s="680"/>
      <c r="D636" s="680"/>
      <c r="E636" s="682">
        <f>(E630-E631-E632)+(E633+E634+E635)</f>
        <v>0</v>
      </c>
    </row>
    <row r="637" spans="1:5" x14ac:dyDescent="0.3">
      <c r="A637" s="677" t="s">
        <v>217</v>
      </c>
      <c r="B637" s="677" t="s">
        <v>217</v>
      </c>
      <c r="C637" s="677">
        <v>2100</v>
      </c>
      <c r="D637" s="677">
        <v>6600</v>
      </c>
      <c r="E637" s="678">
        <f>SUMIFS('Accounting data'!$G$2:$G$26,'Accounting data'!$J$2:$J$26,"21*",'Accounting data'!$K$2:$K$26,"66*")</f>
        <v>0</v>
      </c>
    </row>
    <row r="638" spans="1:5" x14ac:dyDescent="0.3">
      <c r="A638" s="677" t="s">
        <v>218</v>
      </c>
      <c r="B638" s="677" t="s">
        <v>217</v>
      </c>
      <c r="C638" s="677">
        <v>2100</v>
      </c>
      <c r="D638" s="677">
        <v>6600</v>
      </c>
      <c r="E638" s="678">
        <f>SUMIFS('Accounting data'!$G$2:$G$26,'Accounting data'!$H$2:$H$26,"9999*",'Accounting data'!$J$2:$J$26,"21*",'Accounting data'!$K$2:$K$26,"66*")</f>
        <v>0</v>
      </c>
    </row>
    <row r="639" spans="1:5" x14ac:dyDescent="0.3">
      <c r="A639" s="677" t="s">
        <v>217</v>
      </c>
      <c r="B639" s="677" t="s">
        <v>219</v>
      </c>
      <c r="C639" s="677">
        <v>2100</v>
      </c>
      <c r="D639" s="677">
        <v>6600</v>
      </c>
      <c r="E639" s="678">
        <f>SUMIFS('Accounting data'!$G$2:$G$26,'Accounting data'!$I$2:$I$26,"7*",'Accounting data'!$J$2:$J$26,"21*",'Accounting data'!$K$2:$K$26,"66*")+SUMIFS('Accounting data'!$G$2:$G$26,'Accounting data'!$I$2:$I$26,"8*",'Accounting data'!$J$2:$J$26,"21*",'Accounting data'!$K$2:$K$26,"66*")+SUMIFS('Accounting data'!$G$2:$G$26,'Accounting data'!$I$2:$I$26,"9*",'Accounting data'!$J$2:$J$26,"21*",'Accounting data'!$K$2:$K$26,"66*")</f>
        <v>0</v>
      </c>
    </row>
    <row r="640" spans="1:5" x14ac:dyDescent="0.3">
      <c r="A640" s="679" t="s">
        <v>218</v>
      </c>
      <c r="B640" s="677" t="s">
        <v>219</v>
      </c>
      <c r="C640" s="677">
        <v>2100</v>
      </c>
      <c r="D640" s="677">
        <v>6600</v>
      </c>
      <c r="E640" s="678">
        <f>SUMIFS('Accounting data'!$G$2:$G$26,'Accounting data'!$H$2:$H$26,"9999*",'Accounting data'!$I$2:$I$26,"7*",'Accounting data'!$J$2:$J$26,"21*",'Accounting data'!$K$2:$K$26,"66*")+SUMIFS('Accounting data'!$G$2:$G$26,'Accounting data'!$H$2:$H$26,"9999*",'Accounting data'!$I$2:$I$26,"8*",'Accounting data'!$J$2:$J$26,"21*",'Accounting data'!$K$2:$K$26,"66*")+SUMIFS('Accounting data'!$G$2:$G$26,'Accounting data'!$H$2:$H$26,"9999*",'Accounting data'!$I$2:$I$26,"9*",'Accounting data'!$J$2:$J$26,"21*",'Accounting data'!$K$2:$K$26,"66*")</f>
        <v>0</v>
      </c>
    </row>
    <row r="641" spans="1:5" x14ac:dyDescent="0.3">
      <c r="A641" s="677"/>
      <c r="B641" s="677"/>
      <c r="C641" s="677"/>
      <c r="D641" s="677"/>
      <c r="E641" s="678"/>
    </row>
    <row r="642" spans="1:5" x14ac:dyDescent="0.3">
      <c r="A642" s="677"/>
      <c r="B642" s="677"/>
      <c r="C642" s="677"/>
      <c r="D642" s="677"/>
      <c r="E642" s="678"/>
    </row>
    <row r="643" spans="1:5" x14ac:dyDescent="0.3">
      <c r="A643" s="680" t="s">
        <v>262</v>
      </c>
      <c r="B643" s="680"/>
      <c r="C643" s="680"/>
      <c r="D643" s="680"/>
      <c r="E643" s="682">
        <f>(E637-E638-E639)+(E640+E641+E642)</f>
        <v>0</v>
      </c>
    </row>
    <row r="644" spans="1:5" x14ac:dyDescent="0.3">
      <c r="A644" s="677" t="s">
        <v>217</v>
      </c>
      <c r="B644" s="677" t="s">
        <v>217</v>
      </c>
      <c r="C644" s="677">
        <v>2200</v>
      </c>
      <c r="D644" s="677">
        <v>6600</v>
      </c>
      <c r="E644" s="678">
        <f>SUMIFS('Accounting data'!$G$2:$G$26,'Accounting data'!$J$2:$J$26,"22*",'Accounting data'!$K$2:$K$26,"66*")</f>
        <v>0</v>
      </c>
    </row>
    <row r="645" spans="1:5" x14ac:dyDescent="0.3">
      <c r="A645" s="677" t="s">
        <v>218</v>
      </c>
      <c r="B645" s="677" t="s">
        <v>217</v>
      </c>
      <c r="C645" s="677">
        <v>2200</v>
      </c>
      <c r="D645" s="677">
        <v>6600</v>
      </c>
      <c r="E645" s="678">
        <f>SUMIFS('Accounting data'!$G$2:$G$26,'Accounting data'!$H$2:$H$26,"9999*",'Accounting data'!$J$2:$J$26,"22*",'Accounting data'!$K$2:$K$26,"66*")</f>
        <v>0</v>
      </c>
    </row>
    <row r="646" spans="1:5" x14ac:dyDescent="0.3">
      <c r="A646" s="677" t="s">
        <v>217</v>
      </c>
      <c r="B646" s="677" t="s">
        <v>219</v>
      </c>
      <c r="C646" s="677">
        <v>2200</v>
      </c>
      <c r="D646" s="677">
        <v>6600</v>
      </c>
      <c r="E646" s="678">
        <f>SUMIFS('Accounting data'!$G$2:$G$26,'Accounting data'!$I$2:$I$26,"7*",'Accounting data'!$J$2:$J$26,"22*",'Accounting data'!$K$2:$K$26,"66*")+SUMIFS('Accounting data'!$G$2:$G$26,'Accounting data'!$I$2:$I$26,"8*",'Accounting data'!$J$2:$J$26,"22*",'Accounting data'!$K$2:$K$26,"66*")+SUMIFS('Accounting data'!$G$2:$G$26,'Accounting data'!$I$2:$I$26,"9*",'Accounting data'!$J$2:$J$26,"22*",'Accounting data'!$K$2:$K$26,"66*")</f>
        <v>0</v>
      </c>
    </row>
    <row r="647" spans="1:5" x14ac:dyDescent="0.3">
      <c r="A647" s="679" t="s">
        <v>218</v>
      </c>
      <c r="B647" s="677" t="s">
        <v>219</v>
      </c>
      <c r="C647" s="677">
        <v>2200</v>
      </c>
      <c r="D647" s="677">
        <v>6600</v>
      </c>
      <c r="E647" s="678">
        <f>SUMIFS('Accounting data'!$G$2:$G$26,'Accounting data'!$H$2:$H$26,"9999*",'Accounting data'!$I$2:$I$26,"7*",'Accounting data'!$J$2:$J$26,"22*",'Accounting data'!$K$2:$K$26,"66*")+SUMIFS('Accounting data'!$G$2:$G$26,'Accounting data'!$H$2:$H$26,"9999*",'Accounting data'!$I$2:$I$26,"8*",'Accounting data'!$J$2:$J$26,"22*",'Accounting data'!$K$2:$K$26,"66*")+SUMIFS('Accounting data'!$G$2:$G$26,'Accounting data'!$H$2:$H$26,"9999*",'Accounting data'!$I$2:$I$26,"9*",'Accounting data'!$J$2:$J$26,"22*",'Accounting data'!$K$2:$K$26,"66*")</f>
        <v>0</v>
      </c>
    </row>
    <row r="648" spans="1:5" x14ac:dyDescent="0.3">
      <c r="A648" s="677"/>
      <c r="B648" s="677"/>
      <c r="C648" s="677"/>
      <c r="D648" s="677"/>
      <c r="E648" s="678"/>
    </row>
    <row r="649" spans="1:5" x14ac:dyDescent="0.3">
      <c r="A649" s="677"/>
      <c r="B649" s="677"/>
      <c r="C649" s="677"/>
      <c r="D649" s="677"/>
      <c r="E649" s="678"/>
    </row>
    <row r="650" spans="1:5" x14ac:dyDescent="0.3">
      <c r="A650" s="680" t="s">
        <v>263</v>
      </c>
      <c r="B650" s="680"/>
      <c r="C650" s="680"/>
      <c r="D650" s="680"/>
      <c r="E650" s="682">
        <f>(E644-E645-E646)+(E647+E648+E649)</f>
        <v>0</v>
      </c>
    </row>
    <row r="651" spans="1:5" x14ac:dyDescent="0.3">
      <c r="A651" s="677" t="s">
        <v>217</v>
      </c>
      <c r="B651" s="677" t="s">
        <v>217</v>
      </c>
      <c r="C651" s="677">
        <v>2300</v>
      </c>
      <c r="D651" s="677">
        <v>6600</v>
      </c>
      <c r="E651" s="678">
        <f>SUMIFS('Accounting data'!$G$2:$G$26,'Accounting data'!$J$2:$J$26,"23*",'Accounting data'!$K$2:$K$26,"66*")</f>
        <v>0</v>
      </c>
    </row>
    <row r="652" spans="1:5" x14ac:dyDescent="0.3">
      <c r="A652" s="677" t="s">
        <v>218</v>
      </c>
      <c r="B652" s="677" t="s">
        <v>217</v>
      </c>
      <c r="C652" s="677">
        <v>2300</v>
      </c>
      <c r="D652" s="677">
        <v>6600</v>
      </c>
      <c r="E652" s="678">
        <f>SUMIFS('Accounting data'!$G$2:$G$26,'Accounting data'!$H$2:$H$26,"9999*",'Accounting data'!$J$2:$J$26,"23*",'Accounting data'!$K$2:$K$26,"66*")</f>
        <v>0</v>
      </c>
    </row>
    <row r="653" spans="1:5" x14ac:dyDescent="0.3">
      <c r="A653" s="677" t="s">
        <v>217</v>
      </c>
      <c r="B653" s="677" t="s">
        <v>219</v>
      </c>
      <c r="C653" s="677">
        <v>2300</v>
      </c>
      <c r="D653" s="677">
        <v>6600</v>
      </c>
      <c r="E653" s="678">
        <f>SUMIFS('Accounting data'!$G$2:$G$26,'Accounting data'!$I$2:$I$26,"7*",'Accounting data'!$J$2:$J$26,"23*",'Accounting data'!$K$2:$K$26,"66*")+SUMIFS('Accounting data'!$G$2:$G$26,'Accounting data'!$I$2:$I$26,"8*",'Accounting data'!$J$2:$J$26,"23*",'Accounting data'!$K$2:$K$26,"66*")+SUMIFS('Accounting data'!$G$2:$G$26,'Accounting data'!$I$2:$I$26,"9*",'Accounting data'!$J$2:$J$26,"23*",'Accounting data'!$K$2:$K$26,"66*")</f>
        <v>0</v>
      </c>
    </row>
    <row r="654" spans="1:5" x14ac:dyDescent="0.3">
      <c r="A654" s="679" t="s">
        <v>218</v>
      </c>
      <c r="B654" s="677" t="s">
        <v>219</v>
      </c>
      <c r="C654" s="677">
        <v>2300</v>
      </c>
      <c r="D654" s="677">
        <v>6600</v>
      </c>
      <c r="E654" s="678">
        <f>SUMIFS('Accounting data'!$G$2:$G$26,'Accounting data'!$H$2:$H$26,"9999*",'Accounting data'!$I$2:$I$26,"7*",'Accounting data'!$J$2:$J$26,"23*",'Accounting data'!$K$2:$K$26,"66*")+SUMIFS('Accounting data'!$G$2:$G$26,'Accounting data'!$H$2:$H$26,"9999*",'Accounting data'!$I$2:$I$26,"8*",'Accounting data'!$J$2:$J$26,"23*",'Accounting data'!$K$2:$K$26,"66*")+SUMIFS('Accounting data'!$G$2:$G$26,'Accounting data'!$H$2:$H$26,"9999*",'Accounting data'!$I$2:$I$26,"9*",'Accounting data'!$J$2:$J$26,"23*",'Accounting data'!$K$2:$K$26,"66*")</f>
        <v>0</v>
      </c>
    </row>
    <row r="655" spans="1:5" x14ac:dyDescent="0.3">
      <c r="A655" s="677"/>
      <c r="B655" s="677"/>
      <c r="C655" s="677"/>
      <c r="D655" s="677"/>
      <c r="E655" s="678"/>
    </row>
    <row r="656" spans="1:5" x14ac:dyDescent="0.3">
      <c r="A656" s="677"/>
      <c r="B656" s="677"/>
      <c r="C656" s="677"/>
      <c r="D656" s="677"/>
      <c r="E656" s="678"/>
    </row>
    <row r="657" spans="1:5" x14ac:dyDescent="0.3">
      <c r="A657" s="680" t="s">
        <v>264</v>
      </c>
      <c r="B657" s="680"/>
      <c r="C657" s="680"/>
      <c r="D657" s="680"/>
      <c r="E657" s="682">
        <f>(E651-E652-E653)+(E654+E655+E656)</f>
        <v>0</v>
      </c>
    </row>
    <row r="658" spans="1:5" x14ac:dyDescent="0.3">
      <c r="A658" s="677" t="s">
        <v>217</v>
      </c>
      <c r="B658" s="677" t="s">
        <v>217</v>
      </c>
      <c r="C658" s="677">
        <v>2400</v>
      </c>
      <c r="D658" s="677">
        <v>6600</v>
      </c>
      <c r="E658" s="678">
        <f>SUMIFS('Accounting data'!$G$2:$G$26,'Accounting data'!$J$2:$J$26,"24*",'Accounting data'!$K$2:$K$26,"66*")</f>
        <v>97936</v>
      </c>
    </row>
    <row r="659" spans="1:5" x14ac:dyDescent="0.3">
      <c r="A659" s="677" t="s">
        <v>218</v>
      </c>
      <c r="B659" s="677" t="s">
        <v>217</v>
      </c>
      <c r="C659" s="677">
        <v>2400</v>
      </c>
      <c r="D659" s="677">
        <v>6600</v>
      </c>
      <c r="E659" s="678">
        <f>SUMIFS('Accounting data'!$G$2:$G$26,'Accounting data'!$H$2:$H$26,"9999*",'Accounting data'!$J$2:$J$26,"24*",'Accounting data'!$K$2:$K$26,"66*")</f>
        <v>0</v>
      </c>
    </row>
    <row r="660" spans="1:5" x14ac:dyDescent="0.3">
      <c r="A660" s="677" t="s">
        <v>217</v>
      </c>
      <c r="B660" s="677" t="s">
        <v>219</v>
      </c>
      <c r="C660" s="677">
        <v>2400</v>
      </c>
      <c r="D660" s="677">
        <v>6600</v>
      </c>
      <c r="E660" s="678">
        <f>SUMIFS('Accounting data'!$G$2:$G$26,'Accounting data'!$I$2:$I$26,"7*",'Accounting data'!$J$2:$J$26,"24*",'Accounting data'!$K$2:$K$26,"66*")+SUMIFS('Accounting data'!$G$2:$G$26,'Accounting data'!$I$2:$I$26,"8*",'Accounting data'!$J$2:$J$26,"24*",'Accounting data'!$K$2:$K$26,"66*")+SUMIFS('Accounting data'!$G$2:$G$26,'Accounting data'!$I$2:$I$26,"9*",'Accounting data'!$J$2:$J$26,"24*",'Accounting data'!$K$2:$K$26,"66*")</f>
        <v>0</v>
      </c>
    </row>
    <row r="661" spans="1:5" x14ac:dyDescent="0.3">
      <c r="A661" s="679" t="s">
        <v>218</v>
      </c>
      <c r="B661" s="677" t="s">
        <v>219</v>
      </c>
      <c r="C661" s="677">
        <v>2400</v>
      </c>
      <c r="D661" s="677">
        <v>6600</v>
      </c>
      <c r="E661" s="678">
        <f>SUMIFS('Accounting data'!$G$2:$G$26,'Accounting data'!$H$2:$H$26,"9999*",'Accounting data'!$I$2:$I$26,"7*",'Accounting data'!$J$2:$J$26,"24*",'Accounting data'!$K$2:$K$26,"66*")+SUMIFS('Accounting data'!$G$2:$G$26,'Accounting data'!$H$2:$H$26,"9999*",'Accounting data'!$I$2:$I$26,"8*",'Accounting data'!$J$2:$J$26,"24*",'Accounting data'!$K$2:$K$26,"66*")+SUMIFS('Accounting data'!$G$2:$G$26,'Accounting data'!$H$2:$H$26,"9999*",'Accounting data'!$I$2:$I$26,"9*",'Accounting data'!$J$2:$J$26,"24*",'Accounting data'!$K$2:$K$26,"66*")</f>
        <v>0</v>
      </c>
    </row>
    <row r="662" spans="1:5" x14ac:dyDescent="0.3">
      <c r="A662" s="677"/>
      <c r="B662" s="677"/>
      <c r="C662" s="677"/>
      <c r="D662" s="677"/>
      <c r="E662" s="678"/>
    </row>
    <row r="663" spans="1:5" x14ac:dyDescent="0.3">
      <c r="A663" s="677"/>
      <c r="B663" s="677"/>
      <c r="C663" s="677"/>
      <c r="D663" s="677"/>
      <c r="E663" s="678"/>
    </row>
    <row r="664" spans="1:5" x14ac:dyDescent="0.3">
      <c r="A664" s="680" t="s">
        <v>265</v>
      </c>
      <c r="B664" s="680"/>
      <c r="C664" s="680"/>
      <c r="D664" s="680"/>
      <c r="E664" s="682">
        <f>(E658-E659-E660)+(E661+E662+E663)</f>
        <v>97936</v>
      </c>
    </row>
    <row r="665" spans="1:5" x14ac:dyDescent="0.3">
      <c r="A665" s="677" t="s">
        <v>217</v>
      </c>
      <c r="B665" s="677" t="s">
        <v>217</v>
      </c>
      <c r="C665" s="677">
        <v>2500</v>
      </c>
      <c r="D665" s="677">
        <v>6600</v>
      </c>
      <c r="E665" s="678">
        <f>SUMIFS('Accounting data'!$G$2:$G$26,'Accounting data'!$J$2:$J$26,"25*",'Accounting data'!$K$2:$K$26,"66*")</f>
        <v>0</v>
      </c>
    </row>
    <row r="666" spans="1:5" x14ac:dyDescent="0.3">
      <c r="A666" s="677" t="s">
        <v>218</v>
      </c>
      <c r="B666" s="677" t="s">
        <v>217</v>
      </c>
      <c r="C666" s="677">
        <v>2500</v>
      </c>
      <c r="D666" s="677">
        <v>6600</v>
      </c>
      <c r="E666" s="678">
        <f>SUMIFS('Accounting data'!$G$2:$G$26,'Accounting data'!$H$2:$H$26,"9999*",'Accounting data'!$J$2:$J$26,"25*",'Accounting data'!$K$2:$K$26,"66*")</f>
        <v>0</v>
      </c>
    </row>
    <row r="667" spans="1:5" x14ac:dyDescent="0.3">
      <c r="A667" s="677" t="s">
        <v>217</v>
      </c>
      <c r="B667" s="677" t="s">
        <v>219</v>
      </c>
      <c r="C667" s="677">
        <v>2500</v>
      </c>
      <c r="D667" s="677">
        <v>6600</v>
      </c>
      <c r="E667" s="678">
        <f>SUMIFS('Accounting data'!$G$2:$G$26,'Accounting data'!$I$2:$I$26,"7*",'Accounting data'!$J$2:$J$26,"25*",'Accounting data'!$K$2:$K$26,"66*")+SUMIFS('Accounting data'!$G$2:$G$26,'Accounting data'!$I$2:$I$26,"8*",'Accounting data'!$J$2:$J$26,"25*",'Accounting data'!$K$2:$K$26,"66*")+SUMIFS('Accounting data'!$G$2:$G$26,'Accounting data'!$I$2:$I$26,"9*",'Accounting data'!$J$2:$J$26,"25*",'Accounting data'!$K$2:$K$26,"66*")</f>
        <v>0</v>
      </c>
    </row>
    <row r="668" spans="1:5" x14ac:dyDescent="0.3">
      <c r="A668" s="679" t="s">
        <v>218</v>
      </c>
      <c r="B668" s="677" t="s">
        <v>219</v>
      </c>
      <c r="C668" s="677">
        <v>2500</v>
      </c>
      <c r="D668" s="677">
        <v>6600</v>
      </c>
      <c r="E668" s="678">
        <f>SUMIFS('Accounting data'!$G$2:$G$26,'Accounting data'!$H$2:$H$26,"9999*",'Accounting data'!$I$2:$I$26,"7*",'Accounting data'!$J$2:$J$26,"25*",'Accounting data'!$K$2:$K$26,"66*")+SUMIFS('Accounting data'!$G$2:$G$26,'Accounting data'!$H$2:$H$26,"9999*",'Accounting data'!$I$2:$I$26,"8*",'Accounting data'!$J$2:$J$26,"25*",'Accounting data'!$K$2:$K$26,"66*")+SUMIFS('Accounting data'!$G$2:$G$26,'Accounting data'!$H$2:$H$26,"9999*",'Accounting data'!$I$2:$I$26,"9*",'Accounting data'!$J$2:$J$26,"25*",'Accounting data'!$K$2:$K$26,"66*")</f>
        <v>0</v>
      </c>
    </row>
    <row r="669" spans="1:5" x14ac:dyDescent="0.3">
      <c r="A669" s="677"/>
      <c r="B669" s="677"/>
      <c r="C669" s="677"/>
      <c r="D669" s="677"/>
      <c r="E669" s="678"/>
    </row>
    <row r="670" spans="1:5" x14ac:dyDescent="0.3">
      <c r="A670" s="677"/>
      <c r="B670" s="677"/>
      <c r="C670" s="677"/>
      <c r="D670" s="677"/>
      <c r="E670" s="678"/>
    </row>
    <row r="671" spans="1:5" x14ac:dyDescent="0.3">
      <c r="A671" s="680" t="s">
        <v>266</v>
      </c>
      <c r="B671" s="680"/>
      <c r="C671" s="680"/>
      <c r="D671" s="680"/>
      <c r="E671" s="682">
        <f>(E665-E666-E667)+(E668+E669+E670)</f>
        <v>0</v>
      </c>
    </row>
    <row r="672" spans="1:5" x14ac:dyDescent="0.3">
      <c r="A672" s="677" t="s">
        <v>217</v>
      </c>
      <c r="B672" s="677" t="s">
        <v>217</v>
      </c>
      <c r="C672" s="677">
        <v>2900</v>
      </c>
      <c r="D672" s="677">
        <v>6600</v>
      </c>
      <c r="E672" s="678">
        <f>SUMIFS('Accounting data'!$G$2:$G$26,'Accounting data'!$J$2:$J$26,"29*",'Accounting data'!$K$2:$K$26,"66*")</f>
        <v>0</v>
      </c>
    </row>
    <row r="673" spans="1:5" x14ac:dyDescent="0.3">
      <c r="A673" s="677" t="s">
        <v>218</v>
      </c>
      <c r="B673" s="677" t="s">
        <v>217</v>
      </c>
      <c r="C673" s="677">
        <v>2900</v>
      </c>
      <c r="D673" s="677">
        <v>6600</v>
      </c>
      <c r="E673" s="678">
        <f>SUMIFS('Accounting data'!$G$2:$G$26,'Accounting data'!$H$2:$H$26,"9999*",'Accounting data'!$J$2:$J$26,"29*",'Accounting data'!$K$2:$K$26,"66*")</f>
        <v>0</v>
      </c>
    </row>
    <row r="674" spans="1:5" x14ac:dyDescent="0.3">
      <c r="A674" s="677" t="s">
        <v>217</v>
      </c>
      <c r="B674" s="677" t="s">
        <v>219</v>
      </c>
      <c r="C674" s="677">
        <v>2900</v>
      </c>
      <c r="D674" s="677">
        <v>6600</v>
      </c>
      <c r="E674" s="678">
        <f>SUMIFS('Accounting data'!$G$2:$G$26,'Accounting data'!$I$2:$I$26,"7*",'Accounting data'!$J$2:$J$26,"29*",'Accounting data'!$K$2:$K$26,"66*")+SUMIFS('Accounting data'!$G$2:$G$26,'Accounting data'!$I$2:$I$26,"8*",'Accounting data'!$J$2:$J$26,"29*",'Accounting data'!$K$2:$K$26,"66*")+SUMIFS('Accounting data'!$G$2:$G$26,'Accounting data'!$I$2:$I$26,"9*",'Accounting data'!$J$2:$J$26,"29*",'Accounting data'!$K$2:$K$26,"66*")</f>
        <v>0</v>
      </c>
    </row>
    <row r="675" spans="1:5" x14ac:dyDescent="0.3">
      <c r="A675" s="679" t="s">
        <v>218</v>
      </c>
      <c r="B675" s="677" t="s">
        <v>219</v>
      </c>
      <c r="C675" s="677">
        <v>2900</v>
      </c>
      <c r="D675" s="677">
        <v>6600</v>
      </c>
      <c r="E675" s="678">
        <f>SUMIFS('Accounting data'!$G$2:$G$26,'Accounting data'!$H$2:$H$26,"9999*",'Accounting data'!$I$2:$I$26,"7*",'Accounting data'!$J$2:$J$26,"29*",'Accounting data'!$K$2:$K$26,"66*")+SUMIFS('Accounting data'!$G$2:$G$26,'Accounting data'!$H$2:$H$26,"9999*",'Accounting data'!$I$2:$I$26,"8*",'Accounting data'!$J$2:$J$26,"29*",'Accounting data'!$K$2:$K$26,"66*")+SUMIFS('Accounting data'!$G$2:$G$26,'Accounting data'!$H$2:$H$26,"9999*",'Accounting data'!$I$2:$I$26,"9*",'Accounting data'!$J$2:$J$26,"29*",'Accounting data'!$K$2:$K$26,"66*")</f>
        <v>0</v>
      </c>
    </row>
    <row r="676" spans="1:5" x14ac:dyDescent="0.3">
      <c r="A676" s="677"/>
      <c r="B676" s="677"/>
      <c r="C676" s="677"/>
      <c r="D676" s="677"/>
      <c r="E676" s="678"/>
    </row>
    <row r="677" spans="1:5" x14ac:dyDescent="0.3">
      <c r="A677" s="677"/>
      <c r="B677" s="677"/>
      <c r="C677" s="677"/>
      <c r="D677" s="677"/>
      <c r="E677" s="678"/>
    </row>
    <row r="678" spans="1:5" x14ac:dyDescent="0.3">
      <c r="A678" s="680" t="s">
        <v>267</v>
      </c>
      <c r="B678" s="680"/>
      <c r="C678" s="680"/>
      <c r="D678" s="680"/>
      <c r="E678" s="682">
        <f>(E672-E673-E674)+(E675+E676+E677)</f>
        <v>0</v>
      </c>
    </row>
    <row r="679" spans="1:5" x14ac:dyDescent="0.3">
      <c r="A679" s="677" t="s">
        <v>217</v>
      </c>
      <c r="B679" s="677" t="s">
        <v>217</v>
      </c>
      <c r="C679" s="677">
        <v>2600</v>
      </c>
      <c r="D679" s="677">
        <v>6600</v>
      </c>
      <c r="E679" s="678">
        <f>SUMIFS('Accounting data'!$G$2:$G$26,'Accounting data'!$J$2:$J$26,"26*",'Accounting data'!$K$2:$K$26,"66*")</f>
        <v>0</v>
      </c>
    </row>
    <row r="680" spans="1:5" x14ac:dyDescent="0.3">
      <c r="A680" s="677" t="s">
        <v>218</v>
      </c>
      <c r="B680" s="677" t="s">
        <v>217</v>
      </c>
      <c r="C680" s="677">
        <v>2600</v>
      </c>
      <c r="D680" s="677">
        <v>6600</v>
      </c>
      <c r="E680" s="678">
        <f>SUMIFS('Accounting data'!$G$2:$G$26,'Accounting data'!$H$2:$H$26,"9999*",'Accounting data'!$J$2:$J$26,"26*",'Accounting data'!$K$2:$K$26,"66*")</f>
        <v>0</v>
      </c>
    </row>
    <row r="681" spans="1:5" x14ac:dyDescent="0.3">
      <c r="A681" s="677" t="s">
        <v>217</v>
      </c>
      <c r="B681" s="677" t="s">
        <v>219</v>
      </c>
      <c r="C681" s="677">
        <v>2600</v>
      </c>
      <c r="D681" s="677">
        <v>6600</v>
      </c>
      <c r="E681" s="678">
        <f>SUMIFS('Accounting data'!$G$2:$G$26,'Accounting data'!$I$2:$I$26,"7*",'Accounting data'!$J$2:$J$26,"26*",'Accounting data'!$K$2:$K$26,"66*")+SUMIFS('Accounting data'!$G$2:$G$26,'Accounting data'!$I$2:$I$26,"8*",'Accounting data'!$J$2:$J$26,"26*",'Accounting data'!$K$2:$K$26,"66*")+SUMIFS('Accounting data'!$G$2:$G$26,'Accounting data'!$I$2:$I$26,"9*",'Accounting data'!$J$2:$J$26,"26*",'Accounting data'!$K$2:$K$26,"66*")</f>
        <v>0</v>
      </c>
    </row>
    <row r="682" spans="1:5" x14ac:dyDescent="0.3">
      <c r="A682" s="679" t="s">
        <v>218</v>
      </c>
      <c r="B682" s="677" t="s">
        <v>219</v>
      </c>
      <c r="C682" s="677">
        <v>2600</v>
      </c>
      <c r="D682" s="677">
        <v>6600</v>
      </c>
      <c r="E682" s="678">
        <f>SUMIFS('Accounting data'!$G$2:$G$26,'Accounting data'!$H$2:$H$26,"9999*",'Accounting data'!$I$2:$I$26,"7*",'Accounting data'!$J$2:$J$26,"26*",'Accounting data'!$K$2:$K$26,"66*")+SUMIFS('Accounting data'!$G$2:$G$26,'Accounting data'!$H$2:$H$26,"9999*",'Accounting data'!$I$2:$I$26,"8*",'Accounting data'!$J$2:$J$26,"26*",'Accounting data'!$K$2:$K$26,"66*")+SUMIFS('Accounting data'!$G$2:$G$26,'Accounting data'!$H$2:$H$26,"9999*",'Accounting data'!$I$2:$I$26,"9*",'Accounting data'!$J$2:$J$26,"26*",'Accounting data'!$K$2:$K$26,"66*")</f>
        <v>0</v>
      </c>
    </row>
    <row r="683" spans="1:5" x14ac:dyDescent="0.3">
      <c r="A683" s="677"/>
      <c r="B683" s="677"/>
      <c r="C683" s="677"/>
      <c r="D683" s="677"/>
      <c r="E683" s="678"/>
    </row>
    <row r="684" spans="1:5" x14ac:dyDescent="0.3">
      <c r="A684" s="677"/>
      <c r="B684" s="677"/>
      <c r="C684" s="677"/>
      <c r="D684" s="677"/>
      <c r="E684" s="678"/>
    </row>
    <row r="685" spans="1:5" x14ac:dyDescent="0.3">
      <c r="A685" s="680" t="s">
        <v>268</v>
      </c>
      <c r="B685" s="680"/>
      <c r="C685" s="680"/>
      <c r="D685" s="680"/>
      <c r="E685" s="682">
        <f>(E679-E680-E681)+(E682+E683+E684)</f>
        <v>0</v>
      </c>
    </row>
    <row r="686" spans="1:5" x14ac:dyDescent="0.3">
      <c r="A686" s="677" t="s">
        <v>217</v>
      </c>
      <c r="B686" s="677" t="s">
        <v>217</v>
      </c>
      <c r="C686" s="677">
        <v>2700</v>
      </c>
      <c r="D686" s="677">
        <v>6600</v>
      </c>
      <c r="E686" s="678">
        <f>SUMIFS('Accounting data'!$G$2:$G$26,'Accounting data'!$J$2:$J$26,"27*",'Accounting data'!$K$2:$K$26,"66*")</f>
        <v>0</v>
      </c>
    </row>
    <row r="687" spans="1:5" x14ac:dyDescent="0.3">
      <c r="A687" s="677" t="s">
        <v>218</v>
      </c>
      <c r="B687" s="677" t="s">
        <v>217</v>
      </c>
      <c r="C687" s="677">
        <v>2700</v>
      </c>
      <c r="D687" s="677">
        <v>6600</v>
      </c>
      <c r="E687" s="678">
        <f>SUMIFS('Accounting data'!$G$2:$G$26,'Accounting data'!$H$2:$H$26,"9999*",'Accounting data'!$J$2:$J$26,"27*",'Accounting data'!$K$2:$K$26,"66*")</f>
        <v>0</v>
      </c>
    </row>
    <row r="688" spans="1:5" x14ac:dyDescent="0.3">
      <c r="A688" s="677" t="s">
        <v>217</v>
      </c>
      <c r="B688" s="677" t="s">
        <v>219</v>
      </c>
      <c r="C688" s="677">
        <v>2700</v>
      </c>
      <c r="D688" s="677">
        <v>6600</v>
      </c>
      <c r="E688" s="678">
        <f>SUMIFS('Accounting data'!$G$2:$G$26,'Accounting data'!$I$2:$I$26,"7*",'Accounting data'!$J$2:$J$26,"27*",'Accounting data'!$K$2:$K$26,"66*")+SUMIFS('Accounting data'!$G$2:$G$26,'Accounting data'!$I$2:$I$26,"8*",'Accounting data'!$J$2:$J$26,"27*",'Accounting data'!$K$2:$K$26,"66*")+SUMIFS('Accounting data'!$G$2:$G$26,'Accounting data'!$I$2:$I$26,"9*",'Accounting data'!$J$2:$J$26,"27*",'Accounting data'!$K$2:$K$26,"66*")</f>
        <v>0</v>
      </c>
    </row>
    <row r="689" spans="1:5" x14ac:dyDescent="0.3">
      <c r="A689" s="679" t="s">
        <v>218</v>
      </c>
      <c r="B689" s="677" t="s">
        <v>219</v>
      </c>
      <c r="C689" s="677">
        <v>2700</v>
      </c>
      <c r="D689" s="677">
        <v>6600</v>
      </c>
      <c r="E689" s="678">
        <f>SUMIFS('Accounting data'!$G$2:$G$26,'Accounting data'!$H$2:$H$26,"9999*",'Accounting data'!$I$2:$I$26,"7*",'Accounting data'!$J$2:$J$26,"27*",'Accounting data'!$K$2:$K$26,"66*")+SUMIFS('Accounting data'!$G$2:$G$26,'Accounting data'!$H$2:$H$26,"9999*",'Accounting data'!$I$2:$I$26,"8*",'Accounting data'!$J$2:$J$26,"27*",'Accounting data'!$K$2:$K$26,"66*")+SUMIFS('Accounting data'!$G$2:$G$26,'Accounting data'!$H$2:$H$26,"9999*",'Accounting data'!$I$2:$I$26,"9*",'Accounting data'!$J$2:$J$26,"27*",'Accounting data'!$K$2:$K$26,"66*")</f>
        <v>0</v>
      </c>
    </row>
    <row r="690" spans="1:5" x14ac:dyDescent="0.3">
      <c r="A690" s="677"/>
      <c r="B690" s="677"/>
      <c r="C690" s="677"/>
      <c r="D690" s="677"/>
      <c r="E690" s="678"/>
    </row>
    <row r="691" spans="1:5" x14ac:dyDescent="0.3">
      <c r="A691" s="677"/>
      <c r="B691" s="677"/>
      <c r="C691" s="677"/>
      <c r="D691" s="677"/>
      <c r="E691" s="678"/>
    </row>
    <row r="692" spans="1:5" x14ac:dyDescent="0.3">
      <c r="A692" s="680" t="s">
        <v>269</v>
      </c>
      <c r="B692" s="680"/>
      <c r="C692" s="680"/>
      <c r="D692" s="680"/>
      <c r="E692" s="682">
        <f>(E686-E687-E688)+(E689+E690+E691)</f>
        <v>0</v>
      </c>
    </row>
    <row r="693" spans="1:5" x14ac:dyDescent="0.3">
      <c r="A693" s="677" t="s">
        <v>217</v>
      </c>
      <c r="B693" s="677" t="s">
        <v>217</v>
      </c>
      <c r="C693" s="677">
        <v>3100</v>
      </c>
      <c r="D693" s="677">
        <v>6600</v>
      </c>
      <c r="E693" s="678">
        <f>SUMIFS('Accounting data'!$G$2:$G$26,'Accounting data'!$J$2:$J$26,"31*",'Accounting data'!$K$2:$K$26,"66*")</f>
        <v>0</v>
      </c>
    </row>
    <row r="694" spans="1:5" x14ac:dyDescent="0.3">
      <c r="A694" s="677" t="s">
        <v>218</v>
      </c>
      <c r="B694" s="677" t="s">
        <v>217</v>
      </c>
      <c r="C694" s="677">
        <v>3100</v>
      </c>
      <c r="D694" s="677">
        <v>6600</v>
      </c>
      <c r="E694" s="678">
        <f>SUMIFS('Accounting data'!$G$2:$G$26,'Accounting data'!$H$2:$H$26,"9999*",'Accounting data'!$J$2:$J$26,"31*",'Accounting data'!$K$2:$K$26,"66*")</f>
        <v>0</v>
      </c>
    </row>
    <row r="695" spans="1:5" x14ac:dyDescent="0.3">
      <c r="A695" s="677" t="s">
        <v>217</v>
      </c>
      <c r="B695" s="677" t="s">
        <v>219</v>
      </c>
      <c r="C695" s="677">
        <v>3100</v>
      </c>
      <c r="D695" s="677">
        <v>6600</v>
      </c>
      <c r="E695" s="678">
        <f>SUMIFS('Accounting data'!$G$2:$G$26,'Accounting data'!$I$2:$I$26,"7*",'Accounting data'!$J$2:$J$26,"31*",'Accounting data'!$K$2:$K$26,"66*")+SUMIFS('Accounting data'!$G$2:$G$26,'Accounting data'!$I$2:$I$26,"8*",'Accounting data'!$J$2:$J$26,"31*",'Accounting data'!$K$2:$K$26,"66*")+SUMIFS('Accounting data'!$G$2:$G$26,'Accounting data'!$I$2:$I$26,"9*",'Accounting data'!$J$2:$J$26,"31*",'Accounting data'!$K$2:$K$26,"66*")</f>
        <v>0</v>
      </c>
    </row>
    <row r="696" spans="1:5" x14ac:dyDescent="0.3">
      <c r="A696" s="679" t="s">
        <v>218</v>
      </c>
      <c r="B696" s="677" t="s">
        <v>219</v>
      </c>
      <c r="C696" s="677">
        <v>3100</v>
      </c>
      <c r="D696" s="677">
        <v>6600</v>
      </c>
      <c r="E696" s="678">
        <f>SUMIFS('Accounting data'!$G$2:$G$26,'Accounting data'!$H$2:$H$26,"9999*",'Accounting data'!$I$2:$I$26,"7*",'Accounting data'!$J$2:$J$26,"31*",'Accounting data'!$K$2:$K$26,"66*")+SUMIFS('Accounting data'!$G$2:$G$26,'Accounting data'!$H$2:$H$26,"9999*",'Accounting data'!$I$2:$I$26,"8*",'Accounting data'!$J$2:$J$26,"31*",'Accounting data'!$K$2:$K$26,"66*")+SUMIFS('Accounting data'!$G$2:$G$26,'Accounting data'!$H$2:$H$26,"9999*",'Accounting data'!$I$2:$I$26,"9*",'Accounting data'!$J$2:$J$26,"31*",'Accounting data'!$K$2:$K$26,"66*")</f>
        <v>0</v>
      </c>
    </row>
    <row r="697" spans="1:5" x14ac:dyDescent="0.3">
      <c r="A697" s="677"/>
      <c r="B697" s="677"/>
      <c r="C697" s="677"/>
      <c r="D697" s="677"/>
      <c r="E697" s="678"/>
    </row>
    <row r="698" spans="1:5" x14ac:dyDescent="0.3">
      <c r="A698" s="677"/>
      <c r="B698" s="677"/>
      <c r="C698" s="677"/>
      <c r="D698" s="677"/>
      <c r="E698" s="678"/>
    </row>
    <row r="699" spans="1:5" x14ac:dyDescent="0.3">
      <c r="A699" s="680" t="s">
        <v>270</v>
      </c>
      <c r="B699" s="680"/>
      <c r="C699" s="680"/>
      <c r="D699" s="680"/>
      <c r="E699" s="682">
        <f>(E693-E694-E695)+(E696+E697+E698)</f>
        <v>0</v>
      </c>
    </row>
    <row r="700" spans="1:5" x14ac:dyDescent="0.3">
      <c r="A700" s="677"/>
      <c r="B700" s="677"/>
      <c r="C700" s="677"/>
      <c r="D700" s="677"/>
      <c r="E700" s="678"/>
    </row>
    <row r="701" spans="1:5" x14ac:dyDescent="0.3">
      <c r="A701" s="677"/>
      <c r="B701" s="677"/>
      <c r="C701" s="677"/>
      <c r="D701" s="677"/>
      <c r="E701" s="678"/>
    </row>
    <row r="702" spans="1:5" x14ac:dyDescent="0.3">
      <c r="A702" s="677"/>
      <c r="B702" s="677"/>
      <c r="C702" s="677"/>
      <c r="D702" s="677"/>
      <c r="E702" s="678"/>
    </row>
    <row r="703" spans="1:5" x14ac:dyDescent="0.3">
      <c r="A703" s="679"/>
      <c r="B703" s="677"/>
      <c r="C703" s="677"/>
      <c r="D703" s="677"/>
      <c r="E703" s="678"/>
    </row>
    <row r="704" spans="1:5" x14ac:dyDescent="0.3">
      <c r="A704" s="677"/>
      <c r="B704" s="677"/>
      <c r="C704" s="677"/>
      <c r="D704" s="677"/>
      <c r="E704" s="678"/>
    </row>
    <row r="705" spans="1:5" x14ac:dyDescent="0.3">
      <c r="A705" s="677"/>
      <c r="B705" s="677"/>
      <c r="C705" s="677"/>
      <c r="D705" s="677"/>
      <c r="E705" s="678"/>
    </row>
    <row r="706" spans="1:5" x14ac:dyDescent="0.3">
      <c r="A706" s="680"/>
      <c r="B706" s="680"/>
      <c r="C706" s="680"/>
      <c r="D706" s="680"/>
      <c r="E706" s="682"/>
    </row>
    <row r="707" spans="1:5" x14ac:dyDescent="0.3">
      <c r="A707" s="677" t="s">
        <v>217</v>
      </c>
      <c r="B707" s="677" t="s">
        <v>217</v>
      </c>
      <c r="C707" s="677">
        <v>3400</v>
      </c>
      <c r="D707" s="677">
        <v>6600</v>
      </c>
      <c r="E707" s="678">
        <f>SUMIFS('Accounting data'!$G$2:$G$26,'Accounting data'!$J$2:$J$26,"34*",'Accounting data'!$K$2:$K$26,"66*")</f>
        <v>0</v>
      </c>
    </row>
    <row r="708" spans="1:5" x14ac:dyDescent="0.3">
      <c r="A708" s="677" t="s">
        <v>218</v>
      </c>
      <c r="B708" s="677" t="s">
        <v>217</v>
      </c>
      <c r="C708" s="677">
        <v>3400</v>
      </c>
      <c r="D708" s="677">
        <v>6600</v>
      </c>
      <c r="E708" s="678">
        <f>SUMIFS('Accounting data'!$G$2:$G$26,'Accounting data'!$H$2:$H$26,"9999*",'Accounting data'!$J$2:$J$26,"34*",'Accounting data'!$K$2:$K$26,"66*")</f>
        <v>0</v>
      </c>
    </row>
    <row r="709" spans="1:5" x14ac:dyDescent="0.3">
      <c r="A709" s="677" t="s">
        <v>217</v>
      </c>
      <c r="B709" s="677" t="s">
        <v>219</v>
      </c>
      <c r="C709" s="677">
        <v>3400</v>
      </c>
      <c r="D709" s="677">
        <v>6600</v>
      </c>
      <c r="E709" s="678">
        <f>SUMIFS('Accounting data'!$G$2:$G$26,'Accounting data'!$I$2:$I$26,"7*",'Accounting data'!$J$2:$J$26,"34*",'Accounting data'!$K$2:$K$26,"66*")+SUMIFS('Accounting data'!$G$2:$G$26,'Accounting data'!$I$2:$I$26,"8*",'Accounting data'!$J$2:$J$26,"34*",'Accounting data'!$K$2:$K$26,"66*")+SUMIFS('Accounting data'!$G$2:$G$26,'Accounting data'!$I$2:$I$26,"9*",'Accounting data'!$J$2:$J$26,"34*",'Accounting data'!$K$2:$K$26,"66*")</f>
        <v>0</v>
      </c>
    </row>
    <row r="710" spans="1:5" x14ac:dyDescent="0.3">
      <c r="A710" s="679" t="s">
        <v>218</v>
      </c>
      <c r="B710" s="677" t="s">
        <v>219</v>
      </c>
      <c r="C710" s="677">
        <v>3400</v>
      </c>
      <c r="D710" s="677">
        <v>6600</v>
      </c>
      <c r="E710" s="678">
        <f>SUMIFS('Accounting data'!$G$2:$G$26,'Accounting data'!$H$2:$H$26,"9999*",'Accounting data'!$I$2:$I$26,"7*",'Accounting data'!$J$2:$J$26,"34*",'Accounting data'!$K$2:$K$26,"66*")+SUMIFS('Accounting data'!$G$2:$G$26,'Accounting data'!$H$2:$H$26,"9999*",'Accounting data'!$I$2:$I$26,"8*",'Accounting data'!$J$2:$J$26,"34*",'Accounting data'!$K$2:$K$26,"66*")+SUMIFS('Accounting data'!$G$2:$G$26,'Accounting data'!$H$2:$H$26,"9999*",'Accounting data'!$I$2:$I$26,"9*",'Accounting data'!$J$2:$J$26,"34*",'Accounting data'!$K$2:$K$26,"66*")</f>
        <v>0</v>
      </c>
    </row>
    <row r="711" spans="1:5" x14ac:dyDescent="0.3">
      <c r="A711" s="677"/>
      <c r="B711" s="677"/>
      <c r="C711" s="677"/>
      <c r="D711" s="677"/>
      <c r="E711" s="678"/>
    </row>
    <row r="712" spans="1:5" x14ac:dyDescent="0.3">
      <c r="A712" s="677"/>
      <c r="B712" s="677"/>
      <c r="C712" s="677"/>
      <c r="D712" s="677"/>
      <c r="E712" s="678"/>
    </row>
    <row r="713" spans="1:5" x14ac:dyDescent="0.3">
      <c r="A713" s="680" t="s">
        <v>271</v>
      </c>
      <c r="B713" s="680"/>
      <c r="C713" s="680"/>
      <c r="D713" s="680"/>
      <c r="E713" s="682">
        <f>(E707-E708-E709)+(E710+E711+E712)</f>
        <v>0</v>
      </c>
    </row>
    <row r="714" spans="1:5" x14ac:dyDescent="0.3">
      <c r="A714" s="677" t="s">
        <v>217</v>
      </c>
      <c r="B714" s="677" t="s">
        <v>217</v>
      </c>
      <c r="C714" s="677">
        <v>4000</v>
      </c>
      <c r="D714" s="677">
        <v>6600</v>
      </c>
      <c r="E714" s="678">
        <f>SUMIFS('Accounting data'!$G$2:$G$26,'Accounting data'!$J$2:$J$26,"4*",'Accounting data'!$K$2:$K$26,"66*")</f>
        <v>0</v>
      </c>
    </row>
    <row r="715" spans="1:5" x14ac:dyDescent="0.3">
      <c r="A715" s="677" t="s">
        <v>218</v>
      </c>
      <c r="B715" s="677" t="s">
        <v>217</v>
      </c>
      <c r="C715" s="677">
        <v>4000</v>
      </c>
      <c r="D715" s="677">
        <v>6600</v>
      </c>
      <c r="E715" s="678">
        <f>SUMIFS('Accounting data'!$G$2:$G$26,'Accounting data'!$H$2:$H$26,"9999*",'Accounting data'!$J$2:$J$26,"4*",'Accounting data'!$K$2:$K$26,"66*")</f>
        <v>0</v>
      </c>
    </row>
    <row r="716" spans="1:5" x14ac:dyDescent="0.3">
      <c r="A716" s="677" t="s">
        <v>217</v>
      </c>
      <c r="B716" s="677" t="s">
        <v>219</v>
      </c>
      <c r="C716" s="677">
        <v>4000</v>
      </c>
      <c r="D716" s="677">
        <v>6600</v>
      </c>
      <c r="E716" s="678">
        <f>SUMIFS('Accounting data'!$G$2:$G$26,'Accounting data'!$I$2:$I$26,"7*",'Accounting data'!$J$2:$J$26,"4*",'Accounting data'!$K$2:$K$26,"66*")+SUMIFS('Accounting data'!$G$2:$G$26,'Accounting data'!$I$2:$I$26,"8*",'Accounting data'!$J$2:$J$26,"4*",'Accounting data'!$K$2:$K$26,"66*")+SUMIFS('Accounting data'!$G$2:$G$26,'Accounting data'!$I$2:$I$26,"9*",'Accounting data'!$J$2:$J$26,"4*",'Accounting data'!$K$2:$K$26,"66*")</f>
        <v>0</v>
      </c>
    </row>
    <row r="717" spans="1:5" x14ac:dyDescent="0.3">
      <c r="A717" s="679" t="s">
        <v>218</v>
      </c>
      <c r="B717" s="677" t="s">
        <v>219</v>
      </c>
      <c r="C717" s="677">
        <v>4000</v>
      </c>
      <c r="D717" s="677">
        <v>6600</v>
      </c>
      <c r="E717" s="678">
        <f>SUMIFS('Accounting data'!$G$2:$G$26,'Accounting data'!$H$2:$H$26,"9999*",'Accounting data'!$I$2:$I$26,"7*",'Accounting data'!$J$2:$J$26,"4*",'Accounting data'!$K$2:$K$26,"66*")+SUMIFS('Accounting data'!$G$2:$G$26,'Accounting data'!$H$2:$H$26,"9999*",'Accounting data'!$I$2:$I$26,"8*",'Accounting data'!$J$2:$J$26,"4*",'Accounting data'!$K$2:$K$26,"66*")+SUMIFS('Accounting data'!$G$2:$G$26,'Accounting data'!$H$2:$H$26,"9999*",'Accounting data'!$I$2:$I$26,"9*",'Accounting data'!$J$2:$J$26,"4*",'Accounting data'!$K$2:$K$26,"66*")</f>
        <v>0</v>
      </c>
    </row>
    <row r="718" spans="1:5" x14ac:dyDescent="0.3">
      <c r="A718" s="677"/>
      <c r="B718" s="677"/>
      <c r="C718" s="677"/>
      <c r="D718" s="677"/>
      <c r="E718" s="678"/>
    </row>
    <row r="719" spans="1:5" x14ac:dyDescent="0.3">
      <c r="A719" s="677"/>
      <c r="B719" s="677"/>
      <c r="C719" s="677"/>
      <c r="D719" s="677"/>
      <c r="E719" s="678"/>
    </row>
    <row r="720" spans="1:5" x14ac:dyDescent="0.3">
      <c r="A720" s="680" t="s">
        <v>272</v>
      </c>
      <c r="B720" s="680"/>
      <c r="C720" s="680"/>
      <c r="D720" s="680"/>
      <c r="E720" s="682">
        <f>(E714-E715-E716)+(E717+E718+E719)</f>
        <v>0</v>
      </c>
    </row>
    <row r="721" spans="1:5" x14ac:dyDescent="0.3">
      <c r="A721" s="688" t="s">
        <v>328</v>
      </c>
      <c r="B721" s="688"/>
      <c r="C721" s="688"/>
      <c r="D721" s="688"/>
      <c r="E721" s="689">
        <f>E636+E643+E650+E657+E664+E671+E678+E685+E692+E699+E706+E713</f>
        <v>97936</v>
      </c>
    </row>
    <row r="722" spans="1:5" x14ac:dyDescent="0.3">
      <c r="A722" s="677" t="s">
        <v>231</v>
      </c>
      <c r="B722" s="677" t="s">
        <v>217</v>
      </c>
      <c r="C722" s="677">
        <v>1000</v>
      </c>
      <c r="D722" s="677">
        <v>6600</v>
      </c>
      <c r="E722" s="678">
        <f>SUMIFS('Accounting data'!$G$2:$G$26,'Accounting data'!$H$2:$H$26,"11*",'Accounting data'!$J$2:$J$26,"1*",'Accounting data'!$K$2:$K$26,"66*")+SUMIFS('Accounting data'!$G$2:$G$26,'Accounting data'!$H$2:$H$26,"12*",'Accounting data'!$J$2:$J$26,"1*",'Accounting data'!$K$2:$K$26,"66*")+SUMIFS('Accounting data'!$G$2:$G$26,'Accounting data'!$H$2:$H$26,"13*",'Accounting data'!$J$2:$J$26,"1*",'Accounting data'!$K$2:$K$26,"66*")</f>
        <v>0</v>
      </c>
    </row>
    <row r="723" spans="1:5" x14ac:dyDescent="0.3">
      <c r="A723" s="677" t="s">
        <v>231</v>
      </c>
      <c r="B723" s="677" t="s">
        <v>217</v>
      </c>
      <c r="C723" s="677">
        <v>2000</v>
      </c>
      <c r="D723" s="677">
        <v>6600</v>
      </c>
      <c r="E723" s="678">
        <f>SUMIFS('Accounting data'!$G$2:$G$26,'Accounting data'!$H$2:$H$26,"11*",'Accounting data'!$J$2:$J$26,"2*",'Accounting data'!$K$2:$K$26,"66*")+SUMIFS('Accounting data'!$G$2:$G$26,'Accounting data'!$H$2:$H$26,"12*",'Accounting data'!$J$2:$J$26,"2*",'Accounting data'!$K$2:$K$26,"66*")+SUMIFS('Accounting data'!$G$2:$G$26,'Accounting data'!$H$2:$H$26,"13*",'Accounting data'!$J$2:$J$26,"2*",'Accounting data'!$K$2:$K$26,"66*")</f>
        <v>0</v>
      </c>
    </row>
    <row r="724" spans="1:5" x14ac:dyDescent="0.3">
      <c r="A724" s="677" t="s">
        <v>231</v>
      </c>
      <c r="B724" s="677" t="s">
        <v>217</v>
      </c>
      <c r="C724" s="677">
        <v>3000</v>
      </c>
      <c r="D724" s="677">
        <v>6600</v>
      </c>
      <c r="E724" s="678">
        <f>SUMIFS('Accounting data'!$G$2:$G$26,'Accounting data'!$H$2:$H$26,"11*",'Accounting data'!$J$2:$J$26,"3*",'Accounting data'!$K$2:$K$26,"66*")+SUMIFS('Accounting data'!$G$2:$G$26,'Accounting data'!$H$2:$H$26,"12*",'Accounting data'!$J$2:$J$26,"3*",'Accounting data'!$K$2:$K$26,"66*")+SUMIFS('Accounting data'!$G$2:$G$26,'Accounting data'!$H$2:$H$26,"13*",'Accounting data'!$J$2:$J$26,"3*",'Accounting data'!$K$2:$K$26,"66*")</f>
        <v>0</v>
      </c>
    </row>
    <row r="725" spans="1:5" x14ac:dyDescent="0.3">
      <c r="A725" s="677" t="s">
        <v>231</v>
      </c>
      <c r="B725" s="679">
        <v>700</v>
      </c>
      <c r="C725" s="677">
        <v>1000</v>
      </c>
      <c r="D725" s="677">
        <v>6600</v>
      </c>
      <c r="E725" s="678">
        <f>SUMIFS('Accounting data'!$G$2:$G$26,'Accounting data'!$H$2:$H$26,"11*",'Accounting data'!$I$2:$I$26,"7*",'Accounting data'!$J$2:$J$26,"1*",'Accounting data'!$K$2:$K$26,"66*")+SUMIFS('Accounting data'!$G$2:$G$26,'Accounting data'!$H$2:$H$26,"12*",'Accounting data'!$I$2:$I$26,"7*",'Accounting data'!$J$2:$J$26,"1*",'Accounting data'!$K$2:$K$26,"66*")+SUMIFS('Accounting data'!$G$2:$G$26,'Accounting data'!$H$2:$H$26,"13*",'Accounting data'!$I$2:$I$26,"7*",'Accounting data'!$J$2:$J$26,"1*",'Accounting data'!$K$2:$K$26,"66*")</f>
        <v>0</v>
      </c>
    </row>
    <row r="726" spans="1:5" x14ac:dyDescent="0.3">
      <c r="A726" s="677" t="s">
        <v>231</v>
      </c>
      <c r="B726" s="679">
        <v>800</v>
      </c>
      <c r="C726" s="677">
        <v>1000</v>
      </c>
      <c r="D726" s="677">
        <v>6600</v>
      </c>
      <c r="E726" s="678">
        <f>SUMIFS('Accounting data'!$G$2:$G$26,'Accounting data'!$H$2:$H$26,"11*",'Accounting data'!$I$2:$I$26,"8*",'Accounting data'!$J$2:$J$26,"1*",'Accounting data'!$K$2:$K$26,"66*")+SUMIFS('Accounting data'!$G$2:$G$26,'Accounting data'!$H$2:$H$26,"12*",'Accounting data'!$I$2:$I$26,"8*",'Accounting data'!$J$2:$J$26,"1*",'Accounting data'!$K$2:$K$26,"66*")+SUMIFS('Accounting data'!$G$2:$G$26,'Accounting data'!$H$2:$H$26,"13*",'Accounting data'!$I$2:$I$26,"8*",'Accounting data'!$J$2:$J$26,"1*",'Accounting data'!$K$2:$K$26,"66*")</f>
        <v>0</v>
      </c>
    </row>
    <row r="727" spans="1:5" x14ac:dyDescent="0.3">
      <c r="A727" s="677" t="s">
        <v>231</v>
      </c>
      <c r="B727" s="679">
        <v>900</v>
      </c>
      <c r="C727" s="677">
        <v>1000</v>
      </c>
      <c r="D727" s="677">
        <v>6600</v>
      </c>
      <c r="E727" s="678">
        <f>SUMIFS('Accounting data'!$G$2:$G$26,'Accounting data'!$H$2:$H$26,"11*",'Accounting data'!$I$2:$I$26,"9*",'Accounting data'!$J$2:$J$26,"1*",'Accounting data'!$K$2:$K$26,"66*")+SUMIFS('Accounting data'!$G$2:$G$26,'Accounting data'!$H$2:$H$26,"12*",'Accounting data'!$I$2:$I$26,"9*",'Accounting data'!$J$2:$J$26,"1*",'Accounting data'!$K$2:$K$26,"66*")+SUMIFS('Accounting data'!$G$2:$G$26,'Accounting data'!$H$2:$H$26,"13*",'Accounting data'!$I$2:$I$26,"9*",'Accounting data'!$J$2:$J$26,"1*",'Accounting data'!$K$2:$K$26,"66*")</f>
        <v>0</v>
      </c>
    </row>
    <row r="728" spans="1:5" x14ac:dyDescent="0.3">
      <c r="A728" s="677" t="s">
        <v>231</v>
      </c>
      <c r="B728" s="679">
        <v>700</v>
      </c>
      <c r="C728" s="677">
        <v>2000</v>
      </c>
      <c r="D728" s="677">
        <v>6600</v>
      </c>
      <c r="E728" s="678">
        <f>SUMIFS('Accounting data'!$G$2:$G$26,'Accounting data'!$H$2:$H$26,"11*",'Accounting data'!$I$2:$I$26,"7*",'Accounting data'!$J$2:$J$26,"2*",'Accounting data'!$K$2:$K$26,"66*")+SUMIFS('Accounting data'!$G$2:$G$26,'Accounting data'!$H$2:$H$26,"12*",'Accounting data'!$I$2:$I$26,"7*",'Accounting data'!$J$2:$J$26,"2*",'Accounting data'!$K$2:$K$26,"66*")+SUMIFS('Accounting data'!$G$2:$G$26,'Accounting data'!$H$2:$H$26,"13*",'Accounting data'!$I$2:$I$26,"7*",'Accounting data'!$J$2:$J$26,"2*",'Accounting data'!$K$2:$K$26,"66*")</f>
        <v>0</v>
      </c>
    </row>
    <row r="729" spans="1:5" x14ac:dyDescent="0.3">
      <c r="A729" s="677" t="s">
        <v>231</v>
      </c>
      <c r="B729" s="679">
        <v>800</v>
      </c>
      <c r="C729" s="677">
        <v>2000</v>
      </c>
      <c r="D729" s="677">
        <v>6600</v>
      </c>
      <c r="E729" s="678">
        <f>SUMIFS('Accounting data'!$G$2:$G$26,'Accounting data'!$H$2:$H$26,"11*",'Accounting data'!$I$2:$I$26,"8*",'Accounting data'!$J$2:$J$26,"2*",'Accounting data'!$K$2:$K$26,"66*")+SUMIFS('Accounting data'!$G$2:$G$26,'Accounting data'!$H$2:$H$26,"12*",'Accounting data'!$I$2:$I$26,"8*",'Accounting data'!$J$2:$J$26,"2*",'Accounting data'!$K$2:$K$26,"66*")+SUMIFS('Accounting data'!$G$2:$G$26,'Accounting data'!$H$2:$H$26,"13*",'Accounting data'!$I$2:$I$26,"8*",'Accounting data'!$J$2:$J$26,"2*",'Accounting data'!$K$2:$K$26,"66*")</f>
        <v>0</v>
      </c>
    </row>
    <row r="730" spans="1:5" x14ac:dyDescent="0.3">
      <c r="A730" s="677" t="s">
        <v>231</v>
      </c>
      <c r="B730" s="679">
        <v>900</v>
      </c>
      <c r="C730" s="677">
        <v>2000</v>
      </c>
      <c r="D730" s="677">
        <v>6600</v>
      </c>
      <c r="E730" s="678">
        <f>SUMIFS('Accounting data'!$G$2:$G$26,'Accounting data'!$H$2:$H$26,"11*",'Accounting data'!$I$2:$I$26,"9*",'Accounting data'!$J$2:$J$26,"2*",'Accounting data'!$K$2:$K$26,"66*")+SUMIFS('Accounting data'!$G$2:$G$26,'Accounting data'!$H$2:$H$26,"12*",'Accounting data'!$I$2:$I$26,"9*",'Accounting data'!$J$2:$J$26,"2*",'Accounting data'!$K$2:$K$26,"66*")+SUMIFS('Accounting data'!$G$2:$G$26,'Accounting data'!$H$2:$H$26,"13*",'Accounting data'!$I$2:$I$26,"9*",'Accounting data'!$J$2:$J$26,"2*",'Accounting data'!$K$2:$K$26,"66*")</f>
        <v>0</v>
      </c>
    </row>
    <row r="731" spans="1:5" x14ac:dyDescent="0.3">
      <c r="A731" s="677" t="s">
        <v>231</v>
      </c>
      <c r="B731" s="679">
        <v>700</v>
      </c>
      <c r="C731" s="677">
        <v>3000</v>
      </c>
      <c r="D731" s="677">
        <v>6600</v>
      </c>
      <c r="E731" s="678">
        <f>SUMIFS('Accounting data'!$G$2:$G$26,'Accounting data'!$H$2:$H$26,"11*",'Accounting data'!$I$2:$I$26,"7*",'Accounting data'!$J$2:$J$26,"3*",'Accounting data'!$K$2:$K$26,"66*")+SUMIFS('Accounting data'!$G$2:$G$26,'Accounting data'!$H$2:$H$26,"12*",'Accounting data'!$I$2:$I$26,"7*",'Accounting data'!$J$2:$J$26,"3*",'Accounting data'!$K$2:$K$26,"66*")+SUMIFS('Accounting data'!$G$2:$G$26,'Accounting data'!$H$2:$H$26,"13*",'Accounting data'!$I$2:$I$26,"7*",'Accounting data'!$J$2:$J$26,"3*",'Accounting data'!$K$2:$K$26,"66*")</f>
        <v>0</v>
      </c>
    </row>
    <row r="732" spans="1:5" x14ac:dyDescent="0.3">
      <c r="A732" s="677" t="s">
        <v>231</v>
      </c>
      <c r="B732" s="679">
        <v>800</v>
      </c>
      <c r="C732" s="677">
        <v>3000</v>
      </c>
      <c r="D732" s="677">
        <v>6600</v>
      </c>
      <c r="E732" s="678">
        <f>SUMIFS('Accounting data'!$G$2:$G$26,'Accounting data'!$H$2:$H$26,"11*",'Accounting data'!$I$2:$I$26,"8*",'Accounting data'!$J$2:$J$26,"3*",'Accounting data'!$K$2:$K$26,"66*")+SUMIFS('Accounting data'!$G$2:$G$26,'Accounting data'!$H$2:$H$26,"12*",'Accounting data'!$I$2:$I$26,"8*",'Accounting data'!$J$2:$J$26,"3*",'Accounting data'!$K$2:$K$26,"66*")+SUMIFS('Accounting data'!$G$2:$G$26,'Accounting data'!$H$2:$H$26,"13*",'Accounting data'!$I$2:$I$26,"8*",'Accounting data'!$J$2:$J$26,"3*",'Accounting data'!$K$2:$K$26,"66*")</f>
        <v>0</v>
      </c>
    </row>
    <row r="733" spans="1:5" x14ac:dyDescent="0.3">
      <c r="A733" s="677" t="s">
        <v>231</v>
      </c>
      <c r="B733" s="679">
        <v>900</v>
      </c>
      <c r="C733" s="677">
        <v>3000</v>
      </c>
      <c r="D733" s="677">
        <v>6600</v>
      </c>
      <c r="E733" s="678">
        <f>SUMIFS('Accounting data'!$G$2:$G$26,'Accounting data'!$H$2:$H$26,"11*",'Accounting data'!$I$2:$I$26,"9*",'Accounting data'!$J$2:$J$26,"3*",'Accounting data'!$K$2:$K$26,"66*")+SUMIFS('Accounting data'!$G$2:$G$26,'Accounting data'!$H$2:$H$26,"12*",'Accounting data'!$I$2:$I$26,"9*",'Accounting data'!$J$2:$J$26,"3*",'Accounting data'!$K$2:$K$26,"66*")+SUMIFS('Accounting data'!$G$2:$G$26,'Accounting data'!$H$2:$H$26,"13*",'Accounting data'!$I$2:$I$26,"9*",'Accounting data'!$J$2:$J$26,"3*",'Accounting data'!$K$2:$K$26,"66*")</f>
        <v>0</v>
      </c>
    </row>
    <row r="734" spans="1:5" x14ac:dyDescent="0.3">
      <c r="A734" s="680" t="s">
        <v>273</v>
      </c>
      <c r="B734" s="680"/>
      <c r="C734" s="680"/>
      <c r="D734" s="680"/>
      <c r="E734" s="682">
        <f>(E722+E723+E724)-(E725+E726+E727+E728+E729+E730+E731+E732+E733)</f>
        <v>0</v>
      </c>
    </row>
    <row r="735" spans="1:5" x14ac:dyDescent="0.3">
      <c r="A735" s="677"/>
      <c r="B735" s="677"/>
      <c r="C735" s="677"/>
      <c r="D735" s="677"/>
      <c r="E735" s="678"/>
    </row>
    <row r="736" spans="1:5" x14ac:dyDescent="0.3">
      <c r="A736" s="677"/>
      <c r="B736" s="677"/>
      <c r="C736" s="677"/>
      <c r="D736" s="677"/>
      <c r="E736" s="678"/>
    </row>
    <row r="737" spans="1:5" x14ac:dyDescent="0.3">
      <c r="A737" s="677"/>
      <c r="B737" s="677"/>
      <c r="C737" s="677"/>
      <c r="D737" s="677"/>
      <c r="E737" s="678"/>
    </row>
    <row r="738" spans="1:5" x14ac:dyDescent="0.3">
      <c r="A738" s="679"/>
      <c r="B738" s="677"/>
      <c r="C738" s="677"/>
      <c r="D738" s="677"/>
      <c r="E738" s="678"/>
    </row>
    <row r="739" spans="1:5" x14ac:dyDescent="0.3">
      <c r="A739" s="677"/>
      <c r="B739" s="677"/>
      <c r="C739" s="677"/>
      <c r="D739" s="677"/>
      <c r="E739" s="678"/>
    </row>
    <row r="740" spans="1:5" x14ac:dyDescent="0.3">
      <c r="A740" s="677"/>
      <c r="B740" s="677"/>
      <c r="C740" s="677"/>
      <c r="D740" s="677"/>
      <c r="E740" s="678"/>
    </row>
    <row r="741" spans="1:5" x14ac:dyDescent="0.3">
      <c r="A741" s="677"/>
      <c r="B741" s="677"/>
      <c r="C741" s="677"/>
      <c r="D741" s="686"/>
      <c r="E741" s="678"/>
    </row>
    <row r="742" spans="1:5" x14ac:dyDescent="0.3">
      <c r="A742" s="677"/>
      <c r="B742" s="677"/>
      <c r="C742" s="677"/>
      <c r="D742" s="686"/>
      <c r="E742" s="678"/>
    </row>
    <row r="743" spans="1:5" x14ac:dyDescent="0.3">
      <c r="A743" s="677"/>
      <c r="B743" s="677"/>
      <c r="C743" s="677"/>
      <c r="D743" s="686"/>
      <c r="E743" s="678"/>
    </row>
    <row r="744" spans="1:5" x14ac:dyDescent="0.3">
      <c r="A744" s="679"/>
      <c r="B744" s="677"/>
      <c r="C744" s="677"/>
      <c r="D744" s="686"/>
      <c r="E744" s="678"/>
    </row>
    <row r="745" spans="1:5" x14ac:dyDescent="0.3">
      <c r="A745" s="677"/>
      <c r="B745" s="677"/>
      <c r="C745" s="677"/>
      <c r="D745" s="686"/>
      <c r="E745" s="678"/>
    </row>
    <row r="746" spans="1:5" x14ac:dyDescent="0.3">
      <c r="A746" s="677"/>
      <c r="B746" s="677"/>
      <c r="C746" s="677"/>
      <c r="D746" s="686"/>
      <c r="E746" s="678"/>
    </row>
    <row r="747" spans="1:5" x14ac:dyDescent="0.3">
      <c r="A747" s="680"/>
      <c r="B747" s="680"/>
      <c r="C747" s="680"/>
      <c r="D747" s="680"/>
      <c r="E747" s="682"/>
    </row>
    <row r="748" spans="1:5" x14ac:dyDescent="0.3">
      <c r="A748" s="677"/>
      <c r="B748" s="677"/>
      <c r="C748" s="677"/>
      <c r="D748" s="677"/>
      <c r="E748" s="678"/>
    </row>
    <row r="749" spans="1:5" x14ac:dyDescent="0.3">
      <c r="A749" s="677"/>
      <c r="B749" s="677"/>
      <c r="C749" s="677"/>
      <c r="D749" s="677"/>
      <c r="E749" s="678"/>
    </row>
    <row r="750" spans="1:5" x14ac:dyDescent="0.3">
      <c r="A750" s="677"/>
      <c r="B750" s="677"/>
      <c r="C750" s="677"/>
      <c r="D750" s="677"/>
      <c r="E750" s="678"/>
    </row>
    <row r="751" spans="1:5" x14ac:dyDescent="0.3">
      <c r="A751" s="679"/>
      <c r="B751" s="677"/>
      <c r="C751" s="677"/>
      <c r="D751" s="677"/>
      <c r="E751" s="678"/>
    </row>
    <row r="752" spans="1:5" x14ac:dyDescent="0.3">
      <c r="A752" s="677"/>
      <c r="B752" s="677"/>
      <c r="C752" s="677"/>
      <c r="D752" s="677"/>
      <c r="E752" s="678"/>
    </row>
    <row r="753" spans="1:5" x14ac:dyDescent="0.3">
      <c r="A753" s="677"/>
      <c r="B753" s="677"/>
      <c r="C753" s="677"/>
      <c r="D753" s="677"/>
      <c r="E753" s="678"/>
    </row>
    <row r="754" spans="1:5" x14ac:dyDescent="0.3">
      <c r="A754" s="677"/>
      <c r="B754" s="677"/>
      <c r="C754" s="677"/>
      <c r="D754" s="686"/>
      <c r="E754" s="678"/>
    </row>
    <row r="755" spans="1:5" x14ac:dyDescent="0.3">
      <c r="A755" s="677"/>
      <c r="B755" s="677"/>
      <c r="C755" s="677"/>
      <c r="D755" s="686"/>
      <c r="E755" s="678"/>
    </row>
    <row r="756" spans="1:5" x14ac:dyDescent="0.3">
      <c r="A756" s="677"/>
      <c r="B756" s="677"/>
      <c r="C756" s="677"/>
      <c r="D756" s="686"/>
      <c r="E756" s="678"/>
    </row>
    <row r="757" spans="1:5" x14ac:dyDescent="0.3">
      <c r="A757" s="679"/>
      <c r="B757" s="677"/>
      <c r="C757" s="677"/>
      <c r="D757" s="686"/>
      <c r="E757" s="678"/>
    </row>
    <row r="758" spans="1:5" x14ac:dyDescent="0.3">
      <c r="A758" s="677"/>
      <c r="B758" s="677"/>
      <c r="C758" s="677"/>
      <c r="D758" s="686"/>
      <c r="E758" s="678"/>
    </row>
    <row r="759" spans="1:5" x14ac:dyDescent="0.3">
      <c r="A759" s="677"/>
      <c r="B759" s="677"/>
      <c r="C759" s="677"/>
      <c r="D759" s="686"/>
      <c r="E759" s="678"/>
    </row>
    <row r="760" spans="1:5" x14ac:dyDescent="0.3">
      <c r="A760" s="680"/>
      <c r="B760" s="680"/>
      <c r="C760" s="680"/>
      <c r="D760" s="680"/>
      <c r="E760" s="682"/>
    </row>
    <row r="761" spans="1:5" x14ac:dyDescent="0.3">
      <c r="A761" s="677"/>
      <c r="B761" s="677"/>
      <c r="C761" s="677"/>
      <c r="D761" s="677"/>
      <c r="E761" s="678"/>
    </row>
    <row r="762" spans="1:5" x14ac:dyDescent="0.3">
      <c r="A762" s="677"/>
      <c r="B762" s="677"/>
      <c r="C762" s="677"/>
      <c r="D762" s="677"/>
      <c r="E762" s="678"/>
    </row>
    <row r="763" spans="1:5" x14ac:dyDescent="0.3">
      <c r="A763" s="677"/>
      <c r="B763" s="677"/>
      <c r="C763" s="677"/>
      <c r="D763" s="677"/>
      <c r="E763" s="678"/>
    </row>
    <row r="764" spans="1:5" x14ac:dyDescent="0.3">
      <c r="A764" s="679"/>
      <c r="B764" s="677"/>
      <c r="C764" s="677"/>
      <c r="D764" s="677"/>
      <c r="E764" s="678"/>
    </row>
    <row r="765" spans="1:5" x14ac:dyDescent="0.3">
      <c r="A765" s="677"/>
      <c r="B765" s="677"/>
      <c r="C765" s="677"/>
      <c r="D765" s="677"/>
      <c r="E765" s="678"/>
    </row>
    <row r="766" spans="1:5" x14ac:dyDescent="0.3">
      <c r="A766" s="677"/>
      <c r="B766" s="677"/>
      <c r="C766" s="677"/>
      <c r="D766" s="677"/>
      <c r="E766" s="678"/>
    </row>
    <row r="767" spans="1:5" x14ac:dyDescent="0.3">
      <c r="A767" s="677"/>
      <c r="B767" s="677"/>
      <c r="C767" s="677"/>
      <c r="D767" s="686"/>
      <c r="E767" s="678"/>
    </row>
    <row r="768" spans="1:5" x14ac:dyDescent="0.3">
      <c r="A768" s="677"/>
      <c r="B768" s="677"/>
      <c r="C768" s="677"/>
      <c r="D768" s="686"/>
      <c r="E768" s="678"/>
    </row>
    <row r="769" spans="1:5" x14ac:dyDescent="0.3">
      <c r="A769" s="677"/>
      <c r="B769" s="677"/>
      <c r="C769" s="677"/>
      <c r="D769" s="686"/>
      <c r="E769" s="678"/>
    </row>
    <row r="770" spans="1:5" x14ac:dyDescent="0.3">
      <c r="A770" s="679"/>
      <c r="B770" s="677"/>
      <c r="C770" s="677"/>
      <c r="D770" s="686"/>
      <c r="E770" s="678"/>
    </row>
    <row r="771" spans="1:5" x14ac:dyDescent="0.3">
      <c r="A771" s="677"/>
      <c r="B771" s="677"/>
      <c r="C771" s="677"/>
      <c r="D771" s="686"/>
      <c r="E771" s="678"/>
    </row>
    <row r="772" spans="1:5" x14ac:dyDescent="0.3">
      <c r="A772" s="677"/>
      <c r="B772" s="677"/>
      <c r="C772" s="677"/>
      <c r="D772" s="686"/>
      <c r="E772" s="678"/>
    </row>
    <row r="773" spans="1:5" x14ac:dyDescent="0.3">
      <c r="A773" s="680"/>
      <c r="B773" s="680"/>
      <c r="C773" s="680"/>
      <c r="D773" s="680"/>
      <c r="E773" s="682"/>
    </row>
    <row r="774" spans="1:5" x14ac:dyDescent="0.3">
      <c r="A774" s="677"/>
      <c r="B774" s="677"/>
      <c r="C774" s="677"/>
      <c r="D774" s="677"/>
      <c r="E774" s="678"/>
    </row>
    <row r="775" spans="1:5" x14ac:dyDescent="0.3">
      <c r="A775" s="677"/>
      <c r="B775" s="677"/>
      <c r="C775" s="677"/>
      <c r="D775" s="677"/>
      <c r="E775" s="678"/>
    </row>
    <row r="776" spans="1:5" x14ac:dyDescent="0.3">
      <c r="A776" s="677"/>
      <c r="B776" s="677"/>
      <c r="C776" s="677"/>
      <c r="D776" s="677"/>
      <c r="E776" s="678"/>
    </row>
    <row r="777" spans="1:5" x14ac:dyDescent="0.3">
      <c r="A777" s="679"/>
      <c r="B777" s="677"/>
      <c r="C777" s="677"/>
      <c r="D777" s="677"/>
      <c r="E777" s="678"/>
    </row>
    <row r="778" spans="1:5" x14ac:dyDescent="0.3">
      <c r="A778" s="677"/>
      <c r="B778" s="677"/>
      <c r="C778" s="677"/>
      <c r="D778" s="677"/>
      <c r="E778" s="678"/>
    </row>
    <row r="779" spans="1:5" x14ac:dyDescent="0.3">
      <c r="A779" s="677"/>
      <c r="B779" s="677"/>
      <c r="C779" s="677"/>
      <c r="D779" s="677"/>
      <c r="E779" s="678"/>
    </row>
    <row r="780" spans="1:5" x14ac:dyDescent="0.3">
      <c r="A780" s="677"/>
      <c r="B780" s="677"/>
      <c r="C780" s="677"/>
      <c r="D780" s="686"/>
      <c r="E780" s="678"/>
    </row>
    <row r="781" spans="1:5" x14ac:dyDescent="0.3">
      <c r="A781" s="677"/>
      <c r="B781" s="677"/>
      <c r="C781" s="677"/>
      <c r="D781" s="686"/>
      <c r="E781" s="678"/>
    </row>
    <row r="782" spans="1:5" x14ac:dyDescent="0.3">
      <c r="A782" s="677"/>
      <c r="B782" s="677"/>
      <c r="C782" s="677"/>
      <c r="D782" s="686"/>
      <c r="E782" s="678"/>
    </row>
    <row r="783" spans="1:5" x14ac:dyDescent="0.3">
      <c r="A783" s="679"/>
      <c r="B783" s="677"/>
      <c r="C783" s="677"/>
      <c r="D783" s="686"/>
      <c r="E783" s="678"/>
    </row>
    <row r="784" spans="1:5" x14ac:dyDescent="0.3">
      <c r="A784" s="677"/>
      <c r="B784" s="677"/>
      <c r="C784" s="677"/>
      <c r="D784" s="686"/>
      <c r="E784" s="678"/>
    </row>
    <row r="785" spans="1:5" x14ac:dyDescent="0.3">
      <c r="A785" s="677"/>
      <c r="B785" s="677"/>
      <c r="C785" s="677"/>
      <c r="D785" s="686"/>
      <c r="E785" s="678"/>
    </row>
    <row r="786" spans="1:5" x14ac:dyDescent="0.3">
      <c r="A786" s="680"/>
      <c r="B786" s="680"/>
      <c r="C786" s="680"/>
      <c r="D786" s="680"/>
      <c r="E786" s="682"/>
    </row>
    <row r="787" spans="1:5" x14ac:dyDescent="0.3">
      <c r="A787" s="677"/>
      <c r="B787" s="677"/>
      <c r="C787" s="677"/>
      <c r="D787" s="677"/>
      <c r="E787" s="678"/>
    </row>
    <row r="788" spans="1:5" x14ac:dyDescent="0.3">
      <c r="A788" s="677"/>
      <c r="B788" s="677"/>
      <c r="C788" s="677"/>
      <c r="D788" s="677"/>
      <c r="E788" s="678"/>
    </row>
    <row r="789" spans="1:5" x14ac:dyDescent="0.3">
      <c r="A789" s="677"/>
      <c r="B789" s="677"/>
      <c r="C789" s="677"/>
      <c r="D789" s="677"/>
      <c r="E789" s="678"/>
    </row>
    <row r="790" spans="1:5" x14ac:dyDescent="0.3">
      <c r="A790" s="679"/>
      <c r="B790" s="677"/>
      <c r="C790" s="677"/>
      <c r="D790" s="677"/>
      <c r="E790" s="678"/>
    </row>
    <row r="791" spans="1:5" x14ac:dyDescent="0.3">
      <c r="A791" s="677"/>
      <c r="B791" s="677"/>
      <c r="C791" s="677"/>
      <c r="D791" s="677"/>
      <c r="E791" s="678"/>
    </row>
    <row r="792" spans="1:5" x14ac:dyDescent="0.3">
      <c r="A792" s="677"/>
      <c r="B792" s="677"/>
      <c r="C792" s="677"/>
      <c r="D792" s="677"/>
      <c r="E792" s="678"/>
    </row>
    <row r="793" spans="1:5" x14ac:dyDescent="0.3">
      <c r="A793" s="677"/>
      <c r="B793" s="677"/>
      <c r="C793" s="677"/>
      <c r="D793" s="686"/>
      <c r="E793" s="678"/>
    </row>
    <row r="794" spans="1:5" x14ac:dyDescent="0.3">
      <c r="A794" s="677"/>
      <c r="B794" s="677"/>
      <c r="C794" s="677"/>
      <c r="D794" s="686"/>
      <c r="E794" s="678"/>
    </row>
    <row r="795" spans="1:5" x14ac:dyDescent="0.3">
      <c r="A795" s="677"/>
      <c r="B795" s="677"/>
      <c r="C795" s="677"/>
      <c r="D795" s="686"/>
      <c r="E795" s="678"/>
    </row>
    <row r="796" spans="1:5" x14ac:dyDescent="0.3">
      <c r="A796" s="679"/>
      <c r="B796" s="677"/>
      <c r="C796" s="677"/>
      <c r="D796" s="686"/>
      <c r="E796" s="678"/>
    </row>
    <row r="797" spans="1:5" x14ac:dyDescent="0.3">
      <c r="A797" s="677"/>
      <c r="B797" s="677"/>
      <c r="C797" s="677"/>
      <c r="D797" s="686"/>
      <c r="E797" s="678"/>
    </row>
    <row r="798" spans="1:5" x14ac:dyDescent="0.3">
      <c r="A798" s="677"/>
      <c r="B798" s="677"/>
      <c r="C798" s="677"/>
      <c r="D798" s="686"/>
      <c r="E798" s="678"/>
    </row>
    <row r="799" spans="1:5" x14ac:dyDescent="0.3">
      <c r="A799" s="680"/>
      <c r="B799" s="680"/>
      <c r="C799" s="680"/>
      <c r="D799" s="680"/>
      <c r="E799" s="682"/>
    </row>
    <row r="800" spans="1:5" x14ac:dyDescent="0.3">
      <c r="A800" s="677"/>
      <c r="B800" s="677"/>
      <c r="C800" s="677"/>
      <c r="D800" s="677"/>
      <c r="E800" s="678"/>
    </row>
    <row r="801" spans="1:5" x14ac:dyDescent="0.3">
      <c r="A801" s="677"/>
      <c r="B801" s="677"/>
      <c r="C801" s="677"/>
      <c r="D801" s="677"/>
      <c r="E801" s="678"/>
    </row>
    <row r="802" spans="1:5" x14ac:dyDescent="0.3">
      <c r="A802" s="677"/>
      <c r="B802" s="677"/>
      <c r="C802" s="677"/>
      <c r="D802" s="677"/>
      <c r="E802" s="678"/>
    </row>
    <row r="803" spans="1:5" x14ac:dyDescent="0.3">
      <c r="A803" s="679"/>
      <c r="B803" s="677"/>
      <c r="C803" s="677"/>
      <c r="D803" s="677"/>
      <c r="E803" s="678"/>
    </row>
    <row r="804" spans="1:5" x14ac:dyDescent="0.3">
      <c r="A804" s="677"/>
      <c r="B804" s="677"/>
      <c r="C804" s="677"/>
      <c r="D804" s="677"/>
      <c r="E804" s="678"/>
    </row>
    <row r="805" spans="1:5" x14ac:dyDescent="0.3">
      <c r="A805" s="677"/>
      <c r="B805" s="677"/>
      <c r="C805" s="677"/>
      <c r="D805" s="677"/>
      <c r="E805" s="678"/>
    </row>
    <row r="806" spans="1:5" x14ac:dyDescent="0.3">
      <c r="A806" s="677"/>
      <c r="B806" s="677"/>
      <c r="C806" s="677"/>
      <c r="D806" s="686"/>
      <c r="E806" s="678"/>
    </row>
    <row r="807" spans="1:5" x14ac:dyDescent="0.3">
      <c r="A807" s="677"/>
      <c r="B807" s="677"/>
      <c r="C807" s="677"/>
      <c r="D807" s="686"/>
      <c r="E807" s="678"/>
    </row>
    <row r="808" spans="1:5" x14ac:dyDescent="0.3">
      <c r="A808" s="677"/>
      <c r="B808" s="677"/>
      <c r="C808" s="677"/>
      <c r="D808" s="686"/>
      <c r="E808" s="678"/>
    </row>
    <row r="809" spans="1:5" x14ac:dyDescent="0.3">
      <c r="A809" s="679"/>
      <c r="B809" s="677"/>
      <c r="C809" s="677"/>
      <c r="D809" s="686"/>
      <c r="E809" s="678"/>
    </row>
    <row r="810" spans="1:5" x14ac:dyDescent="0.3">
      <c r="A810" s="677"/>
      <c r="B810" s="677"/>
      <c r="C810" s="677"/>
      <c r="D810" s="686"/>
      <c r="E810" s="678"/>
    </row>
    <row r="811" spans="1:5" x14ac:dyDescent="0.3">
      <c r="A811" s="677"/>
      <c r="B811" s="677"/>
      <c r="C811" s="677"/>
      <c r="D811" s="686"/>
      <c r="E811" s="678"/>
    </row>
    <row r="812" spans="1:5" x14ac:dyDescent="0.3">
      <c r="A812" s="680"/>
      <c r="B812" s="680"/>
      <c r="C812" s="680"/>
      <c r="D812" s="680"/>
      <c r="E812" s="682"/>
    </row>
    <row r="813" spans="1:5" x14ac:dyDescent="0.3">
      <c r="A813" s="677"/>
      <c r="B813" s="677"/>
      <c r="C813" s="677"/>
      <c r="D813" s="677"/>
      <c r="E813" s="678"/>
    </row>
    <row r="814" spans="1:5" x14ac:dyDescent="0.3">
      <c r="A814" s="677"/>
      <c r="B814" s="677"/>
      <c r="C814" s="677"/>
      <c r="D814" s="677"/>
      <c r="E814" s="678"/>
    </row>
    <row r="815" spans="1:5" x14ac:dyDescent="0.3">
      <c r="A815" s="677"/>
      <c r="B815" s="677"/>
      <c r="C815" s="677"/>
      <c r="D815" s="677"/>
      <c r="E815" s="678"/>
    </row>
    <row r="816" spans="1:5" x14ac:dyDescent="0.3">
      <c r="A816" s="679"/>
      <c r="B816" s="677"/>
      <c r="C816" s="677"/>
      <c r="D816" s="677"/>
      <c r="E816" s="678"/>
    </row>
    <row r="817" spans="1:5" x14ac:dyDescent="0.3">
      <c r="A817" s="677"/>
      <c r="B817" s="677"/>
      <c r="C817" s="677"/>
      <c r="D817" s="677"/>
      <c r="E817" s="678"/>
    </row>
    <row r="818" spans="1:5" x14ac:dyDescent="0.3">
      <c r="A818" s="677"/>
      <c r="B818" s="677"/>
      <c r="C818" s="677"/>
      <c r="D818" s="677"/>
      <c r="E818" s="678"/>
    </row>
    <row r="819" spans="1:5" x14ac:dyDescent="0.3">
      <c r="A819" s="677"/>
      <c r="B819" s="677"/>
      <c r="C819" s="677"/>
      <c r="D819" s="686"/>
      <c r="E819" s="678"/>
    </row>
    <row r="820" spans="1:5" x14ac:dyDescent="0.3">
      <c r="A820" s="677"/>
      <c r="B820" s="677"/>
      <c r="C820" s="677"/>
      <c r="D820" s="686"/>
      <c r="E820" s="678"/>
    </row>
    <row r="821" spans="1:5" x14ac:dyDescent="0.3">
      <c r="A821" s="677"/>
      <c r="B821" s="677"/>
      <c r="C821" s="677"/>
      <c r="D821" s="686"/>
      <c r="E821" s="678"/>
    </row>
    <row r="822" spans="1:5" x14ac:dyDescent="0.3">
      <c r="A822" s="679"/>
      <c r="B822" s="677"/>
      <c r="C822" s="677"/>
      <c r="D822" s="686"/>
      <c r="E822" s="678"/>
    </row>
    <row r="823" spans="1:5" x14ac:dyDescent="0.3">
      <c r="A823" s="677"/>
      <c r="B823" s="677"/>
      <c r="C823" s="677"/>
      <c r="D823" s="686"/>
      <c r="E823" s="678"/>
    </row>
    <row r="824" spans="1:5" x14ac:dyDescent="0.3">
      <c r="A824" s="677"/>
      <c r="B824" s="677"/>
      <c r="C824" s="677"/>
      <c r="D824" s="686"/>
      <c r="E824" s="678"/>
    </row>
    <row r="825" spans="1:5" x14ac:dyDescent="0.3">
      <c r="A825" s="680"/>
      <c r="B825" s="680"/>
      <c r="C825" s="680"/>
      <c r="D825" s="680"/>
      <c r="E825" s="682"/>
    </row>
    <row r="826" spans="1:5" x14ac:dyDescent="0.3">
      <c r="A826" s="677"/>
      <c r="B826" s="677"/>
      <c r="C826" s="677"/>
      <c r="D826" s="677"/>
      <c r="E826" s="678"/>
    </row>
    <row r="827" spans="1:5" x14ac:dyDescent="0.3">
      <c r="A827" s="677"/>
      <c r="B827" s="677"/>
      <c r="C827" s="677"/>
      <c r="D827" s="677"/>
      <c r="E827" s="678"/>
    </row>
    <row r="828" spans="1:5" x14ac:dyDescent="0.3">
      <c r="A828" s="677"/>
      <c r="B828" s="677"/>
      <c r="C828" s="677"/>
      <c r="D828" s="677"/>
      <c r="E828" s="678"/>
    </row>
    <row r="829" spans="1:5" x14ac:dyDescent="0.3">
      <c r="A829" s="679"/>
      <c r="B829" s="677"/>
      <c r="C829" s="677"/>
      <c r="D829" s="677"/>
      <c r="E829" s="678"/>
    </row>
    <row r="830" spans="1:5" x14ac:dyDescent="0.3">
      <c r="A830" s="677"/>
      <c r="B830" s="677"/>
      <c r="C830" s="677"/>
      <c r="D830" s="677"/>
      <c r="E830" s="678"/>
    </row>
    <row r="831" spans="1:5" x14ac:dyDescent="0.3">
      <c r="A831" s="677"/>
      <c r="B831" s="677"/>
      <c r="C831" s="677"/>
      <c r="D831" s="677"/>
      <c r="E831" s="678"/>
    </row>
    <row r="832" spans="1:5" x14ac:dyDescent="0.3">
      <c r="A832" s="677"/>
      <c r="B832" s="677"/>
      <c r="C832" s="677"/>
      <c r="D832" s="686"/>
      <c r="E832" s="678"/>
    </row>
    <row r="833" spans="1:5" x14ac:dyDescent="0.3">
      <c r="A833" s="677"/>
      <c r="B833" s="677"/>
      <c r="C833" s="677"/>
      <c r="D833" s="686"/>
      <c r="E833" s="678"/>
    </row>
    <row r="834" spans="1:5" x14ac:dyDescent="0.3">
      <c r="A834" s="677"/>
      <c r="B834" s="677"/>
      <c r="C834" s="677"/>
      <c r="D834" s="686"/>
      <c r="E834" s="678"/>
    </row>
    <row r="835" spans="1:5" x14ac:dyDescent="0.3">
      <c r="A835" s="679"/>
      <c r="B835" s="677"/>
      <c r="C835" s="677"/>
      <c r="D835" s="686"/>
      <c r="E835" s="678"/>
    </row>
    <row r="836" spans="1:5" x14ac:dyDescent="0.3">
      <c r="A836" s="677"/>
      <c r="B836" s="677"/>
      <c r="C836" s="677"/>
      <c r="D836" s="686"/>
      <c r="E836" s="678"/>
    </row>
    <row r="837" spans="1:5" x14ac:dyDescent="0.3">
      <c r="A837" s="677"/>
      <c r="B837" s="677"/>
      <c r="C837" s="677"/>
      <c r="D837" s="686"/>
      <c r="E837" s="678"/>
    </row>
    <row r="838" spans="1:5" x14ac:dyDescent="0.3">
      <c r="A838" s="680"/>
      <c r="B838" s="680"/>
      <c r="C838" s="680"/>
      <c r="D838" s="680"/>
      <c r="E838" s="682"/>
    </row>
    <row r="839" spans="1:5" x14ac:dyDescent="0.3">
      <c r="A839" s="677"/>
      <c r="B839" s="677"/>
      <c r="C839" s="677"/>
      <c r="D839" s="677"/>
      <c r="E839" s="678"/>
    </row>
    <row r="840" spans="1:5" x14ac:dyDescent="0.3">
      <c r="A840" s="677"/>
      <c r="B840" s="677"/>
      <c r="C840" s="677"/>
      <c r="D840" s="677"/>
      <c r="E840" s="678"/>
    </row>
    <row r="841" spans="1:5" x14ac:dyDescent="0.3">
      <c r="A841" s="677"/>
      <c r="B841" s="677"/>
      <c r="C841" s="677"/>
      <c r="D841" s="677"/>
      <c r="E841" s="678"/>
    </row>
    <row r="842" spans="1:5" x14ac:dyDescent="0.3">
      <c r="A842" s="679"/>
      <c r="B842" s="677"/>
      <c r="C842" s="677"/>
      <c r="D842" s="677"/>
      <c r="E842" s="678"/>
    </row>
    <row r="843" spans="1:5" x14ac:dyDescent="0.3">
      <c r="A843" s="677"/>
      <c r="B843" s="677"/>
      <c r="C843" s="677"/>
      <c r="D843" s="677"/>
      <c r="E843" s="678"/>
    </row>
    <row r="844" spans="1:5" x14ac:dyDescent="0.3">
      <c r="A844" s="677"/>
      <c r="B844" s="677"/>
      <c r="C844" s="677"/>
      <c r="D844" s="677"/>
      <c r="E844" s="678"/>
    </row>
    <row r="845" spans="1:5" x14ac:dyDescent="0.3">
      <c r="A845" s="677"/>
      <c r="B845" s="677"/>
      <c r="C845" s="677"/>
      <c r="D845" s="686"/>
      <c r="E845" s="678"/>
    </row>
    <row r="846" spans="1:5" x14ac:dyDescent="0.3">
      <c r="A846" s="677"/>
      <c r="B846" s="677"/>
      <c r="C846" s="677"/>
      <c r="D846" s="686"/>
      <c r="E846" s="678"/>
    </row>
    <row r="847" spans="1:5" x14ac:dyDescent="0.3">
      <c r="A847" s="677"/>
      <c r="B847" s="677"/>
      <c r="C847" s="677"/>
      <c r="D847" s="686"/>
      <c r="E847" s="678"/>
    </row>
    <row r="848" spans="1:5" x14ac:dyDescent="0.3">
      <c r="A848" s="679"/>
      <c r="B848" s="677"/>
      <c r="C848" s="677"/>
      <c r="D848" s="686"/>
      <c r="E848" s="678"/>
    </row>
    <row r="849" spans="1:5" x14ac:dyDescent="0.3">
      <c r="A849" s="677"/>
      <c r="B849" s="677"/>
      <c r="C849" s="677"/>
      <c r="D849" s="686"/>
      <c r="E849" s="678"/>
    </row>
    <row r="850" spans="1:5" x14ac:dyDescent="0.3">
      <c r="A850" s="677"/>
      <c r="B850" s="677"/>
      <c r="C850" s="677"/>
      <c r="D850" s="686"/>
      <c r="E850" s="678"/>
    </row>
    <row r="851" spans="1:5" x14ac:dyDescent="0.3">
      <c r="A851" s="680"/>
      <c r="B851" s="680"/>
      <c r="C851" s="680"/>
      <c r="D851" s="680"/>
      <c r="E851" s="682"/>
    </row>
    <row r="852" spans="1:5" x14ac:dyDescent="0.3">
      <c r="A852" s="677"/>
      <c r="B852" s="677"/>
      <c r="C852" s="677"/>
      <c r="D852" s="677"/>
      <c r="E852" s="678"/>
    </row>
    <row r="853" spans="1:5" x14ac:dyDescent="0.3">
      <c r="A853" s="677"/>
      <c r="B853" s="677"/>
      <c r="C853" s="677"/>
      <c r="D853" s="677"/>
      <c r="E853" s="678"/>
    </row>
    <row r="854" spans="1:5" x14ac:dyDescent="0.3">
      <c r="A854" s="677"/>
      <c r="B854" s="677"/>
      <c r="C854" s="677"/>
      <c r="D854" s="677"/>
      <c r="E854" s="678"/>
    </row>
    <row r="855" spans="1:5" x14ac:dyDescent="0.3">
      <c r="A855" s="679"/>
      <c r="B855" s="677"/>
      <c r="C855" s="677"/>
      <c r="D855" s="677"/>
      <c r="E855" s="678"/>
    </row>
    <row r="856" spans="1:5" x14ac:dyDescent="0.3">
      <c r="A856" s="677"/>
      <c r="B856" s="677"/>
      <c r="C856" s="677"/>
      <c r="D856" s="677"/>
      <c r="E856" s="678"/>
    </row>
    <row r="857" spans="1:5" x14ac:dyDescent="0.3">
      <c r="A857" s="677"/>
      <c r="B857" s="677"/>
      <c r="C857" s="677"/>
      <c r="D857" s="677"/>
      <c r="E857" s="678"/>
    </row>
    <row r="858" spans="1:5" x14ac:dyDescent="0.3">
      <c r="A858" s="677"/>
      <c r="B858" s="677"/>
      <c r="C858" s="677"/>
      <c r="D858" s="686"/>
      <c r="E858" s="678"/>
    </row>
    <row r="859" spans="1:5" x14ac:dyDescent="0.3">
      <c r="A859" s="677"/>
      <c r="B859" s="677"/>
      <c r="C859" s="677"/>
      <c r="D859" s="686"/>
      <c r="E859" s="678"/>
    </row>
    <row r="860" spans="1:5" x14ac:dyDescent="0.3">
      <c r="A860" s="677"/>
      <c r="B860" s="677"/>
      <c r="C860" s="677"/>
      <c r="D860" s="686"/>
      <c r="E860" s="678"/>
    </row>
    <row r="861" spans="1:5" x14ac:dyDescent="0.3">
      <c r="A861" s="679"/>
      <c r="B861" s="677"/>
      <c r="C861" s="677"/>
      <c r="D861" s="686"/>
      <c r="E861" s="678"/>
    </row>
    <row r="862" spans="1:5" x14ac:dyDescent="0.3">
      <c r="A862" s="677"/>
      <c r="B862" s="677"/>
      <c r="C862" s="677"/>
      <c r="D862" s="686"/>
      <c r="E862" s="678"/>
    </row>
    <row r="863" spans="1:5" x14ac:dyDescent="0.3">
      <c r="A863" s="677"/>
      <c r="B863" s="677"/>
      <c r="C863" s="677"/>
      <c r="D863" s="686"/>
      <c r="E863" s="678"/>
    </row>
    <row r="864" spans="1:5" x14ac:dyDescent="0.3">
      <c r="A864" s="680"/>
      <c r="B864" s="680"/>
      <c r="C864" s="680"/>
      <c r="D864" s="680"/>
      <c r="E864" s="682"/>
    </row>
    <row r="865" spans="1:5" x14ac:dyDescent="0.3">
      <c r="A865" s="677"/>
      <c r="B865" s="677"/>
      <c r="C865" s="677"/>
      <c r="D865" s="677"/>
      <c r="E865" s="678"/>
    </row>
    <row r="866" spans="1:5" x14ac:dyDescent="0.3">
      <c r="A866" s="677"/>
      <c r="B866" s="677"/>
      <c r="C866" s="677"/>
      <c r="D866" s="677"/>
      <c r="E866" s="678"/>
    </row>
    <row r="867" spans="1:5" x14ac:dyDescent="0.3">
      <c r="A867" s="677"/>
      <c r="B867" s="677"/>
      <c r="C867" s="677"/>
      <c r="D867" s="677"/>
      <c r="E867" s="678"/>
    </row>
    <row r="868" spans="1:5" x14ac:dyDescent="0.3">
      <c r="A868" s="679"/>
      <c r="B868" s="677"/>
      <c r="C868" s="677"/>
      <c r="D868" s="677"/>
      <c r="E868" s="678"/>
    </row>
    <row r="869" spans="1:5" x14ac:dyDescent="0.3">
      <c r="A869" s="677"/>
      <c r="B869" s="677"/>
      <c r="C869" s="677"/>
      <c r="D869" s="677"/>
      <c r="E869" s="678"/>
    </row>
    <row r="870" spans="1:5" x14ac:dyDescent="0.3">
      <c r="A870" s="677"/>
      <c r="B870" s="677"/>
      <c r="C870" s="677"/>
      <c r="D870" s="677"/>
      <c r="E870" s="678"/>
    </row>
    <row r="871" spans="1:5" x14ac:dyDescent="0.3">
      <c r="A871" s="677"/>
      <c r="B871" s="677"/>
      <c r="C871" s="677"/>
      <c r="D871" s="686"/>
      <c r="E871" s="678"/>
    </row>
    <row r="872" spans="1:5" x14ac:dyDescent="0.3">
      <c r="A872" s="677"/>
      <c r="B872" s="677"/>
      <c r="C872" s="677"/>
      <c r="D872" s="686"/>
      <c r="E872" s="678"/>
    </row>
    <row r="873" spans="1:5" x14ac:dyDescent="0.3">
      <c r="A873" s="677"/>
      <c r="B873" s="677"/>
      <c r="C873" s="677"/>
      <c r="D873" s="686"/>
      <c r="E873" s="678"/>
    </row>
    <row r="874" spans="1:5" x14ac:dyDescent="0.3">
      <c r="A874" s="679"/>
      <c r="B874" s="677"/>
      <c r="C874" s="677"/>
      <c r="D874" s="686"/>
      <c r="E874" s="678"/>
    </row>
    <row r="875" spans="1:5" x14ac:dyDescent="0.3">
      <c r="A875" s="677"/>
      <c r="B875" s="677"/>
      <c r="C875" s="677"/>
      <c r="D875" s="686"/>
      <c r="E875" s="678"/>
    </row>
    <row r="876" spans="1:5" x14ac:dyDescent="0.3">
      <c r="A876" s="677"/>
      <c r="B876" s="677"/>
      <c r="C876" s="677"/>
      <c r="D876" s="686"/>
      <c r="E876" s="678"/>
    </row>
    <row r="877" spans="1:5" x14ac:dyDescent="0.3">
      <c r="A877" s="680"/>
      <c r="B877" s="680"/>
      <c r="C877" s="680"/>
      <c r="D877" s="680"/>
      <c r="E877" s="682"/>
    </row>
    <row r="878" spans="1:5" x14ac:dyDescent="0.3">
      <c r="A878" s="677"/>
      <c r="B878" s="677"/>
      <c r="C878" s="677"/>
      <c r="D878" s="677"/>
      <c r="E878" s="678"/>
    </row>
    <row r="879" spans="1:5" x14ac:dyDescent="0.3">
      <c r="A879" s="677"/>
      <c r="B879" s="677"/>
      <c r="C879" s="677"/>
      <c r="D879" s="677"/>
      <c r="E879" s="678"/>
    </row>
    <row r="880" spans="1:5" x14ac:dyDescent="0.3">
      <c r="A880" s="677"/>
      <c r="B880" s="677"/>
      <c r="C880" s="677"/>
      <c r="D880" s="677"/>
      <c r="E880" s="678"/>
    </row>
    <row r="881" spans="1:5" x14ac:dyDescent="0.3">
      <c r="A881" s="679"/>
      <c r="B881" s="677"/>
      <c r="C881" s="677"/>
      <c r="D881" s="677"/>
      <c r="E881" s="678"/>
    </row>
    <row r="882" spans="1:5" x14ac:dyDescent="0.3">
      <c r="A882" s="677"/>
      <c r="B882" s="677"/>
      <c r="C882" s="677"/>
      <c r="D882" s="677"/>
      <c r="E882" s="678"/>
    </row>
    <row r="883" spans="1:5" x14ac:dyDescent="0.3">
      <c r="A883" s="677"/>
      <c r="B883" s="677"/>
      <c r="C883" s="677"/>
      <c r="D883" s="677"/>
      <c r="E883" s="678"/>
    </row>
    <row r="884" spans="1:5" x14ac:dyDescent="0.3">
      <c r="A884" s="677"/>
      <c r="B884" s="677"/>
      <c r="C884" s="677"/>
      <c r="D884" s="686"/>
      <c r="E884" s="678"/>
    </row>
    <row r="885" spans="1:5" x14ac:dyDescent="0.3">
      <c r="A885" s="677"/>
      <c r="B885" s="677"/>
      <c r="C885" s="677"/>
      <c r="D885" s="686"/>
      <c r="E885" s="678"/>
    </row>
    <row r="886" spans="1:5" x14ac:dyDescent="0.3">
      <c r="A886" s="677"/>
      <c r="B886" s="677"/>
      <c r="C886" s="677"/>
      <c r="D886" s="686"/>
      <c r="E886" s="678"/>
    </row>
    <row r="887" spans="1:5" x14ac:dyDescent="0.3">
      <c r="A887" s="679"/>
      <c r="B887" s="677"/>
      <c r="C887" s="677"/>
      <c r="D887" s="686"/>
      <c r="E887" s="678"/>
    </row>
    <row r="888" spans="1:5" x14ac:dyDescent="0.3">
      <c r="A888" s="677"/>
      <c r="B888" s="677"/>
      <c r="C888" s="677"/>
      <c r="D888" s="686"/>
      <c r="E888" s="678"/>
    </row>
    <row r="889" spans="1:5" x14ac:dyDescent="0.3">
      <c r="A889" s="677"/>
      <c r="B889" s="677"/>
      <c r="C889" s="677"/>
      <c r="D889" s="686"/>
      <c r="E889" s="678"/>
    </row>
    <row r="890" spans="1:5" x14ac:dyDescent="0.3">
      <c r="A890" s="680"/>
      <c r="B890" s="680"/>
      <c r="C890" s="680"/>
      <c r="D890" s="680"/>
      <c r="E890" s="682"/>
    </row>
    <row r="891" spans="1:5" x14ac:dyDescent="0.3">
      <c r="A891" s="677"/>
      <c r="B891" s="677"/>
      <c r="C891" s="677"/>
      <c r="D891" s="677"/>
      <c r="E891" s="678"/>
    </row>
    <row r="892" spans="1:5" x14ac:dyDescent="0.3">
      <c r="A892" s="677"/>
      <c r="B892" s="677"/>
      <c r="C892" s="677"/>
      <c r="D892" s="677"/>
      <c r="E892" s="678"/>
    </row>
    <row r="893" spans="1:5" x14ac:dyDescent="0.3">
      <c r="A893" s="677"/>
      <c r="B893" s="677"/>
      <c r="C893" s="677"/>
      <c r="D893" s="677"/>
      <c r="E893" s="678"/>
    </row>
    <row r="894" spans="1:5" x14ac:dyDescent="0.3">
      <c r="A894" s="679"/>
      <c r="B894" s="677"/>
      <c r="C894" s="677"/>
      <c r="D894" s="677"/>
      <c r="E894" s="678"/>
    </row>
    <row r="895" spans="1:5" x14ac:dyDescent="0.3">
      <c r="A895" s="677"/>
      <c r="B895" s="677"/>
      <c r="C895" s="677"/>
      <c r="D895" s="677"/>
      <c r="E895" s="678"/>
    </row>
    <row r="896" spans="1:5" x14ac:dyDescent="0.3">
      <c r="A896" s="677"/>
      <c r="B896" s="677"/>
      <c r="C896" s="677"/>
      <c r="D896" s="677"/>
      <c r="E896" s="678"/>
    </row>
    <row r="897" spans="1:5" x14ac:dyDescent="0.3">
      <c r="A897" s="677"/>
      <c r="B897" s="677"/>
      <c r="C897" s="677"/>
      <c r="D897" s="686"/>
      <c r="E897" s="678"/>
    </row>
    <row r="898" spans="1:5" x14ac:dyDescent="0.3">
      <c r="A898" s="677"/>
      <c r="B898" s="677"/>
      <c r="C898" s="677"/>
      <c r="D898" s="686"/>
      <c r="E898" s="678"/>
    </row>
    <row r="899" spans="1:5" x14ac:dyDescent="0.3">
      <c r="A899" s="677"/>
      <c r="B899" s="677"/>
      <c r="C899" s="677"/>
      <c r="D899" s="686"/>
      <c r="E899" s="678"/>
    </row>
    <row r="900" spans="1:5" x14ac:dyDescent="0.3">
      <c r="A900" s="679"/>
      <c r="B900" s="677"/>
      <c r="C900" s="677"/>
      <c r="D900" s="686"/>
      <c r="E900" s="678"/>
    </row>
    <row r="901" spans="1:5" x14ac:dyDescent="0.3">
      <c r="A901" s="677"/>
      <c r="B901" s="677"/>
      <c r="C901" s="677"/>
      <c r="D901" s="686"/>
      <c r="E901" s="678"/>
    </row>
    <row r="902" spans="1:5" x14ac:dyDescent="0.3">
      <c r="A902" s="677"/>
      <c r="B902" s="677"/>
      <c r="C902" s="677"/>
      <c r="D902" s="686"/>
      <c r="E902" s="678"/>
    </row>
    <row r="903" spans="1:5" x14ac:dyDescent="0.3">
      <c r="A903" s="680"/>
      <c r="B903" s="680"/>
      <c r="C903" s="680"/>
      <c r="D903" s="680"/>
      <c r="E903" s="682"/>
    </row>
    <row r="904" spans="1:5" x14ac:dyDescent="0.3">
      <c r="A904" s="688"/>
      <c r="B904" s="688"/>
      <c r="C904" s="688"/>
      <c r="D904" s="688"/>
      <c r="E904" s="689"/>
    </row>
    <row r="905" spans="1:5" x14ac:dyDescent="0.3">
      <c r="A905" s="677"/>
      <c r="B905" s="677"/>
      <c r="C905" s="677"/>
      <c r="D905" s="677"/>
      <c r="E905" s="678"/>
    </row>
    <row r="906" spans="1:5" x14ac:dyDescent="0.3">
      <c r="A906" s="677"/>
      <c r="B906" s="677"/>
      <c r="C906" s="677"/>
      <c r="D906" s="677"/>
      <c r="E906" s="678"/>
    </row>
    <row r="907" spans="1:5" x14ac:dyDescent="0.3">
      <c r="A907" s="677"/>
      <c r="B907" s="677"/>
      <c r="C907" s="677"/>
      <c r="D907" s="677"/>
      <c r="E907" s="678"/>
    </row>
    <row r="908" spans="1:5" x14ac:dyDescent="0.3">
      <c r="A908" s="677"/>
      <c r="B908" s="679"/>
      <c r="C908" s="677"/>
      <c r="D908" s="677"/>
      <c r="E908" s="678"/>
    </row>
    <row r="909" spans="1:5" x14ac:dyDescent="0.3">
      <c r="A909" s="677"/>
      <c r="B909" s="679"/>
      <c r="C909" s="677"/>
      <c r="D909" s="677"/>
      <c r="E909" s="678"/>
    </row>
    <row r="910" spans="1:5" x14ac:dyDescent="0.3">
      <c r="A910" s="677"/>
      <c r="B910" s="679"/>
      <c r="C910" s="677"/>
      <c r="D910" s="677"/>
      <c r="E910" s="678"/>
    </row>
    <row r="911" spans="1:5" x14ac:dyDescent="0.3">
      <c r="A911" s="677"/>
      <c r="B911" s="679"/>
      <c r="C911" s="677"/>
      <c r="D911" s="677"/>
      <c r="E911" s="678"/>
    </row>
    <row r="912" spans="1:5" x14ac:dyDescent="0.3">
      <c r="A912" s="677"/>
      <c r="B912" s="679"/>
      <c r="C912" s="677"/>
      <c r="D912" s="677"/>
      <c r="E912" s="678"/>
    </row>
    <row r="913" spans="1:5" x14ac:dyDescent="0.3">
      <c r="A913" s="677"/>
      <c r="B913" s="679"/>
      <c r="C913" s="677"/>
      <c r="D913" s="677"/>
      <c r="E913" s="678"/>
    </row>
    <row r="914" spans="1:5" x14ac:dyDescent="0.3">
      <c r="A914" s="677"/>
      <c r="B914" s="679"/>
      <c r="C914" s="677"/>
      <c r="D914" s="677"/>
      <c r="E914" s="678"/>
    </row>
    <row r="915" spans="1:5" x14ac:dyDescent="0.3">
      <c r="A915" s="677"/>
      <c r="B915" s="679"/>
      <c r="C915" s="677"/>
      <c r="D915" s="677"/>
      <c r="E915" s="678"/>
    </row>
    <row r="916" spans="1:5" x14ac:dyDescent="0.3">
      <c r="A916" s="677"/>
      <c r="B916" s="679"/>
      <c r="C916" s="677"/>
      <c r="D916" s="677"/>
      <c r="E916" s="678"/>
    </row>
    <row r="917" spans="1:5" x14ac:dyDescent="0.3">
      <c r="A917" s="680"/>
      <c r="B917" s="680"/>
      <c r="C917" s="680"/>
      <c r="D917" s="680"/>
      <c r="E917" s="682"/>
    </row>
    <row r="918" spans="1:5" x14ac:dyDescent="0.3">
      <c r="A918" s="677"/>
      <c r="B918" s="677"/>
      <c r="C918" s="677"/>
      <c r="D918" s="677"/>
      <c r="E918" s="678"/>
    </row>
    <row r="919" spans="1:5" x14ac:dyDescent="0.3">
      <c r="A919" s="677"/>
      <c r="B919" s="677"/>
      <c r="C919" s="677"/>
      <c r="D919" s="677"/>
      <c r="E919" s="678"/>
    </row>
    <row r="920" spans="1:5" x14ac:dyDescent="0.3">
      <c r="A920" s="677"/>
      <c r="B920" s="677"/>
      <c r="C920" s="677"/>
      <c r="D920" s="677"/>
      <c r="E920" s="678"/>
    </row>
    <row r="921" spans="1:5" x14ac:dyDescent="0.3">
      <c r="A921" s="677"/>
      <c r="B921" s="679"/>
      <c r="C921" s="677"/>
      <c r="D921" s="677"/>
      <c r="E921" s="678"/>
    </row>
    <row r="922" spans="1:5" x14ac:dyDescent="0.3">
      <c r="A922" s="677"/>
      <c r="B922" s="679"/>
      <c r="C922" s="677"/>
      <c r="D922" s="677"/>
      <c r="E922" s="678"/>
    </row>
    <row r="923" spans="1:5" x14ac:dyDescent="0.3">
      <c r="A923" s="677"/>
      <c r="B923" s="679"/>
      <c r="C923" s="677"/>
      <c r="D923" s="677"/>
      <c r="E923" s="678"/>
    </row>
    <row r="924" spans="1:5" x14ac:dyDescent="0.3">
      <c r="A924" s="677"/>
      <c r="B924" s="679"/>
      <c r="C924" s="677"/>
      <c r="D924" s="677"/>
      <c r="E924" s="678"/>
    </row>
    <row r="925" spans="1:5" x14ac:dyDescent="0.3">
      <c r="A925" s="677"/>
      <c r="B925" s="679"/>
      <c r="C925" s="677"/>
      <c r="D925" s="677"/>
      <c r="E925" s="678"/>
    </row>
    <row r="926" spans="1:5" x14ac:dyDescent="0.3">
      <c r="A926" s="677"/>
      <c r="B926" s="679"/>
      <c r="C926" s="677"/>
      <c r="D926" s="677"/>
      <c r="E926" s="678"/>
    </row>
    <row r="927" spans="1:5" x14ac:dyDescent="0.3">
      <c r="A927" s="677"/>
      <c r="B927" s="679"/>
      <c r="C927" s="677"/>
      <c r="D927" s="677"/>
      <c r="E927" s="678"/>
    </row>
    <row r="928" spans="1:5" x14ac:dyDescent="0.3">
      <c r="A928" s="677"/>
      <c r="B928" s="679"/>
      <c r="C928" s="677"/>
      <c r="D928" s="677"/>
      <c r="E928" s="678"/>
    </row>
    <row r="929" spans="1:5" x14ac:dyDescent="0.3">
      <c r="A929" s="677"/>
      <c r="B929" s="679"/>
      <c r="C929" s="677"/>
      <c r="D929" s="677"/>
      <c r="E929" s="678"/>
    </row>
    <row r="930" spans="1:5" x14ac:dyDescent="0.3">
      <c r="A930" s="680"/>
      <c r="B930" s="680"/>
      <c r="C930" s="680"/>
      <c r="D930" s="680"/>
      <c r="E930" s="682"/>
    </row>
    <row r="931" spans="1:5" x14ac:dyDescent="0.3">
      <c r="A931" s="677"/>
      <c r="B931" s="677"/>
      <c r="C931" s="677"/>
      <c r="D931" s="677"/>
      <c r="E931" s="678"/>
    </row>
    <row r="932" spans="1:5" x14ac:dyDescent="0.3">
      <c r="A932" s="677"/>
      <c r="B932" s="677"/>
      <c r="C932" s="677"/>
      <c r="D932" s="677"/>
      <c r="E932" s="678"/>
    </row>
    <row r="933" spans="1:5" x14ac:dyDescent="0.3">
      <c r="A933" s="677"/>
      <c r="B933" s="677"/>
      <c r="C933" s="677"/>
      <c r="D933" s="677"/>
      <c r="E933" s="678"/>
    </row>
    <row r="934" spans="1:5" x14ac:dyDescent="0.3">
      <c r="A934" s="677"/>
      <c r="B934" s="679"/>
      <c r="C934" s="677"/>
      <c r="D934" s="677"/>
      <c r="E934" s="678"/>
    </row>
    <row r="935" spans="1:5" x14ac:dyDescent="0.3">
      <c r="A935" s="677"/>
      <c r="B935" s="679"/>
      <c r="C935" s="677"/>
      <c r="D935" s="677"/>
      <c r="E935" s="678"/>
    </row>
    <row r="936" spans="1:5" x14ac:dyDescent="0.3">
      <c r="A936" s="677"/>
      <c r="B936" s="679"/>
      <c r="C936" s="677"/>
      <c r="D936" s="677"/>
      <c r="E936" s="678"/>
    </row>
    <row r="937" spans="1:5" x14ac:dyDescent="0.3">
      <c r="A937" s="677"/>
      <c r="B937" s="679"/>
      <c r="C937" s="677"/>
      <c r="D937" s="677"/>
      <c r="E937" s="678"/>
    </row>
    <row r="938" spans="1:5" x14ac:dyDescent="0.3">
      <c r="A938" s="677"/>
      <c r="B938" s="679"/>
      <c r="C938" s="677"/>
      <c r="D938" s="677"/>
      <c r="E938" s="678"/>
    </row>
    <row r="939" spans="1:5" x14ac:dyDescent="0.3">
      <c r="A939" s="677"/>
      <c r="B939" s="679"/>
      <c r="C939" s="677"/>
      <c r="D939" s="677"/>
      <c r="E939" s="678"/>
    </row>
    <row r="940" spans="1:5" x14ac:dyDescent="0.3">
      <c r="A940" s="677"/>
      <c r="B940" s="679"/>
      <c r="C940" s="677"/>
      <c r="D940" s="677"/>
      <c r="E940" s="678"/>
    </row>
    <row r="941" spans="1:5" x14ac:dyDescent="0.3">
      <c r="A941" s="677"/>
      <c r="B941" s="679"/>
      <c r="C941" s="677"/>
      <c r="D941" s="677"/>
      <c r="E941" s="678"/>
    </row>
    <row r="942" spans="1:5" x14ac:dyDescent="0.3">
      <c r="A942" s="677"/>
      <c r="B942" s="679"/>
      <c r="C942" s="677"/>
      <c r="D942" s="677"/>
      <c r="E942" s="678"/>
    </row>
    <row r="943" spans="1:5" x14ac:dyDescent="0.3">
      <c r="A943" s="680"/>
      <c r="B943" s="680"/>
      <c r="C943" s="680"/>
      <c r="D943" s="680"/>
      <c r="E943" s="682"/>
    </row>
    <row r="944" spans="1:5" x14ac:dyDescent="0.3">
      <c r="A944" s="688"/>
      <c r="B944" s="688"/>
      <c r="C944" s="688"/>
      <c r="D944" s="688"/>
      <c r="E944" s="689"/>
    </row>
    <row r="945" spans="1:5" x14ac:dyDescent="0.3">
      <c r="A945" s="677" t="s">
        <v>217</v>
      </c>
      <c r="B945" s="677" t="s">
        <v>217</v>
      </c>
      <c r="C945" s="677">
        <v>1000</v>
      </c>
      <c r="D945" s="686">
        <v>6810</v>
      </c>
      <c r="E945" s="678">
        <f>SUMIFS('Accounting data'!$G$2:$G$26,'Accounting data'!$J$2:$J$26,"1*",'Accounting data'!$K$2:$K$26,"681*")</f>
        <v>0</v>
      </c>
    </row>
    <row r="946" spans="1:5" x14ac:dyDescent="0.3">
      <c r="A946" s="677" t="s">
        <v>218</v>
      </c>
      <c r="B946" s="677" t="s">
        <v>217</v>
      </c>
      <c r="C946" s="677">
        <v>1000</v>
      </c>
      <c r="D946" s="686">
        <v>6810</v>
      </c>
      <c r="E946" s="678">
        <f>SUMIFS('Accounting data'!$G$2:$G$26,'Accounting data'!$H$2:$H$26,"9999*",'Accounting data'!$J$2:$J$26,"1*",'Accounting data'!$K$2:$K$26,"681*")</f>
        <v>0</v>
      </c>
    </row>
    <row r="947" spans="1:5" x14ac:dyDescent="0.3">
      <c r="A947" s="677" t="s">
        <v>217</v>
      </c>
      <c r="B947" s="677" t="s">
        <v>219</v>
      </c>
      <c r="C947" s="677">
        <v>1000</v>
      </c>
      <c r="D947" s="686">
        <v>6810</v>
      </c>
      <c r="E947" s="678">
        <f>SUMIFS('Accounting data'!$G$2:$G$26,'Accounting data'!$I$2:$I$26,"7*",'Accounting data'!$J$2:$J$26,"1*",'Accounting data'!$K$2:$K$26,"681*")+SUMIFS('Accounting data'!$G$2:$G$26,'Accounting data'!$I$2:$I$26,"8*",'Accounting data'!$J$2:$J$26,"1*",'Accounting data'!$K$2:$K$26,"681*")+SUMIFS('Accounting data'!$G$2:$G$26,'Accounting data'!$I$2:$I$26,"9*",'Accounting data'!$J$2:$J$26,"1*",'Accounting data'!$K$2:$K$26,"681*")</f>
        <v>0</v>
      </c>
    </row>
    <row r="948" spans="1:5" x14ac:dyDescent="0.3">
      <c r="A948" s="679" t="s">
        <v>218</v>
      </c>
      <c r="B948" s="677" t="s">
        <v>219</v>
      </c>
      <c r="C948" s="677">
        <v>1000</v>
      </c>
      <c r="D948" s="686">
        <v>6810</v>
      </c>
      <c r="E948" s="678">
        <f>SUMIFS('Accounting data'!$G$2:$G$26,'Accounting data'!$H$2:$H$26,"9999*",'Accounting data'!$I$2:$I$26,"7*",'Accounting data'!$J$2:$J$26,"1*",'Accounting data'!$K$2:$K$26,"681*")+SUMIFS('Accounting data'!$G$2:$G$26,'Accounting data'!$H$2:$H$26,"9999*",'Accounting data'!$I$2:$I$26,"8*",'Accounting data'!$J$2:$J$26,"1*",'Accounting data'!$K$2:$K$26,"681*")+SUMIFS('Accounting data'!$G$2:$G$26,'Accounting data'!$H$2:$H$26,"9999*",'Accounting data'!$I$2:$I$26,"9*",'Accounting data'!$J$2:$J$26,"1*",'Accounting data'!$K$2:$K$26,"681*")</f>
        <v>0</v>
      </c>
    </row>
    <row r="949" spans="1:5" x14ac:dyDescent="0.3">
      <c r="A949" s="677"/>
      <c r="B949" s="677"/>
      <c r="C949" s="677"/>
      <c r="D949" s="686"/>
      <c r="E949" s="678"/>
    </row>
    <row r="950" spans="1:5" x14ac:dyDescent="0.3">
      <c r="A950" s="677"/>
      <c r="B950" s="677"/>
      <c r="C950" s="677"/>
      <c r="D950" s="686"/>
      <c r="E950" s="678"/>
    </row>
    <row r="951" spans="1:5" x14ac:dyDescent="0.3">
      <c r="A951" s="680" t="s">
        <v>274</v>
      </c>
      <c r="B951" s="680"/>
      <c r="C951" s="680"/>
      <c r="D951" s="680"/>
      <c r="E951" s="682">
        <f>((E945-E946-E947)+(E948+E949+E950))</f>
        <v>0</v>
      </c>
    </row>
    <row r="952" spans="1:5" x14ac:dyDescent="0.3">
      <c r="A952" s="677" t="s">
        <v>217</v>
      </c>
      <c r="B952" s="677" t="s">
        <v>217</v>
      </c>
      <c r="C952" s="677">
        <v>2100</v>
      </c>
      <c r="D952" s="686">
        <v>6810</v>
      </c>
      <c r="E952" s="678">
        <f>SUMIFS('Accounting data'!$G$2:$G$26,'Accounting data'!$J$2:$J$26,"21*",'Accounting data'!$K$2:$K$26,"681*")</f>
        <v>0</v>
      </c>
    </row>
    <row r="953" spans="1:5" x14ac:dyDescent="0.3">
      <c r="A953" s="677" t="s">
        <v>218</v>
      </c>
      <c r="B953" s="677" t="s">
        <v>217</v>
      </c>
      <c r="C953" s="677">
        <v>2100</v>
      </c>
      <c r="D953" s="686">
        <v>6810</v>
      </c>
      <c r="E953" s="678">
        <f>SUMIFS('Accounting data'!$G$2:$G$26,'Accounting data'!$H$2:$H$26,"9999*",'Accounting data'!$J$2:$J$26,"21*",'Accounting data'!$K$2:$K$26,"681*")</f>
        <v>0</v>
      </c>
    </row>
    <row r="954" spans="1:5" x14ac:dyDescent="0.3">
      <c r="A954" s="677" t="s">
        <v>217</v>
      </c>
      <c r="B954" s="677" t="s">
        <v>219</v>
      </c>
      <c r="C954" s="677">
        <v>2100</v>
      </c>
      <c r="D954" s="686">
        <v>6810</v>
      </c>
      <c r="E954" s="678">
        <f>SUMIFS('Accounting data'!$G$2:$G$26,'Accounting data'!$I$2:$I$26,"7*",'Accounting data'!$J$2:$J$26,"21*",'Accounting data'!$K$2:$K$26,"681*")+SUMIFS('Accounting data'!$G$2:$G$26,'Accounting data'!$I$2:$I$26,"8*",'Accounting data'!$J$2:$J$26,"21*",'Accounting data'!$K$2:$K$26,"681*")+SUMIFS('Accounting data'!$G$2:$G$26,'Accounting data'!$I$2:$I$26,"9*",'Accounting data'!$J$2:$J$26,"21*",'Accounting data'!$K$2:$K$26,"681*")</f>
        <v>0</v>
      </c>
    </row>
    <row r="955" spans="1:5" x14ac:dyDescent="0.3">
      <c r="A955" s="679" t="s">
        <v>218</v>
      </c>
      <c r="B955" s="677" t="s">
        <v>219</v>
      </c>
      <c r="C955" s="677">
        <v>2100</v>
      </c>
      <c r="D955" s="686">
        <v>6810</v>
      </c>
      <c r="E955" s="678">
        <f>SUMIFS('Accounting data'!$G$2:$G$26,'Accounting data'!$H$2:$H$26,"9999*",'Accounting data'!$I$2:$I$26,"7*",'Accounting data'!$J$2:$J$26,"21*",'Accounting data'!$K$2:$K$26,"681*")+SUMIFS('Accounting data'!$G$2:$G$26,'Accounting data'!$H$2:$H$26,"9999*",'Accounting data'!$I$2:$I$26,"8*",'Accounting data'!$J$2:$J$26,"21*",'Accounting data'!$K$2:$K$26,"681*")+SUMIFS('Accounting data'!$G$2:$G$26,'Accounting data'!$H$2:$H$26,"9999*",'Accounting data'!$I$2:$I$26,"9*",'Accounting data'!$J$2:$J$26,"21*",'Accounting data'!$K$2:$K$26,"681*")</f>
        <v>0</v>
      </c>
    </row>
    <row r="956" spans="1:5" x14ac:dyDescent="0.3">
      <c r="A956" s="677"/>
      <c r="B956" s="677"/>
      <c r="C956" s="677"/>
      <c r="D956" s="686"/>
      <c r="E956" s="678"/>
    </row>
    <row r="957" spans="1:5" x14ac:dyDescent="0.3">
      <c r="A957" s="677"/>
      <c r="B957" s="677"/>
      <c r="C957" s="677"/>
      <c r="D957" s="686"/>
      <c r="E957" s="678"/>
    </row>
    <row r="958" spans="1:5" x14ac:dyDescent="0.3">
      <c r="A958" s="680" t="s">
        <v>275</v>
      </c>
      <c r="B958" s="680"/>
      <c r="C958" s="680"/>
      <c r="D958" s="680"/>
      <c r="E958" s="682">
        <f>(E952-E953-E954)+(E955+E956+E957)</f>
        <v>0</v>
      </c>
    </row>
    <row r="959" spans="1:5" x14ac:dyDescent="0.3">
      <c r="A959" s="677" t="s">
        <v>217</v>
      </c>
      <c r="B959" s="677" t="s">
        <v>217</v>
      </c>
      <c r="C959" s="677">
        <v>2200</v>
      </c>
      <c r="D959" s="686">
        <v>6810</v>
      </c>
      <c r="E959" s="678">
        <f>SUMIFS('Accounting data'!$G$2:$G$26,'Accounting data'!$J$2:$J$26,"22*",'Accounting data'!$K$2:$K$26,"681*")</f>
        <v>0</v>
      </c>
    </row>
    <row r="960" spans="1:5" x14ac:dyDescent="0.3">
      <c r="A960" s="677" t="s">
        <v>218</v>
      </c>
      <c r="B960" s="677" t="s">
        <v>217</v>
      </c>
      <c r="C960" s="677">
        <v>2200</v>
      </c>
      <c r="D960" s="686">
        <v>6810</v>
      </c>
      <c r="E960" s="678">
        <f>SUMIFS('Accounting data'!$G$2:$G$26,'Accounting data'!$H$2:$H$26,"9999*",'Accounting data'!$J$2:$J$26,"22*",'Accounting data'!$K$2:$K$26,"681*")</f>
        <v>0</v>
      </c>
    </row>
    <row r="961" spans="1:5" x14ac:dyDescent="0.3">
      <c r="A961" s="677" t="s">
        <v>217</v>
      </c>
      <c r="B961" s="677" t="s">
        <v>219</v>
      </c>
      <c r="C961" s="677">
        <v>2200</v>
      </c>
      <c r="D961" s="686">
        <v>6810</v>
      </c>
      <c r="E961" s="678">
        <f>SUMIFS('Accounting data'!$G$2:$G$26,'Accounting data'!$I$2:$I$26,"7*",'Accounting data'!$J$2:$J$26,"22*",'Accounting data'!$K$2:$K$26,"681*")+SUMIFS('Accounting data'!$G$2:$G$26,'Accounting data'!$I$2:$I$26,"8*",'Accounting data'!$J$2:$J$26,"22*",'Accounting data'!$K$2:$K$26,"681*")+SUMIFS('Accounting data'!$G$2:$G$26,'Accounting data'!$I$2:$I$26,"9*",'Accounting data'!$J$2:$J$26,"22*",'Accounting data'!$K$2:$K$26,"681*")</f>
        <v>0</v>
      </c>
    </row>
    <row r="962" spans="1:5" x14ac:dyDescent="0.3">
      <c r="A962" s="679" t="s">
        <v>218</v>
      </c>
      <c r="B962" s="677" t="s">
        <v>219</v>
      </c>
      <c r="C962" s="677">
        <v>2200</v>
      </c>
      <c r="D962" s="686">
        <v>6810</v>
      </c>
      <c r="E962" s="678">
        <f>SUMIFS('Accounting data'!$G$2:$G$26,'Accounting data'!$H$2:$H$26,"9999*",'Accounting data'!$I$2:$I$26,"7*",'Accounting data'!$J$2:$J$26,"22*",'Accounting data'!$K$2:$K$26,"681*")+SUMIFS('Accounting data'!$G$2:$G$26,'Accounting data'!$H$2:$H$26,"9999*",'Accounting data'!$I$2:$I$26,"8*",'Accounting data'!$J$2:$J$26,"22*",'Accounting data'!$K$2:$K$26,"681*")+SUMIFS('Accounting data'!$G$2:$G$26,'Accounting data'!$H$2:$H$26,"9999*",'Accounting data'!$I$2:$I$26,"9*",'Accounting data'!$J$2:$J$26,"22*",'Accounting data'!$K$2:$K$26,"681*")</f>
        <v>0</v>
      </c>
    </row>
    <row r="963" spans="1:5" x14ac:dyDescent="0.3">
      <c r="A963" s="677"/>
      <c r="B963" s="677"/>
      <c r="C963" s="677"/>
      <c r="D963" s="686"/>
      <c r="E963" s="678"/>
    </row>
    <row r="964" spans="1:5" x14ac:dyDescent="0.3">
      <c r="A964" s="677"/>
      <c r="B964" s="677"/>
      <c r="C964" s="677"/>
      <c r="D964" s="686"/>
      <c r="E964" s="678"/>
    </row>
    <row r="965" spans="1:5" x14ac:dyDescent="0.3">
      <c r="A965" s="680" t="s">
        <v>276</v>
      </c>
      <c r="B965" s="680"/>
      <c r="C965" s="680"/>
      <c r="D965" s="680"/>
      <c r="E965" s="682">
        <f>(E959-E960-E961)+(E962+E963+E964)</f>
        <v>0</v>
      </c>
    </row>
    <row r="966" spans="1:5" x14ac:dyDescent="0.3">
      <c r="A966" s="677" t="s">
        <v>217</v>
      </c>
      <c r="B966" s="677" t="s">
        <v>217</v>
      </c>
      <c r="C966" s="677">
        <v>2300</v>
      </c>
      <c r="D966" s="686">
        <v>6810</v>
      </c>
      <c r="E966" s="678">
        <f>SUMIFS('Accounting data'!$G$2:$G$26,'Accounting data'!$J$2:$J$26,"23*",'Accounting data'!$K$2:$K$26,"681*")</f>
        <v>0</v>
      </c>
    </row>
    <row r="967" spans="1:5" x14ac:dyDescent="0.3">
      <c r="A967" s="677" t="s">
        <v>218</v>
      </c>
      <c r="B967" s="677" t="s">
        <v>217</v>
      </c>
      <c r="C967" s="677">
        <v>2300</v>
      </c>
      <c r="D967" s="686">
        <v>6810</v>
      </c>
      <c r="E967" s="678">
        <f>SUMIFS('Accounting data'!$G$2:$G$26,'Accounting data'!$H$2:$H$26,"9999*",'Accounting data'!$J$2:$J$26,"23*",'Accounting data'!$K$2:$K$26,"681*")</f>
        <v>0</v>
      </c>
    </row>
    <row r="968" spans="1:5" x14ac:dyDescent="0.3">
      <c r="A968" s="677" t="s">
        <v>217</v>
      </c>
      <c r="B968" s="677" t="s">
        <v>219</v>
      </c>
      <c r="C968" s="677">
        <v>2300</v>
      </c>
      <c r="D968" s="686">
        <v>6810</v>
      </c>
      <c r="E968" s="678">
        <f>SUMIFS('Accounting data'!$G$2:$G$26,'Accounting data'!$I$2:$I$26,"7*",'Accounting data'!$J$2:$J$26,"23*",'Accounting data'!$K$2:$K$26,"681*")+SUMIFS('Accounting data'!$G$2:$G$26,'Accounting data'!$I$2:$I$26,"8*",'Accounting data'!$J$2:$J$26,"23*",'Accounting data'!$K$2:$K$26,"681*")+SUMIFS('Accounting data'!$G$2:$G$26,'Accounting data'!$I$2:$I$26,"9*",'Accounting data'!$J$2:$J$26,"23*",'Accounting data'!$K$2:$K$26,"681*")</f>
        <v>0</v>
      </c>
    </row>
    <row r="969" spans="1:5" x14ac:dyDescent="0.3">
      <c r="A969" s="679" t="s">
        <v>218</v>
      </c>
      <c r="B969" s="677" t="s">
        <v>219</v>
      </c>
      <c r="C969" s="677">
        <v>2300</v>
      </c>
      <c r="D969" s="686">
        <v>6810</v>
      </c>
      <c r="E969" s="678">
        <f>SUMIFS('Accounting data'!$G$2:$G$26,'Accounting data'!$H$2:$H$26,"9999*",'Accounting data'!$I$2:$I$26,"7*",'Accounting data'!$J$2:$J$26,"23*",'Accounting data'!$K$2:$K$26,"681*")+SUMIFS('Accounting data'!$G$2:$G$26,'Accounting data'!$H$2:$H$26,"9999*",'Accounting data'!$I$2:$I$26,"8*",'Accounting data'!$J$2:$J$26,"23*",'Accounting data'!$K$2:$K$26,"681*")+SUMIFS('Accounting data'!$G$2:$G$26,'Accounting data'!$H$2:$H$26,"9999*",'Accounting data'!$I$2:$I$26,"9*",'Accounting data'!$J$2:$J$26,"23*",'Accounting data'!$K$2:$K$26,"681*")</f>
        <v>0</v>
      </c>
    </row>
    <row r="970" spans="1:5" x14ac:dyDescent="0.3">
      <c r="A970" s="677"/>
      <c r="B970" s="677"/>
      <c r="C970" s="677"/>
      <c r="D970" s="686"/>
      <c r="E970" s="678"/>
    </row>
    <row r="971" spans="1:5" x14ac:dyDescent="0.3">
      <c r="A971" s="677"/>
      <c r="B971" s="677"/>
      <c r="C971" s="677"/>
      <c r="D971" s="686"/>
      <c r="E971" s="678"/>
    </row>
    <row r="972" spans="1:5" x14ac:dyDescent="0.3">
      <c r="A972" s="680" t="s">
        <v>277</v>
      </c>
      <c r="B972" s="680"/>
      <c r="C972" s="680"/>
      <c r="D972" s="680"/>
      <c r="E972" s="682">
        <f>(E966-E967-E968)+(E969+E970+E971)</f>
        <v>0</v>
      </c>
    </row>
    <row r="973" spans="1:5" x14ac:dyDescent="0.3">
      <c r="A973" s="677" t="s">
        <v>217</v>
      </c>
      <c r="B973" s="677" t="s">
        <v>217</v>
      </c>
      <c r="C973" s="677">
        <v>2400</v>
      </c>
      <c r="D973" s="686">
        <v>6810</v>
      </c>
      <c r="E973" s="678">
        <f>SUMIFS('Accounting data'!$G$2:$G$26,'Accounting data'!$J$2:$J$26,"24*",'Accounting data'!$K$2:$K$26,"681*")</f>
        <v>0</v>
      </c>
    </row>
    <row r="974" spans="1:5" x14ac:dyDescent="0.3">
      <c r="A974" s="677" t="s">
        <v>218</v>
      </c>
      <c r="B974" s="677" t="s">
        <v>217</v>
      </c>
      <c r="C974" s="677">
        <v>2400</v>
      </c>
      <c r="D974" s="686">
        <v>6810</v>
      </c>
      <c r="E974" s="678">
        <f>SUMIFS('Accounting data'!$G$2:$G$26,'Accounting data'!$H$2:$H$26,"9999*",'Accounting data'!$J$2:$J$26,"24*",'Accounting data'!$K$2:$K$26,"681*")</f>
        <v>0</v>
      </c>
    </row>
    <row r="975" spans="1:5" x14ac:dyDescent="0.3">
      <c r="A975" s="677" t="s">
        <v>217</v>
      </c>
      <c r="B975" s="677" t="s">
        <v>219</v>
      </c>
      <c r="C975" s="677">
        <v>2400</v>
      </c>
      <c r="D975" s="686">
        <v>6810</v>
      </c>
      <c r="E975" s="678">
        <f>SUMIFS('Accounting data'!$G$2:$G$26,'Accounting data'!$I$2:$I$26,"7*",'Accounting data'!$J$2:$J$26,"24*",'Accounting data'!$K$2:$K$26,"681*")+SUMIFS('Accounting data'!$G$2:$G$26,'Accounting data'!$I$2:$I$26,"8*",'Accounting data'!$J$2:$J$26,"24*",'Accounting data'!$K$2:$K$26,"681*")+SUMIFS('Accounting data'!$G$2:$G$26,'Accounting data'!$I$2:$I$26,"9*",'Accounting data'!$J$2:$J$26,"24*",'Accounting data'!$K$2:$K$26,"681*")</f>
        <v>0</v>
      </c>
    </row>
    <row r="976" spans="1:5" x14ac:dyDescent="0.3">
      <c r="A976" s="679" t="s">
        <v>218</v>
      </c>
      <c r="B976" s="677" t="s">
        <v>219</v>
      </c>
      <c r="C976" s="677">
        <v>2400</v>
      </c>
      <c r="D976" s="686">
        <v>6810</v>
      </c>
      <c r="E976" s="678">
        <f>SUMIFS('Accounting data'!$G$2:$G$26,'Accounting data'!$H$2:$H$26,"9999*",'Accounting data'!$I$2:$I$26,"7*",'Accounting data'!$J$2:$J$26,"24*",'Accounting data'!$K$2:$K$26,"681*")+SUMIFS('Accounting data'!$G$2:$G$26,'Accounting data'!$H$2:$H$26,"9999*",'Accounting data'!$I$2:$I$26,"8*",'Accounting data'!$J$2:$J$26,"24*",'Accounting data'!$K$2:$K$26,"681*")+SUMIFS('Accounting data'!$G$2:$G$26,'Accounting data'!$H$2:$H$26,"9999*",'Accounting data'!$I$2:$I$26,"9*",'Accounting data'!$J$2:$J$26,"24*",'Accounting data'!$K$2:$K$26,"681*")</f>
        <v>0</v>
      </c>
    </row>
    <row r="977" spans="1:5" x14ac:dyDescent="0.3">
      <c r="A977" s="677"/>
      <c r="B977" s="677"/>
      <c r="C977" s="677"/>
      <c r="D977" s="686"/>
      <c r="E977" s="678"/>
    </row>
    <row r="978" spans="1:5" x14ac:dyDescent="0.3">
      <c r="A978" s="677"/>
      <c r="B978" s="677"/>
      <c r="C978" s="677"/>
      <c r="D978" s="686"/>
      <c r="E978" s="678"/>
    </row>
    <row r="979" spans="1:5" x14ac:dyDescent="0.3">
      <c r="A979" s="680" t="s">
        <v>278</v>
      </c>
      <c r="B979" s="680"/>
      <c r="C979" s="680"/>
      <c r="D979" s="680"/>
      <c r="E979" s="682">
        <f>(E973-E974-E975)+(E976+E977+E978)</f>
        <v>0</v>
      </c>
    </row>
    <row r="980" spans="1:5" x14ac:dyDescent="0.3">
      <c r="A980" s="677" t="s">
        <v>217</v>
      </c>
      <c r="B980" s="677" t="s">
        <v>217</v>
      </c>
      <c r="C980" s="677">
        <v>2500</v>
      </c>
      <c r="D980" s="686">
        <v>6810</v>
      </c>
      <c r="E980" s="678">
        <f>SUMIFS('Accounting data'!$G$2:$G$26,'Accounting data'!$J$2:$J$26,"25*",'Accounting data'!$K$2:$K$26,"681*")</f>
        <v>0</v>
      </c>
    </row>
    <row r="981" spans="1:5" x14ac:dyDescent="0.3">
      <c r="A981" s="677" t="s">
        <v>218</v>
      </c>
      <c r="B981" s="677" t="s">
        <v>217</v>
      </c>
      <c r="C981" s="677">
        <v>2500</v>
      </c>
      <c r="D981" s="686">
        <v>6810</v>
      </c>
      <c r="E981" s="678">
        <f>SUMIFS('Accounting data'!$G$2:$G$26,'Accounting data'!$H$2:$H$26,"9999*",'Accounting data'!$J$2:$J$26,"25*",'Accounting data'!$K$2:$K$26,"681*")</f>
        <v>0</v>
      </c>
    </row>
    <row r="982" spans="1:5" x14ac:dyDescent="0.3">
      <c r="A982" s="677" t="s">
        <v>217</v>
      </c>
      <c r="B982" s="677" t="s">
        <v>219</v>
      </c>
      <c r="C982" s="677">
        <v>2500</v>
      </c>
      <c r="D982" s="686">
        <v>6810</v>
      </c>
      <c r="E982" s="678">
        <f>SUMIFS('Accounting data'!$G$2:$G$26,'Accounting data'!$I$2:$I$26,"7*",'Accounting data'!$J$2:$J$26,"25*",'Accounting data'!$K$2:$K$26,"681*")+SUMIFS('Accounting data'!$G$2:$G$26,'Accounting data'!$I$2:$I$26,"8*",'Accounting data'!$J$2:$J$26,"25*",'Accounting data'!$K$2:$K$26,"681*")+SUMIFS('Accounting data'!$G$2:$G$26,'Accounting data'!$I$2:$I$26,"9*",'Accounting data'!$J$2:$J$26,"25*",'Accounting data'!$K$2:$K$26,"681*")</f>
        <v>0</v>
      </c>
    </row>
    <row r="983" spans="1:5" x14ac:dyDescent="0.3">
      <c r="A983" s="679" t="s">
        <v>218</v>
      </c>
      <c r="B983" s="677" t="s">
        <v>219</v>
      </c>
      <c r="C983" s="677">
        <v>2500</v>
      </c>
      <c r="D983" s="686">
        <v>6810</v>
      </c>
      <c r="E983" s="678">
        <f>SUMIFS('Accounting data'!$G$2:$G$26,'Accounting data'!$H$2:$H$26,"9999*",'Accounting data'!$I$2:$I$26,"7*",'Accounting data'!$J$2:$J$26,"25*",'Accounting data'!$K$2:$K$26,"681*")+SUMIFS('Accounting data'!$G$2:$G$26,'Accounting data'!$H$2:$H$26,"9999*",'Accounting data'!$I$2:$I$26,"8*",'Accounting data'!$J$2:$J$26,"25*",'Accounting data'!$K$2:$K$26,"681*")+SUMIFS('Accounting data'!$G$2:$G$26,'Accounting data'!$H$2:$H$26,"9999*",'Accounting data'!$I$2:$I$26,"9*",'Accounting data'!$J$2:$J$26,"25*",'Accounting data'!$K$2:$K$26,"681*")</f>
        <v>0</v>
      </c>
    </row>
    <row r="984" spans="1:5" x14ac:dyDescent="0.3">
      <c r="A984" s="677"/>
      <c r="B984" s="677"/>
      <c r="C984" s="677"/>
      <c r="D984" s="686"/>
      <c r="E984" s="678"/>
    </row>
    <row r="985" spans="1:5" x14ac:dyDescent="0.3">
      <c r="A985" s="677"/>
      <c r="B985" s="677"/>
      <c r="C985" s="677"/>
      <c r="D985" s="686"/>
      <c r="E985" s="678"/>
    </row>
    <row r="986" spans="1:5" x14ac:dyDescent="0.3">
      <c r="A986" s="680" t="s">
        <v>279</v>
      </c>
      <c r="B986" s="680"/>
      <c r="C986" s="680"/>
      <c r="D986" s="680"/>
      <c r="E986" s="682">
        <f>(E980-E981-E982)+(E983+E984+E985)</f>
        <v>0</v>
      </c>
    </row>
    <row r="987" spans="1:5" x14ac:dyDescent="0.3">
      <c r="A987" s="677" t="s">
        <v>217</v>
      </c>
      <c r="B987" s="677" t="s">
        <v>217</v>
      </c>
      <c r="C987" s="677">
        <v>2900</v>
      </c>
      <c r="D987" s="686">
        <v>6810</v>
      </c>
      <c r="E987" s="678">
        <f>SUMIFS('Accounting data'!$G$2:$G$26,'Accounting data'!$J$2:$J$26,"29*",'Accounting data'!$K$2:$K$26,"681*")</f>
        <v>0</v>
      </c>
    </row>
    <row r="988" spans="1:5" x14ac:dyDescent="0.3">
      <c r="A988" s="677" t="s">
        <v>218</v>
      </c>
      <c r="B988" s="677" t="s">
        <v>217</v>
      </c>
      <c r="C988" s="677">
        <v>2900</v>
      </c>
      <c r="D988" s="686">
        <v>6810</v>
      </c>
      <c r="E988" s="678">
        <f>SUMIFS('Accounting data'!$G$2:$G$26,'Accounting data'!$H$2:$H$26,"9999*",'Accounting data'!$J$2:$J$26,"29*",'Accounting data'!$K$2:$K$26,"681*")</f>
        <v>0</v>
      </c>
    </row>
    <row r="989" spans="1:5" x14ac:dyDescent="0.3">
      <c r="A989" s="677" t="s">
        <v>217</v>
      </c>
      <c r="B989" s="677" t="s">
        <v>219</v>
      </c>
      <c r="C989" s="677">
        <v>2900</v>
      </c>
      <c r="D989" s="686">
        <v>6810</v>
      </c>
      <c r="E989" s="678">
        <f>SUMIFS('Accounting data'!$G$2:$G$26,'Accounting data'!$I$2:$I$26,"7*",'Accounting data'!$J$2:$J$26,"29*",'Accounting data'!$K$2:$K$26,"681*")+SUMIFS('Accounting data'!$G$2:$G$26,'Accounting data'!$I$2:$I$26,"8*",'Accounting data'!$J$2:$J$26,"29*",'Accounting data'!$K$2:$K$26,"681*")+SUMIFS('Accounting data'!$G$2:$G$26,'Accounting data'!$I$2:$I$26,"9*",'Accounting data'!$J$2:$J$26,"29*",'Accounting data'!$K$2:$K$26,"681*")</f>
        <v>0</v>
      </c>
    </row>
    <row r="990" spans="1:5" x14ac:dyDescent="0.3">
      <c r="A990" s="679" t="s">
        <v>218</v>
      </c>
      <c r="B990" s="677" t="s">
        <v>219</v>
      </c>
      <c r="C990" s="677">
        <v>2900</v>
      </c>
      <c r="D990" s="686">
        <v>6810</v>
      </c>
      <c r="E990" s="678">
        <f>SUMIFS('Accounting data'!$G$2:$G$26,'Accounting data'!$H$2:$H$26,"9999*",'Accounting data'!$I$2:$I$26,"7*",'Accounting data'!$J$2:$J$26,"29*",'Accounting data'!$K$2:$K$26,"681*")+SUMIFS('Accounting data'!$G$2:$G$26,'Accounting data'!$H$2:$H$26,"9999*",'Accounting data'!$I$2:$I$26,"8*",'Accounting data'!$J$2:$J$26,"29*",'Accounting data'!$K$2:$K$26,"681*")+SUMIFS('Accounting data'!$G$2:$G$26,'Accounting data'!$H$2:$H$26,"9999*",'Accounting data'!$I$2:$I$26,"9*",'Accounting data'!$J$2:$J$26,"29*",'Accounting data'!$K$2:$K$26,"681*")</f>
        <v>0</v>
      </c>
    </row>
    <row r="991" spans="1:5" x14ac:dyDescent="0.3">
      <c r="A991" s="677"/>
      <c r="B991" s="677"/>
      <c r="C991" s="677"/>
      <c r="D991" s="686"/>
      <c r="E991" s="678"/>
    </row>
    <row r="992" spans="1:5" x14ac:dyDescent="0.3">
      <c r="A992" s="677"/>
      <c r="B992" s="677"/>
      <c r="C992" s="677"/>
      <c r="D992" s="686"/>
      <c r="E992" s="678"/>
    </row>
    <row r="993" spans="1:5" x14ac:dyDescent="0.3">
      <c r="A993" s="680" t="s">
        <v>280</v>
      </c>
      <c r="B993" s="680"/>
      <c r="C993" s="680"/>
      <c r="D993" s="680"/>
      <c r="E993" s="682">
        <f>(E987-E988-E989)+(E990+E991+E992)</f>
        <v>0</v>
      </c>
    </row>
    <row r="994" spans="1:5" x14ac:dyDescent="0.3">
      <c r="A994" s="677" t="s">
        <v>217</v>
      </c>
      <c r="B994" s="677" t="s">
        <v>217</v>
      </c>
      <c r="C994" s="677">
        <v>2600</v>
      </c>
      <c r="D994" s="686">
        <v>6810</v>
      </c>
      <c r="E994" s="678">
        <f>SUMIFS('Accounting data'!$G$2:$G$26,'Accounting data'!$J$2:$J$26,"26*",'Accounting data'!$K$2:$K$26,"681*")</f>
        <v>0</v>
      </c>
    </row>
    <row r="995" spans="1:5" x14ac:dyDescent="0.3">
      <c r="A995" s="677" t="s">
        <v>218</v>
      </c>
      <c r="B995" s="677" t="s">
        <v>217</v>
      </c>
      <c r="C995" s="677">
        <v>2600</v>
      </c>
      <c r="D995" s="686">
        <v>6810</v>
      </c>
      <c r="E995" s="678">
        <f>SUMIFS('Accounting data'!$G$2:$G$26,'Accounting data'!$H$2:$H$26,"9999*",'Accounting data'!$J$2:$J$26,"26*",'Accounting data'!$K$2:$K$26,"681*")</f>
        <v>0</v>
      </c>
    </row>
    <row r="996" spans="1:5" x14ac:dyDescent="0.3">
      <c r="A996" s="677" t="s">
        <v>217</v>
      </c>
      <c r="B996" s="677" t="s">
        <v>219</v>
      </c>
      <c r="C996" s="677">
        <v>2600</v>
      </c>
      <c r="D996" s="686">
        <v>6810</v>
      </c>
      <c r="E996" s="678">
        <f>SUMIFS('Accounting data'!$G$2:$G$26,'Accounting data'!$I$2:$I$26,"7*",'Accounting data'!$J$2:$J$26,"26*",'Accounting data'!$K$2:$K$26,"681*")+SUMIFS('Accounting data'!$G$2:$G$26,'Accounting data'!$I$2:$I$26,"8*",'Accounting data'!$J$2:$J$26,"26*",'Accounting data'!$K$2:$K$26,"681*")+SUMIFS('Accounting data'!$G$2:$G$26,'Accounting data'!$I$2:$I$26,"9*",'Accounting data'!$J$2:$J$26,"26*",'Accounting data'!$K$2:$K$26,"681*")</f>
        <v>0</v>
      </c>
    </row>
    <row r="997" spans="1:5" x14ac:dyDescent="0.3">
      <c r="A997" s="679" t="s">
        <v>218</v>
      </c>
      <c r="B997" s="677" t="s">
        <v>219</v>
      </c>
      <c r="C997" s="677">
        <v>2600</v>
      </c>
      <c r="D997" s="686">
        <v>6810</v>
      </c>
      <c r="E997" s="678">
        <f>SUMIFS('Accounting data'!$G$2:$G$26,'Accounting data'!$H$2:$H$26,"9999*",'Accounting data'!$I$2:$I$26,"7*",'Accounting data'!$J$2:$J$26,"26*",'Accounting data'!$K$2:$K$26,"681*")+SUMIFS('Accounting data'!$G$2:$G$26,'Accounting data'!$H$2:$H$26,"9999*",'Accounting data'!$I$2:$I$26,"8*",'Accounting data'!$J$2:$J$26,"26*",'Accounting data'!$K$2:$K$26,"681*")+SUMIFS('Accounting data'!$G$2:$G$26,'Accounting data'!$H$2:$H$26,"9999*",'Accounting data'!$I$2:$I$26,"9*",'Accounting data'!$J$2:$J$26,"26*",'Accounting data'!$K$2:$K$26,"681*")</f>
        <v>0</v>
      </c>
    </row>
    <row r="998" spans="1:5" x14ac:dyDescent="0.3">
      <c r="A998" s="677"/>
      <c r="B998" s="677"/>
      <c r="C998" s="677"/>
      <c r="D998" s="686"/>
      <c r="E998" s="678"/>
    </row>
    <row r="999" spans="1:5" x14ac:dyDescent="0.3">
      <c r="A999" s="677"/>
      <c r="B999" s="677"/>
      <c r="C999" s="677"/>
      <c r="D999" s="686"/>
      <c r="E999" s="678"/>
    </row>
    <row r="1000" spans="1:5" x14ac:dyDescent="0.3">
      <c r="A1000" s="680" t="s">
        <v>281</v>
      </c>
      <c r="B1000" s="680"/>
      <c r="C1000" s="680"/>
      <c r="D1000" s="680"/>
      <c r="E1000" s="682">
        <f>(E994-E995-E996)+(E997+E998+E999)</f>
        <v>0</v>
      </c>
    </row>
    <row r="1001" spans="1:5" x14ac:dyDescent="0.3">
      <c r="A1001" s="677" t="s">
        <v>217</v>
      </c>
      <c r="B1001" s="677" t="s">
        <v>217</v>
      </c>
      <c r="C1001" s="677">
        <v>2700</v>
      </c>
      <c r="D1001" s="686">
        <v>6810</v>
      </c>
      <c r="E1001" s="678">
        <f>SUMIFS('Accounting data'!$G$2:$G$26,'Accounting data'!$J$2:$J$26,"27*",'Accounting data'!$K$2:$K$26,"681*")</f>
        <v>0</v>
      </c>
    </row>
    <row r="1002" spans="1:5" x14ac:dyDescent="0.3">
      <c r="A1002" s="677" t="s">
        <v>218</v>
      </c>
      <c r="B1002" s="677" t="s">
        <v>217</v>
      </c>
      <c r="C1002" s="677">
        <v>2700</v>
      </c>
      <c r="D1002" s="686">
        <v>6810</v>
      </c>
      <c r="E1002" s="678">
        <f>SUMIFS('Accounting data'!$G$2:$G$26,'Accounting data'!$H$2:$H$26,"9999*",'Accounting data'!$J$2:$J$26,"27*",'Accounting data'!$K$2:$K$26,"681*")</f>
        <v>0</v>
      </c>
    </row>
    <row r="1003" spans="1:5" x14ac:dyDescent="0.3">
      <c r="A1003" s="677" t="s">
        <v>217</v>
      </c>
      <c r="B1003" s="677" t="s">
        <v>219</v>
      </c>
      <c r="C1003" s="677">
        <v>2700</v>
      </c>
      <c r="D1003" s="686">
        <v>6810</v>
      </c>
      <c r="E1003" s="678">
        <f>SUMIFS('Accounting data'!$G$2:$G$26,'Accounting data'!$I$2:$I$26,"7*",'Accounting data'!$J$2:$J$26,"27*",'Accounting data'!$K$2:$K$26,"681*")+SUMIFS('Accounting data'!$G$2:$G$26,'Accounting data'!$I$2:$I$26,"8*",'Accounting data'!$J$2:$J$26,"27*",'Accounting data'!$K$2:$K$26,"681*")+SUMIFS('Accounting data'!$G$2:$G$26,'Accounting data'!$I$2:$I$26,"9*",'Accounting data'!$J$2:$J$26,"27*",'Accounting data'!$K$2:$K$26,"681*")</f>
        <v>0</v>
      </c>
    </row>
    <row r="1004" spans="1:5" x14ac:dyDescent="0.3">
      <c r="A1004" s="679" t="s">
        <v>218</v>
      </c>
      <c r="B1004" s="677" t="s">
        <v>219</v>
      </c>
      <c r="C1004" s="677">
        <v>2700</v>
      </c>
      <c r="D1004" s="686">
        <v>6810</v>
      </c>
      <c r="E1004" s="678">
        <f>SUMIFS('Accounting data'!$G$2:$G$26,'Accounting data'!$H$2:$H$26,"9999*",'Accounting data'!$I$2:$I$26,"7*",'Accounting data'!$J$2:$J$26,"27*",'Accounting data'!$K$2:$K$26,"681*")+SUMIFS('Accounting data'!$G$2:$G$26,'Accounting data'!$H$2:$H$26,"9999*",'Accounting data'!$I$2:$I$26,"8*",'Accounting data'!$J$2:$J$26,"27*",'Accounting data'!$K$2:$K$26,"681*")+SUMIFS('Accounting data'!$G$2:$G$26,'Accounting data'!$H$2:$H$26,"9999*",'Accounting data'!$I$2:$I$26,"9*",'Accounting data'!$J$2:$J$26,"27*",'Accounting data'!$K$2:$K$26,"681*")</f>
        <v>0</v>
      </c>
    </row>
    <row r="1005" spans="1:5" x14ac:dyDescent="0.3">
      <c r="A1005" s="677"/>
      <c r="B1005" s="677"/>
      <c r="C1005" s="677"/>
      <c r="D1005" s="686"/>
      <c r="E1005" s="678"/>
    </row>
    <row r="1006" spans="1:5" x14ac:dyDescent="0.3">
      <c r="A1006" s="677"/>
      <c r="B1006" s="677"/>
      <c r="C1006" s="677"/>
      <c r="D1006" s="686"/>
      <c r="E1006" s="678"/>
    </row>
    <row r="1007" spans="1:5" x14ac:dyDescent="0.3">
      <c r="A1007" s="680" t="s">
        <v>282</v>
      </c>
      <c r="B1007" s="680"/>
      <c r="C1007" s="680"/>
      <c r="D1007" s="680"/>
      <c r="E1007" s="682">
        <f>(E1001-E1002-E1003)+(E1004+E1005+E1006)</f>
        <v>0</v>
      </c>
    </row>
    <row r="1008" spans="1:5" x14ac:dyDescent="0.3">
      <c r="A1008" s="677" t="s">
        <v>217</v>
      </c>
      <c r="B1008" s="677" t="s">
        <v>217</v>
      </c>
      <c r="C1008" s="677">
        <v>3100</v>
      </c>
      <c r="D1008" s="686">
        <v>6810</v>
      </c>
      <c r="E1008" s="678">
        <f>SUMIFS('Accounting data'!$G$2:$G$26,'Accounting data'!$J$2:$J$26,"31*",'Accounting data'!$K$2:$K$26,"681*")</f>
        <v>0</v>
      </c>
    </row>
    <row r="1009" spans="1:5" x14ac:dyDescent="0.3">
      <c r="A1009" s="677" t="s">
        <v>218</v>
      </c>
      <c r="B1009" s="677" t="s">
        <v>217</v>
      </c>
      <c r="C1009" s="677">
        <v>3100</v>
      </c>
      <c r="D1009" s="686">
        <v>6810</v>
      </c>
      <c r="E1009" s="678">
        <f>SUMIFS('Accounting data'!$G$2:$G$26,'Accounting data'!$H$2:$H$26,"9999*",'Accounting data'!$J$2:$J$26,"31*",'Accounting data'!$K$2:$K$26,"681*")</f>
        <v>0</v>
      </c>
    </row>
    <row r="1010" spans="1:5" x14ac:dyDescent="0.3">
      <c r="A1010" s="677" t="s">
        <v>217</v>
      </c>
      <c r="B1010" s="677" t="s">
        <v>219</v>
      </c>
      <c r="C1010" s="677">
        <v>3100</v>
      </c>
      <c r="D1010" s="686">
        <v>6810</v>
      </c>
      <c r="E1010" s="678">
        <f>SUMIFS('Accounting data'!$G$2:$G$26,'Accounting data'!$I$2:$I$26,"7*",'Accounting data'!$J$2:$J$26,"31*",'Accounting data'!$K$2:$K$26,"681*")+SUMIFS('Accounting data'!$G$2:$G$26,'Accounting data'!$I$2:$I$26,"8*",'Accounting data'!$J$2:$J$26,"31*",'Accounting data'!$K$2:$K$26,"681*")+SUMIFS('Accounting data'!$G$2:$G$26,'Accounting data'!$I$2:$I$26,"9*",'Accounting data'!$J$2:$J$26,"31*",'Accounting data'!$K$2:$K$26,"681*")</f>
        <v>0</v>
      </c>
    </row>
    <row r="1011" spans="1:5" x14ac:dyDescent="0.3">
      <c r="A1011" s="679" t="s">
        <v>218</v>
      </c>
      <c r="B1011" s="677" t="s">
        <v>219</v>
      </c>
      <c r="C1011" s="677">
        <v>3100</v>
      </c>
      <c r="D1011" s="686">
        <v>6810</v>
      </c>
      <c r="E1011" s="678">
        <f>SUMIFS('Accounting data'!$G$2:$G$26,'Accounting data'!$H$2:$H$26,"9999*",'Accounting data'!$I$2:$I$26,"7*",'Accounting data'!$J$2:$J$26,"31*",'Accounting data'!$K$2:$K$26,"681*")+SUMIFS('Accounting data'!$G$2:$G$26,'Accounting data'!$H$2:$H$26,"9999*",'Accounting data'!$I$2:$I$26,"8*",'Accounting data'!$J$2:$J$26,"31*",'Accounting data'!$K$2:$K$26,"681*")+SUMIFS('Accounting data'!$G$2:$G$26,'Accounting data'!$H$2:$H$26,"9999*",'Accounting data'!$I$2:$I$26,"9*",'Accounting data'!$J$2:$J$26,"31*",'Accounting data'!$K$2:$K$26,"681*")</f>
        <v>0</v>
      </c>
    </row>
    <row r="1012" spans="1:5" x14ac:dyDescent="0.3">
      <c r="A1012" s="677"/>
      <c r="B1012" s="677"/>
      <c r="C1012" s="677"/>
      <c r="D1012" s="686"/>
      <c r="E1012" s="678"/>
    </row>
    <row r="1013" spans="1:5" x14ac:dyDescent="0.3">
      <c r="A1013" s="677"/>
      <c r="B1013" s="677"/>
      <c r="C1013" s="677"/>
      <c r="D1013" s="686"/>
      <c r="E1013" s="678"/>
    </row>
    <row r="1014" spans="1:5" x14ac:dyDescent="0.3">
      <c r="A1014" s="680" t="s">
        <v>283</v>
      </c>
      <c r="B1014" s="680"/>
      <c r="C1014" s="680"/>
      <c r="D1014" s="680"/>
      <c r="E1014" s="682">
        <f>(E1008-E1009-E1010)+(E1011+E1012+E1013)</f>
        <v>0</v>
      </c>
    </row>
    <row r="1015" spans="1:5" x14ac:dyDescent="0.3">
      <c r="A1015" s="677"/>
      <c r="B1015" s="677"/>
      <c r="C1015" s="677"/>
      <c r="D1015" s="686"/>
      <c r="E1015" s="678"/>
    </row>
    <row r="1016" spans="1:5" x14ac:dyDescent="0.3">
      <c r="A1016" s="677"/>
      <c r="B1016" s="677"/>
      <c r="C1016" s="677"/>
      <c r="D1016" s="686"/>
      <c r="E1016" s="678"/>
    </row>
    <row r="1017" spans="1:5" x14ac:dyDescent="0.3">
      <c r="A1017" s="677"/>
      <c r="B1017" s="677"/>
      <c r="C1017" s="677"/>
      <c r="D1017" s="686"/>
      <c r="E1017" s="678"/>
    </row>
    <row r="1018" spans="1:5" x14ac:dyDescent="0.3">
      <c r="A1018" s="679"/>
      <c r="B1018" s="677"/>
      <c r="C1018" s="677"/>
      <c r="D1018" s="686"/>
      <c r="E1018" s="678"/>
    </row>
    <row r="1019" spans="1:5" x14ac:dyDescent="0.3">
      <c r="A1019" s="677"/>
      <c r="B1019" s="677"/>
      <c r="C1019" s="677"/>
      <c r="D1019" s="686"/>
      <c r="E1019" s="678"/>
    </row>
    <row r="1020" spans="1:5" x14ac:dyDescent="0.3">
      <c r="A1020" s="677"/>
      <c r="B1020" s="677"/>
      <c r="C1020" s="677"/>
      <c r="D1020" s="686"/>
      <c r="E1020" s="678"/>
    </row>
    <row r="1021" spans="1:5" x14ac:dyDescent="0.3">
      <c r="A1021" s="680"/>
      <c r="B1021" s="680"/>
      <c r="C1021" s="680"/>
      <c r="D1021" s="680"/>
      <c r="E1021" s="682"/>
    </row>
    <row r="1022" spans="1:5" x14ac:dyDescent="0.3">
      <c r="A1022" s="677" t="s">
        <v>217</v>
      </c>
      <c r="B1022" s="677" t="s">
        <v>217</v>
      </c>
      <c r="C1022" s="677">
        <v>3400</v>
      </c>
      <c r="D1022" s="686">
        <v>6810</v>
      </c>
      <c r="E1022" s="678">
        <f>SUMIFS('Accounting data'!$G$2:$G$26,'Accounting data'!$J$2:$J$26,"34*",'Accounting data'!$K$2:$K$26,"681*")</f>
        <v>0</v>
      </c>
    </row>
    <row r="1023" spans="1:5" x14ac:dyDescent="0.3">
      <c r="A1023" s="677" t="s">
        <v>218</v>
      </c>
      <c r="B1023" s="677" t="s">
        <v>217</v>
      </c>
      <c r="C1023" s="677">
        <v>3400</v>
      </c>
      <c r="D1023" s="686">
        <v>6810</v>
      </c>
      <c r="E1023" s="678">
        <f>SUMIFS('Accounting data'!$G$2:$G$26,'Accounting data'!$H$2:$H$26,"9999*",'Accounting data'!$J$2:$J$26,"34*",'Accounting data'!$K$2:$K$26,"681*")</f>
        <v>0</v>
      </c>
    </row>
    <row r="1024" spans="1:5" x14ac:dyDescent="0.3">
      <c r="A1024" s="677" t="s">
        <v>217</v>
      </c>
      <c r="B1024" s="677" t="s">
        <v>219</v>
      </c>
      <c r="C1024" s="677">
        <v>3400</v>
      </c>
      <c r="D1024" s="686">
        <v>6810</v>
      </c>
      <c r="E1024" s="678">
        <f>SUMIFS('Accounting data'!$G$2:$G$26,'Accounting data'!$I$2:$I$26,"7*",'Accounting data'!$J$2:$J$26,"34*",'Accounting data'!$K$2:$K$26,"681*")+SUMIFS('Accounting data'!$G$2:$G$26,'Accounting data'!$I$2:$I$26,"8*",'Accounting data'!$J$2:$J$26,"34*",'Accounting data'!$K$2:$K$26,"681*")+SUMIFS('Accounting data'!$G$2:$G$26,'Accounting data'!$I$2:$I$26,"9*",'Accounting data'!$J$2:$J$26,"34*",'Accounting data'!$K$2:$K$26,"681*")</f>
        <v>0</v>
      </c>
    </row>
    <row r="1025" spans="1:5" x14ac:dyDescent="0.3">
      <c r="A1025" s="679" t="s">
        <v>218</v>
      </c>
      <c r="B1025" s="677" t="s">
        <v>219</v>
      </c>
      <c r="C1025" s="677">
        <v>3400</v>
      </c>
      <c r="D1025" s="686">
        <v>6810</v>
      </c>
      <c r="E1025" s="678">
        <f>SUMIFS('Accounting data'!$G$2:$G$26,'Accounting data'!$H$2:$H$26,"9999*",'Accounting data'!$I$2:$I$26,"7*",'Accounting data'!$J$2:$J$26,"34*",'Accounting data'!$K$2:$K$26,"681*")+SUMIFS('Accounting data'!$G$2:$G$26,'Accounting data'!$H$2:$H$26,"9999*",'Accounting data'!$I$2:$I$26,"8*",'Accounting data'!$J$2:$J$26,"34*",'Accounting data'!$K$2:$K$26,"681*")+SUMIFS('Accounting data'!$G$2:$G$26,'Accounting data'!$H$2:$H$26,"9999*",'Accounting data'!$I$2:$I$26,"9*",'Accounting data'!$J$2:$J$26,"34*",'Accounting data'!$K$2:$K$26,"681*")</f>
        <v>0</v>
      </c>
    </row>
    <row r="1026" spans="1:5" x14ac:dyDescent="0.3">
      <c r="A1026" s="677"/>
      <c r="B1026" s="677"/>
      <c r="C1026" s="677"/>
      <c r="D1026" s="686"/>
      <c r="E1026" s="678"/>
    </row>
    <row r="1027" spans="1:5" x14ac:dyDescent="0.3">
      <c r="A1027" s="677"/>
      <c r="B1027" s="677"/>
      <c r="C1027" s="677"/>
      <c r="D1027" s="686"/>
      <c r="E1027" s="678"/>
    </row>
    <row r="1028" spans="1:5" x14ac:dyDescent="0.3">
      <c r="A1028" s="680" t="s">
        <v>284</v>
      </c>
      <c r="B1028" s="680"/>
      <c r="C1028" s="680"/>
      <c r="D1028" s="680"/>
      <c r="E1028" s="682">
        <f>(E1022-E1023-E1024)+(E1025+E1026+E1027)</f>
        <v>0</v>
      </c>
    </row>
    <row r="1029" spans="1:5" x14ac:dyDescent="0.3">
      <c r="A1029" s="677" t="s">
        <v>217</v>
      </c>
      <c r="B1029" s="677" t="s">
        <v>217</v>
      </c>
      <c r="C1029" s="677">
        <v>4000</v>
      </c>
      <c r="D1029" s="686">
        <v>6810</v>
      </c>
      <c r="E1029" s="678">
        <f>SUMIFS('Accounting data'!$G$2:$G$26,'Accounting data'!$J$2:$J$26,"4*",'Accounting data'!$K$2:$K$26,"681*")</f>
        <v>0</v>
      </c>
    </row>
    <row r="1030" spans="1:5" x14ac:dyDescent="0.3">
      <c r="A1030" s="677" t="s">
        <v>218</v>
      </c>
      <c r="B1030" s="677" t="s">
        <v>217</v>
      </c>
      <c r="C1030" s="677">
        <v>4000</v>
      </c>
      <c r="D1030" s="686">
        <v>6810</v>
      </c>
      <c r="E1030" s="678">
        <f>SUMIFS('Accounting data'!$G$2:$G$26,'Accounting data'!$H$2:$H$26,"9999*",'Accounting data'!$J$2:$J$26,"4*",'Accounting data'!$K$2:$K$26,"681*")</f>
        <v>0</v>
      </c>
    </row>
    <row r="1031" spans="1:5" x14ac:dyDescent="0.3">
      <c r="A1031" s="677" t="s">
        <v>217</v>
      </c>
      <c r="B1031" s="677" t="s">
        <v>219</v>
      </c>
      <c r="C1031" s="677">
        <v>4000</v>
      </c>
      <c r="D1031" s="686">
        <v>6810</v>
      </c>
      <c r="E1031" s="678">
        <f>SUMIFS('Accounting data'!$G$2:$G$26,'Accounting data'!$I$2:$I$26,"7*",'Accounting data'!$J$2:$J$26,"4*",'Accounting data'!$K$2:$K$26,"681*")+SUMIFS('Accounting data'!$G$2:$G$26,'Accounting data'!$I$2:$I$26,"8*",'Accounting data'!$J$2:$J$26,"4*",'Accounting data'!$K$2:$K$26,"681*")+SUMIFS('Accounting data'!$G$2:$G$26,'Accounting data'!$I$2:$I$26,"9*",'Accounting data'!$J$2:$J$26,"4*",'Accounting data'!$K$2:$K$26,"681*")</f>
        <v>0</v>
      </c>
    </row>
    <row r="1032" spans="1:5" x14ac:dyDescent="0.3">
      <c r="A1032" s="679" t="s">
        <v>218</v>
      </c>
      <c r="B1032" s="677" t="s">
        <v>219</v>
      </c>
      <c r="C1032" s="677">
        <v>4000</v>
      </c>
      <c r="D1032" s="686">
        <v>6810</v>
      </c>
      <c r="E1032" s="678">
        <f>SUMIFS('Accounting data'!$G$2:$G$26,'Accounting data'!$H$2:$H$26,"9999*",'Accounting data'!$I$2:$I$26,"7*",'Accounting data'!$J$2:$J$26,"4*",'Accounting data'!$K$2:$K$26,"681*")+SUMIFS('Accounting data'!$G$2:$G$26,'Accounting data'!$H$2:$H$26,"9999*",'Accounting data'!$I$2:$I$26,"8*",'Accounting data'!$J$2:$J$26,"4*",'Accounting data'!$K$2:$K$26,"681*")+SUMIFS('Accounting data'!$G$2:$G$26,'Accounting data'!$H$2:$H$26,"9999*",'Accounting data'!$I$2:$I$26,"9*",'Accounting data'!$J$2:$J$26,"4*",'Accounting data'!$K$2:$K$26,"681*")</f>
        <v>0</v>
      </c>
    </row>
    <row r="1033" spans="1:5" x14ac:dyDescent="0.3">
      <c r="A1033" s="677"/>
      <c r="B1033" s="677"/>
      <c r="C1033" s="677"/>
      <c r="D1033" s="686"/>
      <c r="E1033" s="678"/>
    </row>
    <row r="1034" spans="1:5" x14ac:dyDescent="0.3">
      <c r="A1034" s="677"/>
      <c r="B1034" s="677"/>
      <c r="C1034" s="677"/>
      <c r="D1034" s="686"/>
      <c r="E1034" s="678"/>
    </row>
    <row r="1035" spans="1:5" x14ac:dyDescent="0.3">
      <c r="A1035" s="680" t="s">
        <v>285</v>
      </c>
      <c r="B1035" s="680"/>
      <c r="C1035" s="680"/>
      <c r="D1035" s="680"/>
      <c r="E1035" s="682">
        <f>(E1029-E1030-E1031)+(E1032+E1033+E1034)</f>
        <v>0</v>
      </c>
    </row>
    <row r="1036" spans="1:5" x14ac:dyDescent="0.3">
      <c r="A1036" s="683" t="s">
        <v>286</v>
      </c>
      <c r="B1036" s="683"/>
      <c r="C1036" s="683"/>
      <c r="D1036" s="683"/>
      <c r="E1036" s="687">
        <f>E951+E958+E965+E972+E979+E986+E993+E1000+E1007+E1014+E1021+E1028</f>
        <v>0</v>
      </c>
    </row>
    <row r="1037" spans="1:5" x14ac:dyDescent="0.3">
      <c r="A1037" s="677" t="s">
        <v>231</v>
      </c>
      <c r="B1037" s="677" t="s">
        <v>217</v>
      </c>
      <c r="C1037" s="677">
        <v>1000</v>
      </c>
      <c r="D1037" s="677">
        <v>6810</v>
      </c>
      <c r="E1037" s="678">
        <f>SUMIFS('Accounting data'!$G$2:$G$26,'Accounting data'!$H$2:$H$26,"11*",'Accounting data'!$J$2:$J$26,"1*",'Accounting data'!$K$2:$K$26,"681*")+SUMIFS('Accounting data'!$G$2:$G$26,'Accounting data'!$H$2:$H$26,"12*",'Accounting data'!$J$2:$J$26,"1*",'Accounting data'!$K$2:$K$26,"681*")+SUMIFS('Accounting data'!$G$2:$G$26,'Accounting data'!$H$2:$H$26,"13*",'Accounting data'!$J$2:$J$26,"1*",'Accounting data'!$K$2:$K$26,"681*")</f>
        <v>0</v>
      </c>
    </row>
    <row r="1038" spans="1:5" x14ac:dyDescent="0.3">
      <c r="A1038" s="677" t="s">
        <v>231</v>
      </c>
      <c r="B1038" s="677" t="s">
        <v>217</v>
      </c>
      <c r="C1038" s="677">
        <v>2000</v>
      </c>
      <c r="D1038" s="677">
        <v>6810</v>
      </c>
      <c r="E1038" s="678">
        <f>SUMIFS('Accounting data'!$G$2:$G$26,'Accounting data'!$H$2:$H$26,"11*",'Accounting data'!$J$2:$J$26,"2*",'Accounting data'!$K$2:$K$26,"681*")+SUMIFS('Accounting data'!$G$2:$G$26,'Accounting data'!$H$2:$H$26,"12*",'Accounting data'!$J$2:$J$26,"2*",'Accounting data'!$K$2:$K$26,"681*")+SUMIFS('Accounting data'!$G$2:$G$26,'Accounting data'!$H$2:$H$26,"13*",'Accounting data'!$J$2:$J$26,"2*",'Accounting data'!$K$2:$K$26,"681*")</f>
        <v>0</v>
      </c>
    </row>
    <row r="1039" spans="1:5" x14ac:dyDescent="0.3">
      <c r="A1039" s="677" t="s">
        <v>231</v>
      </c>
      <c r="B1039" s="677" t="s">
        <v>217</v>
      </c>
      <c r="C1039" s="677">
        <v>3000</v>
      </c>
      <c r="D1039" s="677">
        <v>6810</v>
      </c>
      <c r="E1039" s="678">
        <f>SUMIFS('Accounting data'!$G$2:$G$26,'Accounting data'!$H$2:$H$26,"11*",'Accounting data'!$J$2:$J$26,"3*",'Accounting data'!$K$2:$K$26,"681*")+SUMIFS('Accounting data'!$G$2:$G$26,'Accounting data'!$H$2:$H$26,"12*",'Accounting data'!$J$2:$J$26,"3*",'Accounting data'!$K$2:$K$26,"681*")+SUMIFS('Accounting data'!$G$2:$G$26,'Accounting data'!$H$2:$H$26,"13*",'Accounting data'!$J$2:$J$26,"3*",'Accounting data'!$K$2:$K$26,"681*")</f>
        <v>0</v>
      </c>
    </row>
    <row r="1040" spans="1:5" x14ac:dyDescent="0.3">
      <c r="A1040" s="677" t="s">
        <v>231</v>
      </c>
      <c r="B1040" s="679">
        <v>700</v>
      </c>
      <c r="C1040" s="677">
        <v>1000</v>
      </c>
      <c r="D1040" s="677">
        <v>6810</v>
      </c>
      <c r="E1040" s="678">
        <f>SUMIFS('Accounting data'!$G$2:$G$26,'Accounting data'!$H$2:$H$26,"11*",'Accounting data'!$I$2:$I$26,"7*",'Accounting data'!$J$2:$J$26,"1*",'Accounting data'!$K$2:$K$26,"681*")+SUMIFS('Accounting data'!$G$2:$G$26,'Accounting data'!$H$2:$H$26,"12*",'Accounting data'!$I$2:$I$26,"7*",'Accounting data'!$J$2:$J$26,"1*",'Accounting data'!$K$2:$K$26,"681*")+SUMIFS('Accounting data'!$G$2:$G$26,'Accounting data'!$H$2:$H$26,"13*",'Accounting data'!$I$2:$I$26,"7*",'Accounting data'!$J$2:$J$26,"1*",'Accounting data'!$K$2:$K$26,"681*")</f>
        <v>0</v>
      </c>
    </row>
    <row r="1041" spans="1:5" x14ac:dyDescent="0.3">
      <c r="A1041" s="677" t="s">
        <v>231</v>
      </c>
      <c r="B1041" s="679">
        <v>800</v>
      </c>
      <c r="C1041" s="677">
        <v>1000</v>
      </c>
      <c r="D1041" s="677">
        <v>6810</v>
      </c>
      <c r="E1041" s="678">
        <f>SUMIFS('Accounting data'!$G$2:$G$26,'Accounting data'!$H$2:$H$26,"11*",'Accounting data'!$I$2:$I$26,"8*",'Accounting data'!$J$2:$J$26,"1*",'Accounting data'!$K$2:$K$26,"681*")+SUMIFS('Accounting data'!$G$2:$G$26,'Accounting data'!$H$2:$H$26,"12*",'Accounting data'!$I$2:$I$26,"8*",'Accounting data'!$J$2:$J$26,"1*",'Accounting data'!$K$2:$K$26,"681*")+SUMIFS('Accounting data'!$G$2:$G$26,'Accounting data'!$H$2:$H$26,"13*",'Accounting data'!$I$2:$I$26,"8*",'Accounting data'!$J$2:$J$26,"1*",'Accounting data'!$K$2:$K$26,"681*")</f>
        <v>0</v>
      </c>
    </row>
    <row r="1042" spans="1:5" x14ac:dyDescent="0.3">
      <c r="A1042" s="677" t="s">
        <v>231</v>
      </c>
      <c r="B1042" s="679">
        <v>900</v>
      </c>
      <c r="C1042" s="677">
        <v>1000</v>
      </c>
      <c r="D1042" s="677">
        <v>6810</v>
      </c>
      <c r="E1042" s="678">
        <f>SUMIFS('Accounting data'!$G$2:$G$26,'Accounting data'!$H$2:$H$26,"11*",'Accounting data'!$I$2:$I$26,"9*",'Accounting data'!$J$2:$J$26,"1*",'Accounting data'!$K$2:$K$26,"681*")+SUMIFS('Accounting data'!$G$2:$G$26,'Accounting data'!$H$2:$H$26,"12*",'Accounting data'!$I$2:$I$26,"9*",'Accounting data'!$J$2:$J$26,"1*",'Accounting data'!$K$2:$K$26,"681*")+SUMIFS('Accounting data'!$G$2:$G$26,'Accounting data'!$H$2:$H$26,"13*",'Accounting data'!$I$2:$I$26,"9*",'Accounting data'!$J$2:$J$26,"1*",'Accounting data'!$K$2:$K$26,"681*")</f>
        <v>0</v>
      </c>
    </row>
    <row r="1043" spans="1:5" x14ac:dyDescent="0.3">
      <c r="A1043" s="677" t="s">
        <v>231</v>
      </c>
      <c r="B1043" s="679">
        <v>700</v>
      </c>
      <c r="C1043" s="677">
        <v>2000</v>
      </c>
      <c r="D1043" s="677">
        <v>6810</v>
      </c>
      <c r="E1043" s="678">
        <f>SUMIFS('Accounting data'!$G$2:$G$26,'Accounting data'!$H$2:$H$26,"11*",'Accounting data'!$I$2:$I$26,"7*",'Accounting data'!$J$2:$J$26,"2*",'Accounting data'!$K$2:$K$26,"681*")+SUMIFS('Accounting data'!$G$2:$G$26,'Accounting data'!$H$2:$H$26,"12*",'Accounting data'!$I$2:$I$26,"7*",'Accounting data'!$J$2:$J$26,"2*",'Accounting data'!$K$2:$K$26,"681*")+SUMIFS('Accounting data'!$G$2:$G$26,'Accounting data'!$H$2:$H$26,"13*",'Accounting data'!$I$2:$I$26,"7*",'Accounting data'!$J$2:$J$26,"2*",'Accounting data'!$K$2:$K$26,"681*")</f>
        <v>0</v>
      </c>
    </row>
    <row r="1044" spans="1:5" x14ac:dyDescent="0.3">
      <c r="A1044" s="677" t="s">
        <v>231</v>
      </c>
      <c r="B1044" s="679">
        <v>800</v>
      </c>
      <c r="C1044" s="677">
        <v>2000</v>
      </c>
      <c r="D1044" s="677">
        <v>6810</v>
      </c>
      <c r="E1044" s="678">
        <f>SUMIFS('Accounting data'!$G$2:$G$26,'Accounting data'!$H$2:$H$26,"11*",'Accounting data'!$I$2:$I$26,"8*",'Accounting data'!$J$2:$J$26,"2*",'Accounting data'!$K$2:$K$26,"681*")+SUMIFS('Accounting data'!$G$2:$G$26,'Accounting data'!$H$2:$H$26,"12*",'Accounting data'!$I$2:$I$26,"8*",'Accounting data'!$J$2:$J$26,"2*",'Accounting data'!$K$2:$K$26,"681*")+SUMIFS('Accounting data'!$G$2:$G$26,'Accounting data'!$H$2:$H$26,"13*",'Accounting data'!$I$2:$I$26,"8*",'Accounting data'!$J$2:$J$26,"2*",'Accounting data'!$K$2:$K$26,"681*")</f>
        <v>0</v>
      </c>
    </row>
    <row r="1045" spans="1:5" x14ac:dyDescent="0.3">
      <c r="A1045" s="677" t="s">
        <v>231</v>
      </c>
      <c r="B1045" s="679">
        <v>900</v>
      </c>
      <c r="C1045" s="677">
        <v>2000</v>
      </c>
      <c r="D1045" s="677">
        <v>6810</v>
      </c>
      <c r="E1045" s="678">
        <f>SUMIFS('Accounting data'!$G$2:$G$26,'Accounting data'!$H$2:$H$26,"11*",'Accounting data'!$I$2:$I$26,"9*",'Accounting data'!$J$2:$J$26,"2*",'Accounting data'!$K$2:$K$26,"681*")+SUMIFS('Accounting data'!$G$2:$G$26,'Accounting data'!$H$2:$H$26,"12*",'Accounting data'!$I$2:$I$26,"9*",'Accounting data'!$J$2:$J$26,"2*",'Accounting data'!$K$2:$K$26,"681*")+SUMIFS('Accounting data'!$G$2:$G$26,'Accounting data'!$H$2:$H$26,"13*",'Accounting data'!$I$2:$I$26,"9*",'Accounting data'!$J$2:$J$26,"2*",'Accounting data'!$K$2:$K$26,"681*")</f>
        <v>0</v>
      </c>
    </row>
    <row r="1046" spans="1:5" x14ac:dyDescent="0.3">
      <c r="A1046" s="677" t="s">
        <v>231</v>
      </c>
      <c r="B1046" s="679">
        <v>700</v>
      </c>
      <c r="C1046" s="677">
        <v>3000</v>
      </c>
      <c r="D1046" s="677">
        <v>6810</v>
      </c>
      <c r="E1046" s="678">
        <f>SUMIFS('Accounting data'!$G$2:$G$26,'Accounting data'!$H$2:$H$26,"11*",'Accounting data'!$I$2:$I$26,"7*",'Accounting data'!$J$2:$J$26,"3*",'Accounting data'!$K$2:$K$26,"681*")+SUMIFS('Accounting data'!$G$2:$G$26,'Accounting data'!$H$2:$H$26,"12*",'Accounting data'!$I$2:$I$26,"7*",'Accounting data'!$J$2:$J$26,"3*",'Accounting data'!$K$2:$K$26,"681*")+SUMIFS('Accounting data'!$G$2:$G$26,'Accounting data'!$H$2:$H$26,"13*",'Accounting data'!$I$2:$I$26,"7*",'Accounting data'!$J$2:$J$26,"3*",'Accounting data'!$K$2:$K$26,"681*")</f>
        <v>0</v>
      </c>
    </row>
    <row r="1047" spans="1:5" x14ac:dyDescent="0.3">
      <c r="A1047" s="677" t="s">
        <v>231</v>
      </c>
      <c r="B1047" s="679">
        <v>800</v>
      </c>
      <c r="C1047" s="677">
        <v>3000</v>
      </c>
      <c r="D1047" s="677">
        <v>6810</v>
      </c>
      <c r="E1047" s="678">
        <f>SUMIFS('Accounting data'!$G$2:$G$26,'Accounting data'!$H$2:$H$26,"11*",'Accounting data'!$I$2:$I$26,"8*",'Accounting data'!$J$2:$J$26,"3*",'Accounting data'!$K$2:$K$26,"681*")+SUMIFS('Accounting data'!$G$2:$G$26,'Accounting data'!$H$2:$H$26,"12*",'Accounting data'!$I$2:$I$26,"8*",'Accounting data'!$J$2:$J$26,"3*",'Accounting data'!$K$2:$K$26,"681*")+SUMIFS('Accounting data'!$G$2:$G$26,'Accounting data'!$H$2:$H$26,"13*",'Accounting data'!$I$2:$I$26,"8*",'Accounting data'!$J$2:$J$26,"3*",'Accounting data'!$K$2:$K$26,"681*")</f>
        <v>0</v>
      </c>
    </row>
    <row r="1048" spans="1:5" x14ac:dyDescent="0.3">
      <c r="A1048" s="677" t="s">
        <v>231</v>
      </c>
      <c r="B1048" s="679">
        <v>900</v>
      </c>
      <c r="C1048" s="677">
        <v>3000</v>
      </c>
      <c r="D1048" s="677">
        <v>6810</v>
      </c>
      <c r="E1048" s="678">
        <f>SUMIFS('Accounting data'!$G$2:$G$26,'Accounting data'!$H$2:$H$26,"11*",'Accounting data'!$I$2:$I$26,"9*",'Accounting data'!$J$2:$J$26,"3*",'Accounting data'!$K$2:$K$26,"681*")+SUMIFS('Accounting data'!$G$2:$G$26,'Accounting data'!$H$2:$H$26,"12*",'Accounting data'!$I$2:$I$26,"9*",'Accounting data'!$J$2:$J$26,"3*",'Accounting data'!$K$2:$K$26,"681*")+SUMIFS('Accounting data'!$G$2:$G$26,'Accounting data'!$H$2:$H$26,"13*",'Accounting data'!$I$2:$I$26,"9*",'Accounting data'!$J$2:$J$26,"3*",'Accounting data'!$K$2:$K$26,"681*")</f>
        <v>0</v>
      </c>
    </row>
    <row r="1049" spans="1:5" x14ac:dyDescent="0.3">
      <c r="A1049" s="680" t="s">
        <v>287</v>
      </c>
      <c r="B1049" s="680"/>
      <c r="C1049" s="680"/>
      <c r="D1049" s="680"/>
      <c r="E1049" s="682">
        <f>(E1037+E1038+E1039)-(E1040+E1041+E1042+E1043+E1044+E1045+E1046+E1047+E1048)</f>
        <v>0</v>
      </c>
    </row>
    <row r="1050" spans="1:5" x14ac:dyDescent="0.3">
      <c r="A1050" s="677" t="s">
        <v>217</v>
      </c>
      <c r="B1050" s="677" t="s">
        <v>217</v>
      </c>
      <c r="C1050" s="677">
        <v>2300</v>
      </c>
      <c r="D1050" s="686">
        <v>6820</v>
      </c>
      <c r="E1050" s="678">
        <f>SUMIFS('Accounting data'!$G$2:$G$26,'Accounting data'!$J$2:$J$26,"23*",'Accounting data'!$K$2:$K$26,"682*")</f>
        <v>0</v>
      </c>
    </row>
    <row r="1051" spans="1:5" x14ac:dyDescent="0.3">
      <c r="A1051" s="677" t="s">
        <v>218</v>
      </c>
      <c r="B1051" s="677" t="s">
        <v>217</v>
      </c>
      <c r="C1051" s="677">
        <v>2300</v>
      </c>
      <c r="D1051" s="686">
        <v>6820</v>
      </c>
      <c r="E1051" s="678">
        <f>SUMIFS('Accounting data'!$G$2:$G$26,'Accounting data'!$H$2:$H$26,"9999*",'Accounting data'!$J$2:$J$26,"23*",'Accounting data'!$K$2:$K$26,"682*")</f>
        <v>0</v>
      </c>
    </row>
    <row r="1052" spans="1:5" x14ac:dyDescent="0.3">
      <c r="A1052" s="677" t="s">
        <v>217</v>
      </c>
      <c r="B1052" s="677" t="s">
        <v>219</v>
      </c>
      <c r="C1052" s="677">
        <v>2300</v>
      </c>
      <c r="D1052" s="686">
        <v>6820</v>
      </c>
      <c r="E1052" s="678">
        <f>SUMIFS('Accounting data'!$G$2:$G$26,'Accounting data'!$I$2:$I$26,"7*",'Accounting data'!$J$2:$J$26,"23*",'Accounting data'!$K$2:$K$26,"682*")+SUMIFS('Accounting data'!$G$2:$G$26,'Accounting data'!$I$2:$I$26,"8*",'Accounting data'!$J$2:$J$26,"23*",'Accounting data'!$K$2:$K$26,"682*")+SUMIFS('Accounting data'!$G$2:$G$26,'Accounting data'!$I$2:$I$26,"9*",'Accounting data'!$J$2:$J$26,"23*",'Accounting data'!$K$2:$K$26,"682*")</f>
        <v>0</v>
      </c>
    </row>
    <row r="1053" spans="1:5" x14ac:dyDescent="0.3">
      <c r="A1053" s="679" t="s">
        <v>218</v>
      </c>
      <c r="B1053" s="677" t="s">
        <v>219</v>
      </c>
      <c r="C1053" s="677">
        <v>2300</v>
      </c>
      <c r="D1053" s="686">
        <v>6820</v>
      </c>
      <c r="E1053" s="678">
        <f>SUMIFS('Accounting data'!$G$2:$G$26,'Accounting data'!$H$2:$H$26,"9999*",'Accounting data'!$I$2:$I$26,"7*",'Accounting data'!$J$2:$J$26,"23*",'Accounting data'!$K$2:$K$26,"682*")+SUMIFS('Accounting data'!$G$2:$G$26,'Accounting data'!$H$2:$H$26,"9999*",'Accounting data'!$I$2:$I$26,"8*",'Accounting data'!$J$2:$J$26,"23*",'Accounting data'!$K$2:$K$26,"682*")+SUMIFS('Accounting data'!$G$2:$G$26,'Accounting data'!$H$2:$H$26,"9999*",'Accounting data'!$I$2:$I$26,"9*",'Accounting data'!$J$2:$J$26,"23*",'Accounting data'!$K$2:$K$26,"682*")</f>
        <v>0</v>
      </c>
    </row>
    <row r="1054" spans="1:5" x14ac:dyDescent="0.3">
      <c r="A1054" s="677"/>
      <c r="B1054" s="677"/>
      <c r="C1054" s="677"/>
      <c r="D1054" s="686"/>
      <c r="E1054" s="678"/>
    </row>
    <row r="1055" spans="1:5" x14ac:dyDescent="0.3">
      <c r="A1055" s="677"/>
      <c r="B1055" s="677"/>
      <c r="C1055" s="677"/>
      <c r="D1055" s="686"/>
      <c r="E1055" s="678"/>
    </row>
    <row r="1056" spans="1:5" x14ac:dyDescent="0.3">
      <c r="A1056" s="680" t="s">
        <v>288</v>
      </c>
      <c r="B1056" s="680"/>
      <c r="C1056" s="686"/>
      <c r="D1056" s="680"/>
      <c r="E1056" s="682">
        <f>(E1050-E1051-E1052)+(E1053+E1054+E1055)</f>
        <v>0</v>
      </c>
    </row>
    <row r="1057" spans="1:5" x14ac:dyDescent="0.3">
      <c r="A1057" s="677" t="s">
        <v>231</v>
      </c>
      <c r="B1057" s="677" t="s">
        <v>217</v>
      </c>
      <c r="C1057" s="677">
        <v>2300</v>
      </c>
      <c r="D1057" s="677">
        <v>6820</v>
      </c>
      <c r="E1057" s="678">
        <f>SUMIFS('Accounting data'!$G$2:$G$26,'Accounting data'!$H$2:$H$26,"11*",'Accounting data'!$J$2:$J$26,"23*",'Accounting data'!$K$2:$K$26,"682*")+SUMIFS('Accounting data'!$G$2:$G$26,'Accounting data'!$H$2:$H$26,"12*",'Accounting data'!$J$2:$J$26,"23*",'Accounting data'!$K$2:$K$26,"682*")+SUMIFS('Accounting data'!$G$2:$G$26,'Accounting data'!$H$2:$H$26,"13*",'Accounting data'!$J$2:$J$26,"23*",'Accounting data'!$K$2:$K$26,"682*")+SUMIFS('Accounting data'!$G$2:$G$26,'Accounting data'!$H$2:$H$26,"639",'Accounting data'!$J$2:$J$26,"23*",'Accounting data'!$K$2:$K$26,"682*")+SUMIFS('Accounting data'!$G$2:$G$26,'Accounting data'!$H$2:$H$26,"699",'Accounting data'!$J$2:$J$26,"23*",'Accounting data'!$K$2:$K$26,"682*")+SUMIFS('Accounting data'!$G$2:$G$26,'Accounting data'!$H$2:$H$26,"72?",'Accounting data'!$J$2:$J$26,"23*",'Accounting data'!$K$2:$K$26,"682*")</f>
        <v>0</v>
      </c>
    </row>
    <row r="1058" spans="1:5" x14ac:dyDescent="0.3">
      <c r="A1058" s="677" t="s">
        <v>231</v>
      </c>
      <c r="B1058" s="679">
        <v>700</v>
      </c>
      <c r="C1058" s="677">
        <v>2300</v>
      </c>
      <c r="D1058" s="677">
        <v>6820</v>
      </c>
      <c r="E1058" s="678">
        <f>SUMIFS('Accounting data'!$G$2:$G$26,'Accounting data'!$H$2:$H$26,"11*",'Accounting data'!$I$2:$I$26,"7*",'Accounting data'!$J$2:$J$26,"23*",'Accounting data'!$K$2:$K$26,"682*")+SUMIFS('Accounting data'!$G$2:$G$26,'Accounting data'!$H$2:$H$26,"12*",'Accounting data'!$I$2:$I$26,"7*",'Accounting data'!$J$2:$J$26,"23*",'Accounting data'!$K$2:$K$26,"682*")+SUMIFS('Accounting data'!$G$2:$G$26,'Accounting data'!$H$2:$H$26,"13*",'Accounting data'!$I$2:$I$26,"7*",'Accounting data'!$J$2:$J$26,"23*",'Accounting data'!$K$2:$K$26,"682*")+SUMIFS('Accounting data'!$G$2:$G$26,'Accounting data'!$H$2:$H$26,"639",'Accounting data'!$I$2:$I$26,"7*",'Accounting data'!$J$2:$J$26,"23*",'Accounting data'!$K$2:$K$26,"682*")+SUMIFS('Accounting data'!$G$2:$G$26,'Accounting data'!$H$2:$H$26,"699",'Accounting data'!$I$2:$I$26,"7*",'Accounting data'!$J$2:$J$26,"23*",'Accounting data'!$K$2:$K$26,"682*")+SUMIFS('Accounting data'!$G$2:$G$26,'Accounting data'!$H$2:$H$26,"72?",'Accounting data'!$I$2:$I$26,"7*",'Accounting data'!$J$2:$J$26,"23*",'Accounting data'!$K$2:$K$26,"682*")</f>
        <v>0</v>
      </c>
    </row>
    <row r="1059" spans="1:5" x14ac:dyDescent="0.3">
      <c r="A1059" s="677" t="s">
        <v>231</v>
      </c>
      <c r="B1059" s="679">
        <v>800</v>
      </c>
      <c r="C1059" s="677">
        <v>2300</v>
      </c>
      <c r="D1059" s="677">
        <v>6820</v>
      </c>
      <c r="E1059" s="678">
        <f>SUMIFS('Accounting data'!$G$2:$G$26,'Accounting data'!$H$2:$H$26,"11*",'Accounting data'!$I$2:$I$26,"8*",'Accounting data'!$J$2:$J$26,"23*",'Accounting data'!$K$2:$K$26,"682*")+SUMIFS('Accounting data'!$G$2:$G$26,'Accounting data'!$H$2:$H$26,"12*",'Accounting data'!$I$2:$I$26,"8*",'Accounting data'!$J$2:$J$26,"23*",'Accounting data'!$K$2:$K$26,"682*")+SUMIFS('Accounting data'!$G$2:$G$26,'Accounting data'!$H$2:$H$26,"13*",'Accounting data'!$I$2:$I$26,"8*",'Accounting data'!$J$2:$J$26,"23*",'Accounting data'!$K$2:$K$26,"682*")+SUMIFS('Accounting data'!$G$2:$G$26,'Accounting data'!$H$2:$H$26,"639",'Accounting data'!$I$2:$I$26,"8*",'Accounting data'!$J$2:$J$26,"23*",'Accounting data'!$K$2:$K$26,"682*")+SUMIFS('Accounting data'!$G$2:$G$26,'Accounting data'!$H$2:$H$26,"699",'Accounting data'!$I$2:$I$26,"8*",'Accounting data'!$J$2:$J$26,"23*",'Accounting data'!$K$2:$K$26,"682*")+SUMIFS('Accounting data'!$G$2:$G$26,'Accounting data'!$H$2:$H$26,"72?",'Accounting data'!$I$2:$I$26,"8*",'Accounting data'!$J$2:$J$26,"23*",'Accounting data'!$K$2:$K$26,"682*")</f>
        <v>0</v>
      </c>
    </row>
    <row r="1060" spans="1:5" x14ac:dyDescent="0.3">
      <c r="A1060" s="677" t="s">
        <v>231</v>
      </c>
      <c r="B1060" s="679">
        <v>900</v>
      </c>
      <c r="C1060" s="677">
        <v>2300</v>
      </c>
      <c r="D1060" s="677">
        <v>6820</v>
      </c>
      <c r="E1060" s="678">
        <f>SUMIFS('Accounting data'!$G$2:$G$26,'Accounting data'!$H$2:$H$26,"11*",'Accounting data'!$I$2:$I$26,"9*",'Accounting data'!$J$2:$J$26,"23*",'Accounting data'!$K$2:$K$26,"682*")+SUMIFS('Accounting data'!$G$2:$G$26,'Accounting data'!$H$2:$H$26,"12*",'Accounting data'!$I$2:$I$26,"9*",'Accounting data'!$J$2:$J$26,"23*",'Accounting data'!$K$2:$K$26,"682*")+SUMIFS('Accounting data'!$G$2:$G$26,'Accounting data'!$H$2:$H$26,"13*",'Accounting data'!$I$2:$I$26,"9*",'Accounting data'!$J$2:$J$26,"23*",'Accounting data'!$K$2:$K$26,"682*")+SUMIFS('Accounting data'!$G$2:$G$26,'Accounting data'!$H$2:$H$26,"639",'Accounting data'!$I$2:$I$26,"9*",'Accounting data'!$J$2:$J$26,"23*",'Accounting data'!$K$2:$K$26,"682*")+SUMIFS('Accounting data'!$G$2:$G$26,'Accounting data'!$H$2:$H$26,"699",'Accounting data'!$I$2:$I$26,"9*",'Accounting data'!$J$2:$J$26,"23*",'Accounting data'!$K$2:$K$26,"682*")+SUMIFS('Accounting data'!$G$2:$G$26,'Accounting data'!$H$2:$H$26,"72?",'Accounting data'!$I$2:$I$26,"9*",'Accounting data'!$J$2:$J$26,"23*",'Accounting data'!$K$2:$K$26,"682*")</f>
        <v>0</v>
      </c>
    </row>
    <row r="1061" spans="1:5" x14ac:dyDescent="0.3">
      <c r="A1061" s="680" t="s">
        <v>289</v>
      </c>
      <c r="B1061" s="680"/>
      <c r="C1061" s="680"/>
      <c r="D1061" s="680"/>
      <c r="E1061" s="682">
        <f>E1057-E1058-E1059-E1060</f>
        <v>0</v>
      </c>
    </row>
    <row r="1062" spans="1:5" x14ac:dyDescent="0.3">
      <c r="A1062" s="677"/>
      <c r="B1062" s="677"/>
      <c r="C1062" s="677"/>
      <c r="D1062" s="677"/>
      <c r="E1062" s="678"/>
    </row>
    <row r="1063" spans="1:5" x14ac:dyDescent="0.3">
      <c r="A1063" s="677"/>
      <c r="B1063" s="677"/>
      <c r="C1063" s="677"/>
      <c r="D1063" s="677"/>
      <c r="E1063" s="678"/>
    </row>
    <row r="1064" spans="1:5" x14ac:dyDescent="0.3">
      <c r="A1064" s="677"/>
      <c r="B1064" s="677"/>
      <c r="C1064" s="677"/>
      <c r="D1064" s="677"/>
      <c r="E1064" s="678"/>
    </row>
    <row r="1065" spans="1:5" x14ac:dyDescent="0.3">
      <c r="A1065" s="679"/>
      <c r="B1065" s="677"/>
      <c r="C1065" s="677"/>
      <c r="D1065" s="677"/>
      <c r="E1065" s="678"/>
    </row>
    <row r="1066" spans="1:5" x14ac:dyDescent="0.3">
      <c r="A1066" s="677"/>
      <c r="B1066" s="677"/>
      <c r="C1066" s="677"/>
      <c r="D1066" s="677"/>
      <c r="E1066" s="678"/>
    </row>
    <row r="1067" spans="1:5" x14ac:dyDescent="0.3">
      <c r="A1067" s="677"/>
      <c r="B1067" s="677"/>
      <c r="C1067" s="677"/>
      <c r="D1067" s="677"/>
      <c r="E1067" s="678"/>
    </row>
    <row r="1068" spans="1:5" x14ac:dyDescent="0.3">
      <c r="A1068" s="680"/>
      <c r="B1068" s="680"/>
      <c r="C1068" s="680"/>
      <c r="D1068" s="680"/>
      <c r="E1068" s="682"/>
    </row>
    <row r="1069" spans="1:5" x14ac:dyDescent="0.3">
      <c r="A1069" s="677"/>
      <c r="B1069" s="677"/>
      <c r="C1069" s="677"/>
      <c r="D1069" s="677"/>
      <c r="E1069" s="678"/>
    </row>
    <row r="1070" spans="1:5" x14ac:dyDescent="0.3">
      <c r="A1070" s="677"/>
      <c r="B1070" s="677"/>
      <c r="C1070" s="677"/>
      <c r="D1070" s="677"/>
      <c r="E1070" s="678"/>
    </row>
    <row r="1071" spans="1:5" x14ac:dyDescent="0.3">
      <c r="A1071" s="677"/>
      <c r="B1071" s="677"/>
      <c r="C1071" s="677"/>
      <c r="D1071" s="677"/>
      <c r="E1071" s="678"/>
    </row>
    <row r="1072" spans="1:5" x14ac:dyDescent="0.3">
      <c r="A1072" s="679"/>
      <c r="B1072" s="677"/>
      <c r="C1072" s="677"/>
      <c r="D1072" s="677"/>
      <c r="E1072" s="678"/>
    </row>
    <row r="1073" spans="1:5" x14ac:dyDescent="0.3">
      <c r="A1073" s="677"/>
      <c r="B1073" s="677"/>
      <c r="C1073" s="677"/>
      <c r="D1073" s="677"/>
      <c r="E1073" s="678"/>
    </row>
    <row r="1074" spans="1:5" x14ac:dyDescent="0.3">
      <c r="A1074" s="677"/>
      <c r="B1074" s="677"/>
      <c r="C1074" s="677"/>
      <c r="D1074" s="677"/>
      <c r="E1074" s="678"/>
    </row>
    <row r="1075" spans="1:5" x14ac:dyDescent="0.3">
      <c r="A1075" s="680"/>
      <c r="B1075" s="680"/>
      <c r="C1075" s="680"/>
      <c r="D1075" s="680"/>
      <c r="E1075" s="682"/>
    </row>
    <row r="1076" spans="1:5" x14ac:dyDescent="0.3">
      <c r="A1076" s="677" t="s">
        <v>217</v>
      </c>
      <c r="B1076" s="677" t="s">
        <v>217</v>
      </c>
      <c r="C1076" s="677">
        <v>2500</v>
      </c>
      <c r="D1076" s="686">
        <v>6850</v>
      </c>
      <c r="E1076" s="678">
        <f>SUMIFS('Accounting data'!$G$2:$G$26,'Accounting data'!$J$2:$J$26,"25*",'Accounting data'!$K$2:$K$26,"685*")</f>
        <v>0</v>
      </c>
    </row>
    <row r="1077" spans="1:5" x14ac:dyDescent="0.3">
      <c r="A1077" s="677" t="s">
        <v>218</v>
      </c>
      <c r="B1077" s="677" t="s">
        <v>217</v>
      </c>
      <c r="C1077" s="677">
        <v>2500</v>
      </c>
      <c r="D1077" s="686">
        <v>6850</v>
      </c>
      <c r="E1077" s="678">
        <f>SUMIFS('Accounting data'!$G$2:$G$26,'Accounting data'!$H$2:$H$26,"9999*",'Accounting data'!$J$2:$J$26,"25*",'Accounting data'!$K$2:$K$26,"685*")</f>
        <v>0</v>
      </c>
    </row>
    <row r="1078" spans="1:5" x14ac:dyDescent="0.3">
      <c r="A1078" s="677" t="s">
        <v>217</v>
      </c>
      <c r="B1078" s="677" t="s">
        <v>219</v>
      </c>
      <c r="C1078" s="677">
        <v>2500</v>
      </c>
      <c r="D1078" s="686">
        <v>6850</v>
      </c>
      <c r="E1078" s="678">
        <f>SUMIFS('Accounting data'!$G$2:$G$26,'Accounting data'!$I$2:$I$26,"7*",'Accounting data'!$J$2:$J$26,"25*",'Accounting data'!$K$2:$K$26,"685*")+SUMIFS('Accounting data'!$G$2:$G$26,'Accounting data'!$I$2:$I$26,"8*",'Accounting data'!$J$2:$J$26,"25*",'Accounting data'!$K$2:$K$26,"685*")+SUMIFS('Accounting data'!$G$2:$G$26,'Accounting data'!$I$2:$I$26,"9*",'Accounting data'!$J$2:$J$26,"25*",'Accounting data'!$K$2:$K$26,"685*")</f>
        <v>0</v>
      </c>
    </row>
    <row r="1079" spans="1:5" x14ac:dyDescent="0.3">
      <c r="A1079" s="679" t="s">
        <v>218</v>
      </c>
      <c r="B1079" s="677" t="s">
        <v>219</v>
      </c>
      <c r="C1079" s="677">
        <v>2500</v>
      </c>
      <c r="D1079" s="686">
        <v>6850</v>
      </c>
      <c r="E1079" s="678">
        <f>SUMIFS('Accounting data'!$G$2:$G$26,'Accounting data'!$H$2:$H$26,"9999*",'Accounting data'!$I$2:$I$26,"7*",'Accounting data'!$J$2:$J$26,"25*",'Accounting data'!$K$2:$K$26,"685*")+SUMIFS('Accounting data'!$G$2:$G$26,'Accounting data'!$H$2:$H$26,"9999*",'Accounting data'!$I$2:$I$26,"8*",'Accounting data'!$J$2:$J$26,"25*",'Accounting data'!$K$2:$K$26,"685*")+SUMIFS('Accounting data'!$G$2:$G$26,'Accounting data'!$H$2:$H$26,"9999*",'Accounting data'!$I$2:$I$26,"9*",'Accounting data'!$J$2:$J$26,"25*",'Accounting data'!$K$2:$K$26,"685*")</f>
        <v>0</v>
      </c>
    </row>
    <row r="1080" spans="1:5" x14ac:dyDescent="0.3">
      <c r="A1080" s="677"/>
      <c r="B1080" s="677"/>
      <c r="C1080" s="677"/>
      <c r="D1080" s="686"/>
      <c r="E1080" s="678"/>
    </row>
    <row r="1081" spans="1:5" x14ac:dyDescent="0.3">
      <c r="A1081" s="677"/>
      <c r="B1081" s="677"/>
      <c r="C1081" s="677"/>
      <c r="D1081" s="686"/>
      <c r="E1081" s="678"/>
    </row>
    <row r="1082" spans="1:5" x14ac:dyDescent="0.3">
      <c r="A1082" s="680" t="s">
        <v>290</v>
      </c>
      <c r="B1082" s="680"/>
      <c r="C1082" s="680"/>
      <c r="D1082" s="680"/>
      <c r="E1082" s="682">
        <f>(E1076-E1077-E1078)+(E1079+E1080+E1081)</f>
        <v>0</v>
      </c>
    </row>
    <row r="1083" spans="1:5" x14ac:dyDescent="0.3">
      <c r="A1083" s="677"/>
      <c r="B1083" s="677"/>
      <c r="C1083" s="677"/>
      <c r="D1083" s="686"/>
      <c r="E1083" s="678"/>
    </row>
    <row r="1084" spans="1:5" x14ac:dyDescent="0.3">
      <c r="A1084" s="677"/>
      <c r="B1084" s="677"/>
      <c r="C1084" s="677"/>
      <c r="D1084" s="686"/>
      <c r="E1084" s="678"/>
    </row>
    <row r="1085" spans="1:5" x14ac:dyDescent="0.3">
      <c r="A1085" s="677"/>
      <c r="B1085" s="677"/>
      <c r="C1085" s="677"/>
      <c r="D1085" s="686"/>
      <c r="E1085" s="678"/>
    </row>
    <row r="1086" spans="1:5" x14ac:dyDescent="0.3">
      <c r="A1086" s="679"/>
      <c r="B1086" s="677"/>
      <c r="C1086" s="677"/>
      <c r="D1086" s="686"/>
      <c r="E1086" s="678"/>
    </row>
    <row r="1087" spans="1:5" x14ac:dyDescent="0.3">
      <c r="A1087" s="677"/>
      <c r="B1087" s="677"/>
      <c r="C1087" s="677"/>
      <c r="D1087" s="686"/>
      <c r="E1087" s="678"/>
    </row>
    <row r="1088" spans="1:5" x14ac:dyDescent="0.3">
      <c r="A1088" s="677"/>
      <c r="B1088" s="677"/>
      <c r="C1088" s="677"/>
      <c r="D1088" s="686"/>
      <c r="E1088" s="678"/>
    </row>
    <row r="1089" spans="1:5" x14ac:dyDescent="0.3">
      <c r="A1089" s="680"/>
      <c r="B1089" s="680"/>
      <c r="C1089" s="680"/>
      <c r="D1089" s="680"/>
      <c r="E1089" s="682"/>
    </row>
    <row r="1090" spans="1:5" x14ac:dyDescent="0.3">
      <c r="A1090" s="677"/>
      <c r="B1090" s="677"/>
      <c r="C1090" s="677"/>
      <c r="D1090" s="686"/>
      <c r="E1090" s="678"/>
    </row>
    <row r="1091" spans="1:5" x14ac:dyDescent="0.3">
      <c r="A1091" s="677"/>
      <c r="B1091" s="677"/>
      <c r="C1091" s="677"/>
      <c r="D1091" s="686"/>
      <c r="E1091" s="678"/>
    </row>
    <row r="1092" spans="1:5" x14ac:dyDescent="0.3">
      <c r="A1092" s="677"/>
      <c r="B1092" s="677"/>
      <c r="C1092" s="677"/>
      <c r="D1092" s="686"/>
      <c r="E1092" s="678"/>
    </row>
    <row r="1093" spans="1:5" x14ac:dyDescent="0.3">
      <c r="A1093" s="679"/>
      <c r="B1093" s="677"/>
      <c r="C1093" s="677"/>
      <c r="D1093" s="686"/>
      <c r="E1093" s="678"/>
    </row>
    <row r="1094" spans="1:5" x14ac:dyDescent="0.3">
      <c r="A1094" s="677"/>
      <c r="B1094" s="677"/>
      <c r="C1094" s="677"/>
      <c r="D1094" s="686"/>
      <c r="E1094" s="678"/>
    </row>
    <row r="1095" spans="1:5" x14ac:dyDescent="0.3">
      <c r="A1095" s="677"/>
      <c r="B1095" s="677"/>
      <c r="C1095" s="677"/>
      <c r="D1095" s="686"/>
      <c r="E1095" s="678"/>
    </row>
    <row r="1096" spans="1:5" x14ac:dyDescent="0.3">
      <c r="A1096" s="680"/>
      <c r="B1096" s="680"/>
      <c r="C1096" s="680"/>
      <c r="D1096" s="680"/>
      <c r="E1096" s="682"/>
    </row>
    <row r="1097" spans="1:5" x14ac:dyDescent="0.3">
      <c r="A1097" s="677"/>
      <c r="B1097" s="677"/>
      <c r="C1097" s="677"/>
      <c r="D1097" s="686"/>
      <c r="E1097" s="678"/>
    </row>
    <row r="1098" spans="1:5" x14ac:dyDescent="0.3">
      <c r="A1098" s="677"/>
      <c r="B1098" s="677"/>
      <c r="C1098" s="677"/>
      <c r="D1098" s="686"/>
      <c r="E1098" s="678"/>
    </row>
    <row r="1099" spans="1:5" x14ac:dyDescent="0.3">
      <c r="A1099" s="677"/>
      <c r="B1099" s="677"/>
      <c r="C1099" s="677"/>
      <c r="D1099" s="686"/>
      <c r="E1099" s="678"/>
    </row>
    <row r="1100" spans="1:5" x14ac:dyDescent="0.3">
      <c r="A1100" s="679"/>
      <c r="B1100" s="677"/>
      <c r="C1100" s="677"/>
      <c r="D1100" s="686"/>
      <c r="E1100" s="678"/>
    </row>
    <row r="1101" spans="1:5" x14ac:dyDescent="0.3">
      <c r="A1101" s="677"/>
      <c r="B1101" s="677"/>
      <c r="C1101" s="677"/>
      <c r="D1101" s="686"/>
      <c r="E1101" s="678"/>
    </row>
    <row r="1102" spans="1:5" x14ac:dyDescent="0.3">
      <c r="A1102" s="677"/>
      <c r="B1102" s="677"/>
      <c r="C1102" s="677"/>
      <c r="D1102" s="686"/>
      <c r="E1102" s="678"/>
    </row>
    <row r="1103" spans="1:5" x14ac:dyDescent="0.3">
      <c r="A1103" s="680"/>
      <c r="B1103" s="680"/>
      <c r="C1103" s="680"/>
      <c r="D1103" s="680"/>
      <c r="E1103" s="682"/>
    </row>
    <row r="1104" spans="1:5" x14ac:dyDescent="0.3">
      <c r="A1104" s="680"/>
      <c r="B1104" s="680"/>
      <c r="C1104" s="680"/>
      <c r="D1104" s="680"/>
      <c r="E1104" s="682"/>
    </row>
    <row r="1105" spans="1:5" x14ac:dyDescent="0.3">
      <c r="A1105" s="677" t="s">
        <v>231</v>
      </c>
      <c r="B1105" s="677" t="s">
        <v>217</v>
      </c>
      <c r="C1105" s="686">
        <v>2500</v>
      </c>
      <c r="D1105" s="677">
        <v>6850</v>
      </c>
      <c r="E1105" s="678">
        <f>SUMIFS('Accounting data'!$G$2:$G$26,'Accounting data'!$H$2:$H$26,"11*",'Accounting data'!$J$2:$J$26,"25*",'Accounting data'!$K$2:$K$26,"685*")+SUMIFS('Accounting data'!$G$2:$G$26,'Accounting data'!$H$2:$H$26,"12*",'Accounting data'!$J$2:$J$26,"25*",'Accounting data'!$K$2:$K$26,"685*")+SUMIFS('Accounting data'!$G$2:$G$26,'Accounting data'!$H$2:$H$26,"13*",'Accounting data'!$J$2:$J$26,"25*",'Accounting data'!$K$2:$K$26,"685*")</f>
        <v>0</v>
      </c>
    </row>
    <row r="1106" spans="1:5" x14ac:dyDescent="0.3">
      <c r="A1106" s="677" t="s">
        <v>231</v>
      </c>
      <c r="B1106" s="679">
        <v>700</v>
      </c>
      <c r="C1106" s="677">
        <v>2500</v>
      </c>
      <c r="D1106" s="677">
        <v>6850</v>
      </c>
      <c r="E1106" s="678">
        <f>SUMIFS('Accounting data'!$G$2:$G$26,'Accounting data'!$H$2:$H$26,"11*",'Accounting data'!$I$2:$I$26,"7*",'Accounting data'!$J$2:$J$26,"25*",'Accounting data'!$K$2:$K$26,"685*")+SUMIFS('Accounting data'!$G$2:$G$26,'Accounting data'!$H$2:$H$26,"12*",'Accounting data'!$I$2:$I$26,"7*",'Accounting data'!$J$2:$J$26,"25*",'Accounting data'!$K$2:$K$26,"685*")+SUMIFS('Accounting data'!$G$2:$G$26,'Accounting data'!$H$2:$H$26,"13*",'Accounting data'!$I$2:$I$26,"7*",'Accounting data'!$J$2:$J$26,"25*",'Accounting data'!$K$2:$K$26,"685*")</f>
        <v>0</v>
      </c>
    </row>
    <row r="1107" spans="1:5" x14ac:dyDescent="0.3">
      <c r="A1107" s="677" t="s">
        <v>231</v>
      </c>
      <c r="B1107" s="679">
        <v>800</v>
      </c>
      <c r="C1107" s="677">
        <v>2500</v>
      </c>
      <c r="D1107" s="677">
        <v>6850</v>
      </c>
      <c r="E1107" s="678">
        <f>SUMIFS('Accounting data'!$G$2:$G$26,'Accounting data'!$H$2:$H$26,"11*",'Accounting data'!$I$2:$I$26,"8*",'Accounting data'!$J$2:$J$26,"25*",'Accounting data'!$K$2:$K$26,"685*")+SUMIFS('Accounting data'!$G$2:$G$26,'Accounting data'!$H$2:$H$26,"12*",'Accounting data'!$I$2:$I$26,"8*",'Accounting data'!$J$2:$J$26,"25*",'Accounting data'!$K$2:$K$26,"685*")+SUMIFS('Accounting data'!$G$2:$G$26,'Accounting data'!$H$2:$H$26,"13*",'Accounting data'!$I$2:$I$26,"8*",'Accounting data'!$J$2:$J$26,"25*",'Accounting data'!$K$2:$K$26,"685*")</f>
        <v>0</v>
      </c>
    </row>
    <row r="1108" spans="1:5" x14ac:dyDescent="0.3">
      <c r="A1108" s="677" t="s">
        <v>231</v>
      </c>
      <c r="B1108" s="679">
        <v>900</v>
      </c>
      <c r="C1108" s="677">
        <v>2500</v>
      </c>
      <c r="D1108" s="677">
        <v>6850</v>
      </c>
      <c r="E1108" s="678">
        <f>SUMIFS('Accounting data'!$G$2:$G$26,'Accounting data'!$H$2:$H$26,"11*",'Accounting data'!$I$2:$I$26,"9*",'Accounting data'!$J$2:$J$26,"25*",'Accounting data'!$K$2:$K$26,"685*")+SUMIFS('Accounting data'!$G$2:$G$26,'Accounting data'!$H$2:$H$26,"12*",'Accounting data'!$I$2:$I$26,"9*",'Accounting data'!$J$2:$J$26,"25*",'Accounting data'!$K$2:$K$26,"685*")+SUMIFS('Accounting data'!$G$2:$G$26,'Accounting data'!$H$2:$H$26,"13*",'Accounting data'!$I$2:$I$26,"9*",'Accounting data'!$J$2:$J$26,"25*",'Accounting data'!$K$2:$K$26,"685*")</f>
        <v>0</v>
      </c>
    </row>
    <row r="1109" spans="1:5" x14ac:dyDescent="0.3">
      <c r="A1109" s="680" t="s">
        <v>291</v>
      </c>
      <c r="B1109" s="680"/>
      <c r="C1109" s="680"/>
      <c r="D1109" s="680"/>
      <c r="E1109" s="682">
        <f>E1105-(E1106+E1107+E1108)</f>
        <v>0</v>
      </c>
    </row>
    <row r="1110" spans="1:5" x14ac:dyDescent="0.3">
      <c r="A1110" s="677" t="s">
        <v>217</v>
      </c>
      <c r="B1110" s="677" t="s">
        <v>217</v>
      </c>
      <c r="C1110" s="677">
        <v>1000</v>
      </c>
      <c r="D1110" s="686">
        <v>6890</v>
      </c>
      <c r="E1110" s="678">
        <f>SUMIFS('Accounting data'!$G$2:$G$26,'Accounting data'!$J$2:$J$26,"1*",'Accounting data'!$K$2:$K$26,"689*")</f>
        <v>0</v>
      </c>
    </row>
    <row r="1111" spans="1:5" x14ac:dyDescent="0.3">
      <c r="A1111" s="677" t="s">
        <v>218</v>
      </c>
      <c r="B1111" s="677" t="s">
        <v>217</v>
      </c>
      <c r="C1111" s="677">
        <v>1000</v>
      </c>
      <c r="D1111" s="686">
        <v>6890</v>
      </c>
      <c r="E1111" s="678">
        <f>SUMIFS('Accounting data'!$G$2:$G$26,'Accounting data'!$H$2:$H$26,"9999*",'Accounting data'!$J$2:$J$26,"1*",'Accounting data'!$K$2:$K$26,"689*")</f>
        <v>0</v>
      </c>
    </row>
    <row r="1112" spans="1:5" x14ac:dyDescent="0.3">
      <c r="A1112" s="677" t="s">
        <v>217</v>
      </c>
      <c r="B1112" s="677" t="s">
        <v>219</v>
      </c>
      <c r="C1112" s="677">
        <v>1000</v>
      </c>
      <c r="D1112" s="686">
        <v>6890</v>
      </c>
      <c r="E1112" s="678">
        <f>SUMIFS('Accounting data'!$G$2:$G$26,'Accounting data'!$I$2:$I$26,"7*",'Accounting data'!$J$2:$J$26,"1*",'Accounting data'!$K$2:$K$26,"689*")+SUMIFS('Accounting data'!$G$2:$G$26,'Accounting data'!$I$2:$I$26,"8*",'Accounting data'!$J$2:$J$26,"1*",'Accounting data'!$K$2:$K$26,"689*")+SUMIFS('Accounting data'!$G$2:$G$26,'Accounting data'!$I$2:$I$26,"9*",'Accounting data'!$J$2:$J$26,"1*",'Accounting data'!$K$2:$K$26,"689*")</f>
        <v>0</v>
      </c>
    </row>
    <row r="1113" spans="1:5" x14ac:dyDescent="0.3">
      <c r="A1113" s="679" t="s">
        <v>218</v>
      </c>
      <c r="B1113" s="677" t="s">
        <v>219</v>
      </c>
      <c r="C1113" s="677">
        <v>1000</v>
      </c>
      <c r="D1113" s="686">
        <v>6890</v>
      </c>
      <c r="E1113" s="678">
        <f>SUMIFS('Accounting data'!$G$2:$G$26,'Accounting data'!$H$2:$H$26,"9999*",'Accounting data'!$I$2:$I$26,"7*",'Accounting data'!$J$2:$J$26,"1*",'Accounting data'!$K$2:$K$26,"689*")+SUMIFS('Accounting data'!$G$2:$G$26,'Accounting data'!$H$2:$H$26,"9999*",'Accounting data'!$I$2:$I$26,"8*",'Accounting data'!$J$2:$J$26,"1*",'Accounting data'!$K$2:$K$26,"689*")+SUMIFS('Accounting data'!$G$2:$G$26,'Accounting data'!$H$2:$H$26,"9999*",'Accounting data'!$I$2:$I$26,"9*",'Accounting data'!$J$2:$J$26,"1*",'Accounting data'!$K$2:$K$26,"689*")</f>
        <v>0</v>
      </c>
    </row>
    <row r="1114" spans="1:5" x14ac:dyDescent="0.3">
      <c r="A1114" s="677"/>
      <c r="B1114" s="677"/>
      <c r="C1114" s="677"/>
      <c r="D1114" s="686"/>
      <c r="E1114" s="678"/>
    </row>
    <row r="1115" spans="1:5" x14ac:dyDescent="0.3">
      <c r="A1115" s="677"/>
      <c r="B1115" s="677"/>
      <c r="C1115" s="677"/>
      <c r="D1115" s="686"/>
      <c r="E1115" s="678"/>
    </row>
    <row r="1116" spans="1:5" x14ac:dyDescent="0.3">
      <c r="A1116" s="680" t="s">
        <v>292</v>
      </c>
      <c r="B1116" s="680"/>
      <c r="C1116" s="680"/>
      <c r="D1116" s="680"/>
      <c r="E1116" s="682">
        <f>(E1110-E1111-E1112)+(E1113+E1114+E1115)</f>
        <v>0</v>
      </c>
    </row>
    <row r="1117" spans="1:5" x14ac:dyDescent="0.3">
      <c r="A1117" s="677" t="s">
        <v>217</v>
      </c>
      <c r="B1117" s="677" t="s">
        <v>217</v>
      </c>
      <c r="C1117" s="677">
        <v>2100</v>
      </c>
      <c r="D1117" s="686">
        <v>6890</v>
      </c>
      <c r="E1117" s="678">
        <f>SUMIFS('Accounting data'!$G$2:$G$26,'Accounting data'!$J$2:$J$26,"21*",'Accounting data'!$K$2:$K$26,"689*")</f>
        <v>0</v>
      </c>
    </row>
    <row r="1118" spans="1:5" x14ac:dyDescent="0.3">
      <c r="A1118" s="677" t="s">
        <v>218</v>
      </c>
      <c r="B1118" s="677" t="s">
        <v>217</v>
      </c>
      <c r="C1118" s="677">
        <v>2100</v>
      </c>
      <c r="D1118" s="686">
        <v>6890</v>
      </c>
      <c r="E1118" s="678">
        <f>SUMIFS('Accounting data'!$G$2:$G$26,'Accounting data'!$H$2:$H$26,"9999*",'Accounting data'!$J$2:$J$26,"21*",'Accounting data'!$K$2:$K$26,"689*")</f>
        <v>0</v>
      </c>
    </row>
    <row r="1119" spans="1:5" x14ac:dyDescent="0.3">
      <c r="A1119" s="677" t="s">
        <v>217</v>
      </c>
      <c r="B1119" s="677" t="s">
        <v>219</v>
      </c>
      <c r="C1119" s="677">
        <v>2100</v>
      </c>
      <c r="D1119" s="686">
        <v>6890</v>
      </c>
      <c r="E1119" s="678">
        <f>SUMIFS('Accounting data'!$G$2:$G$26,'Accounting data'!$H$2:$H$26,"9999*",'Accounting data'!$J$2:$J$26,"21*",'Accounting data'!$K$2:$K$26,"689*")+SUMIFS('Accounting data'!$G$2:$G$26,'Accounting data'!$H$2:$H$26,"8*",'Accounting data'!$J$2:$J$26,"21*",'Accounting data'!$K$2:$K$26,"689*")+SUMIFS('Accounting data'!$G$2:$G$26,'Accounting data'!$H$2:$H$26,"9*",'Accounting data'!$J$2:$J$26,"21*",'Accounting data'!$K$2:$K$26,"689*")</f>
        <v>0</v>
      </c>
    </row>
    <row r="1120" spans="1:5" x14ac:dyDescent="0.3">
      <c r="A1120" s="679" t="s">
        <v>218</v>
      </c>
      <c r="B1120" s="677" t="s">
        <v>219</v>
      </c>
      <c r="C1120" s="677">
        <v>2100</v>
      </c>
      <c r="D1120" s="686">
        <v>6890</v>
      </c>
      <c r="E1120" s="678">
        <f>SUMIFS('Accounting data'!$G$2:$G$26,'Accounting data'!$H$2:$H$26,"9999*",'Accounting data'!$J$2:$J$26,"21*",'Accounting data'!$K$2:$K$26,"689*")+SUMIFS('Accounting data'!$G$2:$G$26,'Accounting data'!$H$2:$H$26,"8*",'Accounting data'!$J$2:$J$26,"21*",'Accounting data'!$K$2:$K$26,"689*")+SUMIFS('Accounting data'!$G$2:$G$26,'Accounting data'!$H$2:$H$26,"9*",'Accounting data'!$J$2:$J$26,"21*",'Accounting data'!$K$2:$K$26,"689*")</f>
        <v>0</v>
      </c>
    </row>
    <row r="1121" spans="1:5" x14ac:dyDescent="0.3">
      <c r="A1121" s="677"/>
      <c r="B1121" s="677"/>
      <c r="C1121" s="677"/>
      <c r="D1121" s="686"/>
      <c r="E1121" s="678"/>
    </row>
    <row r="1122" spans="1:5" x14ac:dyDescent="0.3">
      <c r="A1122" s="677"/>
      <c r="B1122" s="677"/>
      <c r="C1122" s="677"/>
      <c r="D1122" s="686"/>
      <c r="E1122" s="678"/>
    </row>
    <row r="1123" spans="1:5" x14ac:dyDescent="0.3">
      <c r="A1123" s="680" t="s">
        <v>293</v>
      </c>
      <c r="B1123" s="680"/>
      <c r="C1123" s="680"/>
      <c r="D1123" s="680"/>
      <c r="E1123" s="682">
        <f>(E1117-E1118-E1119)+(E1120+E1121+E1122)</f>
        <v>0</v>
      </c>
    </row>
    <row r="1124" spans="1:5" x14ac:dyDescent="0.3">
      <c r="A1124" s="677" t="s">
        <v>217</v>
      </c>
      <c r="B1124" s="677" t="s">
        <v>217</v>
      </c>
      <c r="C1124" s="677">
        <v>2200</v>
      </c>
      <c r="D1124" s="686">
        <v>6890</v>
      </c>
      <c r="E1124" s="678">
        <f>SUMIFS('Accounting data'!$G$2:$G$26,'Accounting data'!$J$2:$J$26,"22*",'Accounting data'!$K$2:$K$26,"689*")</f>
        <v>0</v>
      </c>
    </row>
    <row r="1125" spans="1:5" x14ac:dyDescent="0.3">
      <c r="A1125" s="677" t="s">
        <v>218</v>
      </c>
      <c r="B1125" s="677" t="s">
        <v>217</v>
      </c>
      <c r="C1125" s="677">
        <v>2200</v>
      </c>
      <c r="D1125" s="686">
        <v>6890</v>
      </c>
      <c r="E1125" s="678">
        <f>SUMIFS('Accounting data'!$G$2:$G$26,'Accounting data'!$H$2:$H$26,"9999*",'Accounting data'!$J$2:$J$26,"22*",'Accounting data'!$K$2:$K$26,"689*")</f>
        <v>0</v>
      </c>
    </row>
    <row r="1126" spans="1:5" x14ac:dyDescent="0.3">
      <c r="A1126" s="677" t="s">
        <v>217</v>
      </c>
      <c r="B1126" s="677" t="s">
        <v>219</v>
      </c>
      <c r="C1126" s="677">
        <v>2200</v>
      </c>
      <c r="D1126" s="686">
        <v>6890</v>
      </c>
      <c r="E1126" s="678">
        <f>SUMIFS('Accounting data'!$G$2:$G$26,'Accounting data'!$I$2:$I$26,"7*",'Accounting data'!$J$2:$J$26,"22*",'Accounting data'!$K$2:$K$26,"689*")+SUMIFS('Accounting data'!$G$2:$G$26,'Accounting data'!$I$2:$I$26,"8*",'Accounting data'!$J$2:$J$26,"22*",'Accounting data'!$K$2:$K$26,"689*")+SUMIFS('Accounting data'!$G$2:$G$26,'Accounting data'!$I$2:$I$26,"9*",'Accounting data'!$J$2:$J$26,"22*",'Accounting data'!$K$2:$K$26,"689*")</f>
        <v>0</v>
      </c>
    </row>
    <row r="1127" spans="1:5" x14ac:dyDescent="0.3">
      <c r="A1127" s="679" t="s">
        <v>218</v>
      </c>
      <c r="B1127" s="677" t="s">
        <v>219</v>
      </c>
      <c r="C1127" s="677">
        <v>2200</v>
      </c>
      <c r="D1127" s="686">
        <v>6890</v>
      </c>
      <c r="E1127" s="678">
        <f>SUMIFS('Accounting data'!$G$2:$G$26,'Accounting data'!$H$2:$H$26,"9999*",'Accounting data'!$I$2:$I$26,"7*",'Accounting data'!$J$2:$J$26,"22*",'Accounting data'!$K$2:$K$26,"689*")+SUMIFS('Accounting data'!$G$2:$G$26,'Accounting data'!$H$2:$H$26,"9999*",'Accounting data'!$I$2:$I$26,"8*",'Accounting data'!$J$2:$J$26,"22*",'Accounting data'!$K$2:$K$26,"689*")+SUMIFS('Accounting data'!$G$2:$G$26,'Accounting data'!$H$2:$H$26,"9999*",'Accounting data'!$I$2:$I$26,"9*",'Accounting data'!$J$2:$J$26,"22*",'Accounting data'!$K$2:$K$26,"689*")</f>
        <v>0</v>
      </c>
    </row>
    <row r="1128" spans="1:5" x14ac:dyDescent="0.3">
      <c r="A1128" s="677"/>
      <c r="B1128" s="677"/>
      <c r="C1128" s="677"/>
      <c r="D1128" s="686"/>
      <c r="E1128" s="678"/>
    </row>
    <row r="1129" spans="1:5" x14ac:dyDescent="0.3">
      <c r="A1129" s="677"/>
      <c r="B1129" s="677"/>
      <c r="C1129" s="677"/>
      <c r="D1129" s="686"/>
      <c r="E1129" s="678"/>
    </row>
    <row r="1130" spans="1:5" x14ac:dyDescent="0.3">
      <c r="A1130" s="680" t="s">
        <v>294</v>
      </c>
      <c r="B1130" s="680"/>
      <c r="C1130" s="680"/>
      <c r="D1130" s="680"/>
      <c r="E1130" s="682">
        <f>(E1124-E1125-E1126)+(E1127+E1128+E1129)</f>
        <v>0</v>
      </c>
    </row>
    <row r="1131" spans="1:5" x14ac:dyDescent="0.3">
      <c r="A1131" s="677" t="s">
        <v>217</v>
      </c>
      <c r="B1131" s="677" t="s">
        <v>217</v>
      </c>
      <c r="C1131" s="677">
        <v>2300</v>
      </c>
      <c r="D1131" s="686">
        <v>6890</v>
      </c>
      <c r="E1131" s="678">
        <f>SUMIFS('Accounting data'!$G$2:$G$26,'Accounting data'!$J$2:$J$26,"23*",'Accounting data'!$K$2:$K$26,"689*")</f>
        <v>0</v>
      </c>
    </row>
    <row r="1132" spans="1:5" x14ac:dyDescent="0.3">
      <c r="A1132" s="677" t="s">
        <v>218</v>
      </c>
      <c r="B1132" s="677" t="s">
        <v>217</v>
      </c>
      <c r="C1132" s="677">
        <v>2300</v>
      </c>
      <c r="D1132" s="686">
        <v>6890</v>
      </c>
      <c r="E1132" s="678">
        <f>SUMIFS('Accounting data'!$G$2:$G$26,'Accounting data'!$H$2:$H$26,"9999*",'Accounting data'!$J$2:$J$26,"23*",'Accounting data'!$K$2:$K$26,"689*")</f>
        <v>0</v>
      </c>
    </row>
    <row r="1133" spans="1:5" x14ac:dyDescent="0.3">
      <c r="A1133" s="677" t="s">
        <v>217</v>
      </c>
      <c r="B1133" s="677" t="s">
        <v>219</v>
      </c>
      <c r="C1133" s="677">
        <v>2300</v>
      </c>
      <c r="D1133" s="686">
        <v>6890</v>
      </c>
      <c r="E1133" s="678">
        <f>SUMIFS('Accounting data'!$G$2:$G$26,'Accounting data'!$I$2:$I$26,"7*",'Accounting data'!$J$2:$J$26,"23*",'Accounting data'!$K$2:$K$26,"689*")+SUMIFS('Accounting data'!$G$2:$G$26,'Accounting data'!$I$2:$I$26,"8*",'Accounting data'!$J$2:$J$26,"23*",'Accounting data'!$K$2:$K$26,"689*")+SUMIFS('Accounting data'!$G$2:$G$26,'Accounting data'!$I$2:$I$26,"9*",'Accounting data'!$J$2:$J$26,"23*",'Accounting data'!$K$2:$K$26,"689*")</f>
        <v>0</v>
      </c>
    </row>
    <row r="1134" spans="1:5" x14ac:dyDescent="0.3">
      <c r="A1134" s="679" t="s">
        <v>218</v>
      </c>
      <c r="B1134" s="677" t="s">
        <v>219</v>
      </c>
      <c r="C1134" s="677">
        <v>2300</v>
      </c>
      <c r="D1134" s="686">
        <v>6890</v>
      </c>
      <c r="E1134" s="678">
        <f>SUMIFS('Accounting data'!$G$2:$G$26,'Accounting data'!$H$2:$H$26,"9999*",'Accounting data'!$I$2:$I$26,"7*",'Accounting data'!$J$2:$J$26,"23*",'Accounting data'!$K$2:$K$26,"689*")+SUMIFS('Accounting data'!$G$2:$G$26,'Accounting data'!$H$2:$H$26,"9999*",'Accounting data'!$I$2:$I$26,"8*",'Accounting data'!$J$2:$J$26,"23*",'Accounting data'!$K$2:$K$26,"689*")+SUMIFS('Accounting data'!$G$2:$G$26,'Accounting data'!$H$2:$H$26,"9999*",'Accounting data'!$I$2:$I$26,"9*",'Accounting data'!$J$2:$J$26,"23*",'Accounting data'!$K$2:$K$26,"689*")</f>
        <v>0</v>
      </c>
    </row>
    <row r="1135" spans="1:5" x14ac:dyDescent="0.3">
      <c r="A1135" s="677"/>
      <c r="B1135" s="677"/>
      <c r="C1135" s="677"/>
      <c r="D1135" s="686"/>
      <c r="E1135" s="678"/>
    </row>
    <row r="1136" spans="1:5" x14ac:dyDescent="0.3">
      <c r="A1136" s="677"/>
      <c r="B1136" s="677"/>
      <c r="C1136" s="677"/>
      <c r="D1136" s="686"/>
      <c r="E1136" s="678"/>
    </row>
    <row r="1137" spans="1:5" x14ac:dyDescent="0.3">
      <c r="A1137" s="680" t="s">
        <v>295</v>
      </c>
      <c r="B1137" s="680"/>
      <c r="C1137" s="680"/>
      <c r="D1137" s="680"/>
      <c r="E1137" s="682">
        <f>(E1131-E1132-E1133)+(E1134+E1135+E1136)</f>
        <v>0</v>
      </c>
    </row>
    <row r="1138" spans="1:5" x14ac:dyDescent="0.3">
      <c r="A1138" s="677" t="s">
        <v>217</v>
      </c>
      <c r="B1138" s="677" t="s">
        <v>217</v>
      </c>
      <c r="C1138" s="677">
        <v>2400</v>
      </c>
      <c r="D1138" s="686">
        <v>6890</v>
      </c>
      <c r="E1138" s="678">
        <f>SUMIFS('Accounting data'!$G$2:$G$26,'Accounting data'!$J$2:$J$26,"24*",'Accounting data'!$K$2:$K$26,"689*")</f>
        <v>0</v>
      </c>
    </row>
    <row r="1139" spans="1:5" x14ac:dyDescent="0.3">
      <c r="A1139" s="677" t="s">
        <v>218</v>
      </c>
      <c r="B1139" s="677" t="s">
        <v>217</v>
      </c>
      <c r="C1139" s="677">
        <v>2400</v>
      </c>
      <c r="D1139" s="686">
        <v>6890</v>
      </c>
      <c r="E1139" s="678">
        <f>SUMIFS('Accounting data'!$G$2:$G$26,'Accounting data'!$H$2:$H$26,"9999*",'Accounting data'!$J$2:$J$26,"24*",'Accounting data'!$K$2:$K$26,"689*")</f>
        <v>0</v>
      </c>
    </row>
    <row r="1140" spans="1:5" x14ac:dyDescent="0.3">
      <c r="A1140" s="677" t="s">
        <v>217</v>
      </c>
      <c r="B1140" s="677" t="s">
        <v>219</v>
      </c>
      <c r="C1140" s="677">
        <v>2400</v>
      </c>
      <c r="D1140" s="686">
        <v>6890</v>
      </c>
      <c r="E1140" s="678">
        <f>SUMIFS('Accounting data'!$G$2:$G$26,'Accounting data'!$I$2:$I$26,"7*",'Accounting data'!$J$2:$J$26,"24*",'Accounting data'!$K$2:$K$26,"689*")+SUMIFS('Accounting data'!$G$2:$G$26,'Accounting data'!$I$2:$I$26,"8*",'Accounting data'!$J$2:$J$26,"24*",'Accounting data'!$K$2:$K$26,"689*")+SUMIFS('Accounting data'!$G$2:$G$26,'Accounting data'!$I$2:$I$26,"9*",'Accounting data'!$J$2:$J$26,"24*",'Accounting data'!$K$2:$K$26,"689*")</f>
        <v>0</v>
      </c>
    </row>
    <row r="1141" spans="1:5" x14ac:dyDescent="0.3">
      <c r="A1141" s="679" t="s">
        <v>218</v>
      </c>
      <c r="B1141" s="677" t="s">
        <v>219</v>
      </c>
      <c r="C1141" s="677">
        <v>2400</v>
      </c>
      <c r="D1141" s="686">
        <v>6890</v>
      </c>
      <c r="E1141" s="678">
        <f>SUMIFS('Accounting data'!$G$2:$G$26,'Accounting data'!$H$2:$H$26,"9999*",'Accounting data'!$I$2:$I$26,"7*",'Accounting data'!$J$2:$J$26,"24*",'Accounting data'!$K$2:$K$26,"689*")+SUMIFS('Accounting data'!$G$2:$G$26,'Accounting data'!$H$2:$H$26,"9999*",'Accounting data'!$I$2:$I$26,"8*",'Accounting data'!$J$2:$J$26,"24*",'Accounting data'!$K$2:$K$26,"689*")+SUMIFS('Accounting data'!$G$2:$G$26,'Accounting data'!$H$2:$H$26,"9999*",'Accounting data'!$I$2:$I$26,"9*",'Accounting data'!$J$2:$J$26,"24*",'Accounting data'!$K$2:$K$26,"689*")</f>
        <v>0</v>
      </c>
    </row>
    <row r="1142" spans="1:5" x14ac:dyDescent="0.3">
      <c r="A1142" s="677"/>
      <c r="B1142" s="677"/>
      <c r="C1142" s="677"/>
      <c r="D1142" s="686"/>
      <c r="E1142" s="678"/>
    </row>
    <row r="1143" spans="1:5" x14ac:dyDescent="0.3">
      <c r="A1143" s="677"/>
      <c r="B1143" s="677"/>
      <c r="C1143" s="677"/>
      <c r="D1143" s="686"/>
      <c r="E1143" s="678"/>
    </row>
    <row r="1144" spans="1:5" x14ac:dyDescent="0.3">
      <c r="A1144" s="680" t="s">
        <v>296</v>
      </c>
      <c r="B1144" s="680"/>
      <c r="C1144" s="680"/>
      <c r="D1144" s="680"/>
      <c r="E1144" s="682">
        <f>(E1138-E1139-E1140)+(E1141+E1142+E1143)</f>
        <v>0</v>
      </c>
    </row>
    <row r="1145" spans="1:5" x14ac:dyDescent="0.3">
      <c r="A1145" s="677" t="s">
        <v>217</v>
      </c>
      <c r="B1145" s="677" t="s">
        <v>217</v>
      </c>
      <c r="C1145" s="677">
        <v>2500</v>
      </c>
      <c r="D1145" s="686">
        <v>6890</v>
      </c>
      <c r="E1145" s="678">
        <f>SUMIFS('Accounting data'!$G$2:$G$26,'Accounting data'!$J$2:$J$26,"25*",'Accounting data'!$K$2:$K$26,"689*")</f>
        <v>0</v>
      </c>
    </row>
    <row r="1146" spans="1:5" x14ac:dyDescent="0.3">
      <c r="A1146" s="677" t="s">
        <v>218</v>
      </c>
      <c r="B1146" s="677" t="s">
        <v>217</v>
      </c>
      <c r="C1146" s="677">
        <v>2500</v>
      </c>
      <c r="D1146" s="686">
        <v>6890</v>
      </c>
      <c r="E1146" s="678">
        <f>SUMIFS('Accounting data'!$G$2:$G$26,'Accounting data'!$H$2:$H$26,"9999*",'Accounting data'!$J$2:$J$26,"25*",'Accounting data'!$K$2:$K$26,"689*")</f>
        <v>0</v>
      </c>
    </row>
    <row r="1147" spans="1:5" x14ac:dyDescent="0.3">
      <c r="A1147" s="677" t="s">
        <v>217</v>
      </c>
      <c r="B1147" s="677" t="s">
        <v>219</v>
      </c>
      <c r="C1147" s="677">
        <v>2500</v>
      </c>
      <c r="D1147" s="686">
        <v>6890</v>
      </c>
      <c r="E1147" s="678">
        <f>SUMIFS('Accounting data'!$G$2:$G$26,'Accounting data'!$I$2:$I$26,"7*",'Accounting data'!$J$2:$J$26,"25*",'Accounting data'!$K$2:$K$26,"689*")+SUMIFS('Accounting data'!$G$2:$G$26,'Accounting data'!$I$2:$I$26,"8*",'Accounting data'!$J$2:$J$26,"25*",'Accounting data'!$K$2:$K$26,"689*")+SUMIFS('Accounting data'!$G$2:$G$26,'Accounting data'!$I$2:$I$26,"9*",'Accounting data'!$J$2:$J$26,"25*",'Accounting data'!$K$2:$K$26,"689*")</f>
        <v>0</v>
      </c>
    </row>
    <row r="1148" spans="1:5" x14ac:dyDescent="0.3">
      <c r="A1148" s="679" t="s">
        <v>218</v>
      </c>
      <c r="B1148" s="677" t="s">
        <v>219</v>
      </c>
      <c r="C1148" s="677">
        <v>2500</v>
      </c>
      <c r="D1148" s="686">
        <v>6890</v>
      </c>
      <c r="E1148" s="678">
        <f>SUMIFS('Accounting data'!$G$2:$G$26,'Accounting data'!$H$2:$H$26,"9999*",'Accounting data'!$I$2:$I$26,"7*",'Accounting data'!$J$2:$J$26,"25*",'Accounting data'!$K$2:$K$26,"689*")+SUMIFS('Accounting data'!$G$2:$G$26,'Accounting data'!$H$2:$H$26,"9999*",'Accounting data'!$I$2:$I$26,"8*",'Accounting data'!$J$2:$J$26,"25*",'Accounting data'!$K$2:$K$26,"689*")+SUMIFS('Accounting data'!$G$2:$G$26,'Accounting data'!$H$2:$H$26,"9999*",'Accounting data'!$I$2:$I$26,"9*",'Accounting data'!$J$2:$J$26,"25*",'Accounting data'!$K$2:$K$26,"689*")</f>
        <v>0</v>
      </c>
    </row>
    <row r="1149" spans="1:5" x14ac:dyDescent="0.3">
      <c r="A1149" s="677"/>
      <c r="B1149" s="677"/>
      <c r="C1149" s="677"/>
      <c r="D1149" s="686"/>
      <c r="E1149" s="678"/>
    </row>
    <row r="1150" spans="1:5" x14ac:dyDescent="0.3">
      <c r="A1150" s="677"/>
      <c r="B1150" s="677"/>
      <c r="C1150" s="677"/>
      <c r="D1150" s="686"/>
      <c r="E1150" s="678"/>
    </row>
    <row r="1151" spans="1:5" x14ac:dyDescent="0.3">
      <c r="A1151" s="680" t="s">
        <v>297</v>
      </c>
      <c r="B1151" s="680"/>
      <c r="C1151" s="680"/>
      <c r="D1151" s="680"/>
      <c r="E1151" s="682">
        <f>(E1145-E1146-E1147)+(E1148+E1149+E1150)</f>
        <v>0</v>
      </c>
    </row>
    <row r="1152" spans="1:5" x14ac:dyDescent="0.3">
      <c r="A1152" s="677" t="s">
        <v>217</v>
      </c>
      <c r="B1152" s="677" t="s">
        <v>217</v>
      </c>
      <c r="C1152" s="677">
        <v>2900</v>
      </c>
      <c r="D1152" s="686">
        <v>6890</v>
      </c>
      <c r="E1152" s="678">
        <f>SUMIFS('Accounting data'!$G$2:$G$26,'Accounting data'!$J$2:$J$26,"29*",'Accounting data'!$K$2:$K$26,"689*")</f>
        <v>0</v>
      </c>
    </row>
    <row r="1153" spans="1:5" x14ac:dyDescent="0.3">
      <c r="A1153" s="677" t="s">
        <v>218</v>
      </c>
      <c r="B1153" s="677" t="s">
        <v>217</v>
      </c>
      <c r="C1153" s="677">
        <v>2900</v>
      </c>
      <c r="D1153" s="686">
        <v>6890</v>
      </c>
      <c r="E1153" s="678">
        <f>SUMIFS('Accounting data'!$G$2:$G$26,'Accounting data'!$H$2:$H$26,"9999*",'Accounting data'!$J$2:$J$26,"29*",'Accounting data'!$K$2:$K$26,"689*")</f>
        <v>0</v>
      </c>
    </row>
    <row r="1154" spans="1:5" x14ac:dyDescent="0.3">
      <c r="A1154" s="677" t="s">
        <v>217</v>
      </c>
      <c r="B1154" s="677" t="s">
        <v>219</v>
      </c>
      <c r="C1154" s="677">
        <v>2900</v>
      </c>
      <c r="D1154" s="686">
        <v>6890</v>
      </c>
      <c r="E1154" s="678">
        <f>SUMIFS('Accounting data'!$G$2:$G$26,'Accounting data'!$I$2:$I$26,"7*",'Accounting data'!$J$2:$J$26,"29*",'Accounting data'!$K$2:$K$26,"689*")+SUMIFS('Accounting data'!$G$2:$G$26,'Accounting data'!$I$2:$I$26,"8*",'Accounting data'!$J$2:$J$26,"29*",'Accounting data'!$K$2:$K$26,"689*")+SUMIFS('Accounting data'!$G$2:$G$26,'Accounting data'!$I$2:$I$26,"9*",'Accounting data'!$J$2:$J$26,"29*",'Accounting data'!$K$2:$K$26,"689*")</f>
        <v>0</v>
      </c>
    </row>
    <row r="1155" spans="1:5" x14ac:dyDescent="0.3">
      <c r="A1155" s="679" t="s">
        <v>218</v>
      </c>
      <c r="B1155" s="677" t="s">
        <v>219</v>
      </c>
      <c r="C1155" s="677">
        <v>2900</v>
      </c>
      <c r="D1155" s="686">
        <v>6890</v>
      </c>
      <c r="E1155" s="678">
        <f>SUMIFS('Accounting data'!$G$2:$G$26,'Accounting data'!$H$2:$H$26,"9999*",'Accounting data'!$I$2:$I$26,"7*",'Accounting data'!$J$2:$J$26,"29*",'Accounting data'!$K$2:$K$26,"689*")+SUMIFS('Accounting data'!$G$2:$G$26,'Accounting data'!$H$2:$H$26,"9999*",'Accounting data'!$I$2:$I$26,"8*",'Accounting data'!$J$2:$J$26,"29*",'Accounting data'!$K$2:$K$26,"689*")+SUMIFS('Accounting data'!$G$2:$G$26,'Accounting data'!$H$2:$H$26,"9999*",'Accounting data'!$I$2:$I$26,"9*",'Accounting data'!$J$2:$J$26,"29*",'Accounting data'!$K$2:$K$26,"689*")</f>
        <v>0</v>
      </c>
    </row>
    <row r="1156" spans="1:5" x14ac:dyDescent="0.3">
      <c r="A1156" s="677"/>
      <c r="B1156" s="677"/>
      <c r="C1156" s="677"/>
      <c r="D1156" s="686"/>
      <c r="E1156" s="678"/>
    </row>
    <row r="1157" spans="1:5" x14ac:dyDescent="0.3">
      <c r="A1157" s="677"/>
      <c r="B1157" s="677"/>
      <c r="C1157" s="677"/>
      <c r="D1157" s="686"/>
      <c r="E1157" s="678"/>
    </row>
    <row r="1158" spans="1:5" x14ac:dyDescent="0.3">
      <c r="A1158" s="680" t="s">
        <v>298</v>
      </c>
      <c r="B1158" s="680"/>
      <c r="C1158" s="680"/>
      <c r="D1158" s="680"/>
      <c r="E1158" s="682">
        <f>(E1152-E1153-E1154)+(E1155+E1156+E1157)</f>
        <v>0</v>
      </c>
    </row>
    <row r="1159" spans="1:5" x14ac:dyDescent="0.3">
      <c r="A1159" s="677" t="s">
        <v>217</v>
      </c>
      <c r="B1159" s="677" t="s">
        <v>217</v>
      </c>
      <c r="C1159" s="677">
        <v>2600</v>
      </c>
      <c r="D1159" s="686">
        <v>6890</v>
      </c>
      <c r="E1159" s="678">
        <f>SUMIFS('Accounting data'!$G$2:$G$26,'Accounting data'!$J$2:$J$26,"26*",'Accounting data'!$K$2:$K$26,"689*")</f>
        <v>0</v>
      </c>
    </row>
    <row r="1160" spans="1:5" x14ac:dyDescent="0.3">
      <c r="A1160" s="677" t="s">
        <v>218</v>
      </c>
      <c r="B1160" s="677" t="s">
        <v>217</v>
      </c>
      <c r="C1160" s="677">
        <v>2600</v>
      </c>
      <c r="D1160" s="686">
        <v>6890</v>
      </c>
      <c r="E1160" s="678">
        <f>SUMIFS('Accounting data'!$G$2:$G$26,'Accounting data'!$H$2:$H$26,"9999*",'Accounting data'!$J$2:$J$26,"26*",'Accounting data'!$K$2:$K$26,"689*")</f>
        <v>0</v>
      </c>
    </row>
    <row r="1161" spans="1:5" x14ac:dyDescent="0.3">
      <c r="A1161" s="677" t="s">
        <v>217</v>
      </c>
      <c r="B1161" s="677" t="s">
        <v>219</v>
      </c>
      <c r="C1161" s="677">
        <v>2600</v>
      </c>
      <c r="D1161" s="686">
        <v>6890</v>
      </c>
      <c r="E1161" s="678">
        <f>SUMIFS('Accounting data'!$G$2:$G$26,'Accounting data'!$I$2:$I$26,"7*",'Accounting data'!$J$2:$J$26,"26*",'Accounting data'!$K$2:$K$26,"689*")+SUMIFS('Accounting data'!$G$2:$G$26,'Accounting data'!$I$2:$I$26,"8*",'Accounting data'!$J$2:$J$26,"26*",'Accounting data'!$K$2:$K$26,"689*")+SUMIFS('Accounting data'!$G$2:$G$26,'Accounting data'!$I$2:$I$26,"9*",'Accounting data'!$J$2:$J$26,"26*",'Accounting data'!$K$2:$K$26,"689*")</f>
        <v>0</v>
      </c>
    </row>
    <row r="1162" spans="1:5" x14ac:dyDescent="0.3">
      <c r="A1162" s="679" t="s">
        <v>218</v>
      </c>
      <c r="B1162" s="677" t="s">
        <v>219</v>
      </c>
      <c r="C1162" s="677">
        <v>2600</v>
      </c>
      <c r="D1162" s="686">
        <v>6890</v>
      </c>
      <c r="E1162" s="678">
        <f>SUMIFS('Accounting data'!$G$2:$G$26,'Accounting data'!$H$2:$H$26,"9999*",'Accounting data'!$I$2:$I$26,"7*",'Accounting data'!$J$2:$J$26,"26*",'Accounting data'!$K$2:$K$26,"689*")+SUMIFS('Accounting data'!$G$2:$G$26,'Accounting data'!$H$2:$H$26,"9999*",'Accounting data'!$I$2:$I$26,"8*",'Accounting data'!$J$2:$J$26,"26*",'Accounting data'!$K$2:$K$26,"689*")+SUMIFS('Accounting data'!$G$2:$G$26,'Accounting data'!$H$2:$H$26,"9999*",'Accounting data'!$I$2:$I$26,"9*",'Accounting data'!$J$2:$J$26,"26*",'Accounting data'!$K$2:$K$26,"689*")</f>
        <v>0</v>
      </c>
    </row>
    <row r="1163" spans="1:5" x14ac:dyDescent="0.3">
      <c r="A1163" s="677"/>
      <c r="B1163" s="677"/>
      <c r="C1163" s="677"/>
      <c r="D1163" s="686"/>
      <c r="E1163" s="678"/>
    </row>
    <row r="1164" spans="1:5" x14ac:dyDescent="0.3">
      <c r="A1164" s="677"/>
      <c r="B1164" s="677"/>
      <c r="C1164" s="677"/>
      <c r="D1164" s="686"/>
      <c r="E1164" s="678"/>
    </row>
    <row r="1165" spans="1:5" x14ac:dyDescent="0.3">
      <c r="A1165" s="680" t="s">
        <v>299</v>
      </c>
      <c r="B1165" s="680"/>
      <c r="C1165" s="680"/>
      <c r="D1165" s="680"/>
      <c r="E1165" s="682">
        <f>(E1159-E1160-E1161)+(E1162+E1163+E1164)</f>
        <v>0</v>
      </c>
    </row>
    <row r="1166" spans="1:5" x14ac:dyDescent="0.3">
      <c r="A1166" s="677" t="s">
        <v>217</v>
      </c>
      <c r="B1166" s="677" t="s">
        <v>217</v>
      </c>
      <c r="C1166" s="677">
        <v>2700</v>
      </c>
      <c r="D1166" s="686">
        <v>6890</v>
      </c>
      <c r="E1166" s="678">
        <f>SUMIFS('Accounting data'!$G$2:$G$26,'Accounting data'!$J$2:$J$26,"27*",'Accounting data'!$K$2:$K$26,"689*")</f>
        <v>0</v>
      </c>
    </row>
    <row r="1167" spans="1:5" x14ac:dyDescent="0.3">
      <c r="A1167" s="677" t="s">
        <v>218</v>
      </c>
      <c r="B1167" s="677" t="s">
        <v>217</v>
      </c>
      <c r="C1167" s="677">
        <v>2700</v>
      </c>
      <c r="D1167" s="686">
        <v>6890</v>
      </c>
      <c r="E1167" s="678">
        <f>SUMIFS('Accounting data'!$G$2:$G$26,'Accounting data'!$H$2:$H$26,"9999*",'Accounting data'!$J$2:$J$26,"27*",'Accounting data'!$K$2:$K$26,"689*")</f>
        <v>0</v>
      </c>
    </row>
    <row r="1168" spans="1:5" x14ac:dyDescent="0.3">
      <c r="A1168" s="677" t="s">
        <v>217</v>
      </c>
      <c r="B1168" s="677" t="s">
        <v>219</v>
      </c>
      <c r="C1168" s="677">
        <v>2700</v>
      </c>
      <c r="D1168" s="686">
        <v>6890</v>
      </c>
      <c r="E1168" s="678">
        <f>SUMIFS('Accounting data'!$G$2:$G$26,'Accounting data'!$I$2:$I$26,"7*",'Accounting data'!$J$2:$J$26,"27*",'Accounting data'!$K$2:$K$26,"689*")+SUMIFS('Accounting data'!$G$2:$G$26,'Accounting data'!$I$2:$I$26,"8*",'Accounting data'!$J$2:$J$26,"27*",'Accounting data'!$K$2:$K$26,"689*")+SUMIFS('Accounting data'!$G$2:$G$26,'Accounting data'!$I$2:$I$26,"9*",'Accounting data'!$J$2:$J$26,"27*",'Accounting data'!$K$2:$K$26,"689*")</f>
        <v>0</v>
      </c>
    </row>
    <row r="1169" spans="1:5" x14ac:dyDescent="0.3">
      <c r="A1169" s="679" t="s">
        <v>218</v>
      </c>
      <c r="B1169" s="677" t="s">
        <v>219</v>
      </c>
      <c r="C1169" s="677">
        <v>2700</v>
      </c>
      <c r="D1169" s="686">
        <v>6890</v>
      </c>
      <c r="E1169" s="678">
        <f>SUMIFS('Accounting data'!$G$2:$G$26,'Accounting data'!$H$2:$H$26,"9999*",'Accounting data'!$I$2:$I$26,"7*",'Accounting data'!$J$2:$J$26,"27*",'Accounting data'!$K$2:$K$26,"689*")+SUMIFS('Accounting data'!$G$2:$G$26,'Accounting data'!$H$2:$H$26,"9999*",'Accounting data'!$I$2:$I$26,"8*",'Accounting data'!$J$2:$J$26,"27*",'Accounting data'!$K$2:$K$26,"689*")+SUMIFS('Accounting data'!$G$2:$G$26,'Accounting data'!$H$2:$H$26,"9999*",'Accounting data'!$I$2:$I$26,"9*",'Accounting data'!$J$2:$J$26,"27*",'Accounting data'!$K$2:$K$26,"689*")</f>
        <v>0</v>
      </c>
    </row>
    <row r="1170" spans="1:5" x14ac:dyDescent="0.3">
      <c r="A1170" s="677"/>
      <c r="B1170" s="677"/>
      <c r="C1170" s="677"/>
      <c r="D1170" s="686"/>
      <c r="E1170" s="678"/>
    </row>
    <row r="1171" spans="1:5" x14ac:dyDescent="0.3">
      <c r="A1171" s="677"/>
      <c r="B1171" s="677"/>
      <c r="C1171" s="677"/>
      <c r="D1171" s="686"/>
      <c r="E1171" s="678"/>
    </row>
    <row r="1172" spans="1:5" x14ac:dyDescent="0.3">
      <c r="A1172" s="680" t="s">
        <v>300</v>
      </c>
      <c r="B1172" s="680"/>
      <c r="C1172" s="680"/>
      <c r="D1172" s="680"/>
      <c r="E1172" s="682">
        <f>(E1166-E1167-E1168)+(E1169+E1170+E1171)</f>
        <v>0</v>
      </c>
    </row>
    <row r="1173" spans="1:5" x14ac:dyDescent="0.3">
      <c r="A1173" s="677" t="s">
        <v>217</v>
      </c>
      <c r="B1173" s="677" t="s">
        <v>217</v>
      </c>
      <c r="C1173" s="677">
        <v>3100</v>
      </c>
      <c r="D1173" s="686">
        <v>6890</v>
      </c>
      <c r="E1173" s="678">
        <f>SUMIFS('Accounting data'!$G$2:$G$26,'Accounting data'!$J$2:$J$26,"31*",'Accounting data'!$K$2:$K$26,"689*")</f>
        <v>0</v>
      </c>
    </row>
    <row r="1174" spans="1:5" x14ac:dyDescent="0.3">
      <c r="A1174" s="677" t="s">
        <v>218</v>
      </c>
      <c r="B1174" s="677" t="s">
        <v>217</v>
      </c>
      <c r="C1174" s="677">
        <v>3100</v>
      </c>
      <c r="D1174" s="686">
        <v>6890</v>
      </c>
      <c r="E1174" s="678">
        <f>SUMIFS('Accounting data'!$G$2:$G$26,'Accounting data'!$H$2:$H$26,"9999*",'Accounting data'!$J$2:$J$26,"31*",'Accounting data'!$K$2:$K$26,"689*")</f>
        <v>0</v>
      </c>
    </row>
    <row r="1175" spans="1:5" x14ac:dyDescent="0.3">
      <c r="A1175" s="677" t="s">
        <v>217</v>
      </c>
      <c r="B1175" s="677" t="s">
        <v>219</v>
      </c>
      <c r="C1175" s="677">
        <v>3100</v>
      </c>
      <c r="D1175" s="686">
        <v>6890</v>
      </c>
      <c r="E1175" s="678">
        <f>SUMIFS('Accounting data'!$G$2:$G$26,'Accounting data'!$I$2:$I$26,"7*",'Accounting data'!$J$2:$J$26,"31*",'Accounting data'!$K$2:$K$26,"689*")+SUMIFS('Accounting data'!$G$2:$G$26,'Accounting data'!$I$2:$I$26,"8*",'Accounting data'!$J$2:$J$26,"31*",'Accounting data'!$K$2:$K$26,"689*")+SUMIFS('Accounting data'!$G$2:$G$26,'Accounting data'!$I$2:$I$26,"9*",'Accounting data'!$J$2:$J$26,"31*",'Accounting data'!$K$2:$K$26,"689*")</f>
        <v>0</v>
      </c>
    </row>
    <row r="1176" spans="1:5" x14ac:dyDescent="0.3">
      <c r="A1176" s="679" t="s">
        <v>218</v>
      </c>
      <c r="B1176" s="677" t="s">
        <v>219</v>
      </c>
      <c r="C1176" s="677">
        <v>3100</v>
      </c>
      <c r="D1176" s="686">
        <v>6890</v>
      </c>
      <c r="E1176" s="678">
        <f>SUMIFS('Accounting data'!$G$2:$G$26,'Accounting data'!$H$2:$H$26,"9999*",'Accounting data'!$I$2:$I$26,"7*",'Accounting data'!$J$2:$J$26,"31*",'Accounting data'!$K$2:$K$26,"689*")+SUMIFS('Accounting data'!$G$2:$G$26,'Accounting data'!$H$2:$H$26,"9999*",'Accounting data'!$I$2:$I$26,"8*",'Accounting data'!$J$2:$J$26,"31*",'Accounting data'!$K$2:$K$26,"689*")+SUMIFS('Accounting data'!$G$2:$G$26,'Accounting data'!$H$2:$H$26,"9999*",'Accounting data'!$I$2:$I$26,"9*",'Accounting data'!$J$2:$J$26,"31*",'Accounting data'!$K$2:$K$26,"689*")</f>
        <v>0</v>
      </c>
    </row>
    <row r="1177" spans="1:5" x14ac:dyDescent="0.3">
      <c r="A1177" s="677"/>
      <c r="B1177" s="677"/>
      <c r="C1177" s="677"/>
      <c r="D1177" s="686"/>
      <c r="E1177" s="678"/>
    </row>
    <row r="1178" spans="1:5" x14ac:dyDescent="0.3">
      <c r="A1178" s="677"/>
      <c r="B1178" s="677"/>
      <c r="C1178" s="677"/>
      <c r="D1178" s="686"/>
      <c r="E1178" s="678"/>
    </row>
    <row r="1179" spans="1:5" x14ac:dyDescent="0.3">
      <c r="A1179" s="680" t="s">
        <v>301</v>
      </c>
      <c r="B1179" s="680"/>
      <c r="C1179" s="680"/>
      <c r="D1179" s="680"/>
      <c r="E1179" s="682">
        <f>(E1173-E1174-E1175)+(E1176+E1177+E1178)</f>
        <v>0</v>
      </c>
    </row>
    <row r="1180" spans="1:5" x14ac:dyDescent="0.3">
      <c r="A1180" s="677"/>
      <c r="B1180" s="677"/>
      <c r="C1180" s="677"/>
      <c r="D1180" s="686"/>
      <c r="E1180" s="678"/>
    </row>
    <row r="1181" spans="1:5" x14ac:dyDescent="0.3">
      <c r="A1181" s="677"/>
      <c r="B1181" s="677"/>
      <c r="C1181" s="677"/>
      <c r="D1181" s="686"/>
      <c r="E1181" s="678"/>
    </row>
    <row r="1182" spans="1:5" x14ac:dyDescent="0.3">
      <c r="A1182" s="677"/>
      <c r="B1182" s="677"/>
      <c r="C1182" s="677"/>
      <c r="D1182" s="686"/>
      <c r="E1182" s="678"/>
    </row>
    <row r="1183" spans="1:5" x14ac:dyDescent="0.3">
      <c r="A1183" s="679"/>
      <c r="B1183" s="677"/>
      <c r="C1183" s="677"/>
      <c r="D1183" s="686"/>
      <c r="E1183" s="678"/>
    </row>
    <row r="1184" spans="1:5" x14ac:dyDescent="0.3">
      <c r="A1184" s="677"/>
      <c r="B1184" s="677"/>
      <c r="C1184" s="677"/>
      <c r="D1184" s="686"/>
      <c r="E1184" s="678"/>
    </row>
    <row r="1185" spans="1:5" x14ac:dyDescent="0.3">
      <c r="A1185" s="677"/>
      <c r="B1185" s="677"/>
      <c r="C1185" s="677"/>
      <c r="D1185" s="686"/>
      <c r="E1185" s="678"/>
    </row>
    <row r="1186" spans="1:5" x14ac:dyDescent="0.3">
      <c r="A1186" s="680" t="s">
        <v>302</v>
      </c>
      <c r="B1186" s="680"/>
      <c r="C1186" s="680"/>
      <c r="D1186" s="680"/>
      <c r="E1186" s="682">
        <f>(E1180-E1181-E1182)+(E1183+E1184+E1185)</f>
        <v>0</v>
      </c>
    </row>
    <row r="1187" spans="1:5" x14ac:dyDescent="0.3">
      <c r="A1187" s="677" t="s">
        <v>217</v>
      </c>
      <c r="B1187" s="677" t="s">
        <v>217</v>
      </c>
      <c r="C1187" s="677">
        <v>3400</v>
      </c>
      <c r="D1187" s="686">
        <v>6890</v>
      </c>
      <c r="E1187" s="678">
        <f>SUMIFS('Accounting data'!$G$2:$G$26,'Accounting data'!$J$2:$J$26,"34*",'Accounting data'!$K$2:$K$26,"689*")</f>
        <v>0</v>
      </c>
    </row>
    <row r="1188" spans="1:5" x14ac:dyDescent="0.3">
      <c r="A1188" s="677" t="s">
        <v>218</v>
      </c>
      <c r="B1188" s="677" t="s">
        <v>217</v>
      </c>
      <c r="C1188" s="677">
        <v>3400</v>
      </c>
      <c r="D1188" s="686">
        <v>6890</v>
      </c>
      <c r="E1188" s="678">
        <f>SUMIFS('Accounting data'!$G$2:$G$26,'Accounting data'!$H$2:$H$26,"9999*",'Accounting data'!$J$2:$J$26,"34*",'Accounting data'!$K$2:$K$26,"689*")</f>
        <v>0</v>
      </c>
    </row>
    <row r="1189" spans="1:5" x14ac:dyDescent="0.3">
      <c r="A1189" s="677" t="s">
        <v>217</v>
      </c>
      <c r="B1189" s="677" t="s">
        <v>219</v>
      </c>
      <c r="C1189" s="677">
        <v>3400</v>
      </c>
      <c r="D1189" s="686">
        <v>6890</v>
      </c>
      <c r="E1189" s="678">
        <f>SUMIFS('Accounting data'!$G$2:$G$26,'Accounting data'!$I$2:$I$26,"7*",'Accounting data'!$J$2:$J$26,"34*",'Accounting data'!$K$2:$K$26,"689*")+SUMIFS('Accounting data'!$G$2:$G$26,'Accounting data'!$I$2:$I$26,"8*",'Accounting data'!$J$2:$J$26,"34*",'Accounting data'!$K$2:$K$26,"689*")+SUMIFS('Accounting data'!$G$2:$G$26,'Accounting data'!$I$2:$I$26,"9*",'Accounting data'!$J$2:$J$26,"34*",'Accounting data'!$K$2:$K$26,"689*")</f>
        <v>0</v>
      </c>
    </row>
    <row r="1190" spans="1:5" x14ac:dyDescent="0.3">
      <c r="A1190" s="679" t="s">
        <v>218</v>
      </c>
      <c r="B1190" s="677" t="s">
        <v>219</v>
      </c>
      <c r="C1190" s="677">
        <v>3400</v>
      </c>
      <c r="D1190" s="686">
        <v>6890</v>
      </c>
      <c r="E1190" s="678">
        <f>SUMIFS('Accounting data'!$G$2:$G$26,'Accounting data'!$H$2:$H$26,"9999*",'Accounting data'!$I$2:$I$26,"7*",'Accounting data'!$J$2:$J$26,"34*",'Accounting data'!$K$2:$K$26,"689*")+SUMIFS('Accounting data'!$G$2:$G$26,'Accounting data'!$H$2:$H$26,"9999*",'Accounting data'!$I$2:$I$26,"8*",'Accounting data'!$J$2:$J$26,"34*",'Accounting data'!$K$2:$K$26,"689*")+SUMIFS('Accounting data'!$G$2:$G$26,'Accounting data'!$H$2:$H$26,"9999*",'Accounting data'!$I$2:$I$26,"9*",'Accounting data'!$J$2:$J$26,"34*",'Accounting data'!$K$2:$K$26,"689*")</f>
        <v>0</v>
      </c>
    </row>
    <row r="1191" spans="1:5" x14ac:dyDescent="0.3">
      <c r="A1191" s="677"/>
      <c r="B1191" s="677"/>
      <c r="C1191" s="677"/>
      <c r="D1191" s="686"/>
      <c r="E1191" s="678"/>
    </row>
    <row r="1192" spans="1:5" x14ac:dyDescent="0.3">
      <c r="A1192" s="677"/>
      <c r="B1192" s="677"/>
      <c r="C1192" s="677"/>
      <c r="D1192" s="686"/>
      <c r="E1192" s="678"/>
    </row>
    <row r="1193" spans="1:5" x14ac:dyDescent="0.3">
      <c r="A1193" s="680" t="s">
        <v>303</v>
      </c>
      <c r="B1193" s="680"/>
      <c r="C1193" s="680"/>
      <c r="D1193" s="680"/>
      <c r="E1193" s="682">
        <f>(E1187-E1188-E1189)+(E1190+E1191+E1192)</f>
        <v>0</v>
      </c>
    </row>
    <row r="1194" spans="1:5" x14ac:dyDescent="0.3">
      <c r="A1194" s="677" t="s">
        <v>217</v>
      </c>
      <c r="B1194" s="677" t="s">
        <v>217</v>
      </c>
      <c r="C1194" s="677">
        <v>4000</v>
      </c>
      <c r="D1194" s="686">
        <v>6890</v>
      </c>
      <c r="E1194" s="678">
        <f>SUMIFS('Accounting data'!$G$2:$G$26,'Accounting data'!$J$2:$J$26,"4*",'Accounting data'!$K$2:$K$26,"689*")</f>
        <v>0</v>
      </c>
    </row>
    <row r="1195" spans="1:5" x14ac:dyDescent="0.3">
      <c r="A1195" s="677" t="s">
        <v>218</v>
      </c>
      <c r="B1195" s="677" t="s">
        <v>217</v>
      </c>
      <c r="C1195" s="677">
        <v>4000</v>
      </c>
      <c r="D1195" s="686">
        <v>6890</v>
      </c>
      <c r="E1195" s="678">
        <f>SUMIFS('Accounting data'!$G$2:$G$26,'Accounting data'!$H$2:$H$26,"9999*",'Accounting data'!$J$2:$J$26,"4*",'Accounting data'!$K$2:$K$26,"689*")</f>
        <v>0</v>
      </c>
    </row>
    <row r="1196" spans="1:5" x14ac:dyDescent="0.3">
      <c r="A1196" s="677" t="s">
        <v>217</v>
      </c>
      <c r="B1196" s="677" t="s">
        <v>219</v>
      </c>
      <c r="C1196" s="677">
        <v>4000</v>
      </c>
      <c r="D1196" s="686">
        <v>6890</v>
      </c>
      <c r="E1196" s="678">
        <f>SUMIFS('Accounting data'!$G$2:$G$26,'Accounting data'!$I$2:$I$26,"7*",'Accounting data'!$J$2:$J$26,"4*",'Accounting data'!$K$2:$K$26,"689*")+SUMIFS('Accounting data'!$G$2:$G$26,'Accounting data'!$I$2:$I$26,"8*",'Accounting data'!$J$2:$J$26,"4*",'Accounting data'!$K$2:$K$26,"689*")+SUMIFS('Accounting data'!$G$2:$G$26,'Accounting data'!$I$2:$I$26,"9*",'Accounting data'!$J$2:$J$26,"4*",'Accounting data'!$K$2:$K$26,"689*")</f>
        <v>0</v>
      </c>
    </row>
    <row r="1197" spans="1:5" x14ac:dyDescent="0.3">
      <c r="A1197" s="679" t="s">
        <v>218</v>
      </c>
      <c r="B1197" s="677" t="s">
        <v>219</v>
      </c>
      <c r="C1197" s="677">
        <v>4000</v>
      </c>
      <c r="D1197" s="686">
        <v>6890</v>
      </c>
      <c r="E1197" s="678">
        <f>SUMIFS('Accounting data'!$G$2:$G$26,'Accounting data'!$H$2:$H$26,"9999*",'Accounting data'!$I$2:$I$26,"7*",'Accounting data'!$J$2:$J$26,"4*",'Accounting data'!$K$2:$K$26,"689*")+SUMIFS('Accounting data'!$G$2:$G$26,'Accounting data'!$H$2:$H$26,"9999*",'Accounting data'!$I$2:$I$26,"8*",'Accounting data'!$J$2:$J$26,"4*",'Accounting data'!$K$2:$K$26,"689*")+SUMIFS('Accounting data'!$G$2:$G$26,'Accounting data'!$H$2:$H$26,"9999*",'Accounting data'!$I$2:$I$26,"9*",'Accounting data'!$J$2:$J$26,"4*",'Accounting data'!$K$2:$K$26,"689*")</f>
        <v>0</v>
      </c>
    </row>
    <row r="1198" spans="1:5" x14ac:dyDescent="0.3">
      <c r="A1198" s="677"/>
      <c r="B1198" s="677"/>
      <c r="C1198" s="677"/>
      <c r="D1198" s="686"/>
      <c r="E1198" s="678"/>
    </row>
    <row r="1199" spans="1:5" x14ac:dyDescent="0.3">
      <c r="A1199" s="677"/>
      <c r="B1199" s="677"/>
      <c r="C1199" s="677"/>
      <c r="D1199" s="686"/>
      <c r="E1199" s="678"/>
    </row>
    <row r="1200" spans="1:5" x14ac:dyDescent="0.3">
      <c r="A1200" s="680" t="s">
        <v>304</v>
      </c>
      <c r="B1200" s="680"/>
      <c r="C1200" s="680"/>
      <c r="D1200" s="680"/>
      <c r="E1200" s="682">
        <f>(E1194-E1195-E1196)+(E1197+E1198+E1199)</f>
        <v>0</v>
      </c>
    </row>
    <row r="1201" spans="1:5" x14ac:dyDescent="0.3">
      <c r="A1201" s="683" t="s">
        <v>305</v>
      </c>
      <c r="B1201" s="683"/>
      <c r="C1201" s="683"/>
      <c r="D1201" s="683"/>
      <c r="E1201" s="687">
        <f>E1116+E1123+E1130+E1137+E1144+E1151+E1158+E1165+E1172+E1179+E1186+E1193</f>
        <v>0</v>
      </c>
    </row>
    <row r="1202" spans="1:5" x14ac:dyDescent="0.3">
      <c r="A1202" s="677" t="s">
        <v>231</v>
      </c>
      <c r="B1202" s="677" t="s">
        <v>217</v>
      </c>
      <c r="C1202" s="677">
        <v>1000</v>
      </c>
      <c r="D1202" s="677">
        <v>6890</v>
      </c>
      <c r="E1202" s="678">
        <f>SUMIFS('Accounting data'!$G$2:$G$26,'Accounting data'!$H$2:$H$26,"11*",'Accounting data'!$J$2:$J$26,"1*",'Accounting data'!$K$2:$K$26,"689*")+SUMIFS('Accounting data'!$G$2:$G$26,'Accounting data'!$H$2:$H$26,"12*",'Accounting data'!$J$2:$J$26,"1*",'Accounting data'!$K$2:$K$26,"689*")+SUMIFS('Accounting data'!$G$2:$G$26,'Accounting data'!$H$2:$H$26,"13*",'Accounting data'!$J$2:$J$26,"1*",'Accounting data'!$K$2:$K$26,"689*")</f>
        <v>0</v>
      </c>
    </row>
    <row r="1203" spans="1:5" x14ac:dyDescent="0.3">
      <c r="A1203" s="677" t="s">
        <v>231</v>
      </c>
      <c r="B1203" s="677" t="s">
        <v>217</v>
      </c>
      <c r="C1203" s="677">
        <v>2000</v>
      </c>
      <c r="D1203" s="677">
        <v>6890</v>
      </c>
      <c r="E1203" s="678">
        <f>SUMIFS('Accounting data'!$G$2:$G$26,'Accounting data'!$H$2:$H$26,"11*",'Accounting data'!$J$2:$J$26,"2*",'Accounting data'!$K$2:$K$26,"689*")+SUMIFS('Accounting data'!$G$2:$G$26,'Accounting data'!$H$2:$H$26,"12*",'Accounting data'!$J$2:$J$26,"2*",'Accounting data'!$K$2:$K$26,"689*")+SUMIFS('Accounting data'!$G$2:$G$26,'Accounting data'!$H$2:$H$26,"13*",'Accounting data'!$J$2:$J$26,"2*",'Accounting data'!$K$2:$K$26,"689*")</f>
        <v>0</v>
      </c>
    </row>
    <row r="1204" spans="1:5" x14ac:dyDescent="0.3">
      <c r="A1204" s="677" t="s">
        <v>231</v>
      </c>
      <c r="B1204" s="677" t="s">
        <v>217</v>
      </c>
      <c r="C1204" s="677">
        <v>3000</v>
      </c>
      <c r="D1204" s="677">
        <v>6890</v>
      </c>
      <c r="E1204" s="678">
        <f>SUMIFS('Accounting data'!$G$2:$G$26,'Accounting data'!$H$2:$H$26,"11*",'Accounting data'!$J$2:$J$26,"3*",'Accounting data'!$K$2:$K$26,"689*")+SUMIFS('Accounting data'!$G$2:$G$26,'Accounting data'!$H$2:$H$26,"12*",'Accounting data'!$J$2:$J$26,"3*",'Accounting data'!$K$2:$K$26,"689*")+SUMIFS('Accounting data'!$G$2:$G$26,'Accounting data'!$H$2:$H$26,"13*",'Accounting data'!$J$2:$J$26,"3*",'Accounting data'!$K$2:$K$26,"689*")</f>
        <v>0</v>
      </c>
    </row>
    <row r="1205" spans="1:5" x14ac:dyDescent="0.3">
      <c r="A1205" s="677" t="s">
        <v>231</v>
      </c>
      <c r="B1205" s="679">
        <v>700</v>
      </c>
      <c r="C1205" s="677">
        <v>1000</v>
      </c>
      <c r="D1205" s="677">
        <v>6890</v>
      </c>
      <c r="E1205" s="678">
        <f>SUMIFS('Accounting data'!$G$2:$G$26,'Accounting data'!$H$2:$H$26,"11*",'Accounting data'!$I$2:$I$26,"7*",'Accounting data'!$J$2:$J$26,"1*",'Accounting data'!$K$2:$K$26,"689*")+SUMIFS('Accounting data'!$G$2:$G$26,'Accounting data'!$H$2:$H$26,"12*",'Accounting data'!$I$2:$I$26,"7*",'Accounting data'!$J$2:$J$26,"1*",'Accounting data'!$K$2:$K$26,"689*")+SUMIFS('Accounting data'!$G$2:$G$26,'Accounting data'!$H$2:$H$26,"13*",'Accounting data'!$I$2:$I$26,"7*",'Accounting data'!$J$2:$J$26,"1*",'Accounting data'!$K$2:$K$26,"689*")</f>
        <v>0</v>
      </c>
    </row>
    <row r="1206" spans="1:5" x14ac:dyDescent="0.3">
      <c r="A1206" s="677" t="s">
        <v>231</v>
      </c>
      <c r="B1206" s="679">
        <v>800</v>
      </c>
      <c r="C1206" s="677">
        <v>1000</v>
      </c>
      <c r="D1206" s="677">
        <v>6890</v>
      </c>
      <c r="E1206" s="678">
        <f>SUMIFS('Accounting data'!$G$2:$G$26,'Accounting data'!$H$2:$H$26,"11*",'Accounting data'!$I$2:$I$26,"8*",'Accounting data'!$J$2:$J$26,"1*",'Accounting data'!$K$2:$K$26,"689*")+SUMIFS('Accounting data'!$G$2:$G$26,'Accounting data'!$H$2:$H$26,"12*",'Accounting data'!$I$2:$I$26,"8*",'Accounting data'!$J$2:$J$26,"1*",'Accounting data'!$K$2:$K$26,"689*")+SUMIFS('Accounting data'!$G$2:$G$26,'Accounting data'!$H$2:$H$26,"13*",'Accounting data'!$I$2:$I$26,"8*",'Accounting data'!$J$2:$J$26,"1*",'Accounting data'!$K$2:$K$26,"689*")</f>
        <v>0</v>
      </c>
    </row>
    <row r="1207" spans="1:5" x14ac:dyDescent="0.3">
      <c r="A1207" s="677" t="s">
        <v>231</v>
      </c>
      <c r="B1207" s="679">
        <v>900</v>
      </c>
      <c r="C1207" s="677">
        <v>1000</v>
      </c>
      <c r="D1207" s="677">
        <v>6890</v>
      </c>
      <c r="E1207" s="678">
        <f>SUMIFS('Accounting data'!$G$2:$G$26,'Accounting data'!$H$2:$H$26,"11*",'Accounting data'!$I$2:$I$26,"9*",'Accounting data'!$J$2:$J$26,"1*",'Accounting data'!$K$2:$K$26,"689*")+SUMIFS('Accounting data'!$G$2:$G$26,'Accounting data'!$H$2:$H$26,"12*",'Accounting data'!$I$2:$I$26,"9*",'Accounting data'!$J$2:$J$26,"1*",'Accounting data'!$K$2:$K$26,"689*")+SUMIFS('Accounting data'!$G$2:$G$26,'Accounting data'!$H$2:$H$26,"13*",'Accounting data'!$I$2:$I$26,"9*",'Accounting data'!$J$2:$J$26,"1*",'Accounting data'!$K$2:$K$26,"689*")</f>
        <v>0</v>
      </c>
    </row>
    <row r="1208" spans="1:5" x14ac:dyDescent="0.3">
      <c r="A1208" s="677" t="s">
        <v>231</v>
      </c>
      <c r="B1208" s="679">
        <v>700</v>
      </c>
      <c r="C1208" s="677">
        <v>2000</v>
      </c>
      <c r="D1208" s="677">
        <v>6890</v>
      </c>
      <c r="E1208" s="678">
        <f>SUMIFS('Accounting data'!$G$2:$G$26,'Accounting data'!$H$2:$H$26,"11*",'Accounting data'!$I$2:$I$26,"7*",'Accounting data'!$J$2:$J$26,"2*",'Accounting data'!$K$2:$K$26,"689*")+SUMIFS('Accounting data'!$G$2:$G$26,'Accounting data'!$H$2:$H$26,"12*",'Accounting data'!$I$2:$I$26,"7*",'Accounting data'!$J$2:$J$26,"2*",'Accounting data'!$K$2:$K$26,"689*")+SUMIFS('Accounting data'!$G$2:$G$26,'Accounting data'!$H$2:$H$26,"13*",'Accounting data'!$I$2:$I$26,"7*",'Accounting data'!$J$2:$J$26,"2*",'Accounting data'!$K$2:$K$26,"689*")</f>
        <v>0</v>
      </c>
    </row>
    <row r="1209" spans="1:5" x14ac:dyDescent="0.3">
      <c r="A1209" s="677" t="s">
        <v>231</v>
      </c>
      <c r="B1209" s="679">
        <v>800</v>
      </c>
      <c r="C1209" s="677">
        <v>2000</v>
      </c>
      <c r="D1209" s="677">
        <v>6890</v>
      </c>
      <c r="E1209" s="678">
        <f>SUMIFS('Accounting data'!$G$2:$G$26,'Accounting data'!$H$2:$H$26,"11*",'Accounting data'!$I$2:$I$26,"8*",'Accounting data'!$J$2:$J$26,"2*",'Accounting data'!$K$2:$K$26,"689*")+SUMIFS('Accounting data'!$G$2:$G$26,'Accounting data'!$H$2:$H$26,"12*",'Accounting data'!$I$2:$I$26,"8*",'Accounting data'!$J$2:$J$26,"2*",'Accounting data'!$K$2:$K$26,"689*")+SUMIFS('Accounting data'!$G$2:$G$26,'Accounting data'!$H$2:$H$26,"13*",'Accounting data'!$I$2:$I$26,"8*",'Accounting data'!$J$2:$J$26,"2*",'Accounting data'!$K$2:$K$26,"689*")</f>
        <v>0</v>
      </c>
    </row>
    <row r="1210" spans="1:5" x14ac:dyDescent="0.3">
      <c r="A1210" s="677" t="s">
        <v>231</v>
      </c>
      <c r="B1210" s="679">
        <v>900</v>
      </c>
      <c r="C1210" s="677">
        <v>2000</v>
      </c>
      <c r="D1210" s="677">
        <v>6890</v>
      </c>
      <c r="E1210" s="678">
        <f>SUMIFS('Accounting data'!$G$2:$G$26,'Accounting data'!$H$2:$H$26,"11*",'Accounting data'!$I$2:$I$26,"9*",'Accounting data'!$J$2:$J$26,"2*",'Accounting data'!$K$2:$K$26,"689*")+SUMIFS('Accounting data'!$G$2:$G$26,'Accounting data'!$H$2:$H$26,"12*",'Accounting data'!$I$2:$I$26,"9*",'Accounting data'!$J$2:$J$26,"2*",'Accounting data'!$K$2:$K$26,"689*")+SUMIFS('Accounting data'!$G$2:$G$26,'Accounting data'!$H$2:$H$26,"13*",'Accounting data'!$I$2:$I$26,"9*",'Accounting data'!$J$2:$J$26,"2*",'Accounting data'!$K$2:$K$26,"689*")</f>
        <v>0</v>
      </c>
    </row>
    <row r="1211" spans="1:5" x14ac:dyDescent="0.3">
      <c r="A1211" s="677" t="s">
        <v>231</v>
      </c>
      <c r="B1211" s="679">
        <v>700</v>
      </c>
      <c r="C1211" s="677">
        <v>3000</v>
      </c>
      <c r="D1211" s="677">
        <v>6890</v>
      </c>
      <c r="E1211" s="678">
        <f>SUMIFS('Accounting data'!$G$2:$G$26,'Accounting data'!$H$2:$H$26,"11*",'Accounting data'!$I$2:$I$26,"7*",'Accounting data'!$J$2:$J$26,"3*",'Accounting data'!$K$2:$K$26,"689*")+SUMIFS('Accounting data'!$G$2:$G$26,'Accounting data'!$H$2:$H$26,"12*",'Accounting data'!$I$2:$I$26,"7*",'Accounting data'!$J$2:$J$26,"3*",'Accounting data'!$K$2:$K$26,"689*")+SUMIFS('Accounting data'!$G$2:$G$26,'Accounting data'!$H$2:$H$26,"13*",'Accounting data'!$I$2:$I$26,"7*",'Accounting data'!$J$2:$J$26,"3*",'Accounting data'!$K$2:$K$26,"689*")</f>
        <v>0</v>
      </c>
    </row>
    <row r="1212" spans="1:5" x14ac:dyDescent="0.3">
      <c r="A1212" s="677" t="s">
        <v>231</v>
      </c>
      <c r="B1212" s="679">
        <v>800</v>
      </c>
      <c r="C1212" s="677">
        <v>3000</v>
      </c>
      <c r="D1212" s="677">
        <v>6890</v>
      </c>
      <c r="E1212" s="678">
        <f>SUMIFS('Accounting data'!$G$2:$G$26,'Accounting data'!$H$2:$H$26,"11*",'Accounting data'!$I$2:$I$26,"8*",'Accounting data'!$J$2:$J$26,"3*",'Accounting data'!$K$2:$K$26,"689*")+SUMIFS('Accounting data'!$G$2:$G$26,'Accounting data'!$H$2:$H$26,"12*",'Accounting data'!$I$2:$I$26,"8*",'Accounting data'!$J$2:$J$26,"3*",'Accounting data'!$K$2:$K$26,"689*")+SUMIFS('Accounting data'!$G$2:$G$26,'Accounting data'!$H$2:$H$26,"13*",'Accounting data'!$I$2:$I$26,"8*",'Accounting data'!$J$2:$J$26,"3*",'Accounting data'!$K$2:$K$26,"689*")</f>
        <v>0</v>
      </c>
    </row>
    <row r="1213" spans="1:5" x14ac:dyDescent="0.3">
      <c r="A1213" s="677" t="s">
        <v>231</v>
      </c>
      <c r="B1213" s="679">
        <v>900</v>
      </c>
      <c r="C1213" s="677">
        <v>3000</v>
      </c>
      <c r="D1213" s="677">
        <v>6890</v>
      </c>
      <c r="E1213" s="678">
        <f>SUMIFS('Accounting data'!$G$2:$G$26,'Accounting data'!$H$2:$H$26,"11*",'Accounting data'!$I$2:$I$26,"9*",'Accounting data'!$J$2:$J$26,"3*",'Accounting data'!$K$2:$K$26,"689*")+SUMIFS('Accounting data'!$G$2:$G$26,'Accounting data'!$H$2:$H$26,"12*",'Accounting data'!$I$2:$I$26,"9*",'Accounting data'!$J$2:$J$26,"3*",'Accounting data'!$K$2:$K$26,"689*")+SUMIFS('Accounting data'!$G$2:$G$26,'Accounting data'!$H$2:$H$26,"13*",'Accounting data'!$I$2:$I$26,"9*",'Accounting data'!$J$2:$J$26,"3*",'Accounting data'!$K$2:$K$26,"689*")</f>
        <v>0</v>
      </c>
    </row>
    <row r="1214" spans="1:5" x14ac:dyDescent="0.3">
      <c r="A1214" s="680" t="s">
        <v>306</v>
      </c>
      <c r="B1214" s="680"/>
      <c r="C1214" s="680"/>
      <c r="D1214" s="680"/>
      <c r="E1214" s="682">
        <f>(E1202+E1203+E1204)-(E1205+E1206+E1207+E1208+E1209+E1210+E1211+E1212+E1213)</f>
        <v>0</v>
      </c>
    </row>
    <row r="1215" spans="1:5" x14ac:dyDescent="0.3">
      <c r="A1215" s="677" t="s">
        <v>217</v>
      </c>
      <c r="B1215" s="677" t="s">
        <v>219</v>
      </c>
      <c r="C1215" s="677">
        <v>1000</v>
      </c>
      <c r="D1215" s="677">
        <v>6000</v>
      </c>
      <c r="E1215" s="678">
        <f>SUMIFS('Accounting data'!$G$2:$G$26,'Accounting data'!$I$2:$I$26,"7*",'Accounting data'!$J$2:$J$26,"1*",'Accounting data'!$K$2:$K$26,"6*")+SUMIFS('Accounting data'!$G$2:$G$26,'Accounting data'!$I$2:$I$26,"8*",'Accounting data'!$J$2:$J$26,"1*",'Accounting data'!$K$2:$K$26,"6*")+SUMIFS('Accounting data'!$G$2:$G$26,'Accounting data'!$I$2:$I$26,"9*",'Accounting data'!$J$2:$J$26,"1*",'Accounting data'!$K$2:$K$26,"6*")</f>
        <v>0</v>
      </c>
    </row>
    <row r="1216" spans="1:5" x14ac:dyDescent="0.3">
      <c r="A1216" s="677" t="s">
        <v>217</v>
      </c>
      <c r="B1216" s="677" t="s">
        <v>219</v>
      </c>
      <c r="C1216" s="677">
        <v>1000</v>
      </c>
      <c r="D1216" s="677">
        <v>6900</v>
      </c>
      <c r="E1216" s="678">
        <f>SUMIFS('Accounting data'!$G$2:$G$26,'Accounting data'!$I$2:$I$26,"7*",'Accounting data'!$J$2:$J$26,"1*",'Accounting data'!$K$2:$K$26,"69*")+SUMIFS('Accounting data'!$G$2:$G$26,'Accounting data'!$I$2:$I$26,"8*",'Accounting data'!$J$2:$J$26,"1*",'Accounting data'!$K$2:$K$26,"69*")+SUMIFS('Accounting data'!$G$2:$G$26,'Accounting data'!$I$2:$I$26,"9*",'Accounting data'!$J$2:$J$26,"1*",'Accounting data'!$K$2:$K$26,"69*")</f>
        <v>0</v>
      </c>
    </row>
    <row r="1217" spans="1:5" x14ac:dyDescent="0.3">
      <c r="A1217" s="677" t="s">
        <v>217</v>
      </c>
      <c r="B1217" s="677" t="s">
        <v>219</v>
      </c>
      <c r="C1217" s="677">
        <v>1000</v>
      </c>
      <c r="D1217" s="686">
        <v>6700</v>
      </c>
      <c r="E1217" s="678">
        <f>SUMIFS('Accounting data'!$G$2:$G$26,'Accounting data'!$I$2:$I$26,"7*",'Accounting data'!$J$2:$J$26,"1*",'Accounting data'!$K$2:$K$26,"67*")+SUMIFS('Accounting data'!$G$2:$G$26,'Accounting data'!$I$2:$I$26,"8*",'Accounting data'!$J$2:$J$26,"1*",'Accounting data'!$K$2:$K$26,"67*")+SUMIFS('Accounting data'!$G$2:$G$26,'Accounting data'!$I$2:$I$26,"9*",'Accounting data'!$J$2:$J$26,"1*",'Accounting data'!$K$2:$K$26,"67*")</f>
        <v>0</v>
      </c>
    </row>
    <row r="1218" spans="1:5" x14ac:dyDescent="0.3">
      <c r="A1218" s="679" t="s">
        <v>218</v>
      </c>
      <c r="B1218" s="677" t="s">
        <v>219</v>
      </c>
      <c r="C1218" s="677">
        <v>1000</v>
      </c>
      <c r="D1218" s="677">
        <v>6000</v>
      </c>
      <c r="E1218" s="678">
        <f>SUMIFS('Accounting data'!$G$2:$G$26,'Accounting data'!$H$2:$H$26,"9999*",'Accounting data'!$I$2:$I$26,"7*",'Accounting data'!$J$2:$J$26,"1*",'Accounting data'!$K$2:$K$26,"6*")+SUMIFS('Accounting data'!$G$2:$G$26,'Accounting data'!$H$2:$H$26,"9999*",'Accounting data'!$I$2:$I$26,"8*",'Accounting data'!$J$2:$J$26,"1*",'Accounting data'!$K$2:$K$26,"6*")+SUMIFS('Accounting data'!$G$2:$G$26,'Accounting data'!$H$2:$H$26,"9999*",'Accounting data'!$I$2:$I$26,"9*",'Accounting data'!$J$2:$J$26,"1*",'Accounting data'!$K$2:$K$26,"6*")</f>
        <v>0</v>
      </c>
    </row>
    <row r="1219" spans="1:5" x14ac:dyDescent="0.3">
      <c r="A1219" s="677"/>
      <c r="B1219" s="677"/>
      <c r="C1219" s="677"/>
      <c r="D1219" s="677"/>
      <c r="E1219" s="678"/>
    </row>
    <row r="1220" spans="1:5" x14ac:dyDescent="0.3">
      <c r="A1220" s="679" t="s">
        <v>218</v>
      </c>
      <c r="B1220" s="677" t="s">
        <v>219</v>
      </c>
      <c r="C1220" s="677">
        <v>1000</v>
      </c>
      <c r="D1220" s="677">
        <v>6900</v>
      </c>
      <c r="E1220" s="678">
        <f>SUMIFS('Accounting data'!$G$2:$G$26,'Accounting data'!$H$2:$H$26,"9999*",'Accounting data'!$I$2:$I$26,"7*",'Accounting data'!$J$2:$J$26,"1*",'Accounting data'!$K$2:$K$26,"69*")+SUMIFS('Accounting data'!$G$2:$G$26,'Accounting data'!$H$2:$H$26,"9999*",'Accounting data'!$I$2:$I$26,"8*",'Accounting data'!$J$2:$J$26,"1*",'Accounting data'!$K$2:$K$26,"69*")+SUMIFS('Accounting data'!$G$2:$G$26,'Accounting data'!$H$2:$H$26,"9999*",'Accounting data'!$I$2:$I$26,"9*",'Accounting data'!$J$2:$J$26,"1*",'Accounting data'!$K$2:$K$26,"69*")</f>
        <v>0</v>
      </c>
    </row>
    <row r="1221" spans="1:5" x14ac:dyDescent="0.3">
      <c r="A1221" s="677"/>
      <c r="B1221" s="677"/>
      <c r="C1221" s="677"/>
      <c r="D1221" s="677"/>
      <c r="E1221" s="678"/>
    </row>
    <row r="1222" spans="1:5" x14ac:dyDescent="0.3">
      <c r="A1222" s="679" t="s">
        <v>218</v>
      </c>
      <c r="B1222" s="677" t="s">
        <v>219</v>
      </c>
      <c r="C1222" s="677">
        <v>1000</v>
      </c>
      <c r="D1222" s="686">
        <v>6700</v>
      </c>
      <c r="E1222" s="678">
        <f>SUMIFS('Accounting data'!$G$2:$G$26,'Accounting data'!$H$2:$H$26,"9999*",'Accounting data'!$I$2:$I$26,"7*",'Accounting data'!$J$2:$J$26,"1*",'Accounting data'!$K$2:$K$26,"67*")+SUMIFS('Accounting data'!$G$2:$G$26,'Accounting data'!$H$2:$H$26,"9999*",'Accounting data'!$I$2:$I$26,"8*",'Accounting data'!$J$2:$J$26,"1*",'Accounting data'!$K$2:$K$26,"67*")+SUMIFS('Accounting data'!$G$2:$G$26,'Accounting data'!$H$2:$H$26,"9999*",'Accounting data'!$I$2:$I$26,"9*",'Accounting data'!$J$2:$J$26,"1*",'Accounting data'!$K$2:$K$26,"67*")</f>
        <v>0</v>
      </c>
    </row>
    <row r="1223" spans="1:5" x14ac:dyDescent="0.3">
      <c r="A1223" s="679"/>
      <c r="B1223" s="677"/>
      <c r="C1223" s="677"/>
      <c r="D1223" s="686"/>
      <c r="E1223" s="678"/>
    </row>
    <row r="1224" spans="1:5" x14ac:dyDescent="0.3">
      <c r="A1224" s="679"/>
      <c r="B1224" s="677"/>
      <c r="C1224" s="677"/>
      <c r="D1224" s="686"/>
      <c r="E1224" s="678"/>
    </row>
    <row r="1225" spans="1:5" x14ac:dyDescent="0.3">
      <c r="A1225" s="680" t="s">
        <v>360</v>
      </c>
      <c r="B1225" s="680"/>
      <c r="C1225" s="680"/>
      <c r="D1225" s="680"/>
      <c r="E1225" s="682">
        <f>(E1215-E1216-E1217)-((E1218+E1219)-(E1220+E1221))-(E1222+E1223+E1224)</f>
        <v>0</v>
      </c>
    </row>
    <row r="1226" spans="1:5" x14ac:dyDescent="0.3">
      <c r="A1226" s="677" t="s">
        <v>217</v>
      </c>
      <c r="B1226" s="677" t="s">
        <v>219</v>
      </c>
      <c r="C1226" s="677">
        <v>2100</v>
      </c>
      <c r="D1226" s="677">
        <v>6000</v>
      </c>
      <c r="E1226" s="678">
        <f>SUMIFS('Accounting data'!$G$2:$G$26,'Accounting data'!$I$2:$I$26,"7*",'Accounting data'!$J$2:$J$26,"21*",'Accounting data'!$K$2:$K$26,"6*")+SUMIFS('Accounting data'!$G$2:$G$26,'Accounting data'!$I$2:$I$26,"8*",'Accounting data'!$J$2:$J$26,"21*",'Accounting data'!$K$2:$K$26,"6*")+SUMIFS('Accounting data'!$G$2:$G$26,'Accounting data'!$I$2:$I$26,"9*",'Accounting data'!$J$2:$J$26,"21*",'Accounting data'!$K$2:$K$26,"6*")</f>
        <v>0</v>
      </c>
    </row>
    <row r="1227" spans="1:5" x14ac:dyDescent="0.3">
      <c r="A1227" s="677" t="s">
        <v>217</v>
      </c>
      <c r="B1227" s="677" t="s">
        <v>219</v>
      </c>
      <c r="C1227" s="677">
        <v>2100</v>
      </c>
      <c r="D1227" s="677">
        <v>6900</v>
      </c>
      <c r="E1227" s="678">
        <f>SUMIFS('Accounting data'!$G$2:$G$26,'Accounting data'!$I$2:$I$26,"7*",'Accounting data'!$J$2:$J$26,"21*",'Accounting data'!$K$2:$K$26,"69*")+SUMIFS('Accounting data'!$G$2:$G$26,'Accounting data'!$I$2:$I$26,"8*",'Accounting data'!$J$2:$J$26,"21*",'Accounting data'!$K$2:$K$26,"69*")+SUMIFS('Accounting data'!$G$2:$G$26,'Accounting data'!$I$2:$I$26,"9*",'Accounting data'!$J$2:$J$26,"21*",'Accounting data'!$K$2:$K$26,"69*")</f>
        <v>0</v>
      </c>
    </row>
    <row r="1228" spans="1:5" x14ac:dyDescent="0.3">
      <c r="A1228" s="677" t="s">
        <v>217</v>
      </c>
      <c r="B1228" s="677" t="s">
        <v>219</v>
      </c>
      <c r="C1228" s="677">
        <v>2100</v>
      </c>
      <c r="D1228" s="686">
        <v>6700</v>
      </c>
      <c r="E1228" s="678">
        <f>SUMIFS('Accounting data'!$G$2:$G$26,'Accounting data'!$I$2:$I$26,"7*",'Accounting data'!$J$2:$J$26,"21*",'Accounting data'!$K$2:$K$26,"67*")+SUMIFS('Accounting data'!$G$2:$G$26,'Accounting data'!$I$2:$I$26,"8*",'Accounting data'!$J$2:$J$26,"21*",'Accounting data'!$K$2:$K$26,"67*")+SUMIFS('Accounting data'!$G$2:$G$26,'Accounting data'!$I$2:$I$26,"9*",'Accounting data'!$J$2:$J$26,"21*",'Accounting data'!$K$2:$K$26,"67*")</f>
        <v>0</v>
      </c>
    </row>
    <row r="1229" spans="1:5" x14ac:dyDescent="0.3">
      <c r="A1229" s="679" t="s">
        <v>218</v>
      </c>
      <c r="B1229" s="677" t="s">
        <v>219</v>
      </c>
      <c r="C1229" s="677">
        <v>2100</v>
      </c>
      <c r="D1229" s="677">
        <v>6000</v>
      </c>
      <c r="E1229" s="678">
        <f>SUMIFS('Accounting data'!$G$2:$G$26,'Accounting data'!$H$2:$H$26,"9999*",'Accounting data'!$I$2:$I$26,"7*",'Accounting data'!$J$2:$J$26,"21*",'Accounting data'!$K$2:$K$26,"6*")+SUMIFS('Accounting data'!$G$2:$G$26,'Accounting data'!$H$2:$H$26,"9999*",'Accounting data'!$I$2:$I$26,"8*",'Accounting data'!$J$2:$J$26,"21*",'Accounting data'!$K$2:$K$26,"6*")+SUMIFS('Accounting data'!$G$2:$G$26,'Accounting data'!$H$2:$H$26,"9999*",'Accounting data'!$I$2:$I$26,"9*",'Accounting data'!$J$2:$J$26,"21*",'Accounting data'!$K$2:$K$26,"6*")</f>
        <v>0</v>
      </c>
    </row>
    <row r="1230" spans="1:5" x14ac:dyDescent="0.3">
      <c r="A1230" s="677"/>
      <c r="B1230" s="677"/>
      <c r="C1230" s="677"/>
      <c r="D1230" s="677"/>
      <c r="E1230" s="678"/>
    </row>
    <row r="1231" spans="1:5" x14ac:dyDescent="0.3">
      <c r="A1231" s="679" t="s">
        <v>218</v>
      </c>
      <c r="B1231" s="677" t="s">
        <v>219</v>
      </c>
      <c r="C1231" s="677">
        <v>2100</v>
      </c>
      <c r="D1231" s="677">
        <v>6900</v>
      </c>
      <c r="E1231" s="678">
        <f>SUMIFS('Accounting data'!$G$2:$G$26,'Accounting data'!$H$2:$H$26,"9999*",'Accounting data'!$I$2:$I$26,"7*",'Accounting data'!$J$2:$J$26,"21*",'Accounting data'!$K$2:$K$26,"69*")+SUMIFS('Accounting data'!$G$2:$G$26,'Accounting data'!$H$2:$H$26,"9999*",'Accounting data'!$I$2:$I$26,"8*",'Accounting data'!$J$2:$J$26,"21*",'Accounting data'!$K$2:$K$26,"69*")+SUMIFS('Accounting data'!$G$2:$G$26,'Accounting data'!$H$2:$H$26,"9999*",'Accounting data'!$I$2:$I$26,"9*",'Accounting data'!$J$2:$J$26,"21*",'Accounting data'!$K$2:$K$26,"69*")</f>
        <v>0</v>
      </c>
    </row>
    <row r="1232" spans="1:5" x14ac:dyDescent="0.3">
      <c r="A1232" s="677"/>
      <c r="B1232" s="677"/>
      <c r="C1232" s="677"/>
      <c r="D1232" s="677"/>
      <c r="E1232" s="678"/>
    </row>
    <row r="1233" spans="1:5" x14ac:dyDescent="0.3">
      <c r="A1233" s="679" t="s">
        <v>218</v>
      </c>
      <c r="B1233" s="677" t="s">
        <v>219</v>
      </c>
      <c r="C1233" s="677">
        <v>2100</v>
      </c>
      <c r="D1233" s="686">
        <v>6700</v>
      </c>
      <c r="E1233" s="678">
        <f>SUMIFS('Accounting data'!$G$2:$G$26,'Accounting data'!$H$2:$H$26,"9999*",'Accounting data'!$I$2:$I$26,"7*",'Accounting data'!$J$2:$J$26,"21*",'Accounting data'!$K$2:$K$26,"67*")+SUMIFS('Accounting data'!$G$2:$G$26,'Accounting data'!$H$2:$H$26,"9999*",'Accounting data'!$I$2:$I$26,"8*",'Accounting data'!$J$2:$J$26,"21*",'Accounting data'!$K$2:$K$26,"67*")+SUMIFS('Accounting data'!$G$2:$G$26,'Accounting data'!$H$2:$H$26,"9999*",'Accounting data'!$I$2:$I$26,"9*",'Accounting data'!$J$2:$J$26,"21*",'Accounting data'!$K$2:$K$26,"67*")</f>
        <v>0</v>
      </c>
    </row>
    <row r="1234" spans="1:5" x14ac:dyDescent="0.3">
      <c r="A1234" s="679"/>
      <c r="B1234" s="677"/>
      <c r="C1234" s="677"/>
      <c r="D1234" s="686"/>
      <c r="E1234" s="678"/>
    </row>
    <row r="1235" spans="1:5" x14ac:dyDescent="0.3">
      <c r="A1235" s="679"/>
      <c r="B1235" s="677"/>
      <c r="C1235" s="677"/>
      <c r="D1235" s="686"/>
      <c r="E1235" s="678"/>
    </row>
    <row r="1236" spans="1:5" x14ac:dyDescent="0.3">
      <c r="A1236" s="680" t="s">
        <v>361</v>
      </c>
      <c r="B1236" s="680"/>
      <c r="C1236" s="680"/>
      <c r="D1236" s="680"/>
      <c r="E1236" s="682">
        <f>(E1226-E1227-E1228)-((E1229+E1230)-(E1231+E1232))-(E1233+E1234+E1235)</f>
        <v>0</v>
      </c>
    </row>
    <row r="1237" spans="1:5" x14ac:dyDescent="0.3">
      <c r="A1237" s="677" t="s">
        <v>217</v>
      </c>
      <c r="B1237" s="677" t="s">
        <v>219</v>
      </c>
      <c r="C1237" s="677">
        <v>2200</v>
      </c>
      <c r="D1237" s="677">
        <v>6000</v>
      </c>
      <c r="E1237" s="678">
        <f>SUMIFS('Accounting data'!$G$2:$G$26,'Accounting data'!$I$2:$I$26,"7*",'Accounting data'!$J$2:$J$26,"22*",'Accounting data'!$K$2:$K$26,"6*")+SUMIFS('Accounting data'!$G$2:$G$26,'Accounting data'!$I$2:$I$26,"8*",'Accounting data'!$J$2:$J$26,"22*",'Accounting data'!$K$2:$K$26,"6*")+SUMIFS('Accounting data'!$G$2:$G$26,'Accounting data'!$I$2:$I$26,"9*",'Accounting data'!$J$2:$J$26,"22*",'Accounting data'!$K$2:$K$26,"6*")</f>
        <v>0</v>
      </c>
    </row>
    <row r="1238" spans="1:5" x14ac:dyDescent="0.3">
      <c r="A1238" s="677" t="s">
        <v>217</v>
      </c>
      <c r="B1238" s="677" t="s">
        <v>219</v>
      </c>
      <c r="C1238" s="677">
        <v>2200</v>
      </c>
      <c r="D1238" s="677">
        <v>6900</v>
      </c>
      <c r="E1238" s="678">
        <f>SUMIFS('Accounting data'!$G$2:$G$26,'Accounting data'!$I$2:$I$26,"7*",'Accounting data'!$J$2:$J$26,"22*",'Accounting data'!$K$2:$K$26,"69*")+SUMIFS('Accounting data'!$G$2:$G$26,'Accounting data'!$I$2:$I$26,"8*",'Accounting data'!$J$2:$J$26,"22*",'Accounting data'!$K$2:$K$26,"69*")+SUMIFS('Accounting data'!$G$2:$G$26,'Accounting data'!$I$2:$I$26,"9*",'Accounting data'!$J$2:$J$26,"22*",'Accounting data'!$K$2:$K$26,"69*")</f>
        <v>0</v>
      </c>
    </row>
    <row r="1239" spans="1:5" x14ac:dyDescent="0.3">
      <c r="A1239" s="677" t="s">
        <v>217</v>
      </c>
      <c r="B1239" s="677" t="s">
        <v>219</v>
      </c>
      <c r="C1239" s="677">
        <v>2200</v>
      </c>
      <c r="D1239" s="686">
        <v>6700</v>
      </c>
      <c r="E1239" s="678">
        <f>SUMIFS('Accounting data'!$G$2:$G$26,'Accounting data'!$I$2:$I$26,"7*",'Accounting data'!$J$2:$J$26,"22*",'Accounting data'!$K$2:$K$26,"67*")+SUMIFS('Accounting data'!$G$2:$G$26,'Accounting data'!$I$2:$I$26,"8*",'Accounting data'!$J$2:$J$26,"22*",'Accounting data'!$K$2:$K$26,"67*")+SUMIFS('Accounting data'!$G$2:$G$26,'Accounting data'!$I$2:$I$26,"9*",'Accounting data'!$J$2:$J$26,"22*",'Accounting data'!$K$2:$K$26,"67*")</f>
        <v>0</v>
      </c>
    </row>
    <row r="1240" spans="1:5" x14ac:dyDescent="0.3">
      <c r="A1240" s="679" t="s">
        <v>218</v>
      </c>
      <c r="B1240" s="677" t="s">
        <v>219</v>
      </c>
      <c r="C1240" s="677">
        <v>2200</v>
      </c>
      <c r="D1240" s="677">
        <v>6000</v>
      </c>
      <c r="E1240" s="678">
        <f>SUMIFS('Accounting data'!$G$2:$G$26,'Accounting data'!$H$2:$H$26,"9999*",'Accounting data'!$I$2:$I$26,"7*",'Accounting data'!$J$2:$J$26,"22*",'Accounting data'!$K$2:$K$26,"6*")+SUMIFS('Accounting data'!$G$2:$G$26,'Accounting data'!$H$2:$H$26,"9999*",'Accounting data'!$I$2:$I$26,"8*",'Accounting data'!$J$2:$J$26,"22*",'Accounting data'!$K$2:$K$26,"6*")+SUMIFS('Accounting data'!$G$2:$G$26,'Accounting data'!$H$2:$H$26,"9999*",'Accounting data'!$I$2:$I$26,"9*",'Accounting data'!$J$2:$J$26,"22*",'Accounting data'!$K$2:$K$26,"6*")</f>
        <v>0</v>
      </c>
    </row>
    <row r="1241" spans="1:5" x14ac:dyDescent="0.3">
      <c r="A1241" s="677"/>
      <c r="B1241" s="677"/>
      <c r="C1241" s="677"/>
      <c r="D1241" s="677"/>
      <c r="E1241" s="678"/>
    </row>
    <row r="1242" spans="1:5" x14ac:dyDescent="0.3">
      <c r="A1242" s="679" t="s">
        <v>218</v>
      </c>
      <c r="B1242" s="677" t="s">
        <v>219</v>
      </c>
      <c r="C1242" s="677">
        <v>2200</v>
      </c>
      <c r="D1242" s="677">
        <v>6900</v>
      </c>
      <c r="E1242" s="678">
        <f>SUMIFS('Accounting data'!$G$2:$G$26,'Accounting data'!$H$2:$H$26,"9999*",'Accounting data'!$I$2:$I$26,"7*",'Accounting data'!$J$2:$J$26,"22*",'Accounting data'!$K$2:$K$26,"69*")+SUMIFS('Accounting data'!$G$2:$G$26,'Accounting data'!$H$2:$H$26,"9999*",'Accounting data'!$I$2:$I$26,"8*",'Accounting data'!$J$2:$J$26,"22*",'Accounting data'!$K$2:$K$26,"69*")+SUMIFS('Accounting data'!$G$2:$G$26,'Accounting data'!$H$2:$H$26,"9999*",'Accounting data'!$I$2:$I$26,"9*",'Accounting data'!$J$2:$J$26,"22*",'Accounting data'!$K$2:$K$26,"69*")</f>
        <v>0</v>
      </c>
    </row>
    <row r="1243" spans="1:5" x14ac:dyDescent="0.3">
      <c r="A1243" s="677"/>
      <c r="B1243" s="677"/>
      <c r="C1243" s="677"/>
      <c r="D1243" s="677"/>
      <c r="E1243" s="678"/>
    </row>
    <row r="1244" spans="1:5" x14ac:dyDescent="0.3">
      <c r="A1244" s="679" t="s">
        <v>218</v>
      </c>
      <c r="B1244" s="677" t="s">
        <v>219</v>
      </c>
      <c r="C1244" s="677">
        <v>2200</v>
      </c>
      <c r="D1244" s="686">
        <v>6700</v>
      </c>
      <c r="E1244" s="678">
        <f>SUMIFS('Accounting data'!$G$2:$G$26,'Accounting data'!$H$2:$H$26,"9999*",'Accounting data'!$I$2:$I$26,"7*",'Accounting data'!$J$2:$J$26,"22*",'Accounting data'!$K$2:$K$26,"67*")+SUMIFS('Accounting data'!$G$2:$G$26,'Accounting data'!$H$2:$H$26,"9999*",'Accounting data'!$I$2:$I$26,"8*",'Accounting data'!$J$2:$J$26,"22*",'Accounting data'!$K$2:$K$26,"67*")+SUMIFS('Accounting data'!$G$2:$G$26,'Accounting data'!$H$2:$H$26,"9999*",'Accounting data'!$I$2:$I$26,"9*",'Accounting data'!$J$2:$J$26,"22*",'Accounting data'!$K$2:$K$26,"67*")</f>
        <v>0</v>
      </c>
    </row>
    <row r="1245" spans="1:5" x14ac:dyDescent="0.3">
      <c r="A1245" s="679"/>
      <c r="B1245" s="677"/>
      <c r="C1245" s="677"/>
      <c r="D1245" s="686"/>
      <c r="E1245" s="678"/>
    </row>
    <row r="1246" spans="1:5" x14ac:dyDescent="0.3">
      <c r="A1246" s="679"/>
      <c r="B1246" s="677"/>
      <c r="C1246" s="677"/>
      <c r="D1246" s="686"/>
      <c r="E1246" s="678"/>
    </row>
    <row r="1247" spans="1:5" x14ac:dyDescent="0.3">
      <c r="A1247" s="680" t="s">
        <v>362</v>
      </c>
      <c r="B1247" s="680"/>
      <c r="C1247" s="680"/>
      <c r="D1247" s="680"/>
      <c r="E1247" s="682">
        <f>(E1237-E1238-E1239)-((E1240+E1241)-(E1242+E1243))-(E1244+E1245+E1246)</f>
        <v>0</v>
      </c>
    </row>
    <row r="1248" spans="1:5" x14ac:dyDescent="0.3">
      <c r="A1248" s="677" t="s">
        <v>217</v>
      </c>
      <c r="B1248" s="677" t="s">
        <v>219</v>
      </c>
      <c r="C1248" s="677">
        <v>2300</v>
      </c>
      <c r="D1248" s="677">
        <v>6000</v>
      </c>
      <c r="E1248" s="678">
        <f>SUMIFS('Accounting data'!$G$2:$G$26,'Accounting data'!$I$2:$I$26,"7*",'Accounting data'!$J$2:$J$26,"23*",'Accounting data'!$K$2:$K$26,"6*")+SUMIFS('Accounting data'!$G$2:$G$26,'Accounting data'!$I$2:$I$26,"8*",'Accounting data'!$J$2:$J$26,"23*",'Accounting data'!$K$2:$K$26,"6*")+SUMIFS('Accounting data'!$G$2:$G$26,'Accounting data'!$I$2:$I$26,"9*",'Accounting data'!$J$2:$J$26,"23*",'Accounting data'!$K$2:$K$26,"6*")</f>
        <v>0</v>
      </c>
    </row>
    <row r="1249" spans="1:5" x14ac:dyDescent="0.3">
      <c r="A1249" s="677" t="s">
        <v>217</v>
      </c>
      <c r="B1249" s="677" t="s">
        <v>219</v>
      </c>
      <c r="C1249" s="677">
        <v>2300</v>
      </c>
      <c r="D1249" s="677">
        <v>6900</v>
      </c>
      <c r="E1249" s="678">
        <f>SUMIFS('Accounting data'!$G$2:$G$26,'Accounting data'!$I$2:$I$26,"7*",'Accounting data'!$J$2:$J$26,"23*",'Accounting data'!$K$2:$K$26,"69*")+SUMIFS('Accounting data'!$G$2:$G$26,'Accounting data'!$I$2:$I$26,"8*",'Accounting data'!$J$2:$J$26,"23*",'Accounting data'!$K$2:$K$26,"69*")+SUMIFS('Accounting data'!$G$2:$G$26,'Accounting data'!$I$2:$I$26,"9*",'Accounting data'!$J$2:$J$26,"23*",'Accounting data'!$K$2:$K$26,"69*")</f>
        <v>0</v>
      </c>
    </row>
    <row r="1250" spans="1:5" x14ac:dyDescent="0.3">
      <c r="A1250" s="677" t="s">
        <v>217</v>
      </c>
      <c r="B1250" s="677" t="s">
        <v>219</v>
      </c>
      <c r="C1250" s="677">
        <v>2300</v>
      </c>
      <c r="D1250" s="686">
        <v>6700</v>
      </c>
      <c r="E1250" s="678">
        <f>SUMIFS('Accounting data'!$G$2:$G$26,'Accounting data'!$I$2:$I$26,"7*",'Accounting data'!$J$2:$J$26,"23*",'Accounting data'!$K$2:$K$26,"67*")+SUMIFS('Accounting data'!$G$2:$G$26,'Accounting data'!$I$2:$I$26,"8*",'Accounting data'!$J$2:$J$26,"23*",'Accounting data'!$K$2:$K$26,"67*")+SUMIFS('Accounting data'!$G$2:$G$26,'Accounting data'!$I$2:$I$26,"9*",'Accounting data'!$J$2:$J$26,"23*",'Accounting data'!$K$2:$K$26,"67*")</f>
        <v>0</v>
      </c>
    </row>
    <row r="1251" spans="1:5" x14ac:dyDescent="0.3">
      <c r="A1251" s="679" t="s">
        <v>218</v>
      </c>
      <c r="B1251" s="677" t="s">
        <v>219</v>
      </c>
      <c r="C1251" s="677">
        <v>2300</v>
      </c>
      <c r="D1251" s="677">
        <v>6000</v>
      </c>
      <c r="E1251" s="678">
        <f>SUMIFS('Accounting data'!$G$2:$G$26,'Accounting data'!$H$2:$H$26,"9999*",'Accounting data'!$I$2:$I$26,"7*",'Accounting data'!$J$2:$J$26,"23*",'Accounting data'!$K$2:$K$26,"6*")+SUMIFS('Accounting data'!$G$2:$G$26,'Accounting data'!$H$2:$H$26,"9999*",'Accounting data'!$I$2:$I$26,"8*",'Accounting data'!$J$2:$J$26,"23*",'Accounting data'!$K$2:$K$26,"6*")+SUMIFS('Accounting data'!$G$2:$G$26,'Accounting data'!$H$2:$H$26,"9999*",'Accounting data'!$I$2:$I$26,"9*",'Accounting data'!$J$2:$J$26,"23*",'Accounting data'!$K$2:$K$26,"6*")</f>
        <v>0</v>
      </c>
    </row>
    <row r="1252" spans="1:5" x14ac:dyDescent="0.3">
      <c r="A1252" s="677"/>
      <c r="B1252" s="677"/>
      <c r="C1252" s="677"/>
      <c r="D1252" s="677"/>
      <c r="E1252" s="678"/>
    </row>
    <row r="1253" spans="1:5" x14ac:dyDescent="0.3">
      <c r="A1253" s="679" t="s">
        <v>218</v>
      </c>
      <c r="B1253" s="677" t="s">
        <v>219</v>
      </c>
      <c r="C1253" s="677">
        <v>2300</v>
      </c>
      <c r="D1253" s="677">
        <v>6900</v>
      </c>
      <c r="E1253" s="678">
        <f>SUMIFS('Accounting data'!$G$2:$G$26,'Accounting data'!$H$2:$H$26,"9999*",'Accounting data'!$I$2:$I$26,"7*",'Accounting data'!$J$2:$J$26,"23*",'Accounting data'!$K$2:$K$26,"69*")+SUMIFS('Accounting data'!$G$2:$G$26,'Accounting data'!$H$2:$H$26,"9999*",'Accounting data'!$I$2:$I$26,"8*",'Accounting data'!$J$2:$J$26,"23*",'Accounting data'!$K$2:$K$26,"69*")+SUMIFS('Accounting data'!$G$2:$G$26,'Accounting data'!$H$2:$H$26,"9999*",'Accounting data'!$I$2:$I$26,"9*",'Accounting data'!$J$2:$J$26,"23*",'Accounting data'!$K$2:$K$26,"69*")</f>
        <v>0</v>
      </c>
    </row>
    <row r="1254" spans="1:5" x14ac:dyDescent="0.3">
      <c r="A1254" s="677"/>
      <c r="B1254" s="677"/>
      <c r="C1254" s="677"/>
      <c r="D1254" s="677"/>
      <c r="E1254" s="678"/>
    </row>
    <row r="1255" spans="1:5" x14ac:dyDescent="0.3">
      <c r="A1255" s="679" t="s">
        <v>218</v>
      </c>
      <c r="B1255" s="677" t="s">
        <v>219</v>
      </c>
      <c r="C1255" s="677">
        <v>2300</v>
      </c>
      <c r="D1255" s="686">
        <v>6700</v>
      </c>
      <c r="E1255" s="678">
        <f>SUMIFS('Accounting data'!$G$2:$G$26,'Accounting data'!$H$2:$H$26,"9999*",'Accounting data'!$I$2:$I$26,"7*",'Accounting data'!$J$2:$J$26,"23*",'Accounting data'!$K$2:$K$26,"67*")+SUMIFS('Accounting data'!$G$2:$G$26,'Accounting data'!$H$2:$H$26,"9999*",'Accounting data'!$I$2:$I$26,"8*",'Accounting data'!$J$2:$J$26,"23*",'Accounting data'!$K$2:$K$26,"67*")+SUMIFS('Accounting data'!$G$2:$G$26,'Accounting data'!$H$2:$H$26,"9999*",'Accounting data'!$I$2:$I$26,"9*",'Accounting data'!$J$2:$J$26,"23*",'Accounting data'!$K$2:$K$26,"67*")</f>
        <v>0</v>
      </c>
    </row>
    <row r="1256" spans="1:5" x14ac:dyDescent="0.3">
      <c r="A1256" s="679"/>
      <c r="B1256" s="677"/>
      <c r="C1256" s="677"/>
      <c r="D1256" s="686"/>
      <c r="E1256" s="678"/>
    </row>
    <row r="1257" spans="1:5" x14ac:dyDescent="0.3">
      <c r="A1257" s="679"/>
      <c r="B1257" s="677"/>
      <c r="C1257" s="677"/>
      <c r="D1257" s="686"/>
      <c r="E1257" s="678"/>
    </row>
    <row r="1258" spans="1:5" x14ac:dyDescent="0.3">
      <c r="A1258" s="680" t="s">
        <v>363</v>
      </c>
      <c r="B1258" s="680"/>
      <c r="C1258" s="680"/>
      <c r="D1258" s="680"/>
      <c r="E1258" s="682">
        <f>(E1248-E1249-E1250)-((E1251+E1252)-(E1253+E1254))-(E1255+E1256+E1257)</f>
        <v>0</v>
      </c>
    </row>
    <row r="1259" spans="1:5" x14ac:dyDescent="0.3">
      <c r="A1259" s="677" t="s">
        <v>217</v>
      </c>
      <c r="B1259" s="677" t="s">
        <v>219</v>
      </c>
      <c r="C1259" s="677">
        <v>2400</v>
      </c>
      <c r="D1259" s="677">
        <v>6000</v>
      </c>
      <c r="E1259" s="678">
        <f>SUMIFS('Accounting data'!$G$2:$G$26,'Accounting data'!$I$2:$I$26,"7*",'Accounting data'!$J$2:$J$26,"24*",'Accounting data'!$K$2:$K$26,"6*")+SUMIFS('Accounting data'!$G$2:$G$26,'Accounting data'!$I$2:$I$26,"8*",'Accounting data'!$J$2:$J$26,"24*",'Accounting data'!$K$2:$K$26,"6*")+SUMIFS('Accounting data'!$G$2:$G$26,'Accounting data'!$I$2:$I$26,"9*",'Accounting data'!$J$2:$J$26,"24*",'Accounting data'!$K$2:$K$26,"6*")</f>
        <v>0</v>
      </c>
    </row>
    <row r="1260" spans="1:5" x14ac:dyDescent="0.3">
      <c r="A1260" s="677" t="s">
        <v>217</v>
      </c>
      <c r="B1260" s="677" t="s">
        <v>219</v>
      </c>
      <c r="C1260" s="677">
        <v>2400</v>
      </c>
      <c r="D1260" s="677">
        <v>6900</v>
      </c>
      <c r="E1260" s="678">
        <f>SUMIFS('Accounting data'!$G$2:$G$26,'Accounting data'!$I$2:$I$26,"7*",'Accounting data'!$J$2:$J$26,"24*",'Accounting data'!$K$2:$K$26,"69*")+SUMIFS('Accounting data'!$G$2:$G$26,'Accounting data'!$I$2:$I$26,"8*",'Accounting data'!$J$2:$J$26,"24*",'Accounting data'!$K$2:$K$26,"69*")+SUMIFS('Accounting data'!$G$2:$G$26,'Accounting data'!$I$2:$I$26,"9*",'Accounting data'!$J$2:$J$26,"24*",'Accounting data'!$K$2:$K$26,"69*")</f>
        <v>0</v>
      </c>
    </row>
    <row r="1261" spans="1:5" x14ac:dyDescent="0.3">
      <c r="A1261" s="677" t="s">
        <v>217</v>
      </c>
      <c r="B1261" s="677" t="s">
        <v>219</v>
      </c>
      <c r="C1261" s="677">
        <v>2400</v>
      </c>
      <c r="D1261" s="686">
        <v>6700</v>
      </c>
      <c r="E1261" s="678">
        <f>SUMIFS('Accounting data'!$G$2:$G$26,'Accounting data'!$I$2:$I$26,"7*",'Accounting data'!$J$2:$J$26,"24*",'Accounting data'!$K$2:$K$26,"67*")+SUMIFS('Accounting data'!$G$2:$G$26,'Accounting data'!$I$2:$I$26,"8*",'Accounting data'!$J$2:$J$26,"24*",'Accounting data'!$K$2:$K$26,"67*")+SUMIFS('Accounting data'!$G$2:$G$26,'Accounting data'!$I$2:$I$26,"9*",'Accounting data'!$J$2:$J$26,"24*",'Accounting data'!$K$2:$K$26,"67*")</f>
        <v>0</v>
      </c>
    </row>
    <row r="1262" spans="1:5" x14ac:dyDescent="0.3">
      <c r="A1262" s="679" t="s">
        <v>218</v>
      </c>
      <c r="B1262" s="677" t="s">
        <v>219</v>
      </c>
      <c r="C1262" s="677">
        <v>2400</v>
      </c>
      <c r="D1262" s="677">
        <v>6000</v>
      </c>
      <c r="E1262" s="678">
        <f>SUMIFS('Accounting data'!$G$2:$G$26,'Accounting data'!$H$2:$H$26,"9999*",'Accounting data'!$I$2:$I$26,"7*",'Accounting data'!$J$2:$J$26,"24*",'Accounting data'!$K$2:$K$26,"6*")+SUMIFS('Accounting data'!$G$2:$G$26,'Accounting data'!$H$2:$H$26,"9999*",'Accounting data'!$I$2:$I$26,"8*",'Accounting data'!$J$2:$J$26,"24*",'Accounting data'!$K$2:$K$26,"6*")+SUMIFS('Accounting data'!$G$2:$G$26,'Accounting data'!$H$2:$H$26,"9999*",'Accounting data'!$I$2:$I$26,"9*",'Accounting data'!$J$2:$J$26,"24*",'Accounting data'!$K$2:$K$26,"6*")</f>
        <v>0</v>
      </c>
    </row>
    <row r="1263" spans="1:5" x14ac:dyDescent="0.3">
      <c r="A1263" s="677"/>
      <c r="B1263" s="677"/>
      <c r="C1263" s="677"/>
      <c r="D1263" s="677"/>
      <c r="E1263" s="678"/>
    </row>
    <row r="1264" spans="1:5" x14ac:dyDescent="0.3">
      <c r="A1264" s="679" t="s">
        <v>218</v>
      </c>
      <c r="B1264" s="677" t="s">
        <v>219</v>
      </c>
      <c r="C1264" s="677">
        <v>2400</v>
      </c>
      <c r="D1264" s="677">
        <v>6900</v>
      </c>
      <c r="E1264" s="678">
        <f>SUMIFS('Accounting data'!$G$2:$G$26,'Accounting data'!$H$2:$H$26,"9999*",'Accounting data'!$I$2:$I$26,"7*",'Accounting data'!$J$2:$J$26,"24*",'Accounting data'!$K$2:$K$26,"69*")+SUMIFS('Accounting data'!$G$2:$G$26,'Accounting data'!$H$2:$H$26,"9999*",'Accounting data'!$I$2:$I$26,"8*",'Accounting data'!$J$2:$J$26,"24*",'Accounting data'!$K$2:$K$26,"69*")+SUMIFS('Accounting data'!$G$2:$G$26,'Accounting data'!$H$2:$H$26,"9999*",'Accounting data'!$I$2:$I$26,"9*",'Accounting data'!$J$2:$J$26,"24*",'Accounting data'!$K$2:$K$26,"69*")</f>
        <v>0</v>
      </c>
    </row>
    <row r="1265" spans="1:5" x14ac:dyDescent="0.3">
      <c r="A1265" s="677"/>
      <c r="B1265" s="677"/>
      <c r="C1265" s="677"/>
      <c r="D1265" s="677"/>
      <c r="E1265" s="678"/>
    </row>
    <row r="1266" spans="1:5" x14ac:dyDescent="0.3">
      <c r="A1266" s="679" t="s">
        <v>218</v>
      </c>
      <c r="B1266" s="677" t="s">
        <v>219</v>
      </c>
      <c r="C1266" s="677">
        <v>2400</v>
      </c>
      <c r="D1266" s="686">
        <v>6700</v>
      </c>
      <c r="E1266" s="678">
        <f>SUMIFS('Accounting data'!$G$2:$G$26,'Accounting data'!$H$2:$H$26,"9999*",'Accounting data'!$I$2:$I$26,"7*",'Accounting data'!$J$2:$J$26,"24*",'Accounting data'!$K$2:$K$26,"67*")+SUMIFS('Accounting data'!$G$2:$G$26,'Accounting data'!$H$2:$H$26,"9999*",'Accounting data'!$I$2:$I$26,"8*",'Accounting data'!$J$2:$J$26,"24*",'Accounting data'!$K$2:$K$26,"67*")+SUMIFS('Accounting data'!$G$2:$G$26,'Accounting data'!$H$2:$H$26,"9999*",'Accounting data'!$I$2:$I$26,"9*",'Accounting data'!$J$2:$J$26,"24*",'Accounting data'!$K$2:$K$26,"67*")</f>
        <v>0</v>
      </c>
    </row>
    <row r="1267" spans="1:5" x14ac:dyDescent="0.3">
      <c r="A1267" s="679"/>
      <c r="B1267" s="677"/>
      <c r="C1267" s="677"/>
      <c r="D1267" s="686"/>
      <c r="E1267" s="678"/>
    </row>
    <row r="1268" spans="1:5" x14ac:dyDescent="0.3">
      <c r="A1268" s="679"/>
      <c r="B1268" s="677"/>
      <c r="C1268" s="677"/>
      <c r="D1268" s="686"/>
      <c r="E1268" s="678"/>
    </row>
    <row r="1269" spans="1:5" x14ac:dyDescent="0.3">
      <c r="A1269" s="680" t="s">
        <v>364</v>
      </c>
      <c r="B1269" s="680"/>
      <c r="C1269" s="680"/>
      <c r="D1269" s="680"/>
      <c r="E1269" s="682">
        <f>(E1259-E1260-E1261)-((E1262+E1263)-(E1264+E1265))-(E1266+E1267+E1268)</f>
        <v>0</v>
      </c>
    </row>
    <row r="1270" spans="1:5" x14ac:dyDescent="0.3">
      <c r="A1270" s="677" t="s">
        <v>217</v>
      </c>
      <c r="B1270" s="677" t="s">
        <v>219</v>
      </c>
      <c r="C1270" s="677">
        <v>2500</v>
      </c>
      <c r="D1270" s="677">
        <v>6000</v>
      </c>
      <c r="E1270" s="678">
        <f>SUMIFS('Accounting data'!$G$2:$G$26,'Accounting data'!$I$2:$I$26,"7*",'Accounting data'!$J$2:$J$26,"25*",'Accounting data'!$K$2:$K$26,"6*")+SUMIFS('Accounting data'!$G$2:$G$26,'Accounting data'!$I$2:$I$26,"8*",'Accounting data'!$J$2:$J$26,"25*",'Accounting data'!$K$2:$K$26,"6*")+SUMIFS('Accounting data'!$G$2:$G$26,'Accounting data'!$I$2:$I$26,"9*",'Accounting data'!$J$2:$J$26,"25*",'Accounting data'!$K$2:$K$26,"6*")</f>
        <v>0</v>
      </c>
    </row>
    <row r="1271" spans="1:5" x14ac:dyDescent="0.3">
      <c r="A1271" s="677" t="s">
        <v>217</v>
      </c>
      <c r="B1271" s="677" t="s">
        <v>219</v>
      </c>
      <c r="C1271" s="677">
        <v>2500</v>
      </c>
      <c r="D1271" s="677">
        <v>6900</v>
      </c>
      <c r="E1271" s="678">
        <f>SUMIFS('Accounting data'!$G$2:$G$26,'Accounting data'!$I$2:$I$26,"7*",'Accounting data'!$J$2:$J$26,"25*",'Accounting data'!$K$2:$K$26,"69*")+SUMIFS('Accounting data'!$G$2:$G$26,'Accounting data'!$I$2:$I$26,"8*",'Accounting data'!$J$2:$J$26,"25*",'Accounting data'!$K$2:$K$26,"69*")+SUMIFS('Accounting data'!$G$2:$G$26,'Accounting data'!$I$2:$I$26,"9*",'Accounting data'!$J$2:$J$26,"25*",'Accounting data'!$K$2:$K$26,"69*")</f>
        <v>0</v>
      </c>
    </row>
    <row r="1272" spans="1:5" x14ac:dyDescent="0.3">
      <c r="A1272" s="677" t="s">
        <v>217</v>
      </c>
      <c r="B1272" s="677" t="s">
        <v>219</v>
      </c>
      <c r="C1272" s="677">
        <v>2500</v>
      </c>
      <c r="D1272" s="686">
        <v>6700</v>
      </c>
      <c r="E1272" s="678">
        <f>SUMIFS('Accounting data'!$G$2:$G$26,'Accounting data'!$I$2:$I$26,"7*",'Accounting data'!$J$2:$J$26,"25*",'Accounting data'!$K$2:$K$26,"67*")+SUMIFS('Accounting data'!$G$2:$G$26,'Accounting data'!$I$2:$I$26,"8*",'Accounting data'!$J$2:$J$26,"25*",'Accounting data'!$K$2:$K$26,"67*")+SUMIFS('Accounting data'!$G$2:$G$26,'Accounting data'!$I$2:$I$26,"9*",'Accounting data'!$J$2:$J$26,"25*",'Accounting data'!$K$2:$K$26,"67*")</f>
        <v>0</v>
      </c>
    </row>
    <row r="1273" spans="1:5" x14ac:dyDescent="0.3">
      <c r="A1273" s="679" t="s">
        <v>218</v>
      </c>
      <c r="B1273" s="677" t="s">
        <v>219</v>
      </c>
      <c r="C1273" s="677">
        <v>2500</v>
      </c>
      <c r="D1273" s="677">
        <v>6000</v>
      </c>
      <c r="E1273" s="678">
        <f>SUMIFS('Accounting data'!$G$2:$G$26,'Accounting data'!$H$2:$H$26,"9999*",'Accounting data'!$I$2:$I$26,"7*",'Accounting data'!$J$2:$J$26,"25*",'Accounting data'!$K$2:$K$26,"6*")+SUMIFS('Accounting data'!$G$2:$G$26,'Accounting data'!$H$2:$H$26,"9999*",'Accounting data'!$I$2:$I$26,"8*",'Accounting data'!$J$2:$J$26,"25*",'Accounting data'!$K$2:$K$26,"6*")+SUMIFS('Accounting data'!$G$2:$G$26,'Accounting data'!$H$2:$H$26,"9999*",'Accounting data'!$I$2:$I$26,"9*",'Accounting data'!$J$2:$J$26,"25*",'Accounting data'!$K$2:$K$26,"6*")</f>
        <v>0</v>
      </c>
    </row>
    <row r="1274" spans="1:5" x14ac:dyDescent="0.3">
      <c r="A1274" s="677"/>
      <c r="B1274" s="677"/>
      <c r="C1274" s="677"/>
      <c r="D1274" s="677"/>
      <c r="E1274" s="678"/>
    </row>
    <row r="1275" spans="1:5" x14ac:dyDescent="0.3">
      <c r="A1275" s="679" t="s">
        <v>218</v>
      </c>
      <c r="B1275" s="677" t="s">
        <v>219</v>
      </c>
      <c r="C1275" s="677">
        <v>2500</v>
      </c>
      <c r="D1275" s="677">
        <v>6900</v>
      </c>
      <c r="E1275" s="678">
        <f>SUMIFS('Accounting data'!$G$2:$G$26,'Accounting data'!$H$2:$H$26,"9999*",'Accounting data'!$I$2:$I$26,"7*",'Accounting data'!$J$2:$J$26,"25*",'Accounting data'!$K$2:$K$26,"69*")+SUMIFS('Accounting data'!$G$2:$G$26,'Accounting data'!$H$2:$H$26,"9999*",'Accounting data'!$I$2:$I$26,"8*",'Accounting data'!$J$2:$J$26,"25*",'Accounting data'!$K$2:$K$26,"69*")+SUMIFS('Accounting data'!$G$2:$G$26,'Accounting data'!$H$2:$H$26,"9999*",'Accounting data'!$I$2:$I$26,"9*",'Accounting data'!$J$2:$J$26,"25*",'Accounting data'!$K$2:$K$26,"69*")</f>
        <v>0</v>
      </c>
    </row>
    <row r="1276" spans="1:5" x14ac:dyDescent="0.3">
      <c r="A1276" s="677"/>
      <c r="B1276" s="677"/>
      <c r="C1276" s="677"/>
      <c r="D1276" s="677"/>
      <c r="E1276" s="678"/>
    </row>
    <row r="1277" spans="1:5" x14ac:dyDescent="0.3">
      <c r="A1277" s="679" t="s">
        <v>218</v>
      </c>
      <c r="B1277" s="677" t="s">
        <v>219</v>
      </c>
      <c r="C1277" s="677">
        <v>2500</v>
      </c>
      <c r="D1277" s="686">
        <v>6700</v>
      </c>
      <c r="E1277" s="678">
        <f>SUMIFS('Accounting data'!$G$2:$G$26,'Accounting data'!$H$2:$H$26,"9999*",'Accounting data'!$I$2:$I$26,"7*",'Accounting data'!$J$2:$J$26,"25*",'Accounting data'!$K$2:$K$26,"67*")+SUMIFS('Accounting data'!$G$2:$G$26,'Accounting data'!$H$2:$H$26,"9999*",'Accounting data'!$I$2:$I$26,"8*",'Accounting data'!$J$2:$J$26,"25*",'Accounting data'!$K$2:$K$26,"67*")+SUMIFS('Accounting data'!$G$2:$G$26,'Accounting data'!$H$2:$H$26,"9999*",'Accounting data'!$I$2:$I$26,"9*",'Accounting data'!$J$2:$J$26,"25*",'Accounting data'!$K$2:$K$26,"67*")</f>
        <v>0</v>
      </c>
    </row>
    <row r="1278" spans="1:5" x14ac:dyDescent="0.3">
      <c r="A1278" s="679"/>
      <c r="B1278" s="677"/>
      <c r="C1278" s="677"/>
      <c r="D1278" s="686"/>
      <c r="E1278" s="678"/>
    </row>
    <row r="1279" spans="1:5" x14ac:dyDescent="0.3">
      <c r="A1279" s="679"/>
      <c r="B1279" s="677"/>
      <c r="C1279" s="677"/>
      <c r="D1279" s="686"/>
      <c r="E1279" s="678"/>
    </row>
    <row r="1280" spans="1:5" x14ac:dyDescent="0.3">
      <c r="A1280" s="680" t="s">
        <v>365</v>
      </c>
      <c r="B1280" s="680"/>
      <c r="C1280" s="680"/>
      <c r="D1280" s="680"/>
      <c r="E1280" s="682">
        <f>(E1270-E1271-E1272)-((E1273+E1274)-(E1275+E1276))-(E1277+E1278+E1279)</f>
        <v>0</v>
      </c>
    </row>
    <row r="1281" spans="1:5" x14ac:dyDescent="0.3">
      <c r="A1281" s="677" t="s">
        <v>217</v>
      </c>
      <c r="B1281" s="677" t="s">
        <v>219</v>
      </c>
      <c r="C1281" s="677">
        <v>2900</v>
      </c>
      <c r="D1281" s="677">
        <v>6000</v>
      </c>
      <c r="E1281" s="678">
        <f>SUMIFS('Accounting data'!$G$2:$G$26,'Accounting data'!$I$2:$I$26,"7*",'Accounting data'!$J$2:$J$26,"29*",'Accounting data'!$K$2:$K$26,"6*")+SUMIFS('Accounting data'!$G$2:$G$26,'Accounting data'!$I$2:$I$26,"8*",'Accounting data'!$J$2:$J$26,"29*",'Accounting data'!$K$2:$K$26,"6*")+SUMIFS('Accounting data'!$G$2:$G$26,'Accounting data'!$I$2:$I$26,"9*",'Accounting data'!$J$2:$J$26,"29*",'Accounting data'!$K$2:$K$26,"6*")</f>
        <v>0</v>
      </c>
    </row>
    <row r="1282" spans="1:5" x14ac:dyDescent="0.3">
      <c r="A1282" s="677" t="s">
        <v>217</v>
      </c>
      <c r="B1282" s="677" t="s">
        <v>219</v>
      </c>
      <c r="C1282" s="677">
        <v>2900</v>
      </c>
      <c r="D1282" s="677">
        <v>6900</v>
      </c>
      <c r="E1282" s="678">
        <f>SUMIFS('Accounting data'!$G$2:$G$26,'Accounting data'!$I$2:$I$26,"7*",'Accounting data'!$J$2:$J$26,"29*",'Accounting data'!$K$2:$K$26,"69*")+SUMIFS('Accounting data'!$G$2:$G$26,'Accounting data'!$I$2:$I$26,"8*",'Accounting data'!$J$2:$J$26,"29*",'Accounting data'!$K$2:$K$26,"69*")+SUMIFS('Accounting data'!$G$2:$G$26,'Accounting data'!$I$2:$I$26,"9*",'Accounting data'!$J$2:$J$26,"29*",'Accounting data'!$K$2:$K$26,"69*")</f>
        <v>0</v>
      </c>
    </row>
    <row r="1283" spans="1:5" x14ac:dyDescent="0.3">
      <c r="A1283" s="677" t="s">
        <v>217</v>
      </c>
      <c r="B1283" s="677" t="s">
        <v>219</v>
      </c>
      <c r="C1283" s="677">
        <v>2900</v>
      </c>
      <c r="D1283" s="686">
        <v>6700</v>
      </c>
      <c r="E1283" s="678">
        <f>SUMIFS('Accounting data'!$G$2:$G$26,'Accounting data'!$I$2:$I$26,"7*",'Accounting data'!$J$2:$J$26,"29*",'Accounting data'!$K$2:$K$26,"67*")+SUMIFS('Accounting data'!$G$2:$G$26,'Accounting data'!$I$2:$I$26,"8*",'Accounting data'!$J$2:$J$26,"29*",'Accounting data'!$K$2:$K$26,"67*")+SUMIFS('Accounting data'!$G$2:$G$26,'Accounting data'!$I$2:$I$26,"9*",'Accounting data'!$J$2:$J$26,"29*",'Accounting data'!$K$2:$K$26,"67*")</f>
        <v>0</v>
      </c>
    </row>
    <row r="1284" spans="1:5" x14ac:dyDescent="0.3">
      <c r="A1284" s="679" t="s">
        <v>218</v>
      </c>
      <c r="B1284" s="677" t="s">
        <v>219</v>
      </c>
      <c r="C1284" s="677">
        <v>2900</v>
      </c>
      <c r="D1284" s="677">
        <v>6000</v>
      </c>
      <c r="E1284" s="678">
        <f>SUMIFS('Accounting data'!$G$2:$G$26,'Accounting data'!$H$2:$H$26,"9999*",'Accounting data'!$I$2:$I$26,"7*",'Accounting data'!$J$2:$J$26,"29*",'Accounting data'!$K$2:$K$26,"6*")+SUMIFS('Accounting data'!$G$2:$G$26,'Accounting data'!$H$2:$H$26,"9999*",'Accounting data'!$I$2:$I$26,"8*",'Accounting data'!$J$2:$J$26,"29*",'Accounting data'!$K$2:$K$26,"6*")+SUMIFS('Accounting data'!$G$2:$G$26,'Accounting data'!$H$2:$H$26,"9999*",'Accounting data'!$I$2:$I$26,"9*",'Accounting data'!$J$2:$J$26,"29*",'Accounting data'!$K$2:$K$26,"6*")</f>
        <v>0</v>
      </c>
    </row>
    <row r="1285" spans="1:5" x14ac:dyDescent="0.3">
      <c r="A1285" s="677"/>
      <c r="B1285" s="677"/>
      <c r="C1285" s="677"/>
      <c r="D1285" s="677"/>
      <c r="E1285" s="678"/>
    </row>
    <row r="1286" spans="1:5" x14ac:dyDescent="0.3">
      <c r="A1286" s="679" t="s">
        <v>218</v>
      </c>
      <c r="B1286" s="677" t="s">
        <v>219</v>
      </c>
      <c r="C1286" s="677">
        <v>2900</v>
      </c>
      <c r="D1286" s="677">
        <v>6900</v>
      </c>
      <c r="E1286" s="678">
        <f>SUMIFS('Accounting data'!$G$2:$G$26,'Accounting data'!$H$2:$H$26,"9999*",'Accounting data'!$I$2:$I$26,"7*",'Accounting data'!$J$2:$J$26,"29*",'Accounting data'!$K$2:$K$26,"69*")+SUMIFS('Accounting data'!$G$2:$G$26,'Accounting data'!$H$2:$H$26,"9999*",'Accounting data'!$I$2:$I$26,"8*",'Accounting data'!$J$2:$J$26,"29*",'Accounting data'!$K$2:$K$26,"69*")+SUMIFS('Accounting data'!$G$2:$G$26,'Accounting data'!$H$2:$H$26,"9999*",'Accounting data'!$I$2:$I$26,"9*",'Accounting data'!$J$2:$J$26,"29*",'Accounting data'!$K$2:$K$26,"69*")</f>
        <v>0</v>
      </c>
    </row>
    <row r="1287" spans="1:5" x14ac:dyDescent="0.3">
      <c r="A1287" s="677"/>
      <c r="B1287" s="677"/>
      <c r="C1287" s="677"/>
      <c r="D1287" s="677"/>
      <c r="E1287" s="678"/>
    </row>
    <row r="1288" spans="1:5" x14ac:dyDescent="0.3">
      <c r="A1288" s="679" t="s">
        <v>218</v>
      </c>
      <c r="B1288" s="677" t="s">
        <v>219</v>
      </c>
      <c r="C1288" s="677">
        <v>2900</v>
      </c>
      <c r="D1288" s="686">
        <v>6700</v>
      </c>
      <c r="E1288" s="678">
        <f>SUMIFS('Accounting data'!$G$2:$G$26,'Accounting data'!$H$2:$H$26,"9999*",'Accounting data'!$I$2:$I$26,"7*",'Accounting data'!$J$2:$J$26,"29*",'Accounting data'!$K$2:$K$26,"67*")+SUMIFS('Accounting data'!$G$2:$G$26,'Accounting data'!$H$2:$H$26,"9999*",'Accounting data'!$I$2:$I$26,"8*",'Accounting data'!$J$2:$J$26,"29*",'Accounting data'!$K$2:$K$26,"67*")+SUMIFS('Accounting data'!$G$2:$G$26,'Accounting data'!$H$2:$H$26,"9999*",'Accounting data'!$I$2:$I$26,"9*",'Accounting data'!$J$2:$J$26,"29*",'Accounting data'!$K$2:$K$26,"67*")</f>
        <v>0</v>
      </c>
    </row>
    <row r="1289" spans="1:5" x14ac:dyDescent="0.3">
      <c r="A1289" s="679"/>
      <c r="B1289" s="677"/>
      <c r="C1289" s="677"/>
      <c r="D1289" s="686"/>
      <c r="E1289" s="678"/>
    </row>
    <row r="1290" spans="1:5" x14ac:dyDescent="0.3">
      <c r="A1290" s="679"/>
      <c r="B1290" s="677"/>
      <c r="C1290" s="677"/>
      <c r="D1290" s="686"/>
      <c r="E1290" s="678"/>
    </row>
    <row r="1291" spans="1:5" x14ac:dyDescent="0.3">
      <c r="A1291" s="680" t="s">
        <v>366</v>
      </c>
      <c r="B1291" s="680"/>
      <c r="C1291" s="680"/>
      <c r="D1291" s="680"/>
      <c r="E1291" s="682">
        <f>(E1281-E1282-E1283)-((E1284+E1285)-(E1286+E1287))-(E1288+E1289+E1290)</f>
        <v>0</v>
      </c>
    </row>
    <row r="1292" spans="1:5" x14ac:dyDescent="0.3">
      <c r="A1292" s="677" t="s">
        <v>217</v>
      </c>
      <c r="B1292" s="677" t="s">
        <v>219</v>
      </c>
      <c r="C1292" s="677">
        <v>2600</v>
      </c>
      <c r="D1292" s="677">
        <v>6000</v>
      </c>
      <c r="E1292" s="678">
        <f>SUMIFS('Accounting data'!$G$2:$G$26,'Accounting data'!$I$2:$I$26,"7*",'Accounting data'!$J$2:$J$26,"26*",'Accounting data'!$K$2:$K$26,"6*")+SUMIFS('Accounting data'!$G$2:$G$26,'Accounting data'!$I$2:$I$26,"8*",'Accounting data'!$J$2:$J$26,"26*",'Accounting data'!$K$2:$K$26,"6*")+SUMIFS('Accounting data'!$G$2:$G$26,'Accounting data'!$I$2:$I$26,"9*",'Accounting data'!$J$2:$J$26,"26*",'Accounting data'!$K$2:$K$26,"6*")</f>
        <v>0</v>
      </c>
    </row>
    <row r="1293" spans="1:5" x14ac:dyDescent="0.3">
      <c r="A1293" s="677" t="s">
        <v>217</v>
      </c>
      <c r="B1293" s="677" t="s">
        <v>219</v>
      </c>
      <c r="C1293" s="677">
        <v>2600</v>
      </c>
      <c r="D1293" s="677">
        <v>6900</v>
      </c>
      <c r="E1293" s="678">
        <f>SUMIFS('Accounting data'!$G$2:$G$26,'Accounting data'!$I$2:$I$26,"7*",'Accounting data'!$J$2:$J$26,"26*",'Accounting data'!$K$2:$K$26,"69*")+SUMIFS('Accounting data'!$G$2:$G$26,'Accounting data'!$I$2:$I$26,"8*",'Accounting data'!$J$2:$J$26,"26*",'Accounting data'!$K$2:$K$26,"69*")+SUMIFS('Accounting data'!$G$2:$G$26,'Accounting data'!$I$2:$I$26,"9*",'Accounting data'!$J$2:$J$26,"26*",'Accounting data'!$K$2:$K$26,"69*")</f>
        <v>0</v>
      </c>
    </row>
    <row r="1294" spans="1:5" x14ac:dyDescent="0.3">
      <c r="A1294" s="677" t="s">
        <v>217</v>
      </c>
      <c r="B1294" s="677" t="s">
        <v>219</v>
      </c>
      <c r="C1294" s="677">
        <v>2600</v>
      </c>
      <c r="D1294" s="686">
        <v>6700</v>
      </c>
      <c r="E1294" s="678">
        <f>SUMIFS('Accounting data'!$G$2:$G$26,'Accounting data'!$I$2:$I$26,"7*",'Accounting data'!$J$2:$J$26,"26*",'Accounting data'!$K$2:$K$26,"67*")+SUMIFS('Accounting data'!$G$2:$G$26,'Accounting data'!$I$2:$I$26,"8*",'Accounting data'!$J$2:$J$26,"26*",'Accounting data'!$K$2:$K$26,"67*")+SUMIFS('Accounting data'!$G$2:$G$26,'Accounting data'!$I$2:$I$26,"9*",'Accounting data'!$J$2:$J$26,"26*",'Accounting data'!$K$2:$K$26,"67*")</f>
        <v>0</v>
      </c>
    </row>
    <row r="1295" spans="1:5" x14ac:dyDescent="0.3">
      <c r="A1295" s="679" t="s">
        <v>218</v>
      </c>
      <c r="B1295" s="677" t="s">
        <v>219</v>
      </c>
      <c r="C1295" s="677">
        <v>2600</v>
      </c>
      <c r="D1295" s="677">
        <v>6000</v>
      </c>
      <c r="E1295" s="678">
        <f>SUMIFS('Accounting data'!$G$2:$G$26,'Accounting data'!$H$2:$H$26,"9999*",'Accounting data'!$I$2:$I$26,"7*",'Accounting data'!$J$2:$J$26,"26*",'Accounting data'!$K$2:$K$26,"6*")+SUMIFS('Accounting data'!$G$2:$G$26,'Accounting data'!$H$2:$H$26,"9999*",'Accounting data'!$I$2:$I$26,"8*",'Accounting data'!$J$2:$J$26,"26*",'Accounting data'!$K$2:$K$26,"6*")+SUMIFS('Accounting data'!$G$2:$G$26,'Accounting data'!$H$2:$H$26,"9999*",'Accounting data'!$I$2:$I$26,"9*",'Accounting data'!$J$2:$J$26,"26*",'Accounting data'!$K$2:$K$26,"6*")</f>
        <v>0</v>
      </c>
    </row>
    <row r="1296" spans="1:5" x14ac:dyDescent="0.3">
      <c r="A1296" s="677"/>
      <c r="B1296" s="677"/>
      <c r="C1296" s="677"/>
      <c r="D1296" s="677"/>
      <c r="E1296" s="678"/>
    </row>
    <row r="1297" spans="1:5" x14ac:dyDescent="0.3">
      <c r="A1297" s="679" t="s">
        <v>218</v>
      </c>
      <c r="B1297" s="677" t="s">
        <v>219</v>
      </c>
      <c r="C1297" s="677">
        <v>2600</v>
      </c>
      <c r="D1297" s="677">
        <v>6900</v>
      </c>
      <c r="E1297" s="678">
        <f>SUMIFS('Accounting data'!$G$2:$G$26,'Accounting data'!$H$2:$H$26,"9999*",'Accounting data'!$I$2:$I$26,"7*",'Accounting data'!$J$2:$J$26,"26*",'Accounting data'!$K$2:$K$26,"69*")+SUMIFS('Accounting data'!$G$2:$G$26,'Accounting data'!$H$2:$H$26,"9999*",'Accounting data'!$I$2:$I$26,"8*",'Accounting data'!$J$2:$J$26,"26*",'Accounting data'!$K$2:$K$26,"69*")+SUMIFS('Accounting data'!$G$2:$G$26,'Accounting data'!$H$2:$H$26,"9999*",'Accounting data'!$I$2:$I$26,"9*",'Accounting data'!$J$2:$J$26,"26*",'Accounting data'!$K$2:$K$26,"69*")</f>
        <v>0</v>
      </c>
    </row>
    <row r="1298" spans="1:5" x14ac:dyDescent="0.3">
      <c r="A1298" s="677"/>
      <c r="B1298" s="677"/>
      <c r="C1298" s="677"/>
      <c r="D1298" s="677"/>
      <c r="E1298" s="678"/>
    </row>
    <row r="1299" spans="1:5" x14ac:dyDescent="0.3">
      <c r="A1299" s="679" t="s">
        <v>218</v>
      </c>
      <c r="B1299" s="677" t="s">
        <v>219</v>
      </c>
      <c r="C1299" s="677">
        <v>2600</v>
      </c>
      <c r="D1299" s="686">
        <v>6700</v>
      </c>
      <c r="E1299" s="678">
        <f>SUMIFS('Accounting data'!$G$2:$G$26,'Accounting data'!$H$2:$H$26,"9999*",'Accounting data'!$I$2:$I$26,"7*",'Accounting data'!$J$2:$J$26,"26*",'Accounting data'!$K$2:$K$26,"67*")+SUMIFS('Accounting data'!$G$2:$G$26,'Accounting data'!$H$2:$H$26,"9999*",'Accounting data'!$I$2:$I$26,"8*",'Accounting data'!$J$2:$J$26,"26*",'Accounting data'!$K$2:$K$26,"67*")+SUMIFS('Accounting data'!$G$2:$G$26,'Accounting data'!$H$2:$H$26,"9999*",'Accounting data'!$I$2:$I$26,"9*",'Accounting data'!$J$2:$J$26,"26*",'Accounting data'!$K$2:$K$26,"67*")</f>
        <v>0</v>
      </c>
    </row>
    <row r="1300" spans="1:5" x14ac:dyDescent="0.3">
      <c r="A1300" s="679"/>
      <c r="B1300" s="677"/>
      <c r="C1300" s="677"/>
      <c r="D1300" s="686"/>
      <c r="E1300" s="678"/>
    </row>
    <row r="1301" spans="1:5" x14ac:dyDescent="0.3">
      <c r="A1301" s="679"/>
      <c r="B1301" s="677"/>
      <c r="C1301" s="677"/>
      <c r="D1301" s="686"/>
      <c r="E1301" s="678"/>
    </row>
    <row r="1302" spans="1:5" x14ac:dyDescent="0.3">
      <c r="A1302" s="680" t="s">
        <v>367</v>
      </c>
      <c r="B1302" s="680"/>
      <c r="C1302" s="680"/>
      <c r="D1302" s="680"/>
      <c r="E1302" s="682">
        <f>(E1292-E1293-E1294)-((E1295+E1296)-(E1297+E1298))-(E1299+E1300+E1301)</f>
        <v>0</v>
      </c>
    </row>
    <row r="1303" spans="1:5" x14ac:dyDescent="0.3">
      <c r="A1303" s="677" t="s">
        <v>217</v>
      </c>
      <c r="B1303" s="677" t="s">
        <v>219</v>
      </c>
      <c r="C1303" s="677">
        <v>3100</v>
      </c>
      <c r="D1303" s="677">
        <v>6000</v>
      </c>
      <c r="E1303" s="678">
        <f>SUMIFS('Accounting data'!$G$2:$G$26,'Accounting data'!$I$2:$I$26,"7*",'Accounting data'!$J$2:$J$26,"31*",'Accounting data'!$K$2:$K$26,"6*")+SUMIFS('Accounting data'!$G$2:$G$26,'Accounting data'!$I$2:$I$26,"8*",'Accounting data'!$J$2:$J$26,"31*",'Accounting data'!$K$2:$K$26,"6*")+SUMIFS('Accounting data'!$G$2:$G$26,'Accounting data'!$I$2:$I$26,"9*",'Accounting data'!$J$2:$J$26,"31*",'Accounting data'!$K$2:$K$26,"6*")</f>
        <v>0</v>
      </c>
    </row>
    <row r="1304" spans="1:5" x14ac:dyDescent="0.3">
      <c r="A1304" s="677" t="s">
        <v>217</v>
      </c>
      <c r="B1304" s="677" t="s">
        <v>219</v>
      </c>
      <c r="C1304" s="677">
        <v>3100</v>
      </c>
      <c r="D1304" s="677">
        <v>6900</v>
      </c>
      <c r="E1304" s="678">
        <f>SUMIFS('Accounting data'!$G$2:$G$26,'Accounting data'!$I$2:$I$26,"7*",'Accounting data'!$J$2:$J$26,"31*",'Accounting data'!$K$2:$K$26,"69*")+SUMIFS('Accounting data'!$G$2:$G$26,'Accounting data'!$I$2:$I$26,"8*",'Accounting data'!$J$2:$J$26,"31*",'Accounting data'!$K$2:$K$26,"69*")+SUMIFS('Accounting data'!$G$2:$G$26,'Accounting data'!$I$2:$I$26,"9*",'Accounting data'!$J$2:$J$26,"31*",'Accounting data'!$K$2:$K$26,"69*")</f>
        <v>0</v>
      </c>
    </row>
    <row r="1305" spans="1:5" x14ac:dyDescent="0.3">
      <c r="A1305" s="677" t="s">
        <v>217</v>
      </c>
      <c r="B1305" s="677" t="s">
        <v>219</v>
      </c>
      <c r="C1305" s="677">
        <v>3100</v>
      </c>
      <c r="D1305" s="686">
        <v>6700</v>
      </c>
      <c r="E1305" s="678">
        <f>SUMIFS('Accounting data'!$G$2:$G$26,'Accounting data'!$I$2:$I$26,"7*",'Accounting data'!$J$2:$J$26,"31*",'Accounting data'!$K$2:$K$26,"67*")+SUMIFS('Accounting data'!$G$2:$G$26,'Accounting data'!$I$2:$I$26,"8*",'Accounting data'!$J$2:$J$26,"31*",'Accounting data'!$K$2:$K$26,"67*")+SUMIFS('Accounting data'!$G$2:$G$26,'Accounting data'!$I$2:$I$26,"9*",'Accounting data'!$J$2:$J$26,"31*",'Accounting data'!$K$2:$K$26,"67*")</f>
        <v>0</v>
      </c>
    </row>
    <row r="1306" spans="1:5" x14ac:dyDescent="0.3">
      <c r="A1306" s="679" t="s">
        <v>218</v>
      </c>
      <c r="B1306" s="677" t="s">
        <v>219</v>
      </c>
      <c r="C1306" s="677">
        <v>3100</v>
      </c>
      <c r="D1306" s="677">
        <v>6000</v>
      </c>
      <c r="E1306" s="678">
        <f>SUMIFS('Accounting data'!$G$2:$G$26,'Accounting data'!$H$2:$H$26,"9999*",'Accounting data'!$I$2:$I$26,"7*",'Accounting data'!$J$2:$J$26,"31*",'Accounting data'!$K$2:$K$26,"6*")+SUMIFS('Accounting data'!$G$2:$G$26,'Accounting data'!$H$2:$H$26,"9999*",'Accounting data'!$I$2:$I$26,"8*",'Accounting data'!$J$2:$J$26,"31*",'Accounting data'!$K$2:$K$26,"6*")+SUMIFS('Accounting data'!$G$2:$G$26,'Accounting data'!$H$2:$H$26,"9999*",'Accounting data'!$I$2:$I$26,"9*",'Accounting data'!$J$2:$J$26,"31*",'Accounting data'!$K$2:$K$26,"6*")</f>
        <v>0</v>
      </c>
    </row>
    <row r="1307" spans="1:5" x14ac:dyDescent="0.3">
      <c r="A1307" s="677"/>
      <c r="B1307" s="677"/>
      <c r="C1307" s="677"/>
      <c r="D1307" s="677"/>
      <c r="E1307" s="678"/>
    </row>
    <row r="1308" spans="1:5" x14ac:dyDescent="0.3">
      <c r="A1308" s="679" t="s">
        <v>218</v>
      </c>
      <c r="B1308" s="677" t="s">
        <v>219</v>
      </c>
      <c r="C1308" s="677">
        <v>3100</v>
      </c>
      <c r="D1308" s="677">
        <v>6900</v>
      </c>
      <c r="E1308" s="678">
        <f>SUMIFS('Accounting data'!$G$2:$G$26,'Accounting data'!$H$2:$H$26,"9999*",'Accounting data'!$I$2:$I$26,"7*",'Accounting data'!$J$2:$J$26,"31*",'Accounting data'!$K$2:$K$26,"69*")+SUMIFS('Accounting data'!$G$2:$G$26,'Accounting data'!$H$2:$H$26,"9999*",'Accounting data'!$I$2:$I$26,"8*",'Accounting data'!$J$2:$J$26,"31*",'Accounting data'!$K$2:$K$26,"69*")+SUMIFS('Accounting data'!$G$2:$G$26,'Accounting data'!$H$2:$H$26,"9999*",'Accounting data'!$I$2:$I$26,"9*",'Accounting data'!$J$2:$J$26,"31*",'Accounting data'!$K$2:$K$26,"69*")</f>
        <v>0</v>
      </c>
    </row>
    <row r="1309" spans="1:5" x14ac:dyDescent="0.3">
      <c r="A1309" s="677"/>
      <c r="B1309" s="677"/>
      <c r="C1309" s="677"/>
      <c r="D1309" s="677"/>
      <c r="E1309" s="678"/>
    </row>
    <row r="1310" spans="1:5" x14ac:dyDescent="0.3">
      <c r="A1310" s="679" t="s">
        <v>218</v>
      </c>
      <c r="B1310" s="677" t="s">
        <v>219</v>
      </c>
      <c r="C1310" s="677">
        <v>3100</v>
      </c>
      <c r="D1310" s="686">
        <v>6700</v>
      </c>
      <c r="E1310" s="678">
        <f>SUMIFS('Accounting data'!$G$2:$G$26,'Accounting data'!$H$2:$H$26,"9999*",'Accounting data'!$I$2:$I$26,"7*",'Accounting data'!$J$2:$J$26,"31*",'Accounting data'!$K$2:$K$26,"67*")+SUMIFS('Accounting data'!$G$2:$G$26,'Accounting data'!$H$2:$H$26,"9999*",'Accounting data'!$I$2:$I$26,"8*",'Accounting data'!$J$2:$J$26,"31*",'Accounting data'!$K$2:$K$26,"67*")+SUMIFS('Accounting data'!$G$2:$G$26,'Accounting data'!$H$2:$H$26,"9999*",'Accounting data'!$I$2:$I$26,"9*",'Accounting data'!$J$2:$J$26,"31*",'Accounting data'!$K$2:$K$26,"67*")</f>
        <v>0</v>
      </c>
    </row>
    <row r="1311" spans="1:5" x14ac:dyDescent="0.3">
      <c r="A1311" s="679"/>
      <c r="B1311" s="677"/>
      <c r="C1311" s="677"/>
      <c r="D1311" s="686"/>
      <c r="E1311" s="678"/>
    </row>
    <row r="1312" spans="1:5" x14ac:dyDescent="0.3">
      <c r="A1312" s="679"/>
      <c r="B1312" s="677"/>
      <c r="C1312" s="677"/>
      <c r="D1312" s="686"/>
      <c r="E1312" s="678"/>
    </row>
    <row r="1313" spans="1:5" x14ac:dyDescent="0.3">
      <c r="A1313" s="680" t="s">
        <v>368</v>
      </c>
      <c r="B1313" s="680"/>
      <c r="C1313" s="680"/>
      <c r="D1313" s="680"/>
      <c r="E1313" s="682">
        <f>(E1303-E1304-E1305)-((E1306+E1307)-(E1308+E1309))-(E1310+E1311+E1312)</f>
        <v>0</v>
      </c>
    </row>
    <row r="1314" spans="1:5" x14ac:dyDescent="0.3">
      <c r="A1314" s="677"/>
      <c r="B1314" s="677"/>
      <c r="C1314" s="677"/>
      <c r="D1314" s="677"/>
      <c r="E1314" s="678"/>
    </row>
    <row r="1315" spans="1:5" x14ac:dyDescent="0.3">
      <c r="A1315" s="677"/>
      <c r="B1315" s="677"/>
      <c r="C1315" s="677"/>
      <c r="D1315" s="677"/>
      <c r="E1315" s="678"/>
    </row>
    <row r="1316" spans="1:5" x14ac:dyDescent="0.3">
      <c r="A1316" s="677"/>
      <c r="B1316" s="677"/>
      <c r="C1316" s="677"/>
      <c r="D1316" s="686"/>
      <c r="E1316" s="678"/>
    </row>
    <row r="1317" spans="1:5" x14ac:dyDescent="0.3">
      <c r="A1317" s="679"/>
      <c r="B1317" s="677"/>
      <c r="C1317" s="677"/>
      <c r="D1317" s="677"/>
      <c r="E1317" s="678"/>
    </row>
    <row r="1318" spans="1:5" x14ac:dyDescent="0.3">
      <c r="A1318" s="677"/>
      <c r="B1318" s="677"/>
      <c r="C1318" s="677"/>
      <c r="D1318" s="677"/>
      <c r="E1318" s="678"/>
    </row>
    <row r="1319" spans="1:5" x14ac:dyDescent="0.3">
      <c r="A1319" s="679"/>
      <c r="B1319" s="677"/>
      <c r="C1319" s="677"/>
      <c r="D1319" s="677"/>
      <c r="E1319" s="678"/>
    </row>
    <row r="1320" spans="1:5" x14ac:dyDescent="0.3">
      <c r="A1320" s="677"/>
      <c r="B1320" s="677"/>
      <c r="C1320" s="677"/>
      <c r="D1320" s="677"/>
      <c r="E1320" s="678"/>
    </row>
    <row r="1321" spans="1:5" x14ac:dyDescent="0.3">
      <c r="A1321" s="679"/>
      <c r="B1321" s="677"/>
      <c r="C1321" s="677"/>
      <c r="D1321" s="686"/>
      <c r="E1321" s="678"/>
    </row>
    <row r="1322" spans="1:5" x14ac:dyDescent="0.3">
      <c r="A1322" s="679"/>
      <c r="B1322" s="677"/>
      <c r="C1322" s="677"/>
      <c r="D1322" s="686"/>
      <c r="E1322" s="678"/>
    </row>
    <row r="1323" spans="1:5" x14ac:dyDescent="0.3">
      <c r="A1323" s="679"/>
      <c r="B1323" s="677"/>
      <c r="C1323" s="677"/>
      <c r="D1323" s="686"/>
      <c r="E1323" s="678"/>
    </row>
    <row r="1324" spans="1:5" x14ac:dyDescent="0.3">
      <c r="A1324" s="680"/>
      <c r="B1324" s="680"/>
      <c r="C1324" s="680"/>
      <c r="D1324" s="680"/>
      <c r="E1324" s="682"/>
    </row>
    <row r="1325" spans="1:5" x14ac:dyDescent="0.3">
      <c r="A1325" s="677" t="s">
        <v>217</v>
      </c>
      <c r="B1325" s="677" t="s">
        <v>219</v>
      </c>
      <c r="C1325" s="677">
        <v>3300</v>
      </c>
      <c r="D1325" s="677">
        <v>6000</v>
      </c>
      <c r="E1325" s="678">
        <f>SUMIFS('Accounting data'!$G$2:$G$26,'Accounting data'!$I$2:$I$26,"7*",'Accounting data'!$J$2:$J$26,"33*",'Accounting data'!$K$2:$K$26,"6*")+SUMIFS('Accounting data'!$G$2:$G$26,'Accounting data'!$I$2:$I$26,"8*",'Accounting data'!$J$2:$J$26,"33*",'Accounting data'!$K$2:$K$26,"6*")+SUMIFS('Accounting data'!$G$2:$G$26,'Accounting data'!$I$2:$I$26,"9*",'Accounting data'!$J$2:$J$26,"33*",'Accounting data'!$K$2:$K$26,"6*")</f>
        <v>0</v>
      </c>
    </row>
    <row r="1326" spans="1:5" x14ac:dyDescent="0.3">
      <c r="A1326" s="677" t="s">
        <v>217</v>
      </c>
      <c r="B1326" s="677" t="s">
        <v>219</v>
      </c>
      <c r="C1326" s="677">
        <v>3300</v>
      </c>
      <c r="D1326" s="677">
        <v>6900</v>
      </c>
      <c r="E1326" s="678">
        <f>SUMIFS('Accounting data'!$G$2:$G$26,'Accounting data'!$I$2:$I$26,"7*",'Accounting data'!$J$2:$J$26,"33*",'Accounting data'!$K$2:$K$26,"69*")+SUMIFS('Accounting data'!$G$2:$G$26,'Accounting data'!$I$2:$I$26,"8*",'Accounting data'!$J$2:$J$26,"33*",'Accounting data'!$K$2:$K$26,"69*")+SUMIFS('Accounting data'!$G$2:$G$26,'Accounting data'!$I$2:$I$26,"9*",'Accounting data'!$J$2:$J$26,"33*",'Accounting data'!$K$2:$K$26,"69*")</f>
        <v>0</v>
      </c>
    </row>
    <row r="1327" spans="1:5" x14ac:dyDescent="0.3">
      <c r="A1327" s="677" t="s">
        <v>217</v>
      </c>
      <c r="B1327" s="677" t="s">
        <v>219</v>
      </c>
      <c r="C1327" s="677">
        <v>3300</v>
      </c>
      <c r="D1327" s="686">
        <v>6700</v>
      </c>
      <c r="E1327" s="678">
        <f>SUMIFS('Accounting data'!$G$2:$G$26,'Accounting data'!$I$2:$I$26,"7*",'Accounting data'!$J$2:$J$26,"33*",'Accounting data'!$K$2:$K$26,"67*")+SUMIFS('Accounting data'!$G$2:$G$26,'Accounting data'!$I$2:$I$26,"8*",'Accounting data'!$J$2:$J$26,"33*",'Accounting data'!$K$2:$K$26,"67*")+SUMIFS('Accounting data'!$G$2:$G$26,'Accounting data'!$I$2:$I$26,"9*",'Accounting data'!$J$2:$J$26,"33*",'Accounting data'!$K$2:$K$26,"67*")</f>
        <v>0</v>
      </c>
    </row>
    <row r="1328" spans="1:5" x14ac:dyDescent="0.3">
      <c r="A1328" s="679" t="s">
        <v>218</v>
      </c>
      <c r="B1328" s="677" t="s">
        <v>219</v>
      </c>
      <c r="C1328" s="677">
        <v>3300</v>
      </c>
      <c r="D1328" s="677">
        <v>6000</v>
      </c>
      <c r="E1328" s="678">
        <f>SUMIFS('Accounting data'!$G$2:$G$26,'Accounting data'!$H$2:$H$26,"9999*",'Accounting data'!$I$2:$I$26,"7*",'Accounting data'!$J$2:$J$26,"33*",'Accounting data'!$K$2:$K$26,"6*")+SUMIFS('Accounting data'!$G$2:$G$26,'Accounting data'!$H$2:$H$26,"9999*",'Accounting data'!$I$2:$I$26,"8*",'Accounting data'!$J$2:$J$26,"33*",'Accounting data'!$K$2:$K$26,"6*")+SUMIFS('Accounting data'!$G$2:$G$26,'Accounting data'!$H$2:$H$26,"9999*",'Accounting data'!$I$2:$I$26,"9*",'Accounting data'!$J$2:$J$26,"33*",'Accounting data'!$K$2:$K$26,"6*")</f>
        <v>0</v>
      </c>
    </row>
    <row r="1329" spans="1:5" x14ac:dyDescent="0.3">
      <c r="A1329" s="677"/>
      <c r="B1329" s="677"/>
      <c r="C1329" s="677"/>
      <c r="D1329" s="677"/>
      <c r="E1329" s="678"/>
    </row>
    <row r="1330" spans="1:5" x14ac:dyDescent="0.3">
      <c r="A1330" s="679" t="s">
        <v>218</v>
      </c>
      <c r="B1330" s="677" t="s">
        <v>219</v>
      </c>
      <c r="C1330" s="677">
        <v>3300</v>
      </c>
      <c r="D1330" s="677">
        <v>6900</v>
      </c>
      <c r="E1330" s="678">
        <f>SUMIFS('Accounting data'!$G$2:$G$26,'Accounting data'!$H$2:$H$26,"9999*",'Accounting data'!$I$2:$I$26,"7*",'Accounting data'!$J$2:$J$26,"33*",'Accounting data'!$K$2:$K$26,"69*")+SUMIFS('Accounting data'!$G$2:$G$26,'Accounting data'!$H$2:$H$26,"9999*",'Accounting data'!$I$2:$I$26,"8*",'Accounting data'!$J$2:$J$26,"33*",'Accounting data'!$K$2:$K$26,"69*")+SUMIFS('Accounting data'!$G$2:$G$26,'Accounting data'!$H$2:$H$26,"9999*",'Accounting data'!$I$2:$I$26,"9*",'Accounting data'!$J$2:$J$26,"33*",'Accounting data'!$K$2:$K$26,"69*")</f>
        <v>0</v>
      </c>
    </row>
    <row r="1331" spans="1:5" x14ac:dyDescent="0.3">
      <c r="A1331" s="677"/>
      <c r="B1331" s="677"/>
      <c r="C1331" s="677"/>
      <c r="D1331" s="677"/>
      <c r="E1331" s="678"/>
    </row>
    <row r="1332" spans="1:5" x14ac:dyDescent="0.3">
      <c r="A1332" s="679" t="s">
        <v>218</v>
      </c>
      <c r="B1332" s="677" t="s">
        <v>219</v>
      </c>
      <c r="C1332" s="677">
        <v>3300</v>
      </c>
      <c r="D1332" s="686">
        <v>6700</v>
      </c>
      <c r="E1332" s="678">
        <f>SUMIFS('Accounting data'!$G$2:$G$26,'Accounting data'!$H$2:$H$26,"9999*",'Accounting data'!$I$2:$I$26,"7*",'Accounting data'!$J$2:$J$26,"33*",'Accounting data'!$K$2:$K$26,"67*")+SUMIFS('Accounting data'!$G$2:$G$26,'Accounting data'!$H$2:$H$26,"9999*",'Accounting data'!$I$2:$I$26,"8*",'Accounting data'!$J$2:$J$26,"33*",'Accounting data'!$K$2:$K$26,"67*")+SUMIFS('Accounting data'!$G$2:$G$26,'Accounting data'!$H$2:$H$26,"9999*",'Accounting data'!$I$2:$I$26,"9*",'Accounting data'!$J$2:$J$26,"33*",'Accounting data'!$K$2:$K$26,"67*")</f>
        <v>0</v>
      </c>
    </row>
    <row r="1333" spans="1:5" x14ac:dyDescent="0.3">
      <c r="A1333" s="679"/>
      <c r="B1333" s="677"/>
      <c r="C1333" s="677"/>
      <c r="D1333" s="686"/>
      <c r="E1333" s="678"/>
    </row>
    <row r="1334" spans="1:5" x14ac:dyDescent="0.3">
      <c r="A1334" s="679"/>
      <c r="B1334" s="677"/>
      <c r="C1334" s="677"/>
      <c r="D1334" s="686"/>
      <c r="E1334" s="678"/>
    </row>
    <row r="1335" spans="1:5" x14ac:dyDescent="0.3">
      <c r="A1335" s="680" t="s">
        <v>369</v>
      </c>
      <c r="B1335" s="680"/>
      <c r="C1335" s="680"/>
      <c r="D1335" s="680"/>
      <c r="E1335" s="682">
        <f>(E1325-E1326-E1327)-((E1328+E1329)-(E1330+E1331))-(E1332+E1333+E1334)</f>
        <v>0</v>
      </c>
    </row>
    <row r="1336" spans="1:5" x14ac:dyDescent="0.3">
      <c r="A1336" s="677" t="s">
        <v>217</v>
      </c>
      <c r="B1336" s="677" t="s">
        <v>219</v>
      </c>
      <c r="C1336" s="677">
        <v>3400</v>
      </c>
      <c r="D1336" s="677">
        <v>6000</v>
      </c>
      <c r="E1336" s="678">
        <f>SUMIFS('Accounting data'!$G$2:$G$26,'Accounting data'!$I$2:$I$26,"7*",'Accounting data'!$J$2:$J$26,"34*",'Accounting data'!$K$2:$K$26,"6*")+SUMIFS('Accounting data'!$G$2:$G$26,'Accounting data'!$I$2:$I$26,"8*",'Accounting data'!$J$2:$J$26,"34*",'Accounting data'!$K$2:$K$26,"6*")+SUMIFS('Accounting data'!$G$2:$G$26,'Accounting data'!$I$2:$I$26,"9*",'Accounting data'!$J$2:$J$26,"34*",'Accounting data'!$K$2:$K$26,"6*")</f>
        <v>0</v>
      </c>
    </row>
    <row r="1337" spans="1:5" x14ac:dyDescent="0.3">
      <c r="A1337" s="677" t="s">
        <v>217</v>
      </c>
      <c r="B1337" s="677" t="s">
        <v>219</v>
      </c>
      <c r="C1337" s="677">
        <v>3400</v>
      </c>
      <c r="D1337" s="677">
        <v>6900</v>
      </c>
      <c r="E1337" s="678">
        <f>SUMIFS('Accounting data'!$G$2:$G$26,'Accounting data'!$I$2:$I$26,"7*",'Accounting data'!$J$2:$J$26,"34*",'Accounting data'!$K$2:$K$26,"69*")+SUMIFS('Accounting data'!$G$2:$G$26,'Accounting data'!$I$2:$I$26,"8*",'Accounting data'!$J$2:$J$26,"34*",'Accounting data'!$K$2:$K$26,"69*")+SUMIFS('Accounting data'!$G$2:$G$26,'Accounting data'!$I$2:$I$26,"9*",'Accounting data'!$J$2:$J$26,"34*",'Accounting data'!$K$2:$K$26,"69*")</f>
        <v>0</v>
      </c>
    </row>
    <row r="1338" spans="1:5" x14ac:dyDescent="0.3">
      <c r="A1338" s="677" t="s">
        <v>217</v>
      </c>
      <c r="B1338" s="677" t="s">
        <v>219</v>
      </c>
      <c r="C1338" s="677">
        <v>3400</v>
      </c>
      <c r="D1338" s="686">
        <v>6700</v>
      </c>
      <c r="E1338" s="678">
        <f>SUMIFS('Accounting data'!$G$2:$G$26,'Accounting data'!$I$2:$I$26,"7*",'Accounting data'!$J$2:$J$26,"34*",'Accounting data'!$K$2:$K$26,"67*")+SUMIFS('Accounting data'!$G$2:$G$26,'Accounting data'!$I$2:$I$26,"8*",'Accounting data'!$J$2:$J$26,"34*",'Accounting data'!$K$2:$K$26,"67*")+SUMIFS('Accounting data'!$G$2:$G$26,'Accounting data'!$I$2:$I$26,"9*",'Accounting data'!$J$2:$J$26,"34*",'Accounting data'!$K$2:$K$26,"67*")</f>
        <v>0</v>
      </c>
    </row>
    <row r="1339" spans="1:5" x14ac:dyDescent="0.3">
      <c r="A1339" s="679" t="s">
        <v>218</v>
      </c>
      <c r="B1339" s="677" t="s">
        <v>219</v>
      </c>
      <c r="C1339" s="677">
        <v>3400</v>
      </c>
      <c r="D1339" s="677">
        <v>6000</v>
      </c>
      <c r="E1339" s="678">
        <f>SUMIFS('Accounting data'!$G$2:$G$26,'Accounting data'!$H$2:$H$26,"9999*",'Accounting data'!$I$2:$I$26,"7*",'Accounting data'!$J$2:$J$26,"34*",'Accounting data'!$K$2:$K$26,"6*")+SUMIFS('Accounting data'!$G$2:$G$26,'Accounting data'!$H$2:$H$26,"9999*",'Accounting data'!$I$2:$I$26,"8*",'Accounting data'!$J$2:$J$26,"34*",'Accounting data'!$K$2:$K$26,"6*")+SUMIFS('Accounting data'!$G$2:$G$26,'Accounting data'!$H$2:$H$26,"9999*",'Accounting data'!$I$2:$I$26,"9*",'Accounting data'!$J$2:$J$26,"34*",'Accounting data'!$K$2:$K$26,"6*")</f>
        <v>0</v>
      </c>
    </row>
    <row r="1340" spans="1:5" x14ac:dyDescent="0.3">
      <c r="A1340" s="677"/>
      <c r="B1340" s="677"/>
      <c r="C1340" s="677"/>
      <c r="D1340" s="677"/>
      <c r="E1340" s="678"/>
    </row>
    <row r="1341" spans="1:5" x14ac:dyDescent="0.3">
      <c r="A1341" s="679" t="s">
        <v>218</v>
      </c>
      <c r="B1341" s="677" t="s">
        <v>219</v>
      </c>
      <c r="C1341" s="677">
        <v>3400</v>
      </c>
      <c r="D1341" s="677">
        <v>6900</v>
      </c>
      <c r="E1341" s="678">
        <f>SUMIFS('Accounting data'!$G$2:$G$26,'Accounting data'!$H$2:$H$26,"9999*",'Accounting data'!$I$2:$I$26,"7*",'Accounting data'!$J$2:$J$26,"34*",'Accounting data'!$K$2:$K$26,"69*")+SUMIFS('Accounting data'!$G$2:$G$26,'Accounting data'!$H$2:$H$26,"9999*",'Accounting data'!$I$2:$I$26,"8*",'Accounting data'!$J$2:$J$26,"34*",'Accounting data'!$K$2:$K$26,"69*")+SUMIFS('Accounting data'!$G$2:$G$26,'Accounting data'!$H$2:$H$26,"9999*",'Accounting data'!$I$2:$I$26,"9*",'Accounting data'!$J$2:$J$26,"34*",'Accounting data'!$K$2:$K$26,"69*")</f>
        <v>0</v>
      </c>
    </row>
    <row r="1342" spans="1:5" x14ac:dyDescent="0.3">
      <c r="A1342" s="677"/>
      <c r="B1342" s="677"/>
      <c r="C1342" s="677"/>
      <c r="D1342" s="677"/>
      <c r="E1342" s="678"/>
    </row>
    <row r="1343" spans="1:5" x14ac:dyDescent="0.3">
      <c r="A1343" s="679" t="s">
        <v>218</v>
      </c>
      <c r="B1343" s="677" t="s">
        <v>219</v>
      </c>
      <c r="C1343" s="677">
        <v>3400</v>
      </c>
      <c r="D1343" s="686">
        <v>6700</v>
      </c>
      <c r="E1343" s="678">
        <f>SUMIFS('Accounting data'!$G$2:$G$26,'Accounting data'!$H$2:$H$26,"9999*",'Accounting data'!$I$2:$I$26,"7*",'Accounting data'!$J$2:$J$26,"34*",'Accounting data'!$K$2:$K$26,"67*")+SUMIFS('Accounting data'!$G$2:$G$26,'Accounting data'!$H$2:$H$26,"9999*",'Accounting data'!$I$2:$I$26,"8*",'Accounting data'!$J$2:$J$26,"34*",'Accounting data'!$K$2:$K$26,"67*")+SUMIFS('Accounting data'!$G$2:$G$26,'Accounting data'!$H$2:$H$26,"9999*",'Accounting data'!$I$2:$I$26,"9*",'Accounting data'!$J$2:$J$26,"34*",'Accounting data'!$K$2:$K$26,"67*")</f>
        <v>0</v>
      </c>
    </row>
    <row r="1344" spans="1:5" x14ac:dyDescent="0.3">
      <c r="A1344" s="679"/>
      <c r="B1344" s="677"/>
      <c r="C1344" s="677"/>
      <c r="D1344" s="686"/>
      <c r="E1344" s="678"/>
    </row>
    <row r="1345" spans="1:5" x14ac:dyDescent="0.3">
      <c r="A1345" s="679"/>
      <c r="B1345" s="677"/>
      <c r="C1345" s="677"/>
      <c r="D1345" s="686"/>
      <c r="E1345" s="678"/>
    </row>
    <row r="1346" spans="1:5" x14ac:dyDescent="0.3">
      <c r="A1346" s="680" t="s">
        <v>370</v>
      </c>
      <c r="B1346" s="680"/>
      <c r="C1346" s="680"/>
      <c r="D1346" s="680"/>
      <c r="E1346" s="682">
        <f>(E1336-E1337-E1338)-((E1339+E1340)-(E1341+E1342))-(E1343+E1344+E1345)</f>
        <v>0</v>
      </c>
    </row>
    <row r="1347" spans="1:5" x14ac:dyDescent="0.3">
      <c r="A1347" s="677" t="s">
        <v>217</v>
      </c>
      <c r="B1347" s="677" t="s">
        <v>219</v>
      </c>
      <c r="C1347" s="677">
        <v>4000</v>
      </c>
      <c r="D1347" s="677">
        <v>6000</v>
      </c>
      <c r="E1347" s="678">
        <f>SUMIFS('Accounting data'!$G$2:$G$26,'Accounting data'!$I$2:$I$26,"7*",'Accounting data'!$J$2:$J$26,"4*",'Accounting data'!$K$2:$K$26,"6*")+SUMIFS('Accounting data'!$G$2:$G$26,'Accounting data'!$I$2:$I$26,"8*",'Accounting data'!$J$2:$J$26,"4*",'Accounting data'!$K$2:$K$26,"6*")+SUMIFS('Accounting data'!$G$2:$G$26,'Accounting data'!$I$2:$I$26,"9*",'Accounting data'!$J$2:$J$26,"4*",'Accounting data'!$K$2:$K$26,"6*")</f>
        <v>0</v>
      </c>
    </row>
    <row r="1348" spans="1:5" x14ac:dyDescent="0.3">
      <c r="A1348" s="677" t="s">
        <v>217</v>
      </c>
      <c r="B1348" s="677" t="s">
        <v>219</v>
      </c>
      <c r="C1348" s="677">
        <v>4000</v>
      </c>
      <c r="D1348" s="677">
        <v>6900</v>
      </c>
      <c r="E1348" s="678">
        <f>SUMIFS('Accounting data'!$G$2:$G$26,'Accounting data'!$I$2:$I$26,"7*",'Accounting data'!$J$2:$J$26,"4*",'Accounting data'!$K$2:$K$26,"69*")+SUMIFS('Accounting data'!$G$2:$G$26,'Accounting data'!$I$2:$I$26,"8*",'Accounting data'!$J$2:$J$26,"4*",'Accounting data'!$K$2:$K$26,"69*")+SUMIFS('Accounting data'!$G$2:$G$26,'Accounting data'!$I$2:$I$26,"9*",'Accounting data'!$J$2:$J$26,"4*",'Accounting data'!$K$2:$K$26,"69*")</f>
        <v>0</v>
      </c>
    </row>
    <row r="1349" spans="1:5" x14ac:dyDescent="0.3">
      <c r="A1349" s="677" t="s">
        <v>217</v>
      </c>
      <c r="B1349" s="677" t="s">
        <v>219</v>
      </c>
      <c r="C1349" s="677">
        <v>4000</v>
      </c>
      <c r="D1349" s="686">
        <v>6700</v>
      </c>
      <c r="E1349" s="678">
        <f>SUMIFS('Accounting data'!$G$2:$G$26,'Accounting data'!$I$2:$I$26,"7*",'Accounting data'!$J$2:$J$26,"4*",'Accounting data'!$K$2:$K$26,"67*")+SUMIFS('Accounting data'!$G$2:$G$26,'Accounting data'!$I$2:$I$26,"8*",'Accounting data'!$J$2:$J$26,"4*",'Accounting data'!$K$2:$K$26,"67*")+SUMIFS('Accounting data'!$G$2:$G$26,'Accounting data'!$I$2:$I$26,"9*",'Accounting data'!$J$2:$J$26,"4*",'Accounting data'!$K$2:$K$26,"67*")</f>
        <v>0</v>
      </c>
    </row>
    <row r="1350" spans="1:5" x14ac:dyDescent="0.3">
      <c r="A1350" s="679" t="s">
        <v>218</v>
      </c>
      <c r="B1350" s="677" t="s">
        <v>219</v>
      </c>
      <c r="C1350" s="677">
        <v>4000</v>
      </c>
      <c r="D1350" s="677">
        <v>6000</v>
      </c>
      <c r="E1350" s="678">
        <f>SUMIFS('Accounting data'!$G$2:$G$26,'Accounting data'!$H$2:$H$26,"9999*",'Accounting data'!$I$2:$I$26,"7*",'Accounting data'!$J$2:$J$26,"4*",'Accounting data'!$K$2:$K$26,"6*")+SUMIFS('Accounting data'!$G$2:$G$26,'Accounting data'!$H$2:$H$26,"9999*",'Accounting data'!$I$2:$I$26,"8*",'Accounting data'!$J$2:$J$26,"4*",'Accounting data'!$K$2:$K$26,"6*")+SUMIFS('Accounting data'!$G$2:$G$26,'Accounting data'!$H$2:$H$26,"9999*",'Accounting data'!$I$2:$I$26,"9*",'Accounting data'!$J$2:$J$26,"4*",'Accounting data'!$K$2:$K$26,"6*")</f>
        <v>0</v>
      </c>
    </row>
    <row r="1351" spans="1:5" x14ac:dyDescent="0.3">
      <c r="A1351" s="677"/>
      <c r="B1351" s="677"/>
      <c r="C1351" s="677"/>
      <c r="D1351" s="677"/>
      <c r="E1351" s="678"/>
    </row>
    <row r="1352" spans="1:5" x14ac:dyDescent="0.3">
      <c r="A1352" s="679" t="s">
        <v>218</v>
      </c>
      <c r="B1352" s="677" t="s">
        <v>219</v>
      </c>
      <c r="C1352" s="677">
        <v>4000</v>
      </c>
      <c r="D1352" s="677">
        <v>6900</v>
      </c>
      <c r="E1352" s="678">
        <f>SUMIFS('Accounting data'!$G$2:$G$26,'Accounting data'!$H$2:$H$26,"9999*",'Accounting data'!$I$2:$I$26,"7*",'Accounting data'!$J$2:$J$26,"4*",'Accounting data'!$K$2:$K$26,"69*")+SUMIFS('Accounting data'!$G$2:$G$26,'Accounting data'!$H$2:$H$26,"9999*",'Accounting data'!$I$2:$I$26,"8*",'Accounting data'!$J$2:$J$26,"4*",'Accounting data'!$K$2:$K$26,"69*")+SUMIFS('Accounting data'!$G$2:$G$26,'Accounting data'!$H$2:$H$26,"9999*",'Accounting data'!$I$2:$I$26,"9*",'Accounting data'!$J$2:$J$26,"4*",'Accounting data'!$K$2:$K$26,"69*")</f>
        <v>0</v>
      </c>
    </row>
    <row r="1353" spans="1:5" x14ac:dyDescent="0.3">
      <c r="A1353" s="677"/>
      <c r="B1353" s="677"/>
      <c r="C1353" s="677"/>
      <c r="D1353" s="677"/>
      <c r="E1353" s="678"/>
    </row>
    <row r="1354" spans="1:5" x14ac:dyDescent="0.3">
      <c r="A1354" s="679" t="s">
        <v>218</v>
      </c>
      <c r="B1354" s="677" t="s">
        <v>219</v>
      </c>
      <c r="C1354" s="677">
        <v>4000</v>
      </c>
      <c r="D1354" s="686">
        <v>6700</v>
      </c>
      <c r="E1354" s="678">
        <f>SUMIFS('Accounting data'!$G$2:$G$26,'Accounting data'!$H$2:$H$26,"9999*",'Accounting data'!$I$2:$I$26,"7*",'Accounting data'!$J$2:$J$26,"4*",'Accounting data'!$K$2:$K$26,"67*")+SUMIFS('Accounting data'!$G$2:$G$26,'Accounting data'!$H$2:$H$26,"9999*",'Accounting data'!$I$2:$I$26,"8*",'Accounting data'!$J$2:$J$26,"4*",'Accounting data'!$K$2:$K$26,"67*")+SUMIFS('Accounting data'!$G$2:$G$26,'Accounting data'!$H$2:$H$26,"9999*",'Accounting data'!$I$2:$I$26,"9*",'Accounting data'!$J$2:$J$26,"4*",'Accounting data'!$K$2:$K$26,"67*")</f>
        <v>0</v>
      </c>
    </row>
    <row r="1355" spans="1:5" x14ac:dyDescent="0.3">
      <c r="A1355" s="679"/>
      <c r="B1355" s="677"/>
      <c r="C1355" s="677"/>
      <c r="D1355" s="686"/>
      <c r="E1355" s="678"/>
    </row>
    <row r="1356" spans="1:5" x14ac:dyDescent="0.3">
      <c r="A1356" s="679"/>
      <c r="B1356" s="677"/>
      <c r="C1356" s="677"/>
      <c r="D1356" s="686"/>
      <c r="E1356" s="678"/>
    </row>
    <row r="1357" spans="1:5" x14ac:dyDescent="0.3">
      <c r="A1357" s="680" t="s">
        <v>371</v>
      </c>
      <c r="B1357" s="680"/>
      <c r="C1357" s="680"/>
      <c r="D1357" s="680"/>
      <c r="E1357" s="682">
        <f>(E1347-E1348-E1349)-((E1350+E1351)-(E1352+E1353))-(E1354+E1355+E1356)</f>
        <v>0</v>
      </c>
    </row>
    <row r="1358" spans="1:5" x14ac:dyDescent="0.3">
      <c r="A1358" s="677" t="s">
        <v>217</v>
      </c>
      <c r="B1358" s="677" t="s">
        <v>219</v>
      </c>
      <c r="C1358" s="677">
        <v>5000</v>
      </c>
      <c r="D1358" s="677">
        <v>6000</v>
      </c>
      <c r="E1358" s="678">
        <f>SUMIFS('Accounting data'!$G$2:$G$26,'Accounting data'!$I$2:$I$26,"7*",'Accounting data'!$J$2:$J$26,"5*",'Accounting data'!$K$2:$K$26,"6*")+SUMIFS('Accounting data'!$G$2:$G$26,'Accounting data'!$I$2:$I$26,"8*",'Accounting data'!$J$2:$J$26,"5*",'Accounting data'!$K$2:$K$26,"6*")+SUMIFS('Accounting data'!$G$2:$G$26,'Accounting data'!$I$2:$I$26,"9*",'Accounting data'!$J$2:$J$26,"5*",'Accounting data'!$K$2:$K$26,"6*")</f>
        <v>0</v>
      </c>
    </row>
    <row r="1359" spans="1:5" x14ac:dyDescent="0.3">
      <c r="A1359" s="677" t="s">
        <v>217</v>
      </c>
      <c r="B1359" s="677" t="s">
        <v>219</v>
      </c>
      <c r="C1359" s="677">
        <v>5000</v>
      </c>
      <c r="D1359" s="677">
        <v>6900</v>
      </c>
      <c r="E1359" s="678">
        <f>SUMIFS('Accounting data'!$G$2:$G$26,'Accounting data'!$I$2:$I$26,"7*",'Accounting data'!$J$2:$J$26,"5*",'Accounting data'!$K$2:$K$26,"69*")+SUMIFS('Accounting data'!$G$2:$G$26,'Accounting data'!$I$2:$I$26,"8*",'Accounting data'!$J$2:$J$26,"5*",'Accounting data'!$K$2:$K$26,"69*")+SUMIFS('Accounting data'!$G$2:$G$26,'Accounting data'!$I$2:$I$26,"9*",'Accounting data'!$J$2:$J$26,"5*",'Accounting data'!$K$2:$K$26,"69*")</f>
        <v>0</v>
      </c>
    </row>
    <row r="1360" spans="1:5" x14ac:dyDescent="0.3">
      <c r="A1360" s="677" t="s">
        <v>217</v>
      </c>
      <c r="B1360" s="677" t="s">
        <v>219</v>
      </c>
      <c r="C1360" s="677">
        <v>5000</v>
      </c>
      <c r="D1360" s="686">
        <v>6700</v>
      </c>
      <c r="E1360" s="678">
        <f>SUMIFS('Accounting data'!$G$2:$G$26,'Accounting data'!$I$2:$I$26,"7*",'Accounting data'!$J$2:$J$26,"5*",'Accounting data'!$K$2:$K$26,"67*")+SUMIFS('Accounting data'!$G$2:$G$26,'Accounting data'!$I$2:$I$26,"8*",'Accounting data'!$J$2:$J$26,"5*",'Accounting data'!$K$2:$K$26,"67*")+SUMIFS('Accounting data'!$G$2:$G$26,'Accounting data'!$I$2:$I$26,"9*",'Accounting data'!$J$2:$J$26,"5*",'Accounting data'!$K$2:$K$26,"67*")</f>
        <v>0</v>
      </c>
    </row>
    <row r="1361" spans="1:5" x14ac:dyDescent="0.3">
      <c r="A1361" s="679" t="s">
        <v>218</v>
      </c>
      <c r="B1361" s="677" t="s">
        <v>219</v>
      </c>
      <c r="C1361" s="677">
        <v>5000</v>
      </c>
      <c r="D1361" s="677">
        <v>6000</v>
      </c>
      <c r="E1361" s="678">
        <f>SUMIFS('Accounting data'!$G$2:$G$26,'Accounting data'!$H$2:$H$26,"9999*",'Accounting data'!$I$2:$I$26,"7*",'Accounting data'!$J$2:$J$26,"5*",'Accounting data'!$K$2:$K$26,"6*")+SUMIFS('Accounting data'!$G$2:$G$26,'Accounting data'!$H$2:$H$26,"9999*",'Accounting data'!$I$2:$I$26,"8*",'Accounting data'!$J$2:$J$26,"5*",'Accounting data'!$K$2:$K$26,"6*")+SUMIFS('Accounting data'!$G$2:$G$26,'Accounting data'!$H$2:$H$26,"9999*",'Accounting data'!$I$2:$I$26,"9*",'Accounting data'!$J$2:$J$26,"5*",'Accounting data'!$K$2:$K$26,"6*")</f>
        <v>0</v>
      </c>
    </row>
    <row r="1362" spans="1:5" x14ac:dyDescent="0.3">
      <c r="A1362" s="677"/>
      <c r="B1362" s="677"/>
      <c r="C1362" s="677"/>
      <c r="D1362" s="677"/>
      <c r="E1362" s="678"/>
    </row>
    <row r="1363" spans="1:5" x14ac:dyDescent="0.3">
      <c r="A1363" s="679" t="s">
        <v>218</v>
      </c>
      <c r="B1363" s="677" t="s">
        <v>219</v>
      </c>
      <c r="C1363" s="677">
        <v>5000</v>
      </c>
      <c r="D1363" s="677">
        <v>6900</v>
      </c>
      <c r="E1363" s="678">
        <f>SUMIFS('Accounting data'!$G$2:$G$26,'Accounting data'!$H$2:$H$26,"9999*",'Accounting data'!$I$2:$I$26,"7*",'Accounting data'!$J$2:$J$26,"5*",'Accounting data'!$K$2:$K$26,"69*")+SUMIFS('Accounting data'!$G$2:$G$26,'Accounting data'!$H$2:$H$26,"9999*",'Accounting data'!$I$2:$I$26,"8*",'Accounting data'!$J$2:$J$26,"5*",'Accounting data'!$K$2:$K$26,"69*")+SUMIFS('Accounting data'!$G$2:$G$26,'Accounting data'!$H$2:$H$26,"9999*",'Accounting data'!$I$2:$I$26,"9*",'Accounting data'!$J$2:$J$26,"5*",'Accounting data'!$K$2:$K$26,"69*")</f>
        <v>0</v>
      </c>
    </row>
    <row r="1364" spans="1:5" x14ac:dyDescent="0.3">
      <c r="A1364" s="677"/>
      <c r="B1364" s="677"/>
      <c r="C1364" s="677"/>
      <c r="D1364" s="677"/>
      <c r="E1364" s="678"/>
    </row>
    <row r="1365" spans="1:5" x14ac:dyDescent="0.3">
      <c r="A1365" s="679" t="s">
        <v>218</v>
      </c>
      <c r="B1365" s="677" t="s">
        <v>219</v>
      </c>
      <c r="C1365" s="677">
        <v>5000</v>
      </c>
      <c r="D1365" s="686">
        <v>6700</v>
      </c>
      <c r="E1365" s="678">
        <f>SUMIFS('Accounting data'!$G$2:$G$26,'Accounting data'!$H$2:$H$26,"9999*",'Accounting data'!$I$2:$I$26,"7*",'Accounting data'!$J$2:$J$26,"5*",'Accounting data'!$K$2:$K$26,"67*")+SUMIFS('Accounting data'!$G$2:$G$26,'Accounting data'!$H$2:$H$26,"9999*",'Accounting data'!$I$2:$I$26,"8*",'Accounting data'!$J$2:$J$26,"5*",'Accounting data'!$K$2:$K$26,"67*")+SUMIFS('Accounting data'!$G$2:$G$26,'Accounting data'!$H$2:$H$26,"9999*",'Accounting data'!$I$2:$I$26,"9*",'Accounting data'!$J$2:$J$26,"5*",'Accounting data'!$K$2:$K$26,"67*")</f>
        <v>0</v>
      </c>
    </row>
    <row r="1366" spans="1:5" x14ac:dyDescent="0.3">
      <c r="A1366" s="679"/>
      <c r="B1366" s="677"/>
      <c r="C1366" s="677"/>
      <c r="D1366" s="686"/>
      <c r="E1366" s="678"/>
    </row>
    <row r="1367" spans="1:5" x14ac:dyDescent="0.3">
      <c r="A1367" s="679"/>
      <c r="B1367" s="677"/>
      <c r="C1367" s="677"/>
      <c r="D1367" s="686"/>
      <c r="E1367" s="678"/>
    </row>
    <row r="1368" spans="1:5" x14ac:dyDescent="0.3">
      <c r="A1368" s="680" t="s">
        <v>372</v>
      </c>
      <c r="B1368" s="680"/>
      <c r="C1368" s="680"/>
      <c r="D1368" s="680"/>
      <c r="E1368" s="682">
        <f>(E1358-E1359-E1360)-((E1361+E1362)-(E1363+E1364))-(E1365+E1366+E1367)</f>
        <v>0</v>
      </c>
    </row>
    <row r="1369" spans="1:5" x14ac:dyDescent="0.3">
      <c r="A1369" s="683" t="s">
        <v>373</v>
      </c>
      <c r="B1369" s="683"/>
      <c r="C1369" s="683"/>
      <c r="D1369" s="683"/>
      <c r="E1369" s="687">
        <f>E1225+E1236+E1247+E1258+E1269+E1280+E1291+E1302+E1313+E1324+E1335+E1346</f>
        <v>0</v>
      </c>
    </row>
    <row r="1370" spans="1:5" x14ac:dyDescent="0.3">
      <c r="A1370" s="679" t="s">
        <v>231</v>
      </c>
      <c r="B1370" s="679">
        <v>700</v>
      </c>
      <c r="C1370" s="686">
        <v>1000</v>
      </c>
      <c r="D1370" s="677">
        <v>6000</v>
      </c>
      <c r="E1370" s="678">
        <f>SUMIFS('Accounting data'!$G$2:$G$26,'Accounting data'!$H$2:$H$26,"11*",'Accounting data'!$I$2:$I$26,"7*",'Accounting data'!$J$2:$J$26,"1*",'Accounting data'!$K$2:$K$26,"6*")+SUMIFS('Accounting data'!$G$2:$G$26,'Accounting data'!$H$2:$H$26,"12*",'Accounting data'!$I$2:$I$26,"7*",'Accounting data'!$J$2:$J$26,"1*",'Accounting data'!$K$2:$K$26,"6*")+SUMIFS('Accounting data'!$G$2:$G$26,'Accounting data'!$H$2:$H$26,"13*",'Accounting data'!$I$2:$I$26,"7*",'Accounting data'!$J$2:$J$26,"1*",'Accounting data'!$K$2:$K$26,"6*")</f>
        <v>0</v>
      </c>
    </row>
    <row r="1371" spans="1:5" x14ac:dyDescent="0.3">
      <c r="A1371" s="679" t="s">
        <v>231</v>
      </c>
      <c r="B1371" s="679">
        <v>800</v>
      </c>
      <c r="C1371" s="686">
        <v>1000</v>
      </c>
      <c r="D1371" s="677">
        <v>6000</v>
      </c>
      <c r="E1371" s="678">
        <f>SUMIFS('Accounting data'!$G$2:$G$26,'Accounting data'!$H$2:$H$26,"11*",'Accounting data'!$I$2:$I$26,"8*",'Accounting data'!$J$2:$J$26,"1*",'Accounting data'!$K$2:$K$26,"6*")+SUMIFS('Accounting data'!$G$2:$G$26,'Accounting data'!$H$2:$H$26,"12*",'Accounting data'!$I$2:$I$26,"8*",'Accounting data'!$J$2:$J$26,"1*",'Accounting data'!$K$2:$K$26,"6*")+SUMIFS('Accounting data'!$G$2:$G$26,'Accounting data'!$H$2:$H$26,"13*",'Accounting data'!$I$2:$I$26,"8*",'Accounting data'!$J$2:$J$26,"1*",'Accounting data'!$K$2:$K$26,"6*")</f>
        <v>0</v>
      </c>
    </row>
    <row r="1372" spans="1:5" x14ac:dyDescent="0.3">
      <c r="A1372" s="679" t="s">
        <v>231</v>
      </c>
      <c r="B1372" s="679">
        <v>900</v>
      </c>
      <c r="C1372" s="686">
        <v>1000</v>
      </c>
      <c r="D1372" s="677">
        <v>6000</v>
      </c>
      <c r="E1372" s="678">
        <f>SUMIFS('Accounting data'!$G$2:$G$26,'Accounting data'!$H$2:$H$26,"11*",'Accounting data'!$I$2:$I$26,"9*",'Accounting data'!$J$2:$J$26,"1*",'Accounting data'!$K$2:$K$26,"6*")+SUMIFS('Accounting data'!$G$2:$G$26,'Accounting data'!$H$2:$H$26,"12*",'Accounting data'!$I$2:$I$26,"9*",'Accounting data'!$J$2:$J$26,"1*",'Accounting data'!$K$2:$K$26,"6*")+SUMIFS('Accounting data'!$G$2:$G$26,'Accounting data'!$H$2:$H$26,"13*",'Accounting data'!$I$2:$I$26,"9*",'Accounting data'!$J$2:$J$26,"1*",'Accounting data'!$K$2:$K$26,"6*")</f>
        <v>0</v>
      </c>
    </row>
    <row r="1373" spans="1:5" x14ac:dyDescent="0.3">
      <c r="A1373" s="679" t="s">
        <v>231</v>
      </c>
      <c r="B1373" s="679">
        <v>700</v>
      </c>
      <c r="C1373" s="686">
        <v>2000</v>
      </c>
      <c r="D1373" s="677">
        <v>6000</v>
      </c>
      <c r="E1373" s="678">
        <f>SUMIFS('Accounting data'!$G$2:$G$26,'Accounting data'!$H$2:$H$26,"11*",'Accounting data'!$I$2:$I$26,"7*",'Accounting data'!$J$2:$J$26,"2*",'Accounting data'!$K$2:$K$26,"6*")+SUMIFS('Accounting data'!$G$2:$G$26,'Accounting data'!$H$2:$H$26,"12*",'Accounting data'!$I$2:$I$26,"7*",'Accounting data'!$J$2:$J$26,"2*",'Accounting data'!$K$2:$K$26,"6*")+SUMIFS('Accounting data'!$G$2:$G$26,'Accounting data'!$H$2:$H$26,"13*",'Accounting data'!$I$2:$I$26,"7*",'Accounting data'!$J$2:$J$26,"2*",'Accounting data'!$K$2:$K$26,"6*")</f>
        <v>0</v>
      </c>
    </row>
    <row r="1374" spans="1:5" x14ac:dyDescent="0.3">
      <c r="A1374" s="679" t="s">
        <v>231</v>
      </c>
      <c r="B1374" s="679">
        <v>800</v>
      </c>
      <c r="C1374" s="686">
        <v>2000</v>
      </c>
      <c r="D1374" s="677">
        <v>6000</v>
      </c>
      <c r="E1374" s="678">
        <f>SUMIFS('Accounting data'!$G$2:$G$26,'Accounting data'!$H$2:$H$26,"11*",'Accounting data'!$I$2:$I$26,"8*",'Accounting data'!$J$2:$J$26,"2*",'Accounting data'!$K$2:$K$26,"6*")+SUMIFS('Accounting data'!$G$2:$G$26,'Accounting data'!$H$2:$H$26,"12*",'Accounting data'!$I$2:$I$26,"8*",'Accounting data'!$J$2:$J$26,"2*",'Accounting data'!$K$2:$K$26,"6*")+SUMIFS('Accounting data'!$G$2:$G$26,'Accounting data'!$H$2:$H$26,"13*",'Accounting data'!$I$2:$I$26,"8*",'Accounting data'!$J$2:$J$26,"2*",'Accounting data'!$K$2:$K$26,"6*")</f>
        <v>0</v>
      </c>
    </row>
    <row r="1375" spans="1:5" x14ac:dyDescent="0.3">
      <c r="A1375" s="679" t="s">
        <v>231</v>
      </c>
      <c r="B1375" s="679">
        <v>900</v>
      </c>
      <c r="C1375" s="686">
        <v>2000</v>
      </c>
      <c r="D1375" s="677">
        <v>6000</v>
      </c>
      <c r="E1375" s="678">
        <f>SUMIFS('Accounting data'!$G$2:$G$26,'Accounting data'!$H$2:$H$26,"11*",'Accounting data'!$I$2:$I$26,"9*",'Accounting data'!$J$2:$J$26,"2*",'Accounting data'!$K$2:$K$26,"6*")+SUMIFS('Accounting data'!$G$2:$G$26,'Accounting data'!$H$2:$H$26,"12*",'Accounting data'!$I$2:$I$26,"9*",'Accounting data'!$J$2:$J$26,"2*",'Accounting data'!$K$2:$K$26,"6*")+SUMIFS('Accounting data'!$G$2:$G$26,'Accounting data'!$H$2:$H$26,"13*",'Accounting data'!$I$2:$I$26,"9*",'Accounting data'!$J$2:$J$26,"2*",'Accounting data'!$K$2:$K$26,"6*")</f>
        <v>0</v>
      </c>
    </row>
    <row r="1376" spans="1:5" x14ac:dyDescent="0.3">
      <c r="A1376" s="679" t="s">
        <v>231</v>
      </c>
      <c r="B1376" s="679">
        <v>700</v>
      </c>
      <c r="C1376" s="686">
        <v>3000</v>
      </c>
      <c r="D1376" s="677">
        <v>6000</v>
      </c>
      <c r="E1376" s="678">
        <f>SUMIFS('Accounting data'!$G$2:$G$26,'Accounting data'!$H$2:$H$26,"11*",'Accounting data'!$I$2:$I$26,"7*",'Accounting data'!$J$2:$J$26,"3*",'Accounting data'!$K$2:$K$26,"6*")+SUMIFS('Accounting data'!$G$2:$G$26,'Accounting data'!$H$2:$H$26,"12*",'Accounting data'!$I$2:$I$26,"7*",'Accounting data'!$J$2:$J$26,"3*",'Accounting data'!$K$2:$K$26,"6*")+SUMIFS('Accounting data'!$G$2:$G$26,'Accounting data'!$H$2:$H$26,"13*",'Accounting data'!$I$2:$I$26,"7*",'Accounting data'!$J$2:$J$26,"3*",'Accounting data'!$K$2:$K$26,"6*")</f>
        <v>0</v>
      </c>
    </row>
    <row r="1377" spans="1:5" x14ac:dyDescent="0.3">
      <c r="A1377" s="679" t="s">
        <v>231</v>
      </c>
      <c r="B1377" s="679">
        <v>800</v>
      </c>
      <c r="C1377" s="686">
        <v>3000</v>
      </c>
      <c r="D1377" s="677">
        <v>6000</v>
      </c>
      <c r="E1377" s="678">
        <f>SUMIFS('Accounting data'!$G$2:$G$26,'Accounting data'!$H$2:$H$26,"11*",'Accounting data'!$I$2:$I$26,"8*",'Accounting data'!$J$2:$J$26,"3*",'Accounting data'!$K$2:$K$26,"6*")+SUMIFS('Accounting data'!$G$2:$G$26,'Accounting data'!$H$2:$H$26,"12*",'Accounting data'!$I$2:$I$26,"8*",'Accounting data'!$J$2:$J$26,"3*",'Accounting data'!$K$2:$K$26,"6*")+SUMIFS('Accounting data'!$G$2:$G$26,'Accounting data'!$H$2:$H$26,"13*",'Accounting data'!$I$2:$I$26,"8*",'Accounting data'!$J$2:$J$26,"3*",'Accounting data'!$K$2:$K$26,"6*")</f>
        <v>0</v>
      </c>
    </row>
    <row r="1378" spans="1:5" x14ac:dyDescent="0.3">
      <c r="A1378" s="679" t="s">
        <v>231</v>
      </c>
      <c r="B1378" s="679">
        <v>900</v>
      </c>
      <c r="C1378" s="686">
        <v>3000</v>
      </c>
      <c r="D1378" s="677">
        <v>6000</v>
      </c>
      <c r="E1378" s="678">
        <f>SUMIFS('Accounting data'!$G$2:$G$26,'Accounting data'!$H$2:$H$26,"11*",'Accounting data'!$I$2:$I$26,"9*",'Accounting data'!$J$2:$J$26,"3*",'Accounting data'!$K$2:$K$26,"6*")+SUMIFS('Accounting data'!$G$2:$G$26,'Accounting data'!$H$2:$H$26,"12*",'Accounting data'!$I$2:$I$26,"9*",'Accounting data'!$J$2:$J$26,"3*",'Accounting data'!$K$2:$K$26,"6*")+SUMIFS('Accounting data'!$G$2:$G$26,'Accounting data'!$H$2:$H$26,"13*",'Accounting data'!$I$2:$I$26,"9*",'Accounting data'!$J$2:$J$26,"3*",'Accounting data'!$K$2:$K$26,"6*")</f>
        <v>0</v>
      </c>
    </row>
    <row r="1379" spans="1:5" x14ac:dyDescent="0.3">
      <c r="A1379" s="679" t="s">
        <v>231</v>
      </c>
      <c r="B1379" s="679">
        <v>700</v>
      </c>
      <c r="C1379" s="686">
        <v>1000</v>
      </c>
      <c r="D1379" s="677">
        <v>6900</v>
      </c>
      <c r="E1379" s="678">
        <f>SUMIFS('Accounting data'!$G$2:$G$26,'Accounting data'!$H$2:$H$26,"11*",'Accounting data'!$I$2:$I$26,"7*",'Accounting data'!$J$2:$J$26,"1*",'Accounting data'!$K$2:$K$26,"69*")+SUMIFS('Accounting data'!$G$2:$G$26,'Accounting data'!$H$2:$H$26,"12*",'Accounting data'!$I$2:$I$26,"7*",'Accounting data'!$J$2:$J$26,"1*",'Accounting data'!$K$2:$K$26,"69*")+SUMIFS('Accounting data'!$G$2:$G$26,'Accounting data'!$H$2:$H$26,"13*",'Accounting data'!$I$2:$I$26,"7*",'Accounting data'!$J$2:$J$26,"1*",'Accounting data'!$K$2:$K$26,"69*")</f>
        <v>0</v>
      </c>
    </row>
    <row r="1380" spans="1:5" x14ac:dyDescent="0.3">
      <c r="A1380" s="679" t="s">
        <v>231</v>
      </c>
      <c r="B1380" s="679">
        <v>800</v>
      </c>
      <c r="C1380" s="686">
        <v>1000</v>
      </c>
      <c r="D1380" s="677">
        <v>6900</v>
      </c>
      <c r="E1380" s="678">
        <f>SUMIFS('Accounting data'!$G$2:$G$26,'Accounting data'!$H$2:$H$26,"11*",'Accounting data'!$I$2:$I$26,"8*",'Accounting data'!$J$2:$J$26,"1*",'Accounting data'!$K$2:$K$26,"69*")+SUMIFS('Accounting data'!$G$2:$G$26,'Accounting data'!$H$2:$H$26,"12*",'Accounting data'!$I$2:$I$26,"8*",'Accounting data'!$J$2:$J$26,"1*",'Accounting data'!$K$2:$K$26,"69*")+SUMIFS('Accounting data'!$G$2:$G$26,'Accounting data'!$H$2:$H$26,"13*",'Accounting data'!$I$2:$I$26,"8*",'Accounting data'!$J$2:$J$26,"1*",'Accounting data'!$K$2:$K$26,"69*")</f>
        <v>0</v>
      </c>
    </row>
    <row r="1381" spans="1:5" x14ac:dyDescent="0.3">
      <c r="A1381" s="679" t="s">
        <v>231</v>
      </c>
      <c r="B1381" s="679">
        <v>900</v>
      </c>
      <c r="C1381" s="686">
        <v>1000</v>
      </c>
      <c r="D1381" s="677">
        <v>6900</v>
      </c>
      <c r="E1381" s="678">
        <f>SUMIFS('Accounting data'!$G$2:$G$26,'Accounting data'!$H$2:$H$26,"11*",'Accounting data'!$I$2:$I$26,"9*",'Accounting data'!$J$2:$J$26,"1*",'Accounting data'!$K$2:$K$26,"69*")+SUMIFS('Accounting data'!$G$2:$G$26,'Accounting data'!$H$2:$H$26,"12*",'Accounting data'!$I$2:$I$26,"9*",'Accounting data'!$J$2:$J$26,"1*",'Accounting data'!$K$2:$K$26,"69*")+SUMIFS('Accounting data'!$G$2:$G$26,'Accounting data'!$H$2:$H$26,"13*",'Accounting data'!$I$2:$I$26,"9*",'Accounting data'!$J$2:$J$26,"1*",'Accounting data'!$K$2:$K$26,"69*")</f>
        <v>0</v>
      </c>
    </row>
    <row r="1382" spans="1:5" x14ac:dyDescent="0.3">
      <c r="A1382" s="679" t="s">
        <v>231</v>
      </c>
      <c r="B1382" s="679">
        <v>700</v>
      </c>
      <c r="C1382" s="686">
        <v>2000</v>
      </c>
      <c r="D1382" s="677">
        <v>6900</v>
      </c>
      <c r="E1382" s="678">
        <f>SUMIFS('Accounting data'!$G$2:$G$26,'Accounting data'!$H$2:$H$26,"11*",'Accounting data'!$I$2:$I$26,"7*",'Accounting data'!$J$2:$J$26,"2*",'Accounting data'!$K$2:$K$26,"69*")+SUMIFS('Accounting data'!$G$2:$G$26,'Accounting data'!$H$2:$H$26,"12*",'Accounting data'!$I$2:$I$26,"7*",'Accounting data'!$J$2:$J$26,"2*",'Accounting data'!$K$2:$K$26,"69*")+SUMIFS('Accounting data'!$G$2:$G$26,'Accounting data'!$H$2:$H$26,"13*",'Accounting data'!$I$2:$I$26,"7*",'Accounting data'!$J$2:$J$26,"2*",'Accounting data'!$K$2:$K$26,"69*")</f>
        <v>0</v>
      </c>
    </row>
    <row r="1383" spans="1:5" x14ac:dyDescent="0.3">
      <c r="A1383" s="679" t="s">
        <v>231</v>
      </c>
      <c r="B1383" s="679">
        <v>800</v>
      </c>
      <c r="C1383" s="686">
        <v>2000</v>
      </c>
      <c r="D1383" s="677">
        <v>6900</v>
      </c>
      <c r="E1383" s="678">
        <f>SUMIFS('Accounting data'!$G$2:$G$26,'Accounting data'!$H$2:$H$26,"11*",'Accounting data'!$I$2:$I$26,"8*",'Accounting data'!$J$2:$J$26,"2*",'Accounting data'!$K$2:$K$26,"69*")+SUMIFS('Accounting data'!$G$2:$G$26,'Accounting data'!$H$2:$H$26,"12*",'Accounting data'!$I$2:$I$26,"8*",'Accounting data'!$J$2:$J$26,"2*",'Accounting data'!$K$2:$K$26,"69*")+SUMIFS('Accounting data'!$G$2:$G$26,'Accounting data'!$H$2:$H$26,"13*",'Accounting data'!$I$2:$I$26,"8*",'Accounting data'!$J$2:$J$26,"2*",'Accounting data'!$K$2:$K$26,"69*")</f>
        <v>0</v>
      </c>
    </row>
    <row r="1384" spans="1:5" x14ac:dyDescent="0.3">
      <c r="A1384" s="679" t="s">
        <v>231</v>
      </c>
      <c r="B1384" s="679">
        <v>900</v>
      </c>
      <c r="C1384" s="686">
        <v>2000</v>
      </c>
      <c r="D1384" s="677">
        <v>6900</v>
      </c>
      <c r="E1384" s="678">
        <f>SUMIFS('Accounting data'!$G$2:$G$26,'Accounting data'!$H$2:$H$26,"11*",'Accounting data'!$I$2:$I$26,"9*",'Accounting data'!$J$2:$J$26,"2*",'Accounting data'!$K$2:$K$26,"69*")+SUMIFS('Accounting data'!$G$2:$G$26,'Accounting data'!$H$2:$H$26,"12*",'Accounting data'!$I$2:$I$26,"9*",'Accounting data'!$J$2:$J$26,"2*",'Accounting data'!$K$2:$K$26,"69*")+SUMIFS('Accounting data'!$G$2:$G$26,'Accounting data'!$H$2:$H$26,"13*",'Accounting data'!$I$2:$I$26,"9*",'Accounting data'!$J$2:$J$26,"2*",'Accounting data'!$K$2:$K$26,"69*")</f>
        <v>0</v>
      </c>
    </row>
    <row r="1385" spans="1:5" x14ac:dyDescent="0.3">
      <c r="A1385" s="679" t="s">
        <v>231</v>
      </c>
      <c r="B1385" s="679">
        <v>700</v>
      </c>
      <c r="C1385" s="686">
        <v>3000</v>
      </c>
      <c r="D1385" s="677">
        <v>6900</v>
      </c>
      <c r="E1385" s="678">
        <f>SUMIFS('Accounting data'!$G$2:$G$26,'Accounting data'!$H$2:$H$26,"11*",'Accounting data'!$I$2:$I$26,"7*",'Accounting data'!$J$2:$J$26,"3*",'Accounting data'!$K$2:$K$26,"69*")+SUMIFS('Accounting data'!$G$2:$G$26,'Accounting data'!$H$2:$H$26,"12*",'Accounting data'!$I$2:$I$26,"7*",'Accounting data'!$J$2:$J$26,"3*",'Accounting data'!$K$2:$K$26,"69*")+SUMIFS('Accounting data'!$G$2:$G$26,'Accounting data'!$H$2:$H$26,"13*",'Accounting data'!$I$2:$I$26,"7*",'Accounting data'!$J$2:$J$26,"3*",'Accounting data'!$K$2:$K$26,"69*")</f>
        <v>0</v>
      </c>
    </row>
    <row r="1386" spans="1:5" x14ac:dyDescent="0.3">
      <c r="A1386" s="679" t="s">
        <v>231</v>
      </c>
      <c r="B1386" s="679">
        <v>800</v>
      </c>
      <c r="C1386" s="686">
        <v>3000</v>
      </c>
      <c r="D1386" s="677">
        <v>6900</v>
      </c>
      <c r="E1386" s="678">
        <f>SUMIFS('Accounting data'!$G$2:$G$26,'Accounting data'!$H$2:$H$26,"11*",'Accounting data'!$I$2:$I$26,"8*",'Accounting data'!$J$2:$J$26,"3*",'Accounting data'!$K$2:$K$26,"69*")+SUMIFS('Accounting data'!$G$2:$G$26,'Accounting data'!$H$2:$H$26,"12*",'Accounting data'!$I$2:$I$26,"8*",'Accounting data'!$J$2:$J$26,"3*",'Accounting data'!$K$2:$K$26,"69*")+SUMIFS('Accounting data'!$G$2:$G$26,'Accounting data'!$H$2:$H$26,"13*",'Accounting data'!$I$2:$I$26,"8*",'Accounting data'!$J$2:$J$26,"3*",'Accounting data'!$K$2:$K$26,"69*")</f>
        <v>0</v>
      </c>
    </row>
    <row r="1387" spans="1:5" x14ac:dyDescent="0.3">
      <c r="A1387" s="679" t="s">
        <v>231</v>
      </c>
      <c r="B1387" s="679">
        <v>900</v>
      </c>
      <c r="C1387" s="686">
        <v>3000</v>
      </c>
      <c r="D1387" s="677">
        <v>6900</v>
      </c>
      <c r="E1387" s="678">
        <f>SUMIFS('Accounting data'!$G$2:$G$26,'Accounting data'!$H$2:$H$26,"11*",'Accounting data'!$I$2:$I$26,"9*",'Accounting data'!$J$2:$J$26,"3*",'Accounting data'!$K$2:$K$26,"69*")+SUMIFS('Accounting data'!$G$2:$G$26,'Accounting data'!$H$2:$H$26,"12*",'Accounting data'!$I$2:$I$26,"9*",'Accounting data'!$J$2:$J$26,"3*",'Accounting data'!$K$2:$K$26,"69*")+SUMIFS('Accounting data'!$G$2:$G$26,'Accounting data'!$H$2:$H$26,"13*",'Accounting data'!$I$2:$I$26,"9*",'Accounting data'!$J$2:$J$26,"3*",'Accounting data'!$K$2:$K$26,"69*")</f>
        <v>0</v>
      </c>
    </row>
    <row r="1388" spans="1:5" x14ac:dyDescent="0.3">
      <c r="A1388" s="680" t="s">
        <v>307</v>
      </c>
      <c r="B1388" s="680"/>
      <c r="C1388" s="680"/>
      <c r="D1388" s="680"/>
      <c r="E1388" s="682">
        <f>(E1370+E1371+E1372+E1373+E1374+E1375+E1376+E1377+E1378)-(E1379+E1380+E1381+E1382+E1383+E1384+E1385+E1386+E1387)</f>
        <v>0</v>
      </c>
    </row>
    <row r="1389" spans="1:5" x14ac:dyDescent="0.3">
      <c r="A1389" s="690"/>
      <c r="B1389" s="690"/>
      <c r="C1389" s="690"/>
      <c r="D1389" s="690"/>
      <c r="E1389" s="691"/>
    </row>
    <row r="1390" spans="1:5" x14ac:dyDescent="0.3">
      <c r="A1390" s="690"/>
      <c r="B1390" s="690"/>
      <c r="C1390" s="690"/>
      <c r="D1390" s="690"/>
      <c r="E1390" s="691"/>
    </row>
    <row r="1391" spans="1:5" x14ac:dyDescent="0.3">
      <c r="A1391" s="690"/>
      <c r="B1391" s="690"/>
      <c r="C1391" s="690"/>
      <c r="D1391" s="690"/>
      <c r="E1391" s="691"/>
    </row>
    <row r="1392" spans="1:5" x14ac:dyDescent="0.3">
      <c r="A1392" s="690"/>
      <c r="B1392" s="690"/>
      <c r="C1392" s="690"/>
      <c r="D1392" s="690"/>
      <c r="E1392" s="691"/>
    </row>
    <row r="1393" spans="1:5" x14ac:dyDescent="0.3">
      <c r="A1393" s="690"/>
      <c r="B1393" s="690"/>
      <c r="C1393" s="690"/>
      <c r="D1393" s="692"/>
      <c r="E1393" s="691"/>
    </row>
    <row r="1394" spans="1:5" x14ac:dyDescent="0.3">
      <c r="A1394" s="690"/>
      <c r="B1394" s="690"/>
      <c r="C1394" s="690"/>
      <c r="D1394" s="690"/>
      <c r="E1394" s="691"/>
    </row>
    <row r="1395" spans="1:5" x14ac:dyDescent="0.3">
      <c r="A1395" s="690"/>
      <c r="B1395" s="690"/>
      <c r="C1395" s="690"/>
      <c r="D1395" s="690"/>
      <c r="E1395" s="691"/>
    </row>
    <row r="1396" spans="1:5" x14ac:dyDescent="0.3">
      <c r="A1396" s="690"/>
      <c r="B1396" s="690"/>
      <c r="C1396" s="690"/>
      <c r="D1396" s="690"/>
      <c r="E1396" s="691"/>
    </row>
    <row r="1397" spans="1:5" x14ac:dyDescent="0.3">
      <c r="A1397" s="690"/>
      <c r="B1397" s="690"/>
      <c r="C1397" s="690"/>
      <c r="D1397" s="690"/>
      <c r="E1397" s="691"/>
    </row>
    <row r="1398" spans="1:5" x14ac:dyDescent="0.3">
      <c r="A1398" s="690"/>
      <c r="B1398" s="690"/>
      <c r="C1398" s="690"/>
      <c r="D1398" s="690"/>
      <c r="E1398" s="691"/>
    </row>
    <row r="1399" spans="1:5" x14ac:dyDescent="0.3">
      <c r="A1399" s="690"/>
      <c r="B1399" s="690"/>
      <c r="C1399" s="690"/>
      <c r="D1399" s="693"/>
      <c r="E1399" s="691"/>
    </row>
    <row r="1400" spans="1:5" x14ac:dyDescent="0.3">
      <c r="A1400" s="690"/>
      <c r="B1400" s="690"/>
      <c r="C1400" s="690"/>
      <c r="D1400" s="690"/>
      <c r="E1400" s="691"/>
    </row>
    <row r="1401" spans="1:5" x14ac:dyDescent="0.3">
      <c r="A1401" s="690"/>
      <c r="B1401" s="690"/>
      <c r="C1401" s="690"/>
      <c r="D1401" s="690"/>
      <c r="E1401" s="691"/>
    </row>
    <row r="1402" spans="1:5" x14ac:dyDescent="0.3">
      <c r="A1402" s="690"/>
      <c r="B1402" s="690"/>
      <c r="C1402" s="690"/>
      <c r="D1402" s="690"/>
      <c r="E1402" s="691"/>
    </row>
    <row r="1403" spans="1:5" x14ac:dyDescent="0.3">
      <c r="A1403" s="690"/>
      <c r="B1403" s="690"/>
      <c r="C1403" s="690"/>
      <c r="D1403" s="690"/>
      <c r="E1403" s="691"/>
    </row>
    <row r="1404" spans="1:5" x14ac:dyDescent="0.3">
      <c r="A1404" s="690"/>
      <c r="B1404" s="690"/>
      <c r="C1404" s="690"/>
      <c r="D1404" s="690"/>
      <c r="E1404" s="691"/>
    </row>
    <row r="1405" spans="1:5" x14ac:dyDescent="0.3">
      <c r="A1405" s="690"/>
      <c r="B1405" s="690"/>
      <c r="C1405" s="690"/>
      <c r="D1405" s="693"/>
      <c r="E1405" s="691"/>
    </row>
    <row r="1406" spans="1:5" x14ac:dyDescent="0.3">
      <c r="A1406" s="690"/>
      <c r="B1406" s="690"/>
      <c r="C1406" s="690"/>
      <c r="D1406" s="690"/>
      <c r="E1406" s="691"/>
    </row>
    <row r="1407" spans="1:5" x14ac:dyDescent="0.3">
      <c r="A1407" s="690"/>
      <c r="B1407" s="690"/>
      <c r="C1407" s="690"/>
      <c r="D1407" s="690"/>
      <c r="E1407" s="691"/>
    </row>
    <row r="1408" spans="1:5" x14ac:dyDescent="0.3">
      <c r="A1408" s="690"/>
      <c r="B1408" s="690"/>
      <c r="C1408" s="690"/>
      <c r="D1408" s="690"/>
      <c r="E1408" s="691"/>
    </row>
    <row r="1409" spans="1:5" x14ac:dyDescent="0.3">
      <c r="A1409" s="690"/>
      <c r="B1409" s="690"/>
      <c r="C1409" s="690"/>
      <c r="D1409" s="690"/>
      <c r="E1409" s="691"/>
    </row>
    <row r="1410" spans="1:5" x14ac:dyDescent="0.3">
      <c r="A1410" s="690"/>
      <c r="B1410" s="690"/>
      <c r="C1410" s="690"/>
      <c r="D1410" s="690"/>
      <c r="E1410" s="691"/>
    </row>
    <row r="1411" spans="1:5" x14ac:dyDescent="0.3">
      <c r="A1411" s="690"/>
      <c r="B1411" s="690"/>
      <c r="C1411" s="690"/>
      <c r="D1411" s="693"/>
      <c r="E1411" s="691"/>
    </row>
    <row r="1412" spans="1:5" x14ac:dyDescent="0.3">
      <c r="A1412" s="690"/>
      <c r="B1412" s="690"/>
      <c r="C1412" s="690"/>
      <c r="D1412" s="690"/>
      <c r="E1412" s="691"/>
    </row>
    <row r="1413" spans="1:5" x14ac:dyDescent="0.3">
      <c r="A1413" s="690"/>
      <c r="B1413" s="690"/>
      <c r="C1413" s="690"/>
      <c r="D1413" s="690"/>
      <c r="E1413" s="691"/>
    </row>
    <row r="1414" spans="1:5" x14ac:dyDescent="0.3">
      <c r="A1414" s="690"/>
      <c r="B1414" s="690"/>
      <c r="C1414" s="690"/>
      <c r="D1414" s="690"/>
      <c r="E1414" s="691"/>
    </row>
    <row r="1415" spans="1:5" x14ac:dyDescent="0.3">
      <c r="A1415" s="690"/>
      <c r="B1415" s="690"/>
      <c r="C1415" s="690"/>
      <c r="D1415" s="690"/>
      <c r="E1415" s="691"/>
    </row>
    <row r="1416" spans="1:5" x14ac:dyDescent="0.3">
      <c r="A1416" s="690"/>
      <c r="B1416" s="690"/>
      <c r="C1416" s="690"/>
      <c r="D1416" s="690"/>
      <c r="E1416" s="691"/>
    </row>
    <row r="1417" spans="1:5" x14ac:dyDescent="0.3">
      <c r="A1417" s="690"/>
      <c r="B1417" s="690"/>
      <c r="C1417" s="690"/>
      <c r="D1417" s="693"/>
      <c r="E1417" s="691"/>
    </row>
    <row r="1418" spans="1:5" x14ac:dyDescent="0.3">
      <c r="A1418" s="690"/>
      <c r="B1418" s="690"/>
      <c r="C1418" s="690"/>
      <c r="D1418" s="693"/>
      <c r="E1418" s="691"/>
    </row>
    <row r="1419" spans="1:5" x14ac:dyDescent="0.3">
      <c r="A1419" s="690"/>
      <c r="B1419" s="690"/>
      <c r="C1419" s="690"/>
      <c r="D1419" s="693"/>
      <c r="E1419" s="691"/>
    </row>
    <row r="1420" spans="1:5" x14ac:dyDescent="0.3">
      <c r="A1420" s="690"/>
      <c r="B1420" s="690"/>
      <c r="C1420" s="690"/>
      <c r="D1420" s="690"/>
      <c r="E1420" s="691"/>
    </row>
    <row r="1421" spans="1:5" x14ac:dyDescent="0.3">
      <c r="A1421" s="690"/>
      <c r="B1421" s="690"/>
      <c r="C1421" s="690"/>
      <c r="D1421" s="690"/>
      <c r="E1421" s="691"/>
    </row>
    <row r="1422" spans="1:5" x14ac:dyDescent="0.3">
      <c r="A1422" s="690"/>
      <c r="B1422" s="690"/>
      <c r="C1422" s="690"/>
      <c r="D1422" s="690"/>
      <c r="E1422" s="691"/>
    </row>
    <row r="1423" spans="1:5" x14ac:dyDescent="0.3">
      <c r="A1423" s="690"/>
      <c r="B1423" s="690"/>
      <c r="C1423" s="690"/>
      <c r="D1423" s="693"/>
      <c r="E1423" s="691"/>
    </row>
    <row r="1424" spans="1:5" x14ac:dyDescent="0.3">
      <c r="A1424" s="690"/>
      <c r="B1424" s="690"/>
      <c r="C1424" s="690"/>
      <c r="D1424" s="690"/>
      <c r="E1424" s="691"/>
    </row>
    <row r="1425" spans="1:5" x14ac:dyDescent="0.3">
      <c r="A1425" s="690"/>
      <c r="B1425" s="690"/>
      <c r="C1425" s="693"/>
      <c r="D1425" s="693"/>
      <c r="E1425" s="691"/>
    </row>
    <row r="1426" spans="1:5" x14ac:dyDescent="0.3">
      <c r="A1426" s="690"/>
      <c r="B1426" s="690"/>
      <c r="C1426" s="690"/>
      <c r="D1426" s="693"/>
      <c r="E1426" s="691"/>
    </row>
    <row r="1427" spans="1:5" x14ac:dyDescent="0.3">
      <c r="A1427" s="690"/>
      <c r="B1427" s="690"/>
      <c r="C1427" s="693"/>
      <c r="D1427" s="693"/>
      <c r="E1427" s="691"/>
    </row>
    <row r="1428" spans="1:5" x14ac:dyDescent="0.3">
      <c r="A1428" s="690"/>
      <c r="B1428" s="690"/>
      <c r="C1428" s="690"/>
      <c r="D1428" s="693"/>
      <c r="E1428" s="691"/>
    </row>
    <row r="1429" spans="1:5" x14ac:dyDescent="0.3">
      <c r="A1429" s="690"/>
      <c r="B1429" s="690"/>
      <c r="C1429" s="693"/>
      <c r="D1429" s="693"/>
      <c r="E1429" s="691"/>
    </row>
    <row r="1430" spans="1:5" x14ac:dyDescent="0.3">
      <c r="A1430" s="690"/>
      <c r="B1430" s="690"/>
      <c r="C1430" s="693"/>
      <c r="D1430" s="690"/>
      <c r="E1430" s="691"/>
    </row>
    <row r="1431" spans="1:5" x14ac:dyDescent="0.3">
      <c r="A1431" s="690"/>
      <c r="B1431" s="690"/>
      <c r="C1431" s="693"/>
      <c r="D1431" s="690"/>
      <c r="E1431" s="691"/>
    </row>
    <row r="1432" spans="1:5" x14ac:dyDescent="0.3">
      <c r="A1432" s="690"/>
      <c r="B1432" s="690"/>
      <c r="C1432" s="690"/>
      <c r="D1432" s="693"/>
      <c r="E1432" s="691"/>
    </row>
    <row r="1433" spans="1:5" x14ac:dyDescent="0.3">
      <c r="A1433" s="690"/>
      <c r="B1433" s="690"/>
      <c r="C1433" s="690"/>
      <c r="D1433" s="693"/>
      <c r="E1433" s="691"/>
    </row>
    <row r="1434" spans="1:5" x14ac:dyDescent="0.3">
      <c r="A1434" s="690"/>
      <c r="B1434" s="690"/>
      <c r="C1434" s="690"/>
      <c r="D1434" s="693"/>
      <c r="E1434" s="691"/>
    </row>
    <row r="1435" spans="1:5" x14ac:dyDescent="0.3">
      <c r="A1435" s="690"/>
      <c r="B1435" s="690"/>
      <c r="C1435" s="690"/>
      <c r="D1435" s="693"/>
      <c r="E1435" s="691"/>
    </row>
    <row r="1436" spans="1:5" x14ac:dyDescent="0.3">
      <c r="A1436" s="680"/>
      <c r="B1436" s="680"/>
      <c r="C1436" s="680"/>
      <c r="D1436" s="694"/>
      <c r="E1436" s="682"/>
    </row>
    <row r="1437" spans="1:5" x14ac:dyDescent="0.3">
      <c r="A1437" s="677" t="s">
        <v>308</v>
      </c>
      <c r="B1437" s="677" t="s">
        <v>217</v>
      </c>
      <c r="C1437" s="677" t="s">
        <v>217</v>
      </c>
      <c r="D1437" s="677">
        <v>6000</v>
      </c>
      <c r="E1437" s="678">
        <f>SUMIFS('Accounting data'!$G$2:$G$26,'Accounting data'!$H$2:$H$26,"9*",'Accounting data'!$K$2:$K$26,"6*")+SUMIFS('Accounting data'!$G$2:$G$26,'Accounting data'!$H$2:$H$26,"9*",'Accounting data'!$K$2:$K$26,"6*")+SUMIFS('Accounting data'!$G$2:$G$26,'Accounting data'!$H$2:$H$26,"9*",'Accounting data'!$K$2:$K$26,"6*")+SUMIFS('Accounting data'!$G$2:$G$26,'Accounting data'!$H$2:$H$26,"9*",'Accounting data'!$K$2:$K$26,"6*")+SUMIFS('Accounting data'!$G$2:$G$26,'Accounting data'!$H$2:$H$26,"9*",'Accounting data'!$K$2:$K$26,"6*")</f>
        <v>0</v>
      </c>
    </row>
    <row r="1438" spans="1:5" x14ac:dyDescent="0.3">
      <c r="A1438" s="680" t="s">
        <v>329</v>
      </c>
      <c r="B1438" s="680"/>
      <c r="C1438" s="680"/>
      <c r="D1438" s="680"/>
      <c r="E1438" s="682">
        <f>E1437</f>
        <v>0</v>
      </c>
    </row>
    <row r="1439" spans="1:5" x14ac:dyDescent="0.3">
      <c r="A1439" s="677"/>
      <c r="B1439" s="677"/>
      <c r="C1439" s="677"/>
      <c r="D1439" s="686"/>
      <c r="E1439" s="678"/>
    </row>
    <row r="1440" spans="1:5" x14ac:dyDescent="0.3">
      <c r="A1440" s="677"/>
      <c r="B1440" s="677"/>
      <c r="C1440" s="677"/>
      <c r="D1440" s="686"/>
      <c r="E1440" s="678"/>
    </row>
    <row r="1441" spans="1:5" x14ac:dyDescent="0.3">
      <c r="A1441" s="695"/>
      <c r="B1441" s="695"/>
      <c r="C1441" s="695"/>
      <c r="D1441" s="695"/>
      <c r="E1441" s="696"/>
    </row>
    <row r="1442" spans="1:5" x14ac:dyDescent="0.3">
      <c r="A1442" s="677"/>
      <c r="B1442" s="677"/>
      <c r="C1442" s="677"/>
      <c r="D1442" s="686"/>
      <c r="E1442" s="677"/>
    </row>
    <row r="1443" spans="1:5" x14ac:dyDescent="0.3">
      <c r="A1443" s="677"/>
      <c r="B1443" s="677"/>
      <c r="C1443" s="677"/>
      <c r="D1443" s="686"/>
      <c r="E1443" s="677"/>
    </row>
    <row r="1444" spans="1:5" x14ac:dyDescent="0.3">
      <c r="A1444" s="695"/>
      <c r="B1444" s="695"/>
      <c r="C1444" s="695"/>
      <c r="D1444" s="695"/>
      <c r="E1444" s="695"/>
    </row>
    <row r="1445" spans="1:5" x14ac:dyDescent="0.3">
      <c r="A1445" s="677" t="s">
        <v>217</v>
      </c>
      <c r="B1445" s="677" t="s">
        <v>217</v>
      </c>
      <c r="C1445" s="677">
        <v>5000</v>
      </c>
      <c r="D1445" s="677">
        <v>6850</v>
      </c>
      <c r="E1445" s="678">
        <f>SUMIFS('Accounting data'!$G$2:$G$26,'Accounting data'!$J$2:$J$26,"5*",'Accounting data'!$K$2:$K$26,"685*")</f>
        <v>0</v>
      </c>
    </row>
    <row r="1446" spans="1:5" x14ac:dyDescent="0.3">
      <c r="A1446" s="677" t="s">
        <v>218</v>
      </c>
      <c r="B1446" s="677" t="s">
        <v>217</v>
      </c>
      <c r="C1446" s="677">
        <v>5000</v>
      </c>
      <c r="D1446" s="677">
        <v>6850</v>
      </c>
      <c r="E1446" s="678">
        <f>SUMIFS('Accounting data'!$G$2:$G$26,'Accounting data'!$H$2:$H$26,"9999*",'Accounting data'!$J$2:$J$26,"5*",'Accounting data'!$K$2:$K$26,"685*")</f>
        <v>0</v>
      </c>
    </row>
    <row r="1447" spans="1:5" x14ac:dyDescent="0.3">
      <c r="A1447" s="677" t="s">
        <v>217</v>
      </c>
      <c r="B1447" s="677" t="s">
        <v>219</v>
      </c>
      <c r="C1447" s="677">
        <v>5000</v>
      </c>
      <c r="D1447" s="677">
        <v>6850</v>
      </c>
      <c r="E1447" s="678">
        <f>SUMIFS('Accounting data'!$G$2:$G$26,'Accounting data'!$I$2:$I$26,"7*",'Accounting data'!$J$2:$J$26,"5*",'Accounting data'!$K$2:$K$26,"685*")+SUMIFS('Accounting data'!$G$2:$G$26,'Accounting data'!$I$2:$I$26,"8*",'Accounting data'!$J$2:$J$26,"5*",'Accounting data'!$K$2:$K$26,"685*")+SUMIFS('Accounting data'!$G$2:$G$26,'Accounting data'!$I$2:$I$26,"9*",'Accounting data'!$J$2:$J$26,"5*",'Accounting data'!$K$2:$K$26,"685*")</f>
        <v>0</v>
      </c>
    </row>
    <row r="1448" spans="1:5" x14ac:dyDescent="0.3">
      <c r="A1448" s="679" t="s">
        <v>218</v>
      </c>
      <c r="B1448" s="677" t="s">
        <v>219</v>
      </c>
      <c r="C1448" s="677">
        <v>5000</v>
      </c>
      <c r="D1448" s="677">
        <v>6850</v>
      </c>
      <c r="E1448" s="678">
        <f>SUMIFS('Accounting data'!$G$2:$G$26,'Accounting data'!$H$2:$H$26,"9999*",'Accounting data'!$I$2:$I$26,"7*",'Accounting data'!$J$2:$J$26,"5*",'Accounting data'!$K$2:$K$26,"685*")+SUMIFS('Accounting data'!$G$2:$G$26,'Accounting data'!$H$2:$H$26,"9999*",'Accounting data'!$I$2:$I$26,"8*",'Accounting data'!$J$2:$J$26,"5*",'Accounting data'!$K$2:$K$26,"685*")+SUMIFS('Accounting data'!$G$2:$G$26,'Accounting data'!$H$2:$H$26,"9999*",'Accounting data'!$I$2:$I$26,"9*",'Accounting data'!$J$2:$J$26,"5*",'Accounting data'!$K$2:$K$26,"685*")</f>
        <v>0</v>
      </c>
    </row>
    <row r="1449" spans="1:5" ht="14.5" x14ac:dyDescent="0.35">
      <c r="A1449" s="680" t="s">
        <v>309</v>
      </c>
      <c r="B1449" s="680"/>
      <c r="C1449" s="680"/>
      <c r="D1449" s="680"/>
      <c r="E1449" s="681">
        <f>(E1445-E1446-E1447)+E1448</f>
        <v>0</v>
      </c>
    </row>
    <row r="1450" spans="1:5" x14ac:dyDescent="0.3">
      <c r="A1450" s="677" t="s">
        <v>217</v>
      </c>
      <c r="B1450" s="677" t="s">
        <v>217</v>
      </c>
      <c r="C1450" s="677">
        <v>1000</v>
      </c>
      <c r="D1450" s="677">
        <v>6800</v>
      </c>
      <c r="E1450" s="678">
        <f t="array" ref="E1450">SUMIFS('Accounting data'!$G$2:$G$26,'Accounting data'!$J$2:$J$26,"1*",'Accounting data'!$K$2:$K$26,"68*")</f>
        <v>0</v>
      </c>
    </row>
    <row r="1451" spans="1:5" x14ac:dyDescent="0.3">
      <c r="A1451" s="677" t="s">
        <v>218</v>
      </c>
      <c r="B1451" s="677" t="s">
        <v>217</v>
      </c>
      <c r="C1451" s="677">
        <v>1000</v>
      </c>
      <c r="D1451" s="677">
        <v>6800</v>
      </c>
      <c r="E1451" s="678">
        <f t="array" ref="E1451">SUMIFS('Accounting data'!$G$2:$G$26,'Accounting data'!$H$2:$H$26,"9999*",'Accounting data'!$J$2:$J$26,"1*",'Accounting data'!$K$2:$K$26,"68*")</f>
        <v>0</v>
      </c>
    </row>
    <row r="1452" spans="1:5" x14ac:dyDescent="0.3">
      <c r="A1452" s="677" t="s">
        <v>217</v>
      </c>
      <c r="B1452" s="677" t="s">
        <v>219</v>
      </c>
      <c r="C1452" s="677">
        <v>1000</v>
      </c>
      <c r="D1452" s="677">
        <v>6800</v>
      </c>
      <c r="E1452" s="678">
        <f t="array" ref="E1452">SUMIFS('Accounting data'!$G$2:$G$26,'Accounting data'!$I$2:$I$26,"7*",'Accounting data'!$J$2:$J$26,"1*",'Accounting data'!$K$2:$K$26,"68*")+SUMIFS('Accounting data'!$G$2:$G$26,'Accounting data'!$I$2:$I$26,"8*",'Accounting data'!$J$2:$J$26,"1*",'Accounting data'!$K$2:$K$26,"68*")+SUMIFS('Accounting data'!$G$2:$G$26,'Accounting data'!$I$2:$I$26,"9*",'Accounting data'!$J$2:$J$26,"1*",'Accounting data'!$K$2:$K$26,"68*")</f>
        <v>0</v>
      </c>
    </row>
    <row r="1453" spans="1:5" x14ac:dyDescent="0.3">
      <c r="A1453" s="679" t="s">
        <v>218</v>
      </c>
      <c r="B1453" s="677" t="s">
        <v>219</v>
      </c>
      <c r="C1453" s="677">
        <v>1000</v>
      </c>
      <c r="D1453" s="677">
        <v>6800</v>
      </c>
      <c r="E1453" s="678">
        <f t="array" ref="E1453">SUMIFS('Accounting data'!$G$2:$G$26,'Accounting data'!$H$2:$H$26,"9999*",'Accounting data'!$I$2:$I$26,"7*",'Accounting data'!$J$2:$J$26,"1*",'Accounting data'!$K$2:$K$26,"68*")+SUMIFS('Accounting data'!$G$2:$G$26,'Accounting data'!$H$2:$H$26,"9999*",'Accounting data'!$I$2:$I$26,"8*",'Accounting data'!$J$2:$J$26,"1*",'Accounting data'!$K$2:$K$26,"68*")+SUMIFS('Accounting data'!$G$2:$G$26,'Accounting data'!$H$2:$H$26,"9999*",'Accounting data'!$I$2:$I$26,"9*",'Accounting data'!$J$2:$J$26,"1*",'Accounting data'!$K$2:$K$26,"68*")</f>
        <v>0</v>
      </c>
    </row>
    <row r="1454" spans="1:5" ht="14.5" x14ac:dyDescent="0.35">
      <c r="A1454" s="680" t="s">
        <v>310</v>
      </c>
      <c r="B1454" s="680"/>
      <c r="C1454" s="680"/>
      <c r="D1454" s="680"/>
      <c r="E1454" s="681">
        <f>(E1450-E1451-E1452)+E1453</f>
        <v>0</v>
      </c>
    </row>
    <row r="1455" spans="1:5" x14ac:dyDescent="0.3">
      <c r="A1455" s="677" t="s">
        <v>217</v>
      </c>
      <c r="B1455" s="677" t="s">
        <v>217</v>
      </c>
      <c r="C1455" s="677">
        <v>2100</v>
      </c>
      <c r="D1455" s="677">
        <v>6800</v>
      </c>
      <c r="E1455" s="678">
        <f t="array" ref="E1455">SUMIFS('Accounting data'!$G$2:$G$26,'Accounting data'!$J$2:$J$26,"21*",'Accounting data'!$K$2:$K$26,"68*")</f>
        <v>0</v>
      </c>
    </row>
    <row r="1456" spans="1:5" x14ac:dyDescent="0.3">
      <c r="A1456" s="677" t="s">
        <v>218</v>
      </c>
      <c r="B1456" s="677" t="s">
        <v>217</v>
      </c>
      <c r="C1456" s="677">
        <v>2100</v>
      </c>
      <c r="D1456" s="677">
        <v>6800</v>
      </c>
      <c r="E1456" s="678">
        <f t="array" ref="E1456">SUMIFS('Accounting data'!$G$2:$G$26,'Accounting data'!$H$2:$H$26,"9999*",'Accounting data'!$J$2:$J$26,"21*",'Accounting data'!$K$2:$K$26,"68*")</f>
        <v>0</v>
      </c>
    </row>
    <row r="1457" spans="1:5" x14ac:dyDescent="0.3">
      <c r="A1457" s="677" t="s">
        <v>217</v>
      </c>
      <c r="B1457" s="677" t="s">
        <v>219</v>
      </c>
      <c r="C1457" s="677">
        <v>2100</v>
      </c>
      <c r="D1457" s="677">
        <v>6800</v>
      </c>
      <c r="E1457" s="678">
        <f t="array" ref="E1457">SUMIFS('Accounting data'!$G$2:$G$26,'Accounting data'!$I$2:$I$26,"7*",'Accounting data'!$J$2:$J$26,"21*",'Accounting data'!$K$2:$K$26,"68*")+SUMIFS('Accounting data'!$G$2:$G$26,'Accounting data'!$I$2:$I$26,"8*",'Accounting data'!$J$2:$J$26,"21*",'Accounting data'!$K$2:$K$26,"68*")+SUMIFS('Accounting data'!$G$2:$G$26,'Accounting data'!$I$2:$I$26,"9*",'Accounting data'!$J$2:$J$26,"21*",'Accounting data'!$K$2:$K$26,"68*")</f>
        <v>0</v>
      </c>
    </row>
    <row r="1458" spans="1:5" x14ac:dyDescent="0.3">
      <c r="A1458" s="679" t="s">
        <v>218</v>
      </c>
      <c r="B1458" s="677" t="s">
        <v>219</v>
      </c>
      <c r="C1458" s="677">
        <v>2100</v>
      </c>
      <c r="D1458" s="677">
        <v>6800</v>
      </c>
      <c r="E1458" s="678">
        <f t="array" ref="E1458">SUMIFS('Accounting data'!$G$2:$G$26,'Accounting data'!$H$2:$H$26,"9999*",'Accounting data'!$I$2:$I$26,"7*",'Accounting data'!$J$2:$J$26,"21*",'Accounting data'!$K$2:$K$26,"68*")+SUMIFS('Accounting data'!$G$2:$G$26,'Accounting data'!$H$2:$H$26,"9999*",'Accounting data'!$I$2:$I$26,"8*",'Accounting data'!$J$2:$J$26,"21*",'Accounting data'!$K$2:$K$26,"68*")+SUMIFS('Accounting data'!$G$2:$G$26,'Accounting data'!$H$2:$H$26,"9999*",'Accounting data'!$I$2:$I$26,"9*",'Accounting data'!$J$2:$J$26,"21*",'Accounting data'!$K$2:$K$26,"68*")</f>
        <v>0</v>
      </c>
    </row>
    <row r="1459" spans="1:5" ht="14.5" x14ac:dyDescent="0.35">
      <c r="A1459" s="680" t="s">
        <v>311</v>
      </c>
      <c r="B1459" s="680"/>
      <c r="C1459" s="680"/>
      <c r="D1459" s="680"/>
      <c r="E1459" s="681">
        <f>(E1455-E1456-E1457)+E1458</f>
        <v>0</v>
      </c>
    </row>
    <row r="1460" spans="1:5" x14ac:dyDescent="0.3">
      <c r="A1460" s="677" t="s">
        <v>217</v>
      </c>
      <c r="B1460" s="677" t="s">
        <v>217</v>
      </c>
      <c r="C1460" s="677">
        <v>2200</v>
      </c>
      <c r="D1460" s="677">
        <v>6800</v>
      </c>
      <c r="E1460" s="678">
        <f t="array" ref="E1460">SUMIFS('Accounting data'!$G$2:$G$26,'Accounting data'!$J$2:$J$26,"22*",'Accounting data'!$K$2:$K$26,"68*")</f>
        <v>0</v>
      </c>
    </row>
    <row r="1461" spans="1:5" x14ac:dyDescent="0.3">
      <c r="A1461" s="677" t="s">
        <v>218</v>
      </c>
      <c r="B1461" s="677" t="s">
        <v>217</v>
      </c>
      <c r="C1461" s="677">
        <v>2200</v>
      </c>
      <c r="D1461" s="677">
        <v>6800</v>
      </c>
      <c r="E1461" s="678">
        <f t="array" ref="E1461">SUMIFS('Accounting data'!$G$2:$G$26,'Accounting data'!$H$2:$H$26,"9999*",'Accounting data'!$J$2:$J$26,"22*",'Accounting data'!$K$2:$K$26,"68*")</f>
        <v>0</v>
      </c>
    </row>
    <row r="1462" spans="1:5" x14ac:dyDescent="0.3">
      <c r="A1462" s="677" t="s">
        <v>217</v>
      </c>
      <c r="B1462" s="677" t="s">
        <v>219</v>
      </c>
      <c r="C1462" s="677">
        <v>2200</v>
      </c>
      <c r="D1462" s="677">
        <v>6800</v>
      </c>
      <c r="E1462" s="678">
        <f t="array" ref="E1462">SUMIFS('Accounting data'!$G$2:$G$26,'Accounting data'!$I$2:$I$26,"7*",'Accounting data'!$J$2:$J$26,"22*",'Accounting data'!$K$2:$K$26,"68*")+SUMIFS('Accounting data'!$G$2:$G$26,'Accounting data'!$I$2:$I$26,"8*",'Accounting data'!$J$2:$J$26,"22*",'Accounting data'!$K$2:$K$26,"68*")+SUMIFS('Accounting data'!$G$2:$G$26,'Accounting data'!$I$2:$I$26,"9*",'Accounting data'!$J$2:$J$26,"22*",'Accounting data'!$K$2:$K$26,"68*")</f>
        <v>0</v>
      </c>
    </row>
    <row r="1463" spans="1:5" x14ac:dyDescent="0.3">
      <c r="A1463" s="679" t="s">
        <v>218</v>
      </c>
      <c r="B1463" s="677" t="s">
        <v>219</v>
      </c>
      <c r="C1463" s="677">
        <v>2200</v>
      </c>
      <c r="D1463" s="677">
        <v>6800</v>
      </c>
      <c r="E1463" s="678">
        <f t="array" ref="E1463">SUMIFS('Accounting data'!$G$2:$G$26,'Accounting data'!$H$2:$H$26,"9999*",'Accounting data'!$I$2:$I$26,"7*",'Accounting data'!$J$2:$J$26,"22*",'Accounting data'!$K$2:$K$26,"68*")+SUMIFS('Accounting data'!$G$2:$G$26,'Accounting data'!$H$2:$H$26,"9999*",'Accounting data'!$I$2:$I$26,"8*",'Accounting data'!$J$2:$J$26,"22*",'Accounting data'!$K$2:$K$26,"68*")+SUMIFS('Accounting data'!$G$2:$G$26,'Accounting data'!$H$2:$H$26,"9999*",'Accounting data'!$I$2:$I$26,"9*",'Accounting data'!$J$2:$J$26,"22*",'Accounting data'!$K$2:$K$26,"68*")</f>
        <v>0</v>
      </c>
    </row>
    <row r="1464" spans="1:5" ht="14.5" x14ac:dyDescent="0.35">
      <c r="A1464" s="680" t="s">
        <v>312</v>
      </c>
      <c r="B1464" s="680"/>
      <c r="C1464" s="680"/>
      <c r="D1464" s="680"/>
      <c r="E1464" s="681">
        <f>(E1460-E1461-E1462)+E1463</f>
        <v>0</v>
      </c>
    </row>
    <row r="1465" spans="1:5" x14ac:dyDescent="0.3">
      <c r="A1465" s="677" t="s">
        <v>217</v>
      </c>
      <c r="B1465" s="677" t="s">
        <v>217</v>
      </c>
      <c r="C1465" s="677">
        <v>2300</v>
      </c>
      <c r="D1465" s="677">
        <v>6800</v>
      </c>
      <c r="E1465" s="678">
        <f t="array" ref="E1465">SUMIFS('Accounting data'!$G$2:$G$26,'Accounting data'!$J$2:$J$26,"23*",'Accounting data'!$K$2:$K$26,"68*")</f>
        <v>0</v>
      </c>
    </row>
    <row r="1466" spans="1:5" x14ac:dyDescent="0.3">
      <c r="A1466" s="677" t="s">
        <v>218</v>
      </c>
      <c r="B1466" s="677" t="s">
        <v>217</v>
      </c>
      <c r="C1466" s="677">
        <v>2300</v>
      </c>
      <c r="D1466" s="677">
        <v>6800</v>
      </c>
      <c r="E1466" s="678">
        <f t="array" ref="E1466">SUMIFS('Accounting data'!$G$2:$G$26,'Accounting data'!$H$2:$H$26,"9999*",'Accounting data'!$J$2:$J$26,"23*",'Accounting data'!$K$2:$K$26,"68*")</f>
        <v>0</v>
      </c>
    </row>
    <row r="1467" spans="1:5" x14ac:dyDescent="0.3">
      <c r="A1467" s="677" t="s">
        <v>217</v>
      </c>
      <c r="B1467" s="677" t="s">
        <v>219</v>
      </c>
      <c r="C1467" s="677">
        <v>2300</v>
      </c>
      <c r="D1467" s="677">
        <v>6800</v>
      </c>
      <c r="E1467" s="678">
        <f t="array" ref="E1467">SUMIFS('Accounting data'!$G$2:$G$26,'Accounting data'!$I$2:$I$26,"7*",'Accounting data'!$J$2:$J$26,"23*",'Accounting data'!$K$2:$K$26,"68*")+SUMIFS('Accounting data'!$G$2:$G$26,'Accounting data'!$I$2:$I$26,"8*",'Accounting data'!$J$2:$J$26,"23*",'Accounting data'!$K$2:$K$26,"68*")+SUMIFS('Accounting data'!$G$2:$G$26,'Accounting data'!$I$2:$I$26,"9*",'Accounting data'!$J$2:$J$26,"23*",'Accounting data'!$K$2:$K$26,"68*")</f>
        <v>0</v>
      </c>
    </row>
    <row r="1468" spans="1:5" x14ac:dyDescent="0.3">
      <c r="A1468" s="679" t="s">
        <v>218</v>
      </c>
      <c r="B1468" s="677" t="s">
        <v>219</v>
      </c>
      <c r="C1468" s="677">
        <v>2300</v>
      </c>
      <c r="D1468" s="677">
        <v>6800</v>
      </c>
      <c r="E1468" s="678">
        <f t="array" ref="E1468">SUMIFS('Accounting data'!$G$2:$G$26,'Accounting data'!$H$2:$H$26,"9999*",'Accounting data'!$I$2:$I$26,"7*",'Accounting data'!$J$2:$J$26,"23*",'Accounting data'!$K$2:$K$26,"68*")+SUMIFS('Accounting data'!$G$2:$G$26,'Accounting data'!$H$2:$H$26,"9999*",'Accounting data'!$I$2:$I$26,"8*",'Accounting data'!$J$2:$J$26,"23*",'Accounting data'!$K$2:$K$26,"68*")+SUMIFS('Accounting data'!$G$2:$G$26,'Accounting data'!$H$2:$H$26,"9999*",'Accounting data'!$I$2:$I$26,"9*",'Accounting data'!$J$2:$J$26,"23*",'Accounting data'!$K$2:$K$26,"68*")</f>
        <v>0</v>
      </c>
    </row>
    <row r="1469" spans="1:5" ht="14.5" x14ac:dyDescent="0.35">
      <c r="A1469" s="680" t="s">
        <v>313</v>
      </c>
      <c r="B1469" s="680"/>
      <c r="C1469" s="680"/>
      <c r="D1469" s="680"/>
      <c r="E1469" s="681">
        <f>(E1465-E1466-E1467)+E1468</f>
        <v>0</v>
      </c>
    </row>
    <row r="1470" spans="1:5" x14ac:dyDescent="0.3">
      <c r="A1470" s="677" t="s">
        <v>217</v>
      </c>
      <c r="B1470" s="677" t="s">
        <v>217</v>
      </c>
      <c r="C1470" s="677">
        <v>2400</v>
      </c>
      <c r="D1470" s="677">
        <v>6800</v>
      </c>
      <c r="E1470" s="678">
        <f t="array" ref="E1470">SUMIFS('Accounting data'!$G$2:$G$26,'Accounting data'!$J$2:$J$26,"24*",'Accounting data'!$K$2:$K$26,"68*")</f>
        <v>0</v>
      </c>
    </row>
    <row r="1471" spans="1:5" x14ac:dyDescent="0.3">
      <c r="A1471" s="677" t="s">
        <v>218</v>
      </c>
      <c r="B1471" s="677" t="s">
        <v>217</v>
      </c>
      <c r="C1471" s="677">
        <v>2400</v>
      </c>
      <c r="D1471" s="677">
        <v>6800</v>
      </c>
      <c r="E1471" s="678">
        <f t="array" ref="E1471">SUMIFS('Accounting data'!$G$2:$G$26,'Accounting data'!$H$2:$H$26,"9999*",'Accounting data'!$J$2:$J$26,"24*",'Accounting data'!$K$2:$K$26,"68*")</f>
        <v>0</v>
      </c>
    </row>
    <row r="1472" spans="1:5" x14ac:dyDescent="0.3">
      <c r="A1472" s="677" t="s">
        <v>217</v>
      </c>
      <c r="B1472" s="677" t="s">
        <v>219</v>
      </c>
      <c r="C1472" s="677">
        <v>2400</v>
      </c>
      <c r="D1472" s="677">
        <v>6800</v>
      </c>
      <c r="E1472" s="678">
        <f t="array" ref="E1472">SUMIFS('Accounting data'!$G$2:$G$26,'Accounting data'!$I$2:$I$26,"7*",'Accounting data'!$J$2:$J$26,"24*",'Accounting data'!$K$2:$K$26,"68*")+SUMIFS('Accounting data'!$G$2:$G$26,'Accounting data'!$I$2:$I$26,"8*",'Accounting data'!$J$2:$J$26,"24*",'Accounting data'!$K$2:$K$26,"68*")+SUMIFS('Accounting data'!$G$2:$G$26,'Accounting data'!$I$2:$I$26,"9*",'Accounting data'!$J$2:$J$26,"24*",'Accounting data'!$K$2:$K$26,"68*")</f>
        <v>0</v>
      </c>
    </row>
    <row r="1473" spans="1:5" x14ac:dyDescent="0.3">
      <c r="A1473" s="679" t="s">
        <v>218</v>
      </c>
      <c r="B1473" s="677" t="s">
        <v>219</v>
      </c>
      <c r="C1473" s="677">
        <v>2400</v>
      </c>
      <c r="D1473" s="677">
        <v>6800</v>
      </c>
      <c r="E1473" s="678">
        <f t="array" ref="E1473">SUMIFS('Accounting data'!$G$2:$G$26,'Accounting data'!$H$2:$H$26,"9999*",'Accounting data'!$I$2:$I$26,"7*",'Accounting data'!$J$2:$J$26,"24*",'Accounting data'!$K$2:$K$26,"68*")+SUMIFS('Accounting data'!$G$2:$G$26,'Accounting data'!$H$2:$H$26,"9999*",'Accounting data'!$I$2:$I$26,"8*",'Accounting data'!$J$2:$J$26,"24*",'Accounting data'!$K$2:$K$26,"68*")+SUMIFS('Accounting data'!$G$2:$G$26,'Accounting data'!$H$2:$H$26,"9999*",'Accounting data'!$I$2:$I$26,"9*",'Accounting data'!$J$2:$J$26,"24*",'Accounting data'!$K$2:$K$26,"68*")</f>
        <v>0</v>
      </c>
    </row>
    <row r="1474" spans="1:5" ht="14.5" x14ac:dyDescent="0.35">
      <c r="A1474" s="680" t="s">
        <v>314</v>
      </c>
      <c r="B1474" s="680"/>
      <c r="C1474" s="680"/>
      <c r="D1474" s="680"/>
      <c r="E1474" s="681">
        <f>(E1470-E1471-E1472)+E1473</f>
        <v>0</v>
      </c>
    </row>
    <row r="1475" spans="1:5" x14ac:dyDescent="0.3">
      <c r="A1475" s="677" t="s">
        <v>217</v>
      </c>
      <c r="B1475" s="677" t="s">
        <v>217</v>
      </c>
      <c r="C1475" s="677">
        <v>2500</v>
      </c>
      <c r="D1475" s="677">
        <v>6800</v>
      </c>
      <c r="E1475" s="678">
        <f t="array" ref="E1475">SUMIFS('Accounting data'!$G$2:$G$26,'Accounting data'!$J$2:$J$26,"25*",'Accounting data'!$K$2:$K$26,"68*")</f>
        <v>0</v>
      </c>
    </row>
    <row r="1476" spans="1:5" x14ac:dyDescent="0.3">
      <c r="A1476" s="677" t="s">
        <v>218</v>
      </c>
      <c r="B1476" s="677" t="s">
        <v>217</v>
      </c>
      <c r="C1476" s="677">
        <v>2500</v>
      </c>
      <c r="D1476" s="677">
        <v>6800</v>
      </c>
      <c r="E1476" s="678">
        <f t="array" ref="E1476">SUMIFS('Accounting data'!$G$2:$G$26,'Accounting data'!$H$2:$H$26,"9999*",'Accounting data'!$J$2:$J$26,"25*",'Accounting data'!$K$2:$K$26,"68*")</f>
        <v>0</v>
      </c>
    </row>
    <row r="1477" spans="1:5" x14ac:dyDescent="0.3">
      <c r="A1477" s="677" t="s">
        <v>217</v>
      </c>
      <c r="B1477" s="677" t="s">
        <v>219</v>
      </c>
      <c r="C1477" s="677">
        <v>2500</v>
      </c>
      <c r="D1477" s="677">
        <v>6800</v>
      </c>
      <c r="E1477" s="678">
        <f t="array" ref="E1477">SUMIFS('Accounting data'!$G$2:$G$26,'Accounting data'!$I$2:$I$26,"7*",'Accounting data'!$J$2:$J$26,"25*",'Accounting data'!$K$2:$K$26,"68*")+SUMIFS('Accounting data'!$G$2:$G$26,'Accounting data'!$I$2:$I$26,"8*",'Accounting data'!$J$2:$J$26,"25*",'Accounting data'!$K$2:$K$26,"68*")+SUMIFS('Accounting data'!$G$2:$G$26,'Accounting data'!$I$2:$I$26,"9*",'Accounting data'!$J$2:$J$26,"25*",'Accounting data'!$K$2:$K$26,"68*")</f>
        <v>0</v>
      </c>
    </row>
    <row r="1478" spans="1:5" x14ac:dyDescent="0.3">
      <c r="A1478" s="679" t="s">
        <v>218</v>
      </c>
      <c r="B1478" s="677" t="s">
        <v>219</v>
      </c>
      <c r="C1478" s="677">
        <v>2500</v>
      </c>
      <c r="D1478" s="677">
        <v>6800</v>
      </c>
      <c r="E1478" s="678">
        <f t="array" ref="E1478">SUMIFS('Accounting data'!$G$2:$G$26,'Accounting data'!$H$2:$H$26,"9999*",'Accounting data'!$I$2:$I$26,"7*",'Accounting data'!$J$2:$J$26,"25*",'Accounting data'!$K$2:$K$26,"68*")+SUMIFS('Accounting data'!$G$2:$G$26,'Accounting data'!$H$2:$H$26,"9999*",'Accounting data'!$I$2:$I$26,"8*",'Accounting data'!$J$2:$J$26,"25*",'Accounting data'!$K$2:$K$26,"68*")+SUMIFS('Accounting data'!$G$2:$G$26,'Accounting data'!$H$2:$H$26,"9999*",'Accounting data'!$I$2:$I$26,"9*",'Accounting data'!$J$2:$J$26,"25*",'Accounting data'!$K$2:$K$26,"68*")</f>
        <v>0</v>
      </c>
    </row>
    <row r="1479" spans="1:5" ht="14.5" x14ac:dyDescent="0.35">
      <c r="A1479" s="680" t="s">
        <v>315</v>
      </c>
      <c r="B1479" s="680"/>
      <c r="C1479" s="680"/>
      <c r="D1479" s="680"/>
      <c r="E1479" s="681">
        <f>(E1475-E1476-E1477)+E1478</f>
        <v>0</v>
      </c>
    </row>
    <row r="1480" spans="1:5" x14ac:dyDescent="0.3">
      <c r="A1480" s="677" t="s">
        <v>217</v>
      </c>
      <c r="B1480" s="677" t="s">
        <v>217</v>
      </c>
      <c r="C1480" s="677">
        <v>2900</v>
      </c>
      <c r="D1480" s="677">
        <v>6800</v>
      </c>
      <c r="E1480" s="678">
        <f t="array" ref="E1480">SUMIFS('Accounting data'!$G$2:$G$26,'Accounting data'!$J$2:$J$26,"29*",'Accounting data'!$K$2:$K$26,"68*")</f>
        <v>0</v>
      </c>
    </row>
    <row r="1481" spans="1:5" x14ac:dyDescent="0.3">
      <c r="A1481" s="677" t="s">
        <v>218</v>
      </c>
      <c r="B1481" s="677" t="s">
        <v>217</v>
      </c>
      <c r="C1481" s="677">
        <v>2900</v>
      </c>
      <c r="D1481" s="677">
        <v>6800</v>
      </c>
      <c r="E1481" s="678">
        <f t="array" ref="E1481">SUMIFS('Accounting data'!$G$2:$G$26,'Accounting data'!$H$2:$H$26,"9999*",'Accounting data'!$J$2:$J$26,"29*",'Accounting data'!$K$2:$K$26,"68*")</f>
        <v>0</v>
      </c>
    </row>
    <row r="1482" spans="1:5" x14ac:dyDescent="0.3">
      <c r="A1482" s="677" t="s">
        <v>217</v>
      </c>
      <c r="B1482" s="677" t="s">
        <v>219</v>
      </c>
      <c r="C1482" s="677">
        <v>2900</v>
      </c>
      <c r="D1482" s="677">
        <v>6800</v>
      </c>
      <c r="E1482" s="678">
        <f t="array" ref="E1482">SUMIFS('Accounting data'!$G$2:$G$26,'Accounting data'!$I$2:$I$26,"7*",'Accounting data'!$J$2:$J$26,"29*",'Accounting data'!$K$2:$K$26,"68*")+SUMIFS('Accounting data'!$G$2:$G$26,'Accounting data'!$I$2:$I$26,"8*",'Accounting data'!$J$2:$J$26,"29*",'Accounting data'!$K$2:$K$26,"68*")+SUMIFS('Accounting data'!$G$2:$G$26,'Accounting data'!$I$2:$I$26,"9*",'Accounting data'!$J$2:$J$26,"29*",'Accounting data'!$K$2:$K$26,"68*")</f>
        <v>0</v>
      </c>
    </row>
    <row r="1483" spans="1:5" x14ac:dyDescent="0.3">
      <c r="A1483" s="679" t="s">
        <v>218</v>
      </c>
      <c r="B1483" s="677" t="s">
        <v>219</v>
      </c>
      <c r="C1483" s="677">
        <v>2900</v>
      </c>
      <c r="D1483" s="677">
        <v>6800</v>
      </c>
      <c r="E1483" s="678">
        <f t="array" ref="E1483">SUMIFS('Accounting data'!$G$2:$G$26,'Accounting data'!$H$2:$H$26,"9999*",'Accounting data'!$I$2:$I$26,"7*",'Accounting data'!$J$2:$J$26,"29*",'Accounting data'!$K$2:$K$26,"68*")+SUMIFS('Accounting data'!$G$2:$G$26,'Accounting data'!$H$2:$H$26,"9999*",'Accounting data'!$I$2:$I$26,"8*",'Accounting data'!$J$2:$J$26,"29*",'Accounting data'!$K$2:$K$26,"68*")+SUMIFS('Accounting data'!$G$2:$G$26,'Accounting data'!$H$2:$H$26,"9999*",'Accounting data'!$I$2:$I$26,"9*",'Accounting data'!$J$2:$J$26,"29*",'Accounting data'!$K$2:$K$26,"68*")</f>
        <v>0</v>
      </c>
    </row>
    <row r="1484" spans="1:5" ht="14.5" x14ac:dyDescent="0.35">
      <c r="A1484" s="680" t="s">
        <v>316</v>
      </c>
      <c r="B1484" s="680"/>
      <c r="C1484" s="680"/>
      <c r="D1484" s="680"/>
      <c r="E1484" s="681">
        <f>(E1480-E1481-E1482)+E1483</f>
        <v>0</v>
      </c>
    </row>
    <row r="1485" spans="1:5" x14ac:dyDescent="0.3">
      <c r="A1485" s="677" t="s">
        <v>217</v>
      </c>
      <c r="B1485" s="677" t="s">
        <v>217</v>
      </c>
      <c r="C1485" s="677">
        <v>2600</v>
      </c>
      <c r="D1485" s="677">
        <v>6800</v>
      </c>
      <c r="E1485" s="678">
        <f t="array" ref="E1485">SUMIFS('Accounting data'!$G$2:$G$26,'Accounting data'!$J$2:$J$26,"26*",'Accounting data'!$K$2:$K$26,"68*")</f>
        <v>0</v>
      </c>
    </row>
    <row r="1486" spans="1:5" x14ac:dyDescent="0.3">
      <c r="A1486" s="677" t="s">
        <v>218</v>
      </c>
      <c r="B1486" s="677" t="s">
        <v>217</v>
      </c>
      <c r="C1486" s="677">
        <v>2600</v>
      </c>
      <c r="D1486" s="677">
        <v>6800</v>
      </c>
      <c r="E1486" s="678">
        <f t="array" ref="E1486">SUMIFS('Accounting data'!$G$2:$G$26,'Accounting data'!$H$2:$H$26,"9999*",'Accounting data'!$J$2:$J$26,"26*",'Accounting data'!$K$2:$K$26,"68*")</f>
        <v>0</v>
      </c>
    </row>
    <row r="1487" spans="1:5" x14ac:dyDescent="0.3">
      <c r="A1487" s="677" t="s">
        <v>217</v>
      </c>
      <c r="B1487" s="677" t="s">
        <v>219</v>
      </c>
      <c r="C1487" s="677">
        <v>2600</v>
      </c>
      <c r="D1487" s="677">
        <v>6800</v>
      </c>
      <c r="E1487" s="678">
        <f t="array" ref="E1487">SUMIFS('Accounting data'!$G$2:$G$26,'Accounting data'!$I$2:$I$26,"7*",'Accounting data'!$J$2:$J$26,"26*",'Accounting data'!$K$2:$K$26,"68*")+SUMIFS('Accounting data'!$G$2:$G$26,'Accounting data'!$I$2:$I$26,"8*",'Accounting data'!$J$2:$J$26,"26*",'Accounting data'!$K$2:$K$26,"68*")+SUMIFS('Accounting data'!$G$2:$G$26,'Accounting data'!$I$2:$I$26,"9*",'Accounting data'!$J$2:$J$26,"26*",'Accounting data'!$K$2:$K$26,"68*")</f>
        <v>0</v>
      </c>
    </row>
    <row r="1488" spans="1:5" x14ac:dyDescent="0.3">
      <c r="A1488" s="679" t="s">
        <v>218</v>
      </c>
      <c r="B1488" s="677" t="s">
        <v>219</v>
      </c>
      <c r="C1488" s="677">
        <v>2600</v>
      </c>
      <c r="D1488" s="677">
        <v>6800</v>
      </c>
      <c r="E1488" s="678">
        <f t="array" ref="E1488">SUMIFS('Accounting data'!$G$2:$G$26,'Accounting data'!$H$2:$H$26,"9999*",'Accounting data'!$I$2:$I$26,"7*",'Accounting data'!$J$2:$J$26,"26*",'Accounting data'!$K$2:$K$26,"68*")+SUMIFS('Accounting data'!$G$2:$G$26,'Accounting data'!$H$2:$H$26,"9999*",'Accounting data'!$I$2:$I$26,"8*",'Accounting data'!$J$2:$J$26,"26*",'Accounting data'!$K$2:$K$26,"68*")+SUMIFS('Accounting data'!$G$2:$G$26,'Accounting data'!$H$2:$H$26,"9999*",'Accounting data'!$I$2:$I$26,"9*",'Accounting data'!$J$2:$J$26,"26*",'Accounting data'!$K$2:$K$26,"68*")</f>
        <v>0</v>
      </c>
    </row>
    <row r="1489" spans="1:5" ht="14.5" x14ac:dyDescent="0.35">
      <c r="A1489" s="680" t="s">
        <v>317</v>
      </c>
      <c r="B1489" s="680"/>
      <c r="C1489" s="680"/>
      <c r="D1489" s="680"/>
      <c r="E1489" s="681">
        <f>(E1485-E1486-E1487)+E1488</f>
        <v>0</v>
      </c>
    </row>
    <row r="1490" spans="1:5" x14ac:dyDescent="0.3">
      <c r="A1490" s="677" t="s">
        <v>217</v>
      </c>
      <c r="B1490" s="677" t="s">
        <v>217</v>
      </c>
      <c r="C1490" s="677">
        <v>2700</v>
      </c>
      <c r="D1490" s="677">
        <v>6800</v>
      </c>
      <c r="E1490" s="678">
        <f t="array" ref="E1490">SUMIFS('Accounting data'!$G$2:$G$26,'Accounting data'!$J$2:$J$26,"27*",'Accounting data'!$K$2:$K$26,"68*")</f>
        <v>0</v>
      </c>
    </row>
    <row r="1491" spans="1:5" x14ac:dyDescent="0.3">
      <c r="A1491" s="677" t="s">
        <v>218</v>
      </c>
      <c r="B1491" s="677" t="s">
        <v>217</v>
      </c>
      <c r="C1491" s="677">
        <v>2700</v>
      </c>
      <c r="D1491" s="677">
        <v>6800</v>
      </c>
      <c r="E1491" s="678">
        <f t="array" ref="E1491">SUMIFS('Accounting data'!$G$2:$G$26,'Accounting data'!$H$2:$H$26,"9999*",'Accounting data'!$J$2:$J$26,"27*",'Accounting data'!$K$2:$K$26,"68*")</f>
        <v>0</v>
      </c>
    </row>
    <row r="1492" spans="1:5" x14ac:dyDescent="0.3">
      <c r="A1492" s="677" t="s">
        <v>217</v>
      </c>
      <c r="B1492" s="677" t="s">
        <v>219</v>
      </c>
      <c r="C1492" s="677">
        <v>2700</v>
      </c>
      <c r="D1492" s="677">
        <v>6800</v>
      </c>
      <c r="E1492" s="678">
        <f t="array" ref="E1492">SUMIFS('Accounting data'!$G$2:$G$26,'Accounting data'!$I$2:$I$26,"7*",'Accounting data'!$J$2:$J$26,"27*",'Accounting data'!$K$2:$K$26,"68*")+SUMIFS('Accounting data'!$G$2:$G$26,'Accounting data'!$I$2:$I$26,"8*",'Accounting data'!$J$2:$J$26,"27*",'Accounting data'!$K$2:$K$26,"68*")+SUMIFS('Accounting data'!$G$2:$G$26,'Accounting data'!$I$2:$I$26,"9*",'Accounting data'!$J$2:$J$26,"27*",'Accounting data'!$K$2:$K$26,"68*")</f>
        <v>0</v>
      </c>
    </row>
    <row r="1493" spans="1:5" x14ac:dyDescent="0.3">
      <c r="A1493" s="679" t="s">
        <v>218</v>
      </c>
      <c r="B1493" s="677" t="s">
        <v>219</v>
      </c>
      <c r="C1493" s="677">
        <v>2700</v>
      </c>
      <c r="D1493" s="677">
        <v>6800</v>
      </c>
      <c r="E1493" s="678">
        <f t="array" ref="E1493">SUMIFS('Accounting data'!$G$2:$G$26,'Accounting data'!$H$2:$H$26,"9999*",'Accounting data'!$I$2:$I$26,"7*",'Accounting data'!$J$2:$J$26,"27*",'Accounting data'!$K$2:$K$26,"68*")+SUMIFS('Accounting data'!$G$2:$G$26,'Accounting data'!$H$2:$H$26,"9999*",'Accounting data'!$I$2:$I$26,"8*",'Accounting data'!$J$2:$J$26,"27*",'Accounting data'!$K$2:$K$26,"68*")+SUMIFS('Accounting data'!$G$2:$G$26,'Accounting data'!$H$2:$H$26,"9999*",'Accounting data'!$I$2:$I$26,"9*",'Accounting data'!$J$2:$J$26,"27*",'Accounting data'!$K$2:$K$26,"68*")</f>
        <v>0</v>
      </c>
    </row>
    <row r="1494" spans="1:5" ht="14.5" x14ac:dyDescent="0.35">
      <c r="A1494" s="680" t="s">
        <v>318</v>
      </c>
      <c r="B1494" s="680"/>
      <c r="C1494" s="680"/>
      <c r="D1494" s="680"/>
      <c r="E1494" s="681">
        <f>(E1490-E1491-E1492)+E1493</f>
        <v>0</v>
      </c>
    </row>
    <row r="1495" spans="1:5" x14ac:dyDescent="0.3">
      <c r="A1495" s="677" t="s">
        <v>217</v>
      </c>
      <c r="B1495" s="677" t="s">
        <v>217</v>
      </c>
      <c r="C1495" s="677">
        <v>3100</v>
      </c>
      <c r="D1495" s="677">
        <v>6800</v>
      </c>
      <c r="E1495" s="678">
        <f t="array" ref="E1495">SUMIFS('Accounting data'!$G$2:$G$26,'Accounting data'!$J$2:$J$26,"31*",'Accounting data'!$K$2:$K$26,"68*")</f>
        <v>0</v>
      </c>
    </row>
    <row r="1496" spans="1:5" x14ac:dyDescent="0.3">
      <c r="A1496" s="677" t="s">
        <v>218</v>
      </c>
      <c r="B1496" s="677" t="s">
        <v>217</v>
      </c>
      <c r="C1496" s="677">
        <v>3100</v>
      </c>
      <c r="D1496" s="677">
        <v>6800</v>
      </c>
      <c r="E1496" s="678">
        <f t="array" ref="E1496">SUMIFS('Accounting data'!$G$2:$G$26,'Accounting data'!$H$2:$H$26,"9999*",'Accounting data'!$J$2:$J$26,"31*",'Accounting data'!$K$2:$K$26,"68*")</f>
        <v>0</v>
      </c>
    </row>
    <row r="1497" spans="1:5" x14ac:dyDescent="0.3">
      <c r="A1497" s="677" t="s">
        <v>217</v>
      </c>
      <c r="B1497" s="677" t="s">
        <v>219</v>
      </c>
      <c r="C1497" s="677">
        <v>3100</v>
      </c>
      <c r="D1497" s="677">
        <v>6800</v>
      </c>
      <c r="E1497" s="678">
        <f t="array" ref="E1497">SUMIFS('Accounting data'!$G$2:$G$26,'Accounting data'!$I$2:$I$26,"7*",'Accounting data'!$J$2:$J$26,"31*",'Accounting data'!$K$2:$K$26,"68*")+SUMIFS('Accounting data'!$G$2:$G$26,'Accounting data'!$I$2:$I$26,"8*",'Accounting data'!$J$2:$J$26,"31*",'Accounting data'!$K$2:$K$26,"68*")+SUMIFS('Accounting data'!$G$2:$G$26,'Accounting data'!$I$2:$I$26,"9*",'Accounting data'!$J$2:$J$26,"31*",'Accounting data'!$K$2:$K$26,"68*")</f>
        <v>0</v>
      </c>
    </row>
    <row r="1498" spans="1:5" x14ac:dyDescent="0.3">
      <c r="A1498" s="679" t="s">
        <v>218</v>
      </c>
      <c r="B1498" s="677" t="s">
        <v>219</v>
      </c>
      <c r="C1498" s="677">
        <v>3100</v>
      </c>
      <c r="D1498" s="677">
        <v>6800</v>
      </c>
      <c r="E1498" s="678">
        <f t="array" ref="E1498">SUMIFS('Accounting data'!$G$2:$G$26,'Accounting data'!$H$2:$H$26,"9999*",'Accounting data'!$I$2:$I$26,"7*",'Accounting data'!$J$2:$J$26,"31*",'Accounting data'!$K$2:$K$26,"68*")+SUMIFS('Accounting data'!$G$2:$G$26,'Accounting data'!$H$2:$H$26,"9999*",'Accounting data'!$I$2:$I$26,"8*",'Accounting data'!$J$2:$J$26,"31*",'Accounting data'!$K$2:$K$26,"68*")+SUMIFS('Accounting data'!$G$2:$G$26,'Accounting data'!$H$2:$H$26,"9999*",'Accounting data'!$I$2:$I$26,"9*",'Accounting data'!$J$2:$J$26,"31*",'Accounting data'!$K$2:$K$26,"68*")</f>
        <v>0</v>
      </c>
    </row>
    <row r="1499" spans="1:5" ht="14.5" x14ac:dyDescent="0.35">
      <c r="A1499" s="680" t="s">
        <v>319</v>
      </c>
      <c r="B1499" s="680"/>
      <c r="C1499" s="680"/>
      <c r="D1499" s="680"/>
      <c r="E1499" s="681">
        <f>(E1495-E1496-E1497)+E1498</f>
        <v>0</v>
      </c>
    </row>
    <row r="1500" spans="1:5" x14ac:dyDescent="0.3">
      <c r="A1500" s="677" t="s">
        <v>217</v>
      </c>
      <c r="B1500" s="677" t="s">
        <v>217</v>
      </c>
      <c r="C1500" s="677">
        <v>3400</v>
      </c>
      <c r="D1500" s="677">
        <v>6800</v>
      </c>
      <c r="E1500" s="678">
        <f t="array" ref="E1500">SUMIFS('Accounting data'!$G$2:$G$26,'Accounting data'!$J$2:$J$26,"34*",'Accounting data'!$K$2:$K$26,"68*")</f>
        <v>0</v>
      </c>
    </row>
    <row r="1501" spans="1:5" x14ac:dyDescent="0.3">
      <c r="A1501" s="677" t="s">
        <v>218</v>
      </c>
      <c r="B1501" s="677" t="s">
        <v>217</v>
      </c>
      <c r="C1501" s="677">
        <v>3400</v>
      </c>
      <c r="D1501" s="677">
        <v>6800</v>
      </c>
      <c r="E1501" s="678">
        <f t="array" ref="E1501">SUMIFS('Accounting data'!$G$2:$G$26,'Accounting data'!$H$2:$H$26,"9999*",'Accounting data'!$J$2:$J$26,"34*",'Accounting data'!$K$2:$K$26,"68*")</f>
        <v>0</v>
      </c>
    </row>
    <row r="1502" spans="1:5" x14ac:dyDescent="0.3">
      <c r="A1502" s="677" t="s">
        <v>217</v>
      </c>
      <c r="B1502" s="677" t="s">
        <v>219</v>
      </c>
      <c r="C1502" s="677">
        <v>3400</v>
      </c>
      <c r="D1502" s="677">
        <v>6800</v>
      </c>
      <c r="E1502" s="678">
        <f t="array" ref="E1502">SUMIFS('Accounting data'!$G$2:$G$26,'Accounting data'!$I$2:$I$26,"7*",'Accounting data'!$J$2:$J$26,"34*",'Accounting data'!$K$2:$K$26,"68*")+SUMIFS('Accounting data'!$G$2:$G$26,'Accounting data'!$I$2:$I$26,"8*",'Accounting data'!$J$2:$J$26,"34*",'Accounting data'!$K$2:$K$26,"68*")+SUMIFS('Accounting data'!$G$2:$G$26,'Accounting data'!$I$2:$I$26,"9*",'Accounting data'!$J$2:$J$26,"34*",'Accounting data'!$K$2:$K$26,"68*")</f>
        <v>0</v>
      </c>
    </row>
    <row r="1503" spans="1:5" x14ac:dyDescent="0.3">
      <c r="A1503" s="679" t="s">
        <v>218</v>
      </c>
      <c r="B1503" s="677" t="s">
        <v>219</v>
      </c>
      <c r="C1503" s="677">
        <v>3400</v>
      </c>
      <c r="D1503" s="677">
        <v>6800</v>
      </c>
      <c r="E1503" s="678">
        <f t="array" ref="E1503">SUMIFS('Accounting data'!$G$2:$G$26,'Accounting data'!$H$2:$H$26,"9999*",'Accounting data'!$I$2:$I$26,"7*",'Accounting data'!$J$2:$J$26,"34*",'Accounting data'!$K$2:$K$26,"68*")+SUMIFS('Accounting data'!$G$2:$G$26,'Accounting data'!$H$2:$H$26,"9999*",'Accounting data'!$I$2:$I$26,"8*",'Accounting data'!$J$2:$J$26,"34*",'Accounting data'!$K$2:$K$26,"68*")+SUMIFS('Accounting data'!$G$2:$G$26,'Accounting data'!$H$2:$H$26,"9999*",'Accounting data'!$I$2:$I$26,"9*",'Accounting data'!$J$2:$J$26,"34*",'Accounting data'!$K$2:$K$26,"68*")</f>
        <v>0</v>
      </c>
    </row>
    <row r="1504" spans="1:5" ht="14.5" x14ac:dyDescent="0.35">
      <c r="A1504" s="680" t="s">
        <v>320</v>
      </c>
      <c r="B1504" s="680"/>
      <c r="C1504" s="680"/>
      <c r="D1504" s="680"/>
      <c r="E1504" s="681">
        <f>(E1500-E1501-E1502)+E1503</f>
        <v>0</v>
      </c>
    </row>
    <row r="1505" spans="1:5" ht="14.5" x14ac:dyDescent="0.35">
      <c r="A1505" s="683" t="s">
        <v>321</v>
      </c>
      <c r="B1505" s="683"/>
      <c r="C1505" s="683"/>
      <c r="D1505" s="683"/>
      <c r="E1505" s="684">
        <f>E1454+E1459+E1464+E1469+E1474+E1479+E1484+E1489+E1494+E1499+E1504</f>
        <v>0</v>
      </c>
    </row>
    <row r="1506" spans="1:5" x14ac:dyDescent="0.3">
      <c r="A1506" s="677" t="s">
        <v>231</v>
      </c>
      <c r="B1506" s="677" t="s">
        <v>217</v>
      </c>
      <c r="C1506" s="677">
        <v>1000</v>
      </c>
      <c r="D1506" s="677">
        <v>6800</v>
      </c>
      <c r="E1506" s="678">
        <f>SUMIFS('Accounting data'!$G$2:$G$26,'Accounting data'!$H$2:$H$26,"11*",'Accounting data'!$J$2:$J$26,"1*",'Accounting data'!$K$2:$K$26,"68*")+SUMIFS('Accounting data'!$G$2:$G$26,'Accounting data'!$H$2:$H$26,"12*",'Accounting data'!$J$2:$J$26,"1*",'Accounting data'!$K$2:$K$26,"68*")+SUMIFS('Accounting data'!$G$2:$G$26,'Accounting data'!$H$2:$H$26,"13*",'Accounting data'!$J$2:$J$26,"1*",'Accounting data'!$K$2:$K$26,"68*")</f>
        <v>0</v>
      </c>
    </row>
    <row r="1507" spans="1:5" x14ac:dyDescent="0.3">
      <c r="A1507" s="677" t="s">
        <v>231</v>
      </c>
      <c r="B1507" s="677" t="s">
        <v>217</v>
      </c>
      <c r="C1507" s="677">
        <v>2000</v>
      </c>
      <c r="D1507" s="677">
        <v>6800</v>
      </c>
      <c r="E1507" s="678">
        <f>SUMIFS('Accounting data'!$G$2:$G$26,'Accounting data'!$H$2:$H$26,"11*",'Accounting data'!$J$2:$J$26,"2*",'Accounting data'!$K$2:$K$26,"68*")+SUMIFS('Accounting data'!$G$2:$G$26,'Accounting data'!$H$2:$H$26,"12*",'Accounting data'!$J$2:$J$26,"2*",'Accounting data'!$K$2:$K$26,"68*")+SUMIFS('Accounting data'!$G$2:$G$26,'Accounting data'!$H$2:$H$26,"13*",'Accounting data'!$J$2:$J$26,"2*",'Accounting data'!$K$2:$K$26,"68*")</f>
        <v>0</v>
      </c>
    </row>
    <row r="1508" spans="1:5" x14ac:dyDescent="0.3">
      <c r="A1508" s="677" t="s">
        <v>231</v>
      </c>
      <c r="B1508" s="677" t="s">
        <v>217</v>
      </c>
      <c r="C1508" s="677">
        <v>3000</v>
      </c>
      <c r="D1508" s="677">
        <v>6800</v>
      </c>
      <c r="E1508" s="678">
        <f>SUMIFS('Accounting data'!$G$2:$G$26,'Accounting data'!$H$2:$H$26,"11*",'Accounting data'!$J$2:$J$26,"3*",'Accounting data'!$K$2:$K$26,"68*")+SUMIFS('Accounting data'!$G$2:$G$26,'Accounting data'!$H$2:$H$26,"12*",'Accounting data'!$J$2:$J$26,"3*",'Accounting data'!$K$2:$K$26,"68*")+SUMIFS('Accounting data'!$G$2:$G$26,'Accounting data'!$H$2:$H$26,"13*",'Accounting data'!$J$2:$J$26,"3*",'Accounting data'!$K$2:$K$26,"68*")</f>
        <v>0</v>
      </c>
    </row>
    <row r="1509" spans="1:5" x14ac:dyDescent="0.3">
      <c r="A1509" s="677" t="s">
        <v>231</v>
      </c>
      <c r="B1509" s="679">
        <v>700</v>
      </c>
      <c r="C1509" s="677">
        <v>1000</v>
      </c>
      <c r="D1509" s="677">
        <v>6800</v>
      </c>
      <c r="E1509" s="678">
        <f>SUMIFS('Accounting data'!$G$2:$G$26,'Accounting data'!$H$2:$H$26,"11*",'Accounting data'!$I$2:$I$26,"7*",'Accounting data'!$J$2:$J$26,"1*",'Accounting data'!$K$2:$K$26,"68*")+SUMIFS('Accounting data'!$G$2:$G$26,'Accounting data'!$H$2:$H$26,"12*",'Accounting data'!$I$2:$I$26,"7*",'Accounting data'!$J$2:$J$26,"1*",'Accounting data'!$K$2:$K$26,"68*")+SUMIFS('Accounting data'!$G$2:$G$26,'Accounting data'!$H$2:$H$26,"13*",'Accounting data'!$I$2:$I$26,"7*",'Accounting data'!$J$2:$J$26,"1*",'Accounting data'!$K$2:$K$26,"68*")</f>
        <v>0</v>
      </c>
    </row>
    <row r="1510" spans="1:5" x14ac:dyDescent="0.3">
      <c r="A1510" s="677" t="s">
        <v>231</v>
      </c>
      <c r="B1510" s="679">
        <v>800</v>
      </c>
      <c r="C1510" s="677">
        <v>1000</v>
      </c>
      <c r="D1510" s="677">
        <v>6800</v>
      </c>
      <c r="E1510" s="678">
        <f>SUMIFS('Accounting data'!$G$2:$G$26,'Accounting data'!$H$2:$H$26,"11*",'Accounting data'!$I$2:$I$26,"8*",'Accounting data'!$J$2:$J$26,"1*",'Accounting data'!$K$2:$K$26,"68*")+SUMIFS('Accounting data'!$G$2:$G$26,'Accounting data'!$H$2:$H$26,"12*",'Accounting data'!$I$2:$I$26,"8*",'Accounting data'!$J$2:$J$26,"1*",'Accounting data'!$K$2:$K$26,"68*")+SUMIFS('Accounting data'!$G$2:$G$26,'Accounting data'!$H$2:$H$26,"13*",'Accounting data'!$I$2:$I$26,"8*",'Accounting data'!$J$2:$J$26,"1*",'Accounting data'!$K$2:$K$26,"68*")</f>
        <v>0</v>
      </c>
    </row>
    <row r="1511" spans="1:5" x14ac:dyDescent="0.3">
      <c r="A1511" s="677" t="s">
        <v>231</v>
      </c>
      <c r="B1511" s="679">
        <v>900</v>
      </c>
      <c r="C1511" s="677">
        <v>1000</v>
      </c>
      <c r="D1511" s="677">
        <v>6800</v>
      </c>
      <c r="E1511" s="678">
        <f>SUMIFS('Accounting data'!$G$2:$G$26,'Accounting data'!$H$2:$H$26,"11*",'Accounting data'!$I$2:$I$26,"9*",'Accounting data'!$J$2:$J$26,"1*",'Accounting data'!$K$2:$K$26,"68*")+SUMIFS('Accounting data'!$G$2:$G$26,'Accounting data'!$H$2:$H$26,"12*",'Accounting data'!$I$2:$I$26,"9*",'Accounting data'!$J$2:$J$26,"1*",'Accounting data'!$K$2:$K$26,"68*")+SUMIFS('Accounting data'!$G$2:$G$26,'Accounting data'!$H$2:$H$26,"13*",'Accounting data'!$I$2:$I$26,"9*",'Accounting data'!$J$2:$J$26,"1*",'Accounting data'!$K$2:$K$26,"68*")</f>
        <v>0</v>
      </c>
    </row>
    <row r="1512" spans="1:5" x14ac:dyDescent="0.3">
      <c r="A1512" s="677" t="s">
        <v>231</v>
      </c>
      <c r="B1512" s="679">
        <v>700</v>
      </c>
      <c r="C1512" s="677">
        <v>2000</v>
      </c>
      <c r="D1512" s="677">
        <v>6800</v>
      </c>
      <c r="E1512" s="678">
        <f>SUMIFS('Accounting data'!$G$2:$G$26,'Accounting data'!$H$2:$H$26,"11*",'Accounting data'!$I$2:$I$26,"7*",'Accounting data'!$J$2:$J$26,"2*",'Accounting data'!$K$2:$K$26,"68*")+SUMIFS('Accounting data'!$G$2:$G$26,'Accounting data'!$H$2:$H$26,"12*",'Accounting data'!$I$2:$I$26,"7*",'Accounting data'!$J$2:$J$26,"2*",'Accounting data'!$K$2:$K$26,"68*")+SUMIFS('Accounting data'!$G$2:$G$26,'Accounting data'!$H$2:$H$26,"13*",'Accounting data'!$I$2:$I$26,"7*",'Accounting data'!$J$2:$J$26,"2*",'Accounting data'!$K$2:$K$26,"68*")</f>
        <v>0</v>
      </c>
    </row>
    <row r="1513" spans="1:5" x14ac:dyDescent="0.3">
      <c r="A1513" s="677" t="s">
        <v>231</v>
      </c>
      <c r="B1513" s="679">
        <v>800</v>
      </c>
      <c r="C1513" s="677">
        <v>2000</v>
      </c>
      <c r="D1513" s="677">
        <v>6800</v>
      </c>
      <c r="E1513" s="678">
        <f>SUMIFS('Accounting data'!$G$2:$G$26,'Accounting data'!$H$2:$H$26,"11*",'Accounting data'!$I$2:$I$26,"8*",'Accounting data'!$J$2:$J$26,"2*",'Accounting data'!$K$2:$K$26,"68*")+SUMIFS('Accounting data'!$G$2:$G$26,'Accounting data'!$H$2:$H$26,"12*",'Accounting data'!$I$2:$I$26,"8*",'Accounting data'!$J$2:$J$26,"2*",'Accounting data'!$K$2:$K$26,"68*")+SUMIFS('Accounting data'!$G$2:$G$26,'Accounting data'!$H$2:$H$26,"13*",'Accounting data'!$I$2:$I$26,"8*",'Accounting data'!$J$2:$J$26,"2*",'Accounting data'!$K$2:$K$26,"68*")</f>
        <v>0</v>
      </c>
    </row>
    <row r="1514" spans="1:5" x14ac:dyDescent="0.3">
      <c r="A1514" s="677" t="s">
        <v>231</v>
      </c>
      <c r="B1514" s="679">
        <v>900</v>
      </c>
      <c r="C1514" s="677">
        <v>2000</v>
      </c>
      <c r="D1514" s="677">
        <v>6800</v>
      </c>
      <c r="E1514" s="678">
        <f>SUMIFS('Accounting data'!$G$2:$G$26,'Accounting data'!$H$2:$H$26,"11*",'Accounting data'!$I$2:$I$26,"9*",'Accounting data'!$J$2:$J$26,"2*",'Accounting data'!$K$2:$K$26,"68*")+SUMIFS('Accounting data'!$G$2:$G$26,'Accounting data'!$H$2:$H$26,"12*",'Accounting data'!$I$2:$I$26,"9*",'Accounting data'!$J$2:$J$26,"2*",'Accounting data'!$K$2:$K$26,"68*")+SUMIFS('Accounting data'!$G$2:$G$26,'Accounting data'!$H$2:$H$26,"13*",'Accounting data'!$I$2:$I$26,"9*",'Accounting data'!$J$2:$J$26,"2*",'Accounting data'!$K$2:$K$26,"68*")</f>
        <v>0</v>
      </c>
    </row>
    <row r="1515" spans="1:5" x14ac:dyDescent="0.3">
      <c r="A1515" s="677" t="s">
        <v>231</v>
      </c>
      <c r="B1515" s="679">
        <v>700</v>
      </c>
      <c r="C1515" s="677">
        <v>3000</v>
      </c>
      <c r="D1515" s="677">
        <v>6800</v>
      </c>
      <c r="E1515" s="678">
        <f>SUMIFS('Accounting data'!$G$2:$G$26,'Accounting data'!$H$2:$H$26,"11*",'Accounting data'!$I$2:$I$26,"7*",'Accounting data'!$J$2:$J$26,"3*",'Accounting data'!$K$2:$K$26,"68*")+SUMIFS('Accounting data'!$G$2:$G$26,'Accounting data'!$H$2:$H$26,"12*",'Accounting data'!$I$2:$I$26,"7*",'Accounting data'!$J$2:$J$26,"3*",'Accounting data'!$K$2:$K$26,"68*")+SUMIFS('Accounting data'!$G$2:$G$26,'Accounting data'!$H$2:$H$26,"13*",'Accounting data'!$I$2:$I$26,"7*",'Accounting data'!$J$2:$J$26,"3*",'Accounting data'!$K$2:$K$26,"68*")</f>
        <v>0</v>
      </c>
    </row>
    <row r="1516" spans="1:5" x14ac:dyDescent="0.3">
      <c r="A1516" s="677" t="s">
        <v>231</v>
      </c>
      <c r="B1516" s="679">
        <v>800</v>
      </c>
      <c r="C1516" s="677">
        <v>3000</v>
      </c>
      <c r="D1516" s="677">
        <v>6800</v>
      </c>
      <c r="E1516" s="678">
        <f>SUMIFS('Accounting data'!$G$2:$G$26,'Accounting data'!$H$2:$H$26,"11*",'Accounting data'!$I$2:$I$26,"8*",'Accounting data'!$J$2:$J$26,"3*",'Accounting data'!$K$2:$K$26,"68*")+SUMIFS('Accounting data'!$G$2:$G$26,'Accounting data'!$H$2:$H$26,"12*",'Accounting data'!$I$2:$I$26,"8*",'Accounting data'!$J$2:$J$26,"3*",'Accounting data'!$K$2:$K$26,"68*")+SUMIFS('Accounting data'!$G$2:$G$26,'Accounting data'!$H$2:$H$26,"13*",'Accounting data'!$I$2:$I$26,"8*",'Accounting data'!$J$2:$J$26,"3*",'Accounting data'!$K$2:$K$26,"68*")</f>
        <v>0</v>
      </c>
    </row>
    <row r="1517" spans="1:5" x14ac:dyDescent="0.3">
      <c r="A1517" s="677" t="s">
        <v>231</v>
      </c>
      <c r="B1517" s="679">
        <v>900</v>
      </c>
      <c r="C1517" s="677">
        <v>3000</v>
      </c>
      <c r="D1517" s="677">
        <v>6800</v>
      </c>
      <c r="E1517" s="678">
        <f>SUMIFS('Accounting data'!$G$2:$G$26,'Accounting data'!$H$2:$H$26,"11*",'Accounting data'!$I$2:$I$26,"9*",'Accounting data'!$J$2:$J$26,"3*",'Accounting data'!$K$2:$K$26,"68*")+SUMIFS('Accounting data'!$G$2:$G$26,'Accounting data'!$H$2:$H$26,"12*",'Accounting data'!$I$2:$I$26,"9*",'Accounting data'!$J$2:$J$26,"3*",'Accounting data'!$K$2:$K$26,"68*")+SUMIFS('Accounting data'!$G$2:$G$26,'Accounting data'!$H$2:$H$26,"13*",'Accounting data'!$I$2:$I$26,"9*",'Accounting data'!$J$2:$J$26,"3*",'Accounting data'!$K$2:$K$26,"68*")</f>
        <v>0</v>
      </c>
    </row>
    <row r="1518" spans="1:5" x14ac:dyDescent="0.3">
      <c r="A1518" s="680" t="s">
        <v>322</v>
      </c>
      <c r="B1518" s="680"/>
      <c r="C1518" s="680"/>
      <c r="D1518" s="680"/>
      <c r="E1518" s="697">
        <f>(E1506+E1507+E1508)-(E1509+E1510+E1511+E1512+E1513+E1514+E1515+E1516+E1517)</f>
        <v>0</v>
      </c>
    </row>
    <row r="1519" spans="1:5" x14ac:dyDescent="0.3">
      <c r="A1519" s="677" t="s">
        <v>217</v>
      </c>
      <c r="B1519" s="677" t="s">
        <v>217</v>
      </c>
      <c r="C1519" s="677">
        <v>4000</v>
      </c>
      <c r="D1519" s="677">
        <v>6800</v>
      </c>
      <c r="E1519" s="678">
        <f>SUMIFS('Accounting data'!G$2:G$26,'Accounting data'!J$2:J$26,"4*",'Accounting data'!K$2:K$26,"68*")</f>
        <v>0</v>
      </c>
    </row>
    <row r="1520" spans="1:5" x14ac:dyDescent="0.3">
      <c r="A1520" s="677" t="s">
        <v>218</v>
      </c>
      <c r="B1520" s="677" t="s">
        <v>217</v>
      </c>
      <c r="C1520" s="677">
        <v>4000</v>
      </c>
      <c r="D1520" s="677">
        <v>6800</v>
      </c>
      <c r="E1520" s="678">
        <f t="array" ref="E1520">SUMIFS('Accounting data'!$G$2:$G$26,'Accounting data'!$H$2:$H$26,"9999*",'Accounting data'!$J$2:$J$26,"4*",'Accounting data'!$K$2:$K$26,"68*")</f>
        <v>0</v>
      </c>
    </row>
    <row r="1521" spans="1:5" x14ac:dyDescent="0.3">
      <c r="A1521" s="677" t="s">
        <v>217</v>
      </c>
      <c r="B1521" s="677" t="s">
        <v>219</v>
      </c>
      <c r="C1521" s="677">
        <v>4000</v>
      </c>
      <c r="D1521" s="677">
        <v>6800</v>
      </c>
      <c r="E1521" s="678">
        <f t="array" ref="E1521">SUMIFS('Accounting data'!$G$2:$G$26,'Accounting data'!$I$2:$I$26,"7*",'Accounting data'!$J$2:$J$26,"4*",'Accounting data'!$K$2:$K$26,"68*")+SUMIFS('Accounting data'!$G$2:$G$26,'Accounting data'!$I$2:$I$26,"8*",'Accounting data'!$J$2:$J$26,"4*",'Accounting data'!$K$2:$K$26,"68*")+SUMIFS('Accounting data'!$G$2:$G$26,'Accounting data'!$I$2:$I$26,"9*",'Accounting data'!$J$2:$J$26,"4*",'Accounting data'!$K$2:$K$26,"68*")</f>
        <v>0</v>
      </c>
    </row>
    <row r="1522" spans="1:5" x14ac:dyDescent="0.3">
      <c r="A1522" s="679" t="s">
        <v>218</v>
      </c>
      <c r="B1522" s="677" t="s">
        <v>219</v>
      </c>
      <c r="C1522" s="677">
        <v>4000</v>
      </c>
      <c r="D1522" s="677">
        <v>6800</v>
      </c>
      <c r="E1522" s="678">
        <f t="array" ref="E1522">SUMIFS('Accounting data'!$G$2:$G$26,'Accounting data'!$H$2:$H$26,"9999*",'Accounting data'!$I$2:$I$26,"7*",'Accounting data'!$J$2:$J$26,"4*",'Accounting data'!$K$2:$K$26,"68*")+SUMIFS('Accounting data'!$G$2:$G$26,'Accounting data'!$H$2:$H$26,"9999*",'Accounting data'!$I$2:$I$26,"8*",'Accounting data'!$J$2:$J$26,"4*",'Accounting data'!$K$2:$K$26,"68*")+SUMIFS('Accounting data'!$G$2:$G$26,'Accounting data'!$H$2:$H$26,"9999*",'Accounting data'!$I$2:$I$26,"9*",'Accounting data'!$J$2:$J$26,"4*",'Accounting data'!$K$2:$K$26,"68*")</f>
        <v>0</v>
      </c>
    </row>
    <row r="1523" spans="1:5" ht="14.5" x14ac:dyDescent="0.35">
      <c r="A1523" s="680" t="s">
        <v>323</v>
      </c>
      <c r="B1523" s="680"/>
      <c r="C1523" s="680"/>
      <c r="D1523" s="680"/>
      <c r="E1523" s="681">
        <f>(E1519-E1520-E1521)+E1522</f>
        <v>0</v>
      </c>
    </row>
    <row r="1524" spans="1:5" x14ac:dyDescent="0.3">
      <c r="A1524" s="677" t="s">
        <v>217</v>
      </c>
      <c r="B1524" s="677" t="s">
        <v>217</v>
      </c>
      <c r="C1524" s="677">
        <v>1900</v>
      </c>
      <c r="D1524" s="677">
        <v>6100</v>
      </c>
      <c r="E1524" s="678">
        <f>SUMIFS('Accounting data'!$G$2:$G$26,'Accounting data'!$J$2:$J$26,"19*",'Accounting data'!$K$2:$K$26,"61*")</f>
        <v>0</v>
      </c>
    </row>
    <row r="1525" spans="1:5" x14ac:dyDescent="0.3">
      <c r="A1525" s="677" t="s">
        <v>218</v>
      </c>
      <c r="B1525" s="677" t="s">
        <v>217</v>
      </c>
      <c r="C1525" s="677">
        <v>1900</v>
      </c>
      <c r="D1525" s="677">
        <v>6100</v>
      </c>
      <c r="E1525" s="678">
        <f>SUMIFS('Accounting data'!$G$2:$G$26,'Accounting data'!$H$2:$H$26,"9999*",'Accounting data'!$J$2:$J$26,"19*",'Accounting data'!$K$2:$K$26,"61*")</f>
        <v>0</v>
      </c>
    </row>
    <row r="1526" spans="1:5" x14ac:dyDescent="0.3">
      <c r="A1526" s="677" t="s">
        <v>217</v>
      </c>
      <c r="B1526" s="677" t="s">
        <v>219</v>
      </c>
      <c r="C1526" s="677">
        <v>1900</v>
      </c>
      <c r="D1526" s="677">
        <v>6100</v>
      </c>
      <c r="E1526" s="678">
        <f>SUMIFS('Accounting data'!$G$2:$G$26,'Accounting data'!$I$2:$I$26,"7*",'Accounting data'!$J$2:$J$26,"19*",'Accounting data'!$K$2:$K$26,"61*")+SUMIFS('Accounting data'!$G$2:$G$26,'Accounting data'!$I$2:$I$26,"8*",'Accounting data'!$J$2:$J$26,"19*",'Accounting data'!$K$2:$K$26,"61*")+SUMIFS('Accounting data'!$G$2:$G$26,'Accounting data'!$I$2:$I$26,"9*",'Accounting data'!$J$2:$J$26,"19*",'Accounting data'!$K$2:$K$26,"61*")</f>
        <v>0</v>
      </c>
    </row>
    <row r="1527" spans="1:5" x14ac:dyDescent="0.3">
      <c r="A1527" s="679" t="s">
        <v>218</v>
      </c>
      <c r="B1527" s="677" t="s">
        <v>219</v>
      </c>
      <c r="C1527" s="677">
        <v>1900</v>
      </c>
      <c r="D1527" s="677">
        <v>6100</v>
      </c>
      <c r="E1527" s="678">
        <f>SUMIFS('Accounting data'!$G$2:$G$26,'Accounting data'!$H$2:$H$26,"9999*",'Accounting data'!$I$2:$I$26,"7*",'Accounting data'!$J$2:$J$26,"19*",'Accounting data'!$K$2:$K$26,"61*")+SUMIFS('Accounting data'!$G$2:$G$26,'Accounting data'!$H$2:$H$26,"9999*",'Accounting data'!$I$2:$I$26,"8*",'Accounting data'!$J$2:$J$26,"19*",'Accounting data'!$K$2:$K$26,"61*")+SUMIFS('Accounting data'!$G$2:$G$26,'Accounting data'!$H$2:$H$26,"9999*",'Accounting data'!$I$2:$I$26,"9*",'Accounting data'!$J$2:$J$26,"19*",'Accounting data'!$K$2:$K$26,"61*")</f>
        <v>0</v>
      </c>
    </row>
    <row r="1528" spans="1:5" x14ac:dyDescent="0.3">
      <c r="A1528" s="680" t="s">
        <v>834</v>
      </c>
      <c r="B1528" s="680"/>
      <c r="C1528" s="680"/>
      <c r="D1528" s="680"/>
      <c r="E1528" s="697">
        <f>(E1524-E1525-E1526)+E1527</f>
        <v>0</v>
      </c>
    </row>
    <row r="1529" spans="1:5" x14ac:dyDescent="0.3">
      <c r="A1529" s="677" t="s">
        <v>231</v>
      </c>
      <c r="B1529" s="677" t="s">
        <v>217</v>
      </c>
      <c r="C1529" s="677">
        <v>1900</v>
      </c>
      <c r="D1529" s="677">
        <v>6100</v>
      </c>
      <c r="E1529" s="678">
        <f t="array" ref="E1529">SUMIFS('Accounting data'!$G$2:$G$26,'Accounting data'!$H$2:$H$26,"11*",'Accounting data'!$J$2:$J$26,"19*",'Accounting data'!$K$2:$K$26,"61*")+SUMIFS('Accounting data'!$G$2:$G$26,'Accounting data'!$H$2:$H$26,"12*",'Accounting data'!$J$2:$J$26,"19*",'Accounting data'!$K$2:$K$26,"61*")+SUMIFS('Accounting data'!$G$2:$G$26,'Accounting data'!$H$2:$H$26,"13*",'Accounting data'!$J$2:$J$26,"19*",'Accounting data'!$K$2:$K$26,"61*")</f>
        <v>0</v>
      </c>
    </row>
    <row r="1530" spans="1:5" x14ac:dyDescent="0.3">
      <c r="A1530" s="677" t="s">
        <v>231</v>
      </c>
      <c r="B1530" s="679">
        <v>700</v>
      </c>
      <c r="C1530" s="677">
        <v>1900</v>
      </c>
      <c r="D1530" s="677">
        <v>6100</v>
      </c>
      <c r="E1530" s="678">
        <f t="array" ref="E1530">SUMIFS('Accounting data'!$G$2:$G$26,'Accounting data'!$H$2:$H$26,"11*",'Accounting data'!$I$2:$I$26,"7*",'Accounting data'!$J$2:$J$26,"19*",'Accounting data'!$K$2:$K$26,"61*")+SUMIFS('Accounting data'!$G$2:$G$26,'Accounting data'!$H$2:$H$26,"12*",'Accounting data'!$I$2:$I$26,"7*",'Accounting data'!$J$2:$J$26,"19*",'Accounting data'!$K$2:$K$26,"61*")+SUMIFS('Accounting data'!$G$2:$G$26,'Accounting data'!$H$2:$H$26,"13*",'Accounting data'!$I$2:$I$26,"7*",'Accounting data'!$J$2:$J$26,"19*",'Accounting data'!$K$2:$K$26,"61*")</f>
        <v>0</v>
      </c>
    </row>
    <row r="1531" spans="1:5" x14ac:dyDescent="0.3">
      <c r="A1531" s="677" t="s">
        <v>231</v>
      </c>
      <c r="B1531" s="679">
        <v>800</v>
      </c>
      <c r="C1531" s="677">
        <v>1900</v>
      </c>
      <c r="D1531" s="677">
        <v>6100</v>
      </c>
      <c r="E1531" s="678">
        <f t="array" ref="E1531">SUMIFS('Accounting data'!$G$2:$G$26,'Accounting data'!$H$2:$H$26,"11*",'Accounting data'!$I$2:$I$26,"8*",'Accounting data'!$J$2:$J$26,"19*",'Accounting data'!$K$2:$K$26,"61*")+SUMIFS('Accounting data'!$G$2:$G$26,'Accounting data'!$H$2:$H$26,"12*",'Accounting data'!$I$2:$I$26,"8*",'Accounting data'!$J$2:$J$26,"19*",'Accounting data'!$K$2:$K$26,"61*")+SUMIFS('Accounting data'!$G$2:$G$26,'Accounting data'!$H$2:$H$26,"13*",'Accounting data'!$I$2:$I$26,"8*",'Accounting data'!$J$2:$J$26,"19*",'Accounting data'!$K$2:$K$26,"61*")</f>
        <v>0</v>
      </c>
    </row>
    <row r="1532" spans="1:5" x14ac:dyDescent="0.3">
      <c r="A1532" s="677" t="s">
        <v>231</v>
      </c>
      <c r="B1532" s="679">
        <v>900</v>
      </c>
      <c r="C1532" s="677">
        <v>1900</v>
      </c>
      <c r="D1532" s="677">
        <v>6100</v>
      </c>
      <c r="E1532" s="678">
        <f t="array" ref="E1532">SUMIFS('Accounting data'!$G$2:$G$26,'Accounting data'!$H$2:$H$26,"11*",'Accounting data'!$I$2:$I$26,"9*",'Accounting data'!$J$2:$J$26,"19*",'Accounting data'!$K$2:$K$26,"61*")+SUMIFS('Accounting data'!$G$2:$G$26,'Accounting data'!$H$2:$H$26,"12*",'Accounting data'!$I$2:$I$26,"9*",'Accounting data'!$J$2:$J$26,"19*",'Accounting data'!$K$2:$K$26,"61*")+SUMIFS('Accounting data'!$G$2:$G$26,'Accounting data'!$H$2:$H$26,"13*",'Accounting data'!$I$2:$I$26,"9*",'Accounting data'!$J$2:$J$26,"19*",'Accounting data'!$K$2:$K$26,"61*")</f>
        <v>0</v>
      </c>
    </row>
    <row r="1533" spans="1:5" x14ac:dyDescent="0.3">
      <c r="A1533" s="680" t="s">
        <v>324</v>
      </c>
      <c r="B1533" s="680"/>
      <c r="C1533" s="680"/>
      <c r="D1533" s="680"/>
      <c r="E1533" s="697">
        <f>E1529-(E1530+E1531+E1532)</f>
        <v>0</v>
      </c>
    </row>
    <row r="1534" spans="1:5" x14ac:dyDescent="0.3">
      <c r="A1534" s="683" t="s">
        <v>325</v>
      </c>
      <c r="B1534" s="683"/>
      <c r="C1534" s="683"/>
      <c r="D1534" s="683"/>
      <c r="E1534" s="687">
        <f>E1528-E1533</f>
        <v>0</v>
      </c>
    </row>
    <row r="1535" spans="1:5" x14ac:dyDescent="0.3">
      <c r="A1535" s="698" t="s">
        <v>217</v>
      </c>
      <c r="B1535" s="698" t="s">
        <v>217</v>
      </c>
      <c r="C1535" s="698">
        <v>5000</v>
      </c>
      <c r="D1535" s="698">
        <v>6800</v>
      </c>
      <c r="E1535" s="699">
        <f>SUMIFS('Accounting data'!G$2:G$26,'Accounting data'!J$2:J$26,"5*",'Accounting data'!K$2:K$26,"68*")</f>
        <v>0</v>
      </c>
    </row>
    <row r="1536" spans="1:5" x14ac:dyDescent="0.3">
      <c r="A1536" s="698" t="s">
        <v>218</v>
      </c>
      <c r="B1536" s="698" t="s">
        <v>217</v>
      </c>
      <c r="C1536" s="698">
        <v>5000</v>
      </c>
      <c r="D1536" s="698">
        <v>6800</v>
      </c>
      <c r="E1536" s="699">
        <f>SUMIFS('Accounting data'!$G$2:$G$26,'Accounting data'!$H$2:$H$26,"9999*",'Accounting data'!$J$2:$J$26,"5*",'Accounting data'!$K$2:$K$26,"68*")</f>
        <v>0</v>
      </c>
    </row>
    <row r="1537" spans="1:5" x14ac:dyDescent="0.3">
      <c r="A1537" s="698" t="s">
        <v>217</v>
      </c>
      <c r="B1537" s="698" t="s">
        <v>219</v>
      </c>
      <c r="C1537" s="698">
        <v>5000</v>
      </c>
      <c r="D1537" s="698">
        <v>6800</v>
      </c>
      <c r="E1537" s="699">
        <f>SUMIFS('Accounting data'!$G$2:$G$26,'Accounting data'!$I$2:$I$26,"7*",'Accounting data'!$J$2:$J$26,"5*",'Accounting data'!$K$2:$K$26,"68*")+SUMIFS('Accounting data'!$G$2:$G$26,'Accounting data'!$I$2:$I$26,"8*",'Accounting data'!$J$2:$J$26,"5*",'Accounting data'!$K$2:$K$26,"68*")+SUMIFS('Accounting data'!$G$2:$G$26,'Accounting data'!$I$2:$I$26,"9*",'Accounting data'!$J$2:$J$26,"5*",'Accounting data'!$K$2:$K$26,"68*")</f>
        <v>0</v>
      </c>
    </row>
    <row r="1538" spans="1:5" x14ac:dyDescent="0.3">
      <c r="A1538" s="700" t="s">
        <v>218</v>
      </c>
      <c r="B1538" s="698" t="s">
        <v>219</v>
      </c>
      <c r="C1538" s="698">
        <v>5000</v>
      </c>
      <c r="D1538" s="698">
        <v>6800</v>
      </c>
      <c r="E1538" s="699">
        <f>SUMIFS('Accounting data'!$G$2:$G$26,'Accounting data'!$H$2:$H$26,"9999*",'Accounting data'!$I$2:$I$26,"7*",'Accounting data'!$J$2:$J$26,"5*",'Accounting data'!$K$2:$K$26,"68*")+SUMIFS('Accounting data'!$G$2:$G$26,'Accounting data'!$H$2:$H$26,"9999*",'Accounting data'!$I$2:$I$26,"8*",'Accounting data'!$J$2:$J$26,"5*",'Accounting data'!$K$2:$K$26,"68*")+SUMIFS('Accounting data'!$G$2:$G$26,'Accounting data'!$H$2:$H$26,"9999*",'Accounting data'!$I$2:$I$26,"9*",'Accounting data'!$J$2:$J$26,"5*",'Accounting data'!$K$2:$K$26,"68*")</f>
        <v>0</v>
      </c>
    </row>
    <row r="1539" spans="1:5" ht="14.5" x14ac:dyDescent="0.35">
      <c r="A1539" s="701" t="s">
        <v>895</v>
      </c>
      <c r="B1539" s="701"/>
      <c r="C1539" s="701"/>
      <c r="D1539" s="701"/>
      <c r="E1539" s="681">
        <f>(E1535-E1536-E1537)+E1538</f>
        <v>0</v>
      </c>
    </row>
  </sheetData>
  <sheetProtection sheet="1" objects="1" scenarios="1"/>
  <autoFilter ref="A1:E1534" xr:uid="{00000000-0009-0000-0000-000011000000}"/>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topLeftCell="B33" workbookViewId="0">
      <selection sqref="A1:XFD1048576"/>
    </sheetView>
  </sheetViews>
  <sheetFormatPr defaultColWidth="9.296875" defaultRowHeight="13" x14ac:dyDescent="0.3"/>
  <cols>
    <col min="1" max="1" width="3.296875" customWidth="1"/>
    <col min="2" max="2" width="17.796875" customWidth="1"/>
    <col min="3" max="3" width="33.296875" customWidth="1"/>
    <col min="4" max="4" width="13.796875" customWidth="1"/>
    <col min="5" max="5" width="5" customWidth="1"/>
    <col min="6" max="6" width="14" customWidth="1"/>
    <col min="7" max="7" width="7.296875" customWidth="1"/>
    <col min="8" max="8" width="13.796875" customWidth="1"/>
    <col min="9" max="11" width="9.296875" customWidth="1"/>
    <col min="12" max="12" width="10.296875" customWidth="1"/>
    <col min="13" max="13" width="11.296875" customWidth="1"/>
    <col min="14" max="17" width="9.296875" customWidth="1"/>
    <col min="18" max="26" width="9.296875" hidden="1" customWidth="1"/>
    <col min="27" max="27" width="9.296875" customWidth="1"/>
  </cols>
  <sheetData>
    <row r="1" spans="1:14" x14ac:dyDescent="0.3">
      <c r="A1" s="736" t="s">
        <v>336</v>
      </c>
      <c r="B1" s="736"/>
      <c r="C1" s="67" t="str">
        <f>'Cover Page'!D1</f>
        <v>Valor Preparatory Academy, LLC</v>
      </c>
      <c r="G1" s="68" t="s">
        <v>331</v>
      </c>
      <c r="H1" s="750" t="str">
        <f>'Cover Page'!M1</f>
        <v>Maricopa</v>
      </c>
      <c r="I1" s="750"/>
      <c r="L1" s="68" t="s">
        <v>592</v>
      </c>
      <c r="M1" s="749" t="str">
        <f>'Cover Page'!R1</f>
        <v>078104000</v>
      </c>
      <c r="N1" s="750"/>
    </row>
    <row r="2" spans="1:14" x14ac:dyDescent="0.3">
      <c r="F2" s="70"/>
      <c r="G2" s="70"/>
      <c r="H2" t="s">
        <v>0</v>
      </c>
    </row>
    <row r="3" spans="1:14" x14ac:dyDescent="0.3">
      <c r="A3" s="71" t="s">
        <v>163</v>
      </c>
      <c r="B3" s="71"/>
    </row>
    <row r="4" spans="1:14" x14ac:dyDescent="0.3">
      <c r="A4" s="71" t="s">
        <v>593</v>
      </c>
      <c r="H4" s="72" t="s">
        <v>72</v>
      </c>
      <c r="J4" s="73"/>
      <c r="K4" s="73"/>
      <c r="L4" s="73"/>
    </row>
    <row r="5" spans="1:14" x14ac:dyDescent="0.3">
      <c r="A5" s="3" t="s">
        <v>1</v>
      </c>
      <c r="B5" s="745" t="s">
        <v>594</v>
      </c>
      <c r="C5" s="745"/>
      <c r="D5" s="745"/>
      <c r="H5" s="75">
        <v>0</v>
      </c>
      <c r="I5" s="74" t="s">
        <v>1</v>
      </c>
      <c r="J5" s="73"/>
      <c r="K5" s="73"/>
      <c r="L5" s="73"/>
    </row>
    <row r="6" spans="1:14" x14ac:dyDescent="0.3">
      <c r="A6" s="3" t="s">
        <v>2</v>
      </c>
      <c r="B6" s="745" t="s">
        <v>595</v>
      </c>
      <c r="C6" s="745"/>
      <c r="D6" s="745"/>
      <c r="H6" s="75">
        <v>0</v>
      </c>
      <c r="I6" s="74" t="s">
        <v>2</v>
      </c>
      <c r="J6" s="73"/>
      <c r="K6" s="73"/>
      <c r="L6" s="73"/>
    </row>
    <row r="7" spans="1:14" ht="12.75" customHeight="1" x14ac:dyDescent="0.3">
      <c r="A7" s="3" t="s">
        <v>3</v>
      </c>
      <c r="B7" s="726" t="s">
        <v>596</v>
      </c>
      <c r="C7" s="726"/>
      <c r="D7" s="726"/>
      <c r="H7" s="75">
        <v>0</v>
      </c>
      <c r="I7" s="74" t="s">
        <v>3</v>
      </c>
      <c r="J7" s="751" t="s">
        <v>769</v>
      </c>
      <c r="K7" s="751"/>
      <c r="L7" s="73"/>
    </row>
    <row r="8" spans="1:14" x14ac:dyDescent="0.3">
      <c r="A8" s="3" t="s">
        <v>4</v>
      </c>
      <c r="B8" s="726" t="s">
        <v>597</v>
      </c>
      <c r="C8" s="726"/>
      <c r="D8" s="726"/>
      <c r="H8" s="75">
        <v>0</v>
      </c>
      <c r="I8" s="74" t="s">
        <v>4</v>
      </c>
      <c r="J8" s="751"/>
      <c r="K8" s="751"/>
      <c r="L8" s="73"/>
    </row>
    <row r="9" spans="1:14" x14ac:dyDescent="0.3">
      <c r="A9" s="3" t="s">
        <v>5</v>
      </c>
      <c r="B9" s="726" t="s">
        <v>598</v>
      </c>
      <c r="C9" s="726"/>
      <c r="H9" s="75">
        <v>0</v>
      </c>
      <c r="I9" s="74" t="s">
        <v>5</v>
      </c>
      <c r="J9" s="751"/>
      <c r="K9" s="751"/>
      <c r="L9" s="73"/>
    </row>
    <row r="10" spans="1:14" x14ac:dyDescent="0.3">
      <c r="A10" s="76" t="s">
        <v>6</v>
      </c>
      <c r="B10" s="726" t="s">
        <v>599</v>
      </c>
      <c r="C10" s="726"/>
      <c r="H10" s="75">
        <v>0</v>
      </c>
      <c r="I10" s="74" t="s">
        <v>6</v>
      </c>
      <c r="J10" s="752">
        <v>0</v>
      </c>
      <c r="K10" s="752"/>
      <c r="L10" s="73" t="str">
        <f>IF(H10&lt;&gt;J10,"The amount reported for 1600 food service revenue from the Food Service AFR does not agree to the amount in the Accounting Data Tab. Please verify the amounts and ensure they agree.","")</f>
        <v/>
      </c>
    </row>
    <row r="11" spans="1:14" x14ac:dyDescent="0.3">
      <c r="A11" s="3" t="s">
        <v>7</v>
      </c>
      <c r="B11" s="726" t="s">
        <v>600</v>
      </c>
      <c r="C11" s="726"/>
      <c r="H11" s="75">
        <v>0</v>
      </c>
      <c r="I11" s="74" t="s">
        <v>7</v>
      </c>
      <c r="J11" s="73"/>
      <c r="K11" s="73"/>
      <c r="L11" s="73"/>
    </row>
    <row r="12" spans="1:14" x14ac:dyDescent="0.3">
      <c r="A12" s="77" t="s">
        <v>8</v>
      </c>
      <c r="B12" s="726" t="s">
        <v>601</v>
      </c>
      <c r="C12" s="726"/>
      <c r="D12" s="726"/>
      <c r="E12" s="726"/>
      <c r="F12" s="726"/>
      <c r="H12" s="75">
        <v>0</v>
      </c>
      <c r="I12" s="78" t="s">
        <v>8</v>
      </c>
      <c r="J12" s="73"/>
      <c r="K12" s="73"/>
      <c r="L12" s="73"/>
    </row>
    <row r="13" spans="1:14" x14ac:dyDescent="0.3">
      <c r="A13" s="79" t="s">
        <v>9</v>
      </c>
      <c r="B13" s="726" t="s">
        <v>602</v>
      </c>
      <c r="C13" s="726"/>
      <c r="H13" s="75">
        <v>0</v>
      </c>
      <c r="I13" s="78" t="s">
        <v>9</v>
      </c>
      <c r="J13" s="80"/>
      <c r="K13" s="73"/>
      <c r="L13" s="73"/>
    </row>
    <row r="14" spans="1:14" x14ac:dyDescent="0.3">
      <c r="A14" s="79" t="s">
        <v>10</v>
      </c>
      <c r="B14" s="726" t="s">
        <v>603</v>
      </c>
      <c r="C14" s="726"/>
      <c r="H14" s="75">
        <v>0</v>
      </c>
      <c r="I14" s="78" t="s">
        <v>10</v>
      </c>
      <c r="J14" s="73"/>
      <c r="K14" s="73"/>
      <c r="L14" s="73"/>
    </row>
    <row r="15" spans="1:14" x14ac:dyDescent="0.3">
      <c r="A15" s="79" t="s">
        <v>11</v>
      </c>
      <c r="B15" t="s">
        <v>604</v>
      </c>
      <c r="H15" s="75">
        <v>347555</v>
      </c>
      <c r="I15" s="78" t="s">
        <v>11</v>
      </c>
      <c r="J15" s="73"/>
      <c r="K15" s="73"/>
      <c r="L15" s="73"/>
    </row>
    <row r="16" spans="1:14" x14ac:dyDescent="0.3">
      <c r="A16" s="79" t="s">
        <v>12</v>
      </c>
      <c r="B16" s="726" t="s">
        <v>605</v>
      </c>
      <c r="C16" s="726"/>
      <c r="H16" s="75">
        <v>0</v>
      </c>
      <c r="I16" s="78" t="s">
        <v>12</v>
      </c>
      <c r="J16" s="73"/>
      <c r="K16" s="73"/>
      <c r="L16" s="73"/>
    </row>
    <row r="17" spans="1:27" ht="14.5" x14ac:dyDescent="0.35">
      <c r="A17" s="79" t="s">
        <v>13</v>
      </c>
      <c r="B17" s="726" t="s">
        <v>606</v>
      </c>
      <c r="C17" s="726"/>
      <c r="D17" s="747"/>
      <c r="E17" s="748"/>
      <c r="F17" s="748"/>
      <c r="H17" s="75">
        <v>0</v>
      </c>
      <c r="I17" s="78" t="s">
        <v>13</v>
      </c>
      <c r="J17" s="73"/>
      <c r="K17" s="73"/>
      <c r="L17" s="73"/>
      <c r="AA17" s="54" t="str">
        <f>IF(OR(AND(D17="",H17&lt;&gt;0),AND(D22="",H22&lt;&gt;0),AND(D29="",H29&lt;&gt;0),AND(D37="",H37&lt;&gt;0)),"yes","")</f>
        <v/>
      </c>
    </row>
    <row r="18" spans="1:27" x14ac:dyDescent="0.3">
      <c r="A18" s="79" t="s">
        <v>14</v>
      </c>
      <c r="B18" s="746" t="s">
        <v>138</v>
      </c>
      <c r="C18" s="746"/>
      <c r="H18" s="75">
        <f>SUM(H5:H17)</f>
        <v>347555</v>
      </c>
      <c r="I18" s="78" t="s">
        <v>14</v>
      </c>
      <c r="J18" s="73"/>
      <c r="K18" s="73"/>
      <c r="L18" s="73"/>
    </row>
    <row r="19" spans="1:27" x14ac:dyDescent="0.3">
      <c r="A19" s="71" t="s">
        <v>607</v>
      </c>
      <c r="B19" s="71"/>
      <c r="H19" s="29"/>
      <c r="I19" s="74" t="s">
        <v>0</v>
      </c>
      <c r="J19" s="73"/>
      <c r="K19" s="73"/>
      <c r="L19" s="73"/>
    </row>
    <row r="20" spans="1:27" x14ac:dyDescent="0.3">
      <c r="A20" s="79" t="s">
        <v>15</v>
      </c>
      <c r="B20" s="726" t="s">
        <v>85</v>
      </c>
      <c r="C20" s="726"/>
      <c r="H20" s="75">
        <v>0</v>
      </c>
      <c r="I20" s="78" t="s">
        <v>15</v>
      </c>
      <c r="J20" s="73"/>
      <c r="K20" s="73"/>
      <c r="L20" s="73"/>
    </row>
    <row r="21" spans="1:27" x14ac:dyDescent="0.3">
      <c r="A21" s="79" t="s">
        <v>16</v>
      </c>
      <c r="B21" s="726" t="s">
        <v>86</v>
      </c>
      <c r="C21" s="726"/>
      <c r="H21" s="75">
        <v>0</v>
      </c>
      <c r="I21" s="78" t="s">
        <v>16</v>
      </c>
      <c r="J21" s="73"/>
      <c r="K21" s="73"/>
      <c r="L21" s="73"/>
    </row>
    <row r="22" spans="1:27" ht="14.5" x14ac:dyDescent="0.35">
      <c r="A22" s="79" t="s">
        <v>17</v>
      </c>
      <c r="B22" s="726" t="s">
        <v>608</v>
      </c>
      <c r="C22" s="726"/>
      <c r="D22" s="747"/>
      <c r="E22" s="748"/>
      <c r="F22" s="748"/>
      <c r="H22" s="75">
        <v>0</v>
      </c>
      <c r="I22" s="78" t="s">
        <v>17</v>
      </c>
      <c r="J22" s="81"/>
      <c r="K22" s="81"/>
      <c r="L22" s="81"/>
      <c r="M22" s="82"/>
    </row>
    <row r="23" spans="1:27" x14ac:dyDescent="0.3">
      <c r="A23" s="79" t="s">
        <v>18</v>
      </c>
      <c r="B23" s="726" t="s">
        <v>139</v>
      </c>
      <c r="C23" s="726"/>
      <c r="H23" s="75">
        <v>0</v>
      </c>
      <c r="I23" s="78" t="s">
        <v>18</v>
      </c>
      <c r="J23" s="73"/>
      <c r="K23" s="73"/>
      <c r="L23" s="73"/>
    </row>
    <row r="24" spans="1:27" x14ac:dyDescent="0.3">
      <c r="A24" s="71" t="s">
        <v>609</v>
      </c>
      <c r="B24" s="71"/>
      <c r="H24" s="29"/>
      <c r="I24" s="74"/>
      <c r="J24" s="73"/>
      <c r="K24" s="73"/>
      <c r="L24" s="73"/>
    </row>
    <row r="25" spans="1:27" x14ac:dyDescent="0.3">
      <c r="A25" s="79" t="s">
        <v>19</v>
      </c>
      <c r="B25" s="726" t="s">
        <v>52</v>
      </c>
      <c r="C25" s="726"/>
      <c r="H25" s="75">
        <v>1679624</v>
      </c>
      <c r="I25" s="78" t="s">
        <v>19</v>
      </c>
      <c r="J25" s="73"/>
      <c r="K25" s="73"/>
      <c r="L25" s="73"/>
    </row>
    <row r="26" spans="1:27" x14ac:dyDescent="0.3">
      <c r="A26" s="77" t="s">
        <v>20</v>
      </c>
      <c r="B26" s="726" t="s">
        <v>610</v>
      </c>
      <c r="C26" s="726"/>
      <c r="H26" s="75">
        <v>0</v>
      </c>
      <c r="I26" s="78" t="s">
        <v>20</v>
      </c>
      <c r="J26" s="73"/>
      <c r="K26" s="73"/>
      <c r="L26" s="73"/>
    </row>
    <row r="27" spans="1:27" x14ac:dyDescent="0.3">
      <c r="A27" s="76" t="s">
        <v>21</v>
      </c>
      <c r="B27" s="726" t="s">
        <v>87</v>
      </c>
      <c r="C27" s="726"/>
      <c r="H27" s="75">
        <v>204040</v>
      </c>
      <c r="I27" s="78" t="s">
        <v>21</v>
      </c>
      <c r="J27" s="81"/>
      <c r="K27" s="81"/>
      <c r="L27" s="81"/>
      <c r="M27" s="82"/>
    </row>
    <row r="28" spans="1:27" x14ac:dyDescent="0.3">
      <c r="A28" s="79" t="s">
        <v>22</v>
      </c>
      <c r="B28" s="726" t="s">
        <v>611</v>
      </c>
      <c r="C28" s="726"/>
      <c r="H28" s="75">
        <v>0</v>
      </c>
      <c r="I28" s="78" t="s">
        <v>22</v>
      </c>
      <c r="J28" s="73"/>
      <c r="K28" s="73"/>
      <c r="L28" s="73"/>
    </row>
    <row r="29" spans="1:27" ht="14.5" x14ac:dyDescent="0.35">
      <c r="A29" s="79" t="s">
        <v>23</v>
      </c>
      <c r="B29" s="726" t="s">
        <v>612</v>
      </c>
      <c r="C29" s="726"/>
      <c r="D29" s="747" t="s">
        <v>1252</v>
      </c>
      <c r="E29" s="748"/>
      <c r="F29" s="748"/>
      <c r="H29" s="75">
        <v>14844</v>
      </c>
      <c r="I29" s="78" t="s">
        <v>23</v>
      </c>
      <c r="J29" s="73"/>
      <c r="K29" s="73"/>
      <c r="L29" s="73"/>
    </row>
    <row r="30" spans="1:27" x14ac:dyDescent="0.3">
      <c r="A30" s="79" t="s">
        <v>24</v>
      </c>
      <c r="B30" s="726" t="s">
        <v>140</v>
      </c>
      <c r="C30" s="726"/>
      <c r="H30" s="75">
        <f>SUM(H25:H29)</f>
        <v>1898508</v>
      </c>
      <c r="I30" s="78" t="s">
        <v>24</v>
      </c>
      <c r="J30" s="73"/>
      <c r="K30" s="73"/>
      <c r="L30" s="73"/>
    </row>
    <row r="31" spans="1:27" x14ac:dyDescent="0.3">
      <c r="A31" s="66" t="s">
        <v>613</v>
      </c>
      <c r="B31" s="71"/>
      <c r="H31" s="29"/>
      <c r="I31" s="74"/>
      <c r="J31" s="73"/>
      <c r="K31" s="73"/>
      <c r="L31" s="73"/>
    </row>
    <row r="32" spans="1:27" x14ac:dyDescent="0.3">
      <c r="A32" s="76" t="s">
        <v>39</v>
      </c>
      <c r="B32" s="726" t="s">
        <v>614</v>
      </c>
      <c r="C32" s="726"/>
      <c r="D32" s="726"/>
      <c r="E32" s="726"/>
      <c r="F32" s="726"/>
      <c r="H32" s="75">
        <v>15635</v>
      </c>
      <c r="I32" s="78" t="s">
        <v>39</v>
      </c>
      <c r="J32" s="73"/>
      <c r="K32" s="73"/>
      <c r="L32" s="73"/>
    </row>
    <row r="33" spans="1:12" x14ac:dyDescent="0.3">
      <c r="A33" s="76" t="s">
        <v>40</v>
      </c>
      <c r="B33" s="726" t="s">
        <v>615</v>
      </c>
      <c r="C33" s="726"/>
      <c r="D33" s="726"/>
      <c r="E33" s="726"/>
      <c r="F33" s="726"/>
      <c r="H33" s="75">
        <v>0</v>
      </c>
      <c r="I33" s="78" t="s">
        <v>40</v>
      </c>
      <c r="J33" s="81"/>
      <c r="K33" s="81"/>
      <c r="L33" s="73"/>
    </row>
    <row r="34" spans="1:12" x14ac:dyDescent="0.3">
      <c r="A34" s="79" t="s">
        <v>41</v>
      </c>
      <c r="B34" s="726" t="s">
        <v>616</v>
      </c>
      <c r="C34" s="726"/>
      <c r="D34" s="726"/>
      <c r="E34" s="726"/>
      <c r="F34" s="726"/>
      <c r="G34" s="726"/>
      <c r="H34" s="75">
        <v>0</v>
      </c>
      <c r="I34" s="78" t="s">
        <v>41</v>
      </c>
      <c r="J34" s="81"/>
      <c r="K34" s="81"/>
      <c r="L34" s="73"/>
    </row>
    <row r="35" spans="1:12" x14ac:dyDescent="0.3">
      <c r="A35" s="79" t="s">
        <v>43</v>
      </c>
      <c r="B35" s="74" t="s">
        <v>617</v>
      </c>
      <c r="H35" s="75">
        <v>0</v>
      </c>
      <c r="I35" s="78" t="s">
        <v>43</v>
      </c>
      <c r="J35" s="73"/>
      <c r="K35" s="73"/>
      <c r="L35" s="73"/>
    </row>
    <row r="36" spans="1:12" x14ac:dyDescent="0.3">
      <c r="A36" s="79" t="s">
        <v>44</v>
      </c>
      <c r="B36" s="726" t="s">
        <v>618</v>
      </c>
      <c r="C36" s="726"/>
      <c r="D36" s="726"/>
      <c r="E36" s="726"/>
      <c r="F36" s="726"/>
      <c r="G36" s="726"/>
      <c r="H36" s="75">
        <v>0</v>
      </c>
      <c r="I36" s="78" t="s">
        <v>44</v>
      </c>
      <c r="J36" s="73"/>
      <c r="K36" s="73"/>
      <c r="L36" s="73"/>
    </row>
    <row r="37" spans="1:12" ht="14.5" x14ac:dyDescent="0.35">
      <c r="A37" s="79" t="s">
        <v>45</v>
      </c>
      <c r="B37" s="726" t="s">
        <v>619</v>
      </c>
      <c r="C37" s="726"/>
      <c r="D37" s="747"/>
      <c r="E37" s="748"/>
      <c r="F37" s="748"/>
      <c r="H37" s="75">
        <v>0</v>
      </c>
      <c r="I37" s="78" t="s">
        <v>45</v>
      </c>
      <c r="J37" s="73"/>
      <c r="K37" s="73"/>
      <c r="L37" s="73"/>
    </row>
    <row r="38" spans="1:12" x14ac:dyDescent="0.3">
      <c r="A38" s="79" t="s">
        <v>46</v>
      </c>
      <c r="B38" s="726" t="s">
        <v>141</v>
      </c>
      <c r="C38" s="726"/>
      <c r="H38" s="75">
        <f>SUM(H32:H37)</f>
        <v>15635</v>
      </c>
      <c r="I38" s="78" t="s">
        <v>46</v>
      </c>
      <c r="J38" s="73"/>
      <c r="K38" s="73"/>
      <c r="L38" s="73"/>
    </row>
    <row r="39" spans="1:12" x14ac:dyDescent="0.3">
      <c r="A39" s="3"/>
      <c r="B39" s="71"/>
      <c r="H39" s="29"/>
      <c r="I39" s="74"/>
      <c r="J39" s="73"/>
      <c r="K39" s="73"/>
      <c r="L39" s="73"/>
    </row>
    <row r="40" spans="1:12" x14ac:dyDescent="0.3">
      <c r="A40" s="83" t="s">
        <v>48</v>
      </c>
      <c r="B40" s="746" t="s">
        <v>620</v>
      </c>
      <c r="C40" s="746"/>
      <c r="D40" s="746"/>
      <c r="H40" s="75">
        <f>SUM(H18,H23,H30,H38)</f>
        <v>2261698</v>
      </c>
      <c r="I40" s="78" t="s">
        <v>48</v>
      </c>
      <c r="J40" s="73"/>
      <c r="K40" s="73"/>
      <c r="L40" s="73"/>
    </row>
    <row r="41" spans="1:12" x14ac:dyDescent="0.3">
      <c r="I41" s="84"/>
      <c r="J41" s="73"/>
      <c r="K41" s="73"/>
      <c r="L41" s="73"/>
    </row>
    <row r="42" spans="1:12" x14ac:dyDescent="0.3">
      <c r="I42" s="84"/>
      <c r="J42" s="73"/>
      <c r="K42" s="73"/>
      <c r="L42" s="73"/>
    </row>
    <row r="43" spans="1:12" x14ac:dyDescent="0.3">
      <c r="I43" s="84"/>
      <c r="J43" s="73"/>
      <c r="K43" s="73"/>
      <c r="L43" s="73"/>
    </row>
    <row r="44" spans="1:12" x14ac:dyDescent="0.3">
      <c r="I44" s="84"/>
      <c r="J44" s="73"/>
      <c r="K44" s="73"/>
      <c r="L44" s="73"/>
    </row>
    <row r="45" spans="1:12" x14ac:dyDescent="0.3">
      <c r="I45" s="84"/>
      <c r="J45" s="73"/>
      <c r="K45" s="73"/>
      <c r="L45" s="73"/>
    </row>
    <row r="46" spans="1:12" x14ac:dyDescent="0.3">
      <c r="I46" s="84"/>
      <c r="J46" s="73"/>
      <c r="K46" s="73"/>
      <c r="L46" s="73"/>
    </row>
    <row r="47" spans="1:12" x14ac:dyDescent="0.3">
      <c r="I47" s="84"/>
      <c r="J47" s="73"/>
      <c r="K47" s="73"/>
      <c r="L47" s="73"/>
    </row>
    <row r="48" spans="1:12" x14ac:dyDescent="0.3">
      <c r="I48" s="84"/>
      <c r="J48" s="73"/>
      <c r="K48" s="73"/>
      <c r="L48" s="73"/>
    </row>
    <row r="49" spans="9:12" x14ac:dyDescent="0.3">
      <c r="I49" s="84"/>
      <c r="J49" s="73"/>
      <c r="K49" s="73"/>
      <c r="L49" s="73"/>
    </row>
    <row r="50" spans="9:12" x14ac:dyDescent="0.3">
      <c r="I50" s="84"/>
      <c r="J50" s="73"/>
      <c r="K50" s="73"/>
      <c r="L50" s="73"/>
    </row>
  </sheetData>
  <sheetProtection formatCells="0" formatColumns="0" formatRows="0"/>
  <mergeCells count="40">
    <mergeCell ref="B27:C27"/>
    <mergeCell ref="B20:C20"/>
    <mergeCell ref="B29:C29"/>
    <mergeCell ref="B13:C13"/>
    <mergeCell ref="B14:C14"/>
    <mergeCell ref="B17:C17"/>
    <mergeCell ref="B26:C26"/>
    <mergeCell ref="B16:C16"/>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s>
  <conditionalFormatting sqref="D17 D22 D29 D37">
    <cfRule type="expression" dxfId="68"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topLeftCell="A4" workbookViewId="0">
      <selection activeCell="D43" activeCellId="1" sqref="D7 D43"/>
    </sheetView>
  </sheetViews>
  <sheetFormatPr defaultColWidth="9.296875" defaultRowHeight="12.75" customHeight="1" x14ac:dyDescent="0.3"/>
  <cols>
    <col min="1" max="1" width="20.796875" customWidth="1"/>
    <col min="2" max="2" width="34.19921875" customWidth="1"/>
    <col min="3" max="3" width="3.796875" customWidth="1"/>
    <col min="4" max="5" width="12.796875" customWidth="1"/>
    <col min="6" max="6" width="14.796875" customWidth="1"/>
    <col min="7" max="12" width="12.796875" customWidth="1"/>
    <col min="13" max="13" width="3" customWidth="1"/>
    <col min="14" max="14" width="9.296875" customWidth="1"/>
  </cols>
  <sheetData>
    <row r="1" spans="1:32" ht="12" customHeight="1" x14ac:dyDescent="0.3">
      <c r="A1" s="71" t="s">
        <v>336</v>
      </c>
      <c r="B1" s="750" t="str">
        <f>'Cover Page'!D1</f>
        <v>Valor Preparatory Academy, LLC</v>
      </c>
      <c r="C1" s="750"/>
      <c r="F1" s="68" t="s">
        <v>331</v>
      </c>
      <c r="G1" s="67" t="str">
        <f>'Cover Page'!M1</f>
        <v>Maricopa</v>
      </c>
      <c r="J1" s="68"/>
      <c r="K1" s="68" t="s">
        <v>592</v>
      </c>
      <c r="L1" s="69" t="str">
        <f>'Cover Page'!R1</f>
        <v>078104000</v>
      </c>
    </row>
    <row r="2" spans="1:32" ht="3.75" customHeight="1" x14ac:dyDescent="0.3">
      <c r="L2" s="70"/>
    </row>
    <row r="3" spans="1:32" ht="15.75" customHeight="1" x14ac:dyDescent="0.3">
      <c r="A3" s="85"/>
      <c r="B3" s="86"/>
      <c r="C3" s="87"/>
      <c r="D3" s="85"/>
      <c r="E3" s="88" t="s">
        <v>88</v>
      </c>
      <c r="F3" s="89" t="s">
        <v>80</v>
      </c>
      <c r="G3" s="90"/>
      <c r="H3" s="91"/>
      <c r="I3" s="760" t="s">
        <v>68</v>
      </c>
      <c r="J3" s="760"/>
      <c r="K3" s="760"/>
      <c r="L3" s="757" t="s">
        <v>646</v>
      </c>
    </row>
    <row r="4" spans="1:32" ht="12" customHeight="1" x14ac:dyDescent="0.3">
      <c r="A4" s="92" t="s">
        <v>58</v>
      </c>
      <c r="C4" s="93"/>
      <c r="D4" s="94" t="s">
        <v>69</v>
      </c>
      <c r="E4" s="95" t="s">
        <v>647</v>
      </c>
      <c r="F4" s="96" t="s">
        <v>648</v>
      </c>
      <c r="G4" s="97" t="s">
        <v>70</v>
      </c>
      <c r="H4" s="94" t="s">
        <v>82</v>
      </c>
      <c r="I4" s="98"/>
      <c r="J4" s="98"/>
      <c r="K4" s="89" t="s">
        <v>649</v>
      </c>
      <c r="L4" s="758"/>
    </row>
    <row r="5" spans="1:32" ht="11.25" customHeight="1" x14ac:dyDescent="0.3">
      <c r="A5" s="99" t="s">
        <v>621</v>
      </c>
      <c r="B5" s="2"/>
      <c r="C5" s="100"/>
      <c r="D5" s="101">
        <v>6100</v>
      </c>
      <c r="E5" s="102">
        <v>6200</v>
      </c>
      <c r="F5" s="102" t="s">
        <v>25</v>
      </c>
      <c r="G5" s="103">
        <v>6600</v>
      </c>
      <c r="H5" s="101">
        <v>6800</v>
      </c>
      <c r="I5" s="104" t="s">
        <v>71</v>
      </c>
      <c r="J5" s="102" t="s">
        <v>72</v>
      </c>
      <c r="K5" s="102" t="s">
        <v>349</v>
      </c>
      <c r="L5" s="759"/>
    </row>
    <row r="6" spans="1:32" ht="12" customHeight="1" x14ac:dyDescent="0.3">
      <c r="A6" s="105" t="s">
        <v>581</v>
      </c>
      <c r="B6" s="86"/>
      <c r="C6" s="87"/>
      <c r="D6" s="106"/>
      <c r="E6" s="106"/>
      <c r="F6" s="106"/>
      <c r="G6" s="106"/>
      <c r="H6" s="106"/>
      <c r="I6" s="755">
        <v>877811</v>
      </c>
      <c r="J6" s="755">
        <f>SUM(D7:H7)</f>
        <v>906735</v>
      </c>
      <c r="K6" s="755">
        <v>543494</v>
      </c>
      <c r="L6" s="762">
        <f>IF(J6=K6,0,IF(K6&gt;0,(J6-K6)/K6,"--"))</f>
        <v>0.66830000000000001</v>
      </c>
      <c r="S6" s="107"/>
    </row>
    <row r="7" spans="1:32" ht="12" customHeight="1" x14ac:dyDescent="0.3">
      <c r="A7" s="108" t="s">
        <v>26</v>
      </c>
      <c r="C7" s="109" t="s">
        <v>1</v>
      </c>
      <c r="D7" s="707">
        <v>104570</v>
      </c>
      <c r="E7" s="707">
        <v>74809</v>
      </c>
      <c r="F7" s="707">
        <v>727356</v>
      </c>
      <c r="G7" s="707">
        <v>0</v>
      </c>
      <c r="H7" s="707">
        <v>0</v>
      </c>
      <c r="I7" s="756"/>
      <c r="J7" s="756"/>
      <c r="K7" s="756"/>
      <c r="L7" s="763"/>
      <c r="M7" s="110" t="s">
        <v>1</v>
      </c>
      <c r="S7" s="107"/>
    </row>
    <row r="8" spans="1:32" ht="12" customHeight="1" x14ac:dyDescent="0.3">
      <c r="A8" s="108" t="s">
        <v>622</v>
      </c>
      <c r="C8" s="93"/>
      <c r="D8" s="106"/>
      <c r="E8" s="106"/>
      <c r="F8" s="106"/>
      <c r="G8" s="708"/>
      <c r="H8" s="106"/>
      <c r="I8" s="753">
        <v>106030</v>
      </c>
      <c r="J8" s="753">
        <f>SUM(D9:H9)</f>
        <v>137096</v>
      </c>
      <c r="K8" s="753">
        <v>0</v>
      </c>
      <c r="L8" s="764" t="str">
        <f>IF(J8=K8,0,IF(K8&gt;0,(J8-K8)/K8,"--"))</f>
        <v>--</v>
      </c>
      <c r="M8" s="74"/>
      <c r="S8" s="107"/>
    </row>
    <row r="9" spans="1:32" ht="12" customHeight="1" x14ac:dyDescent="0.3">
      <c r="A9" s="108" t="s">
        <v>92</v>
      </c>
      <c r="C9" s="109" t="s">
        <v>2</v>
      </c>
      <c r="D9" s="707">
        <v>123668</v>
      </c>
      <c r="E9" s="707">
        <v>13428</v>
      </c>
      <c r="F9" s="707">
        <v>0</v>
      </c>
      <c r="G9" s="707">
        <v>0</v>
      </c>
      <c r="H9" s="707">
        <v>0</v>
      </c>
      <c r="I9" s="754"/>
      <c r="J9" s="754"/>
      <c r="K9" s="754"/>
      <c r="L9" s="765"/>
      <c r="M9" s="110" t="s">
        <v>2</v>
      </c>
      <c r="N9" s="761" t="str">
        <f>IF('Page 2'!J48=0,"",IF(OR('Page 2'!J8&lt;=0),"The Charter did not report any expenses for student support services on line 2. If the Charter did not have any expense, verify by checking the box in A10 on the Cover Page.",""))</f>
        <v/>
      </c>
      <c r="O9" s="761"/>
      <c r="P9" s="761"/>
      <c r="Q9" s="761"/>
      <c r="R9" s="761"/>
      <c r="S9" s="761"/>
      <c r="T9" s="761"/>
      <c r="U9" s="761"/>
      <c r="V9" s="761"/>
      <c r="W9" s="761"/>
      <c r="X9" s="761"/>
      <c r="Y9" s="761"/>
      <c r="Z9" s="761"/>
      <c r="AA9" s="761"/>
      <c r="AB9" s="761"/>
      <c r="AC9" s="761"/>
      <c r="AD9" s="761"/>
      <c r="AE9" s="761"/>
      <c r="AF9" s="761"/>
    </row>
    <row r="10" spans="1:32" ht="12" customHeight="1" x14ac:dyDescent="0.3">
      <c r="A10" s="108" t="s">
        <v>93</v>
      </c>
      <c r="C10" s="109" t="s">
        <v>3</v>
      </c>
      <c r="D10" s="113">
        <v>0</v>
      </c>
      <c r="E10" s="113">
        <v>0</v>
      </c>
      <c r="F10" s="113">
        <v>4250</v>
      </c>
      <c r="G10" s="113">
        <v>0</v>
      </c>
      <c r="H10" s="113">
        <v>0</v>
      </c>
      <c r="I10" s="111">
        <v>21250</v>
      </c>
      <c r="J10" s="111">
        <f t="shared" ref="J10:J22" si="0">SUM(D10:H10)</f>
        <v>4250</v>
      </c>
      <c r="K10" s="111">
        <v>187</v>
      </c>
      <c r="L10" s="112">
        <f t="shared" ref="L10:L20" si="1">IF(J10=K10,0,IF(K10&gt;0,(J10-K10)/K10,"--"))</f>
        <v>21.7273</v>
      </c>
      <c r="M10" s="110" t="s">
        <v>3</v>
      </c>
      <c r="N10" s="761" t="str">
        <f>IF('Page 2'!J48=0,"",IF(OR('Page 2'!J10&lt;=0),"The Charter did not report any expenses for instructional support services on line 3. If the Charter did not have any expense, verify by checking the box in A12 on the Cover Page.",""))</f>
        <v/>
      </c>
      <c r="O10" s="761"/>
      <c r="P10" s="761"/>
      <c r="Q10" s="761"/>
      <c r="R10" s="761"/>
      <c r="S10" s="761"/>
      <c r="T10" s="761"/>
      <c r="U10" s="761"/>
      <c r="V10" s="761"/>
      <c r="W10" s="761"/>
      <c r="X10" s="761"/>
      <c r="Y10" s="761"/>
      <c r="Z10" s="761"/>
      <c r="AA10" s="761"/>
      <c r="AB10" s="761"/>
      <c r="AC10" s="761"/>
      <c r="AD10" s="761"/>
      <c r="AE10" s="761"/>
      <c r="AF10" s="761"/>
    </row>
    <row r="11" spans="1:32" ht="12" customHeight="1" x14ac:dyDescent="0.3">
      <c r="A11" s="108" t="s">
        <v>623</v>
      </c>
      <c r="C11" s="109" t="s">
        <v>4</v>
      </c>
      <c r="D11" s="113">
        <v>0</v>
      </c>
      <c r="E11" s="113">
        <v>0</v>
      </c>
      <c r="F11" s="113">
        <v>0</v>
      </c>
      <c r="G11" s="113">
        <v>0</v>
      </c>
      <c r="H11" s="113">
        <v>0</v>
      </c>
      <c r="I11" s="111">
        <v>0</v>
      </c>
      <c r="J11" s="111">
        <v>0</v>
      </c>
      <c r="K11" s="111">
        <v>0</v>
      </c>
      <c r="L11" s="112">
        <f t="shared" si="1"/>
        <v>0</v>
      </c>
      <c r="M11" s="110" t="s">
        <v>4</v>
      </c>
      <c r="N11" s="4"/>
      <c r="O11" s="4"/>
      <c r="P11" s="4"/>
      <c r="Q11" s="4"/>
      <c r="R11" s="4"/>
      <c r="S11" s="4"/>
      <c r="T11" s="4"/>
      <c r="U11" s="4"/>
    </row>
    <row r="12" spans="1:32" ht="12" customHeight="1" x14ac:dyDescent="0.3">
      <c r="A12" s="108" t="s">
        <v>624</v>
      </c>
      <c r="C12" s="109" t="s">
        <v>5</v>
      </c>
      <c r="D12" s="113">
        <v>54706</v>
      </c>
      <c r="E12" s="113">
        <v>5422</v>
      </c>
      <c r="F12" s="113">
        <v>8496</v>
      </c>
      <c r="G12" s="113">
        <v>97936</v>
      </c>
      <c r="H12" s="113">
        <v>0</v>
      </c>
      <c r="I12" s="111">
        <v>118623</v>
      </c>
      <c r="J12" s="111">
        <f t="shared" si="0"/>
        <v>166560</v>
      </c>
      <c r="K12" s="111">
        <v>104730</v>
      </c>
      <c r="L12" s="112">
        <f t="shared" si="1"/>
        <v>0.59040000000000004</v>
      </c>
      <c r="M12" s="110" t="s">
        <v>5</v>
      </c>
    </row>
    <row r="13" spans="1:32" ht="12" customHeight="1" x14ac:dyDescent="0.3">
      <c r="A13" s="108" t="s">
        <v>625</v>
      </c>
      <c r="C13" s="109" t="s">
        <v>6</v>
      </c>
      <c r="D13" s="113">
        <v>0</v>
      </c>
      <c r="E13" s="113">
        <v>0</v>
      </c>
      <c r="F13" s="113">
        <v>202274</v>
      </c>
      <c r="G13" s="113">
        <v>0</v>
      </c>
      <c r="H13" s="113">
        <v>0</v>
      </c>
      <c r="I13" s="111">
        <v>65000</v>
      </c>
      <c r="J13" s="111">
        <f t="shared" si="0"/>
        <v>202274</v>
      </c>
      <c r="K13" s="111">
        <v>97891</v>
      </c>
      <c r="L13" s="112">
        <f t="shared" si="1"/>
        <v>1.0663</v>
      </c>
      <c r="M13" s="110" t="s">
        <v>6</v>
      </c>
    </row>
    <row r="14" spans="1:32" ht="12" customHeight="1" x14ac:dyDescent="0.3">
      <c r="A14" s="108" t="s">
        <v>626</v>
      </c>
      <c r="C14" s="109" t="s">
        <v>7</v>
      </c>
      <c r="D14" s="113">
        <v>0</v>
      </c>
      <c r="E14" s="113">
        <v>0</v>
      </c>
      <c r="F14" s="113">
        <v>486538</v>
      </c>
      <c r="G14" s="113">
        <v>0</v>
      </c>
      <c r="H14" s="113">
        <v>0</v>
      </c>
      <c r="I14" s="111">
        <v>177500</v>
      </c>
      <c r="J14" s="111">
        <f t="shared" si="0"/>
        <v>486538</v>
      </c>
      <c r="K14" s="111">
        <v>222371</v>
      </c>
      <c r="L14" s="112">
        <f t="shared" si="1"/>
        <v>1.1879999999999999</v>
      </c>
      <c r="M14" s="110" t="s">
        <v>7</v>
      </c>
    </row>
    <row r="15" spans="1:32" ht="12" customHeight="1" x14ac:dyDescent="0.3">
      <c r="A15" s="108" t="s">
        <v>627</v>
      </c>
      <c r="C15" s="109" t="s">
        <v>8</v>
      </c>
      <c r="D15" s="113">
        <v>0</v>
      </c>
      <c r="E15" s="113">
        <v>0</v>
      </c>
      <c r="F15" s="113">
        <v>0</v>
      </c>
      <c r="G15" s="113">
        <v>0</v>
      </c>
      <c r="H15" s="113">
        <v>0</v>
      </c>
      <c r="I15" s="111">
        <v>0</v>
      </c>
      <c r="J15" s="111">
        <v>0</v>
      </c>
      <c r="K15" s="111">
        <v>0</v>
      </c>
      <c r="L15" s="112">
        <f t="shared" si="1"/>
        <v>0</v>
      </c>
      <c r="M15" s="110" t="s">
        <v>8</v>
      </c>
    </row>
    <row r="16" spans="1:32" ht="12" customHeight="1" x14ac:dyDescent="0.3">
      <c r="A16" s="108" t="s">
        <v>628</v>
      </c>
      <c r="C16" s="109" t="s">
        <v>9</v>
      </c>
      <c r="D16" s="113">
        <v>0</v>
      </c>
      <c r="E16" s="113">
        <v>0</v>
      </c>
      <c r="F16" s="113">
        <v>0</v>
      </c>
      <c r="G16" s="113">
        <v>0</v>
      </c>
      <c r="H16" s="113">
        <v>0</v>
      </c>
      <c r="I16" s="111">
        <v>0</v>
      </c>
      <c r="J16" s="111">
        <v>0</v>
      </c>
      <c r="K16" s="111">
        <v>0</v>
      </c>
      <c r="L16" s="112">
        <f t="shared" si="1"/>
        <v>0</v>
      </c>
      <c r="M16" s="110" t="s">
        <v>9</v>
      </c>
    </row>
    <row r="17" spans="1:25" ht="12" customHeight="1" x14ac:dyDescent="0.3">
      <c r="A17" s="108" t="s">
        <v>629</v>
      </c>
      <c r="C17" s="109" t="s">
        <v>10</v>
      </c>
      <c r="D17" s="113">
        <v>0</v>
      </c>
      <c r="E17" s="113">
        <v>0</v>
      </c>
      <c r="F17" s="113">
        <v>0</v>
      </c>
      <c r="G17" s="113">
        <v>0</v>
      </c>
      <c r="H17" s="113">
        <v>0</v>
      </c>
      <c r="I17" s="111">
        <v>0</v>
      </c>
      <c r="J17" s="111">
        <v>0</v>
      </c>
      <c r="K17" s="111">
        <v>0</v>
      </c>
      <c r="L17" s="112">
        <f t="shared" si="1"/>
        <v>0</v>
      </c>
      <c r="M17" s="110" t="s">
        <v>10</v>
      </c>
    </row>
    <row r="18" spans="1:25" ht="12" customHeight="1" x14ac:dyDescent="0.3">
      <c r="A18" s="108" t="s">
        <v>630</v>
      </c>
      <c r="C18" s="109" t="s">
        <v>11</v>
      </c>
      <c r="D18" s="113">
        <v>0</v>
      </c>
      <c r="E18" s="113">
        <v>0</v>
      </c>
      <c r="F18" s="113">
        <v>0</v>
      </c>
      <c r="G18" s="113">
        <v>0</v>
      </c>
      <c r="H18" s="113">
        <v>0</v>
      </c>
      <c r="I18" s="111">
        <v>0</v>
      </c>
      <c r="J18" s="111">
        <v>0</v>
      </c>
      <c r="K18" s="111">
        <v>0</v>
      </c>
      <c r="L18" s="112">
        <f t="shared" si="1"/>
        <v>0</v>
      </c>
      <c r="M18" s="110" t="s">
        <v>11</v>
      </c>
    </row>
    <row r="19" spans="1:25" ht="12" customHeight="1" x14ac:dyDescent="0.3">
      <c r="A19" s="108" t="s">
        <v>631</v>
      </c>
      <c r="C19" s="109" t="s">
        <v>12</v>
      </c>
      <c r="D19" s="113">
        <v>0</v>
      </c>
      <c r="E19" s="113">
        <v>0</v>
      </c>
      <c r="F19" s="113">
        <v>2692</v>
      </c>
      <c r="G19" s="113">
        <v>0</v>
      </c>
      <c r="H19" s="113">
        <v>0</v>
      </c>
      <c r="I19" s="111">
        <v>12310</v>
      </c>
      <c r="J19" s="111">
        <f t="shared" si="0"/>
        <v>2692</v>
      </c>
      <c r="K19" s="111">
        <v>0</v>
      </c>
      <c r="L19" s="112" t="str">
        <f t="shared" si="1"/>
        <v>--</v>
      </c>
      <c r="M19" s="110" t="s">
        <v>12</v>
      </c>
    </row>
    <row r="20" spans="1:25" ht="12" customHeight="1" x14ac:dyDescent="0.3">
      <c r="A20" s="108" t="s">
        <v>632</v>
      </c>
      <c r="C20" s="109" t="s">
        <v>13</v>
      </c>
      <c r="D20" s="113">
        <v>0</v>
      </c>
      <c r="E20" s="113">
        <v>0</v>
      </c>
      <c r="F20" s="113">
        <v>0</v>
      </c>
      <c r="G20" s="113">
        <v>0</v>
      </c>
      <c r="H20" s="113">
        <v>0</v>
      </c>
      <c r="I20" s="111">
        <v>0</v>
      </c>
      <c r="J20" s="111">
        <v>0</v>
      </c>
      <c r="K20" s="111">
        <v>0</v>
      </c>
      <c r="L20" s="112">
        <f t="shared" si="1"/>
        <v>0</v>
      </c>
      <c r="M20" s="110" t="s">
        <v>13</v>
      </c>
    </row>
    <row r="21" spans="1:25" ht="12" customHeight="1" x14ac:dyDescent="0.3">
      <c r="A21" s="108" t="s">
        <v>633</v>
      </c>
      <c r="C21" s="109" t="s">
        <v>14</v>
      </c>
      <c r="D21" s="113">
        <v>0</v>
      </c>
      <c r="E21" s="113">
        <v>0</v>
      </c>
      <c r="F21" s="113">
        <v>0</v>
      </c>
      <c r="G21" s="113">
        <v>0</v>
      </c>
      <c r="H21" s="113">
        <v>0</v>
      </c>
      <c r="I21" s="753">
        <v>0</v>
      </c>
      <c r="J21" s="111">
        <f>SUM(D21:H21)</f>
        <v>0</v>
      </c>
      <c r="K21" s="111">
        <v>0</v>
      </c>
      <c r="L21" s="764">
        <f>IF(J21+J22=K22,0,IF(K22&gt;0,(J21+J22-K22)/K22,"--"))</f>
        <v>0</v>
      </c>
      <c r="M21" s="79" t="s">
        <v>14</v>
      </c>
    </row>
    <row r="22" spans="1:25" ht="12" customHeight="1" x14ac:dyDescent="0.3">
      <c r="A22" s="108" t="s">
        <v>634</v>
      </c>
      <c r="C22" s="109" t="s">
        <v>15</v>
      </c>
      <c r="D22" s="113">
        <v>0</v>
      </c>
      <c r="E22" s="113">
        <v>0</v>
      </c>
      <c r="F22" s="113">
        <v>0</v>
      </c>
      <c r="G22" s="113">
        <v>0</v>
      </c>
      <c r="H22" s="113">
        <v>0</v>
      </c>
      <c r="I22" s="766"/>
      <c r="J22" s="111">
        <f t="shared" si="0"/>
        <v>0</v>
      </c>
      <c r="K22" s="111">
        <v>0</v>
      </c>
      <c r="L22" s="767"/>
      <c r="M22" s="79" t="s">
        <v>15</v>
      </c>
    </row>
    <row r="23" spans="1:25" ht="12" customHeight="1" x14ac:dyDescent="0.3">
      <c r="A23" s="114" t="s">
        <v>142</v>
      </c>
      <c r="B23" s="2"/>
      <c r="C23" s="115" t="s">
        <v>16</v>
      </c>
      <c r="D23" s="113">
        <f t="shared" ref="D23:K23" si="2">SUM(D6:D22)</f>
        <v>282944</v>
      </c>
      <c r="E23" s="113">
        <f t="shared" si="2"/>
        <v>93659</v>
      </c>
      <c r="F23" s="113">
        <f t="shared" si="2"/>
        <v>1431606</v>
      </c>
      <c r="G23" s="113">
        <f t="shared" si="2"/>
        <v>97936</v>
      </c>
      <c r="H23" s="113">
        <f t="shared" si="2"/>
        <v>0</v>
      </c>
      <c r="I23" s="111">
        <f t="shared" si="2"/>
        <v>1378524</v>
      </c>
      <c r="J23" s="111">
        <f t="shared" si="2"/>
        <v>1906145</v>
      </c>
      <c r="K23" s="111">
        <f t="shared" si="2"/>
        <v>968673</v>
      </c>
      <c r="L23" s="112">
        <f>IF(J23=K23,0,IF(K23&gt;0,(J23-K23)/K23,"--"))</f>
        <v>0.96779999999999999</v>
      </c>
      <c r="M23" s="79" t="s">
        <v>16</v>
      </c>
    </row>
    <row r="24" spans="1:25" ht="12" customHeight="1" x14ac:dyDescent="0.3">
      <c r="A24" s="116" t="s">
        <v>583</v>
      </c>
      <c r="C24" s="93"/>
      <c r="D24" s="106"/>
      <c r="E24" s="106"/>
      <c r="F24" s="106"/>
      <c r="G24" s="106"/>
      <c r="H24" s="106"/>
      <c r="I24" s="753">
        <v>78746</v>
      </c>
      <c r="J24" s="753">
        <f>SUM(D25:H25)</f>
        <v>50389</v>
      </c>
      <c r="K24" s="753">
        <v>49887</v>
      </c>
      <c r="L24" s="764">
        <f>IF(J24=K24,0,IF(K24&gt;0,(J24-K24)/K24,"--"))</f>
        <v>1.01E-2</v>
      </c>
      <c r="M24" s="74"/>
    </row>
    <row r="25" spans="1:25" ht="12" customHeight="1" x14ac:dyDescent="0.3">
      <c r="A25" s="108" t="s">
        <v>27</v>
      </c>
      <c r="C25" s="109" t="s">
        <v>17</v>
      </c>
      <c r="D25" s="707">
        <v>0</v>
      </c>
      <c r="E25" s="707">
        <v>0</v>
      </c>
      <c r="F25" s="707">
        <v>50389</v>
      </c>
      <c r="G25" s="707">
        <v>0</v>
      </c>
      <c r="H25" s="707">
        <v>0</v>
      </c>
      <c r="I25" s="754"/>
      <c r="J25" s="754"/>
      <c r="K25" s="754"/>
      <c r="L25" s="765"/>
      <c r="M25" s="79" t="s">
        <v>17</v>
      </c>
      <c r="Y25" s="107"/>
    </row>
    <row r="26" spans="1:25" ht="12" customHeight="1" x14ac:dyDescent="0.3">
      <c r="A26" s="108" t="s">
        <v>635</v>
      </c>
      <c r="C26" s="109"/>
      <c r="D26" s="106"/>
      <c r="E26" s="106"/>
      <c r="F26" s="106"/>
      <c r="G26" s="106"/>
      <c r="H26" s="106"/>
      <c r="I26" s="753">
        <v>31580</v>
      </c>
      <c r="J26" s="753">
        <f>SUM(D27:H27)</f>
        <v>33943</v>
      </c>
      <c r="K26" s="753">
        <v>30822</v>
      </c>
      <c r="L26" s="764">
        <f>IF(J26=K26,0,IF(K26&gt;0,(J26-K26)/K26,"--"))</f>
        <v>0.1013</v>
      </c>
      <c r="M26" s="79"/>
      <c r="T26" s="107"/>
    </row>
    <row r="27" spans="1:25" ht="12" customHeight="1" x14ac:dyDescent="0.3">
      <c r="A27" s="108" t="s">
        <v>97</v>
      </c>
      <c r="C27" s="109" t="s">
        <v>18</v>
      </c>
      <c r="D27" s="707">
        <v>0</v>
      </c>
      <c r="E27" s="707">
        <v>0</v>
      </c>
      <c r="F27" s="707">
        <v>33943</v>
      </c>
      <c r="G27" s="707">
        <v>0</v>
      </c>
      <c r="H27" s="707">
        <v>0</v>
      </c>
      <c r="I27" s="754"/>
      <c r="J27" s="754"/>
      <c r="K27" s="754"/>
      <c r="L27" s="765"/>
      <c r="M27" s="79" t="s">
        <v>18</v>
      </c>
    </row>
    <row r="28" spans="1:25" ht="12" customHeight="1" x14ac:dyDescent="0.3">
      <c r="A28" s="108" t="s">
        <v>94</v>
      </c>
      <c r="C28" s="109" t="s">
        <v>19</v>
      </c>
      <c r="D28" s="113">
        <v>0</v>
      </c>
      <c r="E28" s="113">
        <v>0</v>
      </c>
      <c r="F28" s="113">
        <v>0</v>
      </c>
      <c r="G28" s="113">
        <v>0</v>
      </c>
      <c r="H28" s="113">
        <v>0</v>
      </c>
      <c r="I28" s="111">
        <v>0</v>
      </c>
      <c r="J28" s="111">
        <v>0</v>
      </c>
      <c r="K28" s="111">
        <v>0</v>
      </c>
      <c r="L28" s="112">
        <f t="shared" ref="L28:L48" si="3">IF(J28=K28,0,IF(K28&gt;0,(J28-K28)/K28,"--"))</f>
        <v>0</v>
      </c>
      <c r="M28" s="79" t="s">
        <v>19</v>
      </c>
    </row>
    <row r="29" spans="1:25" ht="12" customHeight="1" x14ac:dyDescent="0.3">
      <c r="A29" s="108" t="s">
        <v>636</v>
      </c>
      <c r="C29" s="109" t="s">
        <v>20</v>
      </c>
      <c r="D29" s="113">
        <v>0</v>
      </c>
      <c r="E29" s="113">
        <v>0</v>
      </c>
      <c r="F29" s="113">
        <v>0</v>
      </c>
      <c r="G29" s="113">
        <v>0</v>
      </c>
      <c r="H29" s="113">
        <v>0</v>
      </c>
      <c r="I29" s="111">
        <v>0</v>
      </c>
      <c r="J29" s="111">
        <v>0</v>
      </c>
      <c r="K29" s="111">
        <v>0</v>
      </c>
      <c r="L29" s="112">
        <f t="shared" si="3"/>
        <v>0</v>
      </c>
      <c r="M29" s="79" t="s">
        <v>20</v>
      </c>
    </row>
    <row r="30" spans="1:25" ht="12" customHeight="1" x14ac:dyDescent="0.3">
      <c r="A30" s="108" t="s">
        <v>637</v>
      </c>
      <c r="C30" s="109" t="s">
        <v>21</v>
      </c>
      <c r="D30" s="113">
        <v>0</v>
      </c>
      <c r="E30" s="113">
        <v>0</v>
      </c>
      <c r="F30" s="113">
        <v>0</v>
      </c>
      <c r="G30" s="113">
        <v>0</v>
      </c>
      <c r="H30" s="113">
        <v>0</v>
      </c>
      <c r="I30" s="111">
        <v>0</v>
      </c>
      <c r="J30" s="111">
        <v>0</v>
      </c>
      <c r="K30" s="111">
        <v>0</v>
      </c>
      <c r="L30" s="112">
        <f t="shared" si="3"/>
        <v>0</v>
      </c>
      <c r="M30" s="79" t="s">
        <v>21</v>
      </c>
    </row>
    <row r="31" spans="1:25" ht="12" customHeight="1" x14ac:dyDescent="0.3">
      <c r="A31" s="108" t="s">
        <v>638</v>
      </c>
      <c r="C31" s="109" t="s">
        <v>22</v>
      </c>
      <c r="D31" s="113">
        <v>0</v>
      </c>
      <c r="E31" s="113">
        <v>0</v>
      </c>
      <c r="F31" s="113">
        <v>0</v>
      </c>
      <c r="G31" s="113">
        <v>0</v>
      </c>
      <c r="H31" s="113">
        <v>0</v>
      </c>
      <c r="I31" s="111">
        <v>0</v>
      </c>
      <c r="J31" s="111">
        <v>0</v>
      </c>
      <c r="K31" s="111">
        <v>0</v>
      </c>
      <c r="L31" s="112">
        <f t="shared" si="3"/>
        <v>0</v>
      </c>
      <c r="M31" s="79" t="s">
        <v>22</v>
      </c>
    </row>
    <row r="32" spans="1:25" ht="12" customHeight="1" x14ac:dyDescent="0.3">
      <c r="A32" s="108" t="s">
        <v>639</v>
      </c>
      <c r="C32" s="109" t="s">
        <v>23</v>
      </c>
      <c r="D32" s="113">
        <v>0</v>
      </c>
      <c r="E32" s="113">
        <v>0</v>
      </c>
      <c r="F32" s="113">
        <v>0</v>
      </c>
      <c r="G32" s="113">
        <v>0</v>
      </c>
      <c r="H32" s="113">
        <v>0</v>
      </c>
      <c r="I32" s="111">
        <v>0</v>
      </c>
      <c r="J32" s="111">
        <v>0</v>
      </c>
      <c r="K32" s="111">
        <v>0</v>
      </c>
      <c r="L32" s="112">
        <f t="shared" si="3"/>
        <v>0</v>
      </c>
      <c r="M32" s="79" t="s">
        <v>23</v>
      </c>
    </row>
    <row r="33" spans="1:15" ht="12" customHeight="1" x14ac:dyDescent="0.3">
      <c r="A33" s="108" t="s">
        <v>640</v>
      </c>
      <c r="C33" s="109" t="s">
        <v>24</v>
      </c>
      <c r="D33" s="113">
        <v>0</v>
      </c>
      <c r="E33" s="113">
        <v>0</v>
      </c>
      <c r="F33" s="113">
        <v>0</v>
      </c>
      <c r="G33" s="113">
        <v>0</v>
      </c>
      <c r="H33" s="113">
        <v>0</v>
      </c>
      <c r="I33" s="111">
        <v>0</v>
      </c>
      <c r="J33" s="111">
        <v>0</v>
      </c>
      <c r="K33" s="111">
        <v>0</v>
      </c>
      <c r="L33" s="112">
        <f t="shared" si="3"/>
        <v>0</v>
      </c>
      <c r="M33" s="79" t="s">
        <v>24</v>
      </c>
    </row>
    <row r="34" spans="1:15" ht="12" customHeight="1" x14ac:dyDescent="0.3">
      <c r="A34" s="108" t="s">
        <v>641</v>
      </c>
      <c r="C34" s="109" t="s">
        <v>39</v>
      </c>
      <c r="D34" s="113">
        <v>0</v>
      </c>
      <c r="E34" s="113">
        <v>0</v>
      </c>
      <c r="F34" s="113">
        <v>0</v>
      </c>
      <c r="G34" s="113">
        <v>0</v>
      </c>
      <c r="H34" s="113">
        <v>0</v>
      </c>
      <c r="I34" s="111">
        <v>0</v>
      </c>
      <c r="J34" s="111">
        <v>0</v>
      </c>
      <c r="K34" s="111">
        <v>0</v>
      </c>
      <c r="L34" s="112">
        <f t="shared" si="3"/>
        <v>0</v>
      </c>
      <c r="M34" s="79" t="s">
        <v>39</v>
      </c>
    </row>
    <row r="35" spans="1:15" ht="12" customHeight="1" x14ac:dyDescent="0.3">
      <c r="A35" s="108" t="s">
        <v>642</v>
      </c>
      <c r="C35" s="109" t="s">
        <v>40</v>
      </c>
      <c r="D35" s="113">
        <v>0</v>
      </c>
      <c r="E35" s="113">
        <v>0</v>
      </c>
      <c r="F35" s="113">
        <v>0</v>
      </c>
      <c r="G35" s="113">
        <v>0</v>
      </c>
      <c r="H35" s="113">
        <v>0</v>
      </c>
      <c r="I35" s="111">
        <v>0</v>
      </c>
      <c r="J35" s="111">
        <v>0</v>
      </c>
      <c r="K35" s="111">
        <v>0</v>
      </c>
      <c r="L35" s="112">
        <f t="shared" si="3"/>
        <v>0</v>
      </c>
      <c r="M35" s="79" t="s">
        <v>40</v>
      </c>
    </row>
    <row r="36" spans="1:15" ht="12" customHeight="1" x14ac:dyDescent="0.3">
      <c r="A36" s="108" t="s">
        <v>643</v>
      </c>
      <c r="C36" s="109" t="s">
        <v>41</v>
      </c>
      <c r="D36" s="113">
        <v>0</v>
      </c>
      <c r="E36" s="113">
        <v>0</v>
      </c>
      <c r="F36" s="113">
        <v>0</v>
      </c>
      <c r="G36" s="113">
        <v>0</v>
      </c>
      <c r="H36" s="113">
        <v>0</v>
      </c>
      <c r="I36" s="111">
        <v>0</v>
      </c>
      <c r="J36" s="111">
        <v>0</v>
      </c>
      <c r="K36" s="111">
        <v>0</v>
      </c>
      <c r="L36" s="112">
        <f t="shared" si="3"/>
        <v>0</v>
      </c>
      <c r="M36" s="79" t="s">
        <v>41</v>
      </c>
    </row>
    <row r="37" spans="1:15" ht="12" customHeight="1" x14ac:dyDescent="0.3">
      <c r="A37" s="114" t="s">
        <v>145</v>
      </c>
      <c r="B37" s="2"/>
      <c r="C37" s="117" t="s">
        <v>43</v>
      </c>
      <c r="D37" s="113">
        <f t="shared" ref="D37:K37" si="4">SUM(D24:D36)</f>
        <v>0</v>
      </c>
      <c r="E37" s="113">
        <f t="shared" si="4"/>
        <v>0</v>
      </c>
      <c r="F37" s="113">
        <f t="shared" si="4"/>
        <v>84332</v>
      </c>
      <c r="G37" s="113">
        <f t="shared" si="4"/>
        <v>0</v>
      </c>
      <c r="H37" s="113">
        <f t="shared" si="4"/>
        <v>0</v>
      </c>
      <c r="I37" s="111">
        <f t="shared" si="4"/>
        <v>110326</v>
      </c>
      <c r="J37" s="111">
        <f t="shared" si="4"/>
        <v>84332</v>
      </c>
      <c r="K37" s="111">
        <f t="shared" si="4"/>
        <v>80709</v>
      </c>
      <c r="L37" s="118">
        <f t="shared" si="3"/>
        <v>4.4900000000000002E-2</v>
      </c>
      <c r="M37" s="119" t="s">
        <v>43</v>
      </c>
    </row>
    <row r="38" spans="1:15" ht="12" customHeight="1" x14ac:dyDescent="0.3">
      <c r="A38" s="120" t="s">
        <v>644</v>
      </c>
      <c r="B38" s="121"/>
      <c r="C38" s="117" t="s">
        <v>44</v>
      </c>
      <c r="D38" s="113">
        <v>0</v>
      </c>
      <c r="E38" s="113">
        <v>0</v>
      </c>
      <c r="F38" s="113">
        <v>0</v>
      </c>
      <c r="G38" s="113">
        <v>0</v>
      </c>
      <c r="H38" s="113">
        <v>0</v>
      </c>
      <c r="I38" s="111">
        <v>0</v>
      </c>
      <c r="J38" s="111">
        <v>0</v>
      </c>
      <c r="K38" s="111">
        <v>0</v>
      </c>
      <c r="L38" s="112">
        <f t="shared" si="3"/>
        <v>0</v>
      </c>
      <c r="M38" s="119" t="s">
        <v>44</v>
      </c>
    </row>
    <row r="39" spans="1:15" ht="12" customHeight="1" x14ac:dyDescent="0.3">
      <c r="A39" s="120" t="s">
        <v>584</v>
      </c>
      <c r="B39" s="121"/>
      <c r="C39" s="122" t="s">
        <v>45</v>
      </c>
      <c r="D39" s="113">
        <v>0</v>
      </c>
      <c r="E39" s="113">
        <v>0</v>
      </c>
      <c r="F39" s="113">
        <v>0</v>
      </c>
      <c r="G39" s="113">
        <v>0</v>
      </c>
      <c r="H39" s="113">
        <v>0</v>
      </c>
      <c r="I39" s="111">
        <v>0</v>
      </c>
      <c r="J39" s="111">
        <v>0</v>
      </c>
      <c r="K39" s="111">
        <v>0</v>
      </c>
      <c r="L39" s="112">
        <f t="shared" si="3"/>
        <v>0</v>
      </c>
      <c r="M39" s="119" t="s">
        <v>45</v>
      </c>
    </row>
    <row r="40" spans="1:15" ht="12" customHeight="1" x14ac:dyDescent="0.3">
      <c r="A40" s="120" t="s">
        <v>645</v>
      </c>
      <c r="B40" s="121"/>
      <c r="C40" s="122" t="s">
        <v>46</v>
      </c>
      <c r="D40" s="113">
        <v>0</v>
      </c>
      <c r="E40" s="113">
        <v>0</v>
      </c>
      <c r="F40" s="113">
        <v>0</v>
      </c>
      <c r="G40" s="113">
        <v>0</v>
      </c>
      <c r="H40" s="113">
        <v>0</v>
      </c>
      <c r="I40" s="111">
        <v>0</v>
      </c>
      <c r="J40" s="111">
        <v>0</v>
      </c>
      <c r="K40" s="111">
        <v>0</v>
      </c>
      <c r="L40" s="112">
        <f t="shared" si="3"/>
        <v>0</v>
      </c>
      <c r="M40" s="119" t="s">
        <v>46</v>
      </c>
    </row>
    <row r="41" spans="1:15" ht="12" customHeight="1" x14ac:dyDescent="0.3">
      <c r="A41" s="120" t="s">
        <v>115</v>
      </c>
      <c r="B41" s="121"/>
      <c r="C41" s="122" t="s">
        <v>48</v>
      </c>
      <c r="D41" s="113">
        <v>0</v>
      </c>
      <c r="E41" s="113">
        <v>0</v>
      </c>
      <c r="F41" s="113">
        <v>0</v>
      </c>
      <c r="G41" s="113">
        <v>0</v>
      </c>
      <c r="H41" s="113">
        <v>0</v>
      </c>
      <c r="I41" s="111">
        <v>0</v>
      </c>
      <c r="J41" s="111">
        <v>0</v>
      </c>
      <c r="K41" s="111">
        <v>0</v>
      </c>
      <c r="L41" s="112">
        <f t="shared" si="3"/>
        <v>0</v>
      </c>
      <c r="M41" s="119" t="s">
        <v>48</v>
      </c>
    </row>
    <row r="42" spans="1:15" ht="12" customHeight="1" x14ac:dyDescent="0.3">
      <c r="A42" s="120" t="s">
        <v>144</v>
      </c>
      <c r="B42" s="121"/>
      <c r="C42" s="122" t="s">
        <v>49</v>
      </c>
      <c r="D42" s="113">
        <f t="shared" ref="D42:I42" si="5">SUM(D38:D41)+D37+D23</f>
        <v>282944</v>
      </c>
      <c r="E42" s="113">
        <f t="shared" si="5"/>
        <v>93659</v>
      </c>
      <c r="F42" s="113">
        <f t="shared" si="5"/>
        <v>1515938</v>
      </c>
      <c r="G42" s="113">
        <f t="shared" si="5"/>
        <v>97936</v>
      </c>
      <c r="H42" s="113">
        <f t="shared" si="5"/>
        <v>0</v>
      </c>
      <c r="I42" s="111">
        <f t="shared" si="5"/>
        <v>1488850</v>
      </c>
      <c r="J42" s="111">
        <f>SUM(J37:J41)+J23</f>
        <v>1990477</v>
      </c>
      <c r="K42" s="111">
        <f>SUM(K23)+SUM(K37:K41)</f>
        <v>1049382</v>
      </c>
      <c r="L42" s="112">
        <f t="shared" si="3"/>
        <v>0.89680000000000004</v>
      </c>
      <c r="M42" s="119" t="s">
        <v>49</v>
      </c>
    </row>
    <row r="43" spans="1:15" ht="12" customHeight="1" x14ac:dyDescent="0.3">
      <c r="A43" s="120" t="s">
        <v>930</v>
      </c>
      <c r="B43" s="121"/>
      <c r="C43" s="122" t="s">
        <v>60</v>
      </c>
      <c r="D43" s="113">
        <f>'Page 3'!F13</f>
        <v>187931</v>
      </c>
      <c r="E43" s="113">
        <v>0</v>
      </c>
      <c r="F43" s="113">
        <v>0</v>
      </c>
      <c r="G43" s="113">
        <f>'Page 3'!I13</f>
        <v>0</v>
      </c>
      <c r="H43" s="123"/>
      <c r="I43" s="111">
        <v>170794</v>
      </c>
      <c r="J43" s="111">
        <f>SUM(D43:H43)</f>
        <v>187931</v>
      </c>
      <c r="K43" s="111">
        <v>175438</v>
      </c>
      <c r="L43" s="112">
        <f t="shared" si="3"/>
        <v>7.1199999999999999E-2</v>
      </c>
      <c r="M43" s="119" t="s">
        <v>60</v>
      </c>
    </row>
    <row r="44" spans="1:15" ht="12" customHeight="1" x14ac:dyDescent="0.3">
      <c r="A44" s="120" t="s">
        <v>914</v>
      </c>
      <c r="B44" s="121"/>
      <c r="C44" s="122" t="s">
        <v>66</v>
      </c>
      <c r="D44" s="123"/>
      <c r="E44" s="123"/>
      <c r="F44" s="123"/>
      <c r="G44" s="123"/>
      <c r="H44" s="123"/>
      <c r="I44" s="111">
        <v>6894</v>
      </c>
      <c r="J44" s="111">
        <v>16109</v>
      </c>
      <c r="K44" s="111">
        <v>4897</v>
      </c>
      <c r="L44" s="112">
        <f t="shared" si="3"/>
        <v>2.2896000000000001</v>
      </c>
      <c r="M44" s="119" t="s">
        <v>66</v>
      </c>
    </row>
    <row r="45" spans="1:15" ht="12" customHeight="1" x14ac:dyDescent="0.3">
      <c r="A45" s="120" t="s">
        <v>931</v>
      </c>
      <c r="B45" s="121"/>
      <c r="C45" s="122" t="s">
        <v>75</v>
      </c>
      <c r="D45" s="113">
        <v>0</v>
      </c>
      <c r="E45" s="113">
        <v>0</v>
      </c>
      <c r="F45" s="113">
        <v>0</v>
      </c>
      <c r="G45" s="113">
        <f>TotalSEIP6600</f>
        <v>0</v>
      </c>
      <c r="H45" s="113">
        <f>TotalSEIP6800</f>
        <v>0</v>
      </c>
      <c r="I45" s="111">
        <v>0</v>
      </c>
      <c r="J45" s="111">
        <v>0</v>
      </c>
      <c r="K45" s="111">
        <v>0</v>
      </c>
      <c r="L45" s="112">
        <f t="shared" si="3"/>
        <v>0</v>
      </c>
      <c r="M45" s="119" t="s">
        <v>75</v>
      </c>
    </row>
    <row r="46" spans="1:15" ht="12" customHeight="1" x14ac:dyDescent="0.3">
      <c r="A46" s="120" t="s">
        <v>932</v>
      </c>
      <c r="B46" s="121"/>
      <c r="C46" s="122" t="s">
        <v>79</v>
      </c>
      <c r="D46" s="113">
        <v>0</v>
      </c>
      <c r="E46" s="113">
        <v>0</v>
      </c>
      <c r="F46" s="113">
        <v>0</v>
      </c>
      <c r="G46" s="113">
        <f>TotalCIP6600</f>
        <v>0</v>
      </c>
      <c r="H46" s="113">
        <f>TotalCIP6800</f>
        <v>0</v>
      </c>
      <c r="I46" s="111">
        <v>0</v>
      </c>
      <c r="J46" s="111">
        <v>0</v>
      </c>
      <c r="K46" s="111">
        <v>0</v>
      </c>
      <c r="L46" s="112">
        <f t="shared" si="3"/>
        <v>0</v>
      </c>
      <c r="M46" s="119" t="s">
        <v>79</v>
      </c>
      <c r="O46" s="29"/>
    </row>
    <row r="47" spans="1:15" ht="12" customHeight="1" x14ac:dyDescent="0.3">
      <c r="A47" s="124" t="s">
        <v>933</v>
      </c>
      <c r="B47" s="125"/>
      <c r="C47" s="122" t="s">
        <v>90</v>
      </c>
      <c r="D47" s="126"/>
      <c r="E47" s="126"/>
      <c r="F47" s="126"/>
      <c r="G47" s="126"/>
      <c r="H47" s="126"/>
      <c r="I47" s="111">
        <v>15420</v>
      </c>
      <c r="J47" s="111">
        <f>ActualTotalFederalAndStateProjects</f>
        <v>15635</v>
      </c>
      <c r="K47" s="111">
        <v>173055</v>
      </c>
      <c r="L47" s="112">
        <f t="shared" si="3"/>
        <v>-0.90969999999999995</v>
      </c>
      <c r="M47" s="119" t="s">
        <v>90</v>
      </c>
    </row>
    <row r="48" spans="1:15" ht="12" customHeight="1" x14ac:dyDescent="0.3">
      <c r="A48" s="120" t="s">
        <v>143</v>
      </c>
      <c r="B48" s="121"/>
      <c r="C48" s="122" t="s">
        <v>134</v>
      </c>
      <c r="D48" s="126"/>
      <c r="E48" s="126"/>
      <c r="F48" s="126"/>
      <c r="G48" s="126"/>
      <c r="H48" s="126"/>
      <c r="I48" s="75">
        <f>SUM(I42:I47)</f>
        <v>1681958</v>
      </c>
      <c r="J48" s="75">
        <f>SUM(J42:J47)</f>
        <v>2210152</v>
      </c>
      <c r="K48" s="75">
        <f>SUM(K42:K47)</f>
        <v>1402772</v>
      </c>
      <c r="L48" s="112">
        <f t="shared" si="3"/>
        <v>0.5756</v>
      </c>
      <c r="M48" s="119" t="s">
        <v>134</v>
      </c>
    </row>
    <row r="49" spans="1:1" ht="12" customHeight="1" x14ac:dyDescent="0.3">
      <c r="A49" s="71"/>
    </row>
    <row r="50" spans="1:1" ht="12" customHeight="1" x14ac:dyDescent="0.3"/>
    <row r="51" spans="1:1" ht="12" customHeight="1" x14ac:dyDescent="0.3"/>
    <row r="52" spans="1:1" ht="12" customHeight="1" x14ac:dyDescent="0.3"/>
    <row r="53" spans="1:1" ht="12" customHeight="1" x14ac:dyDescent="0.3"/>
    <row r="54" spans="1:1" ht="12" customHeight="1" x14ac:dyDescent="0.3"/>
    <row r="55" spans="1:1" ht="12" customHeight="1" x14ac:dyDescent="0.3"/>
    <row r="56" spans="1:1" ht="12" customHeight="1" x14ac:dyDescent="0.3"/>
    <row r="57" spans="1:1" ht="12" customHeight="1" x14ac:dyDescent="0.3"/>
    <row r="58" spans="1:1" ht="12" customHeight="1" x14ac:dyDescent="0.3"/>
    <row r="59" spans="1:1" ht="12" customHeight="1" x14ac:dyDescent="0.3"/>
  </sheetData>
  <sheetProtection formatCells="0" formatColumns="0" formatRows="0"/>
  <mergeCells count="23">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 ref="B1:C1"/>
    <mergeCell ref="I8:I9"/>
    <mergeCell ref="J6:J7"/>
    <mergeCell ref="L3:L5"/>
    <mergeCell ref="I3:K3"/>
    <mergeCell ref="I6:I7"/>
    <mergeCell ref="J8:J9"/>
  </mergeCells>
  <conditionalFormatting sqref="J8:J9">
    <cfRule type="expression" dxfId="67" priority="2" stopIfTrue="1">
      <formula>$N$9&lt;&gt;""</formula>
    </cfRule>
  </conditionalFormatting>
  <conditionalFormatting sqref="J10">
    <cfRule type="expression" dxfId="66" priority="1" stopIfTrue="1">
      <formula>$N$10&lt;&gt;""</formula>
    </cfRule>
  </conditionalFormatting>
  <conditionalFormatting sqref="N9:AF9">
    <cfRule type="expression" dxfId="65" priority="11" stopIfTrue="1">
      <formula>$N$9&lt;&gt;""</formula>
    </cfRule>
  </conditionalFormatting>
  <conditionalFormatting sqref="N10:AF10">
    <cfRule type="expression" dxfId="64"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workbookViewId="0">
      <selection activeCell="F25" sqref="F25"/>
    </sheetView>
  </sheetViews>
  <sheetFormatPr defaultColWidth="9.296875" defaultRowHeight="13" x14ac:dyDescent="0.3"/>
  <cols>
    <col min="1" max="1" width="1.796875" customWidth="1"/>
    <col min="2" max="2" width="2" customWidth="1"/>
    <col min="3" max="3" width="21" customWidth="1"/>
    <col min="4" max="4" width="33.296875" customWidth="1"/>
    <col min="5" max="5" width="4.296875" customWidth="1"/>
    <col min="6" max="6" width="19.796875" customWidth="1"/>
    <col min="7" max="12" width="16" customWidth="1"/>
    <col min="13" max="13" width="79.69921875" customWidth="1"/>
    <col min="15" max="15" width="8.796875" customWidth="1"/>
  </cols>
  <sheetData>
    <row r="1" spans="1:14" x14ac:dyDescent="0.3">
      <c r="A1" s="71" t="s">
        <v>336</v>
      </c>
      <c r="D1" s="67" t="str">
        <f>'Cover Page'!D1</f>
        <v>Valor Preparatory Academy, LLC</v>
      </c>
      <c r="E1" s="74"/>
      <c r="F1" s="68" t="s">
        <v>337</v>
      </c>
      <c r="G1" s="67" t="str">
        <f>'Cover Page'!M1</f>
        <v>Maricopa</v>
      </c>
      <c r="H1" s="70"/>
      <c r="I1" s="68" t="s">
        <v>592</v>
      </c>
      <c r="J1" s="69" t="str">
        <f>'Cover Page'!R1</f>
        <v>078104000</v>
      </c>
    </row>
    <row r="4" spans="1:14" x14ac:dyDescent="0.3">
      <c r="A4" s="91"/>
      <c r="B4" s="144"/>
      <c r="C4" s="145"/>
      <c r="D4" s="145"/>
      <c r="E4" s="146"/>
      <c r="F4" s="88"/>
      <c r="G4" s="89" t="s">
        <v>67</v>
      </c>
      <c r="H4" s="89" t="s">
        <v>105</v>
      </c>
      <c r="I4" s="98"/>
      <c r="J4" s="768" t="s">
        <v>68</v>
      </c>
      <c r="K4" s="769"/>
      <c r="L4" s="147"/>
    </row>
    <row r="5" spans="1:14" x14ac:dyDescent="0.3">
      <c r="A5" s="148" t="s">
        <v>58</v>
      </c>
      <c r="C5" s="149"/>
      <c r="D5" s="149"/>
      <c r="E5" s="150"/>
      <c r="F5" s="96" t="s">
        <v>69</v>
      </c>
      <c r="G5" s="94" t="s">
        <v>647</v>
      </c>
      <c r="H5" s="96" t="s">
        <v>648</v>
      </c>
      <c r="I5" s="151" t="s">
        <v>70</v>
      </c>
      <c r="J5" s="96"/>
      <c r="K5" s="96"/>
      <c r="L5" s="152"/>
    </row>
    <row r="6" spans="1:14" x14ac:dyDescent="0.3">
      <c r="A6" s="114"/>
      <c r="B6" s="2"/>
      <c r="C6" s="153"/>
      <c r="D6" s="153"/>
      <c r="E6" s="154"/>
      <c r="F6" s="102">
        <v>6100</v>
      </c>
      <c r="G6" s="101">
        <v>6200</v>
      </c>
      <c r="H6" s="102" t="s">
        <v>25</v>
      </c>
      <c r="I6" s="102">
        <v>6600</v>
      </c>
      <c r="J6" s="102" t="s">
        <v>71</v>
      </c>
      <c r="K6" s="102" t="s">
        <v>72</v>
      </c>
      <c r="L6" s="152"/>
    </row>
    <row r="7" spans="1:14" x14ac:dyDescent="0.3">
      <c r="A7" s="128" t="s">
        <v>899</v>
      </c>
      <c r="B7" s="129"/>
      <c r="C7" s="129"/>
      <c r="D7" s="129"/>
      <c r="E7" s="155"/>
      <c r="F7" s="98"/>
      <c r="G7" s="98"/>
      <c r="H7" s="98"/>
      <c r="I7" s="98"/>
      <c r="J7" s="98"/>
      <c r="K7" s="98"/>
      <c r="L7" s="108"/>
    </row>
    <row r="8" spans="1:14" x14ac:dyDescent="0.3">
      <c r="A8" s="156"/>
      <c r="B8" s="149"/>
      <c r="C8" t="s">
        <v>900</v>
      </c>
      <c r="D8" s="149"/>
      <c r="E8" s="157" t="s">
        <v>1</v>
      </c>
      <c r="F8" s="158">
        <v>187931</v>
      </c>
      <c r="G8" s="158">
        <v>0</v>
      </c>
      <c r="H8" s="158">
        <v>0</v>
      </c>
      <c r="I8" s="158">
        <v>0</v>
      </c>
      <c r="J8" s="159">
        <v>170794</v>
      </c>
      <c r="K8" s="158">
        <f>SUM(F8:I8)</f>
        <v>187931</v>
      </c>
      <c r="L8" s="108"/>
    </row>
    <row r="9" spans="1:14" x14ac:dyDescent="0.3">
      <c r="A9" s="156"/>
      <c r="B9" s="149"/>
      <c r="C9" t="s">
        <v>582</v>
      </c>
      <c r="D9" s="149"/>
      <c r="E9" s="157" t="s">
        <v>2</v>
      </c>
      <c r="F9" s="75">
        <v>0</v>
      </c>
      <c r="G9" s="75">
        <v>0</v>
      </c>
      <c r="H9" s="75">
        <v>0</v>
      </c>
      <c r="I9" s="75">
        <v>0</v>
      </c>
      <c r="J9" s="111">
        <v>0</v>
      </c>
      <c r="K9" s="75">
        <f t="shared" ref="K9:K13" si="0">SUM(F9:I9)</f>
        <v>0</v>
      </c>
      <c r="L9" s="108"/>
    </row>
    <row r="10" spans="1:14" x14ac:dyDescent="0.3">
      <c r="A10" s="156"/>
      <c r="B10" s="149"/>
      <c r="C10" t="s">
        <v>901</v>
      </c>
      <c r="D10" s="149"/>
      <c r="E10" s="157" t="s">
        <v>3</v>
      </c>
      <c r="F10" s="75">
        <v>0</v>
      </c>
      <c r="G10" s="75">
        <v>0</v>
      </c>
      <c r="H10" s="75">
        <v>0</v>
      </c>
      <c r="I10" s="75">
        <v>0</v>
      </c>
      <c r="J10" s="111">
        <v>0</v>
      </c>
      <c r="K10" s="75">
        <f t="shared" si="0"/>
        <v>0</v>
      </c>
      <c r="L10" s="108"/>
    </row>
    <row r="11" spans="1:14" x14ac:dyDescent="0.3">
      <c r="A11" s="156"/>
      <c r="B11" s="149"/>
      <c r="C11" s="130" t="s">
        <v>358</v>
      </c>
      <c r="D11" s="160"/>
      <c r="E11" s="157" t="s">
        <v>4</v>
      </c>
      <c r="F11" s="126"/>
      <c r="G11" s="126"/>
      <c r="H11" s="75">
        <v>0</v>
      </c>
      <c r="I11" s="126"/>
      <c r="J11" s="111">
        <v>0</v>
      </c>
      <c r="K11" s="75">
        <f t="shared" si="0"/>
        <v>0</v>
      </c>
      <c r="L11" s="108"/>
    </row>
    <row r="12" spans="1:14" ht="12.75" customHeight="1" x14ac:dyDescent="0.3">
      <c r="A12" s="161"/>
      <c r="B12" s="153"/>
      <c r="C12" s="131" t="s">
        <v>902</v>
      </c>
      <c r="D12" s="162"/>
      <c r="E12" s="163" t="s">
        <v>5</v>
      </c>
      <c r="F12" s="75">
        <v>0</v>
      </c>
      <c r="G12" s="75">
        <v>0</v>
      </c>
      <c r="H12" s="75">
        <v>0</v>
      </c>
      <c r="I12" s="126"/>
      <c r="J12" s="111">
        <v>0</v>
      </c>
      <c r="K12" s="75">
        <f t="shared" si="0"/>
        <v>0</v>
      </c>
      <c r="L12" s="108"/>
      <c r="M12" s="770" t="str">
        <f>IF('Page 2'!J48=0,"",IF(OR(K13&lt;=0),"The Charter did not report any expenses for Classroom Site Project. If the Charter did not have any expense, verify by checking the box in A14 on the Cover Page.",""))</f>
        <v/>
      </c>
      <c r="N12" s="4"/>
    </row>
    <row r="13" spans="1:14" ht="12" customHeight="1" x14ac:dyDescent="0.3">
      <c r="A13" s="114" t="s">
        <v>903</v>
      </c>
      <c r="B13" s="153"/>
      <c r="C13" s="2"/>
      <c r="D13" s="153"/>
      <c r="E13" s="163" t="s">
        <v>6</v>
      </c>
      <c r="F13" s="75">
        <f>SUM(F8:F12)</f>
        <v>187931</v>
      </c>
      <c r="G13" s="75">
        <f>SUM(G8:G12)</f>
        <v>0</v>
      </c>
      <c r="H13" s="75">
        <f>SUM(H8:H12)</f>
        <v>0</v>
      </c>
      <c r="I13" s="75">
        <f>SUM(I8:I12)</f>
        <v>0</v>
      </c>
      <c r="J13" s="75">
        <f>SUM(J8:J12)</f>
        <v>170794</v>
      </c>
      <c r="K13" s="75">
        <f t="shared" si="0"/>
        <v>187931</v>
      </c>
      <c r="L13" s="108"/>
      <c r="M13" s="770"/>
      <c r="N13" s="4"/>
    </row>
    <row r="16" spans="1:14" ht="16.5" customHeight="1" x14ac:dyDescent="0.3">
      <c r="A16" s="128" t="s">
        <v>904</v>
      </c>
      <c r="B16" s="128"/>
      <c r="C16" s="129"/>
      <c r="D16" s="128"/>
      <c r="E16" s="164"/>
      <c r="F16" s="165" t="s">
        <v>71</v>
      </c>
      <c r="G16" s="166" t="s">
        <v>72</v>
      </c>
    </row>
    <row r="17" spans="1:27" x14ac:dyDescent="0.3">
      <c r="A17" s="85"/>
      <c r="B17" s="167"/>
      <c r="C17" s="86" t="s">
        <v>754</v>
      </c>
      <c r="D17" s="167"/>
      <c r="E17" s="168" t="s">
        <v>7</v>
      </c>
      <c r="F17" s="75">
        <v>0</v>
      </c>
      <c r="G17" s="127">
        <v>0</v>
      </c>
    </row>
    <row r="18" spans="1:27" ht="14.5" x14ac:dyDescent="0.3">
      <c r="A18" s="108"/>
      <c r="B18" s="107"/>
      <c r="C18" t="s">
        <v>905</v>
      </c>
      <c r="D18" s="107"/>
      <c r="E18" s="77" t="s">
        <v>8</v>
      </c>
      <c r="F18" s="75">
        <v>0</v>
      </c>
      <c r="G18" s="113">
        <v>0</v>
      </c>
      <c r="AA18" s="169" t="str">
        <f>IF(OR(F17="",F18="",F19=""),"yes","")</f>
        <v/>
      </c>
    </row>
    <row r="19" spans="1:27" x14ac:dyDescent="0.3">
      <c r="A19" s="114"/>
      <c r="B19" s="170"/>
      <c r="C19" s="2" t="s">
        <v>906</v>
      </c>
      <c r="D19" s="170"/>
      <c r="E19" s="171" t="s">
        <v>9</v>
      </c>
      <c r="F19" s="75">
        <v>0</v>
      </c>
      <c r="G19" s="127">
        <v>0</v>
      </c>
    </row>
    <row r="21" spans="1:27" x14ac:dyDescent="0.3">
      <c r="D21" s="2"/>
      <c r="E21" s="172"/>
      <c r="F21" s="2"/>
    </row>
    <row r="22" spans="1:27" x14ac:dyDescent="0.3">
      <c r="A22" s="173"/>
      <c r="B22" s="174"/>
      <c r="C22" s="174"/>
      <c r="D22" s="174"/>
      <c r="E22" s="174"/>
      <c r="F22" s="88" t="s">
        <v>380</v>
      </c>
    </row>
    <row r="23" spans="1:27" x14ac:dyDescent="0.3">
      <c r="A23" s="175" t="s">
        <v>650</v>
      </c>
      <c r="B23" s="176"/>
      <c r="C23" s="176"/>
      <c r="D23" s="177"/>
      <c r="E23" s="172"/>
      <c r="F23" s="102">
        <v>1010</v>
      </c>
    </row>
    <row r="24" spans="1:27" x14ac:dyDescent="0.3">
      <c r="A24" s="85" t="s">
        <v>585</v>
      </c>
      <c r="B24" s="86"/>
      <c r="C24" s="86"/>
      <c r="D24" s="167"/>
      <c r="E24" s="178" t="s">
        <v>10</v>
      </c>
      <c r="F24" s="111">
        <v>0</v>
      </c>
    </row>
    <row r="25" spans="1:27" x14ac:dyDescent="0.3">
      <c r="A25" s="108"/>
      <c r="B25" t="s">
        <v>73</v>
      </c>
      <c r="D25" s="149"/>
      <c r="E25" s="77" t="s">
        <v>11</v>
      </c>
      <c r="F25" s="75">
        <v>187931</v>
      </c>
    </row>
    <row r="26" spans="1:27" x14ac:dyDescent="0.3">
      <c r="A26" s="108"/>
      <c r="B26" t="s">
        <v>586</v>
      </c>
      <c r="D26" s="149"/>
      <c r="E26" s="178" t="s">
        <v>12</v>
      </c>
      <c r="F26" s="75">
        <v>0</v>
      </c>
    </row>
    <row r="27" spans="1:27" x14ac:dyDescent="0.3">
      <c r="A27" s="108" t="s">
        <v>908</v>
      </c>
      <c r="D27" s="149"/>
      <c r="E27" s="178" t="s">
        <v>13</v>
      </c>
      <c r="F27" s="75">
        <f>F25+F26</f>
        <v>187931</v>
      </c>
    </row>
    <row r="28" spans="1:27" x14ac:dyDescent="0.3">
      <c r="A28" s="108" t="s">
        <v>909</v>
      </c>
      <c r="D28" s="149"/>
      <c r="E28" s="178" t="s">
        <v>14</v>
      </c>
      <c r="F28" s="75">
        <f>F24+F27</f>
        <v>187931</v>
      </c>
    </row>
    <row r="29" spans="1:27" x14ac:dyDescent="0.3">
      <c r="A29" s="108" t="s">
        <v>934</v>
      </c>
      <c r="D29" s="149"/>
      <c r="E29" s="178" t="s">
        <v>15</v>
      </c>
      <c r="F29" s="75">
        <f>K13+G17+G18+G19</f>
        <v>187931</v>
      </c>
    </row>
    <row r="30" spans="1:27" x14ac:dyDescent="0.3">
      <c r="A30" s="114" t="s">
        <v>915</v>
      </c>
      <c r="B30" s="2"/>
      <c r="C30" s="2"/>
      <c r="D30" s="153"/>
      <c r="E30" s="179" t="s">
        <v>16</v>
      </c>
      <c r="F30" s="75">
        <f>F28-F29</f>
        <v>0</v>
      </c>
    </row>
  </sheetData>
  <mergeCells count="2">
    <mergeCell ref="J4:K4"/>
    <mergeCell ref="M12:M13"/>
  </mergeCells>
  <conditionalFormatting sqref="F13:I13">
    <cfRule type="expression" dxfId="63" priority="4" stopIfTrue="1">
      <formula>$M$12&lt;&gt;""</formula>
    </cfRule>
  </conditionalFormatting>
  <conditionalFormatting sqref="G17">
    <cfRule type="containsBlanks" dxfId="62" priority="2">
      <formula>LEN(TRIM(G17))=0</formula>
    </cfRule>
  </conditionalFormatting>
  <conditionalFormatting sqref="G19">
    <cfRule type="containsBlanks" dxfId="61" priority="1">
      <formula>LEN(TRIM(G19))=0</formula>
    </cfRule>
  </conditionalFormatting>
  <conditionalFormatting sqref="K13">
    <cfRule type="expression" dxfId="60" priority="3" stopIfTrue="1">
      <formula>$M$12&lt;&gt;""</formula>
    </cfRule>
  </conditionalFormatting>
  <conditionalFormatting sqref="M12">
    <cfRule type="expression" dxfId="59"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workbookViewId="0">
      <selection activeCell="F15" sqref="F15"/>
    </sheetView>
  </sheetViews>
  <sheetFormatPr defaultColWidth="8.796875" defaultRowHeight="13" x14ac:dyDescent="0.3"/>
  <cols>
    <col min="1" max="1" width="1.796875" customWidth="1"/>
    <col min="2" max="2" width="20.296875" customWidth="1"/>
    <col min="3" max="3" width="15.296875" customWidth="1"/>
    <col min="4" max="4" width="20" customWidth="1"/>
    <col min="5" max="5" width="5.19921875" customWidth="1"/>
    <col min="6" max="9" width="15.296875" customWidth="1"/>
    <col min="10" max="10" width="2.69921875" bestFit="1" customWidth="1"/>
    <col min="11" max="13" width="15.296875" customWidth="1"/>
    <col min="14" max="15" width="8.796875" customWidth="1"/>
    <col min="16" max="24" width="8.796875" hidden="1" customWidth="1"/>
    <col min="25" max="25" width="8.796875" customWidth="1"/>
    <col min="26" max="26" width="20.19921875" customWidth="1"/>
    <col min="27" max="27" width="8.796875" customWidth="1"/>
  </cols>
  <sheetData>
    <row r="1" spans="1:27" ht="12.75" customHeight="1" x14ac:dyDescent="0.3">
      <c r="A1" s="71" t="s">
        <v>336</v>
      </c>
      <c r="C1" s="750" t="str">
        <f>'Cover Page'!D1</f>
        <v>Valor Preparatory Academy, LLC</v>
      </c>
      <c r="D1" s="750"/>
      <c r="F1" s="70"/>
      <c r="G1" s="68" t="s">
        <v>331</v>
      </c>
      <c r="H1" s="750" t="str">
        <f>'Cover Page'!M1</f>
        <v>Maricopa</v>
      </c>
      <c r="I1" s="750"/>
      <c r="J1" s="70"/>
      <c r="K1" s="68"/>
      <c r="L1" s="68" t="s">
        <v>592</v>
      </c>
      <c r="M1" s="69" t="str">
        <f>'Cover Page'!R1</f>
        <v>078104000</v>
      </c>
    </row>
    <row r="2" spans="1:27" ht="12.75" customHeight="1" x14ac:dyDescent="0.3">
      <c r="A2" s="70"/>
      <c r="B2" s="70"/>
      <c r="C2" s="70"/>
      <c r="D2" s="70"/>
      <c r="E2" s="70"/>
      <c r="F2" s="70"/>
      <c r="G2" s="70"/>
      <c r="H2" s="70"/>
      <c r="I2" s="70"/>
      <c r="J2" s="70"/>
    </row>
    <row r="3" spans="1:27" ht="12.75" customHeight="1" x14ac:dyDescent="0.3">
      <c r="A3" s="180"/>
      <c r="B3" s="86"/>
      <c r="C3" s="86"/>
      <c r="D3" s="86"/>
      <c r="E3" s="86"/>
      <c r="F3" s="180" t="s">
        <v>0</v>
      </c>
      <c r="G3" s="89" t="s">
        <v>78</v>
      </c>
      <c r="H3" s="768" t="s">
        <v>68</v>
      </c>
      <c r="I3" s="769"/>
      <c r="J3" s="70"/>
    </row>
    <row r="4" spans="1:27" ht="12.75" customHeight="1" x14ac:dyDescent="0.3">
      <c r="A4" s="148" t="s">
        <v>58</v>
      </c>
      <c r="F4" s="94" t="s">
        <v>77</v>
      </c>
      <c r="G4" s="96" t="s">
        <v>648</v>
      </c>
      <c r="H4" s="89"/>
      <c r="I4" s="181"/>
      <c r="J4" s="70"/>
    </row>
    <row r="5" spans="1:27" ht="12.75" customHeight="1" x14ac:dyDescent="0.3">
      <c r="A5" s="114"/>
      <c r="B5" s="2"/>
      <c r="C5" s="2"/>
      <c r="D5" s="2"/>
      <c r="E5" s="2"/>
      <c r="F5" s="94">
        <v>1000</v>
      </c>
      <c r="G5" s="96">
        <v>2000</v>
      </c>
      <c r="H5" s="102" t="s">
        <v>71</v>
      </c>
      <c r="I5" s="103" t="s">
        <v>72</v>
      </c>
      <c r="J5" s="70"/>
    </row>
    <row r="6" spans="1:27" ht="12.75" customHeight="1" x14ac:dyDescent="0.3">
      <c r="A6" s="105" t="s">
        <v>381</v>
      </c>
      <c r="B6" s="86"/>
      <c r="C6" s="86"/>
      <c r="D6" s="86"/>
      <c r="E6" s="182"/>
      <c r="F6" s="183"/>
      <c r="G6" s="183"/>
      <c r="H6" s="772">
        <v>0</v>
      </c>
      <c r="I6" s="774">
        <f>SUM(F7:G7)</f>
        <v>0</v>
      </c>
      <c r="J6" s="184"/>
    </row>
    <row r="7" spans="1:27" ht="12.75" customHeight="1" x14ac:dyDescent="0.3">
      <c r="A7" s="108"/>
      <c r="B7" t="s">
        <v>746</v>
      </c>
      <c r="E7" s="185">
        <v>1</v>
      </c>
      <c r="F7" s="56">
        <v>0</v>
      </c>
      <c r="G7" s="56">
        <v>0</v>
      </c>
      <c r="H7" s="773"/>
      <c r="I7" s="775"/>
      <c r="J7" s="186">
        <v>1</v>
      </c>
      <c r="AA7" s="54" t="str">
        <f>IF(OR(F7="",F8="",F9="",F10="",G7="",G9="",G10="",G23="",G24="",G25="",G26="",G27=""),"yes","")</f>
        <v/>
      </c>
    </row>
    <row r="8" spans="1:27" ht="12.75" customHeight="1" x14ac:dyDescent="0.3">
      <c r="A8" s="108"/>
      <c r="B8" t="s">
        <v>747</v>
      </c>
      <c r="E8" s="187">
        <v>2</v>
      </c>
      <c r="F8" s="56">
        <v>16109</v>
      </c>
      <c r="G8" s="188"/>
      <c r="H8" s="111">
        <v>6894</v>
      </c>
      <c r="I8" s="75">
        <f>SUM(F8:G8)</f>
        <v>16109</v>
      </c>
      <c r="J8" s="186">
        <v>2</v>
      </c>
    </row>
    <row r="9" spans="1:27" ht="12.75" customHeight="1" x14ac:dyDescent="0.3">
      <c r="A9" s="108"/>
      <c r="B9" t="s">
        <v>748</v>
      </c>
      <c r="E9" s="187">
        <v>3</v>
      </c>
      <c r="F9" s="55">
        <v>0</v>
      </c>
      <c r="G9" s="55">
        <v>0</v>
      </c>
      <c r="H9" s="111">
        <v>0</v>
      </c>
      <c r="I9" s="75">
        <f>SUM(F9:G9)</f>
        <v>0</v>
      </c>
      <c r="J9" s="186">
        <v>3</v>
      </c>
    </row>
    <row r="10" spans="1:27" ht="12.75" customHeight="1" x14ac:dyDescent="0.3">
      <c r="A10" s="108"/>
      <c r="B10" t="s">
        <v>749</v>
      </c>
      <c r="E10" s="187">
        <v>4</v>
      </c>
      <c r="F10" s="55">
        <v>0</v>
      </c>
      <c r="G10" s="55">
        <v>0</v>
      </c>
      <c r="H10" s="111">
        <v>0</v>
      </c>
      <c r="I10" s="75">
        <f>SUM(F10:G10)</f>
        <v>0</v>
      </c>
      <c r="J10" s="186">
        <v>4</v>
      </c>
      <c r="K10" s="745" t="str">
        <f>IF('Page 2'!J48=0,"",IF(('Page 4'!I11=0),"If the Charter did not have any expense, verify by checking the box in A18 on the Cover Page.",""))</f>
        <v/>
      </c>
      <c r="L10" s="745"/>
      <c r="M10" s="745"/>
      <c r="N10" s="745"/>
      <c r="O10" s="745"/>
      <c r="P10" s="745"/>
      <c r="Q10" s="745"/>
      <c r="R10" s="745"/>
      <c r="S10" s="745"/>
      <c r="T10" s="745"/>
      <c r="U10" s="745"/>
      <c r="V10" s="745"/>
      <c r="W10" s="745"/>
      <c r="X10" s="745"/>
      <c r="Y10" s="745"/>
      <c r="Z10" s="745"/>
    </row>
    <row r="11" spans="1:27" ht="12.75" customHeight="1" x14ac:dyDescent="0.3">
      <c r="A11" s="114" t="s">
        <v>750</v>
      </c>
      <c r="B11" s="2"/>
      <c r="C11" s="2"/>
      <c r="D11" s="2"/>
      <c r="E11" s="189">
        <v>5</v>
      </c>
      <c r="F11" s="75">
        <f>SUM(F6:F10)</f>
        <v>16109</v>
      </c>
      <c r="G11" s="75">
        <f>SUM(G6:G10)</f>
        <v>0</v>
      </c>
      <c r="H11" s="75">
        <f>SUM(H6:H10)</f>
        <v>6894</v>
      </c>
      <c r="I11" s="75">
        <f>SUM(I6:I10)</f>
        <v>16109</v>
      </c>
      <c r="J11" s="186">
        <v>5</v>
      </c>
      <c r="K11" s="745" t="str">
        <f>IF('Page 2'!J48=0,"",IF(('Page 4'!I11&lt;&gt;'Page 2'!J44),"Total expenses for Instructional Improvement Project on line 5 should agree to the line 35 on page 2.",""))</f>
        <v/>
      </c>
      <c r="L11" s="745"/>
      <c r="M11" s="745"/>
      <c r="N11" s="745"/>
      <c r="O11" s="745"/>
      <c r="P11" s="745"/>
      <c r="Q11" s="745"/>
      <c r="R11" s="745"/>
      <c r="S11" s="745"/>
      <c r="T11" s="745"/>
      <c r="U11" s="745"/>
      <c r="V11" s="745"/>
      <c r="W11" s="745"/>
      <c r="X11" s="745"/>
      <c r="Y11" s="745"/>
      <c r="Z11" s="745"/>
    </row>
    <row r="12" spans="1:27" ht="12.75" customHeight="1" x14ac:dyDescent="0.3">
      <c r="K12" s="74"/>
    </row>
    <row r="13" spans="1:27" ht="12.75" customHeight="1" x14ac:dyDescent="0.3">
      <c r="A13" s="85"/>
      <c r="B13" s="86"/>
      <c r="C13" s="86"/>
      <c r="D13" s="86"/>
      <c r="E13" s="87"/>
      <c r="F13" s="98"/>
    </row>
    <row r="14" spans="1:27" ht="12.75" customHeight="1" x14ac:dyDescent="0.3">
      <c r="A14" s="99" t="s">
        <v>751</v>
      </c>
      <c r="B14" s="2"/>
      <c r="C14" s="2"/>
      <c r="D14" s="2"/>
      <c r="E14" s="100"/>
      <c r="F14" s="190" t="s">
        <v>72</v>
      </c>
    </row>
    <row r="15" spans="1:27" ht="12.75" customHeight="1" x14ac:dyDescent="0.3">
      <c r="A15" s="108" t="s">
        <v>585</v>
      </c>
      <c r="B15" s="70"/>
      <c r="D15" s="191"/>
      <c r="E15" s="192">
        <v>6</v>
      </c>
      <c r="F15" s="111">
        <f>[1]!AddlInstrImprProjEndBal</f>
        <v>0</v>
      </c>
      <c r="G15" s="186">
        <v>6</v>
      </c>
      <c r="I15" s="74"/>
      <c r="J15" s="74"/>
    </row>
    <row r="16" spans="1:27" ht="12.75" customHeight="1" x14ac:dyDescent="0.3">
      <c r="A16" s="193" t="s">
        <v>73</v>
      </c>
      <c r="B16" s="29"/>
      <c r="D16" s="194"/>
      <c r="E16" s="192">
        <v>7</v>
      </c>
      <c r="F16" s="75">
        <v>16109</v>
      </c>
      <c r="G16" s="186">
        <v>7</v>
      </c>
      <c r="I16" s="74"/>
      <c r="J16" s="74"/>
    </row>
    <row r="17" spans="1:12" ht="12.75" customHeight="1" x14ac:dyDescent="0.3">
      <c r="A17" s="193" t="s">
        <v>744</v>
      </c>
      <c r="B17" s="29"/>
      <c r="D17" s="194"/>
      <c r="E17" s="192">
        <v>8</v>
      </c>
      <c r="F17" s="75">
        <f>SUM(F15:F16)</f>
        <v>16109</v>
      </c>
      <c r="G17" s="186">
        <v>8</v>
      </c>
      <c r="I17" s="74"/>
      <c r="J17" s="74"/>
    </row>
    <row r="18" spans="1:12" ht="12.75" customHeight="1" x14ac:dyDescent="0.3">
      <c r="A18" s="193" t="s">
        <v>101</v>
      </c>
      <c r="D18" s="194"/>
      <c r="E18" s="192">
        <v>9</v>
      </c>
      <c r="F18" s="75">
        <f>ActualTotalInstImpExp</f>
        <v>16109</v>
      </c>
      <c r="G18" s="186">
        <v>9</v>
      </c>
      <c r="I18" s="74"/>
      <c r="J18" s="74"/>
    </row>
    <row r="19" spans="1:12" ht="12.75" customHeight="1" x14ac:dyDescent="0.3">
      <c r="A19" s="195" t="s">
        <v>745</v>
      </c>
      <c r="B19" s="2"/>
      <c r="C19" s="2"/>
      <c r="D19" s="196"/>
      <c r="E19" s="197">
        <v>10</v>
      </c>
      <c r="F19" s="75">
        <f>F17-F18</f>
        <v>0</v>
      </c>
      <c r="G19" s="186">
        <v>10</v>
      </c>
    </row>
    <row r="20" spans="1:12" ht="12.75" customHeight="1" x14ac:dyDescent="0.3">
      <c r="A20" s="191"/>
      <c r="D20" s="191"/>
      <c r="E20" s="192"/>
      <c r="F20" s="198"/>
      <c r="G20" s="186"/>
    </row>
    <row r="21" spans="1:12" ht="12.75" customHeight="1" x14ac:dyDescent="0.3">
      <c r="A21" s="85"/>
      <c r="B21" s="86"/>
      <c r="C21" s="86"/>
      <c r="D21" s="199"/>
      <c r="E21" s="200"/>
      <c r="F21" s="201"/>
      <c r="G21" s="201"/>
      <c r="H21" s="186"/>
    </row>
    <row r="22" spans="1:12" ht="12.75" customHeight="1" x14ac:dyDescent="0.3">
      <c r="A22" s="771" t="s">
        <v>865</v>
      </c>
      <c r="B22" s="771"/>
      <c r="C22" s="771"/>
      <c r="D22" s="771"/>
      <c r="E22" s="202"/>
      <c r="F22" s="203" t="s">
        <v>71</v>
      </c>
      <c r="G22" s="203" t="s">
        <v>72</v>
      </c>
      <c r="H22" s="204"/>
    </row>
    <row r="23" spans="1:12" ht="12.75" customHeight="1" x14ac:dyDescent="0.3">
      <c r="A23" s="205"/>
      <c r="B23" s="86" t="s">
        <v>856</v>
      </c>
      <c r="C23" s="86"/>
      <c r="D23" s="206"/>
      <c r="E23" s="207">
        <v>1</v>
      </c>
      <c r="F23" s="208"/>
      <c r="G23" s="58">
        <v>0</v>
      </c>
      <c r="H23" s="209">
        <v>1</v>
      </c>
    </row>
    <row r="24" spans="1:12" ht="12.75" customHeight="1" x14ac:dyDescent="0.3">
      <c r="A24" s="210"/>
      <c r="B24" t="s">
        <v>857</v>
      </c>
      <c r="D24" s="194"/>
      <c r="E24" s="211">
        <v>2</v>
      </c>
      <c r="F24" s="208"/>
      <c r="G24" s="58">
        <v>0</v>
      </c>
      <c r="H24" s="209">
        <v>2</v>
      </c>
    </row>
    <row r="25" spans="1:12" ht="12.75" customHeight="1" x14ac:dyDescent="0.3">
      <c r="A25" s="210"/>
      <c r="B25" t="s">
        <v>858</v>
      </c>
      <c r="D25" s="194"/>
      <c r="E25" s="211">
        <v>3</v>
      </c>
      <c r="F25" s="208"/>
      <c r="G25" s="58">
        <v>0</v>
      </c>
      <c r="H25" s="209">
        <v>3</v>
      </c>
    </row>
    <row r="26" spans="1:12" ht="12.75" customHeight="1" x14ac:dyDescent="0.3">
      <c r="A26" s="210"/>
      <c r="B26" t="s">
        <v>859</v>
      </c>
      <c r="D26" s="194"/>
      <c r="E26" s="211">
        <v>4</v>
      </c>
      <c r="F26" s="208"/>
      <c r="G26" s="58">
        <v>0</v>
      </c>
      <c r="H26" s="209">
        <v>4</v>
      </c>
    </row>
    <row r="27" spans="1:12" ht="12.75" customHeight="1" x14ac:dyDescent="0.3">
      <c r="A27" s="210"/>
      <c r="B27" t="s">
        <v>860</v>
      </c>
      <c r="D27" s="194"/>
      <c r="E27" s="211">
        <v>5</v>
      </c>
      <c r="F27" s="208"/>
      <c r="G27" s="58">
        <v>0</v>
      </c>
      <c r="H27" s="209">
        <v>5</v>
      </c>
    </row>
    <row r="28" spans="1:12" ht="12.75" customHeight="1" x14ac:dyDescent="0.3">
      <c r="A28" s="114" t="s">
        <v>843</v>
      </c>
      <c r="B28" s="2"/>
      <c r="C28" s="2"/>
      <c r="D28" s="2"/>
      <c r="E28" s="212">
        <v>6</v>
      </c>
      <c r="F28" s="111">
        <v>0</v>
      </c>
      <c r="G28" s="75">
        <f>SUM(G23:G27)</f>
        <v>0</v>
      </c>
      <c r="H28" s="209">
        <v>6</v>
      </c>
      <c r="I28" s="70"/>
      <c r="J28" s="70"/>
      <c r="K28" s="70"/>
      <c r="L28" s="70"/>
    </row>
    <row r="29" spans="1:12" ht="12.75" customHeight="1" x14ac:dyDescent="0.3">
      <c r="F29" s="213"/>
      <c r="G29" s="213"/>
      <c r="H29" s="213"/>
      <c r="I29" s="213"/>
      <c r="J29" s="213"/>
      <c r="K29" s="214"/>
      <c r="L29" s="213"/>
    </row>
    <row r="30" spans="1:12" ht="11.25" customHeight="1" x14ac:dyDescent="0.3">
      <c r="A30" s="66"/>
      <c r="D30" s="70"/>
      <c r="F30" s="141"/>
      <c r="G30" s="141"/>
    </row>
    <row r="31" spans="1:12" ht="11.25" customHeight="1" x14ac:dyDescent="0.3">
      <c r="A31" s="1"/>
      <c r="B31" s="215"/>
      <c r="C31" s="215"/>
      <c r="D31" s="216"/>
      <c r="E31" s="215"/>
      <c r="F31" s="217"/>
      <c r="G31" s="218"/>
      <c r="H31" s="219"/>
    </row>
    <row r="32" spans="1:12" ht="11.25" customHeight="1" x14ac:dyDescent="0.3">
      <c r="A32" s="1"/>
      <c r="B32" s="215"/>
      <c r="C32" s="215"/>
      <c r="D32" s="216"/>
      <c r="E32" s="215"/>
      <c r="F32" s="217"/>
      <c r="G32" s="218"/>
      <c r="H32" s="219"/>
    </row>
    <row r="33" spans="1:8" ht="11.25" customHeight="1" x14ac:dyDescent="0.3">
      <c r="A33" s="1"/>
      <c r="B33" s="215"/>
      <c r="C33" s="215"/>
      <c r="D33" s="216"/>
      <c r="E33" s="215"/>
      <c r="F33" s="217"/>
      <c r="G33" s="218"/>
      <c r="H33" s="219"/>
    </row>
    <row r="34" spans="1:8" ht="11.25" customHeight="1" x14ac:dyDescent="0.3">
      <c r="A34" s="1"/>
      <c r="B34" s="215"/>
      <c r="C34" s="215"/>
      <c r="D34" s="216"/>
      <c r="E34" s="215"/>
      <c r="F34" s="217"/>
      <c r="G34" s="218"/>
      <c r="H34" s="219"/>
    </row>
    <row r="35" spans="1:8" ht="11.25" customHeight="1" x14ac:dyDescent="0.3">
      <c r="A35" s="1"/>
      <c r="B35" s="215"/>
      <c r="C35" s="215"/>
      <c r="D35" s="216"/>
      <c r="E35" s="215"/>
      <c r="F35" s="217"/>
      <c r="G35" s="218"/>
      <c r="H35" s="219"/>
    </row>
    <row r="36" spans="1:8" ht="11.25" customHeight="1" x14ac:dyDescent="0.3">
      <c r="A36" s="1"/>
      <c r="D36" s="1"/>
      <c r="F36" s="220"/>
      <c r="G36" s="220"/>
      <c r="H36" s="110"/>
    </row>
  </sheetData>
  <sheetProtection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58" priority="5" stopIfTrue="1">
      <formula>F7=""</formula>
    </cfRule>
  </conditionalFormatting>
  <conditionalFormatting sqref="G23:G27">
    <cfRule type="expression" dxfId="57" priority="4" stopIfTrue="1">
      <formula>G23=""</formula>
    </cfRule>
  </conditionalFormatting>
  <conditionalFormatting sqref="K10:Z10">
    <cfRule type="expression" dxfId="56" priority="1" stopIfTrue="1">
      <formula>$K$10&lt;&gt;""</formula>
    </cfRule>
    <cfRule type="expression" dxfId="55" priority="2" stopIfTrue="1">
      <formula>"K10&lt;&gt;"""""</formula>
    </cfRule>
  </conditionalFormatting>
  <conditionalFormatting sqref="K11:Z11">
    <cfRule type="expression" dxfId="54" priority="6" stopIfTrue="1">
      <formula>$K$11&lt;&gt;""</formula>
    </cfRule>
  </conditionalFormatting>
  <hyperlinks>
    <hyperlink ref="A22:D22" location="ArizonaIndustryCredentialsIncentive" display="Arizona Industry Credentials Incentive Project—detailed expenses" xr:uid="{00000000-0004-0000-0400-000000000000}"/>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workbookViewId="0">
      <selection activeCell="G8" sqref="G8"/>
    </sheetView>
  </sheetViews>
  <sheetFormatPr defaultColWidth="9.296875" defaultRowHeight="13" x14ac:dyDescent="0.3"/>
  <cols>
    <col min="1" max="1" width="1.796875" customWidth="1"/>
    <col min="2" max="2" width="2" customWidth="1"/>
    <col min="3" max="3" width="17" customWidth="1"/>
    <col min="4" max="4" width="24" customWidth="1"/>
    <col min="5" max="5" width="4.296875" bestFit="1" customWidth="1"/>
    <col min="6" max="9" width="12.796875" customWidth="1"/>
    <col min="10" max="10" width="14.796875" customWidth="1"/>
    <col min="11" max="15" width="12.796875" customWidth="1"/>
    <col min="16" max="16" width="3.69921875" bestFit="1" customWidth="1"/>
  </cols>
  <sheetData>
    <row r="1" spans="1:28" ht="12" customHeight="1" x14ac:dyDescent="0.3">
      <c r="A1" s="71" t="s">
        <v>336</v>
      </c>
      <c r="D1" s="750" t="str">
        <f>'Cover Page'!D1</f>
        <v>Valor Preparatory Academy, LLC</v>
      </c>
      <c r="E1" s="750"/>
      <c r="F1" s="70"/>
      <c r="G1" s="70"/>
      <c r="I1" s="68" t="s">
        <v>331</v>
      </c>
      <c r="J1" s="750" t="str">
        <f>'Cover Page'!M1</f>
        <v>Maricopa</v>
      </c>
      <c r="K1" s="750"/>
      <c r="M1" s="68" t="s">
        <v>592</v>
      </c>
      <c r="N1" s="68"/>
      <c r="O1" s="69" t="str">
        <f>'Cover Page'!R1</f>
        <v>078104000</v>
      </c>
    </row>
    <row r="2" spans="1:28" ht="12" customHeight="1" x14ac:dyDescent="0.3">
      <c r="A2" s="82"/>
      <c r="B2" s="82"/>
      <c r="C2" s="82"/>
      <c r="D2" s="82"/>
      <c r="E2" s="82"/>
      <c r="F2" s="82"/>
      <c r="G2" s="82"/>
      <c r="H2" s="82"/>
      <c r="I2" s="82"/>
      <c r="J2" s="82"/>
    </row>
    <row r="3" spans="1:28" ht="12" customHeight="1" x14ac:dyDescent="0.3">
      <c r="A3" s="105"/>
      <c r="B3" s="86"/>
      <c r="C3" s="86"/>
      <c r="D3" s="86"/>
      <c r="E3" s="87"/>
      <c r="F3" s="221" t="s">
        <v>100</v>
      </c>
      <c r="G3" s="87"/>
      <c r="H3" s="89"/>
      <c r="I3" s="222" t="s">
        <v>81</v>
      </c>
      <c r="J3" s="89" t="s">
        <v>80</v>
      </c>
      <c r="K3" s="87"/>
      <c r="L3" s="98"/>
      <c r="M3" s="768" t="s">
        <v>651</v>
      </c>
      <c r="N3" s="787"/>
      <c r="O3" s="89" t="s">
        <v>98</v>
      </c>
    </row>
    <row r="4" spans="1:28" ht="12" customHeight="1" x14ac:dyDescent="0.3">
      <c r="A4" s="116" t="s">
        <v>652</v>
      </c>
      <c r="E4" s="93"/>
      <c r="F4" s="96" t="s">
        <v>653</v>
      </c>
      <c r="G4" s="181" t="s">
        <v>72</v>
      </c>
      <c r="H4" s="96" t="s">
        <v>69</v>
      </c>
      <c r="I4" s="94" t="s">
        <v>647</v>
      </c>
      <c r="J4" s="96" t="s">
        <v>648</v>
      </c>
      <c r="K4" s="181" t="s">
        <v>70</v>
      </c>
      <c r="L4" s="96" t="s">
        <v>82</v>
      </c>
      <c r="M4" s="223"/>
      <c r="O4" s="96" t="s">
        <v>653</v>
      </c>
    </row>
    <row r="5" spans="1:28" ht="12" customHeight="1" x14ac:dyDescent="0.3">
      <c r="A5" s="114"/>
      <c r="B5" s="2"/>
      <c r="C5" s="2"/>
      <c r="D5" s="2"/>
      <c r="E5" s="224"/>
      <c r="F5" s="102" t="s">
        <v>348</v>
      </c>
      <c r="G5" s="225" t="s">
        <v>654</v>
      </c>
      <c r="H5" s="102">
        <v>6100</v>
      </c>
      <c r="I5" s="101">
        <v>6200</v>
      </c>
      <c r="J5" s="102" t="s">
        <v>25</v>
      </c>
      <c r="K5" s="103">
        <v>6600</v>
      </c>
      <c r="L5" s="102">
        <v>6800</v>
      </c>
      <c r="M5" s="226" t="s">
        <v>71</v>
      </c>
      <c r="N5" s="227" t="s">
        <v>72</v>
      </c>
      <c r="O5" s="102" t="s">
        <v>348</v>
      </c>
    </row>
    <row r="6" spans="1:28" ht="11.25" customHeight="1" x14ac:dyDescent="0.3">
      <c r="A6" s="105" t="s">
        <v>786</v>
      </c>
      <c r="B6" s="86"/>
      <c r="C6" s="86"/>
      <c r="D6" s="86"/>
      <c r="F6" s="782"/>
      <c r="G6" s="782"/>
      <c r="H6" s="782"/>
      <c r="I6" s="782"/>
      <c r="J6" s="782"/>
      <c r="K6" s="782"/>
      <c r="L6" s="782"/>
      <c r="M6" s="782"/>
      <c r="N6" s="228"/>
      <c r="O6" s="782"/>
    </row>
    <row r="7" spans="1:28" ht="11.25" customHeight="1" x14ac:dyDescent="0.3">
      <c r="A7" s="148" t="s">
        <v>73</v>
      </c>
      <c r="E7" s="229"/>
      <c r="F7" s="783"/>
      <c r="G7" s="783"/>
      <c r="H7" s="783"/>
      <c r="I7" s="783"/>
      <c r="J7" s="783"/>
      <c r="K7" s="783"/>
      <c r="L7" s="783"/>
      <c r="M7" s="783"/>
      <c r="N7" s="230"/>
      <c r="O7" s="783"/>
      <c r="V7" s="107"/>
    </row>
    <row r="8" spans="1:28" ht="12" customHeight="1" x14ac:dyDescent="0.3">
      <c r="A8" s="148"/>
      <c r="B8" t="s">
        <v>655</v>
      </c>
      <c r="E8" s="229">
        <v>1</v>
      </c>
      <c r="F8" s="231"/>
      <c r="G8" s="75">
        <f>-(SUMIFS('Accounting data'!$G$2:$G$26,'Accounting data'!$H$2:$H$26,"1071*",'Accounting data'!$K$2:$K$26,"32*"))</f>
        <v>0</v>
      </c>
      <c r="H8" s="231"/>
      <c r="I8" s="231"/>
      <c r="J8" s="231"/>
      <c r="K8" s="231"/>
      <c r="L8" s="231"/>
      <c r="M8" s="231"/>
      <c r="N8" s="231"/>
      <c r="O8" s="231"/>
      <c r="P8" s="186">
        <v>1</v>
      </c>
      <c r="V8" s="107"/>
    </row>
    <row r="9" spans="1:28" ht="12" customHeight="1" x14ac:dyDescent="0.3">
      <c r="A9" s="148"/>
      <c r="B9" t="s">
        <v>656</v>
      </c>
      <c r="E9" s="229">
        <v>2</v>
      </c>
      <c r="F9" s="231"/>
      <c r="G9" s="75">
        <f>-(SUMIFS('Accounting data'!$G$2:$G$26,'Accounting data'!$H$2:$H$26,"1071*",'Accounting data'!$K$2:$K$26,"15*"))</f>
        <v>0</v>
      </c>
      <c r="H9" s="231"/>
      <c r="I9" s="231"/>
      <c r="J9" s="231"/>
      <c r="K9" s="231"/>
      <c r="L9" s="231"/>
      <c r="M9" s="231"/>
      <c r="N9" s="231"/>
      <c r="O9" s="231"/>
      <c r="P9" s="186">
        <v>2</v>
      </c>
      <c r="V9" s="107"/>
    </row>
    <row r="10" spans="1:28" ht="12" customHeight="1" x14ac:dyDescent="0.3">
      <c r="A10" s="108" t="s">
        <v>657</v>
      </c>
      <c r="E10" s="229">
        <v>3</v>
      </c>
      <c r="F10" s="231"/>
      <c r="G10" s="75">
        <f>SUM(G8:G9)</f>
        <v>0</v>
      </c>
      <c r="H10" s="232"/>
      <c r="I10" s="232"/>
      <c r="J10" s="232"/>
      <c r="K10" s="232"/>
      <c r="L10" s="232"/>
      <c r="M10" s="231"/>
      <c r="N10" s="231"/>
      <c r="O10" s="231"/>
      <c r="P10" s="186">
        <v>3</v>
      </c>
      <c r="V10" s="107"/>
    </row>
    <row r="11" spans="1:28" ht="11.25" customHeight="1" x14ac:dyDescent="0.3">
      <c r="A11" s="148" t="s">
        <v>58</v>
      </c>
      <c r="E11" s="233"/>
      <c r="F11" s="234"/>
      <c r="G11" s="789"/>
      <c r="H11" s="235"/>
      <c r="I11" s="235"/>
      <c r="J11" s="235"/>
      <c r="K11" s="235"/>
      <c r="L11" s="235"/>
      <c r="M11" s="753">
        <f>[2]!SEIP1071P260F1000</f>
        <v>0</v>
      </c>
      <c r="N11" s="774">
        <f>SUM(H13:L13)</f>
        <v>0</v>
      </c>
      <c r="O11" s="236"/>
      <c r="AB11" s="107"/>
    </row>
    <row r="12" spans="1:28" ht="12" customHeight="1" x14ac:dyDescent="0.3">
      <c r="A12" s="108" t="s">
        <v>658</v>
      </c>
      <c r="F12" s="237"/>
      <c r="G12" s="790"/>
      <c r="H12" s="238"/>
      <c r="I12" s="238"/>
      <c r="J12" s="238"/>
      <c r="K12" s="238"/>
      <c r="L12" s="238"/>
      <c r="M12" s="754"/>
      <c r="N12" s="784"/>
      <c r="O12" s="239"/>
    </row>
    <row r="13" spans="1:28" ht="12" customHeight="1" x14ac:dyDescent="0.3">
      <c r="A13" s="108"/>
      <c r="B13" t="s">
        <v>83</v>
      </c>
      <c r="E13" s="233">
        <v>4</v>
      </c>
      <c r="F13" s="240"/>
      <c r="G13" s="791"/>
      <c r="H13" s="158">
        <f>SUMIFS('Accounting data'!$G$2:$G$26,'Accounting data'!$H$2:$H$26,"1071*",'Accounting data'!$I$2:$I$26,"260*",'Accounting data'!$J$2:$J$26,"1*",'Accounting data'!$K$2:$K$26,"61*")</f>
        <v>0</v>
      </c>
      <c r="I13" s="158">
        <f>SUMIFS('Accounting data'!$G$2:$G$26,'Accounting data'!$H$2:$H$26,"1071*",'Accounting data'!$I$2:$I$26,"260*",'Accounting data'!$J$2:$J$26,"1*",'Accounting data'!$K$2:$K$26,"62*")</f>
        <v>0</v>
      </c>
      <c r="J13" s="158">
        <f>SUMIFS('Accounting data'!$G$2:$G$26,'Accounting data'!$H$2:$H$26,"1071*",'Accounting data'!$I$2:$I$26,"260*",'Accounting data'!$J$2:$J$26,"1*",'Accounting data'!$K$2:$K$26,"63*")</f>
        <v>0</v>
      </c>
      <c r="K13" s="158">
        <f>SUMIFS('Accounting data'!$G$2:$G$26,'Accounting data'!$H$2:$H$26,"1071*",'Accounting data'!$I$2:$I$26,"260*",'Accounting data'!$J$2:$J$26,"1*",'Accounting data'!$K$2:$K$26,"66*")</f>
        <v>0</v>
      </c>
      <c r="L13" s="158">
        <f>SUMIFS('Accounting data'!$G$2:$G$26,'Accounting data'!$H$2:$H$26,"1071*",'Accounting data'!$I$2:$I$26,"260*",'Accounting data'!$J$2:$J$26,"1*",'Accounting data'!$K$2:$K$26,"68*")</f>
        <v>0</v>
      </c>
      <c r="M13" s="754"/>
      <c r="N13" s="784"/>
      <c r="O13" s="241"/>
      <c r="P13" s="186">
        <v>4</v>
      </c>
    </row>
    <row r="14" spans="1:28" ht="12" customHeight="1" x14ac:dyDescent="0.3">
      <c r="A14" s="108"/>
      <c r="B14" t="s">
        <v>659</v>
      </c>
      <c r="F14" s="234"/>
      <c r="G14" s="789"/>
      <c r="H14" s="238"/>
      <c r="I14" s="238"/>
      <c r="J14" s="238"/>
      <c r="K14" s="238"/>
      <c r="L14" s="238"/>
      <c r="M14" s="788">
        <f>[2]!SEIP1071P260F2100</f>
        <v>0</v>
      </c>
      <c r="N14" s="774">
        <f>SUM(H15:L15)</f>
        <v>0</v>
      </c>
      <c r="O14" s="236"/>
    </row>
    <row r="15" spans="1:28" ht="12" customHeight="1" x14ac:dyDescent="0.3">
      <c r="A15" s="108"/>
      <c r="C15" t="s">
        <v>84</v>
      </c>
      <c r="E15" s="229">
        <v>5</v>
      </c>
      <c r="F15" s="240"/>
      <c r="G15" s="791"/>
      <c r="H15" s="158">
        <f>SUMIFS('Accounting data'!$G$2:$G$26,'Accounting data'!$H$2:$H$26,"1071*",'Accounting data'!$I$2:$I$26,"260*",'Accounting data'!$J$2:$J$26,"21*",'Accounting data'!$K$2:$K$26,"61*")</f>
        <v>0</v>
      </c>
      <c r="I15" s="158">
        <f>SUMIFS('Accounting data'!$G$2:$G$26,'Accounting data'!$H$2:$H$26,"1071*",'Accounting data'!$I$2:$I$26,"260*",'Accounting data'!$J$2:$J$26,"21*",'Accounting data'!$K$2:$K$26,"62*")</f>
        <v>0</v>
      </c>
      <c r="J15" s="158">
        <f>SUMIFS('Accounting data'!$G$2:$G$26,'Accounting data'!$H$2:$H$26,"1071*",'Accounting data'!$I$2:$I$26,"260*",'Accounting data'!$J$2:$J$26,"21*",'Accounting data'!$K$2:$K$26,"63*")</f>
        <v>0</v>
      </c>
      <c r="K15" s="158">
        <f>SUMIFS('Accounting data'!$G$2:$G$26,'Accounting data'!$H$2:$H$26,"1071*",'Accounting data'!$I$2:$I$26,"260*",'Accounting data'!$J$2:$J$26,"21*",'Accounting data'!$K$2:$K$26,"66*")</f>
        <v>0</v>
      </c>
      <c r="L15" s="158">
        <f>SUMIFS('Accounting data'!$G$2:$G$26,'Accounting data'!$H$2:$H$26,"1071*",'Accounting data'!$I$2:$I$26,"260*",'Accounting data'!$J$2:$J$26,"21*",'Accounting data'!$K$2:$K$26,"68*")</f>
        <v>0</v>
      </c>
      <c r="M15" s="754"/>
      <c r="N15" s="784"/>
      <c r="O15" s="241"/>
      <c r="P15" s="186">
        <v>5</v>
      </c>
    </row>
    <row r="16" spans="1:28" ht="12" customHeight="1" x14ac:dyDescent="0.3">
      <c r="A16" s="108"/>
      <c r="C16" t="s">
        <v>95</v>
      </c>
      <c r="E16" s="233">
        <v>6</v>
      </c>
      <c r="F16" s="242"/>
      <c r="G16" s="243"/>
      <c r="H16" s="158">
        <f>SUMIFS('Accounting data'!$G$2:$G$26,'Accounting data'!$H$2:$H$26,"1071*",'Accounting data'!$I$2:$I$26,"260*",'Accounting data'!$J$2:$J$26,"22*",'Accounting data'!$K$2:$K$26,"61*")</f>
        <v>0</v>
      </c>
      <c r="I16" s="158">
        <f>SUMIFS('Accounting data'!$G$2:$G$26,'Accounting data'!$H$2:$H$26,"1071*",'Accounting data'!$I$2:$I$26,"260*",'Accounting data'!$J$2:$J$26,"22*",'Accounting data'!$K$2:$K$26,"62*")</f>
        <v>0</v>
      </c>
      <c r="J16" s="158">
        <f>SUMIFS('Accounting data'!$G$2:$G$26,'Accounting data'!$H$2:$H$26,"1071*",'Accounting data'!$I$2:$I$26,"260*",'Accounting data'!$J$2:$J$26,"22*",'Accounting data'!$K$2:$K$26,"63*")</f>
        <v>0</v>
      </c>
      <c r="K16" s="158">
        <f>SUMIFS('Accounting data'!$G$2:$G$26,'Accounting data'!$H$2:$H$26,"1071*",'Accounting data'!$I$2:$I$26,"260*",'Accounting data'!$J$2:$J$26,"22*",'Accounting data'!$K$2:$K$26,"66*")</f>
        <v>0</v>
      </c>
      <c r="L16" s="158">
        <f>SUMIFS('Accounting data'!$G$2:$G$26,'Accounting data'!$H$2:$H$26,"1071*",'Accounting data'!$I$2:$I$26,"260*",'Accounting data'!$J$2:$J$26,"22*",'Accounting data'!$K$2:$K$26,"68*")</f>
        <v>0</v>
      </c>
      <c r="M16" s="111">
        <f>[2]!SEIP1071P260F2200</f>
        <v>0</v>
      </c>
      <c r="N16" s="75">
        <f t="shared" ref="N16:N21" si="0">SUM(H16:L16)</f>
        <v>0</v>
      </c>
      <c r="O16" s="244"/>
      <c r="P16" s="186">
        <v>6</v>
      </c>
    </row>
    <row r="17" spans="1:16" ht="12" customHeight="1" x14ac:dyDescent="0.3">
      <c r="A17" s="108"/>
      <c r="C17" t="s">
        <v>660</v>
      </c>
      <c r="E17" s="229">
        <v>7</v>
      </c>
      <c r="F17" s="242"/>
      <c r="G17" s="243"/>
      <c r="H17" s="75">
        <f>SUMIFS('Accounting data'!$G$2:$G$26,'Accounting data'!$H$2:$H$26,"1071*",'Accounting data'!$I$2:$I$26,"260*",'Accounting data'!$J$2:$J$26,"23*",'Accounting data'!$K$2:$K$26,"61*")</f>
        <v>0</v>
      </c>
      <c r="I17" s="75">
        <f>SUMIFS('Accounting data'!$G$2:$G$26,'Accounting data'!$H$2:$H$26,"1071*",'Accounting data'!$I$2:$I$26,"260*",'Accounting data'!$J$2:$J$26,"23*",'Accounting data'!$K$2:$K$26,"62*")</f>
        <v>0</v>
      </c>
      <c r="J17" s="75">
        <f>SUMIFS('Accounting data'!$G$2:$G$26,'Accounting data'!$H$2:$H$26,"1071*",'Accounting data'!$I$2:$I$26,"260*",'Accounting data'!$J$2:$J$26,"23*",'Accounting data'!$K$2:$K$26,"63*")</f>
        <v>0</v>
      </c>
      <c r="K17" s="75">
        <f>SUMIFS('Accounting data'!$G$2:$G$26,'Accounting data'!$H$2:$H$26,"1071*",'Accounting data'!$I$2:$I$26,"260*",'Accounting data'!$J$2:$J$26,"23*",'Accounting data'!$K$2:$K$26,"66*")</f>
        <v>0</v>
      </c>
      <c r="L17" s="75">
        <f>SUMIFS('Accounting data'!$G$2:$G$26,'Accounting data'!$H$2:$H$26,"1071*",'Accounting data'!$I$2:$I$26,"260*",'Accounting data'!$J$2:$J$26,"23*",'Accounting data'!$K$2:$K$26,"68*")</f>
        <v>0</v>
      </c>
      <c r="M17" s="111">
        <f>[2]!SEIP1071P260F2300</f>
        <v>0</v>
      </c>
      <c r="N17" s="75">
        <f t="shared" si="0"/>
        <v>0</v>
      </c>
      <c r="O17" s="244"/>
      <c r="P17" s="186">
        <v>7</v>
      </c>
    </row>
    <row r="18" spans="1:16" ht="12" customHeight="1" x14ac:dyDescent="0.3">
      <c r="A18" s="108"/>
      <c r="C18" t="s">
        <v>661</v>
      </c>
      <c r="E18" s="229">
        <v>8</v>
      </c>
      <c r="F18" s="242"/>
      <c r="G18" s="243"/>
      <c r="H18" s="75">
        <f>SUMIFS('Accounting data'!$G$2:$G$26,'Accounting data'!$H$2:$H$26,"1071*",'Accounting data'!$I$2:$I$26,"260*",'Accounting data'!$J$2:$J$26,"24*",'Accounting data'!$K$2:$K$26,"61*")</f>
        <v>0</v>
      </c>
      <c r="I18" s="75">
        <f>SUMIFS('Accounting data'!$G$2:$G$26,'Accounting data'!$H$2:$H$26,"1071*",'Accounting data'!$I$2:$I$26,"260*",'Accounting data'!$J$2:$J$26,"24*",'Accounting data'!$K$2:$K$26,"62*")</f>
        <v>0</v>
      </c>
      <c r="J18" s="75">
        <f>SUMIFS('Accounting data'!$G$2:$G$26,'Accounting data'!$H$2:$H$26,"1071*",'Accounting data'!$I$2:$I$26,"260*",'Accounting data'!$J$2:$J$26,"24*",'Accounting data'!$K$2:$K$26,"63*")</f>
        <v>0</v>
      </c>
      <c r="K18" s="75">
        <f>SUMIFS('Accounting data'!$G$2:$G$26,'Accounting data'!$H$2:$H$26,"1071*",'Accounting data'!$I$2:$I$26,"260*",'Accounting data'!$J$2:$J$26,"24*",'Accounting data'!$K$2:$K$26,"66*")</f>
        <v>0</v>
      </c>
      <c r="L18" s="75">
        <f>SUMIFS('Accounting data'!$G$2:$G$26,'Accounting data'!$H$2:$H$26,"1071*",'Accounting data'!$I$2:$I$26,"260*",'Accounting data'!$J$2:$J$26,"24*",'Accounting data'!$K$2:$K$26,"68*")</f>
        <v>0</v>
      </c>
      <c r="M18" s="111">
        <f>[2]!SEIP1071P260F2400</f>
        <v>0</v>
      </c>
      <c r="N18" s="75">
        <f t="shared" si="0"/>
        <v>0</v>
      </c>
      <c r="O18" s="244"/>
      <c r="P18" s="186">
        <v>8</v>
      </c>
    </row>
    <row r="19" spans="1:16" ht="12" customHeight="1" x14ac:dyDescent="0.3">
      <c r="A19" s="108"/>
      <c r="C19" t="s">
        <v>338</v>
      </c>
      <c r="E19" s="229">
        <v>9</v>
      </c>
      <c r="F19" s="242"/>
      <c r="G19" s="243"/>
      <c r="H19" s="75">
        <f>SUMIFS('Accounting data'!$G$2:$G$26,'Accounting data'!$H$2:$H$26,"1071*",'Accounting data'!$I$2:$I$26,"260*",'Accounting data'!$J$2:$J$26,"25*",'Accounting data'!$K$2:$K$26,"61*")</f>
        <v>0</v>
      </c>
      <c r="I19" s="75">
        <f>SUMIFS('Accounting data'!$G$2:$G$26,'Accounting data'!$H$2:$H$26,"1071*",'Accounting data'!$I$2:$I$26,"260*",'Accounting data'!$J$2:$J$26,"25*",'Accounting data'!$K$2:$K$26,"62*")</f>
        <v>0</v>
      </c>
      <c r="J19" s="75">
        <f>SUMIFS('Accounting data'!$G$2:$G$26,'Accounting data'!$H$2:$H$26,"1071*",'Accounting data'!$I$2:$I$26,"260*",'Accounting data'!$J$2:$J$26,"25*",'Accounting data'!$K$2:$K$26,"63*")</f>
        <v>0</v>
      </c>
      <c r="K19" s="75">
        <f>SUMIFS('Accounting data'!$G$2:$G$26,'Accounting data'!$H$2:$H$26,"1071*",'Accounting data'!$I$2:$I$26,"260*",'Accounting data'!$J$2:$J$26,"25*",'Accounting data'!$K$2:$K$26,"66*")</f>
        <v>0</v>
      </c>
      <c r="L19" s="75">
        <f>SUMIFS('Accounting data'!$G$2:$G$26,'Accounting data'!$H$2:$H$26,"1071*",'Accounting data'!$I$2:$I$26,"260*",'Accounting data'!$J$2:$J$26,"25*",'Accounting data'!$K$2:$K$26,"68*")</f>
        <v>0</v>
      </c>
      <c r="M19" s="111">
        <f>[2]!SEIP1071P260F2500</f>
        <v>0</v>
      </c>
      <c r="N19" s="75">
        <f t="shared" si="0"/>
        <v>0</v>
      </c>
      <c r="O19" s="244"/>
      <c r="P19" s="186">
        <v>9</v>
      </c>
    </row>
    <row r="20" spans="1:16" ht="12" customHeight="1" x14ac:dyDescent="0.3">
      <c r="A20" s="108"/>
      <c r="C20" t="s">
        <v>662</v>
      </c>
      <c r="E20" s="229">
        <v>10</v>
      </c>
      <c r="F20" s="242"/>
      <c r="G20" s="243"/>
      <c r="H20" s="75">
        <f>SUMIFS('Accounting data'!$G$2:$G$26,'Accounting data'!$H$2:$H$26,"1071*",'Accounting data'!$I$2:$I$26,"260*",'Accounting data'!$J$2:$J$26,"26*",'Accounting data'!$K$2:$K$26,"61*")</f>
        <v>0</v>
      </c>
      <c r="I20" s="75">
        <f>SUMIFS('Accounting data'!$G$2:$G$26,'Accounting data'!$H$2:$H$26,"1071*",'Accounting data'!$I$2:$I$26,"260*",'Accounting data'!$J$2:$J$26,"26*",'Accounting data'!$K$2:$K$26,"62*")</f>
        <v>0</v>
      </c>
      <c r="J20" s="75">
        <f>SUMIFS('Accounting data'!$G$2:$G$26,'Accounting data'!$H$2:$H$26,"1071*",'Accounting data'!$I$2:$I$26,"260*",'Accounting data'!$J$2:$J$26,"26*",'Accounting data'!$K$2:$K$26,"63*")</f>
        <v>0</v>
      </c>
      <c r="K20" s="75">
        <f>SUMIFS('Accounting data'!$G$2:$G$26,'Accounting data'!$H$2:$H$26,"1071*",'Accounting data'!$I$2:$I$26,"260*",'Accounting data'!$J$2:$J$26,"26*",'Accounting data'!$K$2:$K$26,"66*")</f>
        <v>0</v>
      </c>
      <c r="L20" s="75">
        <f>SUMIFS('Accounting data'!$G$2:$G$26,'Accounting data'!$H$2:$H$26,"1071*",'Accounting data'!$I$2:$I$26,"260*",'Accounting data'!$J$2:$J$26,"26*",'Accounting data'!$K$2:$K$26,"68*")</f>
        <v>0</v>
      </c>
      <c r="M20" s="111">
        <f>[2]!SEIP1071P260F2600</f>
        <v>0</v>
      </c>
      <c r="N20" s="75">
        <f t="shared" si="0"/>
        <v>0</v>
      </c>
      <c r="O20" s="244"/>
      <c r="P20" s="186">
        <v>10</v>
      </c>
    </row>
    <row r="21" spans="1:16" ht="12" customHeight="1" x14ac:dyDescent="0.3">
      <c r="A21" s="108"/>
      <c r="C21" t="s">
        <v>663</v>
      </c>
      <c r="E21" s="229">
        <v>11</v>
      </c>
      <c r="F21" s="242"/>
      <c r="G21" s="243"/>
      <c r="H21" s="75">
        <f>SUMIFS('Accounting data'!$G$2:$G$26,'Accounting data'!$H$2:$H$26,"1071*",'Accounting data'!$I$2:$I$26,"260*",'Accounting data'!$J$2:$J$26,"29*",'Accounting data'!$K$2:$K$26,"61*")</f>
        <v>0</v>
      </c>
      <c r="I21" s="75">
        <f>SUMIFS('Accounting data'!$G$2:$G$26,'Accounting data'!$H$2:$H$26,"1071*",'Accounting data'!$I$2:$I$26,"260*",'Accounting data'!$J$2:$J$26,"29*",'Accounting data'!$K$2:$K$26,"62*")</f>
        <v>0</v>
      </c>
      <c r="J21" s="75">
        <f>SUMIFS('Accounting data'!$G$2:$G$26,'Accounting data'!$H$2:$H$26,"1071*",'Accounting data'!$I$2:$I$26,"260*",'Accounting data'!$J$2:$J$26,"29*",'Accounting data'!$K$2:$K$26,"63*")</f>
        <v>0</v>
      </c>
      <c r="K21" s="75">
        <f>SUMIFS('Accounting data'!$G$2:$G$26,'Accounting data'!$H$2:$H$26,"1071*",'Accounting data'!$I$2:$I$26,"260*",'Accounting data'!$J$2:$J$26,"29*",'Accounting data'!$K$2:$K$26,"66*")</f>
        <v>0</v>
      </c>
      <c r="L21" s="75">
        <f>SUMIFS('Accounting data'!$G$2:$G$26,'Accounting data'!$H$2:$H$26,"1071*",'Accounting data'!$I$2:$I$26,"260*",'Accounting data'!$J$2:$J$26,"29*",'Accounting data'!$K$2:$K$26,"68*")</f>
        <v>0</v>
      </c>
      <c r="M21" s="111">
        <f>[2]!SEIP1071P260F2900</f>
        <v>0</v>
      </c>
      <c r="N21" s="75">
        <f t="shared" si="0"/>
        <v>0</v>
      </c>
      <c r="O21" s="244"/>
      <c r="P21" s="186">
        <v>11</v>
      </c>
    </row>
    <row r="22" spans="1:16" ht="12" customHeight="1" x14ac:dyDescent="0.3">
      <c r="A22" s="114"/>
      <c r="B22" s="2" t="s">
        <v>664</v>
      </c>
      <c r="C22" s="2"/>
      <c r="D22" s="2"/>
      <c r="E22" s="224">
        <v>12</v>
      </c>
      <c r="F22" s="242"/>
      <c r="G22" s="245"/>
      <c r="H22" s="75">
        <f t="shared" ref="H22:N22" si="1">SUM(H11:H21)</f>
        <v>0</v>
      </c>
      <c r="I22" s="75">
        <f t="shared" si="1"/>
        <v>0</v>
      </c>
      <c r="J22" s="75">
        <f t="shared" si="1"/>
        <v>0</v>
      </c>
      <c r="K22" s="75">
        <f t="shared" si="1"/>
        <v>0</v>
      </c>
      <c r="L22" s="75">
        <f t="shared" si="1"/>
        <v>0</v>
      </c>
      <c r="M22" s="111">
        <f t="shared" si="1"/>
        <v>0</v>
      </c>
      <c r="N22" s="75">
        <f t="shared" si="1"/>
        <v>0</v>
      </c>
      <c r="O22" s="244"/>
      <c r="P22" s="246">
        <v>12</v>
      </c>
    </row>
    <row r="23" spans="1:16" ht="12" customHeight="1" x14ac:dyDescent="0.3">
      <c r="A23" s="108" t="s">
        <v>665</v>
      </c>
      <c r="E23" s="229"/>
      <c r="F23" s="234"/>
      <c r="G23" s="789"/>
      <c r="H23" s="793">
        <f>SUMIFS('Accounting data'!$G$2:$G$26,'Accounting data'!$H$2:$H$26,"1071*",'Accounting data'!$I$2:$I$26,"43*",'Accounting data'!$J$2:$J$26,"27*",'Accounting data'!$K$2:$K$26,"61*")</f>
        <v>0</v>
      </c>
      <c r="I23" s="796">
        <f>SUMIFS('Accounting data'!$G$2:$G$26,'Accounting data'!$H$2:$H$26,"1071*",'Accounting data'!$I$2:$I$26,"43*",'Accounting data'!$J$2:$J$26,"27*",'Accounting data'!$K$2:$K$26,"62*")</f>
        <v>0</v>
      </c>
      <c r="J23" s="796">
        <f>SUMIFS('Accounting data'!$G$2:$G$26,'Accounting data'!$H$2:$H$26,"1071*",'Accounting data'!$I$2:$I$26,"43*",'Accounting data'!$J$2:$J$26,"27*",'Accounting data'!$K$2:$K$26,"63*")</f>
        <v>0</v>
      </c>
      <c r="K23" s="796">
        <f>SUMIFS('Accounting data'!$G$2:$G$26,'Accounting data'!$H$2:$H$26,"1071*",'Accounting data'!$I$2:$I$26,"43*",'Accounting data'!$J$2:$J$26,"27*",'Accounting data'!$K$2:$K$26,"66*")</f>
        <v>0</v>
      </c>
      <c r="L23" s="796">
        <f>SUMIFS('Accounting data'!$G$2:$G$26,'Accounting data'!$H$2:$H$26,"1071*",'Accounting data'!$I$2:$I$26,"43*",'Accounting data'!$J$2:$J$26,"27*",'Accounting data'!$K$2:$K$26,"68*")</f>
        <v>0</v>
      </c>
      <c r="M23" s="753">
        <f>[2]!SEIP1071P430F2700</f>
        <v>0</v>
      </c>
      <c r="N23" s="774">
        <f>SUM(H25:L25)</f>
        <v>0</v>
      </c>
      <c r="O23" s="236"/>
      <c r="P23" s="186"/>
    </row>
    <row r="24" spans="1:16" ht="12" customHeight="1" x14ac:dyDescent="0.3">
      <c r="A24" s="108"/>
      <c r="B24" t="s">
        <v>659</v>
      </c>
      <c r="E24" s="229"/>
      <c r="F24" s="237"/>
      <c r="G24" s="790"/>
      <c r="H24" s="793"/>
      <c r="I24" s="797"/>
      <c r="J24" s="797"/>
      <c r="K24" s="797"/>
      <c r="L24" s="797"/>
      <c r="M24" s="766"/>
      <c r="N24" s="792"/>
      <c r="O24" s="239"/>
      <c r="P24" s="186"/>
    </row>
    <row r="25" spans="1:16" ht="12" customHeight="1" x14ac:dyDescent="0.3">
      <c r="A25" s="108"/>
      <c r="C25" t="s">
        <v>666</v>
      </c>
      <c r="E25" s="229">
        <v>13</v>
      </c>
      <c r="F25" s="240"/>
      <c r="G25" s="791"/>
      <c r="H25" s="793"/>
      <c r="I25" s="798"/>
      <c r="J25" s="798"/>
      <c r="K25" s="798"/>
      <c r="L25" s="798"/>
      <c r="M25" s="781"/>
      <c r="N25" s="792"/>
      <c r="O25" s="241"/>
      <c r="P25" s="246">
        <v>13</v>
      </c>
    </row>
    <row r="26" spans="1:16" ht="12" customHeight="1" x14ac:dyDescent="0.3">
      <c r="A26" s="120" t="s">
        <v>123</v>
      </c>
      <c r="B26" s="121"/>
      <c r="C26" s="121"/>
      <c r="D26" s="121"/>
      <c r="E26" s="247">
        <v>14</v>
      </c>
      <c r="F26" s="111">
        <f>[1]!SEIP1071EndBal</f>
        <v>0</v>
      </c>
      <c r="G26" s="75">
        <f>G10</f>
        <v>0</v>
      </c>
      <c r="H26" s="75">
        <f>SUM(H22:H24)</f>
        <v>0</v>
      </c>
      <c r="I26" s="75">
        <f>SUM(I22:I24)</f>
        <v>0</v>
      </c>
      <c r="J26" s="75">
        <f>SUM(J22:J24)</f>
        <v>0</v>
      </c>
      <c r="K26" s="75">
        <f>SUM(K22:K24)</f>
        <v>0</v>
      </c>
      <c r="L26" s="75">
        <f>SUM(L22:L24)</f>
        <v>0</v>
      </c>
      <c r="M26" s="75">
        <f t="shared" ref="M26:N26" si="2">SUM(M22:M25)</f>
        <v>0</v>
      </c>
      <c r="N26" s="75">
        <f t="shared" si="2"/>
        <v>0</v>
      </c>
      <c r="O26" s="75">
        <f>F26+G26-N26</f>
        <v>0</v>
      </c>
      <c r="P26" s="246">
        <v>14</v>
      </c>
    </row>
    <row r="27" spans="1:16" ht="9" customHeight="1" x14ac:dyDescent="0.3">
      <c r="A27" s="776"/>
      <c r="B27" s="776"/>
      <c r="C27" s="776"/>
      <c r="D27" s="776"/>
      <c r="E27" s="776"/>
      <c r="F27" s="776"/>
      <c r="G27" s="776"/>
      <c r="H27" s="776"/>
      <c r="I27" s="776"/>
      <c r="J27" s="777"/>
      <c r="K27" s="777"/>
      <c r="L27" s="777"/>
    </row>
    <row r="28" spans="1:16" ht="11.25" customHeight="1" x14ac:dyDescent="0.3">
      <c r="A28" s="105" t="s">
        <v>667</v>
      </c>
      <c r="B28" s="86"/>
      <c r="C28" s="86"/>
      <c r="D28" s="86"/>
      <c r="E28" s="248"/>
      <c r="F28" s="785"/>
      <c r="G28" s="785"/>
      <c r="H28" s="785"/>
      <c r="I28" s="785"/>
      <c r="J28" s="785"/>
      <c r="K28" s="785"/>
      <c r="L28" s="794"/>
      <c r="M28" s="794"/>
      <c r="N28" s="794"/>
      <c r="O28" s="785"/>
    </row>
    <row r="29" spans="1:16" ht="11.25" customHeight="1" x14ac:dyDescent="0.3">
      <c r="A29" s="148" t="s">
        <v>73</v>
      </c>
      <c r="E29" s="229"/>
      <c r="F29" s="786"/>
      <c r="G29" s="795"/>
      <c r="H29" s="795"/>
      <c r="I29" s="795"/>
      <c r="J29" s="795"/>
      <c r="K29" s="795"/>
      <c r="L29" s="794"/>
      <c r="M29" s="794"/>
      <c r="N29" s="794"/>
      <c r="O29" s="786"/>
    </row>
    <row r="30" spans="1:16" ht="12" customHeight="1" x14ac:dyDescent="0.3">
      <c r="A30" s="148"/>
      <c r="B30" t="s">
        <v>655</v>
      </c>
      <c r="E30" s="229">
        <v>15</v>
      </c>
      <c r="F30" s="231"/>
      <c r="G30" s="75">
        <f>-(SUMIFS('Accounting data'!$G$2:$G$26,'Accounting data'!$H$2:$H$26,"1072*",'Accounting data'!$K$2:$K$26,"32*"))</f>
        <v>0</v>
      </c>
      <c r="H30" s="231"/>
      <c r="I30" s="231"/>
      <c r="J30" s="231"/>
      <c r="K30" s="231"/>
      <c r="L30" s="249"/>
      <c r="M30" s="231"/>
      <c r="N30" s="231"/>
      <c r="O30" s="231"/>
      <c r="P30" s="246">
        <v>15</v>
      </c>
    </row>
    <row r="31" spans="1:16" ht="12" customHeight="1" x14ac:dyDescent="0.3">
      <c r="A31" s="148"/>
      <c r="B31" t="s">
        <v>656</v>
      </c>
      <c r="E31" s="229">
        <v>16</v>
      </c>
      <c r="F31" s="231"/>
      <c r="G31" s="75">
        <f>-(SUMIFS('Accounting data'!$G$2:$G$26,'Accounting data'!$H$2:$H$26,"1072*",'Accounting data'!$K$2:$K$26,"15*"))</f>
        <v>0</v>
      </c>
      <c r="H31" s="231"/>
      <c r="I31" s="231"/>
      <c r="J31" s="231"/>
      <c r="K31" s="231"/>
      <c r="L31" s="231"/>
      <c r="M31" s="231"/>
      <c r="N31" s="231"/>
      <c r="O31" s="231"/>
      <c r="P31" s="246">
        <v>16</v>
      </c>
    </row>
    <row r="32" spans="1:16" ht="12" customHeight="1" x14ac:dyDescent="0.3">
      <c r="A32" s="108" t="s">
        <v>668</v>
      </c>
      <c r="E32" s="229">
        <v>17</v>
      </c>
      <c r="F32" s="232"/>
      <c r="G32" s="75">
        <f>SUM(G30:G31)</f>
        <v>0</v>
      </c>
      <c r="H32" s="232"/>
      <c r="I32" s="232"/>
      <c r="J32" s="232"/>
      <c r="K32" s="232"/>
      <c r="L32" s="232"/>
      <c r="M32" s="232"/>
      <c r="N32" s="232"/>
      <c r="O32" s="232"/>
      <c r="P32" s="246">
        <v>17</v>
      </c>
    </row>
    <row r="33" spans="1:16" ht="11.25" customHeight="1" x14ac:dyDescent="0.3">
      <c r="A33" s="148" t="s">
        <v>58</v>
      </c>
      <c r="E33" s="233"/>
      <c r="F33" s="234"/>
      <c r="G33" s="250"/>
      <c r="H33" s="183"/>
      <c r="I33" s="183"/>
      <c r="J33" s="183"/>
      <c r="K33" s="183"/>
      <c r="L33" s="183"/>
      <c r="M33" s="753">
        <f>[2]!CIP1072P265F1000</f>
        <v>0</v>
      </c>
      <c r="N33" s="774">
        <f>SUM(H35:L35)</f>
        <v>0</v>
      </c>
      <c r="O33" s="234"/>
    </row>
    <row r="34" spans="1:16" ht="12" customHeight="1" x14ac:dyDescent="0.3">
      <c r="A34" s="108" t="s">
        <v>669</v>
      </c>
      <c r="E34" s="233"/>
      <c r="F34" s="237"/>
      <c r="G34" s="251"/>
      <c r="H34" s="238"/>
      <c r="I34" s="238"/>
      <c r="J34" s="238"/>
      <c r="K34" s="238"/>
      <c r="L34" s="238"/>
      <c r="M34" s="754"/>
      <c r="N34" s="784"/>
      <c r="O34" s="237"/>
    </row>
    <row r="35" spans="1:16" ht="12" customHeight="1" x14ac:dyDescent="0.3">
      <c r="A35" s="108"/>
      <c r="B35" t="s">
        <v>83</v>
      </c>
      <c r="E35" s="233">
        <v>18</v>
      </c>
      <c r="F35" s="240"/>
      <c r="G35" s="252"/>
      <c r="H35" s="158">
        <f>SUMIFS('Accounting data'!$G$2:$G$26,'Accounting data'!$H$2:$H$26,"1072*",'Accounting data'!$I$2:$I$26,"265*",'Accounting data'!$J$2:$J$26,"1*",'Accounting data'!$K$2:$K$26,"61*")</f>
        <v>0</v>
      </c>
      <c r="I35" s="158">
        <f>SUMIFS('Accounting data'!$G$2:$G$26,'Accounting data'!$H$2:$H$26,"1072*",'Accounting data'!$I$2:$I$26,"265*",'Accounting data'!$J$2:$J$26,"1*",'Accounting data'!$K$2:$K$26,"62*")</f>
        <v>0</v>
      </c>
      <c r="J35" s="158">
        <f>SUMIFS('Accounting data'!$G$2:$G$26,'Accounting data'!$H$2:$H$26,"1072*",'Accounting data'!$I$2:$I$26,"265*",'Accounting data'!$J$2:$J$26,"1*",'Accounting data'!$K$2:$K$26,"63*")</f>
        <v>0</v>
      </c>
      <c r="K35" s="158">
        <f>SUMIFS('Accounting data'!$G$2:$G$26,'Accounting data'!$H$2:$H$26,"1072*",'Accounting data'!$I$2:$I$26,"265*",'Accounting data'!$J$2:$J$26,"1*",'Accounting data'!$K$2:$K$26,"66*")</f>
        <v>0</v>
      </c>
      <c r="L35" s="158">
        <f>SUMIFS('Accounting data'!$G$2:$G$26,'Accounting data'!$H$2:$H$26,"1072*",'Accounting data'!$I$2:$I$26,"265*",'Accounting data'!$J$2:$J$26,"1*",'Accounting data'!$K$2:$K$26,"68*")</f>
        <v>0</v>
      </c>
      <c r="M35" s="754"/>
      <c r="N35" s="784"/>
      <c r="O35" s="240"/>
      <c r="P35" s="246">
        <v>18</v>
      </c>
    </row>
    <row r="36" spans="1:16" ht="12" customHeight="1" x14ac:dyDescent="0.3">
      <c r="A36" s="108"/>
      <c r="B36" t="s">
        <v>659</v>
      </c>
      <c r="E36" s="229"/>
      <c r="F36" s="234"/>
      <c r="G36" s="790"/>
      <c r="H36" s="235"/>
      <c r="I36" s="235"/>
      <c r="J36" s="235"/>
      <c r="K36" s="235"/>
      <c r="L36" s="235"/>
      <c r="M36" s="753">
        <f>[2]!CIP1072P265F2100</f>
        <v>0</v>
      </c>
      <c r="N36" s="774">
        <f>SUM(H37:L37)</f>
        <v>0</v>
      </c>
      <c r="O36" s="234"/>
      <c r="P36" s="246"/>
    </row>
    <row r="37" spans="1:16" ht="12" customHeight="1" x14ac:dyDescent="0.3">
      <c r="A37" s="108"/>
      <c r="C37" t="s">
        <v>84</v>
      </c>
      <c r="E37" s="229">
        <v>19</v>
      </c>
      <c r="F37" s="240"/>
      <c r="G37" s="790"/>
      <c r="H37" s="158">
        <f>SUMIFS('Accounting data'!$G$2:$G$26,'Accounting data'!$H$2:$H$26,"1072*",'Accounting data'!$I$2:$I$26,"265*",'Accounting data'!$J$2:$J$26,"21*",'Accounting data'!$K$2:$K$26,"61*")</f>
        <v>0</v>
      </c>
      <c r="I37" s="158">
        <f>SUMIFS('Accounting data'!$G$2:$G$26,'Accounting data'!$H$2:$H$26,"1072*",'Accounting data'!$I$2:$I$26,"265*",'Accounting data'!$J$2:$J$26,"21*",'Accounting data'!$K$2:$K$26,"62*")</f>
        <v>0</v>
      </c>
      <c r="J37" s="158">
        <f>SUMIFS('Accounting data'!$G$2:$G$26,'Accounting data'!$H$2:$H$26,"1072*",'Accounting data'!$I$2:$I$26,"265*",'Accounting data'!$J$2:$J$26,"21*",'Accounting data'!$K$2:$K$26,"63*")</f>
        <v>0</v>
      </c>
      <c r="K37" s="158">
        <f>SUMIFS('Accounting data'!$G$2:$G$26,'Accounting data'!$H$2:$H$26,"1072*",'Accounting data'!$I$2:$I$26,"265*",'Accounting data'!$J$2:$J$26,"21*",'Accounting data'!$K$2:$K$26,"66*")</f>
        <v>0</v>
      </c>
      <c r="L37" s="158">
        <f>SUMIFS('Accounting data'!$G$2:$G$26,'Accounting data'!$H$2:$H$26,"1072*",'Accounting data'!$I$2:$I$26,"265*",'Accounting data'!$J$2:$J$26,"21*",'Accounting data'!$K$2:$K$26,"68*")</f>
        <v>0</v>
      </c>
      <c r="M37" s="781"/>
      <c r="N37" s="775"/>
      <c r="O37" s="240"/>
      <c r="P37" s="246">
        <v>19</v>
      </c>
    </row>
    <row r="38" spans="1:16" ht="12" customHeight="1" x14ac:dyDescent="0.3">
      <c r="A38" s="108"/>
      <c r="C38" t="s">
        <v>95</v>
      </c>
      <c r="E38" s="229">
        <v>20</v>
      </c>
      <c r="F38" s="242"/>
      <c r="G38" s="243"/>
      <c r="H38" s="75">
        <f>SUMIFS('Accounting data'!$G$2:$G$26,'Accounting data'!$H$2:$H$26,"1072*",'Accounting data'!$I$2:$I$26,"265*",'Accounting data'!$J$2:$J$26,"22*",'Accounting data'!$K$2:$K$26,"61*")</f>
        <v>0</v>
      </c>
      <c r="I38" s="75">
        <f>SUMIFS('Accounting data'!$G$2:$G$26,'Accounting data'!$H$2:$H$26,"1072*",'Accounting data'!$I$2:$I$26,"265*",'Accounting data'!$J$2:$J$26,"22*",'Accounting data'!$K$2:$K$26,"62*")</f>
        <v>0</v>
      </c>
      <c r="J38" s="75">
        <f>SUMIFS('Accounting data'!$G$2:$G$26,'Accounting data'!$H$2:$H$26,"1072*",'Accounting data'!$I$2:$I$26,"265*",'Accounting data'!$J$2:$J$26,"22*",'Accounting data'!$K$2:$K$26,"63*")</f>
        <v>0</v>
      </c>
      <c r="K38" s="75">
        <f>SUMIFS('Accounting data'!$G$2:$G$26,'Accounting data'!$H$2:$H$26,"1072*",'Accounting data'!$I$2:$I$26,"265*",'Accounting data'!$J$2:$J$26,"22*",'Accounting data'!$K$2:$K$26,"66*")</f>
        <v>0</v>
      </c>
      <c r="L38" s="75">
        <f>SUMIFS('Accounting data'!$G$2:$G$26,'Accounting data'!$H$2:$H$26,"1072*",'Accounting data'!$I$2:$I$26,"265*",'Accounting data'!$J$2:$J$26,"22*",'Accounting data'!$K$2:$K$26,"68*")</f>
        <v>0</v>
      </c>
      <c r="M38" s="111">
        <f>[2]!CIP1072P265F2200</f>
        <v>0</v>
      </c>
      <c r="N38" s="75">
        <f t="shared" ref="N38:N43" si="3">SUM(H38:L38)</f>
        <v>0</v>
      </c>
      <c r="O38" s="242"/>
      <c r="P38" s="246">
        <v>20</v>
      </c>
    </row>
    <row r="39" spans="1:16" ht="12" customHeight="1" x14ac:dyDescent="0.3">
      <c r="A39" s="108"/>
      <c r="C39" t="s">
        <v>660</v>
      </c>
      <c r="E39" s="229">
        <v>21</v>
      </c>
      <c r="F39" s="242"/>
      <c r="G39" s="243"/>
      <c r="H39" s="75">
        <f>SUMIFS('Accounting data'!$G$2:$G$26,'Accounting data'!$H$2:$H$26,"1072*",'Accounting data'!$I$2:$I$26,"265*",'Accounting data'!$J$2:$J$26,"23*",'Accounting data'!$K$2:$K$26,"61*")</f>
        <v>0</v>
      </c>
      <c r="I39" s="75">
        <f>SUMIFS('Accounting data'!$G$2:$G$26,'Accounting data'!$H$2:$H$26,"1072*",'Accounting data'!$I$2:$I$26,"265*",'Accounting data'!$J$2:$J$26,"23*",'Accounting data'!$K$2:$K$26,"62*")</f>
        <v>0</v>
      </c>
      <c r="J39" s="75">
        <f>SUMIFS('Accounting data'!$G$2:$G$26,'Accounting data'!$H$2:$H$26,"1072*",'Accounting data'!$I$2:$I$26,"265*",'Accounting data'!$J$2:$J$26,"23*",'Accounting data'!$K$2:$K$26,"63*")</f>
        <v>0</v>
      </c>
      <c r="K39" s="75">
        <f>SUMIFS('Accounting data'!$G$2:$G$26,'Accounting data'!$H$2:$H$26,"1072*",'Accounting data'!$I$2:$I$26,"265*",'Accounting data'!$J$2:$J$26,"23*",'Accounting data'!$K$2:$K$26,"66*")</f>
        <v>0</v>
      </c>
      <c r="L39" s="75">
        <f>SUMIFS('Accounting data'!$G$2:$G$26,'Accounting data'!$H$2:$H$26,"1072*",'Accounting data'!$I$2:$I$26,"265*",'Accounting data'!$J$2:$J$26,"23*",'Accounting data'!$K$2:$K$26,"68*")</f>
        <v>0</v>
      </c>
      <c r="M39" s="111">
        <f>[2]!CIP1072P265F2300</f>
        <v>0</v>
      </c>
      <c r="N39" s="75">
        <f t="shared" si="3"/>
        <v>0</v>
      </c>
      <c r="O39" s="242"/>
      <c r="P39" s="246">
        <v>21</v>
      </c>
    </row>
    <row r="40" spans="1:16" ht="12" customHeight="1" x14ac:dyDescent="0.3">
      <c r="A40" s="108"/>
      <c r="C40" t="s">
        <v>661</v>
      </c>
      <c r="E40" s="229">
        <v>22</v>
      </c>
      <c r="F40" s="242"/>
      <c r="G40" s="243"/>
      <c r="H40" s="75">
        <f>SUMIFS('Accounting data'!$G$2:$G$26,'Accounting data'!$H$2:$H$26,"1072*",'Accounting data'!$I$2:$I$26,"265*",'Accounting data'!$J$2:$J$26,"24*",'Accounting data'!$K$2:$K$26,"61*")</f>
        <v>0</v>
      </c>
      <c r="I40" s="75">
        <f>SUMIFS('Accounting data'!$G$2:$G$26,'Accounting data'!$H$2:$H$26,"1072*",'Accounting data'!$I$2:$I$26,"265*",'Accounting data'!$J$2:$J$26,"24*",'Accounting data'!$K$2:$K$26,"62*")</f>
        <v>0</v>
      </c>
      <c r="J40" s="75">
        <f>SUMIFS('Accounting data'!$G$2:$G$26,'Accounting data'!$H$2:$H$26,"1072*",'Accounting data'!$I$2:$I$26,"265*",'Accounting data'!$J$2:$J$26,"24*",'Accounting data'!$K$2:$K$26,"63*")</f>
        <v>0</v>
      </c>
      <c r="K40" s="75">
        <f>SUMIFS('Accounting data'!$G$2:$G$26,'Accounting data'!$H$2:$H$26,"1072*",'Accounting data'!$I$2:$I$26,"265*",'Accounting data'!$J$2:$J$26,"24*",'Accounting data'!$K$2:$K$26,"66*")</f>
        <v>0</v>
      </c>
      <c r="L40" s="75">
        <f>SUMIFS('Accounting data'!$G$2:$G$26,'Accounting data'!$H$2:$H$26,"1072*",'Accounting data'!$I$2:$I$26,"265*",'Accounting data'!$J$2:$J$26,"24*",'Accounting data'!$K$2:$K$26,"68*")</f>
        <v>0</v>
      </c>
      <c r="M40" s="111">
        <f>[2]!CIP1072P265F2400</f>
        <v>0</v>
      </c>
      <c r="N40" s="75">
        <f t="shared" si="3"/>
        <v>0</v>
      </c>
      <c r="O40" s="242"/>
      <c r="P40" s="246">
        <v>22</v>
      </c>
    </row>
    <row r="41" spans="1:16" ht="12" customHeight="1" x14ac:dyDescent="0.3">
      <c r="A41" s="108"/>
      <c r="C41" t="s">
        <v>338</v>
      </c>
      <c r="E41" s="229">
        <v>23</v>
      </c>
      <c r="F41" s="242"/>
      <c r="G41" s="243"/>
      <c r="H41" s="75">
        <f>SUMIFS('Accounting data'!$G$2:$G$26,'Accounting data'!$H$2:$H$26,"1072*",'Accounting data'!$I$2:$I$26,"265*",'Accounting data'!$J$2:$J$26,"25*",'Accounting data'!$K$2:$K$26,"61*")</f>
        <v>0</v>
      </c>
      <c r="I41" s="75">
        <f>SUMIFS('Accounting data'!$G$2:$G$26,'Accounting data'!$H$2:$H$26,"1072*",'Accounting data'!$I$2:$I$26,"265*",'Accounting data'!$J$2:$J$26,"25*",'Accounting data'!$K$2:$K$26,"62*")</f>
        <v>0</v>
      </c>
      <c r="J41" s="75">
        <f>SUMIFS('Accounting data'!$G$2:$G$26,'Accounting data'!$H$2:$H$26,"1072*",'Accounting data'!$I$2:$I$26,"265*",'Accounting data'!$J$2:$J$26,"25*",'Accounting data'!$K$2:$K$26,"63*")</f>
        <v>0</v>
      </c>
      <c r="K41" s="75">
        <f>SUMIFS('Accounting data'!$G$2:$G$26,'Accounting data'!$H$2:$H$26,"1072*",'Accounting data'!$I$2:$I$26,"265*",'Accounting data'!$J$2:$J$26,"25*",'Accounting data'!$K$2:$K$26,"66*")</f>
        <v>0</v>
      </c>
      <c r="L41" s="75">
        <f>SUMIFS('Accounting data'!$G$2:$G$26,'Accounting data'!$H$2:$H$26,"1072*",'Accounting data'!$I$2:$I$26,"265*",'Accounting data'!$J$2:$J$26,"25*",'Accounting data'!$K$2:$K$26,"68*")</f>
        <v>0</v>
      </c>
      <c r="M41" s="111">
        <f>[2]!CIP1072P265F2500</f>
        <v>0</v>
      </c>
      <c r="N41" s="75">
        <f t="shared" si="3"/>
        <v>0</v>
      </c>
      <c r="O41" s="242"/>
      <c r="P41" s="246">
        <v>23</v>
      </c>
    </row>
    <row r="42" spans="1:16" ht="12" customHeight="1" x14ac:dyDescent="0.3">
      <c r="A42" s="108"/>
      <c r="C42" t="s">
        <v>662</v>
      </c>
      <c r="E42" s="229">
        <v>24</v>
      </c>
      <c r="F42" s="242"/>
      <c r="G42" s="243"/>
      <c r="H42" s="75">
        <f>SUMIFS('Accounting data'!$G$2:$G$26,'Accounting data'!$H$2:$H$26,"1072*",'Accounting data'!$I$2:$I$26,"265*",'Accounting data'!$J$2:$J$26,"26*",'Accounting data'!$K$2:$K$26,"61*")</f>
        <v>0</v>
      </c>
      <c r="I42" s="75">
        <f>SUMIFS('Accounting data'!$G$2:$G$26,'Accounting data'!$H$2:$H$26,"1072*",'Accounting data'!$I$2:$I$26,"265*",'Accounting data'!$J$2:$J$26,"26*",'Accounting data'!$K$2:$K$26,"62*")</f>
        <v>0</v>
      </c>
      <c r="J42" s="75">
        <f>SUMIFS('Accounting data'!$G$2:$G$26,'Accounting data'!$H$2:$H$26,"1072*",'Accounting data'!$I$2:$I$26,"265*",'Accounting data'!$J$2:$J$26,"26*",'Accounting data'!$K$2:$K$26,"63*")</f>
        <v>0</v>
      </c>
      <c r="K42" s="75">
        <f>SUMIFS('Accounting data'!$G$2:$G$26,'Accounting data'!$H$2:$H$26,"1072*",'Accounting data'!$I$2:$I$26,"265*",'Accounting data'!$J$2:$J$26,"26*",'Accounting data'!$K$2:$K$26,"66*")</f>
        <v>0</v>
      </c>
      <c r="L42" s="75">
        <f>SUMIFS('Accounting data'!$G$2:$G$26,'Accounting data'!$H$2:$H$26,"1072*",'Accounting data'!$I$2:$I$26,"265*",'Accounting data'!$J$2:$J$26,"26*",'Accounting data'!$K$2:$K$26,"68*")</f>
        <v>0</v>
      </c>
      <c r="M42" s="111">
        <f>[2]!CIP1072P265F2600</f>
        <v>0</v>
      </c>
      <c r="N42" s="75">
        <f t="shared" si="3"/>
        <v>0</v>
      </c>
      <c r="O42" s="242"/>
      <c r="P42" s="246">
        <v>24</v>
      </c>
    </row>
    <row r="43" spans="1:16" ht="12" customHeight="1" x14ac:dyDescent="0.3">
      <c r="A43" s="108"/>
      <c r="C43" t="s">
        <v>663</v>
      </c>
      <c r="E43" s="229">
        <v>25</v>
      </c>
      <c r="F43" s="242"/>
      <c r="G43" s="243"/>
      <c r="H43" s="75">
        <f>SUMIFS('Accounting data'!$G$2:$G$26,'Accounting data'!$H$2:$H$26,"1072*",'Accounting data'!$I$2:$I$26,"265*",'Accounting data'!$J$2:$J$26,"29*",'Accounting data'!$K$2:$K$26,"61*")</f>
        <v>0</v>
      </c>
      <c r="I43" s="75">
        <f>SUMIFS('Accounting data'!$G$2:$G$26,'Accounting data'!$H$2:$H$26,"1072*",'Accounting data'!$I$2:$I$26,"265*",'Accounting data'!$J$2:$J$26,"29*",'Accounting data'!$K$2:$K$26,"62*")</f>
        <v>0</v>
      </c>
      <c r="J43" s="75">
        <f>SUMIFS('Accounting data'!$G$2:$G$26,'Accounting data'!$H$2:$H$26,"1072*",'Accounting data'!$I$2:$I$26,"265*",'Accounting data'!$J$2:$J$26,"29*",'Accounting data'!$K$2:$K$26,"63*")</f>
        <v>0</v>
      </c>
      <c r="K43" s="75">
        <f>SUMIFS('Accounting data'!$G$2:$G$26,'Accounting data'!$H$2:$H$26,"1072*",'Accounting data'!$I$2:$I$26,"265*",'Accounting data'!$J$2:$J$26,"29*",'Accounting data'!$K$2:$K$26,"66*")</f>
        <v>0</v>
      </c>
      <c r="L43" s="75">
        <f>SUMIFS('Accounting data'!$G$2:$G$26,'Accounting data'!$H$2:$H$26,"1072*",'Accounting data'!$I$2:$I$26,"265*",'Accounting data'!$J$2:$J$26,"29*",'Accounting data'!$K$2:$K$26,"68*")</f>
        <v>0</v>
      </c>
      <c r="M43" s="111">
        <f>[2]!CIP1072P265F2900</f>
        <v>0</v>
      </c>
      <c r="N43" s="75">
        <f t="shared" si="3"/>
        <v>0</v>
      </c>
      <c r="O43" s="242"/>
      <c r="P43" s="246">
        <v>25</v>
      </c>
    </row>
    <row r="44" spans="1:16" ht="12" customHeight="1" x14ac:dyDescent="0.3">
      <c r="A44" s="114"/>
      <c r="B44" s="2" t="s">
        <v>670</v>
      </c>
      <c r="C44" s="2"/>
      <c r="D44" s="2"/>
      <c r="E44" s="224">
        <v>26</v>
      </c>
      <c r="F44" s="242"/>
      <c r="G44" s="243"/>
      <c r="H44" s="253">
        <f t="shared" ref="H44:N44" si="4">SUM(H33:H43)</f>
        <v>0</v>
      </c>
      <c r="I44" s="253">
        <f t="shared" si="4"/>
        <v>0</v>
      </c>
      <c r="J44" s="253">
        <f t="shared" si="4"/>
        <v>0</v>
      </c>
      <c r="K44" s="253">
        <f t="shared" si="4"/>
        <v>0</v>
      </c>
      <c r="L44" s="253">
        <f t="shared" si="4"/>
        <v>0</v>
      </c>
      <c r="M44" s="75">
        <f t="shared" si="4"/>
        <v>0</v>
      </c>
      <c r="N44" s="75">
        <f t="shared" si="4"/>
        <v>0</v>
      </c>
      <c r="O44" s="242"/>
      <c r="P44" s="246">
        <v>26</v>
      </c>
    </row>
    <row r="45" spans="1:16" ht="12" customHeight="1" x14ac:dyDescent="0.3">
      <c r="A45" s="108" t="s">
        <v>671</v>
      </c>
      <c r="E45" s="229"/>
      <c r="F45" s="234"/>
      <c r="G45" s="789"/>
      <c r="H45" s="183"/>
      <c r="I45" s="183"/>
      <c r="J45" s="183"/>
      <c r="K45" s="183"/>
      <c r="L45" s="183"/>
      <c r="M45" s="778">
        <f>[2]!CIP1072P435F2700</f>
        <v>0</v>
      </c>
      <c r="N45" s="778">
        <f>SUM(H47:L47)</f>
        <v>0</v>
      </c>
      <c r="O45" s="234"/>
      <c r="P45" s="246"/>
    </row>
    <row r="46" spans="1:16" ht="12" customHeight="1" x14ac:dyDescent="0.3">
      <c r="A46" s="108"/>
      <c r="B46" t="s">
        <v>659</v>
      </c>
      <c r="E46" s="229"/>
      <c r="F46" s="237"/>
      <c r="G46" s="790"/>
      <c r="H46" s="238"/>
      <c r="I46" s="238"/>
      <c r="J46" s="238"/>
      <c r="K46" s="238"/>
      <c r="L46" s="238"/>
      <c r="M46" s="779"/>
      <c r="N46" s="779"/>
      <c r="O46" s="237"/>
      <c r="P46" s="246"/>
    </row>
    <row r="47" spans="1:16" ht="12" customHeight="1" x14ac:dyDescent="0.3">
      <c r="A47" s="108"/>
      <c r="C47" t="s">
        <v>666</v>
      </c>
      <c r="E47" s="229">
        <v>27</v>
      </c>
      <c r="F47" s="237"/>
      <c r="G47" s="790"/>
      <c r="H47" s="158">
        <f>SUMIFS('Accounting data'!$G$2:$G$26,'Accounting data'!$H$2:$H$26,"1072*",'Accounting data'!$I$2:$I$26,"435*",'Accounting data'!$J$2:$J$26,"27*",'Accounting data'!$K$2:$K$26,"61*")</f>
        <v>0</v>
      </c>
      <c r="I47" s="158">
        <f>SUMIFS('Accounting data'!$G$2:$G$26,'Accounting data'!$H$2:$H$26,"1072*",'Accounting data'!$I$2:$I$26,"435*",'Accounting data'!$J$2:$J$26,"27*",'Accounting data'!$K$2:$K$26,"62*")</f>
        <v>0</v>
      </c>
      <c r="J47" s="158">
        <f>SUMIFS('Accounting data'!$G$2:$G$26,'Accounting data'!$H$2:$H$26,"1072*",'Accounting data'!$I$2:$I$26,"435*",'Accounting data'!$J$2:$J$26,"27*",'Accounting data'!$K$2:$K$26,"63*")</f>
        <v>0</v>
      </c>
      <c r="K47" s="158">
        <f>SUMIFS('Accounting data'!$G$2:$G$26,'Accounting data'!$H$2:$H$26,"1072*",'Accounting data'!$I$2:$I$26,"435*",'Accounting data'!$J$2:$J$26,"27*",'Accounting data'!$K$2:$K$26,"66*")</f>
        <v>0</v>
      </c>
      <c r="L47" s="158">
        <f>SUMIFS('Accounting data'!$G$2:$G$26,'Accounting data'!$H$2:$H$26,"1072*",'Accounting data'!$I$2:$I$26,"435*",'Accounting data'!$J$2:$J$26,"27*",'Accounting data'!$K$2:$K$26,"68*")</f>
        <v>0</v>
      </c>
      <c r="M47" s="780"/>
      <c r="N47" s="780"/>
      <c r="O47" s="237"/>
      <c r="P47" s="246">
        <v>27</v>
      </c>
    </row>
    <row r="48" spans="1:16" ht="12" customHeight="1" x14ac:dyDescent="0.3">
      <c r="A48" s="120" t="s">
        <v>124</v>
      </c>
      <c r="B48" s="121"/>
      <c r="C48" s="121"/>
      <c r="D48" s="121"/>
      <c r="E48" s="247">
        <v>28</v>
      </c>
      <c r="F48" s="111">
        <f>[1]!CIP1072EndBal</f>
        <v>0</v>
      </c>
      <c r="G48" s="75">
        <f>G32</f>
        <v>0</v>
      </c>
      <c r="H48" s="158">
        <f t="shared" ref="H48:N48" si="5">SUM(H44:H47)</f>
        <v>0</v>
      </c>
      <c r="I48" s="158">
        <f t="shared" si="5"/>
        <v>0</v>
      </c>
      <c r="J48" s="158">
        <f t="shared" si="5"/>
        <v>0</v>
      </c>
      <c r="K48" s="158">
        <f t="shared" si="5"/>
        <v>0</v>
      </c>
      <c r="L48" s="158">
        <f t="shared" si="5"/>
        <v>0</v>
      </c>
      <c r="M48" s="75">
        <f t="shared" si="5"/>
        <v>0</v>
      </c>
      <c r="N48" s="75">
        <f t="shared" si="5"/>
        <v>0</v>
      </c>
      <c r="O48" s="75">
        <f>F48+G48-N48</f>
        <v>0</v>
      </c>
      <c r="P48" s="246">
        <v>28</v>
      </c>
    </row>
  </sheetData>
  <sheetProtection sheet="1" formatCells="0" formatColumns="0" formatRows="0"/>
  <mergeCells count="4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 ref="M6:M7"/>
    <mergeCell ref="O6:O7"/>
    <mergeCell ref="G11:G13"/>
    <mergeCell ref="G23:G25"/>
    <mergeCell ref="M11:M13"/>
    <mergeCell ref="N11:N13"/>
    <mergeCell ref="G14:G15"/>
    <mergeCell ref="G6:G7"/>
    <mergeCell ref="K6:K7"/>
    <mergeCell ref="L6:L7"/>
    <mergeCell ref="N23:N25"/>
    <mergeCell ref="M23:M25"/>
    <mergeCell ref="H23:H2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1"/>
  <sheetViews>
    <sheetView showGridLines="0" workbookViewId="0">
      <selection activeCell="M20" sqref="M20:O20"/>
    </sheetView>
  </sheetViews>
  <sheetFormatPr defaultColWidth="9.296875" defaultRowHeight="13" x14ac:dyDescent="0.3"/>
  <cols>
    <col min="1" max="1" width="3.796875" customWidth="1"/>
    <col min="2" max="2" width="33.296875" customWidth="1"/>
    <col min="3" max="3" width="2" customWidth="1"/>
    <col min="4" max="4" width="16" customWidth="1"/>
    <col min="5" max="5" width="3" customWidth="1"/>
    <col min="6" max="6" width="12.796875" customWidth="1"/>
    <col min="7" max="7" width="13" customWidth="1"/>
    <col min="8" max="9" width="3.796875" customWidth="1"/>
    <col min="10" max="10" width="2.296875" customWidth="1"/>
    <col min="11" max="11" width="11" customWidth="1"/>
    <col min="12" max="12" width="18.69921875" customWidth="1"/>
    <col min="13" max="13" width="6.296875" customWidth="1"/>
    <col min="14" max="14" width="5.296875" customWidth="1"/>
    <col min="15" max="15" width="7.296875" customWidth="1"/>
    <col min="16" max="16" width="6.796875" customWidth="1"/>
    <col min="17" max="17" width="9" customWidth="1"/>
    <col min="18" max="18" width="15.796875" customWidth="1"/>
    <col min="19" max="19" width="15" customWidth="1"/>
    <col min="20" max="20" width="15.296875" customWidth="1"/>
    <col min="21" max="21" width="12.796875" customWidth="1"/>
    <col min="22" max="22" width="15.796875" customWidth="1"/>
    <col min="23" max="23" width="9.296875" customWidth="1"/>
  </cols>
  <sheetData>
    <row r="1" spans="1:50" ht="12" customHeight="1" x14ac:dyDescent="0.3">
      <c r="A1" s="71" t="s">
        <v>336</v>
      </c>
      <c r="C1" s="750" t="str">
        <f>'Cover Page'!D1</f>
        <v>Valor Preparatory Academy, LLC</v>
      </c>
      <c r="D1" s="750"/>
      <c r="E1" s="750"/>
      <c r="F1" s="750"/>
      <c r="H1" t="s">
        <v>0</v>
      </c>
      <c r="I1" s="71" t="s">
        <v>331</v>
      </c>
      <c r="L1" s="67" t="str">
        <f>'Cover Page'!M1</f>
        <v>Maricopa</v>
      </c>
      <c r="T1" s="68" t="s">
        <v>592</v>
      </c>
      <c r="U1" s="254" t="str">
        <f>'Cover Page'!R1</f>
        <v>078104000</v>
      </c>
    </row>
    <row r="2" spans="1:50" hidden="1" x14ac:dyDescent="0.3">
      <c r="T2" s="82"/>
      <c r="U2" s="82"/>
    </row>
    <row r="3" spans="1:50" x14ac:dyDescent="0.3">
      <c r="V3" s="191"/>
      <c r="AE3" s="1"/>
      <c r="AF3" s="1"/>
      <c r="AG3" s="1"/>
      <c r="AH3" s="1"/>
      <c r="AI3" s="1"/>
      <c r="AJ3" s="1"/>
      <c r="AK3" s="1"/>
      <c r="AL3" s="1"/>
      <c r="AM3" s="1"/>
      <c r="AN3" s="1"/>
      <c r="AO3" s="1"/>
      <c r="AP3" s="1"/>
      <c r="AQ3" s="1"/>
      <c r="AR3" s="1"/>
      <c r="AS3" s="1"/>
      <c r="AT3" s="1"/>
      <c r="AU3" s="1"/>
      <c r="AV3" s="1"/>
      <c r="AW3" s="1"/>
      <c r="AX3" s="1"/>
    </row>
    <row r="4" spans="1:50" x14ac:dyDescent="0.3">
      <c r="A4" s="255" t="s">
        <v>340</v>
      </c>
      <c r="B4" s="82"/>
      <c r="C4" s="82"/>
      <c r="D4" s="82"/>
      <c r="E4" s="82"/>
      <c r="F4" s="82"/>
      <c r="G4" s="82"/>
      <c r="H4" s="82"/>
      <c r="I4" s="82"/>
      <c r="J4" s="82"/>
      <c r="K4" s="82"/>
      <c r="L4" s="82"/>
      <c r="M4" s="82"/>
      <c r="N4" s="82"/>
      <c r="O4" s="82"/>
      <c r="P4" s="82"/>
      <c r="Q4" s="82"/>
      <c r="R4" s="82"/>
      <c r="S4" s="82"/>
      <c r="T4" s="82"/>
      <c r="U4" s="82"/>
      <c r="AE4" s="1"/>
      <c r="AF4" s="1"/>
      <c r="AG4" s="1"/>
      <c r="AH4" s="1"/>
      <c r="AI4" s="1"/>
      <c r="AJ4" s="1"/>
      <c r="AK4" s="1"/>
      <c r="AL4" s="1"/>
      <c r="AM4" s="1"/>
      <c r="AN4" s="1"/>
      <c r="AO4" s="1"/>
      <c r="AP4" s="1"/>
      <c r="AQ4" s="1"/>
      <c r="AR4" s="1"/>
      <c r="AS4" s="1"/>
      <c r="AT4" s="1"/>
      <c r="AU4" s="1"/>
      <c r="AV4" s="1"/>
      <c r="AW4" s="1"/>
      <c r="AX4" s="1"/>
    </row>
    <row r="5" spans="1:50" x14ac:dyDescent="0.3">
      <c r="D5" s="256" t="s">
        <v>1147</v>
      </c>
      <c r="F5" s="256" t="s">
        <v>1148</v>
      </c>
      <c r="AE5" s="1"/>
      <c r="AF5" s="1"/>
      <c r="AG5" s="1"/>
      <c r="AH5" s="1"/>
      <c r="AI5" s="1"/>
      <c r="AJ5" s="1"/>
      <c r="AK5" s="1"/>
      <c r="AL5" s="1"/>
      <c r="AM5" s="1"/>
      <c r="AN5" s="1"/>
      <c r="AO5" s="1"/>
      <c r="AP5" s="1"/>
      <c r="AQ5" s="1"/>
      <c r="AR5" s="1"/>
      <c r="AS5" s="1"/>
      <c r="AT5" s="1"/>
      <c r="AU5" s="1"/>
      <c r="AV5" s="1"/>
      <c r="AW5" s="1"/>
      <c r="AX5" s="1"/>
    </row>
    <row r="6" spans="1:50" x14ac:dyDescent="0.3">
      <c r="A6" t="s">
        <v>28</v>
      </c>
      <c r="B6" t="s">
        <v>339</v>
      </c>
      <c r="C6" s="3" t="s">
        <v>29</v>
      </c>
      <c r="D6" s="257">
        <v>474603</v>
      </c>
      <c r="E6" s="3" t="s">
        <v>29</v>
      </c>
      <c r="F6" s="62">
        <v>417589</v>
      </c>
      <c r="I6" t="s">
        <v>76</v>
      </c>
      <c r="J6" s="258" t="s">
        <v>1</v>
      </c>
      <c r="K6" s="259" t="s">
        <v>672</v>
      </c>
      <c r="L6" s="260"/>
      <c r="M6" s="261"/>
      <c r="N6" s="260"/>
      <c r="O6" s="261"/>
      <c r="P6" s="260"/>
      <c r="Q6" s="261"/>
      <c r="T6" s="27">
        <v>5</v>
      </c>
      <c r="U6" s="745"/>
      <c r="V6" s="745"/>
      <c r="W6" s="745"/>
      <c r="X6" s="745"/>
      <c r="Y6" s="745"/>
      <c r="Z6" s="745"/>
      <c r="AA6" s="745"/>
      <c r="AE6" s="1"/>
      <c r="AF6" s="1"/>
      <c r="AG6" s="1"/>
      <c r="AH6" s="1"/>
      <c r="AI6" s="1"/>
      <c r="AJ6" s="1"/>
      <c r="AK6" s="1"/>
      <c r="AL6" s="1"/>
      <c r="AM6" s="1"/>
      <c r="AN6" s="1"/>
      <c r="AO6" s="1"/>
      <c r="AP6" s="1"/>
      <c r="AQ6" s="1"/>
      <c r="AR6" s="1"/>
      <c r="AS6" s="1"/>
      <c r="AT6" s="1"/>
      <c r="AU6" s="1"/>
      <c r="AV6" s="1"/>
      <c r="AW6" s="1"/>
      <c r="AX6" s="1"/>
    </row>
    <row r="7" spans="1:50" x14ac:dyDescent="0.3">
      <c r="D7" s="263"/>
      <c r="F7" s="263"/>
      <c r="J7" s="258" t="s">
        <v>2</v>
      </c>
      <c r="K7" s="259" t="s">
        <v>673</v>
      </c>
      <c r="L7" s="260"/>
      <c r="M7" s="261"/>
      <c r="N7" s="260"/>
      <c r="O7" s="261"/>
      <c r="P7" s="260"/>
      <c r="Q7" s="261"/>
      <c r="T7" s="27">
        <v>0</v>
      </c>
      <c r="AA7" s="264"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3">
      <c r="A8" t="s">
        <v>31</v>
      </c>
      <c r="B8" s="259" t="s">
        <v>341</v>
      </c>
      <c r="C8" s="3"/>
      <c r="E8" s="3"/>
      <c r="F8" s="166" t="s">
        <v>71</v>
      </c>
      <c r="G8" s="166" t="s">
        <v>72</v>
      </c>
      <c r="J8" s="258" t="s">
        <v>3</v>
      </c>
      <c r="K8" s="259" t="s">
        <v>674</v>
      </c>
      <c r="L8" s="260"/>
      <c r="M8" s="261"/>
      <c r="N8" s="260"/>
      <c r="O8" s="261"/>
      <c r="P8" s="260"/>
      <c r="Q8" s="261"/>
      <c r="T8" s="30">
        <v>0</v>
      </c>
      <c r="AA8" s="264" t="str">
        <f>IF(OR(T6="",T7="",T8="",T9="",T10="",T11="",T12="",T13="",T29=""),"yes","")</f>
        <v/>
      </c>
      <c r="AE8" s="1"/>
      <c r="AF8" s="1"/>
      <c r="AG8" s="1"/>
      <c r="AH8" s="1"/>
      <c r="AI8" s="1"/>
      <c r="AJ8" s="1"/>
      <c r="AK8" s="1"/>
      <c r="AL8" s="1"/>
      <c r="AM8" s="1"/>
      <c r="AN8" s="1"/>
      <c r="AO8" s="1"/>
      <c r="AP8" s="1"/>
      <c r="AQ8" s="1"/>
      <c r="AR8" s="1"/>
      <c r="AS8" s="1"/>
      <c r="AT8" s="1"/>
      <c r="AU8" s="1"/>
      <c r="AV8" s="1"/>
      <c r="AW8" s="1"/>
      <c r="AX8" s="1"/>
    </row>
    <row r="9" spans="1:50" x14ac:dyDescent="0.3">
      <c r="B9" t="s">
        <v>342</v>
      </c>
      <c r="C9" s="3"/>
      <c r="E9" s="3"/>
      <c r="F9" s="58">
        <v>13000</v>
      </c>
      <c r="G9" s="58">
        <v>15000</v>
      </c>
      <c r="J9" s="265" t="s">
        <v>4</v>
      </c>
      <c r="K9" t="s">
        <v>675</v>
      </c>
      <c r="T9" s="28">
        <v>1</v>
      </c>
      <c r="AA9" s="264"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35">
      <c r="B10" t="s">
        <v>59</v>
      </c>
      <c r="F10" s="61">
        <v>0</v>
      </c>
      <c r="G10" s="61">
        <v>0</v>
      </c>
      <c r="J10" s="265" t="s">
        <v>5</v>
      </c>
      <c r="K10" t="s">
        <v>676</v>
      </c>
      <c r="T10" s="27">
        <v>181</v>
      </c>
      <c r="AA10" s="264"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35">
      <c r="B11" t="s">
        <v>63</v>
      </c>
      <c r="F11" s="267">
        <f>SUM(F9:F10)</f>
        <v>13000</v>
      </c>
      <c r="G11" s="267">
        <f>SUM(G9:G10)</f>
        <v>15000</v>
      </c>
      <c r="J11" s="110" t="s">
        <v>6</v>
      </c>
      <c r="K11" t="s">
        <v>677</v>
      </c>
      <c r="S11" s="3" t="s">
        <v>29</v>
      </c>
      <c r="T11" s="28">
        <v>0</v>
      </c>
      <c r="AE11" s="1"/>
      <c r="AF11" s="1"/>
      <c r="AG11" s="1"/>
      <c r="AH11" s="1"/>
      <c r="AI11" s="1"/>
      <c r="AJ11" s="1"/>
      <c r="AK11" s="1"/>
      <c r="AL11" s="1"/>
      <c r="AM11" s="1"/>
      <c r="AN11" s="1"/>
      <c r="AO11" s="1"/>
      <c r="AP11" s="1"/>
      <c r="AQ11" s="1"/>
      <c r="AR11" s="1"/>
      <c r="AS11" s="1"/>
      <c r="AT11" s="1"/>
      <c r="AU11" s="1"/>
      <c r="AV11" s="1"/>
      <c r="AW11" s="1"/>
      <c r="AX11" s="1"/>
    </row>
    <row r="12" spans="1:50" ht="13.5" thickTop="1" x14ac:dyDescent="0.3">
      <c r="J12" s="110" t="s">
        <v>7</v>
      </c>
      <c r="K12" t="s">
        <v>678</v>
      </c>
      <c r="S12" s="3" t="s">
        <v>29</v>
      </c>
      <c r="T12" s="28">
        <v>0</v>
      </c>
      <c r="AE12" s="1"/>
      <c r="AF12" s="1"/>
      <c r="AG12" s="1"/>
      <c r="AH12" s="1"/>
      <c r="AI12" s="1"/>
      <c r="AJ12" s="1"/>
      <c r="AK12" s="1"/>
      <c r="AL12" s="1"/>
      <c r="AM12" s="1"/>
      <c r="AN12" s="1"/>
      <c r="AO12" s="1"/>
      <c r="AP12" s="1"/>
      <c r="AQ12" s="1"/>
      <c r="AR12" s="1"/>
      <c r="AS12" s="1"/>
      <c r="AT12" s="1"/>
      <c r="AU12" s="1"/>
      <c r="AV12" s="1"/>
      <c r="AW12" s="1"/>
      <c r="AX12" s="1"/>
    </row>
    <row r="13" spans="1:50" x14ac:dyDescent="0.3">
      <c r="A13" t="s">
        <v>32</v>
      </c>
      <c r="B13" s="259" t="s">
        <v>839</v>
      </c>
      <c r="F13" s="166" t="s">
        <v>71</v>
      </c>
      <c r="G13" s="166" t="s">
        <v>72</v>
      </c>
      <c r="J13" s="110" t="s">
        <v>8</v>
      </c>
      <c r="K13" t="s">
        <v>679</v>
      </c>
      <c r="S13" s="3" t="s">
        <v>29</v>
      </c>
      <c r="T13" s="31">
        <v>0</v>
      </c>
      <c r="AE13" s="1"/>
      <c r="AF13" s="1"/>
      <c r="AG13" s="1"/>
      <c r="AH13" s="1"/>
      <c r="AI13" s="1"/>
      <c r="AJ13" s="1"/>
      <c r="AK13" s="1"/>
      <c r="AL13" s="1"/>
      <c r="AM13" s="1"/>
      <c r="AN13" s="1"/>
      <c r="AO13" s="1"/>
      <c r="AP13" s="1"/>
      <c r="AQ13" s="1"/>
      <c r="AR13" s="1"/>
      <c r="AS13" s="1"/>
      <c r="AT13" s="1"/>
      <c r="AU13" s="1"/>
      <c r="AV13" s="1"/>
      <c r="AW13" s="1"/>
      <c r="AX13" s="1"/>
    </row>
    <row r="14" spans="1:50" x14ac:dyDescent="0.3">
      <c r="B14" t="s">
        <v>844</v>
      </c>
      <c r="F14" s="111">
        <v>0</v>
      </c>
      <c r="G14" s="55">
        <v>0</v>
      </c>
      <c r="J14" s="110"/>
      <c r="T14" s="3"/>
      <c r="U14" s="268"/>
      <c r="AE14" s="1"/>
      <c r="AF14" s="1"/>
      <c r="AG14" s="1"/>
      <c r="AH14" s="1"/>
      <c r="AI14" s="1"/>
      <c r="AJ14" s="1"/>
      <c r="AK14" s="1"/>
      <c r="AL14" s="1"/>
      <c r="AM14" s="1"/>
      <c r="AN14" s="1"/>
      <c r="AO14" s="1"/>
      <c r="AP14" s="1"/>
      <c r="AQ14" s="1"/>
      <c r="AR14" s="1"/>
      <c r="AS14" s="1"/>
      <c r="AT14" s="1"/>
      <c r="AU14" s="1"/>
      <c r="AV14" s="1"/>
      <c r="AW14" s="1"/>
      <c r="AX14" s="1"/>
    </row>
    <row r="15" spans="1:50" x14ac:dyDescent="0.3">
      <c r="B15" t="s">
        <v>869</v>
      </c>
      <c r="F15" s="111">
        <v>0</v>
      </c>
      <c r="G15" s="55">
        <v>125139</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3">
      <c r="B16" t="s">
        <v>870</v>
      </c>
      <c r="F16" s="111">
        <v>0</v>
      </c>
      <c r="G16" s="55">
        <v>0</v>
      </c>
      <c r="M16" s="808" t="s">
        <v>102</v>
      </c>
      <c r="N16" s="819"/>
      <c r="O16" s="809"/>
      <c r="P16" s="808" t="s">
        <v>103</v>
      </c>
      <c r="Q16" s="809"/>
      <c r="R16" s="269" t="s">
        <v>102</v>
      </c>
      <c r="S16" s="269" t="s">
        <v>103</v>
      </c>
      <c r="T16" s="269"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3">
      <c r="B17" t="s">
        <v>871</v>
      </c>
      <c r="F17" s="111">
        <v>0</v>
      </c>
      <c r="G17" s="55">
        <v>0</v>
      </c>
      <c r="I17" t="s">
        <v>30</v>
      </c>
      <c r="J17" s="259" t="s">
        <v>344</v>
      </c>
      <c r="K17" s="259"/>
      <c r="L17" s="259"/>
      <c r="M17" s="813" t="s">
        <v>774</v>
      </c>
      <c r="N17" s="814"/>
      <c r="O17" s="815"/>
      <c r="P17" s="813" t="s">
        <v>774</v>
      </c>
      <c r="Q17" s="815"/>
      <c r="R17" s="270" t="s">
        <v>775</v>
      </c>
      <c r="S17" s="270" t="s">
        <v>775</v>
      </c>
      <c r="T17" s="270" t="s">
        <v>774</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3">
      <c r="B18" t="s">
        <v>872</v>
      </c>
      <c r="F18" s="111">
        <v>0</v>
      </c>
      <c r="G18" s="55">
        <v>0</v>
      </c>
      <c r="J18" s="259" t="s">
        <v>680</v>
      </c>
      <c r="K18" s="259"/>
      <c r="L18" s="259"/>
      <c r="M18" s="803" t="s">
        <v>776</v>
      </c>
      <c r="N18" s="816"/>
      <c r="O18" s="804"/>
      <c r="P18" s="803" t="s">
        <v>777</v>
      </c>
      <c r="Q18" s="804"/>
      <c r="R18" s="271" t="s">
        <v>778</v>
      </c>
      <c r="S18" s="271" t="s">
        <v>779</v>
      </c>
      <c r="T18" s="271" t="s">
        <v>780</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35">
      <c r="B19" s="259" t="s">
        <v>882</v>
      </c>
      <c r="F19" s="266">
        <v>0</v>
      </c>
      <c r="G19" s="60">
        <v>0</v>
      </c>
      <c r="J19" s="258" t="s">
        <v>1</v>
      </c>
      <c r="K19" s="259" t="s">
        <v>681</v>
      </c>
      <c r="L19" s="259"/>
      <c r="M19" s="805">
        <v>267490</v>
      </c>
      <c r="N19" s="806"/>
      <c r="O19" s="807"/>
      <c r="P19" s="805">
        <v>0</v>
      </c>
      <c r="Q19" s="806"/>
      <c r="R19" s="32">
        <v>0</v>
      </c>
      <c r="S19" s="32">
        <v>0</v>
      </c>
      <c r="T19" s="32">
        <v>0</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35">
      <c r="B20" t="s">
        <v>873</v>
      </c>
      <c r="F20" s="702">
        <f>SUM(F14:F19)</f>
        <v>0</v>
      </c>
      <c r="G20" s="267">
        <f>SUM(G14:G19)</f>
        <v>125139</v>
      </c>
      <c r="J20" s="258" t="s">
        <v>2</v>
      </c>
      <c r="K20" s="259" t="s">
        <v>682</v>
      </c>
      <c r="L20" s="259"/>
      <c r="M20" s="805">
        <v>0</v>
      </c>
      <c r="N20" s="806"/>
      <c r="O20" s="807"/>
      <c r="P20" s="805">
        <v>0</v>
      </c>
      <c r="Q20" s="806"/>
      <c r="R20" s="32">
        <v>0</v>
      </c>
      <c r="S20" s="32">
        <v>0</v>
      </c>
      <c r="T20" s="32">
        <v>0</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3">
      <c r="J21" s="258" t="s">
        <v>3</v>
      </c>
      <c r="K21" s="259" t="s">
        <v>683</v>
      </c>
      <c r="L21" s="259"/>
      <c r="M21" s="805">
        <v>0</v>
      </c>
      <c r="N21" s="806"/>
      <c r="O21" s="807"/>
      <c r="P21" s="805">
        <v>0</v>
      </c>
      <c r="Q21" s="806"/>
      <c r="R21" s="32">
        <v>0</v>
      </c>
      <c r="S21" s="32">
        <v>0</v>
      </c>
      <c r="T21" s="32">
        <v>0</v>
      </c>
      <c r="U21" s="268"/>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3">
      <c r="A22" t="s">
        <v>33</v>
      </c>
      <c r="B22" s="259" t="s">
        <v>1208</v>
      </c>
      <c r="C22" s="273"/>
      <c r="D22" s="273"/>
      <c r="E22" s="259"/>
      <c r="F22" s="259"/>
      <c r="J22" s="258" t="s">
        <v>4</v>
      </c>
      <c r="K22" s="259" t="s">
        <v>684</v>
      </c>
      <c r="L22" s="259"/>
      <c r="M22" s="810">
        <v>0</v>
      </c>
      <c r="N22" s="811"/>
      <c r="O22" s="812"/>
      <c r="P22" s="805">
        <v>0</v>
      </c>
      <c r="Q22" s="807"/>
      <c r="R22" s="32">
        <v>0</v>
      </c>
      <c r="S22" s="32">
        <v>0</v>
      </c>
      <c r="T22" s="32">
        <v>0</v>
      </c>
      <c r="U22" s="268"/>
      <c r="AE22" s="1"/>
      <c r="AF22" s="1"/>
      <c r="AG22" s="1"/>
      <c r="AH22" s="1"/>
      <c r="AI22" s="1"/>
      <c r="AJ22" s="1"/>
      <c r="AK22" s="1"/>
      <c r="AL22" s="1"/>
      <c r="AM22" s="1"/>
      <c r="AN22" s="1"/>
      <c r="AO22" s="1"/>
      <c r="AP22" s="1"/>
      <c r="AQ22" s="1"/>
      <c r="AR22" s="1"/>
      <c r="AS22" s="1"/>
      <c r="AT22" s="1"/>
      <c r="AU22" s="1"/>
      <c r="AV22" s="1"/>
      <c r="AW22" s="1"/>
      <c r="AX22" s="1"/>
    </row>
    <row r="23" spans="1:50" ht="13.5" customHeight="1" x14ac:dyDescent="0.3">
      <c r="B23" t="s">
        <v>844</v>
      </c>
      <c r="E23" s="3" t="s">
        <v>29</v>
      </c>
      <c r="F23" s="27">
        <v>0</v>
      </c>
      <c r="J23" s="258" t="s">
        <v>5</v>
      </c>
      <c r="K23" s="820" t="s">
        <v>685</v>
      </c>
      <c r="L23" s="821"/>
      <c r="M23" s="274"/>
      <c r="N23" s="275"/>
      <c r="O23" s="276"/>
      <c r="P23" s="275"/>
      <c r="Q23" s="276"/>
      <c r="R23" s="277"/>
      <c r="S23" s="277"/>
      <c r="T23" s="277"/>
      <c r="U23" s="268"/>
      <c r="AE23" s="1"/>
      <c r="AF23" s="1"/>
      <c r="AG23" s="1"/>
      <c r="AH23" s="1"/>
      <c r="AI23" s="1"/>
      <c r="AJ23" s="1"/>
      <c r="AK23" s="1"/>
      <c r="AL23" s="1"/>
      <c r="AM23" s="1"/>
      <c r="AN23" s="1"/>
      <c r="AO23" s="1"/>
      <c r="AP23" s="1"/>
      <c r="AQ23" s="1"/>
      <c r="AR23" s="1"/>
      <c r="AS23" s="1"/>
      <c r="AT23" s="1"/>
      <c r="AU23" s="1"/>
      <c r="AV23" s="1"/>
      <c r="AW23" s="1"/>
      <c r="AX23" s="1"/>
    </row>
    <row r="24" spans="1:50" ht="13.5" customHeight="1" x14ac:dyDescent="0.3">
      <c r="B24" t="s">
        <v>869</v>
      </c>
      <c r="E24" s="3" t="s">
        <v>29</v>
      </c>
      <c r="F24" s="27">
        <v>118720</v>
      </c>
      <c r="G24" s="29"/>
      <c r="J24" s="278"/>
      <c r="K24" s="820"/>
      <c r="L24" s="821"/>
      <c r="M24" s="800">
        <v>0</v>
      </c>
      <c r="N24" s="801"/>
      <c r="O24" s="802"/>
      <c r="P24" s="800">
        <v>0</v>
      </c>
      <c r="Q24" s="801"/>
      <c r="R24" s="33">
        <v>0</v>
      </c>
      <c r="S24" s="33">
        <v>0</v>
      </c>
      <c r="T24" s="33">
        <v>0</v>
      </c>
      <c r="U24" s="268"/>
      <c r="AE24" s="1"/>
      <c r="AF24" s="1"/>
      <c r="AG24" s="1"/>
      <c r="AH24" s="1"/>
      <c r="AI24" s="1"/>
      <c r="AJ24" s="1"/>
      <c r="AK24" s="1"/>
      <c r="AL24" s="1"/>
      <c r="AM24" s="1"/>
      <c r="AN24" s="1"/>
      <c r="AO24" s="1"/>
      <c r="AP24" s="1"/>
      <c r="AQ24" s="1"/>
      <c r="AR24" s="1"/>
      <c r="AS24" s="1"/>
      <c r="AT24" s="1"/>
      <c r="AU24" s="1"/>
      <c r="AV24" s="1"/>
      <c r="AW24" s="1"/>
      <c r="AX24" s="1"/>
    </row>
    <row r="25" spans="1:50" ht="13.5" customHeight="1" x14ac:dyDescent="0.3">
      <c r="B25" t="s">
        <v>870</v>
      </c>
      <c r="E25" s="3" t="s">
        <v>29</v>
      </c>
      <c r="F25" s="27">
        <v>0</v>
      </c>
      <c r="M25" s="29"/>
      <c r="N25" s="29"/>
      <c r="O25" s="29"/>
      <c r="P25" s="29"/>
      <c r="Q25" s="29"/>
      <c r="R25" s="29"/>
      <c r="S25" s="29"/>
      <c r="T25" s="29"/>
      <c r="U25" s="29"/>
      <c r="AE25" s="1"/>
      <c r="AF25" s="1"/>
      <c r="AG25" s="1"/>
      <c r="AH25" s="1"/>
      <c r="AI25" s="1"/>
      <c r="AJ25" s="1"/>
      <c r="AK25" s="1"/>
      <c r="AL25" s="1"/>
      <c r="AM25" s="1"/>
      <c r="AN25" s="1"/>
      <c r="AO25" s="1"/>
      <c r="AP25" s="1"/>
      <c r="AQ25" s="1"/>
      <c r="AR25" s="1"/>
      <c r="AS25" s="1"/>
      <c r="AT25" s="1"/>
      <c r="AU25" s="1"/>
      <c r="AV25" s="1"/>
      <c r="AW25" s="1"/>
      <c r="AX25" s="1"/>
    </row>
    <row r="26" spans="1:50" ht="13.5" customHeight="1" x14ac:dyDescent="0.3">
      <c r="B26" t="s">
        <v>871</v>
      </c>
      <c r="E26" s="3" t="s">
        <v>29</v>
      </c>
      <c r="F26" s="28">
        <v>0</v>
      </c>
      <c r="M26" s="268"/>
      <c r="N26" s="268"/>
      <c r="O26" s="268"/>
      <c r="P26" s="268"/>
      <c r="Q26" s="268"/>
      <c r="R26" s="268"/>
      <c r="S26" s="268"/>
      <c r="T26" s="268"/>
      <c r="U26" s="268"/>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35">
      <c r="B27" t="s">
        <v>872</v>
      </c>
      <c r="E27" s="3" t="s">
        <v>29</v>
      </c>
      <c r="F27" s="27">
        <v>0</v>
      </c>
      <c r="G27" t="s">
        <v>891</v>
      </c>
      <c r="I27" t="s">
        <v>131</v>
      </c>
      <c r="J27" s="259" t="s">
        <v>686</v>
      </c>
      <c r="K27" s="279"/>
      <c r="L27" s="279"/>
      <c r="M27" s="279"/>
      <c r="N27" s="279"/>
      <c r="O27" s="279"/>
      <c r="P27" s="279"/>
      <c r="Q27" s="279"/>
      <c r="R27" s="279"/>
      <c r="S27" s="107"/>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4">
      <c r="B28" s="259" t="s">
        <v>882</v>
      </c>
      <c r="E28" s="3" t="s">
        <v>29</v>
      </c>
      <c r="F28" s="27">
        <v>0</v>
      </c>
      <c r="I28" s="110"/>
      <c r="K28" s="34"/>
      <c r="L28" s="1" t="s">
        <v>1150</v>
      </c>
      <c r="M28" s="280"/>
      <c r="N28" s="280"/>
      <c r="O28" s="280"/>
      <c r="P28" s="280"/>
      <c r="Q28" s="280"/>
      <c r="U28" s="107"/>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35">
      <c r="B29" t="s">
        <v>874</v>
      </c>
      <c r="E29" s="3" t="s">
        <v>29</v>
      </c>
      <c r="F29" s="281">
        <f>SUM(F23:F28)</f>
        <v>118720</v>
      </c>
      <c r="I29" s="110"/>
      <c r="J29" t="s">
        <v>1</v>
      </c>
      <c r="K29" s="1" t="s">
        <v>1151</v>
      </c>
      <c r="N29" s="282"/>
      <c r="S29" s="3" t="s">
        <v>29</v>
      </c>
      <c r="T29" s="63">
        <v>52053</v>
      </c>
      <c r="U29" s="107"/>
      <c r="AE29" s="1"/>
      <c r="AF29" s="1"/>
      <c r="AG29" s="1"/>
      <c r="AH29" s="1"/>
      <c r="AI29" s="1"/>
      <c r="AJ29" s="1"/>
      <c r="AK29" s="1"/>
      <c r="AL29" s="1"/>
      <c r="AM29" s="1"/>
      <c r="AN29" s="1"/>
      <c r="AO29" s="1"/>
      <c r="AP29" s="1"/>
      <c r="AQ29" s="1"/>
      <c r="AR29" s="1"/>
      <c r="AS29" s="1"/>
      <c r="AT29" s="1"/>
      <c r="AU29" s="1"/>
      <c r="AV29" s="1"/>
      <c r="AW29" s="1"/>
      <c r="AX29" s="1"/>
    </row>
    <row r="30" spans="1:50" ht="13.5" thickTop="1" x14ac:dyDescent="0.3">
      <c r="I30" s="110"/>
      <c r="J30" t="s">
        <v>2</v>
      </c>
      <c r="K30" s="1" t="s">
        <v>1152</v>
      </c>
      <c r="L30" s="194"/>
      <c r="M30" s="194"/>
      <c r="S30" s="3" t="s">
        <v>29</v>
      </c>
      <c r="T30" s="283">
        <v>52838</v>
      </c>
      <c r="U30" s="107"/>
      <c r="AE30" s="1"/>
      <c r="AF30" s="1"/>
      <c r="AG30" s="1"/>
      <c r="AH30" s="1"/>
      <c r="AI30" s="1"/>
      <c r="AJ30" s="1"/>
      <c r="AK30" s="1"/>
      <c r="AL30" s="1"/>
      <c r="AM30" s="1"/>
      <c r="AN30" s="1"/>
      <c r="AO30" s="1"/>
      <c r="AP30" s="1"/>
      <c r="AQ30" s="1"/>
      <c r="AR30" s="1"/>
      <c r="AS30" s="1"/>
      <c r="AT30" s="1"/>
      <c r="AU30" s="1"/>
      <c r="AV30" s="1"/>
      <c r="AW30" s="1"/>
      <c r="AX30" s="1"/>
    </row>
    <row r="31" spans="1:50" x14ac:dyDescent="0.3">
      <c r="A31" t="s">
        <v>50</v>
      </c>
      <c r="B31" s="259" t="s">
        <v>343</v>
      </c>
      <c r="C31" s="259"/>
      <c r="D31" s="259"/>
      <c r="E31" s="284"/>
      <c r="J31" t="s">
        <v>3</v>
      </c>
      <c r="K31" s="1" t="s">
        <v>1153</v>
      </c>
      <c r="L31" s="194"/>
      <c r="M31" s="194"/>
      <c r="S31" s="3" t="s">
        <v>29</v>
      </c>
      <c r="T31" s="285">
        <f>T29-T30</f>
        <v>-785</v>
      </c>
      <c r="U31" s="107"/>
      <c r="AE31" s="1"/>
      <c r="AF31" s="1"/>
      <c r="AG31" s="1"/>
      <c r="AH31" s="1"/>
      <c r="AI31" s="1"/>
      <c r="AJ31" s="1"/>
      <c r="AK31" s="1"/>
      <c r="AL31" s="1"/>
      <c r="AM31" s="1"/>
      <c r="AN31" s="1"/>
      <c r="AO31" s="1"/>
      <c r="AP31" s="1"/>
      <c r="AQ31" s="1"/>
      <c r="AR31" s="1"/>
      <c r="AS31" s="1"/>
      <c r="AT31" s="1"/>
      <c r="AU31" s="1"/>
      <c r="AV31" s="1"/>
      <c r="AW31" s="1"/>
      <c r="AX31" s="1"/>
    </row>
    <row r="32" spans="1:50" ht="13.5" thickBot="1" x14ac:dyDescent="0.35">
      <c r="B32" t="s">
        <v>875</v>
      </c>
      <c r="F32" s="3"/>
      <c r="G32" s="29"/>
      <c r="J32" s="286" t="s">
        <v>4</v>
      </c>
      <c r="K32" t="s">
        <v>133</v>
      </c>
      <c r="L32" s="287"/>
      <c r="M32" s="287"/>
      <c r="P32" s="149"/>
      <c r="Q32" s="149"/>
      <c r="R32" s="149"/>
      <c r="S32" s="3" t="s">
        <v>29</v>
      </c>
      <c r="T32" s="288">
        <f>IF(PriorYearSalary&gt;0,T31/T30,0)</f>
        <v>-1.4999999999999999E-2</v>
      </c>
      <c r="U32" s="107"/>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3">
      <c r="B33" t="s">
        <v>876</v>
      </c>
      <c r="F33" s="3" t="s">
        <v>29</v>
      </c>
      <c r="G33" s="27">
        <v>1161164</v>
      </c>
      <c r="H33" s="761" t="str">
        <f>IF('Page 2'!J48=0,"",IF(OR(G36&lt;=0),"The Charter did not report any current expenses for student support services on line 4. If the Charter did not have any expense, verify by checking the box in A16 on the Cover Page.",""))</f>
        <v/>
      </c>
      <c r="I33" s="761"/>
      <c r="J33" s="761"/>
      <c r="K33" s="761"/>
      <c r="L33" s="761"/>
      <c r="M33" s="761"/>
      <c r="N33" s="761"/>
      <c r="O33" s="761"/>
      <c r="P33" s="761"/>
      <c r="Q33" s="761"/>
      <c r="R33" s="761"/>
      <c r="S33" s="761"/>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3">
      <c r="B34" t="s">
        <v>877</v>
      </c>
      <c r="C34" s="284"/>
      <c r="D34" s="284"/>
      <c r="E34" s="284"/>
      <c r="F34" s="3" t="s">
        <v>29</v>
      </c>
      <c r="G34" s="27" t="s">
        <v>1245</v>
      </c>
      <c r="H34" s="761"/>
      <c r="I34" s="761"/>
      <c r="J34" s="761"/>
      <c r="K34" s="761"/>
      <c r="L34" s="761"/>
      <c r="M34" s="761"/>
      <c r="N34" s="761"/>
      <c r="O34" s="761"/>
      <c r="P34" s="761"/>
      <c r="Q34" s="761"/>
      <c r="R34" s="761"/>
      <c r="S34" s="761"/>
      <c r="T34" s="4"/>
      <c r="U34" s="4"/>
      <c r="AE34" s="1"/>
      <c r="AF34" s="1"/>
      <c r="AG34" s="1"/>
      <c r="AH34" s="1"/>
      <c r="AI34" s="1"/>
      <c r="AJ34" s="1"/>
      <c r="AK34" s="1"/>
      <c r="AL34" s="1"/>
      <c r="AM34" s="1"/>
      <c r="AN34" s="1"/>
      <c r="AO34" s="1"/>
      <c r="AP34" s="1"/>
      <c r="AQ34" s="1"/>
      <c r="AR34" s="1"/>
      <c r="AS34" s="1"/>
      <c r="AT34" s="1"/>
      <c r="AU34" s="1"/>
      <c r="AV34" s="1"/>
      <c r="AW34" s="1"/>
      <c r="AX34" s="1"/>
    </row>
    <row r="35" spans="1:50" x14ac:dyDescent="0.3">
      <c r="B35" t="s">
        <v>878</v>
      </c>
      <c r="C35" s="284"/>
      <c r="D35" s="284"/>
      <c r="E35" s="284"/>
      <c r="F35" s="3" t="s">
        <v>29</v>
      </c>
      <c r="G35" s="28">
        <v>368834</v>
      </c>
      <c r="K35" t="s">
        <v>784</v>
      </c>
      <c r="AE35" s="1"/>
      <c r="AF35" s="1"/>
      <c r="AG35" s="1"/>
      <c r="AH35" s="1"/>
      <c r="AI35" s="1"/>
      <c r="AJ35" s="1"/>
      <c r="AK35" s="1"/>
      <c r="AL35" s="1"/>
      <c r="AM35" s="1"/>
      <c r="AN35" s="1"/>
      <c r="AO35" s="1"/>
      <c r="AP35" s="1"/>
      <c r="AQ35" s="1"/>
      <c r="AR35" s="1"/>
      <c r="AS35" s="1"/>
      <c r="AT35" s="1"/>
      <c r="AU35" s="1"/>
      <c r="AV35" s="1"/>
      <c r="AW35" s="1"/>
      <c r="AX35" s="1"/>
    </row>
    <row r="36" spans="1:50" x14ac:dyDescent="0.3">
      <c r="B36" t="s">
        <v>879</v>
      </c>
      <c r="C36" s="284"/>
      <c r="D36" s="284"/>
      <c r="E36" s="284"/>
      <c r="F36" s="3" t="s">
        <v>29</v>
      </c>
      <c r="G36" s="27">
        <f>171039+15635</f>
        <v>186674</v>
      </c>
      <c r="K36" s="823"/>
      <c r="L36" s="824"/>
      <c r="M36" s="824"/>
      <c r="N36" s="824"/>
      <c r="O36" s="824"/>
      <c r="P36" s="824"/>
      <c r="Q36" s="824"/>
      <c r="R36" s="824"/>
      <c r="S36" s="824"/>
      <c r="T36" s="825"/>
      <c r="AE36" s="1"/>
      <c r="AF36" s="1"/>
      <c r="AG36" s="1"/>
      <c r="AH36" s="1"/>
      <c r="AI36" s="1"/>
      <c r="AJ36" s="1"/>
      <c r="AK36" s="1"/>
      <c r="AL36" s="1"/>
      <c r="AM36" s="1"/>
      <c r="AN36" s="1"/>
      <c r="AO36" s="1"/>
      <c r="AP36" s="1"/>
      <c r="AQ36" s="1"/>
      <c r="AR36" s="1"/>
      <c r="AS36" s="1"/>
      <c r="AT36" s="1"/>
      <c r="AU36" s="1"/>
      <c r="AV36" s="1"/>
      <c r="AW36" s="1"/>
      <c r="AX36" s="1"/>
    </row>
    <row r="37" spans="1:50" ht="14" x14ac:dyDescent="0.3">
      <c r="A37" s="289"/>
      <c r="B37" t="s">
        <v>880</v>
      </c>
      <c r="E37" s="284"/>
      <c r="F37" s="3"/>
      <c r="G37" s="29"/>
      <c r="K37" s="826"/>
      <c r="L37" s="827"/>
      <c r="M37" s="827"/>
      <c r="N37" s="827"/>
      <c r="O37" s="827"/>
      <c r="P37" s="827"/>
      <c r="Q37" s="827"/>
      <c r="R37" s="827"/>
      <c r="S37" s="827"/>
      <c r="T37" s="828"/>
      <c r="AE37" s="1"/>
      <c r="AF37" s="1"/>
      <c r="AG37" s="1"/>
      <c r="AH37" s="1"/>
      <c r="AI37" s="1"/>
      <c r="AJ37" s="1"/>
      <c r="AK37" s="1"/>
      <c r="AL37" s="1"/>
      <c r="AM37" s="1"/>
      <c r="AN37" s="1"/>
      <c r="AO37" s="1"/>
      <c r="AP37" s="1"/>
      <c r="AQ37" s="1"/>
      <c r="AR37" s="1"/>
      <c r="AS37" s="1"/>
      <c r="AT37" s="1"/>
      <c r="AU37" s="1"/>
      <c r="AV37" s="1"/>
      <c r="AW37" s="1"/>
      <c r="AX37" s="1"/>
    </row>
    <row r="38" spans="1:50" ht="14" x14ac:dyDescent="0.3">
      <c r="A38" s="289"/>
      <c r="B38" t="s">
        <v>881</v>
      </c>
      <c r="E38" s="284"/>
      <c r="F38" s="3" t="s">
        <v>29</v>
      </c>
      <c r="G38" s="27">
        <v>493480</v>
      </c>
      <c r="J38" s="265"/>
      <c r="K38" s="107"/>
      <c r="S38" s="3"/>
      <c r="T38" s="290"/>
      <c r="AE38" s="1"/>
      <c r="AF38" s="1"/>
      <c r="AG38" s="1"/>
      <c r="AH38" s="1"/>
      <c r="AI38" s="1"/>
      <c r="AJ38" s="1"/>
      <c r="AK38" s="1"/>
      <c r="AL38" s="1"/>
      <c r="AM38" s="1"/>
      <c r="AN38" s="1"/>
      <c r="AO38" s="1"/>
      <c r="AP38" s="1"/>
      <c r="AQ38" s="1"/>
      <c r="AR38" s="1"/>
      <c r="AS38" s="1"/>
      <c r="AT38" s="1"/>
      <c r="AU38" s="1"/>
      <c r="AV38" s="1"/>
      <c r="AW38" s="1"/>
      <c r="AX38" s="1"/>
    </row>
    <row r="39" spans="1:50" ht="14.5" thickBot="1" x14ac:dyDescent="0.35">
      <c r="A39" s="289"/>
      <c r="B39" s="110" t="s">
        <v>89</v>
      </c>
      <c r="F39" s="3" t="s">
        <v>29</v>
      </c>
      <c r="G39" s="281">
        <f>SUM(G33:G38)</f>
        <v>2210152</v>
      </c>
      <c r="AE39" s="1"/>
      <c r="AF39" s="1"/>
      <c r="AG39" s="1"/>
      <c r="AH39" s="1"/>
      <c r="AI39" s="1"/>
      <c r="AJ39" s="1"/>
      <c r="AK39" s="1"/>
      <c r="AL39" s="1"/>
      <c r="AM39" s="1"/>
      <c r="AN39" s="1"/>
      <c r="AO39" s="1"/>
      <c r="AP39" s="1"/>
      <c r="AQ39" s="1"/>
      <c r="AR39" s="1"/>
      <c r="AS39" s="1"/>
      <c r="AT39" s="1"/>
      <c r="AU39" s="1"/>
      <c r="AV39" s="1"/>
      <c r="AW39" s="1"/>
      <c r="AX39" s="1"/>
    </row>
    <row r="40" spans="1:50" ht="13.5" thickTop="1" x14ac:dyDescent="0.3">
      <c r="B40" s="818" t="s">
        <v>836</v>
      </c>
      <c r="C40" s="818"/>
      <c r="D40" s="818"/>
      <c r="E40" s="818"/>
      <c r="F40" s="3" t="s">
        <v>29</v>
      </c>
      <c r="G40" s="27">
        <v>15635</v>
      </c>
      <c r="I40" t="s">
        <v>1030</v>
      </c>
      <c r="J40" s="799" t="s">
        <v>1100</v>
      </c>
      <c r="K40" s="799"/>
      <c r="L40" s="799"/>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3">
      <c r="B41" s="822" t="s">
        <v>837</v>
      </c>
      <c r="C41" s="822"/>
      <c r="D41" s="822"/>
      <c r="E41" s="822"/>
      <c r="F41" s="3" t="s">
        <v>29</v>
      </c>
      <c r="G41" s="262">
        <f>G39-G40</f>
        <v>2194517</v>
      </c>
      <c r="J41" t="s">
        <v>1101</v>
      </c>
      <c r="M41" s="829" t="s">
        <v>1097</v>
      </c>
      <c r="N41" s="829"/>
      <c r="O41" s="829"/>
      <c r="P41" s="829"/>
      <c r="Q41" s="829"/>
      <c r="R41" s="829"/>
      <c r="S41" s="829"/>
      <c r="T41" s="829"/>
      <c r="U41" s="4"/>
      <c r="AE41" s="1"/>
      <c r="AF41" s="1"/>
      <c r="AG41" s="1"/>
      <c r="AH41" s="1"/>
      <c r="AI41" s="1"/>
      <c r="AJ41" s="1"/>
      <c r="AK41" s="1"/>
      <c r="AL41" s="1"/>
      <c r="AM41" s="1"/>
      <c r="AN41" s="1"/>
      <c r="AO41" s="1"/>
      <c r="AP41" s="1"/>
      <c r="AQ41" s="1"/>
      <c r="AR41" s="1"/>
      <c r="AS41" s="1"/>
      <c r="AT41" s="1"/>
      <c r="AU41" s="1"/>
      <c r="AV41" s="1"/>
      <c r="AW41" s="1"/>
      <c r="AX41" s="1"/>
    </row>
    <row r="42" spans="1:50" x14ac:dyDescent="0.3">
      <c r="J42" s="1" t="s">
        <v>1102</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3">
      <c r="I43" s="291"/>
      <c r="J43" s="1" t="s">
        <v>1103</v>
      </c>
      <c r="K43" s="1"/>
      <c r="M43" s="830" t="s">
        <v>1254</v>
      </c>
      <c r="N43" s="830"/>
      <c r="O43" s="830"/>
      <c r="P43" s="830"/>
      <c r="Q43" s="830"/>
      <c r="R43" s="830"/>
      <c r="S43" s="830"/>
      <c r="T43" s="830"/>
      <c r="AE43" s="1"/>
      <c r="AF43" s="1"/>
      <c r="AG43" s="1"/>
      <c r="AH43" s="1"/>
      <c r="AI43" s="1"/>
      <c r="AJ43" s="1"/>
      <c r="AK43" s="1"/>
      <c r="AL43" s="1"/>
      <c r="AM43" s="1"/>
      <c r="AN43" s="1"/>
      <c r="AO43" s="1"/>
      <c r="AP43" s="1"/>
      <c r="AQ43" s="1"/>
      <c r="AR43" s="1"/>
      <c r="AS43" s="1"/>
      <c r="AT43" s="1"/>
      <c r="AU43" s="1"/>
      <c r="AV43" s="1"/>
      <c r="AW43" s="1"/>
      <c r="AX43" s="1"/>
    </row>
    <row r="44" spans="1:50" x14ac:dyDescent="0.3">
      <c r="A44" s="107"/>
      <c r="I44" s="291"/>
      <c r="J44" s="1" t="s">
        <v>1024</v>
      </c>
      <c r="K44" s="1"/>
      <c r="M44" s="817" t="s">
        <v>1259</v>
      </c>
      <c r="N44" s="817"/>
      <c r="O44" s="817"/>
      <c r="P44" s="817"/>
      <c r="Q44" s="817"/>
      <c r="R44" s="817"/>
      <c r="S44" s="817"/>
      <c r="T44" s="817"/>
      <c r="AE44" s="1"/>
      <c r="AF44" s="1"/>
      <c r="AG44" s="1"/>
      <c r="AH44" s="1"/>
      <c r="AI44" s="1"/>
      <c r="AJ44" s="1"/>
      <c r="AK44" s="1"/>
      <c r="AL44" s="1"/>
      <c r="AM44" s="1"/>
      <c r="AN44" s="1"/>
      <c r="AO44" s="1"/>
      <c r="AP44" s="1"/>
      <c r="AQ44" s="1"/>
      <c r="AR44" s="1"/>
      <c r="AS44" s="1"/>
      <c r="AT44" s="1"/>
      <c r="AU44" s="1"/>
      <c r="AV44" s="1"/>
      <c r="AW44" s="1"/>
      <c r="AX44" s="1"/>
    </row>
    <row r="45" spans="1:50" x14ac:dyDescent="0.3">
      <c r="I45" s="292"/>
      <c r="J45" s="1" t="s">
        <v>1025</v>
      </c>
      <c r="K45" s="1"/>
      <c r="L45" s="1"/>
      <c r="M45" s="817" t="s">
        <v>1255</v>
      </c>
      <c r="N45" s="817"/>
      <c r="O45" s="817"/>
      <c r="P45" s="817"/>
      <c r="Q45" s="817"/>
      <c r="R45" s="817"/>
      <c r="S45" s="817"/>
      <c r="T45" s="817"/>
      <c r="AE45" s="1"/>
      <c r="AF45" s="1"/>
      <c r="AG45" s="1"/>
      <c r="AH45" s="1"/>
      <c r="AI45" s="1"/>
      <c r="AJ45" s="1"/>
      <c r="AK45" s="1"/>
      <c r="AL45" s="1"/>
      <c r="AM45" s="1"/>
      <c r="AN45" s="1"/>
      <c r="AO45" s="1"/>
      <c r="AP45" s="1"/>
      <c r="AQ45" s="1"/>
      <c r="AR45" s="1"/>
      <c r="AS45" s="1"/>
      <c r="AT45" s="1"/>
      <c r="AU45" s="1"/>
      <c r="AV45" s="1"/>
      <c r="AW45" s="1"/>
      <c r="AX45" s="1"/>
    </row>
    <row r="46" spans="1:50" x14ac:dyDescent="0.3">
      <c r="I46" s="293" t="s">
        <v>1096</v>
      </c>
      <c r="J46" s="1" t="s">
        <v>1026</v>
      </c>
      <c r="K46" s="1"/>
      <c r="L46" s="1"/>
      <c r="M46" s="817"/>
      <c r="N46" s="817"/>
      <c r="O46" s="817"/>
      <c r="P46" s="817"/>
      <c r="Q46" s="817"/>
      <c r="R46" s="817"/>
      <c r="S46" s="817"/>
      <c r="T46" s="817"/>
    </row>
    <row r="47" spans="1:50" x14ac:dyDescent="0.3">
      <c r="I47" s="293" t="s">
        <v>1097</v>
      </c>
      <c r="J47" s="1" t="s">
        <v>1027</v>
      </c>
      <c r="K47" s="1"/>
      <c r="L47" s="1"/>
      <c r="M47" s="817" t="s">
        <v>1256</v>
      </c>
      <c r="N47" s="817"/>
      <c r="O47" s="817"/>
      <c r="P47" s="817"/>
      <c r="Q47" s="817"/>
      <c r="R47" s="817"/>
      <c r="S47" s="817"/>
      <c r="T47" s="817"/>
      <c r="V47" s="294"/>
    </row>
    <row r="48" spans="1:50" x14ac:dyDescent="0.3">
      <c r="I48" s="294" t="s">
        <v>1098</v>
      </c>
      <c r="J48" s="1" t="s">
        <v>1028</v>
      </c>
      <c r="K48" s="1"/>
      <c r="L48" s="1"/>
      <c r="M48" s="817" t="s">
        <v>1257</v>
      </c>
      <c r="N48" s="817"/>
      <c r="O48" s="817"/>
      <c r="P48" s="817"/>
      <c r="Q48" s="817"/>
      <c r="R48" s="817"/>
      <c r="S48" s="817"/>
      <c r="T48" s="817"/>
      <c r="V48" s="294"/>
    </row>
    <row r="49" spans="9:22" x14ac:dyDescent="0.3">
      <c r="I49" s="294" t="s">
        <v>1099</v>
      </c>
      <c r="J49" s="1" t="s">
        <v>1029</v>
      </c>
      <c r="K49" s="1"/>
      <c r="L49" s="1"/>
      <c r="M49" s="817" t="s">
        <v>1258</v>
      </c>
      <c r="N49" s="817"/>
      <c r="O49" s="817"/>
      <c r="P49" s="817"/>
      <c r="Q49" s="817"/>
      <c r="R49" s="817"/>
      <c r="S49" s="817"/>
      <c r="T49" s="817"/>
      <c r="V49" s="294"/>
    </row>
    <row r="50" spans="9:22" x14ac:dyDescent="0.3">
      <c r="V50" s="294"/>
    </row>
    <row r="51" spans="9:22" x14ac:dyDescent="0.3">
      <c r="K51" s="1"/>
      <c r="L51" s="1"/>
      <c r="M51" s="1"/>
      <c r="N51" s="1"/>
      <c r="O51" s="1"/>
      <c r="P51" s="1"/>
      <c r="Q51" s="1"/>
      <c r="R51" s="1"/>
      <c r="S51" s="1"/>
      <c r="T51" s="1"/>
    </row>
  </sheetData>
  <sheetProtection formatCells="0" formatColumns="0" formatRows="0"/>
  <mergeCells count="32">
    <mergeCell ref="M41:T41"/>
    <mergeCell ref="M43:T43"/>
    <mergeCell ref="M44:T44"/>
    <mergeCell ref="M45:T45"/>
    <mergeCell ref="M46:T46"/>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J40:L40"/>
    <mergeCell ref="M24:O24"/>
    <mergeCell ref="P18:Q18"/>
    <mergeCell ref="M19:O19"/>
    <mergeCell ref="C1:F1"/>
    <mergeCell ref="P16:Q16"/>
    <mergeCell ref="P21:Q21"/>
    <mergeCell ref="M22:O22"/>
    <mergeCell ref="P22:Q22"/>
    <mergeCell ref="M17:O17"/>
    <mergeCell ref="M18:O18"/>
  </mergeCells>
  <conditionalFormatting sqref="F6 F9:F10">
    <cfRule type="expression" dxfId="53" priority="13" stopIfTrue="1">
      <formula>$F6=""</formula>
    </cfRule>
  </conditionalFormatting>
  <conditionalFormatting sqref="F23:F28">
    <cfRule type="expression" dxfId="52" priority="7" stopIfTrue="1">
      <formula>$F23=""</formula>
    </cfRule>
  </conditionalFormatting>
  <conditionalFormatting sqref="G9:G10">
    <cfRule type="expression" dxfId="51" priority="12" stopIfTrue="1">
      <formula>$G9=""</formula>
    </cfRule>
  </conditionalFormatting>
  <conditionalFormatting sqref="G14:G19">
    <cfRule type="expression" dxfId="50" priority="8" stopIfTrue="1">
      <formula>$G14=""</formula>
    </cfRule>
  </conditionalFormatting>
  <conditionalFormatting sqref="G33:G36 G38 G40">
    <cfRule type="expression" dxfId="49" priority="5" stopIfTrue="1">
      <formula>$G33=""</formula>
    </cfRule>
  </conditionalFormatting>
  <conditionalFormatting sqref="G36">
    <cfRule type="expression" dxfId="48" priority="6" stopIfTrue="1">
      <formula>$H$33&lt;&gt;""</formula>
    </cfRule>
  </conditionalFormatting>
  <conditionalFormatting sqref="H33">
    <cfRule type="expression" dxfId="47" priority="15" stopIfTrue="1">
      <formula>$H$33&lt;&gt;""</formula>
    </cfRule>
  </conditionalFormatting>
  <conditionalFormatting sqref="M19:T22">
    <cfRule type="expression" dxfId="46" priority="2" stopIfTrue="1">
      <formula>M19=""</formula>
    </cfRule>
  </conditionalFormatting>
  <conditionalFormatting sqref="M24:T24">
    <cfRule type="expression" dxfId="45" priority="3" stopIfTrue="1">
      <formula>M24=""</formula>
    </cfRule>
  </conditionalFormatting>
  <conditionalFormatting sqref="M41:T41">
    <cfRule type="expression" dxfId="44" priority="1">
      <formula>$M$41&lt;&gt;""</formula>
    </cfRule>
  </conditionalFormatting>
  <conditionalFormatting sqref="T6:T13">
    <cfRule type="expression" dxfId="43" priority="4" stopIfTrue="1">
      <formula>$T6=""</formula>
    </cfRule>
  </conditionalFormatting>
  <conditionalFormatting sqref="T29:T30">
    <cfRule type="expression" dxfId="42" priority="11" stopIfTrue="1">
      <formula>$T29=""</formula>
    </cfRule>
  </conditionalFormatting>
  <dataValidations count="2">
    <dataValidation type="list" allowBlank="1" showInputMessage="1" showErrorMessage="1" sqref="K28" xr:uid="{00000000-0002-0000-0600-000000000000}">
      <formula1>"X"</formula1>
    </dataValidation>
    <dataValidation type="list" allowBlank="1" showInputMessage="1" showErrorMessage="1" sqref="M41:T41" xr:uid="{00000000-0002-0000-0600-000001000000}">
      <formula1>$I$46:$I$49</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 ref="J40" location="Instructions!C38" display="Management Organization Type" xr:uid="{00000000-0004-0000-0600-000011000000}"/>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workbookViewId="0">
      <selection activeCell="S16" sqref="S16"/>
    </sheetView>
  </sheetViews>
  <sheetFormatPr defaultColWidth="9.296875" defaultRowHeight="12.75" customHeight="1" x14ac:dyDescent="0.3"/>
  <cols>
    <col min="1" max="1" width="2.796875" customWidth="1"/>
    <col min="2" max="2" width="9.796875" customWidth="1"/>
    <col min="3" max="3" width="10.296875" customWidth="1"/>
    <col min="4" max="4" width="10.796875" customWidth="1"/>
    <col min="5" max="17" width="6.796875" customWidth="1"/>
    <col min="18" max="18" width="9.69921875" customWidth="1"/>
    <col min="19" max="20" width="8.796875" customWidth="1"/>
    <col min="21" max="22" width="11" customWidth="1"/>
    <col min="23" max="23" width="3.796875" customWidth="1"/>
    <col min="24" max="24" width="9.296875" customWidth="1"/>
  </cols>
  <sheetData>
    <row r="1" spans="1:27" ht="12.75" customHeight="1" x14ac:dyDescent="0.3">
      <c r="A1" s="71" t="s">
        <v>336</v>
      </c>
      <c r="D1" s="750" t="str">
        <f>'Cover Page'!D1</f>
        <v>Valor Preparatory Academy, LLC</v>
      </c>
      <c r="E1" s="750"/>
      <c r="F1" s="750"/>
      <c r="G1" s="750"/>
      <c r="K1" s="68" t="s">
        <v>331</v>
      </c>
      <c r="L1" s="750" t="str">
        <f>'Cover Page'!M1</f>
        <v>Maricopa</v>
      </c>
      <c r="M1" s="750"/>
      <c r="P1" s="82"/>
      <c r="U1" s="68" t="s">
        <v>592</v>
      </c>
      <c r="V1" s="254" t="str">
        <f>'Cover Page'!R1</f>
        <v>078104000</v>
      </c>
    </row>
    <row r="2" spans="1:27" ht="12.75" customHeight="1" x14ac:dyDescent="0.3">
      <c r="Q2" s="82"/>
      <c r="T2" s="82"/>
    </row>
    <row r="3" spans="1:27" ht="12.75" customHeight="1" x14ac:dyDescent="0.3">
      <c r="A3" s="255" t="s">
        <v>687</v>
      </c>
      <c r="B3" s="82"/>
      <c r="C3" s="82"/>
      <c r="D3" s="82"/>
      <c r="E3" s="82"/>
      <c r="F3" s="82"/>
      <c r="G3" s="82"/>
      <c r="H3" s="82"/>
      <c r="I3" s="82"/>
      <c r="J3" s="82"/>
      <c r="K3" s="82"/>
      <c r="L3" s="82"/>
      <c r="M3" s="82"/>
      <c r="N3" s="82"/>
      <c r="O3" s="82"/>
      <c r="P3" s="82"/>
      <c r="Q3" s="82"/>
      <c r="R3" s="82"/>
      <c r="S3" s="82"/>
      <c r="T3" s="82"/>
      <c r="U3" s="82"/>
      <c r="Y3" s="68"/>
    </row>
    <row r="4" spans="1:27" ht="6" customHeight="1" x14ac:dyDescent="0.3"/>
    <row r="5" spans="1:27" ht="12.75" customHeight="1" x14ac:dyDescent="0.3">
      <c r="A5" t="s">
        <v>688</v>
      </c>
    </row>
    <row r="6" spans="1:27" ht="12.75" customHeight="1" x14ac:dyDescent="0.3">
      <c r="E6" s="768" t="s">
        <v>346</v>
      </c>
      <c r="F6" s="787"/>
      <c r="G6" s="787"/>
      <c r="H6" s="787"/>
      <c r="I6" s="787"/>
      <c r="J6" s="787"/>
      <c r="K6" s="787"/>
      <c r="L6" s="787"/>
      <c r="M6" s="787"/>
      <c r="N6" s="787"/>
      <c r="O6" s="787"/>
      <c r="P6" s="787"/>
      <c r="Q6" s="787"/>
      <c r="R6" s="769"/>
    </row>
    <row r="7" spans="1:27" ht="12.75" customHeight="1" x14ac:dyDescent="0.3">
      <c r="B7" t="s">
        <v>689</v>
      </c>
      <c r="E7" s="166" t="s">
        <v>34</v>
      </c>
      <c r="F7" s="166">
        <v>1</v>
      </c>
      <c r="G7" s="166">
        <v>2</v>
      </c>
      <c r="H7" s="166">
        <v>3</v>
      </c>
      <c r="I7" s="166">
        <v>4</v>
      </c>
      <c r="J7" s="166">
        <v>5</v>
      </c>
      <c r="K7" s="166">
        <v>6</v>
      </c>
      <c r="L7" s="166">
        <v>7</v>
      </c>
      <c r="M7" s="166">
        <v>8</v>
      </c>
      <c r="N7" s="166">
        <v>9</v>
      </c>
      <c r="O7" s="166">
        <v>10</v>
      </c>
      <c r="P7" s="166">
        <v>11</v>
      </c>
      <c r="Q7" s="166">
        <v>12</v>
      </c>
      <c r="R7" s="166" t="s">
        <v>345</v>
      </c>
      <c r="S7" s="70"/>
      <c r="T7" s="70"/>
      <c r="AA7" s="54"/>
    </row>
    <row r="8" spans="1:27" ht="12.75" customHeight="1" x14ac:dyDescent="0.3">
      <c r="B8" t="s">
        <v>690</v>
      </c>
      <c r="E8" s="55">
        <v>0</v>
      </c>
      <c r="F8" s="55">
        <v>0</v>
      </c>
      <c r="G8" s="55">
        <v>0</v>
      </c>
      <c r="H8" s="55">
        <v>0</v>
      </c>
      <c r="I8" s="55">
        <v>0</v>
      </c>
      <c r="J8" s="55">
        <v>0</v>
      </c>
      <c r="K8" s="55">
        <v>0</v>
      </c>
      <c r="L8" s="55">
        <v>0</v>
      </c>
      <c r="M8" s="55">
        <v>0</v>
      </c>
      <c r="N8" s="55">
        <v>0</v>
      </c>
      <c r="O8" s="55">
        <v>0</v>
      </c>
      <c r="P8" s="55">
        <v>0</v>
      </c>
      <c r="Q8" s="55">
        <v>0</v>
      </c>
      <c r="R8" s="75">
        <f>SUM(E8:Q8)</f>
        <v>0</v>
      </c>
      <c r="S8" s="295" t="s">
        <v>1</v>
      </c>
      <c r="AA8" s="54" t="str">
        <f>IF(OR(E8="",F8="",G8="",H8="",I8="",J8="",K8="",L8="",M8="",N8="",O8="",P8="",Q8="",E9="",F9="",G9="",H9="",I9="",J9="",K9="",L9="",M9="",N9="",O9="",P9="",Q9=""),"yes","")</f>
        <v/>
      </c>
    </row>
    <row r="9" spans="1:27" ht="12.75" customHeight="1" x14ac:dyDescent="0.3">
      <c r="B9" t="s">
        <v>691</v>
      </c>
      <c r="E9" s="55">
        <v>0</v>
      </c>
      <c r="F9" s="55">
        <v>0</v>
      </c>
      <c r="G9" s="55">
        <v>0</v>
      </c>
      <c r="H9" s="55">
        <v>0</v>
      </c>
      <c r="I9" s="55">
        <v>0</v>
      </c>
      <c r="J9" s="55">
        <v>0</v>
      </c>
      <c r="K9" s="55">
        <v>0</v>
      </c>
      <c r="L9" s="55">
        <v>0</v>
      </c>
      <c r="M9" s="55">
        <v>0</v>
      </c>
      <c r="N9" s="55">
        <v>0</v>
      </c>
      <c r="O9" s="55">
        <v>0</v>
      </c>
      <c r="P9" s="55">
        <v>0</v>
      </c>
      <c r="Q9" s="55">
        <v>0</v>
      </c>
      <c r="R9" s="75">
        <f>SUM(E9:Q9)</f>
        <v>0</v>
      </c>
      <c r="S9" s="295" t="s">
        <v>2</v>
      </c>
      <c r="AA9" s="54" t="str">
        <f>IF(OR(E10="",F10="",G10="",H10="",I10="",J10="",K10="",L10="",M10="",N10="",O10="",P10="",Q10=""),"yes","")</f>
        <v/>
      </c>
    </row>
    <row r="10" spans="1:27" ht="12.75" customHeight="1" thickBot="1" x14ac:dyDescent="0.35">
      <c r="B10" t="s">
        <v>692</v>
      </c>
      <c r="E10" s="60">
        <v>0</v>
      </c>
      <c r="F10" s="60">
        <v>0</v>
      </c>
      <c r="G10" s="60">
        <v>0</v>
      </c>
      <c r="H10" s="60">
        <v>0</v>
      </c>
      <c r="I10" s="60">
        <v>0</v>
      </c>
      <c r="J10" s="60">
        <v>0</v>
      </c>
      <c r="K10" s="60">
        <v>0</v>
      </c>
      <c r="L10" s="60">
        <v>0</v>
      </c>
      <c r="M10" s="60">
        <v>0</v>
      </c>
      <c r="N10" s="60">
        <v>0</v>
      </c>
      <c r="O10" s="60">
        <v>0</v>
      </c>
      <c r="P10" s="60">
        <v>0</v>
      </c>
      <c r="Q10" s="60">
        <v>0</v>
      </c>
      <c r="R10" s="272">
        <f>SUM(E10:Q10)</f>
        <v>0</v>
      </c>
      <c r="S10" s="295" t="s">
        <v>3</v>
      </c>
      <c r="AA10" s="54"/>
    </row>
    <row r="11" spans="1:27" ht="12.75" customHeight="1" x14ac:dyDescent="0.3">
      <c r="B11" t="s">
        <v>789</v>
      </c>
      <c r="E11" s="831">
        <f t="shared" ref="E11:Q11" si="0">SUM(E8:E10)</f>
        <v>0</v>
      </c>
      <c r="F11" s="831">
        <f t="shared" si="0"/>
        <v>0</v>
      </c>
      <c r="G11" s="831">
        <f t="shared" si="0"/>
        <v>0</v>
      </c>
      <c r="H11" s="831">
        <f t="shared" si="0"/>
        <v>0</v>
      </c>
      <c r="I11" s="831">
        <f t="shared" si="0"/>
        <v>0</v>
      </c>
      <c r="J11" s="831">
        <f t="shared" si="0"/>
        <v>0</v>
      </c>
      <c r="K11" s="831">
        <f t="shared" si="0"/>
        <v>0</v>
      </c>
      <c r="L11" s="831">
        <f t="shared" si="0"/>
        <v>0</v>
      </c>
      <c r="M11" s="831">
        <f t="shared" si="0"/>
        <v>0</v>
      </c>
      <c r="N11" s="831">
        <f t="shared" si="0"/>
        <v>0</v>
      </c>
      <c r="O11" s="831">
        <f t="shared" si="0"/>
        <v>0</v>
      </c>
      <c r="P11" s="831">
        <f t="shared" si="0"/>
        <v>0</v>
      </c>
      <c r="Q11" s="831">
        <f t="shared" si="0"/>
        <v>0</v>
      </c>
      <c r="R11" s="831">
        <f>SUM(E11:Q11)</f>
        <v>0</v>
      </c>
      <c r="S11" s="295"/>
      <c r="AA11" s="54" t="str">
        <f>IF(OR(D17="",D18="",T16="",T17="",T18="",T19="",T20="",T21="",T22="",T25=""),"yes","")</f>
        <v/>
      </c>
    </row>
    <row r="12" spans="1:27" ht="13.5" thickBot="1" x14ac:dyDescent="0.35">
      <c r="B12" t="s">
        <v>114</v>
      </c>
      <c r="E12" s="832"/>
      <c r="F12" s="832"/>
      <c r="G12" s="832"/>
      <c r="H12" s="832"/>
      <c r="I12" s="832"/>
      <c r="J12" s="832"/>
      <c r="K12" s="832"/>
      <c r="L12" s="832"/>
      <c r="M12" s="832"/>
      <c r="N12" s="832"/>
      <c r="O12" s="832"/>
      <c r="P12" s="832"/>
      <c r="Q12" s="832"/>
      <c r="R12" s="832"/>
      <c r="S12" s="295" t="s">
        <v>4</v>
      </c>
      <c r="AA12" s="54" t="str">
        <f>IF(AND(AA8="",AA9="",AA11=""),"","yes")</f>
        <v/>
      </c>
    </row>
    <row r="13" spans="1:27" ht="16.5" customHeight="1" thickTop="1" x14ac:dyDescent="0.3">
      <c r="AA13" s="54"/>
    </row>
    <row r="14" spans="1:27" ht="12.75" customHeight="1" x14ac:dyDescent="0.3">
      <c r="A14" s="833" t="s">
        <v>724</v>
      </c>
      <c r="B14" s="833"/>
      <c r="C14" s="833"/>
      <c r="D14" s="833"/>
      <c r="E14" s="833"/>
      <c r="F14" s="297"/>
      <c r="G14" s="297"/>
      <c r="AA14" s="54"/>
    </row>
    <row r="15" spans="1:27" ht="38.25" customHeight="1" x14ac:dyDescent="0.3">
      <c r="A15" s="259"/>
      <c r="B15" s="835" t="s">
        <v>725</v>
      </c>
      <c r="C15" s="835"/>
      <c r="D15" s="835"/>
      <c r="E15" s="835"/>
      <c r="F15" s="297"/>
      <c r="G15" s="298"/>
      <c r="K15" s="703" t="s">
        <v>726</v>
      </c>
      <c r="L15" s="703"/>
      <c r="M15" s="703"/>
      <c r="N15" s="703"/>
      <c r="O15" s="703"/>
      <c r="P15" s="703"/>
      <c r="Q15" s="703"/>
      <c r="R15" s="703"/>
      <c r="S15" s="299" t="s">
        <v>800</v>
      </c>
      <c r="T15" s="300" t="s">
        <v>801</v>
      </c>
      <c r="AA15" s="54"/>
    </row>
    <row r="16" spans="1:27" ht="12.75" customHeight="1" x14ac:dyDescent="0.3">
      <c r="B16" s="74" t="s">
        <v>761</v>
      </c>
      <c r="K16" s="79" t="s">
        <v>1</v>
      </c>
      <c r="L16" s="833" t="s">
        <v>727</v>
      </c>
      <c r="M16" s="833"/>
      <c r="N16" s="833"/>
      <c r="O16" s="833"/>
      <c r="P16" s="833"/>
      <c r="S16" s="111">
        <v>110326</v>
      </c>
      <c r="T16" s="58">
        <v>84332</v>
      </c>
      <c r="U16" s="295" t="s">
        <v>1</v>
      </c>
    </row>
    <row r="17" spans="1:21" ht="12.75" customHeight="1" x14ac:dyDescent="0.3">
      <c r="B17" t="s">
        <v>51</v>
      </c>
      <c r="C17" s="3" t="s">
        <v>29</v>
      </c>
      <c r="D17" s="27">
        <v>0</v>
      </c>
      <c r="K17" s="79" t="s">
        <v>2</v>
      </c>
      <c r="L17" s="833" t="s">
        <v>697</v>
      </c>
      <c r="M17" s="833"/>
      <c r="N17" s="833"/>
      <c r="O17" s="215"/>
      <c r="S17" s="111">
        <f>[2]!P200GiftedEducation</f>
        <v>0</v>
      </c>
      <c r="T17" s="58">
        <v>0</v>
      </c>
      <c r="U17" s="295" t="s">
        <v>2</v>
      </c>
    </row>
    <row r="18" spans="1:21" ht="12.75" customHeight="1" x14ac:dyDescent="0.3">
      <c r="B18" s="295" t="s">
        <v>47</v>
      </c>
      <c r="C18" s="3" t="s">
        <v>29</v>
      </c>
      <c r="D18" s="28">
        <v>0</v>
      </c>
      <c r="K18" s="79" t="s">
        <v>3</v>
      </c>
      <c r="L18" t="s">
        <v>781</v>
      </c>
      <c r="S18" s="134">
        <f>[2]!P200ELLIncrementalCosts</f>
        <v>0</v>
      </c>
      <c r="T18" s="58">
        <v>0</v>
      </c>
      <c r="U18" s="295" t="s">
        <v>3</v>
      </c>
    </row>
    <row r="19" spans="1:21" ht="12.75" customHeight="1" thickBot="1" x14ac:dyDescent="0.35">
      <c r="B19" t="s">
        <v>64</v>
      </c>
      <c r="C19" s="3" t="s">
        <v>29</v>
      </c>
      <c r="D19" s="301">
        <f>SUM(D17:D18)</f>
        <v>0</v>
      </c>
      <c r="E19" s="215"/>
      <c r="K19" s="79" t="s">
        <v>4</v>
      </c>
      <c r="L19" t="s">
        <v>693</v>
      </c>
      <c r="S19" s="111">
        <f>[2]!P200ELLCompensatoryInstruction</f>
        <v>0</v>
      </c>
      <c r="T19" s="58">
        <v>0</v>
      </c>
      <c r="U19" s="295" t="s">
        <v>4</v>
      </c>
    </row>
    <row r="20" spans="1:21" ht="12.75" customHeight="1" thickTop="1" x14ac:dyDescent="0.3">
      <c r="K20" s="79" t="s">
        <v>5</v>
      </c>
      <c r="L20" t="s">
        <v>694</v>
      </c>
      <c r="S20" s="111">
        <f>[2]!P200RemedialEducation</f>
        <v>0</v>
      </c>
      <c r="T20" s="58">
        <v>0</v>
      </c>
      <c r="U20" s="295" t="s">
        <v>5</v>
      </c>
    </row>
    <row r="21" spans="1:21" ht="13" x14ac:dyDescent="0.3">
      <c r="K21" s="79" t="s">
        <v>6</v>
      </c>
      <c r="L21" t="s">
        <v>695</v>
      </c>
      <c r="S21" s="111">
        <f>[2]!P200VocationalandTechnologicalEd</f>
        <v>0</v>
      </c>
      <c r="T21" s="58">
        <v>0</v>
      </c>
      <c r="U21" s="295" t="s">
        <v>6</v>
      </c>
    </row>
    <row r="22" spans="1:21" ht="12" customHeight="1" thickBot="1" x14ac:dyDescent="0.35">
      <c r="K22" s="79" t="s">
        <v>7</v>
      </c>
      <c r="L22" t="s">
        <v>696</v>
      </c>
      <c r="S22" s="266">
        <f>[2]!P200CareerEducation</f>
        <v>0</v>
      </c>
      <c r="T22" s="61">
        <v>0</v>
      </c>
      <c r="U22" s="295" t="s">
        <v>7</v>
      </c>
    </row>
    <row r="23" spans="1:21" ht="12.75" customHeight="1" thickBot="1" x14ac:dyDescent="0.35">
      <c r="K23" s="79" t="s">
        <v>8</v>
      </c>
      <c r="L23" s="834" t="s">
        <v>125</v>
      </c>
      <c r="M23" s="834"/>
      <c r="N23" s="834"/>
      <c r="O23" s="834"/>
      <c r="P23" s="834"/>
      <c r="Q23" s="4"/>
      <c r="S23" s="302">
        <f>SUM(S16:S22)</f>
        <v>110326</v>
      </c>
      <c r="T23" s="302">
        <f>SUM(T16:T22)</f>
        <v>84332</v>
      </c>
      <c r="U23" s="295" t="s">
        <v>8</v>
      </c>
    </row>
    <row r="24" spans="1:21" ht="12.75" customHeight="1" thickTop="1" x14ac:dyDescent="0.3">
      <c r="A24" s="3"/>
      <c r="B24" s="745"/>
      <c r="C24" s="745"/>
      <c r="D24" s="745"/>
      <c r="E24" s="745"/>
      <c r="F24" s="745"/>
      <c r="G24" s="745"/>
      <c r="H24" s="745"/>
      <c r="K24" s="79"/>
      <c r="U24" s="295"/>
    </row>
    <row r="25" spans="1:21" ht="12.75" customHeight="1" x14ac:dyDescent="0.3">
      <c r="A25" s="3"/>
      <c r="B25" s="745"/>
      <c r="C25" s="745"/>
      <c r="D25" s="745"/>
      <c r="E25" s="745"/>
      <c r="F25" s="745"/>
      <c r="G25" s="745"/>
      <c r="H25" s="745"/>
      <c r="K25" s="79" t="s">
        <v>9</v>
      </c>
      <c r="L25" s="838" t="s">
        <v>840</v>
      </c>
      <c r="M25" s="838"/>
      <c r="N25" s="838"/>
      <c r="O25" s="838"/>
      <c r="P25" s="838"/>
      <c r="Q25" s="838"/>
      <c r="R25" s="839"/>
      <c r="S25" s="836">
        <f>'[2]Page 2'!$N$14</f>
        <v>0</v>
      </c>
      <c r="T25" s="840">
        <v>0</v>
      </c>
      <c r="U25" s="295" t="s">
        <v>9</v>
      </c>
    </row>
    <row r="26" spans="1:21" ht="19.5" customHeight="1" thickBot="1" x14ac:dyDescent="0.35">
      <c r="A26" s="79"/>
      <c r="L26" s="838"/>
      <c r="M26" s="838"/>
      <c r="N26" s="838"/>
      <c r="O26" s="838"/>
      <c r="P26" s="838"/>
      <c r="Q26" s="838"/>
      <c r="R26" s="839"/>
      <c r="S26" s="837"/>
      <c r="T26" s="841"/>
    </row>
    <row r="31" spans="1:21" ht="12.75" customHeight="1" x14ac:dyDescent="0.3">
      <c r="B31" s="29"/>
      <c r="C31" s="29"/>
    </row>
  </sheetData>
  <sheetProtection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41" priority="1" stopIfTrue="1">
      <formula>$D17=""</formula>
    </cfRule>
  </conditionalFormatting>
  <conditionalFormatting sqref="E8:Q10">
    <cfRule type="expression" dxfId="40" priority="4" stopIfTrue="1">
      <formula>E8=""</formula>
    </cfRule>
  </conditionalFormatting>
  <conditionalFormatting sqref="T16:T22 T25">
    <cfRule type="expression" dxfId="39" priority="2"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B46"/>
  <sheetViews>
    <sheetView showGridLines="0" workbookViewId="0">
      <selection activeCell="E43" sqref="E43"/>
    </sheetView>
  </sheetViews>
  <sheetFormatPr defaultColWidth="9.296875" defaultRowHeight="13" x14ac:dyDescent="0.3"/>
  <cols>
    <col min="1" max="1" width="21.296875" customWidth="1"/>
    <col min="2" max="2" width="19.296875" customWidth="1"/>
    <col min="3" max="3" width="13" customWidth="1"/>
    <col min="4" max="4" width="3.796875" style="3" customWidth="1"/>
    <col min="5" max="11" width="13.796875" customWidth="1"/>
    <col min="12" max="12" width="15.296875" customWidth="1"/>
    <col min="13" max="13" width="13.796875" customWidth="1"/>
    <col min="14" max="14" width="3.296875" bestFit="1" customWidth="1"/>
    <col min="15" max="16" width="9.296875" customWidth="1"/>
    <col min="17" max="17" width="9.296875" hidden="1" customWidth="1"/>
    <col min="18" max="18" width="11" hidden="1" customWidth="1"/>
    <col min="19" max="24" width="9.296875" hidden="1" customWidth="1"/>
    <col min="25" max="25" width="9.296875" customWidth="1"/>
  </cols>
  <sheetData>
    <row r="1" spans="1:28" x14ac:dyDescent="0.3">
      <c r="A1" s="71" t="s">
        <v>336</v>
      </c>
      <c r="B1" s="750" t="str">
        <f>'Cover Page'!D1</f>
        <v>Valor Preparatory Academy, LLC</v>
      </c>
      <c r="C1" s="750"/>
      <c r="D1" s="750"/>
      <c r="F1" s="68" t="s">
        <v>331</v>
      </c>
      <c r="G1" s="750" t="str">
        <f>'Cover Page'!M1</f>
        <v>Maricopa</v>
      </c>
      <c r="H1" s="750"/>
      <c r="L1" s="68" t="s">
        <v>592</v>
      </c>
      <c r="M1" s="69" t="str">
        <f>'Cover Page'!R1</f>
        <v>078104000</v>
      </c>
    </row>
    <row r="3" spans="1:28" x14ac:dyDescent="0.3">
      <c r="A3" s="842" t="s">
        <v>347</v>
      </c>
      <c r="B3" s="842"/>
      <c r="C3" s="842"/>
      <c r="D3" s="843"/>
      <c r="E3" s="89" t="s">
        <v>100</v>
      </c>
      <c r="F3" s="89"/>
      <c r="G3" s="89" t="s">
        <v>350</v>
      </c>
      <c r="H3" s="89"/>
      <c r="I3" s="222"/>
      <c r="J3" s="221"/>
      <c r="K3" s="221" t="s">
        <v>1115</v>
      </c>
      <c r="L3" s="89" t="s">
        <v>353</v>
      </c>
      <c r="M3" s="89" t="s">
        <v>98</v>
      </c>
    </row>
    <row r="4" spans="1:28" x14ac:dyDescent="0.3">
      <c r="E4" s="96" t="s">
        <v>348</v>
      </c>
      <c r="F4" s="96" t="s">
        <v>163</v>
      </c>
      <c r="G4" s="96" t="s">
        <v>351</v>
      </c>
      <c r="H4" s="96" t="s">
        <v>352</v>
      </c>
      <c r="I4" s="844" t="s">
        <v>58</v>
      </c>
      <c r="J4" s="845"/>
      <c r="K4" s="303" t="s">
        <v>1116</v>
      </c>
      <c r="L4" s="96" t="s">
        <v>354</v>
      </c>
      <c r="M4" s="96" t="s">
        <v>348</v>
      </c>
      <c r="Z4" s="107"/>
      <c r="AA4" s="54"/>
      <c r="AB4" s="54"/>
    </row>
    <row r="5" spans="1:28" x14ac:dyDescent="0.3">
      <c r="A5" s="71" t="s">
        <v>355</v>
      </c>
      <c r="E5" s="102" t="s">
        <v>349</v>
      </c>
      <c r="F5" s="102" t="s">
        <v>349</v>
      </c>
      <c r="G5" s="102" t="s">
        <v>349</v>
      </c>
      <c r="H5" s="102" t="s">
        <v>349</v>
      </c>
      <c r="I5" s="166" t="s">
        <v>71</v>
      </c>
      <c r="J5" s="166" t="s">
        <v>72</v>
      </c>
      <c r="K5" s="102" t="s">
        <v>1117</v>
      </c>
      <c r="L5" s="102" t="s">
        <v>349</v>
      </c>
      <c r="M5" s="102" t="s">
        <v>349</v>
      </c>
      <c r="S5" s="107"/>
      <c r="AA5" s="54"/>
      <c r="AB5" s="54"/>
    </row>
    <row r="6" spans="1:28" x14ac:dyDescent="0.3">
      <c r="A6" t="s">
        <v>698</v>
      </c>
      <c r="D6" s="3" t="s">
        <v>1</v>
      </c>
      <c r="E6" s="111">
        <v>0</v>
      </c>
      <c r="F6" s="111">
        <v>0</v>
      </c>
      <c r="G6" s="111">
        <v>0</v>
      </c>
      <c r="H6" s="111">
        <v>0</v>
      </c>
      <c r="I6" s="111">
        <v>0</v>
      </c>
      <c r="J6" s="75">
        <v>0</v>
      </c>
      <c r="K6" s="304"/>
      <c r="L6" s="111">
        <v>0</v>
      </c>
      <c r="M6" s="75">
        <f>SUM(E6+F6-G6-H6-J6-L6)</f>
        <v>0</v>
      </c>
      <c r="N6" t="s">
        <v>1</v>
      </c>
      <c r="AA6" s="54"/>
      <c r="AB6" s="54" t="str">
        <f>IF(OR(H6="",H7="",H8="",H9="",H10="",H11="",H12="",H13="",H14="",H15="",H16="",H17="",H18="",H19="",H20="",H21="",H22=""),"yes","")</f>
        <v/>
      </c>
    </row>
    <row r="7" spans="1:28" x14ac:dyDescent="0.3">
      <c r="A7" t="s">
        <v>699</v>
      </c>
      <c r="D7" s="3" t="s">
        <v>2</v>
      </c>
      <c r="E7" s="111">
        <v>0</v>
      </c>
      <c r="F7" s="111">
        <v>0</v>
      </c>
      <c r="G7" s="111">
        <v>0</v>
      </c>
      <c r="H7" s="111">
        <v>0</v>
      </c>
      <c r="I7" s="111">
        <v>0</v>
      </c>
      <c r="J7" s="75">
        <v>0</v>
      </c>
      <c r="K7" s="304"/>
      <c r="L7" s="111">
        <v>0</v>
      </c>
      <c r="M7" s="75">
        <f>SUM(E7+F7-G7-H7-J7-L7)</f>
        <v>0</v>
      </c>
      <c r="N7" t="s">
        <v>2</v>
      </c>
      <c r="AA7" s="54"/>
      <c r="AB7" s="54" t="str">
        <f>IF(OR(L6="",L7="",L8="",L9="",L10="",L11="",L12="",L13="",L14="",L15="",L16="",L17="",L18="",L19="",L20="",L21="",L22=""),"yes","")</f>
        <v/>
      </c>
    </row>
    <row r="8" spans="1:28" x14ac:dyDescent="0.3">
      <c r="A8" t="s">
        <v>700</v>
      </c>
      <c r="D8" s="3" t="s">
        <v>3</v>
      </c>
      <c r="E8" s="111">
        <v>0</v>
      </c>
      <c r="F8" s="111">
        <v>0</v>
      </c>
      <c r="G8" s="111">
        <v>0</v>
      </c>
      <c r="H8" s="111">
        <v>0</v>
      </c>
      <c r="I8" s="111">
        <v>0</v>
      </c>
      <c r="J8" s="75">
        <v>0</v>
      </c>
      <c r="K8" s="304"/>
      <c r="L8" s="111">
        <v>0</v>
      </c>
      <c r="M8" s="75">
        <f t="shared" ref="M8:M23" si="0">SUM(E8+F8-G8-H8-J8-L8)</f>
        <v>0</v>
      </c>
      <c r="N8" t="s">
        <v>3</v>
      </c>
      <c r="AA8" s="54"/>
      <c r="AB8" s="54" t="str">
        <f>IF(OR(H25="",I25="",L25=""),"yes","")</f>
        <v>yes</v>
      </c>
    </row>
    <row r="9" spans="1:28" x14ac:dyDescent="0.3">
      <c r="A9" t="s">
        <v>701</v>
      </c>
      <c r="D9" s="3" t="s">
        <v>4</v>
      </c>
      <c r="E9" s="111">
        <v>0</v>
      </c>
      <c r="F9" s="111">
        <v>0</v>
      </c>
      <c r="G9" s="111">
        <v>0</v>
      </c>
      <c r="H9" s="111">
        <v>0</v>
      </c>
      <c r="I9" s="111">
        <v>0</v>
      </c>
      <c r="J9" s="75">
        <v>0</v>
      </c>
      <c r="K9" s="304"/>
      <c r="L9" s="111">
        <v>0</v>
      </c>
      <c r="M9" s="75">
        <f t="shared" si="0"/>
        <v>0</v>
      </c>
      <c r="N9" t="s">
        <v>4</v>
      </c>
      <c r="AA9" s="54"/>
      <c r="AB9" s="54" t="str">
        <f>IF(OR(H28="",H29="",H30="",H31="",H32="",H33="",H34="",H35="",H36="",H37="",H38="",H39="",H40=""),"yes","")</f>
        <v/>
      </c>
    </row>
    <row r="10" spans="1:28" x14ac:dyDescent="0.3">
      <c r="A10" t="s">
        <v>702</v>
      </c>
      <c r="D10" s="3" t="s">
        <v>5</v>
      </c>
      <c r="E10" s="111">
        <v>0</v>
      </c>
      <c r="F10" s="111">
        <v>0</v>
      </c>
      <c r="G10" s="111">
        <v>0</v>
      </c>
      <c r="H10" s="111">
        <v>0</v>
      </c>
      <c r="I10" s="111">
        <v>0</v>
      </c>
      <c r="J10" s="75">
        <v>0</v>
      </c>
      <c r="K10" s="304"/>
      <c r="L10" s="111">
        <v>0</v>
      </c>
      <c r="M10" s="75">
        <f t="shared" si="0"/>
        <v>0</v>
      </c>
      <c r="N10" t="s">
        <v>5</v>
      </c>
      <c r="AA10" s="54"/>
      <c r="AB10" s="54" t="str">
        <f>IF(OR(L28="",L29="",L30="",L31="",L32="",L33="",L34="",L35="",L36="",L37="",L38="",L39="",L40=""),"yes","")</f>
        <v/>
      </c>
    </row>
    <row r="11" spans="1:28" x14ac:dyDescent="0.3">
      <c r="A11" t="s">
        <v>703</v>
      </c>
      <c r="D11" s="3" t="s">
        <v>6</v>
      </c>
      <c r="E11" s="111">
        <v>0</v>
      </c>
      <c r="F11" s="111">
        <v>0</v>
      </c>
      <c r="G11" s="111">
        <v>0</v>
      </c>
      <c r="H11" s="111">
        <v>0</v>
      </c>
      <c r="I11" s="111">
        <v>0</v>
      </c>
      <c r="J11" s="75">
        <v>0</v>
      </c>
      <c r="K11" s="304"/>
      <c r="L11" s="111">
        <v>0</v>
      </c>
      <c r="M11" s="75">
        <f t="shared" si="0"/>
        <v>0</v>
      </c>
      <c r="N11" t="s">
        <v>6</v>
      </c>
      <c r="AA11" s="54"/>
      <c r="AB11" s="54" t="str">
        <f>IF(AND(AB6="",AB8="",AB9="",AB7="",AB10=""),"","yes")</f>
        <v>yes</v>
      </c>
    </row>
    <row r="12" spans="1:28" x14ac:dyDescent="0.3">
      <c r="A12" t="s">
        <v>704</v>
      </c>
      <c r="D12" s="3" t="s">
        <v>7</v>
      </c>
      <c r="E12" s="111">
        <v>0</v>
      </c>
      <c r="F12" s="111">
        <v>0</v>
      </c>
      <c r="G12" s="111">
        <v>0</v>
      </c>
      <c r="H12" s="111">
        <v>0</v>
      </c>
      <c r="I12" s="111">
        <v>0</v>
      </c>
      <c r="J12" s="75">
        <v>0</v>
      </c>
      <c r="K12" s="304"/>
      <c r="L12" s="111">
        <v>0</v>
      </c>
      <c r="M12" s="75">
        <f t="shared" si="0"/>
        <v>0</v>
      </c>
      <c r="N12" t="s">
        <v>7</v>
      </c>
      <c r="AA12" s="54"/>
      <c r="AB12" s="54"/>
    </row>
    <row r="13" spans="1:28" x14ac:dyDescent="0.3">
      <c r="A13" t="s">
        <v>935</v>
      </c>
      <c r="D13" s="3" t="s">
        <v>8</v>
      </c>
      <c r="E13" s="111">
        <v>0</v>
      </c>
      <c r="F13" s="111">
        <v>15635</v>
      </c>
      <c r="G13" s="111">
        <v>0</v>
      </c>
      <c r="H13" s="111">
        <v>0</v>
      </c>
      <c r="I13" s="75">
        <v>15420</v>
      </c>
      <c r="J13" s="75">
        <v>15635</v>
      </c>
      <c r="K13" s="304"/>
      <c r="L13" s="111">
        <v>0</v>
      </c>
      <c r="M13" s="75">
        <f t="shared" si="0"/>
        <v>0</v>
      </c>
      <c r="N13" t="s">
        <v>8</v>
      </c>
      <c r="AA13" s="54"/>
      <c r="AB13" s="54"/>
    </row>
    <row r="14" spans="1:28" x14ac:dyDescent="0.3">
      <c r="A14" t="s">
        <v>35</v>
      </c>
      <c r="D14" s="3" t="s">
        <v>9</v>
      </c>
      <c r="E14" s="111">
        <v>0</v>
      </c>
      <c r="F14" s="111">
        <v>0</v>
      </c>
      <c r="G14" s="111">
        <v>0</v>
      </c>
      <c r="H14" s="111">
        <v>0</v>
      </c>
      <c r="I14" s="111">
        <v>0</v>
      </c>
      <c r="J14" s="75">
        <v>0</v>
      </c>
      <c r="K14" s="304"/>
      <c r="L14" s="111">
        <v>0</v>
      </c>
      <c r="M14" s="75">
        <f t="shared" si="0"/>
        <v>0</v>
      </c>
      <c r="N14" t="s">
        <v>9</v>
      </c>
      <c r="AA14" s="54"/>
      <c r="AB14" s="54"/>
    </row>
    <row r="15" spans="1:28" x14ac:dyDescent="0.3">
      <c r="A15" t="s">
        <v>74</v>
      </c>
      <c r="D15" s="3" t="s">
        <v>10</v>
      </c>
      <c r="E15" s="111">
        <v>0</v>
      </c>
      <c r="F15" s="111">
        <v>0</v>
      </c>
      <c r="G15" s="111">
        <v>0</v>
      </c>
      <c r="H15" s="111">
        <v>0</v>
      </c>
      <c r="I15" s="111">
        <v>0</v>
      </c>
      <c r="J15" s="75">
        <v>0</v>
      </c>
      <c r="K15" s="304"/>
      <c r="L15" s="111">
        <v>0</v>
      </c>
      <c r="M15" s="75">
        <f t="shared" si="0"/>
        <v>0</v>
      </c>
      <c r="N15" t="s">
        <v>10</v>
      </c>
      <c r="AA15" s="54"/>
      <c r="AB15" s="54"/>
    </row>
    <row r="16" spans="1:28" x14ac:dyDescent="0.3">
      <c r="A16" t="s">
        <v>705</v>
      </c>
      <c r="D16" s="3" t="s">
        <v>11</v>
      </c>
      <c r="E16" s="111">
        <v>0</v>
      </c>
      <c r="F16" s="111">
        <v>0</v>
      </c>
      <c r="G16" s="111">
        <v>0</v>
      </c>
      <c r="H16" s="111">
        <v>0</v>
      </c>
      <c r="I16" s="111">
        <v>0</v>
      </c>
      <c r="J16" s="75">
        <v>0</v>
      </c>
      <c r="K16" s="304"/>
      <c r="L16" s="111">
        <v>0</v>
      </c>
      <c r="M16" s="75">
        <f t="shared" si="0"/>
        <v>0</v>
      </c>
      <c r="N16" t="s">
        <v>11</v>
      </c>
      <c r="AA16" s="54"/>
      <c r="AB16" s="54"/>
    </row>
    <row r="17" spans="1:28" x14ac:dyDescent="0.3">
      <c r="A17" t="s">
        <v>706</v>
      </c>
      <c r="D17" s="3" t="s">
        <v>12</v>
      </c>
      <c r="E17" s="111">
        <v>0</v>
      </c>
      <c r="F17" s="111">
        <v>0</v>
      </c>
      <c r="G17" s="111">
        <v>0</v>
      </c>
      <c r="H17" s="111">
        <v>0</v>
      </c>
      <c r="I17" s="111">
        <v>0</v>
      </c>
      <c r="J17" s="75">
        <v>0</v>
      </c>
      <c r="K17" s="304"/>
      <c r="L17" s="111">
        <v>0</v>
      </c>
      <c r="M17" s="75">
        <f t="shared" si="0"/>
        <v>0</v>
      </c>
      <c r="N17" t="s">
        <v>12</v>
      </c>
      <c r="AA17" s="54"/>
      <c r="AB17" s="54"/>
    </row>
    <row r="18" spans="1:28" x14ac:dyDescent="0.3">
      <c r="A18" t="s">
        <v>707</v>
      </c>
      <c r="D18" s="3" t="s">
        <v>13</v>
      </c>
      <c r="E18" s="111">
        <v>0</v>
      </c>
      <c r="F18" s="111">
        <v>0</v>
      </c>
      <c r="G18" s="111">
        <v>0</v>
      </c>
      <c r="H18" s="111">
        <v>0</v>
      </c>
      <c r="I18" s="111">
        <v>0</v>
      </c>
      <c r="J18" s="75">
        <v>0</v>
      </c>
      <c r="K18" s="304"/>
      <c r="L18" s="111">
        <v>0</v>
      </c>
      <c r="M18" s="75">
        <f t="shared" si="0"/>
        <v>0</v>
      </c>
      <c r="N18" t="s">
        <v>13</v>
      </c>
      <c r="O18" s="107"/>
    </row>
    <row r="19" spans="1:28" x14ac:dyDescent="0.3">
      <c r="A19" t="s">
        <v>53</v>
      </c>
      <c r="D19" s="3" t="s">
        <v>14</v>
      </c>
      <c r="E19" s="111">
        <v>0</v>
      </c>
      <c r="F19" s="111">
        <v>0</v>
      </c>
      <c r="G19" s="111">
        <v>0</v>
      </c>
      <c r="H19" s="111">
        <v>0</v>
      </c>
      <c r="I19" s="111">
        <v>0</v>
      </c>
      <c r="J19" s="75">
        <v>0</v>
      </c>
      <c r="K19" s="304"/>
      <c r="L19" s="111">
        <v>0</v>
      </c>
      <c r="M19" s="75">
        <f t="shared" si="0"/>
        <v>0</v>
      </c>
      <c r="N19" t="s">
        <v>14</v>
      </c>
      <c r="O19" s="149"/>
      <c r="P19" s="149"/>
      <c r="R19" s="29"/>
    </row>
    <row r="20" spans="1:28" x14ac:dyDescent="0.3">
      <c r="A20" t="s">
        <v>54</v>
      </c>
      <c r="D20" s="79" t="s">
        <v>15</v>
      </c>
      <c r="E20" s="111">
        <v>0</v>
      </c>
      <c r="F20" s="111">
        <v>0</v>
      </c>
      <c r="G20" s="111">
        <v>0</v>
      </c>
      <c r="H20" s="111">
        <v>0</v>
      </c>
      <c r="I20" s="111">
        <v>0</v>
      </c>
      <c r="J20" s="75">
        <v>0</v>
      </c>
      <c r="K20" s="304"/>
      <c r="L20" s="111">
        <v>0</v>
      </c>
      <c r="M20" s="75">
        <f t="shared" si="0"/>
        <v>0</v>
      </c>
      <c r="N20" s="295" t="s">
        <v>15</v>
      </c>
      <c r="O20" s="149"/>
      <c r="P20" s="149"/>
      <c r="R20" s="29"/>
    </row>
    <row r="21" spans="1:28" x14ac:dyDescent="0.3">
      <c r="A21" s="259" t="s">
        <v>120</v>
      </c>
      <c r="B21" s="259"/>
      <c r="C21" s="259"/>
      <c r="D21" s="83" t="s">
        <v>16</v>
      </c>
      <c r="E21" s="111">
        <v>0</v>
      </c>
      <c r="F21" s="111">
        <v>0</v>
      </c>
      <c r="G21" s="111">
        <v>0</v>
      </c>
      <c r="H21" s="111">
        <v>0</v>
      </c>
      <c r="I21" s="111">
        <v>0</v>
      </c>
      <c r="J21" s="75">
        <v>0</v>
      </c>
      <c r="K21" s="304"/>
      <c r="L21" s="111">
        <v>0</v>
      </c>
      <c r="M21" s="75">
        <f>SUM(E21+F21-G21-H21-J21-L21)</f>
        <v>0</v>
      </c>
      <c r="N21" s="295" t="s">
        <v>16</v>
      </c>
      <c r="O21" s="149"/>
      <c r="P21" s="149"/>
      <c r="R21" s="29"/>
    </row>
    <row r="22" spans="1:28" ht="13.5" thickBot="1" x14ac:dyDescent="0.35">
      <c r="A22" s="259" t="s">
        <v>790</v>
      </c>
      <c r="B22" s="259"/>
      <c r="C22" s="259"/>
      <c r="D22" s="79" t="s">
        <v>17</v>
      </c>
      <c r="E22" s="266">
        <v>0</v>
      </c>
      <c r="F22" s="266">
        <v>0</v>
      </c>
      <c r="G22" s="266">
        <v>0</v>
      </c>
      <c r="H22" s="266">
        <v>0</v>
      </c>
      <c r="I22" s="111">
        <v>0</v>
      </c>
      <c r="J22" s="75">
        <v>0</v>
      </c>
      <c r="K22" s="60">
        <v>0</v>
      </c>
      <c r="L22" s="266">
        <v>0</v>
      </c>
      <c r="M22" s="272">
        <f>SUM(E22+F22-G22-H22-J22-L22-K22)</f>
        <v>0</v>
      </c>
      <c r="N22" s="295" t="s">
        <v>17</v>
      </c>
      <c r="O22" s="149"/>
      <c r="P22" s="149"/>
      <c r="R22" s="29"/>
    </row>
    <row r="23" spans="1:28" ht="13.5" thickBot="1" x14ac:dyDescent="0.35">
      <c r="A23" t="s">
        <v>708</v>
      </c>
      <c r="D23" s="79" t="s">
        <v>18</v>
      </c>
      <c r="E23" s="267">
        <f t="shared" ref="E23:L23" si="1">SUM(E6:E22)</f>
        <v>0</v>
      </c>
      <c r="F23" s="267">
        <f t="shared" si="1"/>
        <v>15635</v>
      </c>
      <c r="G23" s="267">
        <f t="shared" si="1"/>
        <v>0</v>
      </c>
      <c r="H23" s="267">
        <f t="shared" si="1"/>
        <v>0</v>
      </c>
      <c r="I23" s="267">
        <f t="shared" si="1"/>
        <v>15420</v>
      </c>
      <c r="J23" s="267">
        <f t="shared" si="1"/>
        <v>15635</v>
      </c>
      <c r="K23" s="267">
        <f>SUM(K6:K22)</f>
        <v>0</v>
      </c>
      <c r="L23" s="267">
        <f t="shared" si="1"/>
        <v>0</v>
      </c>
      <c r="M23" s="267">
        <f t="shared" si="0"/>
        <v>0</v>
      </c>
      <c r="N23" s="295" t="s">
        <v>18</v>
      </c>
    </row>
    <row r="24" spans="1:28" ht="13.5" thickTop="1" x14ac:dyDescent="0.3">
      <c r="D24" s="79"/>
      <c r="E24" s="29"/>
      <c r="F24" s="29"/>
      <c r="G24" s="29"/>
      <c r="H24" s="29"/>
      <c r="I24" s="29"/>
      <c r="J24" s="29"/>
      <c r="K24" s="29"/>
      <c r="L24" s="29"/>
      <c r="M24" s="29"/>
      <c r="N24" s="295"/>
    </row>
    <row r="25" spans="1:28" x14ac:dyDescent="0.3">
      <c r="A25" s="259" t="s">
        <v>943</v>
      </c>
      <c r="B25" s="259"/>
      <c r="C25" s="259"/>
      <c r="D25" s="79" t="s">
        <v>19</v>
      </c>
      <c r="E25" s="111">
        <v>0</v>
      </c>
      <c r="F25" s="75">
        <v>0</v>
      </c>
      <c r="G25" s="111">
        <v>0</v>
      </c>
      <c r="H25" s="57">
        <v>0</v>
      </c>
      <c r="I25" s="126"/>
      <c r="J25" s="75">
        <v>0</v>
      </c>
      <c r="K25" s="55">
        <v>0</v>
      </c>
      <c r="L25" s="57">
        <v>0</v>
      </c>
      <c r="M25" s="75">
        <f>SUM(E25+F25-G25-H25-J25-L25-K25)</f>
        <v>0</v>
      </c>
      <c r="N25" s="79" t="s">
        <v>19</v>
      </c>
    </row>
    <row r="26" spans="1:28" x14ac:dyDescent="0.3">
      <c r="D26" s="79"/>
      <c r="E26" s="29"/>
      <c r="F26" s="29"/>
      <c r="G26" s="29"/>
      <c r="H26" s="29"/>
      <c r="I26" s="29"/>
      <c r="J26" s="29"/>
      <c r="K26" s="29"/>
      <c r="L26" s="29"/>
      <c r="M26" s="29"/>
      <c r="N26" s="295"/>
    </row>
    <row r="27" spans="1:28" x14ac:dyDescent="0.3">
      <c r="A27" s="71" t="s">
        <v>356</v>
      </c>
      <c r="E27" s="262"/>
      <c r="F27" s="262"/>
      <c r="G27" s="262"/>
      <c r="H27" s="262"/>
      <c r="I27" s="262"/>
      <c r="J27" s="262"/>
      <c r="K27" s="262"/>
      <c r="L27" s="262"/>
      <c r="M27" s="262"/>
    </row>
    <row r="28" spans="1:28" x14ac:dyDescent="0.3">
      <c r="A28" t="s">
        <v>36</v>
      </c>
      <c r="D28" s="79" t="s">
        <v>20</v>
      </c>
      <c r="E28" s="111">
        <v>0</v>
      </c>
      <c r="F28" s="111">
        <v>0</v>
      </c>
      <c r="G28" s="123"/>
      <c r="H28" s="55">
        <v>0</v>
      </c>
      <c r="I28" s="111">
        <v>0</v>
      </c>
      <c r="J28" s="75">
        <v>0</v>
      </c>
      <c r="K28" s="55">
        <v>0</v>
      </c>
      <c r="L28" s="55">
        <v>0</v>
      </c>
      <c r="M28" s="75">
        <f>SUM(E28+F28-G28-H28-J28-K28-L28)</f>
        <v>0</v>
      </c>
      <c r="N28" s="79" t="s">
        <v>20</v>
      </c>
    </row>
    <row r="29" spans="1:28" x14ac:dyDescent="0.3">
      <c r="A29" t="s">
        <v>55</v>
      </c>
      <c r="D29" s="79" t="s">
        <v>21</v>
      </c>
      <c r="E29" s="111">
        <v>0</v>
      </c>
      <c r="F29" s="111">
        <v>0</v>
      </c>
      <c r="G29" s="123"/>
      <c r="H29" s="55">
        <v>0</v>
      </c>
      <c r="I29" s="111">
        <v>0</v>
      </c>
      <c r="J29" s="75">
        <v>0</v>
      </c>
      <c r="K29" s="55">
        <v>0</v>
      </c>
      <c r="L29" s="55">
        <v>0</v>
      </c>
      <c r="M29" s="75">
        <f t="shared" ref="M29:M39" si="2">SUM(E29+F29-G29-H29-J29-K29-L29)</f>
        <v>0</v>
      </c>
      <c r="N29" s="79" t="s">
        <v>21</v>
      </c>
    </row>
    <row r="30" spans="1:28" x14ac:dyDescent="0.3">
      <c r="A30" t="s">
        <v>1022</v>
      </c>
      <c r="D30" s="79" t="s">
        <v>22</v>
      </c>
      <c r="E30" s="111">
        <v>0</v>
      </c>
      <c r="F30" s="111">
        <v>0</v>
      </c>
      <c r="G30" s="123"/>
      <c r="H30" s="55">
        <v>0</v>
      </c>
      <c r="I30" s="111">
        <v>0</v>
      </c>
      <c r="J30" s="75">
        <v>0</v>
      </c>
      <c r="K30" s="55">
        <v>0</v>
      </c>
      <c r="L30" s="55">
        <v>0</v>
      </c>
      <c r="M30" s="75">
        <f t="shared" si="2"/>
        <v>0</v>
      </c>
      <c r="N30" s="79" t="s">
        <v>22</v>
      </c>
    </row>
    <row r="31" spans="1:28" x14ac:dyDescent="0.3">
      <c r="A31" t="s">
        <v>91</v>
      </c>
      <c r="D31" s="79" t="s">
        <v>23</v>
      </c>
      <c r="E31" s="111">
        <v>0</v>
      </c>
      <c r="F31" s="111">
        <v>0</v>
      </c>
      <c r="G31" s="123"/>
      <c r="H31" s="55">
        <v>0</v>
      </c>
      <c r="I31" s="111">
        <v>0</v>
      </c>
      <c r="J31" s="75">
        <v>0</v>
      </c>
      <c r="K31" s="55">
        <v>0</v>
      </c>
      <c r="L31" s="55">
        <v>0</v>
      </c>
      <c r="M31" s="75">
        <f t="shared" si="2"/>
        <v>0</v>
      </c>
      <c r="N31" s="79" t="s">
        <v>23</v>
      </c>
    </row>
    <row r="32" spans="1:28" x14ac:dyDescent="0.3">
      <c r="A32" t="s">
        <v>37</v>
      </c>
      <c r="D32" s="79" t="s">
        <v>24</v>
      </c>
      <c r="E32" s="111">
        <v>0</v>
      </c>
      <c r="F32" s="111">
        <v>0</v>
      </c>
      <c r="G32" s="123"/>
      <c r="H32" s="55">
        <v>0</v>
      </c>
      <c r="I32" s="111">
        <v>0</v>
      </c>
      <c r="J32" s="75">
        <v>0</v>
      </c>
      <c r="K32" s="55">
        <v>0</v>
      </c>
      <c r="L32" s="55">
        <v>0</v>
      </c>
      <c r="M32" s="75">
        <f t="shared" si="2"/>
        <v>0</v>
      </c>
      <c r="N32" s="79" t="s">
        <v>24</v>
      </c>
    </row>
    <row r="33" spans="1:14" ht="12.75" customHeight="1" x14ac:dyDescent="0.3">
      <c r="A33" t="s">
        <v>38</v>
      </c>
      <c r="D33" s="79" t="s">
        <v>39</v>
      </c>
      <c r="E33" s="111">
        <v>0</v>
      </c>
      <c r="F33" s="111">
        <v>0</v>
      </c>
      <c r="G33" s="123"/>
      <c r="H33" s="55">
        <v>0</v>
      </c>
      <c r="I33" s="111">
        <v>0</v>
      </c>
      <c r="J33" s="75">
        <v>0</v>
      </c>
      <c r="K33" s="55">
        <v>0</v>
      </c>
      <c r="L33" s="55">
        <v>0</v>
      </c>
      <c r="M33" s="75">
        <f t="shared" si="2"/>
        <v>0</v>
      </c>
      <c r="N33" s="79" t="s">
        <v>39</v>
      </c>
    </row>
    <row r="34" spans="1:14" ht="12.75" customHeight="1" x14ac:dyDescent="0.3">
      <c r="A34" t="s">
        <v>96</v>
      </c>
      <c r="D34" s="79" t="s">
        <v>40</v>
      </c>
      <c r="E34" s="111">
        <v>0</v>
      </c>
      <c r="F34" s="111">
        <v>0</v>
      </c>
      <c r="G34" s="123"/>
      <c r="H34" s="55">
        <v>0</v>
      </c>
      <c r="I34" s="111">
        <v>0</v>
      </c>
      <c r="J34" s="75">
        <v>0</v>
      </c>
      <c r="K34" s="55">
        <v>0</v>
      </c>
      <c r="L34" s="55">
        <v>0</v>
      </c>
      <c r="M34" s="75">
        <f t="shared" si="2"/>
        <v>0</v>
      </c>
      <c r="N34" s="79" t="s">
        <v>40</v>
      </c>
    </row>
    <row r="35" spans="1:14" ht="12.75" customHeight="1" x14ac:dyDescent="0.3">
      <c r="A35" t="s">
        <v>130</v>
      </c>
      <c r="D35" s="79" t="s">
        <v>41</v>
      </c>
      <c r="E35" s="111">
        <v>0</v>
      </c>
      <c r="F35" s="111">
        <v>0</v>
      </c>
      <c r="G35" s="123"/>
      <c r="H35" s="55">
        <v>0</v>
      </c>
      <c r="I35" s="111">
        <v>0</v>
      </c>
      <c r="J35" s="75">
        <v>0</v>
      </c>
      <c r="K35" s="55">
        <v>0</v>
      </c>
      <c r="L35" s="55">
        <v>0</v>
      </c>
      <c r="M35" s="75">
        <f t="shared" si="2"/>
        <v>0</v>
      </c>
      <c r="N35" s="79" t="s">
        <v>41</v>
      </c>
    </row>
    <row r="36" spans="1:14" ht="12.75" customHeight="1" x14ac:dyDescent="0.3">
      <c r="A36" s="259" t="s">
        <v>132</v>
      </c>
      <c r="B36" s="305"/>
      <c r="C36" s="305"/>
      <c r="D36" s="79" t="s">
        <v>43</v>
      </c>
      <c r="E36" s="111">
        <v>0</v>
      </c>
      <c r="F36" s="111">
        <v>0</v>
      </c>
      <c r="G36" s="123"/>
      <c r="H36" s="55">
        <v>0</v>
      </c>
      <c r="I36" s="111">
        <v>0</v>
      </c>
      <c r="J36" s="75">
        <v>0</v>
      </c>
      <c r="K36" s="55">
        <v>0</v>
      </c>
      <c r="L36" s="55">
        <v>0</v>
      </c>
      <c r="M36" s="75">
        <f t="shared" si="2"/>
        <v>0</v>
      </c>
      <c r="N36" s="79" t="s">
        <v>43</v>
      </c>
    </row>
    <row r="37" spans="1:14" x14ac:dyDescent="0.3">
      <c r="A37" t="s">
        <v>42</v>
      </c>
      <c r="D37" s="79" t="s">
        <v>44</v>
      </c>
      <c r="E37" s="111">
        <v>0</v>
      </c>
      <c r="F37" s="111">
        <v>0</v>
      </c>
      <c r="G37" s="123"/>
      <c r="H37" s="55">
        <v>0</v>
      </c>
      <c r="I37" s="111">
        <v>0</v>
      </c>
      <c r="J37" s="75">
        <v>0</v>
      </c>
      <c r="K37" s="55">
        <v>0</v>
      </c>
      <c r="L37" s="55">
        <v>0</v>
      </c>
      <c r="M37" s="75">
        <f t="shared" si="2"/>
        <v>0</v>
      </c>
      <c r="N37" s="79" t="s">
        <v>44</v>
      </c>
    </row>
    <row r="38" spans="1:14" ht="12.75" customHeight="1" x14ac:dyDescent="0.3">
      <c r="A38" t="s">
        <v>57</v>
      </c>
      <c r="D38" s="79" t="s">
        <v>45</v>
      </c>
      <c r="E38" s="111">
        <v>0</v>
      </c>
      <c r="F38" s="111">
        <v>0</v>
      </c>
      <c r="G38" s="123"/>
      <c r="H38" s="55">
        <v>0</v>
      </c>
      <c r="I38" s="111">
        <v>0</v>
      </c>
      <c r="J38" s="75">
        <v>0</v>
      </c>
      <c r="K38" s="55">
        <v>0</v>
      </c>
      <c r="L38" s="55">
        <v>0</v>
      </c>
      <c r="M38" s="75">
        <f t="shared" si="2"/>
        <v>0</v>
      </c>
      <c r="N38" s="79" t="s">
        <v>45</v>
      </c>
    </row>
    <row r="39" spans="1:14" ht="12.75" customHeight="1" x14ac:dyDescent="0.3">
      <c r="A39" s="306" t="s">
        <v>851</v>
      </c>
      <c r="B39" s="306"/>
      <c r="C39" s="306"/>
      <c r="D39" s="83" t="s">
        <v>46</v>
      </c>
      <c r="E39" s="111">
        <v>0</v>
      </c>
      <c r="F39" s="111">
        <v>0</v>
      </c>
      <c r="G39" s="123"/>
      <c r="H39" s="55">
        <v>0</v>
      </c>
      <c r="I39" s="111">
        <v>0</v>
      </c>
      <c r="J39" s="75">
        <v>0</v>
      </c>
      <c r="K39" s="55">
        <v>0</v>
      </c>
      <c r="L39" s="55">
        <v>0</v>
      </c>
      <c r="M39" s="75">
        <f t="shared" si="2"/>
        <v>0</v>
      </c>
      <c r="N39" s="83" t="s">
        <v>46</v>
      </c>
    </row>
    <row r="40" spans="1:14" ht="12.75" customHeight="1" thickBot="1" x14ac:dyDescent="0.35">
      <c r="A40" t="s">
        <v>56</v>
      </c>
      <c r="D40" s="79" t="s">
        <v>48</v>
      </c>
      <c r="E40" s="266">
        <v>0</v>
      </c>
      <c r="F40" s="266">
        <v>0</v>
      </c>
      <c r="G40" s="307"/>
      <c r="H40" s="60">
        <v>0</v>
      </c>
      <c r="I40" s="266">
        <v>0</v>
      </c>
      <c r="J40" s="272">
        <v>0</v>
      </c>
      <c r="K40" s="60">
        <v>0</v>
      </c>
      <c r="L40" s="60">
        <v>0</v>
      </c>
      <c r="M40" s="272">
        <f>SUM(E40+F40-G40-H40-J40-K40-L40)</f>
        <v>0</v>
      </c>
      <c r="N40" s="79" t="s">
        <v>48</v>
      </c>
    </row>
    <row r="41" spans="1:14" ht="13.5" thickBot="1" x14ac:dyDescent="0.35">
      <c r="A41" t="s">
        <v>883</v>
      </c>
      <c r="D41" s="79" t="s">
        <v>49</v>
      </c>
      <c r="E41" s="267">
        <f>SUM(E28:E40)</f>
        <v>0</v>
      </c>
      <c r="F41" s="267">
        <f>SUM(F28:F40)</f>
        <v>0</v>
      </c>
      <c r="G41" s="308"/>
      <c r="H41" s="267">
        <f>SUM(H28:H40)</f>
        <v>0</v>
      </c>
      <c r="I41" s="267">
        <f>SUM(I28:I40)</f>
        <v>0</v>
      </c>
      <c r="J41" s="267">
        <f>SUM(J28:J40)</f>
        <v>0</v>
      </c>
      <c r="K41" s="267">
        <f>SUM(K28:K40)</f>
        <v>0</v>
      </c>
      <c r="L41" s="267">
        <f>SUM(L28:L40)</f>
        <v>0</v>
      </c>
      <c r="M41" s="267">
        <f t="shared" ref="M41" si="3">SUM(E41+F41-G41-H41-J41-L41)</f>
        <v>0</v>
      </c>
      <c r="N41" s="79" t="s">
        <v>49</v>
      </c>
    </row>
    <row r="42" spans="1:14" ht="13.5" thickTop="1" x14ac:dyDescent="0.3">
      <c r="D42" s="309"/>
      <c r="E42" s="29"/>
      <c r="F42" s="29"/>
      <c r="G42" s="29"/>
      <c r="H42" s="29"/>
      <c r="I42" s="29"/>
      <c r="J42" s="29"/>
      <c r="K42" s="29"/>
      <c r="L42" s="29"/>
      <c r="M42" s="29"/>
      <c r="N42" s="310"/>
    </row>
    <row r="43" spans="1:14" ht="13.5" thickBot="1" x14ac:dyDescent="0.35">
      <c r="A43" s="259" t="s">
        <v>884</v>
      </c>
      <c r="B43" s="259"/>
      <c r="C43" s="259"/>
      <c r="D43" s="79" t="s">
        <v>60</v>
      </c>
      <c r="E43" s="311">
        <f>SUM(E23+E41)</f>
        <v>0</v>
      </c>
      <c r="F43" s="311">
        <f>SUM(F23+F41)</f>
        <v>15635</v>
      </c>
      <c r="G43" s="296">
        <f>G23</f>
        <v>0</v>
      </c>
      <c r="H43" s="311">
        <f>SUM(H23+H41)</f>
        <v>0</v>
      </c>
      <c r="I43" s="311">
        <f>SUM(I23+I41)</f>
        <v>15420</v>
      </c>
      <c r="J43" s="311">
        <f>SUM(J23+J41)</f>
        <v>15635</v>
      </c>
      <c r="K43" s="311">
        <f>SUM(K23+K41)</f>
        <v>0</v>
      </c>
      <c r="L43" s="311">
        <f>SUM(L23+L41)</f>
        <v>0</v>
      </c>
      <c r="M43" s="311">
        <f>SUM(E43+F43-G43-H43-J43-L43)</f>
        <v>0</v>
      </c>
      <c r="N43" s="79" t="s">
        <v>60</v>
      </c>
    </row>
    <row r="44" spans="1:14" ht="13.5" thickTop="1" x14ac:dyDescent="0.3"/>
    <row r="46" spans="1:14" ht="12" customHeight="1" x14ac:dyDescent="0.3">
      <c r="A46" s="107"/>
    </row>
  </sheetData>
  <sheetProtection formatCells="0" formatColumns="0" formatRows="0"/>
  <mergeCells count="4">
    <mergeCell ref="A3:D3"/>
    <mergeCell ref="B1:D1"/>
    <mergeCell ref="G1:H1"/>
    <mergeCell ref="I4:J4"/>
  </mergeCells>
  <conditionalFormatting sqref="H25 L25">
    <cfRule type="expression" dxfId="38" priority="7" stopIfTrue="1">
      <formula>H$25=""</formula>
    </cfRule>
  </conditionalFormatting>
  <conditionalFormatting sqref="H28:H40">
    <cfRule type="expression" dxfId="37" priority="9" stopIfTrue="1">
      <formula>$H28=""</formula>
    </cfRule>
  </conditionalFormatting>
  <conditionalFormatting sqref="K22">
    <cfRule type="containsBlanks" dxfId="36" priority="6">
      <formula>LEN(TRIM(K22))=0</formula>
    </cfRule>
  </conditionalFormatting>
  <conditionalFormatting sqref="K25">
    <cfRule type="containsBlanks" dxfId="35" priority="5">
      <formula>LEN(TRIM(K25))=0</formula>
    </cfRule>
  </conditionalFormatting>
  <conditionalFormatting sqref="K28:L40">
    <cfRule type="expression" dxfId="34" priority="1" stopIfTrue="1">
      <formula>$H28=""</formula>
    </cfRule>
  </conditionalFormatting>
  <hyperlinks>
    <hyperlink ref="A3:D3" location="FederalAndStateProjectsPage9" display="FEDERAL AND STATE PROJECTS" xr:uid="{00000000-0004-0000-0800-000000000000}"/>
    <hyperlink ref="A43:C43"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A36:C36" location="Results_Based_Funding" display="1457 Results-Based Funding" xr:uid="{00000000-0004-0000-0800-000004000000}"/>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Props1.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3.xml><?xml version="1.0" encoding="utf-8"?>
<ds:datastoreItem xmlns:ds="http://schemas.openxmlformats.org/officeDocument/2006/customXml" ds:itemID="{BBB4F38B-0799-4886-B61C-8DBB46B47F73}">
  <ds:schemaRefs>
    <ds:schemaRef ds:uri="http://schemas.microsoft.com/office/2006/documentManagement/types"/>
    <ds:schemaRef ds:uri="http://schemas.openxmlformats.org/package/2006/metadata/core-properties"/>
    <ds:schemaRef ds:uri="http://purl.org/dc/dcmitype/"/>
    <ds:schemaRef ds:uri="http://schemas.microsoft.com/office/2006/metadata/properties"/>
    <ds:schemaRef ds:uri="http://www.w3.org/XML/1998/namespace"/>
    <ds:schemaRef ds:uri="http://purl.org/dc/terms/"/>
    <ds:schemaRef ds:uri="8385876d-3ffd-449d-b709-a8df02b96ae7"/>
    <ds:schemaRef ds:uri="http://purl.org/dc/elements/1.1/"/>
    <ds:schemaRef ds:uri="http://schemas.microsoft.com/office/infopath/2007/PartnerControls"/>
    <ds:schemaRef ds:uri="ffcdc2e4-c8f2-4bf7-ab1d-ea300bde3fd8"/>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Howard Marzolf</cp:lastModifiedBy>
  <cp:lastPrinted>2023-09-12T17:47:53Z</cp:lastPrinted>
  <dcterms:created xsi:type="dcterms:W3CDTF">1997-10-10T06:56:13Z</dcterms:created>
  <dcterms:modified xsi:type="dcterms:W3CDTF">2023-10-11T00:42:51Z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